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Rec Statements" sheetId="3" state="visible" r:id="rId3"/>
    <sheet xmlns:r="http://schemas.openxmlformats.org/officeDocument/2006/relationships" name="Exceptions" sheetId="4" state="visible" r:id="rId4"/>
    <sheet xmlns:r="http://schemas.openxmlformats.org/officeDocument/2006/relationships" name="Controls" sheetId="5" state="visible" r:id="rId5"/>
    <sheet xmlns:r="http://schemas.openxmlformats.org/officeDocument/2006/relationships" name="Proposed Journals" sheetId="6" state="visible" r:id="rId6"/>
    <sheet xmlns:r="http://schemas.openxmlformats.org/officeDocument/2006/relationships" name="Bank Lines" sheetId="7" state="visible" r:id="rId7"/>
    <sheet xmlns:r="http://schemas.openxmlformats.org/officeDocument/2006/relationships" name="Odoo Items" sheetId="8" state="visible" r:id="rId8"/>
    <sheet xmlns:r="http://schemas.openxmlformats.org/officeDocument/2006/relationships" name="Match Groups" sheetId="9" state="visible" r:id="rId9"/>
    <sheet xmlns:r="http://schemas.openxmlformats.org/officeDocument/2006/relationships" name="Statement Balances" sheetId="10" state="visible" r:id="rId10"/>
    <sheet xmlns:r="http://schemas.openxmlformats.org/officeDocument/2006/relationships" name="Odoo TB" sheetId="11" state="visible" r:id="rId11"/>
    <sheet xmlns:r="http://schemas.openxmlformats.org/officeDocument/2006/relationships" name="Allocations" sheetId="12" state="visible" r:id="rId12"/>
    <sheet xmlns:r="http://schemas.openxmlformats.org/officeDocument/2006/relationships" name="Open Items" sheetId="13" state="visible" r:id="rId13"/>
    <sheet xmlns:r="http://schemas.openxmlformats.org/officeDocument/2006/relationships" name="Stripe Report" sheetId="14" state="visible" r:id="rId14"/>
    <sheet xmlns:r="http://schemas.openxmlformats.org/officeDocument/2006/relationships" name="Stripe Payouts" sheetId="15" state="visible" r:id="rId15"/>
    <sheet xmlns:r="http://schemas.openxmlformats.org/officeDocument/2006/relationships" name="Remittances" sheetId="16" state="visible" r:id="rId16"/>
    <sheet xmlns:r="http://schemas.openxmlformats.org/officeDocument/2006/relationships" name="FX" sheetId="17" state="visible" r:id="rId17"/>
    <sheet xmlns:r="http://schemas.openxmlformats.org/officeDocument/2006/relationships" name="Matching Rules" sheetId="18" state="visible" r:id="rId18"/>
    <sheet xmlns:r="http://schemas.openxmlformats.org/officeDocument/2006/relationships" name="Payee Aliases" sheetId="19" state="visible" r:id="rId19"/>
    <sheet xmlns:r="http://schemas.openxmlformats.org/officeDocument/2006/relationships" name="Test Log" sheetId="20" state="visible" r:id="rId20"/>
  </sheets>
  <definedNames>
    <definedName name="_xlnm._FilterDatabase" localSheetId="3" hidden="1">'Exceptions'!$A$4:$O$208</definedName>
    <definedName name="_xlnm._FilterDatabase" localSheetId="5" hidden="1">'Proposed Journals'!$A$4:$K$454</definedName>
    <definedName name="_xlnm._FilterDatabase" localSheetId="6" hidden="1">'Bank Lines'!$A$4:$J$1640</definedName>
    <definedName name="_xlnm._FilterDatabase" localSheetId="7" hidden="1">'Odoo Items'!$A$4:$K$4331</definedName>
    <definedName name="_xlnm._FilterDatabase" localSheetId="8" hidden="1">'Match Groups'!$A$4:$AD$1326</definedName>
    <definedName name="_xlnm._FilterDatabase" localSheetId="12" hidden="1">'Open Items'!$A$4:$M$483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;[Red]-#,##0.00;&quot;-&quot;"/>
    <numFmt numFmtId="167" formatCode="0.0%"/>
  </numFmts>
  <fonts count="11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5B6776"/>
      <sz val="9"/>
    </font>
    <font>
      <b val="1"/>
    </font>
    <font>
      <b val="1"/>
      <color rgb="000E7C86"/>
    </font>
    <font>
      <b val="1"/>
      <color rgb="00FFFFFF"/>
      <sz val="14"/>
    </font>
    <font>
      <b val="1"/>
      <color rgb="00FFFFFF"/>
    </font>
    <font>
      <b val="1"/>
      <color rgb="00FFFFFF"/>
      <sz val="12"/>
    </font>
    <font>
      <color rgb="005B6776"/>
      <sz val="9"/>
    </font>
    <font/>
    <font>
      <i val="1"/>
    </font>
  </fonts>
  <fills count="6">
    <fill>
      <patternFill/>
    </fill>
    <fill>
      <patternFill patternType="gray125"/>
    </fill>
    <fill>
      <patternFill patternType="solid">
        <fgColor rgb="000B1F33"/>
      </patternFill>
    </fill>
    <fill>
      <patternFill patternType="solid">
        <fgColor rgb="000E7C86"/>
      </patternFill>
    </fill>
    <fill>
      <patternFill patternType="solid">
        <fgColor rgb="00E3F5E8"/>
      </patternFill>
    </fill>
    <fill>
      <patternFill patternType="solid">
        <fgColor rgb="00FFF9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6" fillId="3" borderId="0" applyAlignment="1" pivotButton="0" quotePrefix="0" xfId="0">
      <alignment vertical="center" wrapText="1"/>
    </xf>
    <xf numFmtId="166" fontId="0" fillId="0" borderId="0" pivotButton="0" quotePrefix="0" xfId="0"/>
    <xf numFmtId="167" fontId="0" fillId="0" borderId="0" pivotButton="0" quotePrefix="0" xfId="0"/>
    <xf numFmtId="0" fontId="0" fillId="5" borderId="0" pivotButton="0" quotePrefix="0" xfId="0"/>
    <xf numFmtId="0" fontId="7" fillId="2" borderId="0" pivotButton="0" quotePrefix="0" xfId="0"/>
    <xf numFmtId="166" fontId="3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166" fontId="3" fillId="4" borderId="0" pivotButton="0" quotePrefix="0" xfId="0"/>
    <xf numFmtId="1" fontId="0" fillId="0" borderId="0" pivotButton="0" quotePrefix="0" xfId="0"/>
    <xf numFmtId="4" fontId="0" fillId="0" borderId="0" pivotButton="0" quotePrefix="0" xfId="0"/>
    <xf numFmtId="3" fontId="0" fillId="0" borderId="0" pivotButton="0" quotePrefix="0" xfId="0"/>
    <xf numFmtId="0" fontId="6" fillId="3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BE3E3"/>
        </patternFill>
      </fill>
    </dxf>
    <dxf>
      <fill>
        <patternFill patternType="solid">
          <fgColor rgb="00E3F5E8"/>
        </patternFill>
      </fill>
    </dxf>
    <dxf>
      <fill>
        <patternFill patternType="solid">
          <fgColor rgb="00FFF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styles" Target="styles.xml" Id="rId21"/><Relationship Type="http://schemas.openxmlformats.org/officeDocument/2006/relationships/theme" Target="theme/theme1.xml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/>
  <cols>
    <col width="26" customWidth="1" min="1" max="1"/>
    <col width="110" customWidth="1" min="2" max="2"/>
    <col width="14" customWidth="1" min="3" max="3"/>
  </cols>
  <sheetData>
    <row r="1">
      <c r="A1" s="1" t="inlineStr">
        <is>
          <t>Bank reconciliation, Q1 FY27 (1 Jul - 30 Sep 2026)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4" t="inlineStr">
        <is>
          <t>Entity</t>
        </is>
      </c>
      <c r="B4" t="inlineStr">
        <is>
          <t>Sample allied health group (4 clinics, Melbourne). Placeholder names throughout.</t>
        </is>
      </c>
    </row>
    <row r="5">
      <c r="A5" s="4" t="inlineStr">
        <is>
          <t>Ledger</t>
        </is>
      </c>
      <c r="B5" t="inlineStr">
        <is>
          <t>Odoo 17 Accounting: bank journal items, open invoices and bills, trial balance (exports at 30 Sep 2026)</t>
        </is>
      </c>
    </row>
    <row r="6">
      <c r="A6" s="4" t="inlineStr">
        <is>
          <t>Bank</t>
        </is>
      </c>
      <c r="B6" t="inlineStr">
        <is>
          <t>Statement imports for 4 accounts (3 AUD, 1 USD), remittance advices, Stripe payout report</t>
        </is>
      </c>
    </row>
    <row r="7">
      <c r="A7" s="4" t="inlineStr">
        <is>
          <t>Method</t>
        </is>
      </c>
      <c r="B7" t="inlineStr">
        <is>
          <t>match.py applies 14 rules in priority order; every line ends in one match group with a reason code</t>
        </is>
      </c>
    </row>
    <row r="8">
      <c r="A8" s="4" t="inlineStr">
        <is>
          <t>Prepared by</t>
        </is>
      </c>
      <c r="B8" t="inlineStr">
        <is>
          <t>Manaz Afzal</t>
        </is>
      </c>
    </row>
    <row r="9">
      <c r="A9" s="4" t="inlineStr">
        <is>
          <t>Reviewed by</t>
        </is>
      </c>
      <c r="B9" t="inlineStr"/>
    </row>
    <row r="10">
      <c r="A10" s="4" t="inlineStr">
        <is>
          <t>Review date</t>
        </is>
      </c>
      <c r="B10" t="inlineStr"/>
    </row>
    <row r="12">
      <c r="A12" s="4" t="inlineStr">
        <is>
          <t>Month ends (parameters used by every formula)</t>
        </is>
      </c>
    </row>
    <row r="13">
      <c r="A13" t="inlineStr">
        <is>
          <t>Jul 2026</t>
        </is>
      </c>
      <c r="B13" s="5" t="n">
        <v>46204</v>
      </c>
      <c r="C13" s="5" t="n">
        <v>46234</v>
      </c>
    </row>
    <row r="14">
      <c r="A14" t="inlineStr">
        <is>
          <t>Aug 2026</t>
        </is>
      </c>
      <c r="B14" s="5" t="n">
        <v>46235</v>
      </c>
      <c r="C14" s="5" t="n">
        <v>46265</v>
      </c>
    </row>
    <row r="15">
      <c r="A15" t="inlineStr">
        <is>
          <t>Sep 2026</t>
        </is>
      </c>
      <c r="B15" s="5" t="n">
        <v>46266</v>
      </c>
      <c r="C15" s="5" t="n">
        <v>46295</v>
      </c>
    </row>
    <row r="17">
      <c r="A17" s="4" t="inlineStr">
        <is>
          <t>Sheets</t>
        </is>
      </c>
    </row>
    <row r="18">
      <c r="A18" s="6" t="inlineStr">
        <is>
          <t>Dashboard</t>
        </is>
      </c>
      <c r="B18" t="inlineStr">
        <is>
          <t>Sign-off view: 4 accounts x 3 months, adjusted difference, match rate, open exceptions</t>
        </is>
      </c>
    </row>
    <row r="19">
      <c r="A19" s="6" t="inlineStr">
        <is>
          <t>Rec Statements</t>
        </is>
      </c>
      <c r="B19" t="inlineStr">
        <is>
          <t>12 standard bank reconciliation statements: bank + deposits in transit - unpresented = adjusted bank = adjusted Odoo</t>
        </is>
      </c>
    </row>
    <row r="20">
      <c r="A20" s="6" t="inlineStr">
        <is>
          <t>Exceptions</t>
        </is>
      </c>
      <c r="B20" t="inlineStr">
        <is>
          <t>Exceptions register: reason code, owner, proposed action and journal, status</t>
        </is>
      </c>
    </row>
    <row r="21">
      <c r="A21" s="6" t="inlineStr">
        <is>
          <t>Proposed Journals</t>
        </is>
      </c>
      <c r="B21" t="inlineStr">
        <is>
          <t>Double-entry journals for every exception that needs one, amounts linked to the register</t>
        </is>
      </c>
    </row>
    <row r="22">
      <c r="A22" s="6" t="inlineStr">
        <is>
          <t>Match Groups</t>
        </is>
      </c>
      <c r="B22" t="inlineStr">
        <is>
          <t>One row per match group: bank total, Odoo total, difference, month-end position</t>
        </is>
      </c>
    </row>
    <row r="23">
      <c r="A23" s="6" t="inlineStr">
        <is>
          <t>Bank Lines</t>
        </is>
      </c>
      <c r="B23" t="inlineStr">
        <is>
          <t>Every statement line as imported into Odoo, with its group and rule</t>
        </is>
      </c>
    </row>
    <row r="24">
      <c r="A24" s="6" t="inlineStr">
        <is>
          <t>Odoo Items</t>
        </is>
      </c>
      <c r="B24" t="inlineStr">
        <is>
          <t>Every bank journal item in Odoo, with its group</t>
        </is>
      </c>
    </row>
    <row r="25">
      <c r="A25" s="6" t="inlineStr">
        <is>
          <t>Open Items</t>
        </is>
      </c>
      <c r="B25" t="inlineStr">
        <is>
          <t>Open invoices and bills at 30 Sep, residual before and after proposed allocations</t>
        </is>
      </c>
    </row>
    <row r="26">
      <c r="A26" s="6" t="inlineStr">
        <is>
          <t>Allocations</t>
        </is>
      </c>
      <c r="B26" t="inlineStr">
        <is>
          <t>Receipts and debits not yet entered in Odoo, allocated to open items</t>
        </is>
      </c>
    </row>
    <row r="27">
      <c r="A27" s="6" t="inlineStr">
        <is>
          <t>Stripe Payouts</t>
        </is>
      </c>
      <c r="B27" t="inlineStr">
        <is>
          <t>Each payout: gross, refunds, disputes, fees, GST on fees, net, bank amount</t>
        </is>
      </c>
    </row>
    <row r="28">
      <c r="A28" s="6" t="inlineStr">
        <is>
          <t>Stripe Report</t>
        </is>
      </c>
      <c r="B28" t="inlineStr">
        <is>
          <t>Stripe payout report, line level</t>
        </is>
      </c>
    </row>
    <row r="29">
      <c r="A29" s="6" t="inlineStr">
        <is>
          <t>Remittances</t>
        </is>
      </c>
      <c r="B29" t="inlineStr">
        <is>
          <t>Plan manager remittance advices, line level</t>
        </is>
      </c>
    </row>
    <row r="30">
      <c r="A30" s="6" t="inlineStr">
        <is>
          <t>FX</t>
        </is>
      </c>
      <c r="B30" t="inlineStr">
        <is>
          <t>AUD to USD conversions: Odoo rate vs bank rate, and USD balances in AUD</t>
        </is>
      </c>
    </row>
    <row r="31">
      <c r="A31" s="6" t="inlineStr">
        <is>
          <t>Matching Rules</t>
        </is>
      </c>
      <c r="B31" t="inlineStr">
        <is>
          <t>The 14 rules, with the lines and value each one matched</t>
        </is>
      </c>
    </row>
    <row r="32">
      <c r="A32" s="6" t="inlineStr">
        <is>
          <t>Payee Aliases</t>
        </is>
      </c>
      <c r="B32" t="inlineStr">
        <is>
          <t>Bank payee text -&gt; Odoo partner, with match score</t>
        </is>
      </c>
    </row>
    <row r="33">
      <c r="A33" s="6" t="inlineStr">
        <is>
          <t>Statement Balances</t>
        </is>
      </c>
      <c r="B33" t="inlineStr">
        <is>
          <t>Bank statement opening and closing balances, rolled forward from the lines</t>
        </is>
      </c>
    </row>
    <row r="34">
      <c r="A34" s="6" t="inlineStr">
        <is>
          <t>Odoo TB</t>
        </is>
      </c>
      <c r="B34" t="inlineStr">
        <is>
          <t>Odoo trial balance for the 4 bank accounts, rolled forward from the journal items</t>
        </is>
      </c>
    </row>
    <row r="35">
      <c r="A35" s="6" t="inlineStr">
        <is>
          <t>Controls</t>
        </is>
      </c>
      <c r="B35" t="inlineStr">
        <is>
          <t>Formula-driven control checks</t>
        </is>
      </c>
    </row>
    <row r="36">
      <c r="A36" s="6" t="inlineStr">
        <is>
          <t>Test Log</t>
        </is>
      </c>
      <c r="B36" t="inlineStr">
        <is>
          <t>Engine regression test and scenario tests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9" customWidth="1" min="3" max="3"/>
    <col width="15" customWidth="1" min="4" max="4"/>
    <col width="14" customWidth="1" min="5" max="5"/>
    <col width="14" customWidth="1" min="6" max="6"/>
    <col width="15" customWidth="1" min="7" max="7"/>
    <col width="15" customWidth="1" min="8" max="8"/>
    <col width="14" customWidth="1" min="9" max="9"/>
    <col width="14" customWidth="1" min="10" max="10"/>
    <col width="13" customWidth="1" min="11" max="11"/>
    <col width="15" customWidth="1" min="12" max="12"/>
    <col width="12" customWidth="1" min="13" max="13"/>
    <col width="9" customWidth="1" min="14" max="14"/>
    <col width="9" customWidth="1" min="15" max="15"/>
    <col width="8" customWidth="1" min="16" max="16"/>
    <col width="10" customWidth="1" min="17" max="17"/>
    <col width="9" customWidth="1" min="18" max="18"/>
    <col width="22" customWidth="1" min="19" max="19"/>
  </cols>
  <sheetData>
    <row r="1">
      <c r="A1" s="7" t="inlineStr">
        <is>
          <t>Reconciliation dashboard and sign-off, Q1 FY27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>
      <c r="A2" s="3" t="inlineStr">
        <is>
          <t>Sample build: realistic data, built to show how I'd handle this work. Not client data.</t>
        </is>
      </c>
    </row>
    <row r="4">
      <c r="A4" s="8" t="inlineStr">
        <is>
          <t>Account</t>
        </is>
      </c>
      <c r="B4" s="8" t="inlineStr">
        <is>
          <t>Currency</t>
        </is>
      </c>
      <c r="C4" s="8" t="inlineStr">
        <is>
          <t>Month</t>
        </is>
      </c>
      <c r="D4" s="8" t="inlineStr">
        <is>
          <t>Balance per statement</t>
        </is>
      </c>
      <c r="E4" s="8" t="inlineStr">
        <is>
          <t>Deposits in transit</t>
        </is>
      </c>
      <c r="F4" s="8" t="inlineStr">
        <is>
          <t>Unpresented payments</t>
        </is>
      </c>
      <c r="G4" s="8" t="inlineStr">
        <is>
          <t>Adjusted bank</t>
        </is>
      </c>
      <c r="H4" s="8" t="inlineStr">
        <is>
          <t>Balance per Odoo</t>
        </is>
      </c>
      <c r="I4" s="8" t="inlineStr">
        <is>
          <t>Items not in Odoo (net)</t>
        </is>
      </c>
      <c r="J4" s="8" t="inlineStr">
        <is>
          <t>Differences on matched items</t>
        </is>
      </c>
      <c r="K4" s="8" t="inlineStr">
        <is>
          <t>Odoo errors (double entries)</t>
        </is>
      </c>
      <c r="L4" s="8" t="inlineStr">
        <is>
          <t>Adjusted Odoo</t>
        </is>
      </c>
      <c r="M4" s="8" t="inlineStr">
        <is>
          <t>Unexplained difference</t>
        </is>
      </c>
      <c r="N4" s="8" t="inlineStr">
        <is>
          <t>Statement lines</t>
        </is>
      </c>
      <c r="O4" s="8" t="inlineStr">
        <is>
          <t>Lines matched by rule</t>
        </is>
      </c>
      <c r="P4" s="8" t="inlineStr">
        <is>
          <t>Match rate</t>
        </is>
      </c>
      <c r="Q4" s="8" t="inlineStr">
        <is>
          <t>Exceptions (month)</t>
        </is>
      </c>
      <c r="R4" s="8" t="inlineStr">
        <is>
          <t>Escalated (month)</t>
        </is>
      </c>
      <c r="S4" s="8" t="inlineStr">
        <is>
          <t>Status</t>
        </is>
      </c>
    </row>
    <row r="5">
      <c r="A5" t="inlineStr">
        <is>
          <t>OPS</t>
        </is>
      </c>
      <c r="B5" t="inlineStr">
        <is>
          <t>AUD</t>
        </is>
      </c>
      <c r="C5" t="inlineStr">
        <is>
          <t>Jul 2026</t>
        </is>
      </c>
      <c r="D5" s="9">
        <f>'Rec Statements'!D6</f>
        <v>359787.03</v>
      </c>
      <c r="E5" s="9">
        <f>'Rec Statements'!C7</f>
        <v>6340</v>
      </c>
      <c r="F5" s="9">
        <f>'Rec Statements'!C8</f>
        <v>-1342</v>
      </c>
      <c r="G5" s="9">
        <f>'Rec Statements'!D9</f>
        <v>364785.03</v>
      </c>
      <c r="H5" s="9">
        <f>'Rec Statements'!D11</f>
        <v>328436.34</v>
      </c>
      <c r="I5" s="9">
        <f>SUM('Rec Statements'!C13:C24)</f>
        <v>38043.68</v>
      </c>
      <c r="J5" s="9">
        <f>SUM('Rec Statements'!C26:C31)</f>
        <v>-1694.99</v>
      </c>
      <c r="K5" s="9">
        <f>'Rec Statements'!C32</f>
        <v>0</v>
      </c>
      <c r="L5" s="9">
        <f>'Rec Statements'!D33</f>
        <v>364785.03</v>
      </c>
      <c r="M5" s="9">
        <f>'Rec Statements'!D35</f>
        <v>0</v>
      </c>
      <c r="N5">
        <f>COUNTIFS('Bank Lines'!$B$5:$B$1640,"OPS",'Bank Lines'!$C$5:$C$1640,"&gt;="&amp;Cover!$B$13,'Bank Lines'!$C$5:$C$1640,"&lt;="&amp;Cover!$C$13,'Bank Lines'!$J$5:$J$1640,1)</f>
        <v>314</v>
      </c>
      <c r="O5">
        <f>COUNTIFS('Bank Lines'!$B$5:$B$1640,"OPS",'Bank Lines'!$C$5:$C$1640,"&gt;="&amp;Cover!$B$13,'Bank Lines'!$C$5:$C$1640,"&lt;="&amp;Cover!$C$13,'Bank Lines'!$J$5:$J$1640,1,'Bank Lines'!$H$5:$H$1640,"&lt;&gt;R99")</f>
        <v>314</v>
      </c>
      <c r="P5" s="10">
        <f>IF(N5=0,0,O5/N5)</f>
        <v>1</v>
      </c>
      <c r="Q5">
        <f>COUNTIFS(Exceptions!$B$5:$B$208,"OPS",Exceptions!$N$5:$N$208,"2026-07")</f>
        <v>51</v>
      </c>
      <c r="R5">
        <f>COUNTIFS(Exceptions!$B$5:$B$208,"OPS",Exceptions!$N$5:$N$208,"2026-07",Exceptions!$F$5:$F$208,"Escalated")</f>
        <v>0</v>
      </c>
      <c r="S5" t="str">
        <f>IF(ABS(M5)&gt;=0.005,"CHECK: difference",IF(R5&gt;0,"Reconciled, escalations open",IF(Q5&gt;0,"Reconciled, journals proposed","Reconciled")))</f>
        <v>Reconciled, journals proposed</v>
      </c>
    </row>
    <row r="6">
      <c r="A6" t="inlineStr">
        <is>
          <t>OPS</t>
        </is>
      </c>
      <c r="B6" t="inlineStr">
        <is>
          <t>AUD</t>
        </is>
      </c>
      <c r="C6" t="inlineStr">
        <is>
          <t>Aug 2026</t>
        </is>
      </c>
      <c r="D6" s="9">
        <f>'Rec Statements'!D40</f>
        <v>481407.98</v>
      </c>
      <c r="E6" s="9">
        <f>'Rec Statements'!C41</f>
        <v>10495.37</v>
      </c>
      <c r="F6" s="9">
        <f>'Rec Statements'!C42</f>
        <v>-15268</v>
      </c>
      <c r="G6" s="9">
        <f>'Rec Statements'!D43</f>
        <v>476635.35</v>
      </c>
      <c r="H6" s="9">
        <f>'Rec Statements'!D45</f>
        <v>355360.07</v>
      </c>
      <c r="I6" s="9">
        <f>SUM('Rec Statements'!C47:C58)</f>
        <v>124999.16</v>
      </c>
      <c r="J6" s="9">
        <f>SUM('Rec Statements'!C60:C65)</f>
        <v>-3402.9</v>
      </c>
      <c r="K6" s="9">
        <f>'Rec Statements'!C66</f>
        <v>-320.98</v>
      </c>
      <c r="L6" s="9">
        <f>'Rec Statements'!D67</f>
        <v>476635.35</v>
      </c>
      <c r="M6" s="9">
        <f>'Rec Statements'!D69</f>
        <v>0</v>
      </c>
      <c r="N6">
        <f>COUNTIFS('Bank Lines'!$B$5:$B$1640,"OPS",'Bank Lines'!$C$5:$C$1640,"&gt;="&amp;Cover!$B$14,'Bank Lines'!$C$5:$C$1640,"&lt;="&amp;Cover!$C$14,'Bank Lines'!$J$5:$J$1640,1)</f>
        <v>260</v>
      </c>
      <c r="O6">
        <f>COUNTIFS('Bank Lines'!$B$5:$B$1640,"OPS",'Bank Lines'!$C$5:$C$1640,"&gt;="&amp;Cover!$B$14,'Bank Lines'!$C$5:$C$1640,"&lt;="&amp;Cover!$C$14,'Bank Lines'!$J$5:$J$1640,1,'Bank Lines'!$H$5:$H$1640,"&lt;&gt;R99")</f>
        <v>259</v>
      </c>
      <c r="P6" s="10">
        <f>IF(N6=0,0,O6/N6)</f>
        <v>0.996153846153846</v>
      </c>
      <c r="Q6">
        <f>COUNTIFS(Exceptions!$B$5:$B$208,"OPS",Exceptions!$N$5:$N$208,"2026-08")</f>
        <v>66</v>
      </c>
      <c r="R6">
        <f>COUNTIFS(Exceptions!$B$5:$B$208,"OPS",Exceptions!$N$5:$N$208,"2026-08",Exceptions!$F$5:$F$208,"Escalated")</f>
        <v>1</v>
      </c>
      <c r="S6" t="str">
        <f>IF(ABS(M6)&gt;=0.005,"CHECK: difference",IF(R6&gt;0,"Reconciled, escalations open",IF(Q6&gt;0,"Reconciled, journals proposed","Reconciled")))</f>
        <v>Reconciled, escalations open</v>
      </c>
    </row>
    <row r="7">
      <c r="A7" t="inlineStr">
        <is>
          <t>OPS</t>
        </is>
      </c>
      <c r="B7" t="inlineStr">
        <is>
          <t>AUD</t>
        </is>
      </c>
      <c r="C7" t="inlineStr">
        <is>
          <t>Sep 2026</t>
        </is>
      </c>
      <c r="D7" s="9">
        <f>'Rec Statements'!D74</f>
        <v>549048.87</v>
      </c>
      <c r="E7" s="9">
        <f>'Rec Statements'!C75</f>
        <v>8420</v>
      </c>
      <c r="F7" s="9">
        <f>'Rec Statements'!C76</f>
        <v>-286</v>
      </c>
      <c r="G7" s="9">
        <f>'Rec Statements'!D77</f>
        <v>557182.87</v>
      </c>
      <c r="H7" s="9">
        <f>'Rec Statements'!D79</f>
        <v>465755.94</v>
      </c>
      <c r="I7" s="9">
        <f>SUM('Rec Statements'!C81:C92)</f>
        <v>96837.34</v>
      </c>
      <c r="J7" s="9">
        <f>SUM('Rec Statements'!C94:C99)</f>
        <v>-4934.24</v>
      </c>
      <c r="K7" s="9">
        <f>'Rec Statements'!C100</f>
        <v>-476.17</v>
      </c>
      <c r="L7" s="9">
        <f>'Rec Statements'!D101</f>
        <v>557182.87</v>
      </c>
      <c r="M7" s="9">
        <f>'Rec Statements'!D103</f>
        <v>0</v>
      </c>
      <c r="N7">
        <f>COUNTIFS('Bank Lines'!$B$5:$B$1640,"OPS",'Bank Lines'!$C$5:$C$1640,"&gt;="&amp;Cover!$B$15,'Bank Lines'!$C$5:$C$1640,"&lt;="&amp;Cover!$C$15,'Bank Lines'!$J$5:$J$1640,1)</f>
        <v>271</v>
      </c>
      <c r="O7">
        <f>COUNTIFS('Bank Lines'!$B$5:$B$1640,"OPS",'Bank Lines'!$C$5:$C$1640,"&gt;="&amp;Cover!$B$15,'Bank Lines'!$C$5:$C$1640,"&lt;="&amp;Cover!$C$15,'Bank Lines'!$J$5:$J$1640,1,'Bank Lines'!$H$5:$H$1640,"&lt;&gt;R99")</f>
        <v>269</v>
      </c>
      <c r="P7" s="10">
        <f>IF(N7=0,0,O7/N7)</f>
        <v>0.992619926199262</v>
      </c>
      <c r="Q7">
        <f>COUNTIFS(Exceptions!$B$5:$B$208,"OPS",Exceptions!$N$5:$N$208,"2026-09")</f>
        <v>59</v>
      </c>
      <c r="R7">
        <f>COUNTIFS(Exceptions!$B$5:$B$208,"OPS",Exceptions!$N$5:$N$208,"2026-09",Exceptions!$F$5:$F$208,"Escalated")</f>
        <v>2</v>
      </c>
      <c r="S7" t="str">
        <f>IF(ABS(M7)&gt;=0.005,"CHECK: difference",IF(R7&gt;0,"Reconciled, escalations open",IF(Q7&gt;0,"Reconciled, journals proposed","Reconciled")))</f>
        <v>Reconciled, escalations open</v>
      </c>
    </row>
    <row r="8">
      <c r="A8" t="inlineStr">
        <is>
          <t>PAY</t>
        </is>
      </c>
      <c r="B8" t="inlineStr">
        <is>
          <t>AUD</t>
        </is>
      </c>
      <c r="C8" t="inlineStr">
        <is>
          <t>Jul 2026</t>
        </is>
      </c>
      <c r="D8" s="9">
        <f>'Rec Statements'!D108</f>
        <v>45418.23</v>
      </c>
      <c r="E8" s="9">
        <f>'Rec Statements'!C109</f>
        <v>0</v>
      </c>
      <c r="F8" s="9">
        <f>'Rec Statements'!C110</f>
        <v>0</v>
      </c>
      <c r="G8" s="9">
        <f>'Rec Statements'!D111</f>
        <v>45418.23</v>
      </c>
      <c r="H8" s="9">
        <f>'Rec Statements'!D113</f>
        <v>45428.23</v>
      </c>
      <c r="I8" s="9">
        <f>SUM('Rec Statements'!C115:C126)</f>
        <v>-10</v>
      </c>
      <c r="J8" s="9">
        <f>SUM('Rec Statements'!C128:C133)</f>
        <v>0</v>
      </c>
      <c r="K8" s="9">
        <f>'Rec Statements'!C134</f>
        <v>0</v>
      </c>
      <c r="L8" s="9">
        <f>'Rec Statements'!D135</f>
        <v>45418.23</v>
      </c>
      <c r="M8" s="9">
        <f>'Rec Statements'!D137</f>
        <v>0</v>
      </c>
      <c r="N8">
        <f>COUNTIFS('Bank Lines'!$B$5:$B$1640,"PAY",'Bank Lines'!$C$5:$C$1640,"&gt;="&amp;Cover!$B$13,'Bank Lines'!$C$5:$C$1640,"&lt;="&amp;Cover!$C$13,'Bank Lines'!$J$5:$J$1640,1)</f>
        <v>175</v>
      </c>
      <c r="O8">
        <f>COUNTIFS('Bank Lines'!$B$5:$B$1640,"PAY",'Bank Lines'!$C$5:$C$1640,"&gt;="&amp;Cover!$B$13,'Bank Lines'!$C$5:$C$1640,"&lt;="&amp;Cover!$C$13,'Bank Lines'!$J$5:$J$1640,1,'Bank Lines'!$H$5:$H$1640,"&lt;&gt;R99")</f>
        <v>175</v>
      </c>
      <c r="P8" s="10">
        <f>IF(N8=0,0,O8/N8)</f>
        <v>1</v>
      </c>
      <c r="Q8">
        <f>COUNTIFS(Exceptions!$B$5:$B$208,"PAY",Exceptions!$N$5:$N$208,"2026-07")</f>
        <v>1</v>
      </c>
      <c r="R8">
        <f>COUNTIFS(Exceptions!$B$5:$B$208,"PAY",Exceptions!$N$5:$N$208,"2026-07",Exceptions!$F$5:$F$208,"Escalated")</f>
        <v>0</v>
      </c>
      <c r="S8" t="str">
        <f>IF(ABS(M8)&gt;=0.005,"CHECK: difference",IF(R8&gt;0,"Reconciled, escalations open",IF(Q8&gt;0,"Reconciled, journals proposed","Reconciled")))</f>
        <v>Reconciled, journals proposed</v>
      </c>
    </row>
    <row r="9">
      <c r="A9" t="inlineStr">
        <is>
          <t>PAY</t>
        </is>
      </c>
      <c r="B9" t="inlineStr">
        <is>
          <t>AUD</t>
        </is>
      </c>
      <c r="C9" t="inlineStr">
        <is>
          <t>Aug 2026</t>
        </is>
      </c>
      <c r="D9" s="9">
        <f>'Rec Statements'!D142</f>
        <v>24980</v>
      </c>
      <c r="E9" s="9">
        <f>'Rec Statements'!C143</f>
        <v>0</v>
      </c>
      <c r="F9" s="9">
        <f>'Rec Statements'!C144</f>
        <v>0</v>
      </c>
      <c r="G9" s="9">
        <f>'Rec Statements'!D145</f>
        <v>24980</v>
      </c>
      <c r="H9" s="9">
        <f>'Rec Statements'!D147</f>
        <v>25000</v>
      </c>
      <c r="I9" s="9">
        <f>SUM('Rec Statements'!C149:C160)</f>
        <v>-20</v>
      </c>
      <c r="J9" s="9">
        <f>SUM('Rec Statements'!C162:C167)</f>
        <v>0</v>
      </c>
      <c r="K9" s="9">
        <f>'Rec Statements'!C168</f>
        <v>0</v>
      </c>
      <c r="L9" s="9">
        <f>'Rec Statements'!D169</f>
        <v>24980</v>
      </c>
      <c r="M9" s="9">
        <f>'Rec Statements'!D171</f>
        <v>0</v>
      </c>
      <c r="N9">
        <f>COUNTIFS('Bank Lines'!$B$5:$B$1640,"PAY",'Bank Lines'!$C$5:$C$1640,"&gt;="&amp;Cover!$B$14,'Bank Lines'!$C$5:$C$1640,"&lt;="&amp;Cover!$C$14,'Bank Lines'!$J$5:$J$1640,1)</f>
        <v>121</v>
      </c>
      <c r="O9">
        <f>COUNTIFS('Bank Lines'!$B$5:$B$1640,"PAY",'Bank Lines'!$C$5:$C$1640,"&gt;="&amp;Cover!$B$14,'Bank Lines'!$C$5:$C$1640,"&lt;="&amp;Cover!$C$14,'Bank Lines'!$J$5:$J$1640,1,'Bank Lines'!$H$5:$H$1640,"&lt;&gt;R99")</f>
        <v>121</v>
      </c>
      <c r="P9" s="10">
        <f>IF(N9=0,0,O9/N9)</f>
        <v>1</v>
      </c>
      <c r="Q9">
        <f>COUNTIFS(Exceptions!$B$5:$B$208,"PAY",Exceptions!$N$5:$N$208,"2026-08")</f>
        <v>2</v>
      </c>
      <c r="R9">
        <f>COUNTIFS(Exceptions!$B$5:$B$208,"PAY",Exceptions!$N$5:$N$208,"2026-08",Exceptions!$F$5:$F$208,"Escalated")</f>
        <v>0</v>
      </c>
      <c r="S9" t="str">
        <f>IF(ABS(M9)&gt;=0.005,"CHECK: difference",IF(R9&gt;0,"Reconciled, escalations open",IF(Q9&gt;0,"Reconciled, journals proposed","Reconciled")))</f>
        <v>Reconciled, journals proposed</v>
      </c>
    </row>
    <row r="10">
      <c r="A10" t="inlineStr">
        <is>
          <t>PAY</t>
        </is>
      </c>
      <c r="B10" t="inlineStr">
        <is>
          <t>AUD</t>
        </is>
      </c>
      <c r="C10" t="inlineStr">
        <is>
          <t>Sep 2026</t>
        </is>
      </c>
      <c r="D10" s="9">
        <f>'Rec Statements'!D176</f>
        <v>45511.3</v>
      </c>
      <c r="E10" s="9">
        <f>'Rec Statements'!C177</f>
        <v>0</v>
      </c>
      <c r="F10" s="9">
        <f>'Rec Statements'!C178</f>
        <v>-20541.3</v>
      </c>
      <c r="G10" s="9">
        <f>'Rec Statements'!D179</f>
        <v>24970</v>
      </c>
      <c r="H10" s="9">
        <f>'Rec Statements'!D181</f>
        <v>25000</v>
      </c>
      <c r="I10" s="9">
        <f>SUM('Rec Statements'!C183:C194)</f>
        <v>-30</v>
      </c>
      <c r="J10" s="9">
        <f>SUM('Rec Statements'!C196:C201)</f>
        <v>0</v>
      </c>
      <c r="K10" s="9">
        <f>'Rec Statements'!C202</f>
        <v>0</v>
      </c>
      <c r="L10" s="9">
        <f>'Rec Statements'!D203</f>
        <v>24970</v>
      </c>
      <c r="M10" s="9">
        <f>'Rec Statements'!D205</f>
        <v>0</v>
      </c>
      <c r="N10">
        <f>COUNTIFS('Bank Lines'!$B$5:$B$1640,"PAY",'Bank Lines'!$C$5:$C$1640,"&gt;="&amp;Cover!$B$15,'Bank Lines'!$C$5:$C$1640,"&lt;="&amp;Cover!$C$15,'Bank Lines'!$J$5:$J$1640,1)</f>
        <v>117</v>
      </c>
      <c r="O10">
        <f>COUNTIFS('Bank Lines'!$B$5:$B$1640,"PAY",'Bank Lines'!$C$5:$C$1640,"&gt;="&amp;Cover!$B$15,'Bank Lines'!$C$5:$C$1640,"&lt;="&amp;Cover!$C$15,'Bank Lines'!$J$5:$J$1640,1,'Bank Lines'!$H$5:$H$1640,"&lt;&gt;R99")</f>
        <v>117</v>
      </c>
      <c r="P10" s="10">
        <f>IF(N10=0,0,O10/N10)</f>
        <v>1</v>
      </c>
      <c r="Q10">
        <f>COUNTIFS(Exceptions!$B$5:$B$208,"PAY",Exceptions!$N$5:$N$208,"2026-09")</f>
        <v>1</v>
      </c>
      <c r="R10">
        <f>COUNTIFS(Exceptions!$B$5:$B$208,"PAY",Exceptions!$N$5:$N$208,"2026-09",Exceptions!$F$5:$F$208,"Escalated")</f>
        <v>0</v>
      </c>
      <c r="S10" t="str">
        <f>IF(ABS(M10)&gt;=0.005,"CHECK: difference",IF(R10&gt;0,"Reconciled, escalations open",IF(Q10&gt;0,"Reconciled, journals proposed","Reconciled")))</f>
        <v>Reconciled, journals proposed</v>
      </c>
    </row>
    <row r="11">
      <c r="A11" t="inlineStr">
        <is>
          <t>MER</t>
        </is>
      </c>
      <c r="B11" t="inlineStr">
        <is>
          <t>AUD</t>
        </is>
      </c>
      <c r="C11" t="inlineStr">
        <is>
          <t>Jul 2026</t>
        </is>
      </c>
      <c r="D11" s="9">
        <f>'Rec Statements'!D210</f>
        <v>122987.04</v>
      </c>
      <c r="E11" s="9">
        <f>'Rec Statements'!C211</f>
        <v>5910.32</v>
      </c>
      <c r="F11" s="9">
        <f>'Rec Statements'!C212</f>
        <v>0</v>
      </c>
      <c r="G11" s="9">
        <f>'Rec Statements'!D213</f>
        <v>128897.36</v>
      </c>
      <c r="H11" s="9">
        <f>'Rec Statements'!D215</f>
        <v>131100.4</v>
      </c>
      <c r="I11" s="9">
        <f>SUM('Rec Statements'!C217:C228)</f>
        <v>-2203.04</v>
      </c>
      <c r="J11" s="9">
        <f>SUM('Rec Statements'!C230:C235)</f>
        <v>0</v>
      </c>
      <c r="K11" s="9">
        <f>'Rec Statements'!C236</f>
        <v>0</v>
      </c>
      <c r="L11" s="9">
        <f>'Rec Statements'!D237</f>
        <v>128897.36</v>
      </c>
      <c r="M11" s="9">
        <f>'Rec Statements'!D239</f>
        <v>0</v>
      </c>
      <c r="N11">
        <f>COUNTIFS('Bank Lines'!$B$5:$B$1640,"MER",'Bank Lines'!$C$5:$C$1640,"&gt;="&amp;Cover!$B$13,'Bank Lines'!$C$5:$C$1640,"&lt;="&amp;Cover!$C$13,'Bank Lines'!$J$5:$J$1640,1)</f>
        <v>113</v>
      </c>
      <c r="O11">
        <f>COUNTIFS('Bank Lines'!$B$5:$B$1640,"MER",'Bank Lines'!$C$5:$C$1640,"&gt;="&amp;Cover!$B$13,'Bank Lines'!$C$5:$C$1640,"&lt;="&amp;Cover!$C$13,'Bank Lines'!$J$5:$J$1640,1,'Bank Lines'!$H$5:$H$1640,"&lt;&gt;R99")</f>
        <v>113</v>
      </c>
      <c r="P11" s="10">
        <f>IF(N11=0,0,O11/N11)</f>
        <v>1</v>
      </c>
      <c r="Q11">
        <f>COUNTIFS(Exceptions!$B$5:$B$208,"MER",Exceptions!$N$5:$N$208,"2026-07")</f>
        <v>1</v>
      </c>
      <c r="R11">
        <f>COUNTIFS(Exceptions!$B$5:$B$208,"MER",Exceptions!$N$5:$N$208,"2026-07",Exceptions!$F$5:$F$208,"Escalated")</f>
        <v>0</v>
      </c>
      <c r="S11" t="str">
        <f>IF(ABS(M11)&gt;=0.005,"CHECK: difference",IF(R11&gt;0,"Reconciled, escalations open",IF(Q11&gt;0,"Reconciled, journals proposed","Reconciled")))</f>
        <v>Reconciled, journals proposed</v>
      </c>
    </row>
    <row r="12">
      <c r="A12" t="inlineStr">
        <is>
          <t>MER</t>
        </is>
      </c>
      <c r="B12" t="inlineStr">
        <is>
          <t>AUD</t>
        </is>
      </c>
      <c r="C12" t="inlineStr">
        <is>
          <t>Aug 2026</t>
        </is>
      </c>
      <c r="D12" s="9">
        <f>'Rec Statements'!D244</f>
        <v>189278.63</v>
      </c>
      <c r="E12" s="9">
        <f>'Rec Statements'!C245</f>
        <v>8019.44</v>
      </c>
      <c r="F12" s="9">
        <f>'Rec Statements'!C246</f>
        <v>0</v>
      </c>
      <c r="G12" s="9">
        <f>'Rec Statements'!D247</f>
        <v>197298.07</v>
      </c>
      <c r="H12" s="9">
        <f>'Rec Statements'!D249</f>
        <v>202048</v>
      </c>
      <c r="I12" s="9">
        <f>SUM('Rec Statements'!C251:C262)</f>
        <v>-4629.93</v>
      </c>
      <c r="J12" s="9">
        <f>SUM('Rec Statements'!C264:C269)</f>
        <v>-120</v>
      </c>
      <c r="K12" s="9">
        <f>'Rec Statements'!C270</f>
        <v>0</v>
      </c>
      <c r="L12" s="9">
        <f>'Rec Statements'!D271</f>
        <v>197298.07</v>
      </c>
      <c r="M12" s="9">
        <f>'Rec Statements'!D273</f>
        <v>0</v>
      </c>
      <c r="N12">
        <f>COUNTIFS('Bank Lines'!$B$5:$B$1640,"MER",'Bank Lines'!$C$5:$C$1640,"&gt;="&amp;Cover!$B$14,'Bank Lines'!$C$5:$C$1640,"&lt;="&amp;Cover!$C$14,'Bank Lines'!$J$5:$J$1640,1)</f>
        <v>111</v>
      </c>
      <c r="O12">
        <f>COUNTIFS('Bank Lines'!$B$5:$B$1640,"MER",'Bank Lines'!$C$5:$C$1640,"&gt;="&amp;Cover!$B$14,'Bank Lines'!$C$5:$C$1640,"&lt;="&amp;Cover!$C$14,'Bank Lines'!$J$5:$J$1640,1,'Bank Lines'!$H$5:$H$1640,"&lt;&gt;R99")</f>
        <v>111</v>
      </c>
      <c r="P12" s="10">
        <f>IF(N12=0,0,O12/N12)</f>
        <v>1</v>
      </c>
      <c r="Q12">
        <f>COUNTIFS(Exceptions!$B$5:$B$208,"MER",Exceptions!$N$5:$N$208,"2026-08")</f>
        <v>3</v>
      </c>
      <c r="R12">
        <f>COUNTIFS(Exceptions!$B$5:$B$208,"MER",Exceptions!$N$5:$N$208,"2026-08",Exceptions!$F$5:$F$208,"Escalated")</f>
        <v>0</v>
      </c>
      <c r="S12" t="str">
        <f>IF(ABS(M12)&gt;=0.005,"CHECK: difference",IF(R12&gt;0,"Reconciled, escalations open",IF(Q12&gt;0,"Reconciled, journals proposed","Reconciled")))</f>
        <v>Reconciled, journals proposed</v>
      </c>
    </row>
    <row r="13">
      <c r="A13" t="inlineStr">
        <is>
          <t>MER</t>
        </is>
      </c>
      <c r="B13" t="inlineStr">
        <is>
          <t>AUD</t>
        </is>
      </c>
      <c r="C13" t="inlineStr">
        <is>
          <t>Sep 2026</t>
        </is>
      </c>
      <c r="D13" s="9">
        <f>'Rec Statements'!D278</f>
        <v>319969.33</v>
      </c>
      <c r="E13" s="9">
        <f>'Rec Statements'!C279</f>
        <v>9173.55</v>
      </c>
      <c r="F13" s="9">
        <f>'Rec Statements'!C280</f>
        <v>0</v>
      </c>
      <c r="G13" s="9">
        <f>'Rec Statements'!D281</f>
        <v>329142.88</v>
      </c>
      <c r="H13" s="9">
        <f>'Rec Statements'!D283</f>
        <v>336243.02</v>
      </c>
      <c r="I13" s="9">
        <f>SUM('Rec Statements'!C285:C296)</f>
        <v>-6860.14</v>
      </c>
      <c r="J13" s="9">
        <f>SUM('Rec Statements'!C298:C303)</f>
        <v>-240</v>
      </c>
      <c r="K13" s="9">
        <f>'Rec Statements'!C304</f>
        <v>0</v>
      </c>
      <c r="L13" s="9">
        <f>'Rec Statements'!D305</f>
        <v>329142.88</v>
      </c>
      <c r="M13" s="9">
        <f>'Rec Statements'!D307</f>
        <v>0</v>
      </c>
      <c r="N13">
        <f>COUNTIFS('Bank Lines'!$B$5:$B$1640,"MER",'Bank Lines'!$C$5:$C$1640,"&gt;="&amp;Cover!$B$15,'Bank Lines'!$C$5:$C$1640,"&lt;="&amp;Cover!$C$15,'Bank Lines'!$J$5:$J$1640,1)</f>
        <v>110</v>
      </c>
      <c r="O13">
        <f>COUNTIFS('Bank Lines'!$B$5:$B$1640,"MER",'Bank Lines'!$C$5:$C$1640,"&gt;="&amp;Cover!$B$15,'Bank Lines'!$C$5:$C$1640,"&lt;="&amp;Cover!$C$15,'Bank Lines'!$J$5:$J$1640,1,'Bank Lines'!$H$5:$H$1640,"&lt;&gt;R99")</f>
        <v>109</v>
      </c>
      <c r="P13" s="10">
        <f>IF(N13=0,0,O13/N13)</f>
        <v>0.990909090909091</v>
      </c>
      <c r="Q13">
        <f>COUNTIFS(Exceptions!$B$5:$B$208,"MER",Exceptions!$N$5:$N$208,"2026-09")</f>
        <v>3</v>
      </c>
      <c r="R13">
        <f>COUNTIFS(Exceptions!$B$5:$B$208,"MER",Exceptions!$N$5:$N$208,"2026-09",Exceptions!$F$5:$F$208,"Escalated")</f>
        <v>1</v>
      </c>
      <c r="S13" t="str">
        <f>IF(ABS(M13)&gt;=0.005,"CHECK: difference",IF(R13&gt;0,"Reconciled, escalations open",IF(Q13&gt;0,"Reconciled, journals proposed","Reconciled")))</f>
        <v>Reconciled, escalations open</v>
      </c>
    </row>
    <row r="14">
      <c r="A14" t="inlineStr">
        <is>
          <t>USD</t>
        </is>
      </c>
      <c r="B14" t="inlineStr">
        <is>
          <t>USD</t>
        </is>
      </c>
      <c r="C14" t="inlineStr">
        <is>
          <t>Jul 2026</t>
        </is>
      </c>
      <c r="D14" s="9">
        <f>'Rec Statements'!D312</f>
        <v>52722</v>
      </c>
      <c r="E14" s="9">
        <f>'Rec Statements'!C313</f>
        <v>0</v>
      </c>
      <c r="F14" s="9">
        <f>'Rec Statements'!C314</f>
        <v>0</v>
      </c>
      <c r="G14" s="9">
        <f>'Rec Statements'!D315</f>
        <v>52722</v>
      </c>
      <c r="H14" s="9">
        <f>'Rec Statements'!D317</f>
        <v>52800</v>
      </c>
      <c r="I14" s="9">
        <f>SUM('Rec Statements'!C319:C330)</f>
        <v>-60</v>
      </c>
      <c r="J14" s="9">
        <f>SUM('Rec Statements'!C332:C337)</f>
        <v>-18</v>
      </c>
      <c r="K14" s="9">
        <f>'Rec Statements'!C338</f>
        <v>0</v>
      </c>
      <c r="L14" s="9">
        <f>'Rec Statements'!D339</f>
        <v>52722</v>
      </c>
      <c r="M14" s="9">
        <f>'Rec Statements'!D341</f>
        <v>0</v>
      </c>
      <c r="N14">
        <f>COUNTIFS('Bank Lines'!$B$5:$B$1640,"USD",'Bank Lines'!$C$5:$C$1640,"&gt;="&amp;Cover!$B$13,'Bank Lines'!$C$5:$C$1640,"&lt;="&amp;Cover!$C$13,'Bank Lines'!$J$5:$J$1640,1)</f>
        <v>10</v>
      </c>
      <c r="O14">
        <f>COUNTIFS('Bank Lines'!$B$5:$B$1640,"USD",'Bank Lines'!$C$5:$C$1640,"&gt;="&amp;Cover!$B$13,'Bank Lines'!$C$5:$C$1640,"&lt;="&amp;Cover!$C$13,'Bank Lines'!$J$5:$J$1640,1,'Bank Lines'!$H$5:$H$1640,"&lt;&gt;R99")</f>
        <v>10</v>
      </c>
      <c r="P14" s="10">
        <f>IF(N14=0,0,O14/N14)</f>
        <v>1</v>
      </c>
      <c r="Q14">
        <f>COUNTIFS(Exceptions!$B$5:$B$208,"USD",Exceptions!$N$5:$N$208,"2026-07")</f>
        <v>5</v>
      </c>
      <c r="R14">
        <f>COUNTIFS(Exceptions!$B$5:$B$208,"USD",Exceptions!$N$5:$N$208,"2026-07",Exceptions!$F$5:$F$208,"Escalated")</f>
        <v>0</v>
      </c>
      <c r="S14" t="str">
        <f>IF(ABS(M14)&gt;=0.005,"CHECK: difference",IF(R14&gt;0,"Reconciled, escalations open",IF(Q14&gt;0,"Reconciled, journals proposed","Reconciled")))</f>
        <v>Reconciled, journals proposed</v>
      </c>
    </row>
    <row r="15">
      <c r="A15" t="inlineStr">
        <is>
          <t>USD</t>
        </is>
      </c>
      <c r="B15" t="inlineStr">
        <is>
          <t>USD</t>
        </is>
      </c>
      <c r="C15" t="inlineStr">
        <is>
          <t>Aug 2026</t>
        </is>
      </c>
      <c r="D15" s="9">
        <f>'Rec Statements'!D346</f>
        <v>63264</v>
      </c>
      <c r="E15" s="9">
        <f>'Rec Statements'!C347</f>
        <v>0</v>
      </c>
      <c r="F15" s="9">
        <f>'Rec Statements'!C348</f>
        <v>0</v>
      </c>
      <c r="G15" s="9">
        <f>'Rec Statements'!D349</f>
        <v>63264</v>
      </c>
      <c r="H15" s="9">
        <f>'Rec Statements'!D351</f>
        <v>63420</v>
      </c>
      <c r="I15" s="9">
        <f>SUM('Rec Statements'!C353:C364)</f>
        <v>-120</v>
      </c>
      <c r="J15" s="9">
        <f>SUM('Rec Statements'!C366:C371)</f>
        <v>-36</v>
      </c>
      <c r="K15" s="9">
        <f>'Rec Statements'!C372</f>
        <v>0</v>
      </c>
      <c r="L15" s="9">
        <f>'Rec Statements'!D373</f>
        <v>63264</v>
      </c>
      <c r="M15" s="9">
        <f>'Rec Statements'!D375</f>
        <v>0</v>
      </c>
      <c r="N15">
        <f>COUNTIFS('Bank Lines'!$B$5:$B$1640,"USD",'Bank Lines'!$C$5:$C$1640,"&gt;="&amp;Cover!$B$14,'Bank Lines'!$C$5:$C$1640,"&lt;="&amp;Cover!$C$14,'Bank Lines'!$J$5:$J$1640,1)</f>
        <v>10</v>
      </c>
      <c r="O15">
        <f>COUNTIFS('Bank Lines'!$B$5:$B$1640,"USD",'Bank Lines'!$C$5:$C$1640,"&gt;="&amp;Cover!$B$14,'Bank Lines'!$C$5:$C$1640,"&lt;="&amp;Cover!$C$14,'Bank Lines'!$J$5:$J$1640,1,'Bank Lines'!$H$5:$H$1640,"&lt;&gt;R99")</f>
        <v>10</v>
      </c>
      <c r="P15" s="10">
        <f>IF(N15=0,0,O15/N15)</f>
        <v>1</v>
      </c>
      <c r="Q15">
        <f>COUNTIFS(Exceptions!$B$5:$B$208,"USD",Exceptions!$N$5:$N$208,"2026-08")</f>
        <v>5</v>
      </c>
      <c r="R15">
        <f>COUNTIFS(Exceptions!$B$5:$B$208,"USD",Exceptions!$N$5:$N$208,"2026-08",Exceptions!$F$5:$F$208,"Escalated")</f>
        <v>0</v>
      </c>
      <c r="S15" t="str">
        <f>IF(ABS(M15)&gt;=0.005,"CHECK: difference",IF(R15&gt;0,"Reconciled, escalations open",IF(Q15&gt;0,"Reconciled, journals proposed","Reconciled")))</f>
        <v>Reconciled, journals proposed</v>
      </c>
    </row>
    <row r="16">
      <c r="A16" t="inlineStr">
        <is>
          <t>USD</t>
        </is>
      </c>
      <c r="B16" t="inlineStr">
        <is>
          <t>USD</t>
        </is>
      </c>
      <c r="C16" t="inlineStr">
        <is>
          <t>Sep 2026</t>
        </is>
      </c>
      <c r="D16" s="9">
        <f>'Rec Statements'!D380</f>
        <v>75006</v>
      </c>
      <c r="E16" s="9">
        <f>'Rec Statements'!C381</f>
        <v>5000</v>
      </c>
      <c r="F16" s="9">
        <f>'Rec Statements'!C382</f>
        <v>0</v>
      </c>
      <c r="G16" s="9">
        <f>'Rec Statements'!D383</f>
        <v>80006</v>
      </c>
      <c r="H16" s="9">
        <f>'Rec Statements'!D385</f>
        <v>79040</v>
      </c>
      <c r="I16" s="9">
        <f>SUM('Rec Statements'!C387:C398)</f>
        <v>1020</v>
      </c>
      <c r="J16" s="9">
        <f>SUM('Rec Statements'!C400:C405)</f>
        <v>-54</v>
      </c>
      <c r="K16" s="9">
        <f>'Rec Statements'!C406</f>
        <v>0</v>
      </c>
      <c r="L16" s="9">
        <f>'Rec Statements'!D407</f>
        <v>80006</v>
      </c>
      <c r="M16" s="9">
        <f>'Rec Statements'!D409</f>
        <v>0</v>
      </c>
      <c r="N16">
        <f>COUNTIFS('Bank Lines'!$B$5:$B$1640,"USD",'Bank Lines'!$C$5:$C$1640,"&gt;="&amp;Cover!$B$15,'Bank Lines'!$C$5:$C$1640,"&lt;="&amp;Cover!$C$15,'Bank Lines'!$J$5:$J$1640,1)</f>
        <v>11</v>
      </c>
      <c r="O16">
        <f>COUNTIFS('Bank Lines'!$B$5:$B$1640,"USD",'Bank Lines'!$C$5:$C$1640,"&gt;="&amp;Cover!$B$15,'Bank Lines'!$C$5:$C$1640,"&lt;="&amp;Cover!$C$15,'Bank Lines'!$J$5:$J$1640,1,'Bank Lines'!$H$5:$H$1640,"&lt;&gt;R99")</f>
        <v>10</v>
      </c>
      <c r="P16" s="10">
        <f>IF(N16=0,0,O16/N16)</f>
        <v>0.909090909090909</v>
      </c>
      <c r="Q16">
        <f>COUNTIFS(Exceptions!$B$5:$B$208,"USD",Exceptions!$N$5:$N$208,"2026-09")</f>
        <v>6</v>
      </c>
      <c r="R16">
        <f>COUNTIFS(Exceptions!$B$5:$B$208,"USD",Exceptions!$N$5:$N$208,"2026-09",Exceptions!$F$5:$F$208,"Escalated")</f>
        <v>1</v>
      </c>
      <c r="S16" t="str">
        <f>IF(ABS(M16)&gt;=0.005,"CHECK: difference",IF(R16&gt;0,"Reconciled, escalations open",IF(Q16&gt;0,"Reconciled, journals proposed","Reconciled")))</f>
        <v>Reconciled, escalations open</v>
      </c>
    </row>
    <row r="17">
      <c r="C17" s="4" t="inlineStr">
        <is>
          <t>Total lines</t>
        </is>
      </c>
      <c r="N17">
        <f>SUM(N5:N16)</f>
        <v>1623</v>
      </c>
      <c r="O17">
        <f>SUM(O5:O16)</f>
        <v>1618</v>
      </c>
      <c r="P17" s="10">
        <f>IF(N17=0,0,O17/N17)</f>
        <v>0.996919285274184</v>
      </c>
      <c r="Q17">
        <f>SUM(Q5:Q16)</f>
        <v>203</v>
      </c>
      <c r="R17">
        <f>SUM(R5:R16)</f>
        <v>5</v>
      </c>
    </row>
    <row r="19">
      <c r="B19" s="4" t="inlineStr">
        <is>
          <t>Controls passed</t>
        </is>
      </c>
      <c r="D19" t="str">
        <f>COUNTIF(Controls!$D$5:$D$60,"PASS")&amp;" of "&amp;(COUNTIF(Controls!$D$5:$D$60,"PASS")+COUNTIF(Controls!$D$5:$D$60,"FAIL"))</f>
        <v>28 of 28</v>
      </c>
    </row>
    <row r="20">
      <c r="B20" s="4" t="inlineStr">
        <is>
          <t>Prepared by</t>
        </is>
      </c>
      <c r="D20" t="inlineStr">
        <is>
          <t>Manaz Afzal</t>
        </is>
      </c>
    </row>
    <row r="21">
      <c r="B21" s="4" t="inlineStr">
        <is>
          <t>Prepared on</t>
        </is>
      </c>
      <c r="D21" s="11" t="inlineStr"/>
    </row>
    <row r="22">
      <c r="B22" s="4" t="inlineStr">
        <is>
          <t>Reviewed by</t>
        </is>
      </c>
      <c r="D22" s="11" t="inlineStr"/>
    </row>
    <row r="23">
      <c r="B23" s="4" t="inlineStr">
        <is>
          <t>Reviewed on</t>
        </is>
      </c>
      <c r="D23" s="11" t="inlineStr"/>
    </row>
    <row r="24">
      <c r="B24" s="4" t="inlineStr">
        <is>
          <t>Approved for month-end close</t>
        </is>
      </c>
      <c r="D24" s="11" t="inlineStr"/>
    </row>
  </sheetData>
  <conditionalFormatting sqref="M5:M16">
    <cfRule type="cellIs" priority="1" operator="notEqual" dxfId="0">
      <formula>0</formula>
    </cfRule>
    <cfRule type="cellIs" priority="2" operator="equal" dxfId="1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" customWidth="1" min="1" max="1"/>
    <col width="62" customWidth="1" min="2" max="2"/>
    <col width="16" customWidth="1" min="3" max="3"/>
    <col width="16" customWidth="1" min="4" max="4"/>
    <col width="40" customWidth="1" min="5" max="5"/>
  </cols>
  <sheetData>
    <row r="1">
      <c r="A1" s="7" t="inlineStr">
        <is>
          <t>Bank reconciliation statements, by account and month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/>
    <row r="5">
      <c r="B5" s="12" t="inlineStr">
        <is>
          <t>Operating account (OPS, AUD)  ·  month ending 31 Jul 2026</t>
        </is>
      </c>
      <c r="C5" s="2" t="n"/>
      <c r="D5" s="2" t="n"/>
      <c r="E5" s="2" t="n"/>
    </row>
    <row r="6">
      <c r="B6" s="4" t="inlineStr">
        <is>
          <t>Balance per bank statement</t>
        </is>
      </c>
      <c r="D6" s="13">
        <f>SUMIFS('Statement Balances'!$F$5:$F$16,'Statement Balances'!$A$5:$A$16,"OPS",'Statement Balances'!$D$5:$D$16,Cover!$C$13)</f>
        <v>359787.03</v>
      </c>
      <c r="E6" s="14" t="inlineStr">
        <is>
          <t>Statement Balances</t>
        </is>
      </c>
    </row>
    <row r="7">
      <c r="B7" s="15" t="inlineStr">
        <is>
          <t xml:space="preserve">    Add: deposits in transit (in Odoo, not yet on the statement)</t>
        </is>
      </c>
      <c r="C7" s="9">
        <f>SUMIFS('Match Groups'!$N$5:$N$1326,'Match Groups'!$B$5:$B$1326,"OPS",'Match Groups'!$Q$5:$Q$1326,"ODOO-ONLY",'Match Groups'!$N$5:$N$1326,"&gt;0",'Match Groups'!$D$5:$D$1326,"&lt;&gt;DUPL")</f>
        <v>6340</v>
      </c>
      <c r="E7" s="14" t="inlineStr">
        <is>
          <t>Match Groups: Odoo-only, receipts</t>
        </is>
      </c>
    </row>
    <row r="8">
      <c r="B8" s="15" t="inlineStr">
        <is>
          <t xml:space="preserve">    Less: unpresented payments (in Odoo, not yet on the statement)</t>
        </is>
      </c>
      <c r="C8" s="9">
        <f>SUMIFS('Match Groups'!$N$5:$N$1326,'Match Groups'!$B$5:$B$1326,"OPS",'Match Groups'!$Q$5:$Q$1326,"ODOO-ONLY",'Match Groups'!$N$5:$N$1326,"&lt;0",'Match Groups'!$D$5:$D$1326,"&lt;&gt;DUPL")</f>
        <v>-1342</v>
      </c>
      <c r="E8" s="14" t="inlineStr">
        <is>
          <t>Match Groups: Odoo-only, payments</t>
        </is>
      </c>
    </row>
    <row r="9">
      <c r="B9" s="4" t="inlineStr">
        <is>
          <t>Adjusted bank balance</t>
        </is>
      </c>
      <c r="D9" s="13">
        <f>ROUND(D6+C7+C8,2)</f>
        <v>364785.03</v>
      </c>
    </row>
    <row r="11">
      <c r="B11" s="4" t="inlineStr">
        <is>
          <t>Balance per Odoo ledger</t>
        </is>
      </c>
      <c r="D11" s="13">
        <f>SUMIFS('Odoo TB'!$D$5:$D$20,'Odoo TB'!$A$5:$A$20,"OPS",'Odoo TB'!$C$5:$C$20,Cover!$C$13)</f>
        <v>328436.34</v>
      </c>
      <c r="E11" s="14" t="inlineStr">
        <is>
          <t>Odoo TB</t>
        </is>
      </c>
    </row>
    <row r="12">
      <c r="B12" s="16" t="inlineStr">
        <is>
          <t>Add / (less): items on the statement not yet in Odoo</t>
        </is>
      </c>
    </row>
    <row r="13">
      <c r="B13" s="15" t="inlineStr">
        <is>
          <t xml:space="preserve">    Receipts in bank, not yet registered in Odoo (open invoices)</t>
        </is>
      </c>
      <c r="C13" s="9">
        <f>SUMIFS('Match Groups'!$M$5:$M$1326,'Match Groups'!$B$5:$B$1326,"OPS",'Match Groups'!$Q$5:$Q$1326,"BANK-ONLY",'Match Groups'!$D$5:$D$1326,"REG")</f>
        <v>28260.77</v>
      </c>
      <c r="E13" s="14" t="inlineStr">
        <is>
          <t>REG</t>
        </is>
      </c>
    </row>
    <row r="14">
      <c r="B14" s="15" t="inlineStr">
        <is>
          <t xml:space="preserve">    Direct debits in bank, not yet registered in Odoo (open bills)</t>
        </is>
      </c>
      <c r="C14" s="9">
        <f>SUMIFS('Match Groups'!$M$5:$M$1326,'Match Groups'!$B$5:$B$1326,"OPS",'Match Groups'!$Q$5:$Q$1326,"BANK-ONLY",'Match Groups'!$D$5:$D$1326,"REGBILL")</f>
        <v>-2864.4</v>
      </c>
      <c r="E14" s="14" t="inlineStr">
        <is>
          <t>REGBILL</t>
        </is>
      </c>
    </row>
    <row r="15">
      <c r="B15" s="15" t="inlineStr">
        <is>
          <t xml:space="preserve">    Direct debits with no bill in Odoo</t>
        </is>
      </c>
      <c r="C15" s="9">
        <f>SUMIFS('Match Groups'!$M$5:$M$1326,'Match Groups'!$B$5:$B$1326,"OPS",'Match Groups'!$Q$5:$Q$1326,"BANK-ONLY",'Match Groups'!$D$5:$D$1326,"NOBILL")</f>
        <v>0</v>
      </c>
      <c r="E15" s="14" t="inlineStr">
        <is>
          <t>NOBILL</t>
        </is>
      </c>
    </row>
    <row r="16">
      <c r="B16" s="15" t="inlineStr">
        <is>
          <t xml:space="preserve">    Bank fees and charges not yet recorded</t>
        </is>
      </c>
      <c r="C16" s="9">
        <f>SUMIFS('Match Groups'!$M$5:$M$1326,'Match Groups'!$B$5:$B$1326,"OPS",'Match Groups'!$Q$5:$Q$1326,"BANK-ONLY",'Match Groups'!$D$5:$D$1326,"FEE")</f>
        <v>-84.15</v>
      </c>
      <c r="E16" s="14" t="inlineStr">
        <is>
          <t>FEE</t>
        </is>
      </c>
    </row>
    <row r="17">
      <c r="B17" s="15" t="inlineStr">
        <is>
          <t xml:space="preserve">    Interest received not yet recorded</t>
        </is>
      </c>
      <c r="C17" s="9">
        <f>SUMIFS('Match Groups'!$M$5:$M$1326,'Match Groups'!$B$5:$B$1326,"OPS",'Match Groups'!$Q$5:$Q$1326,"BANK-ONLY",'Match Groups'!$D$5:$D$1326,"INT")</f>
        <v>383.96</v>
      </c>
      <c r="E17" s="14" t="inlineStr">
        <is>
          <t>INT</t>
        </is>
      </c>
    </row>
    <row r="18">
      <c r="B18" s="15" t="inlineStr">
        <is>
          <t xml:space="preserve">    Merchant service fees not yet recorded</t>
        </is>
      </c>
      <c r="C18" s="9">
        <f>SUMIFS('Match Groups'!$M$5:$M$1326,'Match Groups'!$B$5:$B$1326,"OPS",'Match Groups'!$Q$5:$Q$1326,"BANK-ONLY",'Match Groups'!$D$5:$D$1326,"MERCH")</f>
        <v>0</v>
      </c>
      <c r="E18" s="14" t="inlineStr">
        <is>
          <t>MERCH</t>
        </is>
      </c>
    </row>
    <row r="19">
      <c r="B19" s="15" t="inlineStr">
        <is>
          <t xml:space="preserve">    Card chargebacks not yet recorded</t>
        </is>
      </c>
      <c r="C19" s="9">
        <f>SUMIFS('Match Groups'!$M$5:$M$1326,'Match Groups'!$B$5:$B$1326,"OPS",'Match Groups'!$Q$5:$Q$1326,"BANK-ONLY",'Match Groups'!$D$5:$D$1326,"CHGBK")</f>
        <v>0</v>
      </c>
      <c r="E19" s="14" t="inlineStr">
        <is>
          <t>CHGBK</t>
        </is>
      </c>
    </row>
    <row r="20">
      <c r="B20" s="15" t="inlineStr">
        <is>
          <t xml:space="preserve">    Returned supplier payments</t>
        </is>
      </c>
      <c r="C20" s="9">
        <f>SUMIFS('Match Groups'!$M$5:$M$1326,'Match Groups'!$B$5:$B$1326,"OPS",'Match Groups'!$Q$5:$Q$1326,"BANK-ONLY",'Match Groups'!$D$5:$D$1326,"RETPAY")</f>
        <v>0</v>
      </c>
      <c r="E20" s="14" t="inlineStr">
        <is>
          <t>RETPAY</t>
        </is>
      </c>
    </row>
    <row r="21">
      <c r="B21" s="15" t="inlineStr">
        <is>
          <t xml:space="preserve">    Returned and reissued wages (nets to nil)</t>
        </is>
      </c>
      <c r="C21" s="9">
        <f>SUMIFS('Match Groups'!$M$5:$M$1326,'Match Groups'!$B$5:$B$1326,"OPS",'Match Groups'!$Q$5:$Q$1326,"BANK-ONLY",'Match Groups'!$D$5:$D$1326,"RETPAY-PAY")</f>
        <v>0</v>
      </c>
      <c r="E21" s="14" t="inlineStr">
        <is>
          <t>RETPAY-PAY</t>
        </is>
      </c>
    </row>
    <row r="22">
      <c r="B22" s="15" t="inlineStr">
        <is>
          <t xml:space="preserve">    Timing: in bank this month, recorded in Odoo after month end</t>
        </is>
      </c>
      <c r="C22" s="9">
        <f>SUMIFS('Match Groups'!$M$5:$M$1326,'Match Groups'!$B$5:$B$1326,"OPS",'Match Groups'!$Q$5:$Q$1326,"BANK-ONLY",'Match Groups'!$D$5:$D$1326,"MATCH")</f>
        <v>12347.5</v>
      </c>
      <c r="E22" s="14" t="inlineStr">
        <is>
          <t>MATCH</t>
        </is>
      </c>
    </row>
    <row r="23">
      <c r="B23" s="15" t="inlineStr">
        <is>
          <t xml:space="preserve">    Unexplained items, escalated</t>
        </is>
      </c>
      <c r="C23" s="9">
        <f>SUMIFS('Match Groups'!$M$5:$M$1326,'Match Groups'!$B$5:$B$1326,"OPS",'Match Groups'!$Q$5:$Q$1326,"BANK-ONLY",'Match Groups'!$D$5:$D$1326,"UNEXP")</f>
        <v>0</v>
      </c>
      <c r="E23" s="14" t="inlineStr">
        <is>
          <t>UNEXP</t>
        </is>
      </c>
    </row>
    <row r="24">
      <c r="B24" s="15" t="inlineStr">
        <is>
          <t xml:space="preserve">    Unclassified (should be nil)</t>
        </is>
      </c>
      <c r="C24" s="9">
        <f>ROUND(SUMIFS('Match Groups'!$M$5:$M$1326,'Match Groups'!$B$5:$B$1326,"OPS",'Match Groups'!$Q$5:$Q$1326,"BANK-ONLY")-SUM(C13:C23),2)</f>
        <v>0</v>
      </c>
      <c r="E24" s="14" t="inlineStr">
        <is>
          <t>control</t>
        </is>
      </c>
    </row>
    <row r="25">
      <c r="B25" s="16" t="inlineStr">
        <is>
          <t>Add / (less): differences on matched items</t>
        </is>
      </c>
    </row>
    <row r="26">
      <c r="B26" s="15" t="inlineStr">
        <is>
          <t xml:space="preserve">    Stripe fees and disputes deducted from payouts</t>
        </is>
      </c>
      <c r="C26" s="9">
        <f>SUMIFS('Match Groups'!$R$5:$R$1326,'Match Groups'!$B$5:$B$1326,"OPS",'Match Groups'!$D$5:$D$1326,"STRIPE-FEE")</f>
        <v>-1622.24</v>
      </c>
      <c r="E26" s="14" t="inlineStr">
        <is>
          <t>STRIPE-FEE</t>
        </is>
      </c>
    </row>
    <row r="27">
      <c r="B27" s="15" t="inlineStr">
        <is>
          <t xml:space="preserve">    Short payments registered in Odoo at full value</t>
        </is>
      </c>
      <c r="C27" s="9">
        <f>SUMIFS('Match Groups'!$R$5:$R$1326,'Match Groups'!$B$5:$B$1326,"OPS",'Match Groups'!$D$5:$D$1326,"SHORT")</f>
        <v>-58.2</v>
      </c>
      <c r="E27" s="14" t="inlineStr">
        <is>
          <t>SHORT</t>
        </is>
      </c>
    </row>
    <row r="28">
      <c r="B28" s="15" t="inlineStr">
        <is>
          <t xml:space="preserve">    FX conversions: bank rate vs Odoo rate</t>
        </is>
      </c>
      <c r="C28" s="9">
        <f>SUMIFS('Match Groups'!$R$5:$R$1326,'Match Groups'!$B$5:$B$1326,"OPS",'Match Groups'!$D$5:$D$1326,"FXR")</f>
        <v>-14.55</v>
      </c>
      <c r="E28" s="14" t="inlineStr">
        <is>
          <t>FXR</t>
        </is>
      </c>
    </row>
    <row r="29">
      <c r="B29" s="15" t="inlineStr">
        <is>
          <t xml:space="preserve">    Intermediary bank fees on inward transfers</t>
        </is>
      </c>
      <c r="C29" s="9">
        <f>SUMIFS('Match Groups'!$R$5:$R$1326,'Match Groups'!$B$5:$B$1326,"OPS",'Match Groups'!$D$5:$D$1326,"FEE-DIFF")</f>
        <v>0</v>
      </c>
      <c r="E29" s="14" t="inlineStr">
        <is>
          <t>FEE-DIFF</t>
        </is>
      </c>
    </row>
    <row r="30">
      <c r="B30" s="15" t="inlineStr">
        <is>
          <t xml:space="preserve">    Card refunds missing from the POS export</t>
        </is>
      </c>
      <c r="C30" s="9">
        <f>SUMIFS('Match Groups'!$R$5:$R$1326,'Match Groups'!$B$5:$B$1326,"OPS",'Match Groups'!$D$5:$D$1326,"REFUND-GAP")</f>
        <v>0</v>
      </c>
      <c r="E30" s="14" t="inlineStr">
        <is>
          <t>REFUND-GAP</t>
        </is>
      </c>
    </row>
    <row r="31">
      <c r="B31" s="15" t="inlineStr">
        <is>
          <t xml:space="preserve">    Other differences on matched items (should be nil)</t>
        </is>
      </c>
      <c r="C31" s="9">
        <f>ROUND(SUMIFS('Match Groups'!$R$5:$R$1326,'Match Groups'!$B$5:$B$1326,"OPS")-SUM(C26:C30),2)</f>
        <v>0</v>
      </c>
      <c r="E31" s="14" t="inlineStr">
        <is>
          <t>control</t>
        </is>
      </c>
    </row>
    <row r="32">
      <c r="B32" s="15" t="inlineStr">
        <is>
          <t xml:space="preserve">    Less: receipts registered twice in Odoo</t>
        </is>
      </c>
      <c r="C32" s="9">
        <f>-SUMIFS('Match Groups'!$N$5:$N$1326,'Match Groups'!$B$5:$B$1326,"OPS",'Match Groups'!$Q$5:$Q$1326,"ODOO-ONLY",'Match Groups'!$D$5:$D$1326,"DUPL")</f>
        <v>0</v>
      </c>
      <c r="E32" s="14" t="inlineStr">
        <is>
          <t>DUPL</t>
        </is>
      </c>
    </row>
    <row r="33">
      <c r="B33" s="4" t="inlineStr">
        <is>
          <t>Adjusted Odoo balance</t>
        </is>
      </c>
      <c r="D33" s="13">
        <f>ROUND(D11+SUM(C13:C32),2)</f>
        <v>364785.03</v>
      </c>
    </row>
    <row r="35">
      <c r="B35" s="4" t="inlineStr">
        <is>
          <t>Unexplained difference (adjusted bank - adjusted Odoo)</t>
        </is>
      </c>
      <c r="D35" s="17">
        <f>ROUND(D9-D33,2)</f>
        <v>0</v>
      </c>
    </row>
    <row r="36">
      <c r="B36" s="15" t="inlineStr">
        <is>
          <t xml:space="preserve">    Duplicate statement lines removed from the Odoo import (count)</t>
        </is>
      </c>
      <c r="C36" s="18">
        <f>COUNTIFS('Bank Lines'!$B$5:$B$1640,"OPS",'Bank Lines'!$I$5:$I$1640,"DUPIMP",'Bank Lines'!$C$5:$C$1640,"&gt;="&amp;Cover!$B$13,'Bank Lines'!$C$5:$C$1640,"&lt;="&amp;Cover!$C$13)</f>
        <v>0</v>
      </c>
      <c r="E36" s="14" t="inlineStr">
        <is>
          <t>R01</t>
        </is>
      </c>
    </row>
    <row r="39">
      <c r="B39" s="12" t="inlineStr">
        <is>
          <t>Operating account (OPS, AUD)  ·  month ending 31 Aug 2026</t>
        </is>
      </c>
      <c r="C39" s="2" t="n"/>
      <c r="D39" s="2" t="n"/>
      <c r="E39" s="2" t="n"/>
    </row>
    <row r="40">
      <c r="B40" s="4" t="inlineStr">
        <is>
          <t>Balance per bank statement</t>
        </is>
      </c>
      <c r="D40" s="13">
        <f>SUMIFS('Statement Balances'!$F$5:$F$16,'Statement Balances'!$A$5:$A$16,"OPS",'Statement Balances'!$D$5:$D$16,Cover!$C$14)</f>
        <v>481407.98</v>
      </c>
      <c r="E40" s="14" t="inlineStr">
        <is>
          <t>Statement Balances</t>
        </is>
      </c>
    </row>
    <row r="41">
      <c r="B41" s="15" t="inlineStr">
        <is>
          <t xml:space="preserve">    Add: deposits in transit (in Odoo, not yet on the statement)</t>
        </is>
      </c>
      <c r="C41" s="9">
        <f>SUMIFS('Match Groups'!$T$5:$T$1326,'Match Groups'!$B$5:$B$1326,"OPS",'Match Groups'!$W$5:$W$1326,"ODOO-ONLY",'Match Groups'!$T$5:$T$1326,"&gt;0",'Match Groups'!$D$5:$D$1326,"&lt;&gt;DUPL")</f>
        <v>10495.37</v>
      </c>
      <c r="E41" s="14" t="inlineStr">
        <is>
          <t>Match Groups: Odoo-only, receipts</t>
        </is>
      </c>
    </row>
    <row r="42">
      <c r="B42" s="15" t="inlineStr">
        <is>
          <t xml:space="preserve">    Less: unpresented payments (in Odoo, not yet on the statement)</t>
        </is>
      </c>
      <c r="C42" s="9">
        <f>SUMIFS('Match Groups'!$T$5:$T$1326,'Match Groups'!$B$5:$B$1326,"OPS",'Match Groups'!$W$5:$W$1326,"ODOO-ONLY",'Match Groups'!$T$5:$T$1326,"&lt;0",'Match Groups'!$D$5:$D$1326,"&lt;&gt;DUPL")</f>
        <v>-15268</v>
      </c>
      <c r="E42" s="14" t="inlineStr">
        <is>
          <t>Match Groups: Odoo-only, payments</t>
        </is>
      </c>
    </row>
    <row r="43">
      <c r="B43" s="4" t="inlineStr">
        <is>
          <t>Adjusted bank balance</t>
        </is>
      </c>
      <c r="D43" s="13">
        <f>ROUND(D40+C41+C42,2)</f>
        <v>476635.35</v>
      </c>
    </row>
    <row r="45">
      <c r="B45" s="4" t="inlineStr">
        <is>
          <t>Balance per Odoo ledger</t>
        </is>
      </c>
      <c r="D45" s="13">
        <f>SUMIFS('Odoo TB'!$D$5:$D$20,'Odoo TB'!$A$5:$A$20,"OPS",'Odoo TB'!$C$5:$C$20,Cover!$C$14)</f>
        <v>355360.07</v>
      </c>
      <c r="E45" s="14" t="inlineStr">
        <is>
          <t>Odoo TB</t>
        </is>
      </c>
    </row>
    <row r="46">
      <c r="B46" s="16" t="inlineStr">
        <is>
          <t>Add / (less): items on the statement not yet in Odoo</t>
        </is>
      </c>
    </row>
    <row r="47">
      <c r="B47" s="15" t="inlineStr">
        <is>
          <t xml:space="preserve">    Receipts in bank, not yet registered in Odoo (open invoices)</t>
        </is>
      </c>
      <c r="C47" s="9">
        <f>SUMIFS('Match Groups'!$S$5:$S$1326,'Match Groups'!$B$5:$B$1326,"OPS",'Match Groups'!$W$5:$W$1326,"BANK-ONLY",'Match Groups'!$D$5:$D$1326,"REG")</f>
        <v>69665.81</v>
      </c>
      <c r="E47" s="14" t="inlineStr">
        <is>
          <t>REG</t>
        </is>
      </c>
    </row>
    <row r="48">
      <c r="B48" s="15" t="inlineStr">
        <is>
          <t xml:space="preserve">    Direct debits in bank, not yet registered in Odoo (open bills)</t>
        </is>
      </c>
      <c r="C48" s="9">
        <f>SUMIFS('Match Groups'!$S$5:$S$1326,'Match Groups'!$B$5:$B$1326,"OPS",'Match Groups'!$W$5:$W$1326,"BANK-ONLY",'Match Groups'!$D$5:$D$1326,"REGBILL")</f>
        <v>-4734.4</v>
      </c>
      <c r="E48" s="14" t="inlineStr">
        <is>
          <t>REGBILL</t>
        </is>
      </c>
    </row>
    <row r="49">
      <c r="B49" s="15" t="inlineStr">
        <is>
          <t xml:space="preserve">    Direct debits with no bill in Odoo</t>
        </is>
      </c>
      <c r="C49" s="9">
        <f>SUMIFS('Match Groups'!$S$5:$S$1326,'Match Groups'!$B$5:$B$1326,"OPS",'Match Groups'!$W$5:$W$1326,"BANK-ONLY",'Match Groups'!$D$5:$D$1326,"NOBILL")</f>
        <v>-1189.3</v>
      </c>
      <c r="E49" s="14" t="inlineStr">
        <is>
          <t>NOBILL</t>
        </is>
      </c>
    </row>
    <row r="50">
      <c r="B50" s="15" t="inlineStr">
        <is>
          <t xml:space="preserve">    Bank fees and charges not yet recorded</t>
        </is>
      </c>
      <c r="C50" s="9">
        <f>SUMIFS('Match Groups'!$S$5:$S$1326,'Match Groups'!$B$5:$B$1326,"OPS",'Match Groups'!$W$5:$W$1326,"BANK-ONLY",'Match Groups'!$D$5:$D$1326,"FEE")</f>
        <v>-176.97</v>
      </c>
      <c r="E50" s="14" t="inlineStr">
        <is>
          <t>FEE</t>
        </is>
      </c>
    </row>
    <row r="51">
      <c r="B51" s="15" t="inlineStr">
        <is>
          <t xml:space="preserve">    Interest received not yet recorded</t>
        </is>
      </c>
      <c r="C51" s="9">
        <f>SUMIFS('Match Groups'!$S$5:$S$1326,'Match Groups'!$B$5:$B$1326,"OPS",'Match Groups'!$W$5:$W$1326,"BANK-ONLY",'Match Groups'!$D$5:$D$1326,"INT")</f>
        <v>802.67</v>
      </c>
      <c r="E51" s="14" t="inlineStr">
        <is>
          <t>INT</t>
        </is>
      </c>
    </row>
    <row r="52">
      <c r="B52" s="15" t="inlineStr">
        <is>
          <t xml:space="preserve">    Merchant service fees not yet recorded</t>
        </is>
      </c>
      <c r="C52" s="9">
        <f>SUMIFS('Match Groups'!$S$5:$S$1326,'Match Groups'!$B$5:$B$1326,"OPS",'Match Groups'!$W$5:$W$1326,"BANK-ONLY",'Match Groups'!$D$5:$D$1326,"MERCH")</f>
        <v>0</v>
      </c>
      <c r="E52" s="14" t="inlineStr">
        <is>
          <t>MERCH</t>
        </is>
      </c>
    </row>
    <row r="53">
      <c r="B53" s="15" t="inlineStr">
        <is>
          <t xml:space="preserve">    Card chargebacks not yet recorded</t>
        </is>
      </c>
      <c r="C53" s="9">
        <f>SUMIFS('Match Groups'!$S$5:$S$1326,'Match Groups'!$B$5:$B$1326,"OPS",'Match Groups'!$W$5:$W$1326,"BANK-ONLY",'Match Groups'!$D$5:$D$1326,"CHGBK")</f>
        <v>0</v>
      </c>
      <c r="E53" s="14" t="inlineStr">
        <is>
          <t>CHGBK</t>
        </is>
      </c>
    </row>
    <row r="54">
      <c r="B54" s="15" t="inlineStr">
        <is>
          <t xml:space="preserve">    Returned supplier payments</t>
        </is>
      </c>
      <c r="C54" s="9">
        <f>SUMIFS('Match Groups'!$S$5:$S$1326,'Match Groups'!$B$5:$B$1326,"OPS",'Match Groups'!$W$5:$W$1326,"BANK-ONLY",'Match Groups'!$D$5:$D$1326,"RETPAY")</f>
        <v>5952.1</v>
      </c>
      <c r="E54" s="14" t="inlineStr">
        <is>
          <t>RETPAY</t>
        </is>
      </c>
    </row>
    <row r="55">
      <c r="B55" s="15" t="inlineStr">
        <is>
          <t xml:space="preserve">    Returned and reissued wages (nets to nil)</t>
        </is>
      </c>
      <c r="C55" s="9">
        <f>SUMIFS('Match Groups'!$S$5:$S$1326,'Match Groups'!$B$5:$B$1326,"OPS",'Match Groups'!$W$5:$W$1326,"BANK-ONLY",'Match Groups'!$D$5:$D$1326,"RETPAY-PAY")</f>
        <v>0</v>
      </c>
      <c r="E55" s="14" t="inlineStr">
        <is>
          <t>RETPAY-PAY</t>
        </is>
      </c>
    </row>
    <row r="56">
      <c r="B56" s="15" t="inlineStr">
        <is>
          <t xml:space="preserve">    Timing: in bank this month, recorded in Odoo after month end</t>
        </is>
      </c>
      <c r="C56" s="9">
        <f>SUMIFS('Match Groups'!$S$5:$S$1326,'Match Groups'!$B$5:$B$1326,"OPS",'Match Groups'!$W$5:$W$1326,"BANK-ONLY",'Match Groups'!$D$5:$D$1326,"MATCH")</f>
        <v>52829.25</v>
      </c>
      <c r="E56" s="14" t="inlineStr">
        <is>
          <t>MATCH</t>
        </is>
      </c>
    </row>
    <row r="57">
      <c r="B57" s="15" t="inlineStr">
        <is>
          <t xml:space="preserve">    Unexplained items, escalated</t>
        </is>
      </c>
      <c r="C57" s="9">
        <f>SUMIFS('Match Groups'!$S$5:$S$1326,'Match Groups'!$B$5:$B$1326,"OPS",'Match Groups'!$W$5:$W$1326,"BANK-ONLY",'Match Groups'!$D$5:$D$1326,"UNEXP")</f>
        <v>1850</v>
      </c>
      <c r="E57" s="14" t="inlineStr">
        <is>
          <t>UNEXP</t>
        </is>
      </c>
    </row>
    <row r="58">
      <c r="B58" s="15" t="inlineStr">
        <is>
          <t xml:space="preserve">    Unclassified (should be nil)</t>
        </is>
      </c>
      <c r="C58" s="9">
        <f>ROUND(SUMIFS('Match Groups'!$S$5:$S$1326,'Match Groups'!$B$5:$B$1326,"OPS",'Match Groups'!$W$5:$W$1326,"BANK-ONLY")-SUM(C47:C57),2)</f>
        <v>0</v>
      </c>
      <c r="E58" s="14" t="inlineStr">
        <is>
          <t>control</t>
        </is>
      </c>
    </row>
    <row r="59">
      <c r="B59" s="16" t="inlineStr">
        <is>
          <t>Add / (less): differences on matched items</t>
        </is>
      </c>
    </row>
    <row r="60">
      <c r="B60" s="15" t="inlineStr">
        <is>
          <t xml:space="preserve">    Stripe fees and disputes deducted from payouts</t>
        </is>
      </c>
      <c r="C60" s="9">
        <f>SUMIFS('Match Groups'!$X$5:$X$1326,'Match Groups'!$B$5:$B$1326,"OPS",'Match Groups'!$D$5:$D$1326,"STRIPE-FEE")</f>
        <v>-3315.36</v>
      </c>
      <c r="E60" s="14" t="inlineStr">
        <is>
          <t>STRIPE-FEE</t>
        </is>
      </c>
    </row>
    <row r="61">
      <c r="B61" s="15" t="inlineStr">
        <is>
          <t xml:space="preserve">    Short payments registered in Odoo at full value</t>
        </is>
      </c>
      <c r="C61" s="9">
        <f>SUMIFS('Match Groups'!$X$5:$X$1326,'Match Groups'!$B$5:$B$1326,"OPS",'Match Groups'!$D$5:$D$1326,"SHORT")</f>
        <v>-58.2</v>
      </c>
      <c r="E61" s="14" t="inlineStr">
        <is>
          <t>SHORT</t>
        </is>
      </c>
    </row>
    <row r="62">
      <c r="B62" s="15" t="inlineStr">
        <is>
          <t xml:space="preserve">    FX conversions: bank rate vs Odoo rate</t>
        </is>
      </c>
      <c r="C62" s="9">
        <f>SUMIFS('Match Groups'!$X$5:$X$1326,'Match Groups'!$B$5:$B$1326,"OPS",'Match Groups'!$D$5:$D$1326,"FXR")</f>
        <v>-29.34</v>
      </c>
      <c r="E62" s="14" t="inlineStr">
        <is>
          <t>FXR</t>
        </is>
      </c>
    </row>
    <row r="63">
      <c r="B63" s="15" t="inlineStr">
        <is>
          <t xml:space="preserve">    Intermediary bank fees on inward transfers</t>
        </is>
      </c>
      <c r="C63" s="9">
        <f>SUMIFS('Match Groups'!$X$5:$X$1326,'Match Groups'!$B$5:$B$1326,"OPS",'Match Groups'!$D$5:$D$1326,"FEE-DIFF")</f>
        <v>0</v>
      </c>
      <c r="E63" s="14" t="inlineStr">
        <is>
          <t>FEE-DIFF</t>
        </is>
      </c>
    </row>
    <row r="64">
      <c r="B64" s="15" t="inlineStr">
        <is>
          <t xml:space="preserve">    Card refunds missing from the POS export</t>
        </is>
      </c>
      <c r="C64" s="9">
        <f>SUMIFS('Match Groups'!$X$5:$X$1326,'Match Groups'!$B$5:$B$1326,"OPS",'Match Groups'!$D$5:$D$1326,"REFUND-GAP")</f>
        <v>0</v>
      </c>
      <c r="E64" s="14" t="inlineStr">
        <is>
          <t>REFUND-GAP</t>
        </is>
      </c>
    </row>
    <row r="65">
      <c r="B65" s="15" t="inlineStr">
        <is>
          <t xml:space="preserve">    Other differences on matched items (should be nil)</t>
        </is>
      </c>
      <c r="C65" s="9">
        <f>ROUND(SUMIFS('Match Groups'!$X$5:$X$1326,'Match Groups'!$B$5:$B$1326,"OPS")-SUM(C60:C64),2)</f>
        <v>0</v>
      </c>
      <c r="E65" s="14" t="inlineStr">
        <is>
          <t>control</t>
        </is>
      </c>
    </row>
    <row r="66">
      <c r="B66" s="15" t="inlineStr">
        <is>
          <t xml:space="preserve">    Less: receipts registered twice in Odoo</t>
        </is>
      </c>
      <c r="C66" s="9">
        <f>-SUMIFS('Match Groups'!$T$5:$T$1326,'Match Groups'!$B$5:$B$1326,"OPS",'Match Groups'!$W$5:$W$1326,"ODOO-ONLY",'Match Groups'!$D$5:$D$1326,"DUPL")</f>
        <v>-320.98</v>
      </c>
      <c r="E66" s="14" t="inlineStr">
        <is>
          <t>DUPL</t>
        </is>
      </c>
    </row>
    <row r="67">
      <c r="B67" s="4" t="inlineStr">
        <is>
          <t>Adjusted Odoo balance</t>
        </is>
      </c>
      <c r="D67" s="13">
        <f>ROUND(D45+SUM(C47:C66),2)</f>
        <v>476635.35</v>
      </c>
    </row>
    <row r="69">
      <c r="B69" s="4" t="inlineStr">
        <is>
          <t>Unexplained difference (adjusted bank - adjusted Odoo)</t>
        </is>
      </c>
      <c r="D69" s="17">
        <f>ROUND(D43-D67,2)</f>
        <v>0</v>
      </c>
    </row>
    <row r="70">
      <c r="B70" s="15" t="inlineStr">
        <is>
          <t xml:space="preserve">    Duplicate statement lines removed from the Odoo import (count)</t>
        </is>
      </c>
      <c r="C70" s="18">
        <f>COUNTIFS('Bank Lines'!$B$5:$B$1640,"OPS",'Bank Lines'!$I$5:$I$1640,"DUPIMP",'Bank Lines'!$C$5:$C$1640,"&gt;="&amp;Cover!$B$14,'Bank Lines'!$C$5:$C$1640,"&lt;="&amp;Cover!$C$14)</f>
        <v>13</v>
      </c>
      <c r="E70" s="14" t="inlineStr">
        <is>
          <t>R01</t>
        </is>
      </c>
    </row>
    <row r="73">
      <c r="B73" s="12" t="inlineStr">
        <is>
          <t>Operating account (OPS, AUD)  ·  month ending 30 Sep 2026</t>
        </is>
      </c>
      <c r="C73" s="2" t="n"/>
      <c r="D73" s="2" t="n"/>
      <c r="E73" s="2" t="n"/>
    </row>
    <row r="74">
      <c r="B74" s="4" t="inlineStr">
        <is>
          <t>Balance per bank statement</t>
        </is>
      </c>
      <c r="D74" s="13">
        <f>SUMIFS('Statement Balances'!$F$5:$F$16,'Statement Balances'!$A$5:$A$16,"OPS",'Statement Balances'!$D$5:$D$16,Cover!$C$15)</f>
        <v>549048.87</v>
      </c>
      <c r="E74" s="14" t="inlineStr">
        <is>
          <t>Statement Balances</t>
        </is>
      </c>
    </row>
    <row r="75">
      <c r="B75" s="15" t="inlineStr">
        <is>
          <t xml:space="preserve">    Add: deposits in transit (in Odoo, not yet on the statement)</t>
        </is>
      </c>
      <c r="C75" s="9">
        <f>SUMIFS('Match Groups'!$Z$5:$Z$1326,'Match Groups'!$B$5:$B$1326,"OPS",'Match Groups'!$AC$5:$AC$1326,"ODOO-ONLY",'Match Groups'!$Z$5:$Z$1326,"&gt;0",'Match Groups'!$D$5:$D$1326,"&lt;&gt;DUPL")</f>
        <v>8420</v>
      </c>
      <c r="E75" s="14" t="inlineStr">
        <is>
          <t>Match Groups: Odoo-only, receipts</t>
        </is>
      </c>
    </row>
    <row r="76">
      <c r="B76" s="15" t="inlineStr">
        <is>
          <t xml:space="preserve">    Less: unpresented payments (in Odoo, not yet on the statement)</t>
        </is>
      </c>
      <c r="C76" s="9">
        <f>SUMIFS('Match Groups'!$Z$5:$Z$1326,'Match Groups'!$B$5:$B$1326,"OPS",'Match Groups'!$AC$5:$AC$1326,"ODOO-ONLY",'Match Groups'!$Z$5:$Z$1326,"&lt;0",'Match Groups'!$D$5:$D$1326,"&lt;&gt;DUPL")</f>
        <v>-286</v>
      </c>
      <c r="E76" s="14" t="inlineStr">
        <is>
          <t>Match Groups: Odoo-only, payments</t>
        </is>
      </c>
    </row>
    <row r="77">
      <c r="B77" s="4" t="inlineStr">
        <is>
          <t>Adjusted bank balance</t>
        </is>
      </c>
      <c r="D77" s="13">
        <f>ROUND(D74+C75+C76,2)</f>
        <v>557182.87</v>
      </c>
    </row>
    <row r="79">
      <c r="B79" s="4" t="inlineStr">
        <is>
          <t>Balance per Odoo ledger</t>
        </is>
      </c>
      <c r="D79" s="13">
        <f>SUMIFS('Odoo TB'!$D$5:$D$20,'Odoo TB'!$A$5:$A$20,"OPS",'Odoo TB'!$C$5:$C$20,Cover!$C$15)</f>
        <v>465755.94</v>
      </c>
      <c r="E79" s="14" t="inlineStr">
        <is>
          <t>Odoo TB</t>
        </is>
      </c>
    </row>
    <row r="80">
      <c r="B80" s="16" t="inlineStr">
        <is>
          <t>Add / (less): items on the statement not yet in Odoo</t>
        </is>
      </c>
    </row>
    <row r="81">
      <c r="B81" s="15" t="inlineStr">
        <is>
          <t xml:space="preserve">    Receipts in bank, not yet registered in Odoo (open invoices)</t>
        </is>
      </c>
      <c r="C81" s="9">
        <f>SUMIFS('Match Groups'!$Y$5:$Y$1326,'Match Groups'!$B$5:$B$1326,"OPS",'Match Groups'!$AC$5:$AC$1326,"BANK-ONLY",'Match Groups'!$D$5:$D$1326,"REG")</f>
        <v>115567.17</v>
      </c>
      <c r="E81" s="14" t="inlineStr">
        <is>
          <t>REG</t>
        </is>
      </c>
    </row>
    <row r="82">
      <c r="B82" s="15" t="inlineStr">
        <is>
          <t xml:space="preserve">    Direct debits in bank, not yet registered in Odoo (open bills)</t>
        </is>
      </c>
      <c r="C82" s="9">
        <f>SUMIFS('Match Groups'!$Y$5:$Y$1326,'Match Groups'!$B$5:$B$1326,"OPS",'Match Groups'!$AC$5:$AC$1326,"BANK-ONLY",'Match Groups'!$D$5:$D$1326,"REGBILL")</f>
        <v>-25673.02</v>
      </c>
      <c r="E82" s="14" t="inlineStr">
        <is>
          <t>REGBILL</t>
        </is>
      </c>
    </row>
    <row r="83">
      <c r="B83" s="15" t="inlineStr">
        <is>
          <t xml:space="preserve">    Direct debits with no bill in Odoo</t>
        </is>
      </c>
      <c r="C83" s="9">
        <f>SUMIFS('Match Groups'!$Y$5:$Y$1326,'Match Groups'!$B$5:$B$1326,"OPS",'Match Groups'!$AC$5:$AC$1326,"BANK-ONLY",'Match Groups'!$D$5:$D$1326,"NOBILL")</f>
        <v>-3059.3</v>
      </c>
      <c r="E83" s="14" t="inlineStr">
        <is>
          <t>NOBILL</t>
        </is>
      </c>
    </row>
    <row r="84">
      <c r="B84" s="15" t="inlineStr">
        <is>
          <t xml:space="preserve">    Bank fees and charges not yet recorded</t>
        </is>
      </c>
      <c r="C84" s="9">
        <f>SUMIFS('Match Groups'!$Y$5:$Y$1326,'Match Groups'!$B$5:$B$1326,"OPS",'Match Groups'!$AC$5:$AC$1326,"BANK-ONLY",'Match Groups'!$D$5:$D$1326,"FEE")</f>
        <v>-252.26</v>
      </c>
      <c r="E84" s="14" t="inlineStr">
        <is>
          <t>FEE</t>
        </is>
      </c>
    </row>
    <row r="85">
      <c r="B85" s="15" t="inlineStr">
        <is>
          <t xml:space="preserve">    Interest received not yet recorded</t>
        </is>
      </c>
      <c r="C85" s="9">
        <f>SUMIFS('Match Groups'!$Y$5:$Y$1326,'Match Groups'!$B$5:$B$1326,"OPS",'Match Groups'!$AC$5:$AC$1326,"BANK-ONLY",'Match Groups'!$D$5:$D$1326,"INT")</f>
        <v>1182.6</v>
      </c>
      <c r="E85" s="14" t="inlineStr">
        <is>
          <t>INT</t>
        </is>
      </c>
    </row>
    <row r="86">
      <c r="B86" s="15" t="inlineStr">
        <is>
          <t xml:space="preserve">    Merchant service fees not yet recorded</t>
        </is>
      </c>
      <c r="C86" s="9">
        <f>SUMIFS('Match Groups'!$Y$5:$Y$1326,'Match Groups'!$B$5:$B$1326,"OPS",'Match Groups'!$AC$5:$AC$1326,"BANK-ONLY",'Match Groups'!$D$5:$D$1326,"MERCH")</f>
        <v>0</v>
      </c>
      <c r="E86" s="14" t="inlineStr">
        <is>
          <t>MERCH</t>
        </is>
      </c>
    </row>
    <row r="87">
      <c r="B87" s="15" t="inlineStr">
        <is>
          <t xml:space="preserve">    Card chargebacks not yet recorded</t>
        </is>
      </c>
      <c r="C87" s="9">
        <f>SUMIFS('Match Groups'!$Y$5:$Y$1326,'Match Groups'!$B$5:$B$1326,"OPS",'Match Groups'!$AC$5:$AC$1326,"BANK-ONLY",'Match Groups'!$D$5:$D$1326,"CHGBK")</f>
        <v>0</v>
      </c>
      <c r="E87" s="14" t="inlineStr">
        <is>
          <t>CHGBK</t>
        </is>
      </c>
    </row>
    <row r="88">
      <c r="B88" s="15" t="inlineStr">
        <is>
          <t xml:space="preserve">    Returned supplier payments</t>
        </is>
      </c>
      <c r="C88" s="9">
        <f>SUMIFS('Match Groups'!$Y$5:$Y$1326,'Match Groups'!$B$5:$B$1326,"OPS",'Match Groups'!$AC$5:$AC$1326,"BANK-ONLY",'Match Groups'!$D$5:$D$1326,"RETPAY")</f>
        <v>5952.1</v>
      </c>
      <c r="E88" s="14" t="inlineStr">
        <is>
          <t>RETPAY</t>
        </is>
      </c>
    </row>
    <row r="89">
      <c r="B89" s="15" t="inlineStr">
        <is>
          <t xml:space="preserve">    Returned and reissued wages (nets to nil)</t>
        </is>
      </c>
      <c r="C89" s="9">
        <f>SUMIFS('Match Groups'!$Y$5:$Y$1326,'Match Groups'!$B$5:$B$1326,"OPS",'Match Groups'!$AC$5:$AC$1326,"BANK-ONLY",'Match Groups'!$D$5:$D$1326,"RETPAY-PAY")</f>
        <v>0</v>
      </c>
      <c r="E89" s="14" t="inlineStr">
        <is>
          <t>RETPAY-PAY</t>
        </is>
      </c>
    </row>
    <row r="90">
      <c r="B90" s="15" t="inlineStr">
        <is>
          <t xml:space="preserve">    Timing: in bank this month, recorded in Odoo after month end</t>
        </is>
      </c>
      <c r="C90" s="9">
        <f>SUMIFS('Match Groups'!$Y$5:$Y$1326,'Match Groups'!$B$5:$B$1326,"OPS",'Match Groups'!$AC$5:$AC$1326,"BANK-ONLY",'Match Groups'!$D$5:$D$1326,"MATCH")</f>
        <v>0</v>
      </c>
      <c r="E90" s="14" t="inlineStr">
        <is>
          <t>MATCH</t>
        </is>
      </c>
    </row>
    <row r="91">
      <c r="B91" s="15" t="inlineStr">
        <is>
          <t xml:space="preserve">    Unexplained items, escalated</t>
        </is>
      </c>
      <c r="C91" s="9">
        <f>SUMIFS('Match Groups'!$Y$5:$Y$1326,'Match Groups'!$B$5:$B$1326,"OPS",'Match Groups'!$AC$5:$AC$1326,"BANK-ONLY",'Match Groups'!$D$5:$D$1326,"UNEXP")</f>
        <v>3120.05</v>
      </c>
      <c r="E91" s="14" t="inlineStr">
        <is>
          <t>UNEXP</t>
        </is>
      </c>
    </row>
    <row r="92">
      <c r="B92" s="15" t="inlineStr">
        <is>
          <t xml:space="preserve">    Unclassified (should be nil)</t>
        </is>
      </c>
      <c r="C92" s="9">
        <f>ROUND(SUMIFS('Match Groups'!$Y$5:$Y$1326,'Match Groups'!$B$5:$B$1326,"OPS",'Match Groups'!$AC$5:$AC$1326,"BANK-ONLY")-SUM(C81:C91),2)</f>
        <v>0</v>
      </c>
      <c r="E92" s="14" t="inlineStr">
        <is>
          <t>control</t>
        </is>
      </c>
    </row>
    <row r="93">
      <c r="B93" s="16" t="inlineStr">
        <is>
          <t>Add / (less): differences on matched items</t>
        </is>
      </c>
    </row>
    <row r="94">
      <c r="B94" s="15" t="inlineStr">
        <is>
          <t xml:space="preserve">    Stripe fees and disputes deducted from payouts</t>
        </is>
      </c>
      <c r="C94" s="9">
        <f>SUMIFS('Match Groups'!$AD$5:$AD$1326,'Match Groups'!$B$5:$B$1326,"OPS",'Match Groups'!$D$5:$D$1326,"STRIPE-FEE")</f>
        <v>-4832.28</v>
      </c>
      <c r="E94" s="14" t="inlineStr">
        <is>
          <t>STRIPE-FEE</t>
        </is>
      </c>
    </row>
    <row r="95">
      <c r="B95" s="15" t="inlineStr">
        <is>
          <t xml:space="preserve">    Short payments registered in Odoo at full value</t>
        </is>
      </c>
      <c r="C95" s="9">
        <f>SUMIFS('Match Groups'!$AD$5:$AD$1326,'Match Groups'!$B$5:$B$1326,"OPS",'Match Groups'!$D$5:$D$1326,"SHORT")</f>
        <v>-58.2</v>
      </c>
      <c r="E95" s="14" t="inlineStr">
        <is>
          <t>SHORT</t>
        </is>
      </c>
    </row>
    <row r="96">
      <c r="B96" s="15" t="inlineStr">
        <is>
          <t xml:space="preserve">    FX conversions: bank rate vs Odoo rate</t>
        </is>
      </c>
      <c r="C96" s="9">
        <f>SUMIFS('Match Groups'!$AD$5:$AD$1326,'Match Groups'!$B$5:$B$1326,"OPS",'Match Groups'!$D$5:$D$1326,"FXR")</f>
        <v>-43.76</v>
      </c>
      <c r="E96" s="14" t="inlineStr">
        <is>
          <t>FXR</t>
        </is>
      </c>
    </row>
    <row r="97">
      <c r="B97" s="15" t="inlineStr">
        <is>
          <t xml:space="preserve">    Intermediary bank fees on inward transfers</t>
        </is>
      </c>
      <c r="C97" s="9">
        <f>SUMIFS('Match Groups'!$AD$5:$AD$1326,'Match Groups'!$B$5:$B$1326,"OPS",'Match Groups'!$D$5:$D$1326,"FEE-DIFF")</f>
        <v>0</v>
      </c>
      <c r="E97" s="14" t="inlineStr">
        <is>
          <t>FEE-DIFF</t>
        </is>
      </c>
    </row>
    <row r="98">
      <c r="B98" s="15" t="inlineStr">
        <is>
          <t xml:space="preserve">    Card refunds missing from the POS export</t>
        </is>
      </c>
      <c r="C98" s="9">
        <f>SUMIFS('Match Groups'!$AD$5:$AD$1326,'Match Groups'!$B$5:$B$1326,"OPS",'Match Groups'!$D$5:$D$1326,"REFUND-GAP")</f>
        <v>0</v>
      </c>
      <c r="E98" s="14" t="inlineStr">
        <is>
          <t>REFUND-GAP</t>
        </is>
      </c>
    </row>
    <row r="99">
      <c r="B99" s="15" t="inlineStr">
        <is>
          <t xml:space="preserve">    Other differences on matched items (should be nil)</t>
        </is>
      </c>
      <c r="C99" s="9">
        <f>ROUND(SUMIFS('Match Groups'!$AD$5:$AD$1326,'Match Groups'!$B$5:$B$1326,"OPS")-SUM(C94:C98),2)</f>
        <v>0</v>
      </c>
      <c r="E99" s="14" t="inlineStr">
        <is>
          <t>control</t>
        </is>
      </c>
    </row>
    <row r="100">
      <c r="B100" s="15" t="inlineStr">
        <is>
          <t xml:space="preserve">    Less: receipts registered twice in Odoo</t>
        </is>
      </c>
      <c r="C100" s="9">
        <f>-SUMIFS('Match Groups'!$Z$5:$Z$1326,'Match Groups'!$B$5:$B$1326,"OPS",'Match Groups'!$AC$5:$AC$1326,"ODOO-ONLY",'Match Groups'!$D$5:$D$1326,"DUPL")</f>
        <v>-476.17</v>
      </c>
      <c r="E100" s="14" t="inlineStr">
        <is>
          <t>DUPL</t>
        </is>
      </c>
    </row>
    <row r="101">
      <c r="B101" s="4" t="inlineStr">
        <is>
          <t>Adjusted Odoo balance</t>
        </is>
      </c>
      <c r="D101" s="13">
        <f>ROUND(D79+SUM(C81:C100),2)</f>
        <v>557182.87</v>
      </c>
    </row>
    <row r="103">
      <c r="B103" s="4" t="inlineStr">
        <is>
          <t>Unexplained difference (adjusted bank - adjusted Odoo)</t>
        </is>
      </c>
      <c r="D103" s="17">
        <f>ROUND(D77-D101,2)</f>
        <v>0</v>
      </c>
    </row>
    <row r="104">
      <c r="B104" s="15" t="inlineStr">
        <is>
          <t xml:space="preserve">    Duplicate statement lines removed from the Odoo import (count)</t>
        </is>
      </c>
      <c r="C104" s="18">
        <f>COUNTIFS('Bank Lines'!$B$5:$B$1640,"OPS",'Bank Lines'!$I$5:$I$1640,"DUPIMP",'Bank Lines'!$C$5:$C$1640,"&gt;="&amp;Cover!$B$15,'Bank Lines'!$C$5:$C$1640,"&lt;="&amp;Cover!$C$15)</f>
        <v>0</v>
      </c>
      <c r="E104" s="14" t="inlineStr">
        <is>
          <t>R01</t>
        </is>
      </c>
    </row>
    <row r="107">
      <c r="B107" s="12" t="inlineStr">
        <is>
          <t>Payroll clearing account (PAY, AUD)  ·  month ending 31 Jul 2026</t>
        </is>
      </c>
      <c r="C107" s="2" t="n"/>
      <c r="D107" s="2" t="n"/>
      <c r="E107" s="2" t="n"/>
    </row>
    <row r="108">
      <c r="B108" s="4" t="inlineStr">
        <is>
          <t>Balance per bank statement</t>
        </is>
      </c>
      <c r="D108" s="13">
        <f>SUMIFS('Statement Balances'!$F$5:$F$16,'Statement Balances'!$A$5:$A$16,"PAY",'Statement Balances'!$D$5:$D$16,Cover!$C$13)</f>
        <v>45418.23</v>
      </c>
      <c r="E108" s="14" t="inlineStr">
        <is>
          <t>Statement Balances</t>
        </is>
      </c>
    </row>
    <row r="109">
      <c r="B109" s="15" t="inlineStr">
        <is>
          <t xml:space="preserve">    Add: deposits in transit (in Odoo, not yet on the statement)</t>
        </is>
      </c>
      <c r="C109" s="9">
        <f>SUMIFS('Match Groups'!$N$5:$N$1326,'Match Groups'!$B$5:$B$1326,"PAY",'Match Groups'!$Q$5:$Q$1326,"ODOO-ONLY",'Match Groups'!$N$5:$N$1326,"&gt;0",'Match Groups'!$D$5:$D$1326,"&lt;&gt;DUPL")</f>
        <v>0</v>
      </c>
      <c r="E109" s="14" t="inlineStr">
        <is>
          <t>Match Groups: Odoo-only, receipts</t>
        </is>
      </c>
    </row>
    <row r="110">
      <c r="B110" s="15" t="inlineStr">
        <is>
          <t xml:space="preserve">    Less: unpresented payments (in Odoo, not yet on the statement)</t>
        </is>
      </c>
      <c r="C110" s="9">
        <f>SUMIFS('Match Groups'!$N$5:$N$1326,'Match Groups'!$B$5:$B$1326,"PAY",'Match Groups'!$Q$5:$Q$1326,"ODOO-ONLY",'Match Groups'!$N$5:$N$1326,"&lt;0",'Match Groups'!$D$5:$D$1326,"&lt;&gt;DUPL")</f>
        <v>0</v>
      </c>
      <c r="E110" s="14" t="inlineStr">
        <is>
          <t>Match Groups: Odoo-only, payments</t>
        </is>
      </c>
    </row>
    <row r="111">
      <c r="B111" s="4" t="inlineStr">
        <is>
          <t>Adjusted bank balance</t>
        </is>
      </c>
      <c r="D111" s="13">
        <f>ROUND(D108+C109+C110,2)</f>
        <v>45418.23</v>
      </c>
    </row>
    <row r="113">
      <c r="B113" s="4" t="inlineStr">
        <is>
          <t>Balance per Odoo ledger</t>
        </is>
      </c>
      <c r="D113" s="13">
        <f>SUMIFS('Odoo TB'!$D$5:$D$20,'Odoo TB'!$A$5:$A$20,"PAY",'Odoo TB'!$C$5:$C$20,Cover!$C$13)</f>
        <v>45428.23</v>
      </c>
      <c r="E113" s="14" t="inlineStr">
        <is>
          <t>Odoo TB</t>
        </is>
      </c>
    </row>
    <row r="114">
      <c r="B114" s="16" t="inlineStr">
        <is>
          <t>Add / (less): items on the statement not yet in Odoo</t>
        </is>
      </c>
    </row>
    <row r="115">
      <c r="B115" s="15" t="inlineStr">
        <is>
          <t xml:space="preserve">    Receipts in bank, not yet registered in Odoo (open invoices)</t>
        </is>
      </c>
      <c r="C115" s="9">
        <f>SUMIFS('Match Groups'!$M$5:$M$1326,'Match Groups'!$B$5:$B$1326,"PAY",'Match Groups'!$Q$5:$Q$1326,"BANK-ONLY",'Match Groups'!$D$5:$D$1326,"REG")</f>
        <v>0</v>
      </c>
      <c r="E115" s="14" t="inlineStr">
        <is>
          <t>REG</t>
        </is>
      </c>
    </row>
    <row r="116">
      <c r="B116" s="15" t="inlineStr">
        <is>
          <t xml:space="preserve">    Direct debits in bank, not yet registered in Odoo (open bills)</t>
        </is>
      </c>
      <c r="C116" s="9">
        <f>SUMIFS('Match Groups'!$M$5:$M$1326,'Match Groups'!$B$5:$B$1326,"PAY",'Match Groups'!$Q$5:$Q$1326,"BANK-ONLY",'Match Groups'!$D$5:$D$1326,"REGBILL")</f>
        <v>0</v>
      </c>
      <c r="E116" s="14" t="inlineStr">
        <is>
          <t>REGBILL</t>
        </is>
      </c>
    </row>
    <row r="117">
      <c r="B117" s="15" t="inlineStr">
        <is>
          <t xml:space="preserve">    Direct debits with no bill in Odoo</t>
        </is>
      </c>
      <c r="C117" s="9">
        <f>SUMIFS('Match Groups'!$M$5:$M$1326,'Match Groups'!$B$5:$B$1326,"PAY",'Match Groups'!$Q$5:$Q$1326,"BANK-ONLY",'Match Groups'!$D$5:$D$1326,"NOBILL")</f>
        <v>0</v>
      </c>
      <c r="E117" s="14" t="inlineStr">
        <is>
          <t>NOBILL</t>
        </is>
      </c>
    </row>
    <row r="118">
      <c r="B118" s="15" t="inlineStr">
        <is>
          <t xml:space="preserve">    Bank fees and charges not yet recorded</t>
        </is>
      </c>
      <c r="C118" s="9">
        <f>SUMIFS('Match Groups'!$M$5:$M$1326,'Match Groups'!$B$5:$B$1326,"PAY",'Match Groups'!$Q$5:$Q$1326,"BANK-ONLY",'Match Groups'!$D$5:$D$1326,"FEE")</f>
        <v>-10</v>
      </c>
      <c r="E118" s="14" t="inlineStr">
        <is>
          <t>FEE</t>
        </is>
      </c>
    </row>
    <row r="119">
      <c r="B119" s="15" t="inlineStr">
        <is>
          <t xml:space="preserve">    Interest received not yet recorded</t>
        </is>
      </c>
      <c r="C119" s="9">
        <f>SUMIFS('Match Groups'!$M$5:$M$1326,'Match Groups'!$B$5:$B$1326,"PAY",'Match Groups'!$Q$5:$Q$1326,"BANK-ONLY",'Match Groups'!$D$5:$D$1326,"INT")</f>
        <v>0</v>
      </c>
      <c r="E119" s="14" t="inlineStr">
        <is>
          <t>INT</t>
        </is>
      </c>
    </row>
    <row r="120">
      <c r="B120" s="15" t="inlineStr">
        <is>
          <t xml:space="preserve">    Merchant service fees not yet recorded</t>
        </is>
      </c>
      <c r="C120" s="9">
        <f>SUMIFS('Match Groups'!$M$5:$M$1326,'Match Groups'!$B$5:$B$1326,"PAY",'Match Groups'!$Q$5:$Q$1326,"BANK-ONLY",'Match Groups'!$D$5:$D$1326,"MERCH")</f>
        <v>0</v>
      </c>
      <c r="E120" s="14" t="inlineStr">
        <is>
          <t>MERCH</t>
        </is>
      </c>
    </row>
    <row r="121">
      <c r="B121" s="15" t="inlineStr">
        <is>
          <t xml:space="preserve">    Card chargebacks not yet recorded</t>
        </is>
      </c>
      <c r="C121" s="9">
        <f>SUMIFS('Match Groups'!$M$5:$M$1326,'Match Groups'!$B$5:$B$1326,"PAY",'Match Groups'!$Q$5:$Q$1326,"BANK-ONLY",'Match Groups'!$D$5:$D$1326,"CHGBK")</f>
        <v>0</v>
      </c>
      <c r="E121" s="14" t="inlineStr">
        <is>
          <t>CHGBK</t>
        </is>
      </c>
    </row>
    <row r="122">
      <c r="B122" s="15" t="inlineStr">
        <is>
          <t xml:space="preserve">    Returned supplier payments</t>
        </is>
      </c>
      <c r="C122" s="9">
        <f>SUMIFS('Match Groups'!$M$5:$M$1326,'Match Groups'!$B$5:$B$1326,"PAY",'Match Groups'!$Q$5:$Q$1326,"BANK-ONLY",'Match Groups'!$D$5:$D$1326,"RETPAY")</f>
        <v>0</v>
      </c>
      <c r="E122" s="14" t="inlineStr">
        <is>
          <t>RETPAY</t>
        </is>
      </c>
    </row>
    <row r="123">
      <c r="B123" s="15" t="inlineStr">
        <is>
          <t xml:space="preserve">    Returned and reissued wages (nets to nil)</t>
        </is>
      </c>
      <c r="C123" s="9">
        <f>SUMIFS('Match Groups'!$M$5:$M$1326,'Match Groups'!$B$5:$B$1326,"PAY",'Match Groups'!$Q$5:$Q$1326,"BANK-ONLY",'Match Groups'!$D$5:$D$1326,"RETPAY-PAY")</f>
        <v>0</v>
      </c>
      <c r="E123" s="14" t="inlineStr">
        <is>
          <t>RETPAY-PAY</t>
        </is>
      </c>
    </row>
    <row r="124">
      <c r="B124" s="15" t="inlineStr">
        <is>
          <t xml:space="preserve">    Timing: in bank this month, recorded in Odoo after month end</t>
        </is>
      </c>
      <c r="C124" s="9">
        <f>SUMIFS('Match Groups'!$M$5:$M$1326,'Match Groups'!$B$5:$B$1326,"PAY",'Match Groups'!$Q$5:$Q$1326,"BANK-ONLY",'Match Groups'!$D$5:$D$1326,"MATCH")</f>
        <v>0</v>
      </c>
      <c r="E124" s="14" t="inlineStr">
        <is>
          <t>MATCH</t>
        </is>
      </c>
    </row>
    <row r="125">
      <c r="B125" s="15" t="inlineStr">
        <is>
          <t xml:space="preserve">    Unexplained items, escalated</t>
        </is>
      </c>
      <c r="C125" s="9">
        <f>SUMIFS('Match Groups'!$M$5:$M$1326,'Match Groups'!$B$5:$B$1326,"PAY",'Match Groups'!$Q$5:$Q$1326,"BANK-ONLY",'Match Groups'!$D$5:$D$1326,"UNEXP")</f>
        <v>0</v>
      </c>
      <c r="E125" s="14" t="inlineStr">
        <is>
          <t>UNEXP</t>
        </is>
      </c>
    </row>
    <row r="126">
      <c r="B126" s="15" t="inlineStr">
        <is>
          <t xml:space="preserve">    Unclassified (should be nil)</t>
        </is>
      </c>
      <c r="C126" s="9">
        <f>ROUND(SUMIFS('Match Groups'!$M$5:$M$1326,'Match Groups'!$B$5:$B$1326,"PAY",'Match Groups'!$Q$5:$Q$1326,"BANK-ONLY")-SUM(C115:C125),2)</f>
        <v>0</v>
      </c>
      <c r="E126" s="14" t="inlineStr">
        <is>
          <t>control</t>
        </is>
      </c>
    </row>
    <row r="127">
      <c r="B127" s="16" t="inlineStr">
        <is>
          <t>Add / (less): differences on matched items</t>
        </is>
      </c>
    </row>
    <row r="128">
      <c r="B128" s="15" t="inlineStr">
        <is>
          <t xml:space="preserve">    Stripe fees and disputes deducted from payouts</t>
        </is>
      </c>
      <c r="C128" s="9">
        <f>SUMIFS('Match Groups'!$R$5:$R$1326,'Match Groups'!$B$5:$B$1326,"PAY",'Match Groups'!$D$5:$D$1326,"STRIPE-FEE")</f>
        <v>0</v>
      </c>
      <c r="E128" s="14" t="inlineStr">
        <is>
          <t>STRIPE-FEE</t>
        </is>
      </c>
    </row>
    <row r="129">
      <c r="B129" s="15" t="inlineStr">
        <is>
          <t xml:space="preserve">    Short payments registered in Odoo at full value</t>
        </is>
      </c>
      <c r="C129" s="9">
        <f>SUMIFS('Match Groups'!$R$5:$R$1326,'Match Groups'!$B$5:$B$1326,"PAY",'Match Groups'!$D$5:$D$1326,"SHORT")</f>
        <v>0</v>
      </c>
      <c r="E129" s="14" t="inlineStr">
        <is>
          <t>SHORT</t>
        </is>
      </c>
    </row>
    <row r="130">
      <c r="B130" s="15" t="inlineStr">
        <is>
          <t xml:space="preserve">    FX conversions: bank rate vs Odoo rate</t>
        </is>
      </c>
      <c r="C130" s="9">
        <f>SUMIFS('Match Groups'!$R$5:$R$1326,'Match Groups'!$B$5:$B$1326,"PAY",'Match Groups'!$D$5:$D$1326,"FXR")</f>
        <v>0</v>
      </c>
      <c r="E130" s="14" t="inlineStr">
        <is>
          <t>FXR</t>
        </is>
      </c>
    </row>
    <row r="131">
      <c r="B131" s="15" t="inlineStr">
        <is>
          <t xml:space="preserve">    Intermediary bank fees on inward transfers</t>
        </is>
      </c>
      <c r="C131" s="9">
        <f>SUMIFS('Match Groups'!$R$5:$R$1326,'Match Groups'!$B$5:$B$1326,"PAY",'Match Groups'!$D$5:$D$1326,"FEE-DIFF")</f>
        <v>0</v>
      </c>
      <c r="E131" s="14" t="inlineStr">
        <is>
          <t>FEE-DIFF</t>
        </is>
      </c>
    </row>
    <row r="132">
      <c r="B132" s="15" t="inlineStr">
        <is>
          <t xml:space="preserve">    Card refunds missing from the POS export</t>
        </is>
      </c>
      <c r="C132" s="9">
        <f>SUMIFS('Match Groups'!$R$5:$R$1326,'Match Groups'!$B$5:$B$1326,"PAY",'Match Groups'!$D$5:$D$1326,"REFUND-GAP")</f>
        <v>0</v>
      </c>
      <c r="E132" s="14" t="inlineStr">
        <is>
          <t>REFUND-GAP</t>
        </is>
      </c>
    </row>
    <row r="133">
      <c r="B133" s="15" t="inlineStr">
        <is>
          <t xml:space="preserve">    Other differences on matched items (should be nil)</t>
        </is>
      </c>
      <c r="C133" s="9">
        <f>ROUND(SUMIFS('Match Groups'!$R$5:$R$1326,'Match Groups'!$B$5:$B$1326,"PAY")-SUM(C128:C132),2)</f>
        <v>0</v>
      </c>
      <c r="E133" s="14" t="inlineStr">
        <is>
          <t>control</t>
        </is>
      </c>
    </row>
    <row r="134">
      <c r="B134" s="15" t="inlineStr">
        <is>
          <t xml:space="preserve">    Less: receipts registered twice in Odoo</t>
        </is>
      </c>
      <c r="C134" s="9">
        <f>-SUMIFS('Match Groups'!$N$5:$N$1326,'Match Groups'!$B$5:$B$1326,"PAY",'Match Groups'!$Q$5:$Q$1326,"ODOO-ONLY",'Match Groups'!$D$5:$D$1326,"DUPL")</f>
        <v>0</v>
      </c>
      <c r="E134" s="14" t="inlineStr">
        <is>
          <t>DUPL</t>
        </is>
      </c>
    </row>
    <row r="135">
      <c r="B135" s="4" t="inlineStr">
        <is>
          <t>Adjusted Odoo balance</t>
        </is>
      </c>
      <c r="D135" s="13">
        <f>ROUND(D113+SUM(C115:C134),2)</f>
        <v>45418.23</v>
      </c>
    </row>
    <row r="137">
      <c r="B137" s="4" t="inlineStr">
        <is>
          <t>Unexplained difference (adjusted bank - adjusted Odoo)</t>
        </is>
      </c>
      <c r="D137" s="17">
        <f>ROUND(D111-D135,2)</f>
        <v>0</v>
      </c>
    </row>
    <row r="138">
      <c r="B138" s="15" t="inlineStr">
        <is>
          <t xml:space="preserve">    Duplicate statement lines removed from the Odoo import (count)</t>
        </is>
      </c>
      <c r="C138" s="18">
        <f>COUNTIFS('Bank Lines'!$B$5:$B$1640,"PAY",'Bank Lines'!$I$5:$I$1640,"DUPIMP",'Bank Lines'!$C$5:$C$1640,"&gt;="&amp;Cover!$B$13,'Bank Lines'!$C$5:$C$1640,"&lt;="&amp;Cover!$C$13)</f>
        <v>0</v>
      </c>
      <c r="E138" s="14" t="inlineStr">
        <is>
          <t>R01</t>
        </is>
      </c>
    </row>
    <row r="141">
      <c r="B141" s="12" t="inlineStr">
        <is>
          <t>Payroll clearing account (PAY, AUD)  ·  month ending 31 Aug 2026</t>
        </is>
      </c>
      <c r="C141" s="2" t="n"/>
      <c r="D141" s="2" t="n"/>
      <c r="E141" s="2" t="n"/>
    </row>
    <row r="142">
      <c r="B142" s="4" t="inlineStr">
        <is>
          <t>Balance per bank statement</t>
        </is>
      </c>
      <c r="D142" s="13">
        <f>SUMIFS('Statement Balances'!$F$5:$F$16,'Statement Balances'!$A$5:$A$16,"PAY",'Statement Balances'!$D$5:$D$16,Cover!$C$14)</f>
        <v>24980</v>
      </c>
      <c r="E142" s="14" t="inlineStr">
        <is>
          <t>Statement Balances</t>
        </is>
      </c>
    </row>
    <row r="143">
      <c r="B143" s="15" t="inlineStr">
        <is>
          <t xml:space="preserve">    Add: deposits in transit (in Odoo, not yet on the statement)</t>
        </is>
      </c>
      <c r="C143" s="9">
        <f>SUMIFS('Match Groups'!$T$5:$T$1326,'Match Groups'!$B$5:$B$1326,"PAY",'Match Groups'!$W$5:$W$1326,"ODOO-ONLY",'Match Groups'!$T$5:$T$1326,"&gt;0",'Match Groups'!$D$5:$D$1326,"&lt;&gt;DUPL")</f>
        <v>0</v>
      </c>
      <c r="E143" s="14" t="inlineStr">
        <is>
          <t>Match Groups: Odoo-only, receipts</t>
        </is>
      </c>
    </row>
    <row r="144">
      <c r="B144" s="15" t="inlineStr">
        <is>
          <t xml:space="preserve">    Less: unpresented payments (in Odoo, not yet on the statement)</t>
        </is>
      </c>
      <c r="C144" s="9">
        <f>SUMIFS('Match Groups'!$T$5:$T$1326,'Match Groups'!$B$5:$B$1326,"PAY",'Match Groups'!$W$5:$W$1326,"ODOO-ONLY",'Match Groups'!$T$5:$T$1326,"&lt;0",'Match Groups'!$D$5:$D$1326,"&lt;&gt;DUPL")</f>
        <v>0</v>
      </c>
      <c r="E144" s="14" t="inlineStr">
        <is>
          <t>Match Groups: Odoo-only, payments</t>
        </is>
      </c>
    </row>
    <row r="145">
      <c r="B145" s="4" t="inlineStr">
        <is>
          <t>Adjusted bank balance</t>
        </is>
      </c>
      <c r="D145" s="13">
        <f>ROUND(D142+C143+C144,2)</f>
        <v>24980</v>
      </c>
    </row>
    <row r="147">
      <c r="B147" s="4" t="inlineStr">
        <is>
          <t>Balance per Odoo ledger</t>
        </is>
      </c>
      <c r="D147" s="13">
        <f>SUMIFS('Odoo TB'!$D$5:$D$20,'Odoo TB'!$A$5:$A$20,"PAY",'Odoo TB'!$C$5:$C$20,Cover!$C$14)</f>
        <v>25000</v>
      </c>
      <c r="E147" s="14" t="inlineStr">
        <is>
          <t>Odoo TB</t>
        </is>
      </c>
    </row>
    <row r="148">
      <c r="B148" s="16" t="inlineStr">
        <is>
          <t>Add / (less): items on the statement not yet in Odoo</t>
        </is>
      </c>
    </row>
    <row r="149">
      <c r="B149" s="15" t="inlineStr">
        <is>
          <t xml:space="preserve">    Receipts in bank, not yet registered in Odoo (open invoices)</t>
        </is>
      </c>
      <c r="C149" s="9">
        <f>SUMIFS('Match Groups'!$S$5:$S$1326,'Match Groups'!$B$5:$B$1326,"PAY",'Match Groups'!$W$5:$W$1326,"BANK-ONLY",'Match Groups'!$D$5:$D$1326,"REG")</f>
        <v>0</v>
      </c>
      <c r="E149" s="14" t="inlineStr">
        <is>
          <t>REG</t>
        </is>
      </c>
    </row>
    <row r="150">
      <c r="B150" s="15" t="inlineStr">
        <is>
          <t xml:space="preserve">    Direct debits in bank, not yet registered in Odoo (open bills)</t>
        </is>
      </c>
      <c r="C150" s="9">
        <f>SUMIFS('Match Groups'!$S$5:$S$1326,'Match Groups'!$B$5:$B$1326,"PAY",'Match Groups'!$W$5:$W$1326,"BANK-ONLY",'Match Groups'!$D$5:$D$1326,"REGBILL")</f>
        <v>0</v>
      </c>
      <c r="E150" s="14" t="inlineStr">
        <is>
          <t>REGBILL</t>
        </is>
      </c>
    </row>
    <row r="151">
      <c r="B151" s="15" t="inlineStr">
        <is>
          <t xml:space="preserve">    Direct debits with no bill in Odoo</t>
        </is>
      </c>
      <c r="C151" s="9">
        <f>SUMIFS('Match Groups'!$S$5:$S$1326,'Match Groups'!$B$5:$B$1326,"PAY",'Match Groups'!$W$5:$W$1326,"BANK-ONLY",'Match Groups'!$D$5:$D$1326,"NOBILL")</f>
        <v>0</v>
      </c>
      <c r="E151" s="14" t="inlineStr">
        <is>
          <t>NOBILL</t>
        </is>
      </c>
    </row>
    <row r="152">
      <c r="B152" s="15" t="inlineStr">
        <is>
          <t xml:space="preserve">    Bank fees and charges not yet recorded</t>
        </is>
      </c>
      <c r="C152" s="9">
        <f>SUMIFS('Match Groups'!$S$5:$S$1326,'Match Groups'!$B$5:$B$1326,"PAY",'Match Groups'!$W$5:$W$1326,"BANK-ONLY",'Match Groups'!$D$5:$D$1326,"FEE")</f>
        <v>-20</v>
      </c>
      <c r="E152" s="14" t="inlineStr">
        <is>
          <t>FEE</t>
        </is>
      </c>
    </row>
    <row r="153">
      <c r="B153" s="15" t="inlineStr">
        <is>
          <t xml:space="preserve">    Interest received not yet recorded</t>
        </is>
      </c>
      <c r="C153" s="9">
        <f>SUMIFS('Match Groups'!$S$5:$S$1326,'Match Groups'!$B$5:$B$1326,"PAY",'Match Groups'!$W$5:$W$1326,"BANK-ONLY",'Match Groups'!$D$5:$D$1326,"INT")</f>
        <v>0</v>
      </c>
      <c r="E153" s="14" t="inlineStr">
        <is>
          <t>INT</t>
        </is>
      </c>
    </row>
    <row r="154">
      <c r="B154" s="15" t="inlineStr">
        <is>
          <t xml:space="preserve">    Merchant service fees not yet recorded</t>
        </is>
      </c>
      <c r="C154" s="9">
        <f>SUMIFS('Match Groups'!$S$5:$S$1326,'Match Groups'!$B$5:$B$1326,"PAY",'Match Groups'!$W$5:$W$1326,"BANK-ONLY",'Match Groups'!$D$5:$D$1326,"MERCH")</f>
        <v>0</v>
      </c>
      <c r="E154" s="14" t="inlineStr">
        <is>
          <t>MERCH</t>
        </is>
      </c>
    </row>
    <row r="155">
      <c r="B155" s="15" t="inlineStr">
        <is>
          <t xml:space="preserve">    Card chargebacks not yet recorded</t>
        </is>
      </c>
      <c r="C155" s="9">
        <f>SUMIFS('Match Groups'!$S$5:$S$1326,'Match Groups'!$B$5:$B$1326,"PAY",'Match Groups'!$W$5:$W$1326,"BANK-ONLY",'Match Groups'!$D$5:$D$1326,"CHGBK")</f>
        <v>0</v>
      </c>
      <c r="E155" s="14" t="inlineStr">
        <is>
          <t>CHGBK</t>
        </is>
      </c>
    </row>
    <row r="156">
      <c r="B156" s="15" t="inlineStr">
        <is>
          <t xml:space="preserve">    Returned supplier payments</t>
        </is>
      </c>
      <c r="C156" s="9">
        <f>SUMIFS('Match Groups'!$S$5:$S$1326,'Match Groups'!$B$5:$B$1326,"PAY",'Match Groups'!$W$5:$W$1326,"BANK-ONLY",'Match Groups'!$D$5:$D$1326,"RETPAY")</f>
        <v>0</v>
      </c>
      <c r="E156" s="14" t="inlineStr">
        <is>
          <t>RETPAY</t>
        </is>
      </c>
    </row>
    <row r="157">
      <c r="B157" s="15" t="inlineStr">
        <is>
          <t xml:space="preserve">    Returned and reissued wages (nets to nil)</t>
        </is>
      </c>
      <c r="C157" s="9">
        <f>SUMIFS('Match Groups'!$S$5:$S$1326,'Match Groups'!$B$5:$B$1326,"PAY",'Match Groups'!$W$5:$W$1326,"BANK-ONLY",'Match Groups'!$D$5:$D$1326,"RETPAY-PAY")</f>
        <v>0</v>
      </c>
      <c r="E157" s="14" t="inlineStr">
        <is>
          <t>RETPAY-PAY</t>
        </is>
      </c>
    </row>
    <row r="158">
      <c r="B158" s="15" t="inlineStr">
        <is>
          <t xml:space="preserve">    Timing: in bank this month, recorded in Odoo after month end</t>
        </is>
      </c>
      <c r="C158" s="9">
        <f>SUMIFS('Match Groups'!$S$5:$S$1326,'Match Groups'!$B$5:$B$1326,"PAY",'Match Groups'!$W$5:$W$1326,"BANK-ONLY",'Match Groups'!$D$5:$D$1326,"MATCH")</f>
        <v>0</v>
      </c>
      <c r="E158" s="14" t="inlineStr">
        <is>
          <t>MATCH</t>
        </is>
      </c>
    </row>
    <row r="159">
      <c r="B159" s="15" t="inlineStr">
        <is>
          <t xml:space="preserve">    Unexplained items, escalated</t>
        </is>
      </c>
      <c r="C159" s="9">
        <f>SUMIFS('Match Groups'!$S$5:$S$1326,'Match Groups'!$B$5:$B$1326,"PAY",'Match Groups'!$W$5:$W$1326,"BANK-ONLY",'Match Groups'!$D$5:$D$1326,"UNEXP")</f>
        <v>0</v>
      </c>
      <c r="E159" s="14" t="inlineStr">
        <is>
          <t>UNEXP</t>
        </is>
      </c>
    </row>
    <row r="160">
      <c r="B160" s="15" t="inlineStr">
        <is>
          <t xml:space="preserve">    Unclassified (should be nil)</t>
        </is>
      </c>
      <c r="C160" s="9">
        <f>ROUND(SUMIFS('Match Groups'!$S$5:$S$1326,'Match Groups'!$B$5:$B$1326,"PAY",'Match Groups'!$W$5:$W$1326,"BANK-ONLY")-SUM(C149:C159),2)</f>
        <v>0</v>
      </c>
      <c r="E160" s="14" t="inlineStr">
        <is>
          <t>control</t>
        </is>
      </c>
    </row>
    <row r="161">
      <c r="B161" s="16" t="inlineStr">
        <is>
          <t>Add / (less): differences on matched items</t>
        </is>
      </c>
    </row>
    <row r="162">
      <c r="B162" s="15" t="inlineStr">
        <is>
          <t xml:space="preserve">    Stripe fees and disputes deducted from payouts</t>
        </is>
      </c>
      <c r="C162" s="9">
        <f>SUMIFS('Match Groups'!$X$5:$X$1326,'Match Groups'!$B$5:$B$1326,"PAY",'Match Groups'!$D$5:$D$1326,"STRIPE-FEE")</f>
        <v>0</v>
      </c>
      <c r="E162" s="14" t="inlineStr">
        <is>
          <t>STRIPE-FEE</t>
        </is>
      </c>
    </row>
    <row r="163">
      <c r="B163" s="15" t="inlineStr">
        <is>
          <t xml:space="preserve">    Short payments registered in Odoo at full value</t>
        </is>
      </c>
      <c r="C163" s="9">
        <f>SUMIFS('Match Groups'!$X$5:$X$1326,'Match Groups'!$B$5:$B$1326,"PAY",'Match Groups'!$D$5:$D$1326,"SHORT")</f>
        <v>0</v>
      </c>
      <c r="E163" s="14" t="inlineStr">
        <is>
          <t>SHORT</t>
        </is>
      </c>
    </row>
    <row r="164">
      <c r="B164" s="15" t="inlineStr">
        <is>
          <t xml:space="preserve">    FX conversions: bank rate vs Odoo rate</t>
        </is>
      </c>
      <c r="C164" s="9">
        <f>SUMIFS('Match Groups'!$X$5:$X$1326,'Match Groups'!$B$5:$B$1326,"PAY",'Match Groups'!$D$5:$D$1326,"FXR")</f>
        <v>0</v>
      </c>
      <c r="E164" s="14" t="inlineStr">
        <is>
          <t>FXR</t>
        </is>
      </c>
    </row>
    <row r="165">
      <c r="B165" s="15" t="inlineStr">
        <is>
          <t xml:space="preserve">    Intermediary bank fees on inward transfers</t>
        </is>
      </c>
      <c r="C165" s="9">
        <f>SUMIFS('Match Groups'!$X$5:$X$1326,'Match Groups'!$B$5:$B$1326,"PAY",'Match Groups'!$D$5:$D$1326,"FEE-DIFF")</f>
        <v>0</v>
      </c>
      <c r="E165" s="14" t="inlineStr">
        <is>
          <t>FEE-DIFF</t>
        </is>
      </c>
    </row>
    <row r="166">
      <c r="B166" s="15" t="inlineStr">
        <is>
          <t xml:space="preserve">    Card refunds missing from the POS export</t>
        </is>
      </c>
      <c r="C166" s="9">
        <f>SUMIFS('Match Groups'!$X$5:$X$1326,'Match Groups'!$B$5:$B$1326,"PAY",'Match Groups'!$D$5:$D$1326,"REFUND-GAP")</f>
        <v>0</v>
      </c>
      <c r="E166" s="14" t="inlineStr">
        <is>
          <t>REFUND-GAP</t>
        </is>
      </c>
    </row>
    <row r="167">
      <c r="B167" s="15" t="inlineStr">
        <is>
          <t xml:space="preserve">    Other differences on matched items (should be nil)</t>
        </is>
      </c>
      <c r="C167" s="9">
        <f>ROUND(SUMIFS('Match Groups'!$X$5:$X$1326,'Match Groups'!$B$5:$B$1326,"PAY")-SUM(C162:C166),2)</f>
        <v>0</v>
      </c>
      <c r="E167" s="14" t="inlineStr">
        <is>
          <t>control</t>
        </is>
      </c>
    </row>
    <row r="168">
      <c r="B168" s="15" t="inlineStr">
        <is>
          <t xml:space="preserve">    Less: receipts registered twice in Odoo</t>
        </is>
      </c>
      <c r="C168" s="9">
        <f>-SUMIFS('Match Groups'!$T$5:$T$1326,'Match Groups'!$B$5:$B$1326,"PAY",'Match Groups'!$W$5:$W$1326,"ODOO-ONLY",'Match Groups'!$D$5:$D$1326,"DUPL")</f>
        <v>0</v>
      </c>
      <c r="E168" s="14" t="inlineStr">
        <is>
          <t>DUPL</t>
        </is>
      </c>
    </row>
    <row r="169">
      <c r="B169" s="4" t="inlineStr">
        <is>
          <t>Adjusted Odoo balance</t>
        </is>
      </c>
      <c r="D169" s="13">
        <f>ROUND(D147+SUM(C149:C168),2)</f>
        <v>24980</v>
      </c>
    </row>
    <row r="171">
      <c r="B171" s="4" t="inlineStr">
        <is>
          <t>Unexplained difference (adjusted bank - adjusted Odoo)</t>
        </is>
      </c>
      <c r="D171" s="17">
        <f>ROUND(D145-D169,2)</f>
        <v>0</v>
      </c>
    </row>
    <row r="172">
      <c r="B172" s="15" t="inlineStr">
        <is>
          <t xml:space="preserve">    Duplicate statement lines removed from the Odoo import (count)</t>
        </is>
      </c>
      <c r="C172" s="18">
        <f>COUNTIFS('Bank Lines'!$B$5:$B$1640,"PAY",'Bank Lines'!$I$5:$I$1640,"DUPIMP",'Bank Lines'!$C$5:$C$1640,"&gt;="&amp;Cover!$B$14,'Bank Lines'!$C$5:$C$1640,"&lt;="&amp;Cover!$C$14)</f>
        <v>0</v>
      </c>
      <c r="E172" s="14" t="inlineStr">
        <is>
          <t>R01</t>
        </is>
      </c>
    </row>
    <row r="175">
      <c r="B175" s="12" t="inlineStr">
        <is>
          <t>Payroll clearing account (PAY, AUD)  ·  month ending 30 Sep 2026</t>
        </is>
      </c>
      <c r="C175" s="2" t="n"/>
      <c r="D175" s="2" t="n"/>
      <c r="E175" s="2" t="n"/>
    </row>
    <row r="176">
      <c r="B176" s="4" t="inlineStr">
        <is>
          <t>Balance per bank statement</t>
        </is>
      </c>
      <c r="D176" s="13">
        <f>SUMIFS('Statement Balances'!$F$5:$F$16,'Statement Balances'!$A$5:$A$16,"PAY",'Statement Balances'!$D$5:$D$16,Cover!$C$15)</f>
        <v>45511.3</v>
      </c>
      <c r="E176" s="14" t="inlineStr">
        <is>
          <t>Statement Balances</t>
        </is>
      </c>
    </row>
    <row r="177">
      <c r="B177" s="15" t="inlineStr">
        <is>
          <t xml:space="preserve">    Add: deposits in transit (in Odoo, not yet on the statement)</t>
        </is>
      </c>
      <c r="C177" s="9">
        <f>SUMIFS('Match Groups'!$Z$5:$Z$1326,'Match Groups'!$B$5:$B$1326,"PAY",'Match Groups'!$AC$5:$AC$1326,"ODOO-ONLY",'Match Groups'!$Z$5:$Z$1326,"&gt;0",'Match Groups'!$D$5:$D$1326,"&lt;&gt;DUPL")</f>
        <v>0</v>
      </c>
      <c r="E177" s="14" t="inlineStr">
        <is>
          <t>Match Groups: Odoo-only, receipts</t>
        </is>
      </c>
    </row>
    <row r="178">
      <c r="B178" s="15" t="inlineStr">
        <is>
          <t xml:space="preserve">    Less: unpresented payments (in Odoo, not yet on the statement)</t>
        </is>
      </c>
      <c r="C178" s="9">
        <f>SUMIFS('Match Groups'!$Z$5:$Z$1326,'Match Groups'!$B$5:$B$1326,"PAY",'Match Groups'!$AC$5:$AC$1326,"ODOO-ONLY",'Match Groups'!$Z$5:$Z$1326,"&lt;0",'Match Groups'!$D$5:$D$1326,"&lt;&gt;DUPL")</f>
        <v>-20541.3</v>
      </c>
      <c r="E178" s="14" t="inlineStr">
        <is>
          <t>Match Groups: Odoo-only, payments</t>
        </is>
      </c>
    </row>
    <row r="179">
      <c r="B179" s="4" t="inlineStr">
        <is>
          <t>Adjusted bank balance</t>
        </is>
      </c>
      <c r="D179" s="13">
        <f>ROUND(D176+C177+C178,2)</f>
        <v>24970</v>
      </c>
    </row>
    <row r="181">
      <c r="B181" s="4" t="inlineStr">
        <is>
          <t>Balance per Odoo ledger</t>
        </is>
      </c>
      <c r="D181" s="13">
        <f>SUMIFS('Odoo TB'!$D$5:$D$20,'Odoo TB'!$A$5:$A$20,"PAY",'Odoo TB'!$C$5:$C$20,Cover!$C$15)</f>
        <v>25000</v>
      </c>
      <c r="E181" s="14" t="inlineStr">
        <is>
          <t>Odoo TB</t>
        </is>
      </c>
    </row>
    <row r="182">
      <c r="B182" s="16" t="inlineStr">
        <is>
          <t>Add / (less): items on the statement not yet in Odoo</t>
        </is>
      </c>
    </row>
    <row r="183">
      <c r="B183" s="15" t="inlineStr">
        <is>
          <t xml:space="preserve">    Receipts in bank, not yet registered in Odoo (open invoices)</t>
        </is>
      </c>
      <c r="C183" s="9">
        <f>SUMIFS('Match Groups'!$Y$5:$Y$1326,'Match Groups'!$B$5:$B$1326,"PAY",'Match Groups'!$AC$5:$AC$1326,"BANK-ONLY",'Match Groups'!$D$5:$D$1326,"REG")</f>
        <v>0</v>
      </c>
      <c r="E183" s="14" t="inlineStr">
        <is>
          <t>REG</t>
        </is>
      </c>
    </row>
    <row r="184">
      <c r="B184" s="15" t="inlineStr">
        <is>
          <t xml:space="preserve">    Direct debits in bank, not yet registered in Odoo (open bills)</t>
        </is>
      </c>
      <c r="C184" s="9">
        <f>SUMIFS('Match Groups'!$Y$5:$Y$1326,'Match Groups'!$B$5:$B$1326,"PAY",'Match Groups'!$AC$5:$AC$1326,"BANK-ONLY",'Match Groups'!$D$5:$D$1326,"REGBILL")</f>
        <v>0</v>
      </c>
      <c r="E184" s="14" t="inlineStr">
        <is>
          <t>REGBILL</t>
        </is>
      </c>
    </row>
    <row r="185">
      <c r="B185" s="15" t="inlineStr">
        <is>
          <t xml:space="preserve">    Direct debits with no bill in Odoo</t>
        </is>
      </c>
      <c r="C185" s="9">
        <f>SUMIFS('Match Groups'!$Y$5:$Y$1326,'Match Groups'!$B$5:$B$1326,"PAY",'Match Groups'!$AC$5:$AC$1326,"BANK-ONLY",'Match Groups'!$D$5:$D$1326,"NOBILL")</f>
        <v>0</v>
      </c>
      <c r="E185" s="14" t="inlineStr">
        <is>
          <t>NOBILL</t>
        </is>
      </c>
    </row>
    <row r="186">
      <c r="B186" s="15" t="inlineStr">
        <is>
          <t xml:space="preserve">    Bank fees and charges not yet recorded</t>
        </is>
      </c>
      <c r="C186" s="9">
        <f>SUMIFS('Match Groups'!$Y$5:$Y$1326,'Match Groups'!$B$5:$B$1326,"PAY",'Match Groups'!$AC$5:$AC$1326,"BANK-ONLY",'Match Groups'!$D$5:$D$1326,"FEE")</f>
        <v>-30</v>
      </c>
      <c r="E186" s="14" t="inlineStr">
        <is>
          <t>FEE</t>
        </is>
      </c>
    </row>
    <row r="187">
      <c r="B187" s="15" t="inlineStr">
        <is>
          <t xml:space="preserve">    Interest received not yet recorded</t>
        </is>
      </c>
      <c r="C187" s="9">
        <f>SUMIFS('Match Groups'!$Y$5:$Y$1326,'Match Groups'!$B$5:$B$1326,"PAY",'Match Groups'!$AC$5:$AC$1326,"BANK-ONLY",'Match Groups'!$D$5:$D$1326,"INT")</f>
        <v>0</v>
      </c>
      <c r="E187" s="14" t="inlineStr">
        <is>
          <t>INT</t>
        </is>
      </c>
    </row>
    <row r="188">
      <c r="B188" s="15" t="inlineStr">
        <is>
          <t xml:space="preserve">    Merchant service fees not yet recorded</t>
        </is>
      </c>
      <c r="C188" s="9">
        <f>SUMIFS('Match Groups'!$Y$5:$Y$1326,'Match Groups'!$B$5:$B$1326,"PAY",'Match Groups'!$AC$5:$AC$1326,"BANK-ONLY",'Match Groups'!$D$5:$D$1326,"MERCH")</f>
        <v>0</v>
      </c>
      <c r="E188" s="14" t="inlineStr">
        <is>
          <t>MERCH</t>
        </is>
      </c>
    </row>
    <row r="189">
      <c r="B189" s="15" t="inlineStr">
        <is>
          <t xml:space="preserve">    Card chargebacks not yet recorded</t>
        </is>
      </c>
      <c r="C189" s="9">
        <f>SUMIFS('Match Groups'!$Y$5:$Y$1326,'Match Groups'!$B$5:$B$1326,"PAY",'Match Groups'!$AC$5:$AC$1326,"BANK-ONLY",'Match Groups'!$D$5:$D$1326,"CHGBK")</f>
        <v>0</v>
      </c>
      <c r="E189" s="14" t="inlineStr">
        <is>
          <t>CHGBK</t>
        </is>
      </c>
    </row>
    <row r="190">
      <c r="B190" s="15" t="inlineStr">
        <is>
          <t xml:space="preserve">    Returned supplier payments</t>
        </is>
      </c>
      <c r="C190" s="9">
        <f>SUMIFS('Match Groups'!$Y$5:$Y$1326,'Match Groups'!$B$5:$B$1326,"PAY",'Match Groups'!$AC$5:$AC$1326,"BANK-ONLY",'Match Groups'!$D$5:$D$1326,"RETPAY")</f>
        <v>0</v>
      </c>
      <c r="E190" s="14" t="inlineStr">
        <is>
          <t>RETPAY</t>
        </is>
      </c>
    </row>
    <row r="191">
      <c r="B191" s="15" t="inlineStr">
        <is>
          <t xml:space="preserve">    Returned and reissued wages (nets to nil)</t>
        </is>
      </c>
      <c r="C191" s="9">
        <f>SUMIFS('Match Groups'!$Y$5:$Y$1326,'Match Groups'!$B$5:$B$1326,"PAY",'Match Groups'!$AC$5:$AC$1326,"BANK-ONLY",'Match Groups'!$D$5:$D$1326,"RETPAY-PAY")</f>
        <v>0</v>
      </c>
      <c r="E191" s="14" t="inlineStr">
        <is>
          <t>RETPAY-PAY</t>
        </is>
      </c>
    </row>
    <row r="192">
      <c r="B192" s="15" t="inlineStr">
        <is>
          <t xml:space="preserve">    Timing: in bank this month, recorded in Odoo after month end</t>
        </is>
      </c>
      <c r="C192" s="9">
        <f>SUMIFS('Match Groups'!$Y$5:$Y$1326,'Match Groups'!$B$5:$B$1326,"PAY",'Match Groups'!$AC$5:$AC$1326,"BANK-ONLY",'Match Groups'!$D$5:$D$1326,"MATCH")</f>
        <v>0</v>
      </c>
      <c r="E192" s="14" t="inlineStr">
        <is>
          <t>MATCH</t>
        </is>
      </c>
    </row>
    <row r="193">
      <c r="B193" s="15" t="inlineStr">
        <is>
          <t xml:space="preserve">    Unexplained items, escalated</t>
        </is>
      </c>
      <c r="C193" s="9">
        <f>SUMIFS('Match Groups'!$Y$5:$Y$1326,'Match Groups'!$B$5:$B$1326,"PAY",'Match Groups'!$AC$5:$AC$1326,"BANK-ONLY",'Match Groups'!$D$5:$D$1326,"UNEXP")</f>
        <v>0</v>
      </c>
      <c r="E193" s="14" t="inlineStr">
        <is>
          <t>UNEXP</t>
        </is>
      </c>
    </row>
    <row r="194">
      <c r="B194" s="15" t="inlineStr">
        <is>
          <t xml:space="preserve">    Unclassified (should be nil)</t>
        </is>
      </c>
      <c r="C194" s="9">
        <f>ROUND(SUMIFS('Match Groups'!$Y$5:$Y$1326,'Match Groups'!$B$5:$B$1326,"PAY",'Match Groups'!$AC$5:$AC$1326,"BANK-ONLY")-SUM(C183:C193),2)</f>
        <v>0</v>
      </c>
      <c r="E194" s="14" t="inlineStr">
        <is>
          <t>control</t>
        </is>
      </c>
    </row>
    <row r="195">
      <c r="B195" s="16" t="inlineStr">
        <is>
          <t>Add / (less): differences on matched items</t>
        </is>
      </c>
    </row>
    <row r="196">
      <c r="B196" s="15" t="inlineStr">
        <is>
          <t xml:space="preserve">    Stripe fees and disputes deducted from payouts</t>
        </is>
      </c>
      <c r="C196" s="9">
        <f>SUMIFS('Match Groups'!$AD$5:$AD$1326,'Match Groups'!$B$5:$B$1326,"PAY",'Match Groups'!$D$5:$D$1326,"STRIPE-FEE")</f>
        <v>0</v>
      </c>
      <c r="E196" s="14" t="inlineStr">
        <is>
          <t>STRIPE-FEE</t>
        </is>
      </c>
    </row>
    <row r="197">
      <c r="B197" s="15" t="inlineStr">
        <is>
          <t xml:space="preserve">    Short payments registered in Odoo at full value</t>
        </is>
      </c>
      <c r="C197" s="9">
        <f>SUMIFS('Match Groups'!$AD$5:$AD$1326,'Match Groups'!$B$5:$B$1326,"PAY",'Match Groups'!$D$5:$D$1326,"SHORT")</f>
        <v>0</v>
      </c>
      <c r="E197" s="14" t="inlineStr">
        <is>
          <t>SHORT</t>
        </is>
      </c>
    </row>
    <row r="198">
      <c r="B198" s="15" t="inlineStr">
        <is>
          <t xml:space="preserve">    FX conversions: bank rate vs Odoo rate</t>
        </is>
      </c>
      <c r="C198" s="9">
        <f>SUMIFS('Match Groups'!$AD$5:$AD$1326,'Match Groups'!$B$5:$B$1326,"PAY",'Match Groups'!$D$5:$D$1326,"FXR")</f>
        <v>0</v>
      </c>
      <c r="E198" s="14" t="inlineStr">
        <is>
          <t>FXR</t>
        </is>
      </c>
    </row>
    <row r="199">
      <c r="B199" s="15" t="inlineStr">
        <is>
          <t xml:space="preserve">    Intermediary bank fees on inward transfers</t>
        </is>
      </c>
      <c r="C199" s="9">
        <f>SUMIFS('Match Groups'!$AD$5:$AD$1326,'Match Groups'!$B$5:$B$1326,"PAY",'Match Groups'!$D$5:$D$1326,"FEE-DIFF")</f>
        <v>0</v>
      </c>
      <c r="E199" s="14" t="inlineStr">
        <is>
          <t>FEE-DIFF</t>
        </is>
      </c>
    </row>
    <row r="200">
      <c r="B200" s="15" t="inlineStr">
        <is>
          <t xml:space="preserve">    Card refunds missing from the POS export</t>
        </is>
      </c>
      <c r="C200" s="9">
        <f>SUMIFS('Match Groups'!$AD$5:$AD$1326,'Match Groups'!$B$5:$B$1326,"PAY",'Match Groups'!$D$5:$D$1326,"REFUND-GAP")</f>
        <v>0</v>
      </c>
      <c r="E200" s="14" t="inlineStr">
        <is>
          <t>REFUND-GAP</t>
        </is>
      </c>
    </row>
    <row r="201">
      <c r="B201" s="15" t="inlineStr">
        <is>
          <t xml:space="preserve">    Other differences on matched items (should be nil)</t>
        </is>
      </c>
      <c r="C201" s="9">
        <f>ROUND(SUMIFS('Match Groups'!$AD$5:$AD$1326,'Match Groups'!$B$5:$B$1326,"PAY")-SUM(C196:C200),2)</f>
        <v>0</v>
      </c>
      <c r="E201" s="14" t="inlineStr">
        <is>
          <t>control</t>
        </is>
      </c>
    </row>
    <row r="202">
      <c r="B202" s="15" t="inlineStr">
        <is>
          <t xml:space="preserve">    Less: receipts registered twice in Odoo</t>
        </is>
      </c>
      <c r="C202" s="9">
        <f>-SUMIFS('Match Groups'!$Z$5:$Z$1326,'Match Groups'!$B$5:$B$1326,"PAY",'Match Groups'!$AC$5:$AC$1326,"ODOO-ONLY",'Match Groups'!$D$5:$D$1326,"DUPL")</f>
        <v>0</v>
      </c>
      <c r="E202" s="14" t="inlineStr">
        <is>
          <t>DUPL</t>
        </is>
      </c>
    </row>
    <row r="203">
      <c r="B203" s="4" t="inlineStr">
        <is>
          <t>Adjusted Odoo balance</t>
        </is>
      </c>
      <c r="D203" s="13">
        <f>ROUND(D181+SUM(C183:C202),2)</f>
        <v>24970</v>
      </c>
    </row>
    <row r="205">
      <c r="B205" s="4" t="inlineStr">
        <is>
          <t>Unexplained difference (adjusted bank - adjusted Odoo)</t>
        </is>
      </c>
      <c r="D205" s="17">
        <f>ROUND(D179-D203,2)</f>
        <v>0</v>
      </c>
    </row>
    <row r="206">
      <c r="B206" s="15" t="inlineStr">
        <is>
          <t xml:space="preserve">    Duplicate statement lines removed from the Odoo import (count)</t>
        </is>
      </c>
      <c r="C206" s="18">
        <f>COUNTIFS('Bank Lines'!$B$5:$B$1640,"PAY",'Bank Lines'!$I$5:$I$1640,"DUPIMP",'Bank Lines'!$C$5:$C$1640,"&gt;="&amp;Cover!$B$15,'Bank Lines'!$C$5:$C$1640,"&lt;="&amp;Cover!$C$15)</f>
        <v>0</v>
      </c>
      <c r="E206" s="14" t="inlineStr">
        <is>
          <t>R01</t>
        </is>
      </c>
    </row>
    <row r="209">
      <c r="B209" s="12" t="inlineStr">
        <is>
          <t>Merchant settlement account (MER, AUD)  ·  month ending 31 Jul 2026</t>
        </is>
      </c>
      <c r="C209" s="2" t="n"/>
      <c r="D209" s="2" t="n"/>
      <c r="E209" s="2" t="n"/>
    </row>
    <row r="210">
      <c r="B210" s="4" t="inlineStr">
        <is>
          <t>Balance per bank statement</t>
        </is>
      </c>
      <c r="D210" s="13">
        <f>SUMIFS('Statement Balances'!$F$5:$F$16,'Statement Balances'!$A$5:$A$16,"MER",'Statement Balances'!$D$5:$D$16,Cover!$C$13)</f>
        <v>122987.04</v>
      </c>
      <c r="E210" s="14" t="inlineStr">
        <is>
          <t>Statement Balances</t>
        </is>
      </c>
    </row>
    <row r="211">
      <c r="B211" s="15" t="inlineStr">
        <is>
          <t xml:space="preserve">    Add: deposits in transit (in Odoo, not yet on the statement)</t>
        </is>
      </c>
      <c r="C211" s="9">
        <f>SUMIFS('Match Groups'!$N$5:$N$1326,'Match Groups'!$B$5:$B$1326,"MER",'Match Groups'!$Q$5:$Q$1326,"ODOO-ONLY",'Match Groups'!$N$5:$N$1326,"&gt;0",'Match Groups'!$D$5:$D$1326,"&lt;&gt;DUPL")</f>
        <v>5910.32</v>
      </c>
      <c r="E211" s="14" t="inlineStr">
        <is>
          <t>Match Groups: Odoo-only, receipts</t>
        </is>
      </c>
    </row>
    <row r="212">
      <c r="B212" s="15" t="inlineStr">
        <is>
          <t xml:space="preserve">    Less: unpresented payments (in Odoo, not yet on the statement)</t>
        </is>
      </c>
      <c r="C212" s="9">
        <f>SUMIFS('Match Groups'!$N$5:$N$1326,'Match Groups'!$B$5:$B$1326,"MER",'Match Groups'!$Q$5:$Q$1326,"ODOO-ONLY",'Match Groups'!$N$5:$N$1326,"&lt;0",'Match Groups'!$D$5:$D$1326,"&lt;&gt;DUPL")</f>
        <v>0</v>
      </c>
      <c r="E212" s="14" t="inlineStr">
        <is>
          <t>Match Groups: Odoo-only, payments</t>
        </is>
      </c>
    </row>
    <row r="213">
      <c r="B213" s="4" t="inlineStr">
        <is>
          <t>Adjusted bank balance</t>
        </is>
      </c>
      <c r="D213" s="13">
        <f>ROUND(D210+C211+C212,2)</f>
        <v>128897.36</v>
      </c>
    </row>
    <row r="215">
      <c r="B215" s="4" t="inlineStr">
        <is>
          <t>Balance per Odoo ledger</t>
        </is>
      </c>
      <c r="D215" s="13">
        <f>SUMIFS('Odoo TB'!$D$5:$D$20,'Odoo TB'!$A$5:$A$20,"MER",'Odoo TB'!$C$5:$C$20,Cover!$C$13)</f>
        <v>131100.4</v>
      </c>
      <c r="E215" s="14" t="inlineStr">
        <is>
          <t>Odoo TB</t>
        </is>
      </c>
    </row>
    <row r="216">
      <c r="B216" s="16" t="inlineStr">
        <is>
          <t>Add / (less): items on the statement not yet in Odoo</t>
        </is>
      </c>
    </row>
    <row r="217">
      <c r="B217" s="15" t="inlineStr">
        <is>
          <t xml:space="preserve">    Receipts in bank, not yet registered in Odoo (open invoices)</t>
        </is>
      </c>
      <c r="C217" s="9">
        <f>SUMIFS('Match Groups'!$M$5:$M$1326,'Match Groups'!$B$5:$B$1326,"MER",'Match Groups'!$Q$5:$Q$1326,"BANK-ONLY",'Match Groups'!$D$5:$D$1326,"REG")</f>
        <v>0</v>
      </c>
      <c r="E217" s="14" t="inlineStr">
        <is>
          <t>REG</t>
        </is>
      </c>
    </row>
    <row r="218">
      <c r="B218" s="15" t="inlineStr">
        <is>
          <t xml:space="preserve">    Direct debits in bank, not yet registered in Odoo (open bills)</t>
        </is>
      </c>
      <c r="C218" s="9">
        <f>SUMIFS('Match Groups'!$M$5:$M$1326,'Match Groups'!$B$5:$B$1326,"MER",'Match Groups'!$Q$5:$Q$1326,"BANK-ONLY",'Match Groups'!$D$5:$D$1326,"REGBILL")</f>
        <v>0</v>
      </c>
      <c r="E218" s="14" t="inlineStr">
        <is>
          <t>REGBILL</t>
        </is>
      </c>
    </row>
    <row r="219">
      <c r="B219" s="15" t="inlineStr">
        <is>
          <t xml:space="preserve">    Direct debits with no bill in Odoo</t>
        </is>
      </c>
      <c r="C219" s="9">
        <f>SUMIFS('Match Groups'!$M$5:$M$1326,'Match Groups'!$B$5:$B$1326,"MER",'Match Groups'!$Q$5:$Q$1326,"BANK-ONLY",'Match Groups'!$D$5:$D$1326,"NOBILL")</f>
        <v>0</v>
      </c>
      <c r="E219" s="14" t="inlineStr">
        <is>
          <t>NOBILL</t>
        </is>
      </c>
    </row>
    <row r="220">
      <c r="B220" s="15" t="inlineStr">
        <is>
          <t xml:space="preserve">    Bank fees and charges not yet recorded</t>
        </is>
      </c>
      <c r="C220" s="9">
        <f>SUMIFS('Match Groups'!$M$5:$M$1326,'Match Groups'!$B$5:$B$1326,"MER",'Match Groups'!$Q$5:$Q$1326,"BANK-ONLY",'Match Groups'!$D$5:$D$1326,"FEE")</f>
        <v>0</v>
      </c>
      <c r="E220" s="14" t="inlineStr">
        <is>
          <t>FEE</t>
        </is>
      </c>
    </row>
    <row r="221">
      <c r="B221" s="15" t="inlineStr">
        <is>
          <t xml:space="preserve">    Interest received not yet recorded</t>
        </is>
      </c>
      <c r="C221" s="9">
        <f>SUMIFS('Match Groups'!$M$5:$M$1326,'Match Groups'!$B$5:$B$1326,"MER",'Match Groups'!$Q$5:$Q$1326,"BANK-ONLY",'Match Groups'!$D$5:$D$1326,"INT")</f>
        <v>0</v>
      </c>
      <c r="E221" s="14" t="inlineStr">
        <is>
          <t>INT</t>
        </is>
      </c>
    </row>
    <row r="222">
      <c r="B222" s="15" t="inlineStr">
        <is>
          <t xml:space="preserve">    Merchant service fees not yet recorded</t>
        </is>
      </c>
      <c r="C222" s="9">
        <f>SUMIFS('Match Groups'!$M$5:$M$1326,'Match Groups'!$B$5:$B$1326,"MER",'Match Groups'!$Q$5:$Q$1326,"BANK-ONLY",'Match Groups'!$D$5:$D$1326,"MERCH")</f>
        <v>-2203.04</v>
      </c>
      <c r="E222" s="14" t="inlineStr">
        <is>
          <t>MERCH</t>
        </is>
      </c>
    </row>
    <row r="223">
      <c r="B223" s="15" t="inlineStr">
        <is>
          <t xml:space="preserve">    Card chargebacks not yet recorded</t>
        </is>
      </c>
      <c r="C223" s="9">
        <f>SUMIFS('Match Groups'!$M$5:$M$1326,'Match Groups'!$B$5:$B$1326,"MER",'Match Groups'!$Q$5:$Q$1326,"BANK-ONLY",'Match Groups'!$D$5:$D$1326,"CHGBK")</f>
        <v>0</v>
      </c>
      <c r="E223" s="14" t="inlineStr">
        <is>
          <t>CHGBK</t>
        </is>
      </c>
    </row>
    <row r="224">
      <c r="B224" s="15" t="inlineStr">
        <is>
          <t xml:space="preserve">    Returned supplier payments</t>
        </is>
      </c>
      <c r="C224" s="9">
        <f>SUMIFS('Match Groups'!$M$5:$M$1326,'Match Groups'!$B$5:$B$1326,"MER",'Match Groups'!$Q$5:$Q$1326,"BANK-ONLY",'Match Groups'!$D$5:$D$1326,"RETPAY")</f>
        <v>0</v>
      </c>
      <c r="E224" s="14" t="inlineStr">
        <is>
          <t>RETPAY</t>
        </is>
      </c>
    </row>
    <row r="225">
      <c r="B225" s="15" t="inlineStr">
        <is>
          <t xml:space="preserve">    Returned and reissued wages (nets to nil)</t>
        </is>
      </c>
      <c r="C225" s="9">
        <f>SUMIFS('Match Groups'!$M$5:$M$1326,'Match Groups'!$B$5:$B$1326,"MER",'Match Groups'!$Q$5:$Q$1326,"BANK-ONLY",'Match Groups'!$D$5:$D$1326,"RETPAY-PAY")</f>
        <v>0</v>
      </c>
      <c r="E225" s="14" t="inlineStr">
        <is>
          <t>RETPAY-PAY</t>
        </is>
      </c>
    </row>
    <row r="226">
      <c r="B226" s="15" t="inlineStr">
        <is>
          <t xml:space="preserve">    Timing: in bank this month, recorded in Odoo after month end</t>
        </is>
      </c>
      <c r="C226" s="9">
        <f>SUMIFS('Match Groups'!$M$5:$M$1326,'Match Groups'!$B$5:$B$1326,"MER",'Match Groups'!$Q$5:$Q$1326,"BANK-ONLY",'Match Groups'!$D$5:$D$1326,"MATCH")</f>
        <v>0</v>
      </c>
      <c r="E226" s="14" t="inlineStr">
        <is>
          <t>MATCH</t>
        </is>
      </c>
    </row>
    <row r="227">
      <c r="B227" s="15" t="inlineStr">
        <is>
          <t xml:space="preserve">    Unexplained items, escalated</t>
        </is>
      </c>
      <c r="C227" s="9">
        <f>SUMIFS('Match Groups'!$M$5:$M$1326,'Match Groups'!$B$5:$B$1326,"MER",'Match Groups'!$Q$5:$Q$1326,"BANK-ONLY",'Match Groups'!$D$5:$D$1326,"UNEXP")</f>
        <v>0</v>
      </c>
      <c r="E227" s="14" t="inlineStr">
        <is>
          <t>UNEXP</t>
        </is>
      </c>
    </row>
    <row r="228">
      <c r="B228" s="15" t="inlineStr">
        <is>
          <t xml:space="preserve">    Unclassified (should be nil)</t>
        </is>
      </c>
      <c r="C228" s="9">
        <f>ROUND(SUMIFS('Match Groups'!$M$5:$M$1326,'Match Groups'!$B$5:$B$1326,"MER",'Match Groups'!$Q$5:$Q$1326,"BANK-ONLY")-SUM(C217:C227),2)</f>
        <v>0</v>
      </c>
      <c r="E228" s="14" t="inlineStr">
        <is>
          <t>control</t>
        </is>
      </c>
    </row>
    <row r="229">
      <c r="B229" s="16" t="inlineStr">
        <is>
          <t>Add / (less): differences on matched items</t>
        </is>
      </c>
    </row>
    <row r="230">
      <c r="B230" s="15" t="inlineStr">
        <is>
          <t xml:space="preserve">    Stripe fees and disputes deducted from payouts</t>
        </is>
      </c>
      <c r="C230" s="9">
        <f>SUMIFS('Match Groups'!$R$5:$R$1326,'Match Groups'!$B$5:$B$1326,"MER",'Match Groups'!$D$5:$D$1326,"STRIPE-FEE")</f>
        <v>0</v>
      </c>
      <c r="E230" s="14" t="inlineStr">
        <is>
          <t>STRIPE-FEE</t>
        </is>
      </c>
    </row>
    <row r="231">
      <c r="B231" s="15" t="inlineStr">
        <is>
          <t xml:space="preserve">    Short payments registered in Odoo at full value</t>
        </is>
      </c>
      <c r="C231" s="9">
        <f>SUMIFS('Match Groups'!$R$5:$R$1326,'Match Groups'!$B$5:$B$1326,"MER",'Match Groups'!$D$5:$D$1326,"SHORT")</f>
        <v>0</v>
      </c>
      <c r="E231" s="14" t="inlineStr">
        <is>
          <t>SHORT</t>
        </is>
      </c>
    </row>
    <row r="232">
      <c r="B232" s="15" t="inlineStr">
        <is>
          <t xml:space="preserve">    FX conversions: bank rate vs Odoo rate</t>
        </is>
      </c>
      <c r="C232" s="9">
        <f>SUMIFS('Match Groups'!$R$5:$R$1326,'Match Groups'!$B$5:$B$1326,"MER",'Match Groups'!$D$5:$D$1326,"FXR")</f>
        <v>0</v>
      </c>
      <c r="E232" s="14" t="inlineStr">
        <is>
          <t>FXR</t>
        </is>
      </c>
    </row>
    <row r="233">
      <c r="B233" s="15" t="inlineStr">
        <is>
          <t xml:space="preserve">    Intermediary bank fees on inward transfers</t>
        </is>
      </c>
      <c r="C233" s="9">
        <f>SUMIFS('Match Groups'!$R$5:$R$1326,'Match Groups'!$B$5:$B$1326,"MER",'Match Groups'!$D$5:$D$1326,"FEE-DIFF")</f>
        <v>0</v>
      </c>
      <c r="E233" s="14" t="inlineStr">
        <is>
          <t>FEE-DIFF</t>
        </is>
      </c>
    </row>
    <row r="234">
      <c r="B234" s="15" t="inlineStr">
        <is>
          <t xml:space="preserve">    Card refunds missing from the POS export</t>
        </is>
      </c>
      <c r="C234" s="9">
        <f>SUMIFS('Match Groups'!$R$5:$R$1326,'Match Groups'!$B$5:$B$1326,"MER",'Match Groups'!$D$5:$D$1326,"REFUND-GAP")</f>
        <v>0</v>
      </c>
      <c r="E234" s="14" t="inlineStr">
        <is>
          <t>REFUND-GAP</t>
        </is>
      </c>
    </row>
    <row r="235">
      <c r="B235" s="15" t="inlineStr">
        <is>
          <t xml:space="preserve">    Other differences on matched items (should be nil)</t>
        </is>
      </c>
      <c r="C235" s="9">
        <f>ROUND(SUMIFS('Match Groups'!$R$5:$R$1326,'Match Groups'!$B$5:$B$1326,"MER")-SUM(C230:C234),2)</f>
        <v>0</v>
      </c>
      <c r="E235" s="14" t="inlineStr">
        <is>
          <t>control</t>
        </is>
      </c>
    </row>
    <row r="236">
      <c r="B236" s="15" t="inlineStr">
        <is>
          <t xml:space="preserve">    Less: receipts registered twice in Odoo</t>
        </is>
      </c>
      <c r="C236" s="9">
        <f>-SUMIFS('Match Groups'!$N$5:$N$1326,'Match Groups'!$B$5:$B$1326,"MER",'Match Groups'!$Q$5:$Q$1326,"ODOO-ONLY",'Match Groups'!$D$5:$D$1326,"DUPL")</f>
        <v>0</v>
      </c>
      <c r="E236" s="14" t="inlineStr">
        <is>
          <t>DUPL</t>
        </is>
      </c>
    </row>
    <row r="237">
      <c r="B237" s="4" t="inlineStr">
        <is>
          <t>Adjusted Odoo balance</t>
        </is>
      </c>
      <c r="D237" s="13">
        <f>ROUND(D215+SUM(C217:C236),2)</f>
        <v>128897.36</v>
      </c>
    </row>
    <row r="239">
      <c r="B239" s="4" t="inlineStr">
        <is>
          <t>Unexplained difference (adjusted bank - adjusted Odoo)</t>
        </is>
      </c>
      <c r="D239" s="17">
        <f>ROUND(D213-D237,2)</f>
        <v>0</v>
      </c>
    </row>
    <row r="240">
      <c r="B240" s="15" t="inlineStr">
        <is>
          <t xml:space="preserve">    Duplicate statement lines removed from the Odoo import (count)</t>
        </is>
      </c>
      <c r="C240" s="18">
        <f>COUNTIFS('Bank Lines'!$B$5:$B$1640,"MER",'Bank Lines'!$I$5:$I$1640,"DUPIMP",'Bank Lines'!$C$5:$C$1640,"&gt;="&amp;Cover!$B$13,'Bank Lines'!$C$5:$C$1640,"&lt;="&amp;Cover!$C$13)</f>
        <v>0</v>
      </c>
      <c r="E240" s="14" t="inlineStr">
        <is>
          <t>R01</t>
        </is>
      </c>
    </row>
    <row r="243">
      <c r="B243" s="12" t="inlineStr">
        <is>
          <t>Merchant settlement account (MER, AUD)  ·  month ending 31 Aug 2026</t>
        </is>
      </c>
      <c r="C243" s="2" t="n"/>
      <c r="D243" s="2" t="n"/>
      <c r="E243" s="2" t="n"/>
    </row>
    <row r="244">
      <c r="B244" s="4" t="inlineStr">
        <is>
          <t>Balance per bank statement</t>
        </is>
      </c>
      <c r="D244" s="13">
        <f>SUMIFS('Statement Balances'!$F$5:$F$16,'Statement Balances'!$A$5:$A$16,"MER",'Statement Balances'!$D$5:$D$16,Cover!$C$14)</f>
        <v>189278.63</v>
      </c>
      <c r="E244" s="14" t="inlineStr">
        <is>
          <t>Statement Balances</t>
        </is>
      </c>
    </row>
    <row r="245">
      <c r="B245" s="15" t="inlineStr">
        <is>
          <t xml:space="preserve">    Add: deposits in transit (in Odoo, not yet on the statement)</t>
        </is>
      </c>
      <c r="C245" s="9">
        <f>SUMIFS('Match Groups'!$T$5:$T$1326,'Match Groups'!$B$5:$B$1326,"MER",'Match Groups'!$W$5:$W$1326,"ODOO-ONLY",'Match Groups'!$T$5:$T$1326,"&gt;0",'Match Groups'!$D$5:$D$1326,"&lt;&gt;DUPL")</f>
        <v>8019.44</v>
      </c>
      <c r="E245" s="14" t="inlineStr">
        <is>
          <t>Match Groups: Odoo-only, receipts</t>
        </is>
      </c>
    </row>
    <row r="246">
      <c r="B246" s="15" t="inlineStr">
        <is>
          <t xml:space="preserve">    Less: unpresented payments (in Odoo, not yet on the statement)</t>
        </is>
      </c>
      <c r="C246" s="9">
        <f>SUMIFS('Match Groups'!$T$5:$T$1326,'Match Groups'!$B$5:$B$1326,"MER",'Match Groups'!$W$5:$W$1326,"ODOO-ONLY",'Match Groups'!$T$5:$T$1326,"&lt;0",'Match Groups'!$D$5:$D$1326,"&lt;&gt;DUPL")</f>
        <v>0</v>
      </c>
      <c r="E246" s="14" t="inlineStr">
        <is>
          <t>Match Groups: Odoo-only, payments</t>
        </is>
      </c>
    </row>
    <row r="247">
      <c r="B247" s="4" t="inlineStr">
        <is>
          <t>Adjusted bank balance</t>
        </is>
      </c>
      <c r="D247" s="13">
        <f>ROUND(D244+C245+C246,2)</f>
        <v>197298.07</v>
      </c>
    </row>
    <row r="249">
      <c r="B249" s="4" t="inlineStr">
        <is>
          <t>Balance per Odoo ledger</t>
        </is>
      </c>
      <c r="D249" s="13">
        <f>SUMIFS('Odoo TB'!$D$5:$D$20,'Odoo TB'!$A$5:$A$20,"MER",'Odoo TB'!$C$5:$C$20,Cover!$C$14)</f>
        <v>202048</v>
      </c>
      <c r="E249" s="14" t="inlineStr">
        <is>
          <t>Odoo TB</t>
        </is>
      </c>
    </row>
    <row r="250">
      <c r="B250" s="16" t="inlineStr">
        <is>
          <t>Add / (less): items on the statement not yet in Odoo</t>
        </is>
      </c>
    </row>
    <row r="251">
      <c r="B251" s="15" t="inlineStr">
        <is>
          <t xml:space="preserve">    Receipts in bank, not yet registered in Odoo (open invoices)</t>
        </is>
      </c>
      <c r="C251" s="9">
        <f>SUMIFS('Match Groups'!$S$5:$S$1326,'Match Groups'!$B$5:$B$1326,"MER",'Match Groups'!$W$5:$W$1326,"BANK-ONLY",'Match Groups'!$D$5:$D$1326,"REG")</f>
        <v>0</v>
      </c>
      <c r="E251" s="14" t="inlineStr">
        <is>
          <t>REG</t>
        </is>
      </c>
    </row>
    <row r="252">
      <c r="B252" s="15" t="inlineStr">
        <is>
          <t xml:space="preserve">    Direct debits in bank, not yet registered in Odoo (open bills)</t>
        </is>
      </c>
      <c r="C252" s="9">
        <f>SUMIFS('Match Groups'!$S$5:$S$1326,'Match Groups'!$B$5:$B$1326,"MER",'Match Groups'!$W$5:$W$1326,"BANK-ONLY",'Match Groups'!$D$5:$D$1326,"REGBILL")</f>
        <v>0</v>
      </c>
      <c r="E252" s="14" t="inlineStr">
        <is>
          <t>REGBILL</t>
        </is>
      </c>
    </row>
    <row r="253">
      <c r="B253" s="15" t="inlineStr">
        <is>
          <t xml:space="preserve">    Direct debits with no bill in Odoo</t>
        </is>
      </c>
      <c r="C253" s="9">
        <f>SUMIFS('Match Groups'!$S$5:$S$1326,'Match Groups'!$B$5:$B$1326,"MER",'Match Groups'!$W$5:$W$1326,"BANK-ONLY",'Match Groups'!$D$5:$D$1326,"NOBILL")</f>
        <v>0</v>
      </c>
      <c r="E253" s="14" t="inlineStr">
        <is>
          <t>NOBILL</t>
        </is>
      </c>
    </row>
    <row r="254">
      <c r="B254" s="15" t="inlineStr">
        <is>
          <t xml:space="preserve">    Bank fees and charges not yet recorded</t>
        </is>
      </c>
      <c r="C254" s="9">
        <f>SUMIFS('Match Groups'!$S$5:$S$1326,'Match Groups'!$B$5:$B$1326,"MER",'Match Groups'!$W$5:$W$1326,"BANK-ONLY",'Match Groups'!$D$5:$D$1326,"FEE")</f>
        <v>0</v>
      </c>
      <c r="E254" s="14" t="inlineStr">
        <is>
          <t>FEE</t>
        </is>
      </c>
    </row>
    <row r="255">
      <c r="B255" s="15" t="inlineStr">
        <is>
          <t xml:space="preserve">    Interest received not yet recorded</t>
        </is>
      </c>
      <c r="C255" s="9">
        <f>SUMIFS('Match Groups'!$S$5:$S$1326,'Match Groups'!$B$5:$B$1326,"MER",'Match Groups'!$W$5:$W$1326,"BANK-ONLY",'Match Groups'!$D$5:$D$1326,"INT")</f>
        <v>0</v>
      </c>
      <c r="E255" s="14" t="inlineStr">
        <is>
          <t>INT</t>
        </is>
      </c>
    </row>
    <row r="256">
      <c r="B256" s="15" t="inlineStr">
        <is>
          <t xml:space="preserve">    Merchant service fees not yet recorded</t>
        </is>
      </c>
      <c r="C256" s="9">
        <f>SUMIFS('Match Groups'!$S$5:$S$1326,'Match Groups'!$B$5:$B$1326,"MER",'Match Groups'!$W$5:$W$1326,"BANK-ONLY",'Match Groups'!$D$5:$D$1326,"MERCH")</f>
        <v>-4289.93</v>
      </c>
      <c r="E256" s="14" t="inlineStr">
        <is>
          <t>MERCH</t>
        </is>
      </c>
    </row>
    <row r="257">
      <c r="B257" s="15" t="inlineStr">
        <is>
          <t xml:space="preserve">    Card chargebacks not yet recorded</t>
        </is>
      </c>
      <c r="C257" s="9">
        <f>SUMIFS('Match Groups'!$S$5:$S$1326,'Match Groups'!$B$5:$B$1326,"MER",'Match Groups'!$W$5:$W$1326,"BANK-ONLY",'Match Groups'!$D$5:$D$1326,"CHGBK")</f>
        <v>-340</v>
      </c>
      <c r="E257" s="14" t="inlineStr">
        <is>
          <t>CHGBK</t>
        </is>
      </c>
    </row>
    <row r="258">
      <c r="B258" s="15" t="inlineStr">
        <is>
          <t xml:space="preserve">    Returned supplier payments</t>
        </is>
      </c>
      <c r="C258" s="9">
        <f>SUMIFS('Match Groups'!$S$5:$S$1326,'Match Groups'!$B$5:$B$1326,"MER",'Match Groups'!$W$5:$W$1326,"BANK-ONLY",'Match Groups'!$D$5:$D$1326,"RETPAY")</f>
        <v>0</v>
      </c>
      <c r="E258" s="14" t="inlineStr">
        <is>
          <t>RETPAY</t>
        </is>
      </c>
    </row>
    <row r="259">
      <c r="B259" s="15" t="inlineStr">
        <is>
          <t xml:space="preserve">    Returned and reissued wages (nets to nil)</t>
        </is>
      </c>
      <c r="C259" s="9">
        <f>SUMIFS('Match Groups'!$S$5:$S$1326,'Match Groups'!$B$5:$B$1326,"MER",'Match Groups'!$W$5:$W$1326,"BANK-ONLY",'Match Groups'!$D$5:$D$1326,"RETPAY-PAY")</f>
        <v>0</v>
      </c>
      <c r="E259" s="14" t="inlineStr">
        <is>
          <t>RETPAY-PAY</t>
        </is>
      </c>
    </row>
    <row r="260">
      <c r="B260" s="15" t="inlineStr">
        <is>
          <t xml:space="preserve">    Timing: in bank this month, recorded in Odoo after month end</t>
        </is>
      </c>
      <c r="C260" s="9">
        <f>SUMIFS('Match Groups'!$S$5:$S$1326,'Match Groups'!$B$5:$B$1326,"MER",'Match Groups'!$W$5:$W$1326,"BANK-ONLY",'Match Groups'!$D$5:$D$1326,"MATCH")</f>
        <v>0</v>
      </c>
      <c r="E260" s="14" t="inlineStr">
        <is>
          <t>MATCH</t>
        </is>
      </c>
    </row>
    <row r="261">
      <c r="B261" s="15" t="inlineStr">
        <is>
          <t xml:space="preserve">    Unexplained items, escalated</t>
        </is>
      </c>
      <c r="C261" s="9">
        <f>SUMIFS('Match Groups'!$S$5:$S$1326,'Match Groups'!$B$5:$B$1326,"MER",'Match Groups'!$W$5:$W$1326,"BANK-ONLY",'Match Groups'!$D$5:$D$1326,"UNEXP")</f>
        <v>0</v>
      </c>
      <c r="E261" s="14" t="inlineStr">
        <is>
          <t>UNEXP</t>
        </is>
      </c>
    </row>
    <row r="262">
      <c r="B262" s="15" t="inlineStr">
        <is>
          <t xml:space="preserve">    Unclassified (should be nil)</t>
        </is>
      </c>
      <c r="C262" s="9">
        <f>ROUND(SUMIFS('Match Groups'!$S$5:$S$1326,'Match Groups'!$B$5:$B$1326,"MER",'Match Groups'!$W$5:$W$1326,"BANK-ONLY")-SUM(C251:C261),2)</f>
        <v>0</v>
      </c>
      <c r="E262" s="14" t="inlineStr">
        <is>
          <t>control</t>
        </is>
      </c>
    </row>
    <row r="263">
      <c r="B263" s="16" t="inlineStr">
        <is>
          <t>Add / (less): differences on matched items</t>
        </is>
      </c>
    </row>
    <row r="264">
      <c r="B264" s="15" t="inlineStr">
        <is>
          <t xml:space="preserve">    Stripe fees and disputes deducted from payouts</t>
        </is>
      </c>
      <c r="C264" s="9">
        <f>SUMIFS('Match Groups'!$X$5:$X$1326,'Match Groups'!$B$5:$B$1326,"MER",'Match Groups'!$D$5:$D$1326,"STRIPE-FEE")</f>
        <v>0</v>
      </c>
      <c r="E264" s="14" t="inlineStr">
        <is>
          <t>STRIPE-FEE</t>
        </is>
      </c>
    </row>
    <row r="265">
      <c r="B265" s="15" t="inlineStr">
        <is>
          <t xml:space="preserve">    Short payments registered in Odoo at full value</t>
        </is>
      </c>
      <c r="C265" s="9">
        <f>SUMIFS('Match Groups'!$X$5:$X$1326,'Match Groups'!$B$5:$B$1326,"MER",'Match Groups'!$D$5:$D$1326,"SHORT")</f>
        <v>0</v>
      </c>
      <c r="E265" s="14" t="inlineStr">
        <is>
          <t>SHORT</t>
        </is>
      </c>
    </row>
    <row r="266">
      <c r="B266" s="15" t="inlineStr">
        <is>
          <t xml:space="preserve">    FX conversions: bank rate vs Odoo rate</t>
        </is>
      </c>
      <c r="C266" s="9">
        <f>SUMIFS('Match Groups'!$X$5:$X$1326,'Match Groups'!$B$5:$B$1326,"MER",'Match Groups'!$D$5:$D$1326,"FXR")</f>
        <v>0</v>
      </c>
      <c r="E266" s="14" t="inlineStr">
        <is>
          <t>FXR</t>
        </is>
      </c>
    </row>
    <row r="267">
      <c r="B267" s="15" t="inlineStr">
        <is>
          <t xml:space="preserve">    Intermediary bank fees on inward transfers</t>
        </is>
      </c>
      <c r="C267" s="9">
        <f>SUMIFS('Match Groups'!$X$5:$X$1326,'Match Groups'!$B$5:$B$1326,"MER",'Match Groups'!$D$5:$D$1326,"FEE-DIFF")</f>
        <v>0</v>
      </c>
      <c r="E267" s="14" t="inlineStr">
        <is>
          <t>FEE-DIFF</t>
        </is>
      </c>
    </row>
    <row r="268">
      <c r="B268" s="15" t="inlineStr">
        <is>
          <t xml:space="preserve">    Card refunds missing from the POS export</t>
        </is>
      </c>
      <c r="C268" s="9">
        <f>SUMIFS('Match Groups'!$X$5:$X$1326,'Match Groups'!$B$5:$B$1326,"MER",'Match Groups'!$D$5:$D$1326,"REFUND-GAP")</f>
        <v>-120</v>
      </c>
      <c r="E268" s="14" t="inlineStr">
        <is>
          <t>REFUND-GAP</t>
        </is>
      </c>
    </row>
    <row r="269">
      <c r="B269" s="15" t="inlineStr">
        <is>
          <t xml:space="preserve">    Other differences on matched items (should be nil)</t>
        </is>
      </c>
      <c r="C269" s="9">
        <f>ROUND(SUMIFS('Match Groups'!$X$5:$X$1326,'Match Groups'!$B$5:$B$1326,"MER")-SUM(C264:C268),2)</f>
        <v>0</v>
      </c>
      <c r="E269" s="14" t="inlineStr">
        <is>
          <t>control</t>
        </is>
      </c>
    </row>
    <row r="270">
      <c r="B270" s="15" t="inlineStr">
        <is>
          <t xml:space="preserve">    Less: receipts registered twice in Odoo</t>
        </is>
      </c>
      <c r="C270" s="9">
        <f>-SUMIFS('Match Groups'!$T$5:$T$1326,'Match Groups'!$B$5:$B$1326,"MER",'Match Groups'!$W$5:$W$1326,"ODOO-ONLY",'Match Groups'!$D$5:$D$1326,"DUPL")</f>
        <v>0</v>
      </c>
      <c r="E270" s="14" t="inlineStr">
        <is>
          <t>DUPL</t>
        </is>
      </c>
    </row>
    <row r="271">
      <c r="B271" s="4" t="inlineStr">
        <is>
          <t>Adjusted Odoo balance</t>
        </is>
      </c>
      <c r="D271" s="13">
        <f>ROUND(D249+SUM(C251:C270),2)</f>
        <v>197298.07</v>
      </c>
    </row>
    <row r="273">
      <c r="B273" s="4" t="inlineStr">
        <is>
          <t>Unexplained difference (adjusted bank - adjusted Odoo)</t>
        </is>
      </c>
      <c r="D273" s="17">
        <f>ROUND(D247-D271,2)</f>
        <v>0</v>
      </c>
    </row>
    <row r="274">
      <c r="B274" s="15" t="inlineStr">
        <is>
          <t xml:space="preserve">    Duplicate statement lines removed from the Odoo import (count)</t>
        </is>
      </c>
      <c r="C274" s="18">
        <f>COUNTIFS('Bank Lines'!$B$5:$B$1640,"MER",'Bank Lines'!$I$5:$I$1640,"DUPIMP",'Bank Lines'!$C$5:$C$1640,"&gt;="&amp;Cover!$B$14,'Bank Lines'!$C$5:$C$1640,"&lt;="&amp;Cover!$C$14)</f>
        <v>0</v>
      </c>
      <c r="E274" s="14" t="inlineStr">
        <is>
          <t>R01</t>
        </is>
      </c>
    </row>
    <row r="277">
      <c r="B277" s="12" t="inlineStr">
        <is>
          <t>Merchant settlement account (MER, AUD)  ·  month ending 30 Sep 2026</t>
        </is>
      </c>
      <c r="C277" s="2" t="n"/>
      <c r="D277" s="2" t="n"/>
      <c r="E277" s="2" t="n"/>
    </row>
    <row r="278">
      <c r="B278" s="4" t="inlineStr">
        <is>
          <t>Balance per bank statement</t>
        </is>
      </c>
      <c r="D278" s="13">
        <f>SUMIFS('Statement Balances'!$F$5:$F$16,'Statement Balances'!$A$5:$A$16,"MER",'Statement Balances'!$D$5:$D$16,Cover!$C$15)</f>
        <v>319969.33</v>
      </c>
      <c r="E278" s="14" t="inlineStr">
        <is>
          <t>Statement Balances</t>
        </is>
      </c>
    </row>
    <row r="279">
      <c r="B279" s="15" t="inlineStr">
        <is>
          <t xml:space="preserve">    Add: deposits in transit (in Odoo, not yet on the statement)</t>
        </is>
      </c>
      <c r="C279" s="9">
        <f>SUMIFS('Match Groups'!$Z$5:$Z$1326,'Match Groups'!$B$5:$B$1326,"MER",'Match Groups'!$AC$5:$AC$1326,"ODOO-ONLY",'Match Groups'!$Z$5:$Z$1326,"&gt;0",'Match Groups'!$D$5:$D$1326,"&lt;&gt;DUPL")</f>
        <v>9173.55</v>
      </c>
      <c r="E279" s="14" t="inlineStr">
        <is>
          <t>Match Groups: Odoo-only, receipts</t>
        </is>
      </c>
    </row>
    <row r="280">
      <c r="B280" s="15" t="inlineStr">
        <is>
          <t xml:space="preserve">    Less: unpresented payments (in Odoo, not yet on the statement)</t>
        </is>
      </c>
      <c r="C280" s="9">
        <f>SUMIFS('Match Groups'!$Z$5:$Z$1326,'Match Groups'!$B$5:$B$1326,"MER",'Match Groups'!$AC$5:$AC$1326,"ODOO-ONLY",'Match Groups'!$Z$5:$Z$1326,"&lt;0",'Match Groups'!$D$5:$D$1326,"&lt;&gt;DUPL")</f>
        <v>0</v>
      </c>
      <c r="E280" s="14" t="inlineStr">
        <is>
          <t>Match Groups: Odoo-only, payments</t>
        </is>
      </c>
    </row>
    <row r="281">
      <c r="B281" s="4" t="inlineStr">
        <is>
          <t>Adjusted bank balance</t>
        </is>
      </c>
      <c r="D281" s="13">
        <f>ROUND(D278+C279+C280,2)</f>
        <v>329142.88</v>
      </c>
    </row>
    <row r="283">
      <c r="B283" s="4" t="inlineStr">
        <is>
          <t>Balance per Odoo ledger</t>
        </is>
      </c>
      <c r="D283" s="13">
        <f>SUMIFS('Odoo TB'!$D$5:$D$20,'Odoo TB'!$A$5:$A$20,"MER",'Odoo TB'!$C$5:$C$20,Cover!$C$15)</f>
        <v>336243.02</v>
      </c>
      <c r="E283" s="14" t="inlineStr">
        <is>
          <t>Odoo TB</t>
        </is>
      </c>
    </row>
    <row r="284">
      <c r="B284" s="16" t="inlineStr">
        <is>
          <t>Add / (less): items on the statement not yet in Odoo</t>
        </is>
      </c>
    </row>
    <row r="285">
      <c r="B285" s="15" t="inlineStr">
        <is>
          <t xml:space="preserve">    Receipts in bank, not yet registered in Odoo (open invoices)</t>
        </is>
      </c>
      <c r="C285" s="9">
        <f>SUMIFS('Match Groups'!$Y$5:$Y$1326,'Match Groups'!$B$5:$B$1326,"MER",'Match Groups'!$AC$5:$AC$1326,"BANK-ONLY",'Match Groups'!$D$5:$D$1326,"REG")</f>
        <v>0</v>
      </c>
      <c r="E285" s="14" t="inlineStr">
        <is>
          <t>REG</t>
        </is>
      </c>
    </row>
    <row r="286">
      <c r="B286" s="15" t="inlineStr">
        <is>
          <t xml:space="preserve">    Direct debits in bank, not yet registered in Odoo (open bills)</t>
        </is>
      </c>
      <c r="C286" s="9">
        <f>SUMIFS('Match Groups'!$Y$5:$Y$1326,'Match Groups'!$B$5:$B$1326,"MER",'Match Groups'!$AC$5:$AC$1326,"BANK-ONLY",'Match Groups'!$D$5:$D$1326,"REGBILL")</f>
        <v>0</v>
      </c>
      <c r="E286" s="14" t="inlineStr">
        <is>
          <t>REGBILL</t>
        </is>
      </c>
    </row>
    <row r="287">
      <c r="B287" s="15" t="inlineStr">
        <is>
          <t xml:space="preserve">    Direct debits with no bill in Odoo</t>
        </is>
      </c>
      <c r="C287" s="9">
        <f>SUMIFS('Match Groups'!$Y$5:$Y$1326,'Match Groups'!$B$5:$B$1326,"MER",'Match Groups'!$AC$5:$AC$1326,"BANK-ONLY",'Match Groups'!$D$5:$D$1326,"NOBILL")</f>
        <v>0</v>
      </c>
      <c r="E287" s="14" t="inlineStr">
        <is>
          <t>NOBILL</t>
        </is>
      </c>
    </row>
    <row r="288">
      <c r="B288" s="15" t="inlineStr">
        <is>
          <t xml:space="preserve">    Bank fees and charges not yet recorded</t>
        </is>
      </c>
      <c r="C288" s="9">
        <f>SUMIFS('Match Groups'!$Y$5:$Y$1326,'Match Groups'!$B$5:$B$1326,"MER",'Match Groups'!$AC$5:$AC$1326,"BANK-ONLY",'Match Groups'!$D$5:$D$1326,"FEE")</f>
        <v>0</v>
      </c>
      <c r="E288" s="14" t="inlineStr">
        <is>
          <t>FEE</t>
        </is>
      </c>
    </row>
    <row r="289">
      <c r="B289" s="15" t="inlineStr">
        <is>
          <t xml:space="preserve">    Interest received not yet recorded</t>
        </is>
      </c>
      <c r="C289" s="9">
        <f>SUMIFS('Match Groups'!$Y$5:$Y$1326,'Match Groups'!$B$5:$B$1326,"MER",'Match Groups'!$AC$5:$AC$1326,"BANK-ONLY",'Match Groups'!$D$5:$D$1326,"INT")</f>
        <v>0</v>
      </c>
      <c r="E289" s="14" t="inlineStr">
        <is>
          <t>INT</t>
        </is>
      </c>
    </row>
    <row r="290">
      <c r="B290" s="15" t="inlineStr">
        <is>
          <t xml:space="preserve">    Merchant service fees not yet recorded</t>
        </is>
      </c>
      <c r="C290" s="9">
        <f>SUMIFS('Match Groups'!$Y$5:$Y$1326,'Match Groups'!$B$5:$B$1326,"MER",'Match Groups'!$AC$5:$AC$1326,"BANK-ONLY",'Match Groups'!$D$5:$D$1326,"MERCH")</f>
        <v>-6585.04</v>
      </c>
      <c r="E290" s="14" t="inlineStr">
        <is>
          <t>MERCH</t>
        </is>
      </c>
    </row>
    <row r="291">
      <c r="B291" s="15" t="inlineStr">
        <is>
          <t xml:space="preserve">    Card chargebacks not yet recorded</t>
        </is>
      </c>
      <c r="C291" s="9">
        <f>SUMIFS('Match Groups'!$Y$5:$Y$1326,'Match Groups'!$B$5:$B$1326,"MER",'Match Groups'!$AC$5:$AC$1326,"BANK-ONLY",'Match Groups'!$D$5:$D$1326,"CHGBK")</f>
        <v>-340</v>
      </c>
      <c r="E291" s="14" t="inlineStr">
        <is>
          <t>CHGBK</t>
        </is>
      </c>
    </row>
    <row r="292">
      <c r="B292" s="15" t="inlineStr">
        <is>
          <t xml:space="preserve">    Returned supplier payments</t>
        </is>
      </c>
      <c r="C292" s="9">
        <f>SUMIFS('Match Groups'!$Y$5:$Y$1326,'Match Groups'!$B$5:$B$1326,"MER",'Match Groups'!$AC$5:$AC$1326,"BANK-ONLY",'Match Groups'!$D$5:$D$1326,"RETPAY")</f>
        <v>0</v>
      </c>
      <c r="E292" s="14" t="inlineStr">
        <is>
          <t>RETPAY</t>
        </is>
      </c>
    </row>
    <row r="293">
      <c r="B293" s="15" t="inlineStr">
        <is>
          <t xml:space="preserve">    Returned and reissued wages (nets to nil)</t>
        </is>
      </c>
      <c r="C293" s="9">
        <f>SUMIFS('Match Groups'!$Y$5:$Y$1326,'Match Groups'!$B$5:$B$1326,"MER",'Match Groups'!$AC$5:$AC$1326,"BANK-ONLY",'Match Groups'!$D$5:$D$1326,"RETPAY-PAY")</f>
        <v>0</v>
      </c>
      <c r="E293" s="14" t="inlineStr">
        <is>
          <t>RETPAY-PAY</t>
        </is>
      </c>
    </row>
    <row r="294">
      <c r="B294" s="15" t="inlineStr">
        <is>
          <t xml:space="preserve">    Timing: in bank this month, recorded in Odoo after month end</t>
        </is>
      </c>
      <c r="C294" s="9">
        <f>SUMIFS('Match Groups'!$Y$5:$Y$1326,'Match Groups'!$B$5:$B$1326,"MER",'Match Groups'!$AC$5:$AC$1326,"BANK-ONLY",'Match Groups'!$D$5:$D$1326,"MATCH")</f>
        <v>0</v>
      </c>
      <c r="E294" s="14" t="inlineStr">
        <is>
          <t>MATCH</t>
        </is>
      </c>
    </row>
    <row r="295">
      <c r="B295" s="15" t="inlineStr">
        <is>
          <t xml:space="preserve">    Unexplained items, escalated</t>
        </is>
      </c>
      <c r="C295" s="9">
        <f>SUMIFS('Match Groups'!$Y$5:$Y$1326,'Match Groups'!$B$5:$B$1326,"MER",'Match Groups'!$AC$5:$AC$1326,"BANK-ONLY",'Match Groups'!$D$5:$D$1326,"UNEXP")</f>
        <v>64.9</v>
      </c>
      <c r="E295" s="14" t="inlineStr">
        <is>
          <t>UNEXP</t>
        </is>
      </c>
    </row>
    <row r="296">
      <c r="B296" s="15" t="inlineStr">
        <is>
          <t xml:space="preserve">    Unclassified (should be nil)</t>
        </is>
      </c>
      <c r="C296" s="9">
        <f>ROUND(SUMIFS('Match Groups'!$Y$5:$Y$1326,'Match Groups'!$B$5:$B$1326,"MER",'Match Groups'!$AC$5:$AC$1326,"BANK-ONLY")-SUM(C285:C295),2)</f>
        <v>0</v>
      </c>
      <c r="E296" s="14" t="inlineStr">
        <is>
          <t>control</t>
        </is>
      </c>
    </row>
    <row r="297">
      <c r="B297" s="16" t="inlineStr">
        <is>
          <t>Add / (less): differences on matched items</t>
        </is>
      </c>
    </row>
    <row r="298">
      <c r="B298" s="15" t="inlineStr">
        <is>
          <t xml:space="preserve">    Stripe fees and disputes deducted from payouts</t>
        </is>
      </c>
      <c r="C298" s="9">
        <f>SUMIFS('Match Groups'!$AD$5:$AD$1326,'Match Groups'!$B$5:$B$1326,"MER",'Match Groups'!$D$5:$D$1326,"STRIPE-FEE")</f>
        <v>0</v>
      </c>
      <c r="E298" s="14" t="inlineStr">
        <is>
          <t>STRIPE-FEE</t>
        </is>
      </c>
    </row>
    <row r="299">
      <c r="B299" s="15" t="inlineStr">
        <is>
          <t xml:space="preserve">    Short payments registered in Odoo at full value</t>
        </is>
      </c>
      <c r="C299" s="9">
        <f>SUMIFS('Match Groups'!$AD$5:$AD$1326,'Match Groups'!$B$5:$B$1326,"MER",'Match Groups'!$D$5:$D$1326,"SHORT")</f>
        <v>0</v>
      </c>
      <c r="E299" s="14" t="inlineStr">
        <is>
          <t>SHORT</t>
        </is>
      </c>
    </row>
    <row r="300">
      <c r="B300" s="15" t="inlineStr">
        <is>
          <t xml:space="preserve">    FX conversions: bank rate vs Odoo rate</t>
        </is>
      </c>
      <c r="C300" s="9">
        <f>SUMIFS('Match Groups'!$AD$5:$AD$1326,'Match Groups'!$B$5:$B$1326,"MER",'Match Groups'!$D$5:$D$1326,"FXR")</f>
        <v>0</v>
      </c>
      <c r="E300" s="14" t="inlineStr">
        <is>
          <t>FXR</t>
        </is>
      </c>
    </row>
    <row r="301">
      <c r="B301" s="15" t="inlineStr">
        <is>
          <t xml:space="preserve">    Intermediary bank fees on inward transfers</t>
        </is>
      </c>
      <c r="C301" s="9">
        <f>SUMIFS('Match Groups'!$AD$5:$AD$1326,'Match Groups'!$B$5:$B$1326,"MER",'Match Groups'!$D$5:$D$1326,"FEE-DIFF")</f>
        <v>0</v>
      </c>
      <c r="E301" s="14" t="inlineStr">
        <is>
          <t>FEE-DIFF</t>
        </is>
      </c>
    </row>
    <row r="302">
      <c r="B302" s="15" t="inlineStr">
        <is>
          <t xml:space="preserve">    Card refunds missing from the POS export</t>
        </is>
      </c>
      <c r="C302" s="9">
        <f>SUMIFS('Match Groups'!$AD$5:$AD$1326,'Match Groups'!$B$5:$B$1326,"MER",'Match Groups'!$D$5:$D$1326,"REFUND-GAP")</f>
        <v>-240</v>
      </c>
      <c r="E302" s="14" t="inlineStr">
        <is>
          <t>REFUND-GAP</t>
        </is>
      </c>
    </row>
    <row r="303">
      <c r="B303" s="15" t="inlineStr">
        <is>
          <t xml:space="preserve">    Other differences on matched items (should be nil)</t>
        </is>
      </c>
      <c r="C303" s="9">
        <f>ROUND(SUMIFS('Match Groups'!$AD$5:$AD$1326,'Match Groups'!$B$5:$B$1326,"MER")-SUM(C298:C302),2)</f>
        <v>0</v>
      </c>
      <c r="E303" s="14" t="inlineStr">
        <is>
          <t>control</t>
        </is>
      </c>
    </row>
    <row r="304">
      <c r="B304" s="15" t="inlineStr">
        <is>
          <t xml:space="preserve">    Less: receipts registered twice in Odoo</t>
        </is>
      </c>
      <c r="C304" s="9">
        <f>-SUMIFS('Match Groups'!$Z$5:$Z$1326,'Match Groups'!$B$5:$B$1326,"MER",'Match Groups'!$AC$5:$AC$1326,"ODOO-ONLY",'Match Groups'!$D$5:$D$1326,"DUPL")</f>
        <v>0</v>
      </c>
      <c r="E304" s="14" t="inlineStr">
        <is>
          <t>DUPL</t>
        </is>
      </c>
    </row>
    <row r="305">
      <c r="B305" s="4" t="inlineStr">
        <is>
          <t>Adjusted Odoo balance</t>
        </is>
      </c>
      <c r="D305" s="13">
        <f>ROUND(D283+SUM(C285:C304),2)</f>
        <v>329142.88</v>
      </c>
    </row>
    <row r="307">
      <c r="B307" s="4" t="inlineStr">
        <is>
          <t>Unexplained difference (adjusted bank - adjusted Odoo)</t>
        </is>
      </c>
      <c r="D307" s="17">
        <f>ROUND(D281-D305,2)</f>
        <v>0</v>
      </c>
    </row>
    <row r="308">
      <c r="B308" s="15" t="inlineStr">
        <is>
          <t xml:space="preserve">    Duplicate statement lines removed from the Odoo import (count)</t>
        </is>
      </c>
      <c r="C308" s="18">
        <f>COUNTIFS('Bank Lines'!$B$5:$B$1640,"MER",'Bank Lines'!$I$5:$I$1640,"DUPIMP",'Bank Lines'!$C$5:$C$1640,"&gt;="&amp;Cover!$B$15,'Bank Lines'!$C$5:$C$1640,"&lt;="&amp;Cover!$C$15)</f>
        <v>0</v>
      </c>
      <c r="E308" s="14" t="inlineStr">
        <is>
          <t>R01</t>
        </is>
      </c>
    </row>
    <row r="311">
      <c r="B311" s="12" t="inlineStr">
        <is>
          <t>USD account (USD, USD)  ·  month ending 31 Jul 2026</t>
        </is>
      </c>
      <c r="C311" s="2" t="n"/>
      <c r="D311" s="2" t="n"/>
      <c r="E311" s="2" t="n"/>
    </row>
    <row r="312">
      <c r="B312" s="4" t="inlineStr">
        <is>
          <t>Balance per bank statement</t>
        </is>
      </c>
      <c r="D312" s="13">
        <f>SUMIFS('Statement Balances'!$F$5:$F$16,'Statement Balances'!$A$5:$A$16,"USD",'Statement Balances'!$D$5:$D$16,Cover!$C$13)</f>
        <v>52722</v>
      </c>
      <c r="E312" s="14" t="inlineStr">
        <is>
          <t>Statement Balances</t>
        </is>
      </c>
    </row>
    <row r="313">
      <c r="B313" s="15" t="inlineStr">
        <is>
          <t xml:space="preserve">    Add: deposits in transit (in Odoo, not yet on the statement)</t>
        </is>
      </c>
      <c r="C313" s="9">
        <f>SUMIFS('Match Groups'!$N$5:$N$1326,'Match Groups'!$B$5:$B$1326,"USD",'Match Groups'!$Q$5:$Q$1326,"ODOO-ONLY",'Match Groups'!$N$5:$N$1326,"&gt;0",'Match Groups'!$D$5:$D$1326,"&lt;&gt;DUPL")</f>
        <v>0</v>
      </c>
      <c r="E313" s="14" t="inlineStr">
        <is>
          <t>Match Groups: Odoo-only, receipts</t>
        </is>
      </c>
    </row>
    <row r="314">
      <c r="B314" s="15" t="inlineStr">
        <is>
          <t xml:space="preserve">    Less: unpresented payments (in Odoo, not yet on the statement)</t>
        </is>
      </c>
      <c r="C314" s="9">
        <f>SUMIFS('Match Groups'!$N$5:$N$1326,'Match Groups'!$B$5:$B$1326,"USD",'Match Groups'!$Q$5:$Q$1326,"ODOO-ONLY",'Match Groups'!$N$5:$N$1326,"&lt;0",'Match Groups'!$D$5:$D$1326,"&lt;&gt;DUPL")</f>
        <v>0</v>
      </c>
      <c r="E314" s="14" t="inlineStr">
        <is>
          <t>Match Groups: Odoo-only, payments</t>
        </is>
      </c>
    </row>
    <row r="315">
      <c r="B315" s="4" t="inlineStr">
        <is>
          <t>Adjusted bank balance</t>
        </is>
      </c>
      <c r="D315" s="13">
        <f>ROUND(D312+C313+C314,2)</f>
        <v>52722</v>
      </c>
    </row>
    <row r="317">
      <c r="B317" s="4" t="inlineStr">
        <is>
          <t>Balance per Odoo ledger</t>
        </is>
      </c>
      <c r="D317" s="13">
        <f>SUMIFS('Odoo TB'!$D$5:$D$20,'Odoo TB'!$A$5:$A$20,"USD",'Odoo TB'!$C$5:$C$20,Cover!$C$13)</f>
        <v>52800</v>
      </c>
      <c r="E317" s="14" t="inlineStr">
        <is>
          <t>Odoo TB</t>
        </is>
      </c>
    </row>
    <row r="318">
      <c r="B318" s="16" t="inlineStr">
        <is>
          <t>Add / (less): items on the statement not yet in Odoo</t>
        </is>
      </c>
    </row>
    <row r="319">
      <c r="B319" s="15" t="inlineStr">
        <is>
          <t xml:space="preserve">    Receipts in bank, not yet registered in Odoo (open invoices)</t>
        </is>
      </c>
      <c r="C319" s="9">
        <f>SUMIFS('Match Groups'!$M$5:$M$1326,'Match Groups'!$B$5:$B$1326,"USD",'Match Groups'!$Q$5:$Q$1326,"BANK-ONLY",'Match Groups'!$D$5:$D$1326,"REG")</f>
        <v>0</v>
      </c>
      <c r="E319" s="14" t="inlineStr">
        <is>
          <t>REG</t>
        </is>
      </c>
    </row>
    <row r="320">
      <c r="B320" s="15" t="inlineStr">
        <is>
          <t xml:space="preserve">    Direct debits in bank, not yet registered in Odoo (open bills)</t>
        </is>
      </c>
      <c r="C320" s="9">
        <f>SUMIFS('Match Groups'!$M$5:$M$1326,'Match Groups'!$B$5:$B$1326,"USD",'Match Groups'!$Q$5:$Q$1326,"BANK-ONLY",'Match Groups'!$D$5:$D$1326,"REGBILL")</f>
        <v>0</v>
      </c>
      <c r="E320" s="14" t="inlineStr">
        <is>
          <t>REGBILL</t>
        </is>
      </c>
    </row>
    <row r="321">
      <c r="B321" s="15" t="inlineStr">
        <is>
          <t xml:space="preserve">    Direct debits with no bill in Odoo</t>
        </is>
      </c>
      <c r="C321" s="9">
        <f>SUMIFS('Match Groups'!$M$5:$M$1326,'Match Groups'!$B$5:$B$1326,"USD",'Match Groups'!$Q$5:$Q$1326,"BANK-ONLY",'Match Groups'!$D$5:$D$1326,"NOBILL")</f>
        <v>0</v>
      </c>
      <c r="E321" s="14" t="inlineStr">
        <is>
          <t>NOBILL</t>
        </is>
      </c>
    </row>
    <row r="322">
      <c r="B322" s="15" t="inlineStr">
        <is>
          <t xml:space="preserve">    Bank fees and charges not yet recorded</t>
        </is>
      </c>
      <c r="C322" s="9">
        <f>SUMIFS('Match Groups'!$M$5:$M$1326,'Match Groups'!$B$5:$B$1326,"USD",'Match Groups'!$Q$5:$Q$1326,"BANK-ONLY",'Match Groups'!$D$5:$D$1326,"FEE")</f>
        <v>-60</v>
      </c>
      <c r="E322" s="14" t="inlineStr">
        <is>
          <t>FEE</t>
        </is>
      </c>
    </row>
    <row r="323">
      <c r="B323" s="15" t="inlineStr">
        <is>
          <t xml:space="preserve">    Interest received not yet recorded</t>
        </is>
      </c>
      <c r="C323" s="9">
        <f>SUMIFS('Match Groups'!$M$5:$M$1326,'Match Groups'!$B$5:$B$1326,"USD",'Match Groups'!$Q$5:$Q$1326,"BANK-ONLY",'Match Groups'!$D$5:$D$1326,"INT")</f>
        <v>0</v>
      </c>
      <c r="E323" s="14" t="inlineStr">
        <is>
          <t>INT</t>
        </is>
      </c>
    </row>
    <row r="324">
      <c r="B324" s="15" t="inlineStr">
        <is>
          <t xml:space="preserve">    Merchant service fees not yet recorded</t>
        </is>
      </c>
      <c r="C324" s="9">
        <f>SUMIFS('Match Groups'!$M$5:$M$1326,'Match Groups'!$B$5:$B$1326,"USD",'Match Groups'!$Q$5:$Q$1326,"BANK-ONLY",'Match Groups'!$D$5:$D$1326,"MERCH")</f>
        <v>0</v>
      </c>
      <c r="E324" s="14" t="inlineStr">
        <is>
          <t>MERCH</t>
        </is>
      </c>
    </row>
    <row r="325">
      <c r="B325" s="15" t="inlineStr">
        <is>
          <t xml:space="preserve">    Card chargebacks not yet recorded</t>
        </is>
      </c>
      <c r="C325" s="9">
        <f>SUMIFS('Match Groups'!$M$5:$M$1326,'Match Groups'!$B$5:$B$1326,"USD",'Match Groups'!$Q$5:$Q$1326,"BANK-ONLY",'Match Groups'!$D$5:$D$1326,"CHGBK")</f>
        <v>0</v>
      </c>
      <c r="E325" s="14" t="inlineStr">
        <is>
          <t>CHGBK</t>
        </is>
      </c>
    </row>
    <row r="326">
      <c r="B326" s="15" t="inlineStr">
        <is>
          <t xml:space="preserve">    Returned supplier payments</t>
        </is>
      </c>
      <c r="C326" s="9">
        <f>SUMIFS('Match Groups'!$M$5:$M$1326,'Match Groups'!$B$5:$B$1326,"USD",'Match Groups'!$Q$5:$Q$1326,"BANK-ONLY",'Match Groups'!$D$5:$D$1326,"RETPAY")</f>
        <v>0</v>
      </c>
      <c r="E326" s="14" t="inlineStr">
        <is>
          <t>RETPAY</t>
        </is>
      </c>
    </row>
    <row r="327">
      <c r="B327" s="15" t="inlineStr">
        <is>
          <t xml:space="preserve">    Returned and reissued wages (nets to nil)</t>
        </is>
      </c>
      <c r="C327" s="9">
        <f>SUMIFS('Match Groups'!$M$5:$M$1326,'Match Groups'!$B$5:$B$1326,"USD",'Match Groups'!$Q$5:$Q$1326,"BANK-ONLY",'Match Groups'!$D$5:$D$1326,"RETPAY-PAY")</f>
        <v>0</v>
      </c>
      <c r="E327" s="14" t="inlineStr">
        <is>
          <t>RETPAY-PAY</t>
        </is>
      </c>
    </row>
    <row r="328">
      <c r="B328" s="15" t="inlineStr">
        <is>
          <t xml:space="preserve">    Timing: in bank this month, recorded in Odoo after month end</t>
        </is>
      </c>
      <c r="C328" s="9">
        <f>SUMIFS('Match Groups'!$M$5:$M$1326,'Match Groups'!$B$5:$B$1326,"USD",'Match Groups'!$Q$5:$Q$1326,"BANK-ONLY",'Match Groups'!$D$5:$D$1326,"MATCH")</f>
        <v>0</v>
      </c>
      <c r="E328" s="14" t="inlineStr">
        <is>
          <t>MATCH</t>
        </is>
      </c>
    </row>
    <row r="329">
      <c r="B329" s="15" t="inlineStr">
        <is>
          <t xml:space="preserve">    Unexplained items, escalated</t>
        </is>
      </c>
      <c r="C329" s="9">
        <f>SUMIFS('Match Groups'!$M$5:$M$1326,'Match Groups'!$B$5:$B$1326,"USD",'Match Groups'!$Q$5:$Q$1326,"BANK-ONLY",'Match Groups'!$D$5:$D$1326,"UNEXP")</f>
        <v>0</v>
      </c>
      <c r="E329" s="14" t="inlineStr">
        <is>
          <t>UNEXP</t>
        </is>
      </c>
    </row>
    <row r="330">
      <c r="B330" s="15" t="inlineStr">
        <is>
          <t xml:space="preserve">    Unclassified (should be nil)</t>
        </is>
      </c>
      <c r="C330" s="9">
        <f>ROUND(SUMIFS('Match Groups'!$M$5:$M$1326,'Match Groups'!$B$5:$B$1326,"USD",'Match Groups'!$Q$5:$Q$1326,"BANK-ONLY")-SUM(C319:C329),2)</f>
        <v>0</v>
      </c>
      <c r="E330" s="14" t="inlineStr">
        <is>
          <t>control</t>
        </is>
      </c>
    </row>
    <row r="331">
      <c r="B331" s="16" t="inlineStr">
        <is>
          <t>Add / (less): differences on matched items</t>
        </is>
      </c>
    </row>
    <row r="332">
      <c r="B332" s="15" t="inlineStr">
        <is>
          <t xml:space="preserve">    Stripe fees and disputes deducted from payouts</t>
        </is>
      </c>
      <c r="C332" s="9">
        <f>SUMIFS('Match Groups'!$R$5:$R$1326,'Match Groups'!$B$5:$B$1326,"USD",'Match Groups'!$D$5:$D$1326,"STRIPE-FEE")</f>
        <v>0</v>
      </c>
      <c r="E332" s="14" t="inlineStr">
        <is>
          <t>STRIPE-FEE</t>
        </is>
      </c>
    </row>
    <row r="333">
      <c r="B333" s="15" t="inlineStr">
        <is>
          <t xml:space="preserve">    Short payments registered in Odoo at full value</t>
        </is>
      </c>
      <c r="C333" s="9">
        <f>SUMIFS('Match Groups'!$R$5:$R$1326,'Match Groups'!$B$5:$B$1326,"USD",'Match Groups'!$D$5:$D$1326,"SHORT")</f>
        <v>0</v>
      </c>
      <c r="E333" s="14" t="inlineStr">
        <is>
          <t>SHORT</t>
        </is>
      </c>
    </row>
    <row r="334">
      <c r="B334" s="15" t="inlineStr">
        <is>
          <t xml:space="preserve">    FX conversions: bank rate vs Odoo rate</t>
        </is>
      </c>
      <c r="C334" s="9">
        <f>SUMIFS('Match Groups'!$R$5:$R$1326,'Match Groups'!$B$5:$B$1326,"USD",'Match Groups'!$D$5:$D$1326,"FXR")</f>
        <v>0</v>
      </c>
      <c r="E334" s="14" t="inlineStr">
        <is>
          <t>FXR</t>
        </is>
      </c>
    </row>
    <row r="335">
      <c r="B335" s="15" t="inlineStr">
        <is>
          <t xml:space="preserve">    Intermediary bank fees on inward transfers</t>
        </is>
      </c>
      <c r="C335" s="9">
        <f>SUMIFS('Match Groups'!$R$5:$R$1326,'Match Groups'!$B$5:$B$1326,"USD",'Match Groups'!$D$5:$D$1326,"FEE-DIFF")</f>
        <v>-18</v>
      </c>
      <c r="E335" s="14" t="inlineStr">
        <is>
          <t>FEE-DIFF</t>
        </is>
      </c>
    </row>
    <row r="336">
      <c r="B336" s="15" t="inlineStr">
        <is>
          <t xml:space="preserve">    Card refunds missing from the POS export</t>
        </is>
      </c>
      <c r="C336" s="9">
        <f>SUMIFS('Match Groups'!$R$5:$R$1326,'Match Groups'!$B$5:$B$1326,"USD",'Match Groups'!$D$5:$D$1326,"REFUND-GAP")</f>
        <v>0</v>
      </c>
      <c r="E336" s="14" t="inlineStr">
        <is>
          <t>REFUND-GAP</t>
        </is>
      </c>
    </row>
    <row r="337">
      <c r="B337" s="15" t="inlineStr">
        <is>
          <t xml:space="preserve">    Other differences on matched items (should be nil)</t>
        </is>
      </c>
      <c r="C337" s="9">
        <f>ROUND(SUMIFS('Match Groups'!$R$5:$R$1326,'Match Groups'!$B$5:$B$1326,"USD")-SUM(C332:C336),2)</f>
        <v>0</v>
      </c>
      <c r="E337" s="14" t="inlineStr">
        <is>
          <t>control</t>
        </is>
      </c>
    </row>
    <row r="338">
      <c r="B338" s="15" t="inlineStr">
        <is>
          <t xml:space="preserve">    Less: receipts registered twice in Odoo</t>
        </is>
      </c>
      <c r="C338" s="9">
        <f>-SUMIFS('Match Groups'!$N$5:$N$1326,'Match Groups'!$B$5:$B$1326,"USD",'Match Groups'!$Q$5:$Q$1326,"ODOO-ONLY",'Match Groups'!$D$5:$D$1326,"DUPL")</f>
        <v>0</v>
      </c>
      <c r="E338" s="14" t="inlineStr">
        <is>
          <t>DUPL</t>
        </is>
      </c>
    </row>
    <row r="339">
      <c r="B339" s="4" t="inlineStr">
        <is>
          <t>Adjusted Odoo balance</t>
        </is>
      </c>
      <c r="D339" s="13">
        <f>ROUND(D317+SUM(C319:C338),2)</f>
        <v>52722</v>
      </c>
    </row>
    <row r="341">
      <c r="B341" s="4" t="inlineStr">
        <is>
          <t>Unexplained difference (adjusted bank - adjusted Odoo)</t>
        </is>
      </c>
      <c r="D341" s="17">
        <f>ROUND(D315-D339,2)</f>
        <v>0</v>
      </c>
    </row>
    <row r="342">
      <c r="B342" s="15" t="inlineStr">
        <is>
          <t xml:space="preserve">    Duplicate statement lines removed from the Odoo import (count)</t>
        </is>
      </c>
      <c r="C342" s="18">
        <f>COUNTIFS('Bank Lines'!$B$5:$B$1640,"USD",'Bank Lines'!$I$5:$I$1640,"DUPIMP",'Bank Lines'!$C$5:$C$1640,"&gt;="&amp;Cover!$B$13,'Bank Lines'!$C$5:$C$1640,"&lt;="&amp;Cover!$C$13)</f>
        <v>0</v>
      </c>
      <c r="E342" s="14" t="inlineStr">
        <is>
          <t>R01</t>
        </is>
      </c>
    </row>
    <row r="345">
      <c r="B345" s="12" t="inlineStr">
        <is>
          <t>USD account (USD, USD)  ·  month ending 31 Aug 2026</t>
        </is>
      </c>
      <c r="C345" s="2" t="n"/>
      <c r="D345" s="2" t="n"/>
      <c r="E345" s="2" t="n"/>
    </row>
    <row r="346">
      <c r="B346" s="4" t="inlineStr">
        <is>
          <t>Balance per bank statement</t>
        </is>
      </c>
      <c r="D346" s="13">
        <f>SUMIFS('Statement Balances'!$F$5:$F$16,'Statement Balances'!$A$5:$A$16,"USD",'Statement Balances'!$D$5:$D$16,Cover!$C$14)</f>
        <v>63264</v>
      </c>
      <c r="E346" s="14" t="inlineStr">
        <is>
          <t>Statement Balances</t>
        </is>
      </c>
    </row>
    <row r="347">
      <c r="B347" s="15" t="inlineStr">
        <is>
          <t xml:space="preserve">    Add: deposits in transit (in Odoo, not yet on the statement)</t>
        </is>
      </c>
      <c r="C347" s="9">
        <f>SUMIFS('Match Groups'!$T$5:$T$1326,'Match Groups'!$B$5:$B$1326,"USD",'Match Groups'!$W$5:$W$1326,"ODOO-ONLY",'Match Groups'!$T$5:$T$1326,"&gt;0",'Match Groups'!$D$5:$D$1326,"&lt;&gt;DUPL")</f>
        <v>0</v>
      </c>
      <c r="E347" s="14" t="inlineStr">
        <is>
          <t>Match Groups: Odoo-only, receipts</t>
        </is>
      </c>
    </row>
    <row r="348">
      <c r="B348" s="15" t="inlineStr">
        <is>
          <t xml:space="preserve">    Less: unpresented payments (in Odoo, not yet on the statement)</t>
        </is>
      </c>
      <c r="C348" s="9">
        <f>SUMIFS('Match Groups'!$T$5:$T$1326,'Match Groups'!$B$5:$B$1326,"USD",'Match Groups'!$W$5:$W$1326,"ODOO-ONLY",'Match Groups'!$T$5:$T$1326,"&lt;0",'Match Groups'!$D$5:$D$1326,"&lt;&gt;DUPL")</f>
        <v>0</v>
      </c>
      <c r="E348" s="14" t="inlineStr">
        <is>
          <t>Match Groups: Odoo-only, payments</t>
        </is>
      </c>
    </row>
    <row r="349">
      <c r="B349" s="4" t="inlineStr">
        <is>
          <t>Adjusted bank balance</t>
        </is>
      </c>
      <c r="D349" s="13">
        <f>ROUND(D346+C347+C348,2)</f>
        <v>63264</v>
      </c>
    </row>
    <row r="351">
      <c r="B351" s="4" t="inlineStr">
        <is>
          <t>Balance per Odoo ledger</t>
        </is>
      </c>
      <c r="D351" s="13">
        <f>SUMIFS('Odoo TB'!$D$5:$D$20,'Odoo TB'!$A$5:$A$20,"USD",'Odoo TB'!$C$5:$C$20,Cover!$C$14)</f>
        <v>63420</v>
      </c>
      <c r="E351" s="14" t="inlineStr">
        <is>
          <t>Odoo TB</t>
        </is>
      </c>
    </row>
    <row r="352">
      <c r="B352" s="16" t="inlineStr">
        <is>
          <t>Add / (less): items on the statement not yet in Odoo</t>
        </is>
      </c>
    </row>
    <row r="353">
      <c r="B353" s="15" t="inlineStr">
        <is>
          <t xml:space="preserve">    Receipts in bank, not yet registered in Odoo (open invoices)</t>
        </is>
      </c>
      <c r="C353" s="9">
        <f>SUMIFS('Match Groups'!$S$5:$S$1326,'Match Groups'!$B$5:$B$1326,"USD",'Match Groups'!$W$5:$W$1326,"BANK-ONLY",'Match Groups'!$D$5:$D$1326,"REG")</f>
        <v>0</v>
      </c>
      <c r="E353" s="14" t="inlineStr">
        <is>
          <t>REG</t>
        </is>
      </c>
    </row>
    <row r="354">
      <c r="B354" s="15" t="inlineStr">
        <is>
          <t xml:space="preserve">    Direct debits in bank, not yet registered in Odoo (open bills)</t>
        </is>
      </c>
      <c r="C354" s="9">
        <f>SUMIFS('Match Groups'!$S$5:$S$1326,'Match Groups'!$B$5:$B$1326,"USD",'Match Groups'!$W$5:$W$1326,"BANK-ONLY",'Match Groups'!$D$5:$D$1326,"REGBILL")</f>
        <v>0</v>
      </c>
      <c r="E354" s="14" t="inlineStr">
        <is>
          <t>REGBILL</t>
        </is>
      </c>
    </row>
    <row r="355">
      <c r="B355" s="15" t="inlineStr">
        <is>
          <t xml:space="preserve">    Direct debits with no bill in Odoo</t>
        </is>
      </c>
      <c r="C355" s="9">
        <f>SUMIFS('Match Groups'!$S$5:$S$1326,'Match Groups'!$B$5:$B$1326,"USD",'Match Groups'!$W$5:$W$1326,"BANK-ONLY",'Match Groups'!$D$5:$D$1326,"NOBILL")</f>
        <v>0</v>
      </c>
      <c r="E355" s="14" t="inlineStr">
        <is>
          <t>NOBILL</t>
        </is>
      </c>
    </row>
    <row r="356">
      <c r="B356" s="15" t="inlineStr">
        <is>
          <t xml:space="preserve">    Bank fees and charges not yet recorded</t>
        </is>
      </c>
      <c r="C356" s="9">
        <f>SUMIFS('Match Groups'!$S$5:$S$1326,'Match Groups'!$B$5:$B$1326,"USD",'Match Groups'!$W$5:$W$1326,"BANK-ONLY",'Match Groups'!$D$5:$D$1326,"FEE")</f>
        <v>-120</v>
      </c>
      <c r="E356" s="14" t="inlineStr">
        <is>
          <t>FEE</t>
        </is>
      </c>
    </row>
    <row r="357">
      <c r="B357" s="15" t="inlineStr">
        <is>
          <t xml:space="preserve">    Interest received not yet recorded</t>
        </is>
      </c>
      <c r="C357" s="9">
        <f>SUMIFS('Match Groups'!$S$5:$S$1326,'Match Groups'!$B$5:$B$1326,"USD",'Match Groups'!$W$5:$W$1326,"BANK-ONLY",'Match Groups'!$D$5:$D$1326,"INT")</f>
        <v>0</v>
      </c>
      <c r="E357" s="14" t="inlineStr">
        <is>
          <t>INT</t>
        </is>
      </c>
    </row>
    <row r="358">
      <c r="B358" s="15" t="inlineStr">
        <is>
          <t xml:space="preserve">    Merchant service fees not yet recorded</t>
        </is>
      </c>
      <c r="C358" s="9">
        <f>SUMIFS('Match Groups'!$S$5:$S$1326,'Match Groups'!$B$5:$B$1326,"USD",'Match Groups'!$W$5:$W$1326,"BANK-ONLY",'Match Groups'!$D$5:$D$1326,"MERCH")</f>
        <v>0</v>
      </c>
      <c r="E358" s="14" t="inlineStr">
        <is>
          <t>MERCH</t>
        </is>
      </c>
    </row>
    <row r="359">
      <c r="B359" s="15" t="inlineStr">
        <is>
          <t xml:space="preserve">    Card chargebacks not yet recorded</t>
        </is>
      </c>
      <c r="C359" s="9">
        <f>SUMIFS('Match Groups'!$S$5:$S$1326,'Match Groups'!$B$5:$B$1326,"USD",'Match Groups'!$W$5:$W$1326,"BANK-ONLY",'Match Groups'!$D$5:$D$1326,"CHGBK")</f>
        <v>0</v>
      </c>
      <c r="E359" s="14" t="inlineStr">
        <is>
          <t>CHGBK</t>
        </is>
      </c>
    </row>
    <row r="360">
      <c r="B360" s="15" t="inlineStr">
        <is>
          <t xml:space="preserve">    Returned supplier payments</t>
        </is>
      </c>
      <c r="C360" s="9">
        <f>SUMIFS('Match Groups'!$S$5:$S$1326,'Match Groups'!$B$5:$B$1326,"USD",'Match Groups'!$W$5:$W$1326,"BANK-ONLY",'Match Groups'!$D$5:$D$1326,"RETPAY")</f>
        <v>0</v>
      </c>
      <c r="E360" s="14" t="inlineStr">
        <is>
          <t>RETPAY</t>
        </is>
      </c>
    </row>
    <row r="361">
      <c r="B361" s="15" t="inlineStr">
        <is>
          <t xml:space="preserve">    Returned and reissued wages (nets to nil)</t>
        </is>
      </c>
      <c r="C361" s="9">
        <f>SUMIFS('Match Groups'!$S$5:$S$1326,'Match Groups'!$B$5:$B$1326,"USD",'Match Groups'!$W$5:$W$1326,"BANK-ONLY",'Match Groups'!$D$5:$D$1326,"RETPAY-PAY")</f>
        <v>0</v>
      </c>
      <c r="E361" s="14" t="inlineStr">
        <is>
          <t>RETPAY-PAY</t>
        </is>
      </c>
    </row>
    <row r="362">
      <c r="B362" s="15" t="inlineStr">
        <is>
          <t xml:space="preserve">    Timing: in bank this month, recorded in Odoo after month end</t>
        </is>
      </c>
      <c r="C362" s="9">
        <f>SUMIFS('Match Groups'!$S$5:$S$1326,'Match Groups'!$B$5:$B$1326,"USD",'Match Groups'!$W$5:$W$1326,"BANK-ONLY",'Match Groups'!$D$5:$D$1326,"MATCH")</f>
        <v>0</v>
      </c>
      <c r="E362" s="14" t="inlineStr">
        <is>
          <t>MATCH</t>
        </is>
      </c>
    </row>
    <row r="363">
      <c r="B363" s="15" t="inlineStr">
        <is>
          <t xml:space="preserve">    Unexplained items, escalated</t>
        </is>
      </c>
      <c r="C363" s="9">
        <f>SUMIFS('Match Groups'!$S$5:$S$1326,'Match Groups'!$B$5:$B$1326,"USD",'Match Groups'!$W$5:$W$1326,"BANK-ONLY",'Match Groups'!$D$5:$D$1326,"UNEXP")</f>
        <v>0</v>
      </c>
      <c r="E363" s="14" t="inlineStr">
        <is>
          <t>UNEXP</t>
        </is>
      </c>
    </row>
    <row r="364">
      <c r="B364" s="15" t="inlineStr">
        <is>
          <t xml:space="preserve">    Unclassified (should be nil)</t>
        </is>
      </c>
      <c r="C364" s="9">
        <f>ROUND(SUMIFS('Match Groups'!$S$5:$S$1326,'Match Groups'!$B$5:$B$1326,"USD",'Match Groups'!$W$5:$W$1326,"BANK-ONLY")-SUM(C353:C363),2)</f>
        <v>0</v>
      </c>
      <c r="E364" s="14" t="inlineStr">
        <is>
          <t>control</t>
        </is>
      </c>
    </row>
    <row r="365">
      <c r="B365" s="16" t="inlineStr">
        <is>
          <t>Add / (less): differences on matched items</t>
        </is>
      </c>
    </row>
    <row r="366">
      <c r="B366" s="15" t="inlineStr">
        <is>
          <t xml:space="preserve">    Stripe fees and disputes deducted from payouts</t>
        </is>
      </c>
      <c r="C366" s="9">
        <f>SUMIFS('Match Groups'!$X$5:$X$1326,'Match Groups'!$B$5:$B$1326,"USD",'Match Groups'!$D$5:$D$1326,"STRIPE-FEE")</f>
        <v>0</v>
      </c>
      <c r="E366" s="14" t="inlineStr">
        <is>
          <t>STRIPE-FEE</t>
        </is>
      </c>
    </row>
    <row r="367">
      <c r="B367" s="15" t="inlineStr">
        <is>
          <t xml:space="preserve">    Short payments registered in Odoo at full value</t>
        </is>
      </c>
      <c r="C367" s="9">
        <f>SUMIFS('Match Groups'!$X$5:$X$1326,'Match Groups'!$B$5:$B$1326,"USD",'Match Groups'!$D$5:$D$1326,"SHORT")</f>
        <v>0</v>
      </c>
      <c r="E367" s="14" t="inlineStr">
        <is>
          <t>SHORT</t>
        </is>
      </c>
    </row>
    <row r="368">
      <c r="B368" s="15" t="inlineStr">
        <is>
          <t xml:space="preserve">    FX conversions: bank rate vs Odoo rate</t>
        </is>
      </c>
      <c r="C368" s="9">
        <f>SUMIFS('Match Groups'!$X$5:$X$1326,'Match Groups'!$B$5:$B$1326,"USD",'Match Groups'!$D$5:$D$1326,"FXR")</f>
        <v>0</v>
      </c>
      <c r="E368" s="14" t="inlineStr">
        <is>
          <t>FXR</t>
        </is>
      </c>
    </row>
    <row r="369">
      <c r="B369" s="15" t="inlineStr">
        <is>
          <t xml:space="preserve">    Intermediary bank fees on inward transfers</t>
        </is>
      </c>
      <c r="C369" s="9">
        <f>SUMIFS('Match Groups'!$X$5:$X$1326,'Match Groups'!$B$5:$B$1326,"USD",'Match Groups'!$D$5:$D$1326,"FEE-DIFF")</f>
        <v>-36</v>
      </c>
      <c r="E369" s="14" t="inlineStr">
        <is>
          <t>FEE-DIFF</t>
        </is>
      </c>
    </row>
    <row r="370">
      <c r="B370" s="15" t="inlineStr">
        <is>
          <t xml:space="preserve">    Card refunds missing from the POS export</t>
        </is>
      </c>
      <c r="C370" s="9">
        <f>SUMIFS('Match Groups'!$X$5:$X$1326,'Match Groups'!$B$5:$B$1326,"USD",'Match Groups'!$D$5:$D$1326,"REFUND-GAP")</f>
        <v>0</v>
      </c>
      <c r="E370" s="14" t="inlineStr">
        <is>
          <t>REFUND-GAP</t>
        </is>
      </c>
    </row>
    <row r="371">
      <c r="B371" s="15" t="inlineStr">
        <is>
          <t xml:space="preserve">    Other differences on matched items (should be nil)</t>
        </is>
      </c>
      <c r="C371" s="9">
        <f>ROUND(SUMIFS('Match Groups'!$X$5:$X$1326,'Match Groups'!$B$5:$B$1326,"USD")-SUM(C366:C370),2)</f>
        <v>0</v>
      </c>
      <c r="E371" s="14" t="inlineStr">
        <is>
          <t>control</t>
        </is>
      </c>
    </row>
    <row r="372">
      <c r="B372" s="15" t="inlineStr">
        <is>
          <t xml:space="preserve">    Less: receipts registered twice in Odoo</t>
        </is>
      </c>
      <c r="C372" s="9">
        <f>-SUMIFS('Match Groups'!$T$5:$T$1326,'Match Groups'!$B$5:$B$1326,"USD",'Match Groups'!$W$5:$W$1326,"ODOO-ONLY",'Match Groups'!$D$5:$D$1326,"DUPL")</f>
        <v>0</v>
      </c>
      <c r="E372" s="14" t="inlineStr">
        <is>
          <t>DUPL</t>
        </is>
      </c>
    </row>
    <row r="373">
      <c r="B373" s="4" t="inlineStr">
        <is>
          <t>Adjusted Odoo balance</t>
        </is>
      </c>
      <c r="D373" s="13">
        <f>ROUND(D351+SUM(C353:C372),2)</f>
        <v>63264</v>
      </c>
    </row>
    <row r="375">
      <c r="B375" s="4" t="inlineStr">
        <is>
          <t>Unexplained difference (adjusted bank - adjusted Odoo)</t>
        </is>
      </c>
      <c r="D375" s="17">
        <f>ROUND(D349-D373,2)</f>
        <v>0</v>
      </c>
    </row>
    <row r="376">
      <c r="B376" s="15" t="inlineStr">
        <is>
          <t xml:space="preserve">    Duplicate statement lines removed from the Odoo import (count)</t>
        </is>
      </c>
      <c r="C376" s="18">
        <f>COUNTIFS('Bank Lines'!$B$5:$B$1640,"USD",'Bank Lines'!$I$5:$I$1640,"DUPIMP",'Bank Lines'!$C$5:$C$1640,"&gt;="&amp;Cover!$B$14,'Bank Lines'!$C$5:$C$1640,"&lt;="&amp;Cover!$C$14)</f>
        <v>0</v>
      </c>
      <c r="E376" s="14" t="inlineStr">
        <is>
          <t>R01</t>
        </is>
      </c>
    </row>
    <row r="379">
      <c r="B379" s="12" t="inlineStr">
        <is>
          <t>USD account (USD, USD)  ·  month ending 30 Sep 2026</t>
        </is>
      </c>
      <c r="C379" s="2" t="n"/>
      <c r="D379" s="2" t="n"/>
      <c r="E379" s="2" t="n"/>
    </row>
    <row r="380">
      <c r="B380" s="4" t="inlineStr">
        <is>
          <t>Balance per bank statement</t>
        </is>
      </c>
      <c r="D380" s="13">
        <f>SUMIFS('Statement Balances'!$F$5:$F$16,'Statement Balances'!$A$5:$A$16,"USD",'Statement Balances'!$D$5:$D$16,Cover!$C$15)</f>
        <v>75006</v>
      </c>
      <c r="E380" s="14" t="inlineStr">
        <is>
          <t>Statement Balances</t>
        </is>
      </c>
    </row>
    <row r="381">
      <c r="B381" s="15" t="inlineStr">
        <is>
          <t xml:space="preserve">    Add: deposits in transit (in Odoo, not yet on the statement)</t>
        </is>
      </c>
      <c r="C381" s="9">
        <f>SUMIFS('Match Groups'!$Z$5:$Z$1326,'Match Groups'!$B$5:$B$1326,"USD",'Match Groups'!$AC$5:$AC$1326,"ODOO-ONLY",'Match Groups'!$Z$5:$Z$1326,"&gt;0",'Match Groups'!$D$5:$D$1326,"&lt;&gt;DUPL")</f>
        <v>5000</v>
      </c>
      <c r="E381" s="14" t="inlineStr">
        <is>
          <t>Match Groups: Odoo-only, receipts</t>
        </is>
      </c>
    </row>
    <row r="382">
      <c r="B382" s="15" t="inlineStr">
        <is>
          <t xml:space="preserve">    Less: unpresented payments (in Odoo, not yet on the statement)</t>
        </is>
      </c>
      <c r="C382" s="9">
        <f>SUMIFS('Match Groups'!$Z$5:$Z$1326,'Match Groups'!$B$5:$B$1326,"USD",'Match Groups'!$AC$5:$AC$1326,"ODOO-ONLY",'Match Groups'!$Z$5:$Z$1326,"&lt;0",'Match Groups'!$D$5:$D$1326,"&lt;&gt;DUPL")</f>
        <v>0</v>
      </c>
      <c r="E382" s="14" t="inlineStr">
        <is>
          <t>Match Groups: Odoo-only, payments</t>
        </is>
      </c>
    </row>
    <row r="383">
      <c r="B383" s="4" t="inlineStr">
        <is>
          <t>Adjusted bank balance</t>
        </is>
      </c>
      <c r="D383" s="13">
        <f>ROUND(D380+C381+C382,2)</f>
        <v>80006</v>
      </c>
    </row>
    <row r="385">
      <c r="B385" s="4" t="inlineStr">
        <is>
          <t>Balance per Odoo ledger</t>
        </is>
      </c>
      <c r="D385" s="13">
        <f>SUMIFS('Odoo TB'!$D$5:$D$20,'Odoo TB'!$A$5:$A$20,"USD",'Odoo TB'!$C$5:$C$20,Cover!$C$15)</f>
        <v>79040</v>
      </c>
      <c r="E385" s="14" t="inlineStr">
        <is>
          <t>Odoo TB</t>
        </is>
      </c>
    </row>
    <row r="386">
      <c r="B386" s="16" t="inlineStr">
        <is>
          <t>Add / (less): items on the statement not yet in Odoo</t>
        </is>
      </c>
    </row>
    <row r="387">
      <c r="B387" s="15" t="inlineStr">
        <is>
          <t xml:space="preserve">    Receipts in bank, not yet registered in Odoo (open invoices)</t>
        </is>
      </c>
      <c r="C387" s="9">
        <f>SUMIFS('Match Groups'!$Y$5:$Y$1326,'Match Groups'!$B$5:$B$1326,"USD",'Match Groups'!$AC$5:$AC$1326,"BANK-ONLY",'Match Groups'!$D$5:$D$1326,"REG")</f>
        <v>0</v>
      </c>
      <c r="E387" s="14" t="inlineStr">
        <is>
          <t>REG</t>
        </is>
      </c>
    </row>
    <row r="388">
      <c r="B388" s="15" t="inlineStr">
        <is>
          <t xml:space="preserve">    Direct debits in bank, not yet registered in Odoo (open bills)</t>
        </is>
      </c>
      <c r="C388" s="9">
        <f>SUMIFS('Match Groups'!$Y$5:$Y$1326,'Match Groups'!$B$5:$B$1326,"USD",'Match Groups'!$AC$5:$AC$1326,"BANK-ONLY",'Match Groups'!$D$5:$D$1326,"REGBILL")</f>
        <v>0</v>
      </c>
      <c r="E388" s="14" t="inlineStr">
        <is>
          <t>REGBILL</t>
        </is>
      </c>
    </row>
    <row r="389">
      <c r="B389" s="15" t="inlineStr">
        <is>
          <t xml:space="preserve">    Direct debits with no bill in Odoo</t>
        </is>
      </c>
      <c r="C389" s="9">
        <f>SUMIFS('Match Groups'!$Y$5:$Y$1326,'Match Groups'!$B$5:$B$1326,"USD",'Match Groups'!$AC$5:$AC$1326,"BANK-ONLY",'Match Groups'!$D$5:$D$1326,"NOBILL")</f>
        <v>0</v>
      </c>
      <c r="E389" s="14" t="inlineStr">
        <is>
          <t>NOBILL</t>
        </is>
      </c>
    </row>
    <row r="390">
      <c r="B390" s="15" t="inlineStr">
        <is>
          <t xml:space="preserve">    Bank fees and charges not yet recorded</t>
        </is>
      </c>
      <c r="C390" s="9">
        <f>SUMIFS('Match Groups'!$Y$5:$Y$1326,'Match Groups'!$B$5:$B$1326,"USD",'Match Groups'!$AC$5:$AC$1326,"BANK-ONLY",'Match Groups'!$D$5:$D$1326,"FEE")</f>
        <v>-180</v>
      </c>
      <c r="E390" s="14" t="inlineStr">
        <is>
          <t>FEE</t>
        </is>
      </c>
    </row>
    <row r="391">
      <c r="B391" s="15" t="inlineStr">
        <is>
          <t xml:space="preserve">    Interest received not yet recorded</t>
        </is>
      </c>
      <c r="C391" s="9">
        <f>SUMIFS('Match Groups'!$Y$5:$Y$1326,'Match Groups'!$B$5:$B$1326,"USD",'Match Groups'!$AC$5:$AC$1326,"BANK-ONLY",'Match Groups'!$D$5:$D$1326,"INT")</f>
        <v>0</v>
      </c>
      <c r="E391" s="14" t="inlineStr">
        <is>
          <t>INT</t>
        </is>
      </c>
    </row>
    <row r="392">
      <c r="B392" s="15" t="inlineStr">
        <is>
          <t xml:space="preserve">    Merchant service fees not yet recorded</t>
        </is>
      </c>
      <c r="C392" s="9">
        <f>SUMIFS('Match Groups'!$Y$5:$Y$1326,'Match Groups'!$B$5:$B$1326,"USD",'Match Groups'!$AC$5:$AC$1326,"BANK-ONLY",'Match Groups'!$D$5:$D$1326,"MERCH")</f>
        <v>0</v>
      </c>
      <c r="E392" s="14" t="inlineStr">
        <is>
          <t>MERCH</t>
        </is>
      </c>
    </row>
    <row r="393">
      <c r="B393" s="15" t="inlineStr">
        <is>
          <t xml:space="preserve">    Card chargebacks not yet recorded</t>
        </is>
      </c>
      <c r="C393" s="9">
        <f>SUMIFS('Match Groups'!$Y$5:$Y$1326,'Match Groups'!$B$5:$B$1326,"USD",'Match Groups'!$AC$5:$AC$1326,"BANK-ONLY",'Match Groups'!$D$5:$D$1326,"CHGBK")</f>
        <v>0</v>
      </c>
      <c r="E393" s="14" t="inlineStr">
        <is>
          <t>CHGBK</t>
        </is>
      </c>
    </row>
    <row r="394">
      <c r="B394" s="15" t="inlineStr">
        <is>
          <t xml:space="preserve">    Returned supplier payments</t>
        </is>
      </c>
      <c r="C394" s="9">
        <f>SUMIFS('Match Groups'!$Y$5:$Y$1326,'Match Groups'!$B$5:$B$1326,"USD",'Match Groups'!$AC$5:$AC$1326,"BANK-ONLY",'Match Groups'!$D$5:$D$1326,"RETPAY")</f>
        <v>0</v>
      </c>
      <c r="E394" s="14" t="inlineStr">
        <is>
          <t>RETPAY</t>
        </is>
      </c>
    </row>
    <row r="395">
      <c r="B395" s="15" t="inlineStr">
        <is>
          <t xml:space="preserve">    Returned and reissued wages (nets to nil)</t>
        </is>
      </c>
      <c r="C395" s="9">
        <f>SUMIFS('Match Groups'!$Y$5:$Y$1326,'Match Groups'!$B$5:$B$1326,"USD",'Match Groups'!$AC$5:$AC$1326,"BANK-ONLY",'Match Groups'!$D$5:$D$1326,"RETPAY-PAY")</f>
        <v>0</v>
      </c>
      <c r="E395" s="14" t="inlineStr">
        <is>
          <t>RETPAY-PAY</t>
        </is>
      </c>
    </row>
    <row r="396">
      <c r="B396" s="15" t="inlineStr">
        <is>
          <t xml:space="preserve">    Timing: in bank this month, recorded in Odoo after month end</t>
        </is>
      </c>
      <c r="C396" s="9">
        <f>SUMIFS('Match Groups'!$Y$5:$Y$1326,'Match Groups'!$B$5:$B$1326,"USD",'Match Groups'!$AC$5:$AC$1326,"BANK-ONLY",'Match Groups'!$D$5:$D$1326,"MATCH")</f>
        <v>0</v>
      </c>
      <c r="E396" s="14" t="inlineStr">
        <is>
          <t>MATCH</t>
        </is>
      </c>
    </row>
    <row r="397">
      <c r="B397" s="15" t="inlineStr">
        <is>
          <t xml:space="preserve">    Unexplained items, escalated</t>
        </is>
      </c>
      <c r="C397" s="9">
        <f>SUMIFS('Match Groups'!$Y$5:$Y$1326,'Match Groups'!$B$5:$B$1326,"USD",'Match Groups'!$AC$5:$AC$1326,"BANK-ONLY",'Match Groups'!$D$5:$D$1326,"UNEXP")</f>
        <v>1200</v>
      </c>
      <c r="E397" s="14" t="inlineStr">
        <is>
          <t>UNEXP</t>
        </is>
      </c>
    </row>
    <row r="398">
      <c r="B398" s="15" t="inlineStr">
        <is>
          <t xml:space="preserve">    Unclassified (should be nil)</t>
        </is>
      </c>
      <c r="C398" s="9">
        <f>ROUND(SUMIFS('Match Groups'!$Y$5:$Y$1326,'Match Groups'!$B$5:$B$1326,"USD",'Match Groups'!$AC$5:$AC$1326,"BANK-ONLY")-SUM(C387:C397),2)</f>
        <v>0</v>
      </c>
      <c r="E398" s="14" t="inlineStr">
        <is>
          <t>control</t>
        </is>
      </c>
    </row>
    <row r="399">
      <c r="B399" s="16" t="inlineStr">
        <is>
          <t>Add / (less): differences on matched items</t>
        </is>
      </c>
    </row>
    <row r="400">
      <c r="B400" s="15" t="inlineStr">
        <is>
          <t xml:space="preserve">    Stripe fees and disputes deducted from payouts</t>
        </is>
      </c>
      <c r="C400" s="9">
        <f>SUMIFS('Match Groups'!$AD$5:$AD$1326,'Match Groups'!$B$5:$B$1326,"USD",'Match Groups'!$D$5:$D$1326,"STRIPE-FEE")</f>
        <v>0</v>
      </c>
      <c r="E400" s="14" t="inlineStr">
        <is>
          <t>STRIPE-FEE</t>
        </is>
      </c>
    </row>
    <row r="401">
      <c r="B401" s="15" t="inlineStr">
        <is>
          <t xml:space="preserve">    Short payments registered in Odoo at full value</t>
        </is>
      </c>
      <c r="C401" s="9">
        <f>SUMIFS('Match Groups'!$AD$5:$AD$1326,'Match Groups'!$B$5:$B$1326,"USD",'Match Groups'!$D$5:$D$1326,"SHORT")</f>
        <v>0</v>
      </c>
      <c r="E401" s="14" t="inlineStr">
        <is>
          <t>SHORT</t>
        </is>
      </c>
    </row>
    <row r="402">
      <c r="B402" s="15" t="inlineStr">
        <is>
          <t xml:space="preserve">    FX conversions: bank rate vs Odoo rate</t>
        </is>
      </c>
      <c r="C402" s="9">
        <f>SUMIFS('Match Groups'!$AD$5:$AD$1326,'Match Groups'!$B$5:$B$1326,"USD",'Match Groups'!$D$5:$D$1326,"FXR")</f>
        <v>0</v>
      </c>
      <c r="E402" s="14" t="inlineStr">
        <is>
          <t>FXR</t>
        </is>
      </c>
    </row>
    <row r="403">
      <c r="B403" s="15" t="inlineStr">
        <is>
          <t xml:space="preserve">    Intermediary bank fees on inward transfers</t>
        </is>
      </c>
      <c r="C403" s="9">
        <f>SUMIFS('Match Groups'!$AD$5:$AD$1326,'Match Groups'!$B$5:$B$1326,"USD",'Match Groups'!$D$5:$D$1326,"FEE-DIFF")</f>
        <v>-54</v>
      </c>
      <c r="E403" s="14" t="inlineStr">
        <is>
          <t>FEE-DIFF</t>
        </is>
      </c>
    </row>
    <row r="404">
      <c r="B404" s="15" t="inlineStr">
        <is>
          <t xml:space="preserve">    Card refunds missing from the POS export</t>
        </is>
      </c>
      <c r="C404" s="9">
        <f>SUMIFS('Match Groups'!$AD$5:$AD$1326,'Match Groups'!$B$5:$B$1326,"USD",'Match Groups'!$D$5:$D$1326,"REFUND-GAP")</f>
        <v>0</v>
      </c>
      <c r="E404" s="14" t="inlineStr">
        <is>
          <t>REFUND-GAP</t>
        </is>
      </c>
    </row>
    <row r="405">
      <c r="B405" s="15" t="inlineStr">
        <is>
          <t xml:space="preserve">    Other differences on matched items (should be nil)</t>
        </is>
      </c>
      <c r="C405" s="9">
        <f>ROUND(SUMIFS('Match Groups'!$AD$5:$AD$1326,'Match Groups'!$B$5:$B$1326,"USD")-SUM(C400:C404),2)</f>
        <v>0</v>
      </c>
      <c r="E405" s="14" t="inlineStr">
        <is>
          <t>control</t>
        </is>
      </c>
    </row>
    <row r="406">
      <c r="B406" s="15" t="inlineStr">
        <is>
          <t xml:space="preserve">    Less: receipts registered twice in Odoo</t>
        </is>
      </c>
      <c r="C406" s="9">
        <f>-SUMIFS('Match Groups'!$Z$5:$Z$1326,'Match Groups'!$B$5:$B$1326,"USD",'Match Groups'!$AC$5:$AC$1326,"ODOO-ONLY",'Match Groups'!$D$5:$D$1326,"DUPL")</f>
        <v>0</v>
      </c>
      <c r="E406" s="14" t="inlineStr">
        <is>
          <t>DUPL</t>
        </is>
      </c>
    </row>
    <row r="407">
      <c r="B407" s="4" t="inlineStr">
        <is>
          <t>Adjusted Odoo balance</t>
        </is>
      </c>
      <c r="D407" s="13">
        <f>ROUND(D385+SUM(C387:C406),2)</f>
        <v>80006</v>
      </c>
    </row>
    <row r="409">
      <c r="B409" s="4" t="inlineStr">
        <is>
          <t>Unexplained difference (adjusted bank - adjusted Odoo)</t>
        </is>
      </c>
      <c r="D409" s="17">
        <f>ROUND(D383-D407,2)</f>
        <v>0</v>
      </c>
    </row>
    <row r="410">
      <c r="B410" s="15" t="inlineStr">
        <is>
          <t xml:space="preserve">    Duplicate statement lines removed from the Odoo import (count)</t>
        </is>
      </c>
      <c r="C410" s="18">
        <f>COUNTIFS('Bank Lines'!$B$5:$B$1640,"USD",'Bank Lines'!$I$5:$I$1640,"DUPIMP",'Bank Lines'!$C$5:$C$1640,"&gt;="&amp;Cover!$B$15,'Bank Lines'!$C$5:$C$1640,"&lt;="&amp;Cover!$C$15)</f>
        <v>0</v>
      </c>
      <c r="E410" s="14" t="inlineStr">
        <is>
          <t>R01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20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1" customWidth="1" min="3" max="3"/>
    <col width="9" customWidth="1" min="4" max="4"/>
    <col width="11" customWidth="1" min="5" max="5"/>
    <col width="10" customWidth="1" min="6" max="6"/>
    <col width="60" customWidth="1" min="7" max="7"/>
    <col width="15" customWidth="1" min="8" max="8"/>
    <col width="10" customWidth="1" min="9" max="9"/>
    <col width="16" customWidth="1" min="10" max="10"/>
    <col width="60" customWidth="1" min="11" max="11"/>
    <col width="9" customWidth="1" min="12" max="12"/>
    <col width="16" customWidth="1" min="13" max="13"/>
    <col width="10" customWidth="1" min="14" max="14"/>
    <col width="13" customWidth="1" min="15" max="15"/>
  </cols>
  <sheetData>
    <row r="1">
      <c r="A1" s="7" t="inlineStr">
        <is>
          <t>Exceptions register (all items that need an action or a decision)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Sample build: realistic data, built to show how I'd handle this work. Not client data.</t>
        </is>
      </c>
    </row>
    <row r="4">
      <c r="A4" s="8" t="inlineStr">
        <is>
          <t>Ref</t>
        </is>
      </c>
      <c r="B4" s="8" t="inlineStr">
        <is>
          <t>Account</t>
        </is>
      </c>
      <c r="C4" s="8" t="inlineStr">
        <is>
          <t>Date</t>
        </is>
      </c>
      <c r="D4" s="8" t="inlineStr">
        <is>
          <t>Group</t>
        </is>
      </c>
      <c r="E4" s="8" t="inlineStr">
        <is>
          <t>Reason</t>
        </is>
      </c>
      <c r="F4" s="8" t="inlineStr">
        <is>
          <t>Type</t>
        </is>
      </c>
      <c r="G4" s="8" t="inlineStr">
        <is>
          <t>Description</t>
        </is>
      </c>
      <c r="H4" s="8" t="inlineStr">
        <is>
          <t>Amount (bank - Odoo)</t>
        </is>
      </c>
      <c r="I4" s="8" t="inlineStr">
        <is>
          <t>GST</t>
        </is>
      </c>
      <c r="J4" s="8" t="inlineStr">
        <is>
          <t>Owner</t>
        </is>
      </c>
      <c r="K4" s="8" t="inlineStr">
        <is>
          <t>Proposed action</t>
        </is>
      </c>
      <c r="L4" s="8" t="inlineStr">
        <is>
          <t>Journal</t>
        </is>
      </c>
      <c r="M4" s="8" t="inlineStr">
        <is>
          <t>Status</t>
        </is>
      </c>
      <c r="N4" s="8" t="inlineStr">
        <is>
          <t>Month</t>
        </is>
      </c>
      <c r="O4" s="8" t="inlineStr">
        <is>
          <t>Line amount</t>
        </is>
      </c>
    </row>
    <row r="5">
      <c r="A5" t="inlineStr">
        <is>
          <t>EX001</t>
        </is>
      </c>
      <c r="B5" t="inlineStr">
        <is>
          <t>OPS</t>
        </is>
      </c>
      <c r="C5" s="5" t="n">
        <v>46248</v>
      </c>
      <c r="D5" t="inlineStr">
        <is>
          <t>G00001</t>
        </is>
      </c>
      <c r="E5" t="inlineStr">
        <is>
          <t>DUPIMP</t>
        </is>
      </c>
      <c r="F5" t="inlineStr">
        <is>
          <t>Routine</t>
        </is>
      </c>
      <c r="G5" t="inlineStr">
        <is>
          <t>Duplicate of a line in import OPS-20260814 | DIRECT CREDIT BLUEGUM PLAN MGMT RA45019</t>
        </is>
      </c>
      <c r="H5" s="9">
        <f>INDEX('Match Groups'!$L$5:$L$1326,MATCH(D5,'Match Groups'!$A$5:$A$1326,0))</f>
        <v>0</v>
      </c>
      <c r="I5" s="9" t="n">
        <v>0</v>
      </c>
      <c r="J5" t="inlineStr">
        <is>
          <t>Bookkeeper</t>
        </is>
      </c>
      <c r="K5" t="inlineStr">
        <is>
          <t>Delete the duplicate statement line from the Odoo import (second file for the day).</t>
        </is>
      </c>
      <c r="L5" t="inlineStr">
        <is>
          <t>none</t>
        </is>
      </c>
      <c r="M5" t="inlineStr">
        <is>
          <t>Proposed</t>
        </is>
      </c>
      <c r="N5" t="str">
        <f>TEXT(C5,"yyyy-mm")</f>
        <v>2026-08</v>
      </c>
      <c r="O5" s="9">
        <f>ROUND(SUMIFS('Bank Lines'!$E$5:$E$1640,'Bank Lines'!$G$5:$G$1640,D5),2)</f>
        <v>563.47</v>
      </c>
    </row>
    <row r="6">
      <c r="A6" t="inlineStr">
        <is>
          <t>EX002</t>
        </is>
      </c>
      <c r="B6" t="inlineStr">
        <is>
          <t>OPS</t>
        </is>
      </c>
      <c r="C6" s="5" t="n">
        <v>46248</v>
      </c>
      <c r="D6" t="inlineStr">
        <is>
          <t>G00002</t>
        </is>
      </c>
      <c r="E6" t="inlineStr">
        <is>
          <t>DUPIMP</t>
        </is>
      </c>
      <c r="F6" t="inlineStr">
        <is>
          <t>Routine</t>
        </is>
      </c>
      <c r="G6" t="inlineStr">
        <is>
          <t>Duplicate of a line in import OPS-20260814 | DIRECT CREDIT CLEARPATH NDIS PLANS P RA45020</t>
        </is>
      </c>
      <c r="H6" s="9">
        <f>INDEX('Match Groups'!$L$5:$L$1326,MATCH(D6,'Match Groups'!$A$5:$A$1326,0))</f>
        <v>0</v>
      </c>
      <c r="I6" s="9" t="n">
        <v>0</v>
      </c>
      <c r="J6" t="inlineStr">
        <is>
          <t>Bookkeeper</t>
        </is>
      </c>
      <c r="K6" t="inlineStr">
        <is>
          <t>Delete the duplicate statement line from the Odoo import (second file for the day).</t>
        </is>
      </c>
      <c r="L6" t="inlineStr">
        <is>
          <t>none</t>
        </is>
      </c>
      <c r="M6" t="inlineStr">
        <is>
          <t>Proposed</t>
        </is>
      </c>
      <c r="N6" t="str">
        <f>TEXT(C6,"yyyy-mm")</f>
        <v>2026-08</v>
      </c>
      <c r="O6" s="9">
        <f>ROUND(SUMIFS('Bank Lines'!$E$5:$E$1640,'Bank Lines'!$G$5:$G$1640,D6),2)</f>
        <v>834.16</v>
      </c>
    </row>
    <row r="7">
      <c r="A7" t="inlineStr">
        <is>
          <t>EX003</t>
        </is>
      </c>
      <c r="B7" t="inlineStr">
        <is>
          <t>OPS</t>
        </is>
      </c>
      <c r="C7" s="5" t="n">
        <v>46248</v>
      </c>
      <c r="D7" t="inlineStr">
        <is>
          <t>G00003</t>
        </is>
      </c>
      <c r="E7" t="inlineStr">
        <is>
          <t>DUPIMP</t>
        </is>
      </c>
      <c r="F7" t="inlineStr">
        <is>
          <t>Routine</t>
        </is>
      </c>
      <c r="G7" t="inlineStr">
        <is>
          <t>Duplicate of a line in import OPS-20260814 | DIRECT CREDIT BANKSIAPLANCO RA45021</t>
        </is>
      </c>
      <c r="H7" s="9">
        <f>INDEX('Match Groups'!$L$5:$L$1326,MATCH(D7,'Match Groups'!$A$5:$A$1326,0))</f>
        <v>0</v>
      </c>
      <c r="I7" s="9" t="n">
        <v>0</v>
      </c>
      <c r="J7" t="inlineStr">
        <is>
          <t>Bookkeeper</t>
        </is>
      </c>
      <c r="K7" t="inlineStr">
        <is>
          <t>Delete the duplicate statement line from the Odoo import (second file for the day).</t>
        </is>
      </c>
      <c r="L7" t="inlineStr">
        <is>
          <t>none</t>
        </is>
      </c>
      <c r="M7" t="inlineStr">
        <is>
          <t>Proposed</t>
        </is>
      </c>
      <c r="N7" t="str">
        <f>TEXT(C7,"yyyy-mm")</f>
        <v>2026-08</v>
      </c>
      <c r="O7" s="9">
        <f>ROUND(SUMIFS('Bank Lines'!$E$5:$E$1640,'Bank Lines'!$G$5:$G$1640,D7),2)</f>
        <v>193.99</v>
      </c>
    </row>
    <row r="8">
      <c r="A8" t="inlineStr">
        <is>
          <t>EX004</t>
        </is>
      </c>
      <c r="B8" t="inlineStr">
        <is>
          <t>OPS</t>
        </is>
      </c>
      <c r="C8" s="5" t="n">
        <v>46248</v>
      </c>
      <c r="D8" t="inlineStr">
        <is>
          <t>G00004</t>
        </is>
      </c>
      <c r="E8" t="inlineStr">
        <is>
          <t>DUPIMP</t>
        </is>
      </c>
      <c r="F8" t="inlineStr">
        <is>
          <t>Routine</t>
        </is>
      </c>
      <c r="G8" t="inlineStr">
        <is>
          <t>Duplicate of a line in import OPS-20260814 | DIRECT CREDIT IRONBARK PLAN MANAGEME RA45022</t>
        </is>
      </c>
      <c r="H8" s="9">
        <f>INDEX('Match Groups'!$L$5:$L$1326,MATCH(D8,'Match Groups'!$A$5:$A$1326,0))</f>
        <v>0</v>
      </c>
      <c r="I8" s="9" t="n">
        <v>0</v>
      </c>
      <c r="J8" t="inlineStr">
        <is>
          <t>Bookkeeper</t>
        </is>
      </c>
      <c r="K8" t="inlineStr">
        <is>
          <t>Delete the duplicate statement line from the Odoo import (second file for the day).</t>
        </is>
      </c>
      <c r="L8" t="inlineStr">
        <is>
          <t>none</t>
        </is>
      </c>
      <c r="M8" t="inlineStr">
        <is>
          <t>Proposed</t>
        </is>
      </c>
      <c r="N8" t="str">
        <f>TEXT(C8,"yyyy-mm")</f>
        <v>2026-08</v>
      </c>
      <c r="O8" s="9">
        <f>ROUND(SUMIFS('Bank Lines'!$E$5:$E$1640,'Bank Lines'!$G$5:$G$1640,D8),2)</f>
        <v>290.98</v>
      </c>
    </row>
    <row r="9">
      <c r="A9" t="inlineStr">
        <is>
          <t>EX005</t>
        </is>
      </c>
      <c r="B9" t="inlineStr">
        <is>
          <t>OPS</t>
        </is>
      </c>
      <c r="C9" s="5" t="n">
        <v>46248</v>
      </c>
      <c r="D9" t="inlineStr">
        <is>
          <t>G00005</t>
        </is>
      </c>
      <c r="E9" t="inlineStr">
        <is>
          <t>DUPIMP</t>
        </is>
      </c>
      <c r="F9" t="inlineStr">
        <is>
          <t>Routine</t>
        </is>
      </c>
      <c r="G9" t="inlineStr">
        <is>
          <t>Duplicate of a line in import OPS-20260814 | DIRECT CREDIT KOOKABURRA PLAN SUPP RA45023</t>
        </is>
      </c>
      <c r="H9" s="9">
        <f>INDEX('Match Groups'!$L$5:$L$1326,MATCH(D9,'Match Groups'!$A$5:$A$1326,0))</f>
        <v>0</v>
      </c>
      <c r="I9" s="9" t="n">
        <v>0</v>
      </c>
      <c r="J9" t="inlineStr">
        <is>
          <t>Bookkeeper</t>
        </is>
      </c>
      <c r="K9" t="inlineStr">
        <is>
          <t>Delete the duplicate statement line from the Odoo import (second file for the day).</t>
        </is>
      </c>
      <c r="L9" t="inlineStr">
        <is>
          <t>none</t>
        </is>
      </c>
      <c r="M9" t="inlineStr">
        <is>
          <t>Proposed</t>
        </is>
      </c>
      <c r="N9" t="str">
        <f>TEXT(C9,"yyyy-mm")</f>
        <v>2026-08</v>
      </c>
      <c r="O9" s="9">
        <f>ROUND(SUMIFS('Bank Lines'!$E$5:$E$1640,'Bank Lines'!$G$5:$G$1640,D9),2)</f>
        <v>805.96</v>
      </c>
    </row>
    <row r="10">
      <c r="A10" t="inlineStr">
        <is>
          <t>EX006</t>
        </is>
      </c>
      <c r="B10" t="inlineStr">
        <is>
          <t>OPS</t>
        </is>
      </c>
      <c r="C10" s="5" t="n">
        <v>46248</v>
      </c>
      <c r="D10" t="inlineStr">
        <is>
          <t>G00006</t>
        </is>
      </c>
      <c r="E10" t="inlineStr">
        <is>
          <t>DUPIMP</t>
        </is>
      </c>
      <c r="F10" t="inlineStr">
        <is>
          <t>Routine</t>
        </is>
      </c>
      <c r="G10" t="inlineStr">
        <is>
          <t>Duplicate of a line in import OPS-20260814 | DIRECT CREDIT LYREBIRD PLAN MANA RA45024</t>
        </is>
      </c>
      <c r="H10" s="9">
        <f>INDEX('Match Groups'!$L$5:$L$1326,MATCH(D10,'Match Groups'!$A$5:$A$1326,0))</f>
        <v>0</v>
      </c>
      <c r="I10" s="9" t="n">
        <v>0</v>
      </c>
      <c r="J10" t="inlineStr">
        <is>
          <t>Bookkeeper</t>
        </is>
      </c>
      <c r="K10" t="inlineStr">
        <is>
          <t>Delete the duplicate statement line from the Odoo import (second file for the day).</t>
        </is>
      </c>
      <c r="L10" t="inlineStr">
        <is>
          <t>none</t>
        </is>
      </c>
      <c r="M10" t="inlineStr">
        <is>
          <t>Proposed</t>
        </is>
      </c>
      <c r="N10" t="str">
        <f>TEXT(C10,"yyyy-mm")</f>
        <v>2026-08</v>
      </c>
      <c r="O10" s="9">
        <f>ROUND(SUMIFS('Bank Lines'!$E$5:$E$1640,'Bank Lines'!$G$5:$G$1640,D10),2)</f>
        <v>320.98</v>
      </c>
    </row>
    <row r="11">
      <c r="A11" t="inlineStr">
        <is>
          <t>EX007</t>
        </is>
      </c>
      <c r="B11" t="inlineStr">
        <is>
          <t>OPS</t>
        </is>
      </c>
      <c r="C11" s="5" t="n">
        <v>46248</v>
      </c>
      <c r="D11" t="inlineStr">
        <is>
          <t>G00007</t>
        </is>
      </c>
      <c r="E11" t="inlineStr">
        <is>
          <t>DUPIMP</t>
        </is>
      </c>
      <c r="F11" t="inlineStr">
        <is>
          <t>Routine</t>
        </is>
      </c>
      <c r="G11" t="inlineStr">
        <is>
          <t>Duplicate of a line in import OPS-20260814 | DIRECT CREDIT MALLEE PLAN SERVICES RA45025</t>
        </is>
      </c>
      <c r="H11" s="9">
        <f>INDEX('Match Groups'!$L$5:$L$1326,MATCH(D11,'Match Groups'!$A$5:$A$1326,0))</f>
        <v>0</v>
      </c>
      <c r="I11" s="9" t="n">
        <v>0</v>
      </c>
      <c r="J11" t="inlineStr">
        <is>
          <t>Bookkeeper</t>
        </is>
      </c>
      <c r="K11" t="inlineStr">
        <is>
          <t>Delete the duplicate statement line from the Odoo import (second file for the day).</t>
        </is>
      </c>
      <c r="L11" t="inlineStr">
        <is>
          <t>none</t>
        </is>
      </c>
      <c r="M11" t="inlineStr">
        <is>
          <t>Proposed</t>
        </is>
      </c>
      <c r="N11" t="str">
        <f>TEXT(C11,"yyyy-mm")</f>
        <v>2026-08</v>
      </c>
      <c r="O11" s="9">
        <f>ROUND(SUMIFS('Bank Lines'!$E$5:$E$1640,'Bank Lines'!$G$5:$G$1640,D11),2)</f>
        <v>1522.81</v>
      </c>
    </row>
    <row r="12">
      <c r="A12" t="inlineStr">
        <is>
          <t>EX008</t>
        </is>
      </c>
      <c r="B12" t="inlineStr">
        <is>
          <t>OPS</t>
        </is>
      </c>
      <c r="C12" s="5" t="n">
        <v>46248</v>
      </c>
      <c r="D12" t="inlineStr">
        <is>
          <t>G00008</t>
        </is>
      </c>
      <c r="E12" t="inlineStr">
        <is>
          <t>DUPIMP</t>
        </is>
      </c>
      <c r="F12" t="inlineStr">
        <is>
          <t>Routine</t>
        </is>
      </c>
      <c r="G12" t="inlineStr">
        <is>
          <t>Duplicate of a line in import OPS-20260814 | DIRECT CREDIT HARBOUR MUTUAL HEALT CLM5874099 INV/2026/02416</t>
        </is>
      </c>
      <c r="H12" s="9">
        <f>INDEX('Match Groups'!$L$5:$L$1326,MATCH(D12,'Match Groups'!$A$5:$A$1326,0))</f>
        <v>0</v>
      </c>
      <c r="I12" s="9" t="n">
        <v>0</v>
      </c>
      <c r="J12" t="inlineStr">
        <is>
          <t>Bookkeeper</t>
        </is>
      </c>
      <c r="K12" t="inlineStr">
        <is>
          <t>Delete the duplicate statement line from the Odoo import (second file for the day).</t>
        </is>
      </c>
      <c r="L12" t="inlineStr">
        <is>
          <t>none</t>
        </is>
      </c>
      <c r="M12" t="inlineStr">
        <is>
          <t>Proposed</t>
        </is>
      </c>
      <c r="N12" t="str">
        <f>TEXT(C12,"yyyy-mm")</f>
        <v>2026-08</v>
      </c>
      <c r="O12" s="9">
        <f>ROUND(SUMIFS('Bank Lines'!$E$5:$E$1640,'Bank Lines'!$G$5:$G$1640,D12),2)</f>
        <v>132</v>
      </c>
    </row>
    <row r="13">
      <c r="A13" t="inlineStr">
        <is>
          <t>EX009</t>
        </is>
      </c>
      <c r="B13" t="inlineStr">
        <is>
          <t>OPS</t>
        </is>
      </c>
      <c r="C13" s="5" t="n">
        <v>46248</v>
      </c>
      <c r="D13" t="inlineStr">
        <is>
          <t>G00009</t>
        </is>
      </c>
      <c r="E13" t="inlineStr">
        <is>
          <t>DUPIMP</t>
        </is>
      </c>
      <c r="F13" t="inlineStr">
        <is>
          <t>Routine</t>
        </is>
      </c>
      <c r="G13" t="inlineStr">
        <is>
          <t>Duplicate of a line in import OPS-20260814 | DIRECT CREDIT MERIDIAN HEALTH COVE CLM5617804 INV 2510</t>
        </is>
      </c>
      <c r="H13" s="9">
        <f>INDEX('Match Groups'!$L$5:$L$1326,MATCH(D13,'Match Groups'!$A$5:$A$1326,0))</f>
        <v>0</v>
      </c>
      <c r="I13" s="9" t="n">
        <v>0</v>
      </c>
      <c r="J13" t="inlineStr">
        <is>
          <t>Bookkeeper</t>
        </is>
      </c>
      <c r="K13" t="inlineStr">
        <is>
          <t>Delete the duplicate statement line from the Odoo import (second file for the day).</t>
        </is>
      </c>
      <c r="L13" t="inlineStr">
        <is>
          <t>none</t>
        </is>
      </c>
      <c r="M13" t="inlineStr">
        <is>
          <t>Proposed</t>
        </is>
      </c>
      <c r="N13" t="str">
        <f>TEXT(C13,"yyyy-mm")</f>
        <v>2026-08</v>
      </c>
      <c r="O13" s="9">
        <f>ROUND(SUMIFS('Bank Lines'!$E$5:$E$1640,'Bank Lines'!$G$5:$G$1640,D13),2)</f>
        <v>412.5</v>
      </c>
    </row>
    <row r="14">
      <c r="A14" t="inlineStr">
        <is>
          <t>EX010</t>
        </is>
      </c>
      <c r="B14" t="inlineStr">
        <is>
          <t>OPS</t>
        </is>
      </c>
      <c r="C14" s="5" t="n">
        <v>46248</v>
      </c>
      <c r="D14" t="inlineStr">
        <is>
          <t>G00010</t>
        </is>
      </c>
      <c r="E14" t="inlineStr">
        <is>
          <t>DUPIMP</t>
        </is>
      </c>
      <c r="F14" t="inlineStr">
        <is>
          <t>Routine</t>
        </is>
      </c>
      <c r="G14" t="inlineStr">
        <is>
          <t>Duplicate of a line in import OPS-20260814 | STRIPE PAYOUT STRIPE po_1Q0033KX</t>
        </is>
      </c>
      <c r="H14" s="9">
        <f>INDEX('Match Groups'!$L$5:$L$1326,MATCH(D14,'Match Groups'!$A$5:$A$1326,0))</f>
        <v>0</v>
      </c>
      <c r="I14" s="9" t="n">
        <v>0</v>
      </c>
      <c r="J14" t="inlineStr">
        <is>
          <t>Bookkeeper</t>
        </is>
      </c>
      <c r="K14" t="inlineStr">
        <is>
          <t>Delete the duplicate statement line from the Odoo import (second file for the day).</t>
        </is>
      </c>
      <c r="L14" t="inlineStr">
        <is>
          <t>none</t>
        </is>
      </c>
      <c r="M14" t="inlineStr">
        <is>
          <t>Proposed</t>
        </is>
      </c>
      <c r="N14" t="str">
        <f>TEXT(C14,"yyyy-mm")</f>
        <v>2026-08</v>
      </c>
      <c r="O14" s="9">
        <f>ROUND(SUMIFS('Bank Lines'!$E$5:$E$1640,'Bank Lines'!$G$5:$G$1640,D14),2)</f>
        <v>2871.52</v>
      </c>
    </row>
    <row r="15">
      <c r="A15" t="inlineStr">
        <is>
          <t>EX011</t>
        </is>
      </c>
      <c r="B15" t="inlineStr">
        <is>
          <t>OPS</t>
        </is>
      </c>
      <c r="C15" s="5" t="n">
        <v>46248</v>
      </c>
      <c r="D15" t="inlineStr">
        <is>
          <t>G00011</t>
        </is>
      </c>
      <c r="E15" t="inlineStr">
        <is>
          <t>DUPIMP</t>
        </is>
      </c>
      <c r="F15" t="inlineStr">
        <is>
          <t>Routine</t>
        </is>
      </c>
      <c r="G15" t="inlineStr">
        <is>
          <t>Duplicate of a line in import OPS-20260814 | CHEQUE 000405</t>
        </is>
      </c>
      <c r="H15" s="9">
        <f>INDEX('Match Groups'!$L$5:$L$1326,MATCH(D15,'Match Groups'!$A$5:$A$1326,0))</f>
        <v>0</v>
      </c>
      <c r="I15" s="9" t="n">
        <v>0</v>
      </c>
      <c r="J15" t="inlineStr">
        <is>
          <t>Bookkeeper</t>
        </is>
      </c>
      <c r="K15" t="inlineStr">
        <is>
          <t>Delete the duplicate statement line from the Odoo import (second file for the day).</t>
        </is>
      </c>
      <c r="L15" t="inlineStr">
        <is>
          <t>none</t>
        </is>
      </c>
      <c r="M15" t="inlineStr">
        <is>
          <t>Proposed</t>
        </is>
      </c>
      <c r="N15" t="str">
        <f>TEXT(C15,"yyyy-mm")</f>
        <v>2026-08</v>
      </c>
      <c r="O15" s="9">
        <f>ROUND(SUMIFS('Bank Lines'!$E$5:$E$1640,'Bank Lines'!$G$5:$G$1640,D15),2)</f>
        <v>-132</v>
      </c>
    </row>
    <row r="16">
      <c r="A16" t="inlineStr">
        <is>
          <t>EX012</t>
        </is>
      </c>
      <c r="B16" t="inlineStr">
        <is>
          <t>OPS</t>
        </is>
      </c>
      <c r="C16" s="5" t="n">
        <v>46248</v>
      </c>
      <c r="D16" t="inlineStr">
        <is>
          <t>G00012</t>
        </is>
      </c>
      <c r="E16" t="inlineStr">
        <is>
          <t>DUPIMP</t>
        </is>
      </c>
      <c r="F16" t="inlineStr">
        <is>
          <t>Routine</t>
        </is>
      </c>
      <c r="G16" t="inlineStr">
        <is>
          <t>Duplicate of a line in import OPS-20260814 | CHEQUE 000406</t>
        </is>
      </c>
      <c r="H16" s="9">
        <f>INDEX('Match Groups'!$L$5:$L$1326,MATCH(D16,'Match Groups'!$A$5:$A$1326,0))</f>
        <v>0</v>
      </c>
      <c r="I16" s="9" t="n">
        <v>0</v>
      </c>
      <c r="J16" t="inlineStr">
        <is>
          <t>Bookkeeper</t>
        </is>
      </c>
      <c r="K16" t="inlineStr">
        <is>
          <t>Delete the duplicate statement line from the Odoo import (second file for the day).</t>
        </is>
      </c>
      <c r="L16" t="inlineStr">
        <is>
          <t>none</t>
        </is>
      </c>
      <c r="M16" t="inlineStr">
        <is>
          <t>Proposed</t>
        </is>
      </c>
      <c r="N16" t="str">
        <f>TEXT(C16,"yyyy-mm")</f>
        <v>2026-08</v>
      </c>
      <c r="O16" s="9">
        <f>ROUND(SUMIFS('Bank Lines'!$E$5:$E$1640,'Bank Lines'!$G$5:$G$1640,D16),2)</f>
        <v>-132</v>
      </c>
    </row>
    <row r="17">
      <c r="A17" t="inlineStr">
        <is>
          <t>EX013</t>
        </is>
      </c>
      <c r="B17" t="inlineStr">
        <is>
          <t>OPS</t>
        </is>
      </c>
      <c r="C17" s="5" t="n">
        <v>46248</v>
      </c>
      <c r="D17" t="inlineStr">
        <is>
          <t>G00013</t>
        </is>
      </c>
      <c r="E17" t="inlineStr">
        <is>
          <t>DUPIMP</t>
        </is>
      </c>
      <c r="F17" t="inlineStr">
        <is>
          <t>Routine</t>
        </is>
      </c>
      <c r="G17" t="inlineStr">
        <is>
          <t>Duplicate of a line in import OPS-20260814 | CHEQUE 000407</t>
        </is>
      </c>
      <c r="H17" s="9">
        <f>INDEX('Match Groups'!$L$5:$L$1326,MATCH(D17,'Match Groups'!$A$5:$A$1326,0))</f>
        <v>0</v>
      </c>
      <c r="I17" s="9" t="n">
        <v>0</v>
      </c>
      <c r="J17" t="inlineStr">
        <is>
          <t>Bookkeeper</t>
        </is>
      </c>
      <c r="K17" t="inlineStr">
        <is>
          <t>Delete the duplicate statement line from the Odoo import (second file for the day).</t>
        </is>
      </c>
      <c r="L17" t="inlineStr">
        <is>
          <t>none</t>
        </is>
      </c>
      <c r="M17" t="inlineStr">
        <is>
          <t>Proposed</t>
        </is>
      </c>
      <c r="N17" t="str">
        <f>TEXT(C17,"yyyy-mm")</f>
        <v>2026-08</v>
      </c>
      <c r="O17" s="9">
        <f>ROUND(SUMIFS('Bank Lines'!$E$5:$E$1640,'Bank Lines'!$G$5:$G$1640,D17),2)</f>
        <v>-924</v>
      </c>
    </row>
    <row r="18">
      <c r="A18" t="inlineStr">
        <is>
          <t>EX014</t>
        </is>
      </c>
      <c r="B18" t="inlineStr">
        <is>
          <t>OPS</t>
        </is>
      </c>
      <c r="C18" s="5" t="n">
        <v>46204</v>
      </c>
      <c r="D18" t="inlineStr">
        <is>
          <t>G00014</t>
        </is>
      </c>
      <c r="E18" t="inlineStr">
        <is>
          <t>STRIPE-FEE</t>
        </is>
      </c>
      <c r="F18" t="inlineStr">
        <is>
          <t>Routine</t>
        </is>
      </c>
      <c r="G18" t="inlineStr">
        <is>
          <t>31 report lines; fees 78.09 | STRIPE PAYOUT STRIPE po_1Q0001KX</t>
        </is>
      </c>
      <c r="H18" s="9">
        <f>INDEX('Match Groups'!$L$5:$L$1326,MATCH(D18,'Match Groups'!$A$5:$A$1326,0))</f>
        <v>-78.09</v>
      </c>
      <c r="I18" s="9">
        <f>SUMIFS('Stripe Payouts'!$H$5:$H$72,'Stripe Payouts'!$M$5:$M$72,D18)</f>
        <v>7.1</v>
      </c>
      <c r="J18" t="inlineStr">
        <is>
          <t>Bookkeeper</t>
        </is>
      </c>
      <c r="K18" t="inlineStr">
        <is>
          <t>Reconcile payout with a fee line (reconciliation model 'Stripe fees'); GST claimed on fees.</t>
        </is>
      </c>
      <c r="L18" t="inlineStr">
        <is>
          <t>J014</t>
        </is>
      </c>
      <c r="M18" t="inlineStr">
        <is>
          <t>Proposed</t>
        </is>
      </c>
      <c r="N18" t="str">
        <f>TEXT(C18,"yyyy-mm")</f>
        <v>2026-07</v>
      </c>
      <c r="O18" s="9">
        <f>ROUND(SUMIFS('Bank Lines'!$E$5:$E$1640,'Bank Lines'!$G$5:$G$1640,D18),2)</f>
        <v>3851.91</v>
      </c>
    </row>
    <row r="19">
      <c r="A19" t="inlineStr">
        <is>
          <t>EX015</t>
        </is>
      </c>
      <c r="B19" t="inlineStr">
        <is>
          <t>OPS</t>
        </is>
      </c>
      <c r="C19" s="5" t="n">
        <v>46205</v>
      </c>
      <c r="D19" t="inlineStr">
        <is>
          <t>G00015</t>
        </is>
      </c>
      <c r="E19" t="inlineStr">
        <is>
          <t>STRIPE-FEE</t>
        </is>
      </c>
      <c r="F19" t="inlineStr">
        <is>
          <t>Routine</t>
        </is>
      </c>
      <c r="G19" t="inlineStr">
        <is>
          <t>21 report lines; fees 53.15 | STRIPE PAYOUT STRIPE po_1Q0002KX</t>
        </is>
      </c>
      <c r="H19" s="9">
        <f>INDEX('Match Groups'!$L$5:$L$1326,MATCH(D19,'Match Groups'!$A$5:$A$1326,0))</f>
        <v>-53.15</v>
      </c>
      <c r="I19" s="9">
        <f>SUMIFS('Stripe Payouts'!$H$5:$H$72,'Stripe Payouts'!$M$5:$M$72,D19)</f>
        <v>4.83</v>
      </c>
      <c r="J19" t="inlineStr">
        <is>
          <t>Bookkeeper</t>
        </is>
      </c>
      <c r="K19" t="inlineStr">
        <is>
          <t>Reconcile payout with a fee line (reconciliation model 'Stripe fees'); GST claimed on fees.</t>
        </is>
      </c>
      <c r="L19" t="inlineStr">
        <is>
          <t>J015</t>
        </is>
      </c>
      <c r="M19" t="inlineStr">
        <is>
          <t>Proposed</t>
        </is>
      </c>
      <c r="N19" t="str">
        <f>TEXT(C19,"yyyy-mm")</f>
        <v>2026-07</v>
      </c>
      <c r="O19" s="9">
        <f>ROUND(SUMIFS('Bank Lines'!$E$5:$E$1640,'Bank Lines'!$G$5:$G$1640,D19),2)</f>
        <v>2621.85</v>
      </c>
    </row>
    <row r="20">
      <c r="A20" t="inlineStr">
        <is>
          <t>EX016</t>
        </is>
      </c>
      <c r="B20" t="inlineStr">
        <is>
          <t>OPS</t>
        </is>
      </c>
      <c r="C20" s="5" t="n">
        <v>46206</v>
      </c>
      <c r="D20" t="inlineStr">
        <is>
          <t>G00016</t>
        </is>
      </c>
      <c r="E20" t="inlineStr">
        <is>
          <t>STRIPE-FEE</t>
        </is>
      </c>
      <c r="F20" t="inlineStr">
        <is>
          <t>Routine</t>
        </is>
      </c>
      <c r="G20" t="inlineStr">
        <is>
          <t>32 report lines; fees 75.01 | STRIPE PAYOUT STRIPE po_1Q0003KX</t>
        </is>
      </c>
      <c r="H20" s="9">
        <f>INDEX('Match Groups'!$L$5:$L$1326,MATCH(D20,'Match Groups'!$A$5:$A$1326,0))</f>
        <v>-75.01</v>
      </c>
      <c r="I20" s="9">
        <f>SUMIFS('Stripe Payouts'!$H$5:$H$72,'Stripe Payouts'!$M$5:$M$72,D20)</f>
        <v>6.82</v>
      </c>
      <c r="J20" t="inlineStr">
        <is>
          <t>Bookkeeper</t>
        </is>
      </c>
      <c r="K20" t="inlineStr">
        <is>
          <t>Reconcile payout with a fee line (reconciliation model 'Stripe fees'); GST claimed on fees.</t>
        </is>
      </c>
      <c r="L20" t="inlineStr">
        <is>
          <t>J016</t>
        </is>
      </c>
      <c r="M20" t="inlineStr">
        <is>
          <t>Proposed</t>
        </is>
      </c>
      <c r="N20" t="str">
        <f>TEXT(C20,"yyyy-mm")</f>
        <v>2026-07</v>
      </c>
      <c r="O20" s="9">
        <f>ROUND(SUMIFS('Bank Lines'!$E$5:$E$1640,'Bank Lines'!$G$5:$G$1640,D20),2)</f>
        <v>3659.99</v>
      </c>
    </row>
    <row r="21">
      <c r="A21" t="inlineStr">
        <is>
          <t>EX017</t>
        </is>
      </c>
      <c r="B21" t="inlineStr">
        <is>
          <t>OPS</t>
        </is>
      </c>
      <c r="C21" s="5" t="n">
        <v>46209</v>
      </c>
      <c r="D21" t="inlineStr">
        <is>
          <t>G00017</t>
        </is>
      </c>
      <c r="E21" t="inlineStr">
        <is>
          <t>STRIPE-FEE</t>
        </is>
      </c>
      <c r="F21" t="inlineStr">
        <is>
          <t>Routine</t>
        </is>
      </c>
      <c r="G21" t="inlineStr">
        <is>
          <t>25 report lines; fees 63.27 | STRIPE PAYOUT STRIPE po_1Q0004KX</t>
        </is>
      </c>
      <c r="H21" s="9">
        <f>INDEX('Match Groups'!$L$5:$L$1326,MATCH(D21,'Match Groups'!$A$5:$A$1326,0))</f>
        <v>-63.27</v>
      </c>
      <c r="I21" s="9">
        <f>SUMIFS('Stripe Payouts'!$H$5:$H$72,'Stripe Payouts'!$M$5:$M$72,D21)</f>
        <v>5.75</v>
      </c>
      <c r="J21" t="inlineStr">
        <is>
          <t>Bookkeeper</t>
        </is>
      </c>
      <c r="K21" t="inlineStr">
        <is>
          <t>Reconcile payout with a fee line (reconciliation model 'Stripe fees'); GST claimed on fees.</t>
        </is>
      </c>
      <c r="L21" t="inlineStr">
        <is>
          <t>J017</t>
        </is>
      </c>
      <c r="M21" t="inlineStr">
        <is>
          <t>Proposed</t>
        </is>
      </c>
      <c r="N21" t="str">
        <f>TEXT(C21,"yyyy-mm")</f>
        <v>2026-07</v>
      </c>
      <c r="O21" s="9">
        <f>ROUND(SUMIFS('Bank Lines'!$E$5:$E$1640,'Bank Lines'!$G$5:$G$1640,D21),2)</f>
        <v>3121.73</v>
      </c>
    </row>
    <row r="22">
      <c r="A22" t="inlineStr">
        <is>
          <t>EX018</t>
        </is>
      </c>
      <c r="B22" t="inlineStr">
        <is>
          <t>OPS</t>
        </is>
      </c>
      <c r="C22" s="5" t="n">
        <v>46210</v>
      </c>
      <c r="D22" t="inlineStr">
        <is>
          <t>G00018</t>
        </is>
      </c>
      <c r="E22" t="inlineStr">
        <is>
          <t>STRIPE-FEE</t>
        </is>
      </c>
      <c r="F22" t="inlineStr">
        <is>
          <t>Routine</t>
        </is>
      </c>
      <c r="G22" t="inlineStr">
        <is>
          <t>38 report lines; fees 104.19 | STRIPE PAYOUT STRIPE po_1Q0005KX</t>
        </is>
      </c>
      <c r="H22" s="9">
        <f>INDEX('Match Groups'!$L$5:$L$1326,MATCH(D22,'Match Groups'!$A$5:$A$1326,0))</f>
        <v>-104.19</v>
      </c>
      <c r="I22" s="9">
        <f>SUMIFS('Stripe Payouts'!$H$5:$H$72,'Stripe Payouts'!$M$5:$M$72,D22)</f>
        <v>9.47</v>
      </c>
      <c r="J22" t="inlineStr">
        <is>
          <t>Bookkeeper</t>
        </is>
      </c>
      <c r="K22" t="inlineStr">
        <is>
          <t>Reconcile payout with a fee line (reconciliation model 'Stripe fees'); GST claimed on fees.</t>
        </is>
      </c>
      <c r="L22" t="inlineStr">
        <is>
          <t>J018</t>
        </is>
      </c>
      <c r="M22" t="inlineStr">
        <is>
          <t>Proposed</t>
        </is>
      </c>
      <c r="N22" t="str">
        <f>TEXT(C22,"yyyy-mm")</f>
        <v>2026-07</v>
      </c>
      <c r="O22" s="9">
        <f>ROUND(SUMIFS('Bank Lines'!$E$5:$E$1640,'Bank Lines'!$G$5:$G$1640,D22),2)</f>
        <v>5195.81</v>
      </c>
    </row>
    <row r="23">
      <c r="A23" t="inlineStr">
        <is>
          <t>EX019</t>
        </is>
      </c>
      <c r="B23" t="inlineStr">
        <is>
          <t>OPS</t>
        </is>
      </c>
      <c r="C23" s="5" t="n">
        <v>46211</v>
      </c>
      <c r="D23" t="inlineStr">
        <is>
          <t>G00019</t>
        </is>
      </c>
      <c r="E23" t="inlineStr">
        <is>
          <t>STRIPE-FEE</t>
        </is>
      </c>
      <c r="F23" t="inlineStr">
        <is>
          <t>Routine</t>
        </is>
      </c>
      <c r="G23" t="inlineStr">
        <is>
          <t>19 report lines; fees 46.59 | STRIPE PAYOUT STRIPE po_1Q0006KX</t>
        </is>
      </c>
      <c r="H23" s="9">
        <f>INDEX('Match Groups'!$L$5:$L$1326,MATCH(D23,'Match Groups'!$A$5:$A$1326,0))</f>
        <v>-46.59</v>
      </c>
      <c r="I23" s="9">
        <f>SUMIFS('Stripe Payouts'!$H$5:$H$72,'Stripe Payouts'!$M$5:$M$72,D23)</f>
        <v>4.24</v>
      </c>
      <c r="J23" t="inlineStr">
        <is>
          <t>Bookkeeper</t>
        </is>
      </c>
      <c r="K23" t="inlineStr">
        <is>
          <t>Reconcile payout with a fee line (reconciliation model 'Stripe fees'); GST claimed on fees.</t>
        </is>
      </c>
      <c r="L23" t="inlineStr">
        <is>
          <t>J019</t>
        </is>
      </c>
      <c r="M23" t="inlineStr">
        <is>
          <t>Proposed</t>
        </is>
      </c>
      <c r="N23" t="str">
        <f>TEXT(C23,"yyyy-mm")</f>
        <v>2026-07</v>
      </c>
      <c r="O23" s="9">
        <f>ROUND(SUMIFS('Bank Lines'!$E$5:$E$1640,'Bank Lines'!$G$5:$G$1640,D23),2)</f>
        <v>2288.41</v>
      </c>
    </row>
    <row r="24">
      <c r="A24" t="inlineStr">
        <is>
          <t>EX020</t>
        </is>
      </c>
      <c r="B24" t="inlineStr">
        <is>
          <t>OPS</t>
        </is>
      </c>
      <c r="C24" s="5" t="n">
        <v>46212</v>
      </c>
      <c r="D24" t="inlineStr">
        <is>
          <t>G00020</t>
        </is>
      </c>
      <c r="E24" t="inlineStr">
        <is>
          <t>STRIPE-FEE</t>
        </is>
      </c>
      <c r="F24" t="inlineStr">
        <is>
          <t>Routine</t>
        </is>
      </c>
      <c r="G24" t="inlineStr">
        <is>
          <t>32 report lines; fees 69.84 | STRIPE PAYOUT STRIPE po_1Q0007KX</t>
        </is>
      </c>
      <c r="H24" s="9">
        <f>INDEX('Match Groups'!$L$5:$L$1326,MATCH(D24,'Match Groups'!$A$5:$A$1326,0))</f>
        <v>-69.84</v>
      </c>
      <c r="I24" s="9">
        <f>SUMIFS('Stripe Payouts'!$H$5:$H$72,'Stripe Payouts'!$M$5:$M$72,D24)</f>
        <v>6.35</v>
      </c>
      <c r="J24" t="inlineStr">
        <is>
          <t>Bookkeeper</t>
        </is>
      </c>
      <c r="K24" t="inlineStr">
        <is>
          <t>Reconcile payout with a fee line (reconciliation model 'Stripe fees'); GST claimed on fees.</t>
        </is>
      </c>
      <c r="L24" t="inlineStr">
        <is>
          <t>J020</t>
        </is>
      </c>
      <c r="M24" t="inlineStr">
        <is>
          <t>Proposed</t>
        </is>
      </c>
      <c r="N24" t="str">
        <f>TEXT(C24,"yyyy-mm")</f>
        <v>2026-07</v>
      </c>
      <c r="O24" s="9">
        <f>ROUND(SUMIFS('Bank Lines'!$E$5:$E$1640,'Bank Lines'!$G$5:$G$1640,D24),2)</f>
        <v>3370.16</v>
      </c>
    </row>
    <row r="25">
      <c r="A25" t="inlineStr">
        <is>
          <t>EX021</t>
        </is>
      </c>
      <c r="B25" t="inlineStr">
        <is>
          <t>OPS</t>
        </is>
      </c>
      <c r="C25" s="5" t="n">
        <v>46213</v>
      </c>
      <c r="D25" t="inlineStr">
        <is>
          <t>G00021</t>
        </is>
      </c>
      <c r="E25" t="inlineStr">
        <is>
          <t>STRIPE-FEE</t>
        </is>
      </c>
      <c r="F25" t="inlineStr">
        <is>
          <t>Routine</t>
        </is>
      </c>
      <c r="G25" t="inlineStr">
        <is>
          <t>28 report lines; fees 75.63 | STRIPE PAYOUT STRIPE po_1Q0008KX</t>
        </is>
      </c>
      <c r="H25" s="9">
        <f>INDEX('Match Groups'!$L$5:$L$1326,MATCH(D25,'Match Groups'!$A$5:$A$1326,0))</f>
        <v>-75.63</v>
      </c>
      <c r="I25" s="9">
        <f>SUMIFS('Stripe Payouts'!$H$5:$H$72,'Stripe Payouts'!$M$5:$M$72,D25)</f>
        <v>6.88</v>
      </c>
      <c r="J25" t="inlineStr">
        <is>
          <t>Bookkeeper</t>
        </is>
      </c>
      <c r="K25" t="inlineStr">
        <is>
          <t>Reconcile payout with a fee line (reconciliation model 'Stripe fees'); GST claimed on fees.</t>
        </is>
      </c>
      <c r="L25" t="inlineStr">
        <is>
          <t>J021</t>
        </is>
      </c>
      <c r="M25" t="inlineStr">
        <is>
          <t>Proposed</t>
        </is>
      </c>
      <c r="N25" t="str">
        <f>TEXT(C25,"yyyy-mm")</f>
        <v>2026-07</v>
      </c>
      <c r="O25" s="9">
        <f>ROUND(SUMIFS('Bank Lines'!$E$5:$E$1640,'Bank Lines'!$G$5:$G$1640,D25),2)</f>
        <v>3764.37</v>
      </c>
    </row>
    <row r="26">
      <c r="A26" t="inlineStr">
        <is>
          <t>EX022</t>
        </is>
      </c>
      <c r="B26" t="inlineStr">
        <is>
          <t>OPS</t>
        </is>
      </c>
      <c r="C26" s="5" t="n">
        <v>46216</v>
      </c>
      <c r="D26" t="inlineStr">
        <is>
          <t>G00022</t>
        </is>
      </c>
      <c r="E26" t="inlineStr">
        <is>
          <t>STRIPE-FEE</t>
        </is>
      </c>
      <c r="F26" t="inlineStr">
        <is>
          <t>Routine</t>
        </is>
      </c>
      <c r="G26" t="inlineStr">
        <is>
          <t>20 report lines; fees 51.79 | STRIPE PAYOUT STRIPE po_1Q0009KX</t>
        </is>
      </c>
      <c r="H26" s="9">
        <f>INDEX('Match Groups'!$L$5:$L$1326,MATCH(D26,'Match Groups'!$A$5:$A$1326,0))</f>
        <v>-51.79</v>
      </c>
      <c r="I26" s="9">
        <f>SUMIFS('Stripe Payouts'!$H$5:$H$72,'Stripe Payouts'!$M$5:$M$72,D26)</f>
        <v>4.71</v>
      </c>
      <c r="J26" t="inlineStr">
        <is>
          <t>Bookkeeper</t>
        </is>
      </c>
      <c r="K26" t="inlineStr">
        <is>
          <t>Reconcile payout with a fee line (reconciliation model 'Stripe fees'); GST claimed on fees.</t>
        </is>
      </c>
      <c r="L26" t="inlineStr">
        <is>
          <t>J022</t>
        </is>
      </c>
      <c r="M26" t="inlineStr">
        <is>
          <t>Proposed</t>
        </is>
      </c>
      <c r="N26" t="str">
        <f>TEXT(C26,"yyyy-mm")</f>
        <v>2026-07</v>
      </c>
      <c r="O26" s="9">
        <f>ROUND(SUMIFS('Bank Lines'!$E$5:$E$1640,'Bank Lines'!$G$5:$G$1640,D26),2)</f>
        <v>2563.21</v>
      </c>
    </row>
    <row r="27">
      <c r="A27" t="inlineStr">
        <is>
          <t>EX023</t>
        </is>
      </c>
      <c r="B27" t="inlineStr">
        <is>
          <t>OPS</t>
        </is>
      </c>
      <c r="C27" s="5" t="n">
        <v>46217</v>
      </c>
      <c r="D27" t="inlineStr">
        <is>
          <t>G00023</t>
        </is>
      </c>
      <c r="E27" t="inlineStr">
        <is>
          <t>STRIPE-FEE</t>
        </is>
      </c>
      <c r="F27" t="inlineStr">
        <is>
          <t>Routine</t>
        </is>
      </c>
      <c r="G27" t="inlineStr">
        <is>
          <t>39 report lines; fees 98.72 | STRIPE PAYOUT STRIPE po_1Q0010KX</t>
        </is>
      </c>
      <c r="H27" s="9">
        <f>INDEX('Match Groups'!$L$5:$L$1326,MATCH(D27,'Match Groups'!$A$5:$A$1326,0))</f>
        <v>-98.72</v>
      </c>
      <c r="I27" s="9">
        <f>SUMIFS('Stripe Payouts'!$H$5:$H$72,'Stripe Payouts'!$M$5:$M$72,D27)</f>
        <v>8.97</v>
      </c>
      <c r="J27" t="inlineStr">
        <is>
          <t>Bookkeeper</t>
        </is>
      </c>
      <c r="K27" t="inlineStr">
        <is>
          <t>Reconcile payout with a fee line (reconciliation model 'Stripe fees'); GST claimed on fees.</t>
        </is>
      </c>
      <c r="L27" t="inlineStr">
        <is>
          <t>J023</t>
        </is>
      </c>
      <c r="M27" t="inlineStr">
        <is>
          <t>Proposed</t>
        </is>
      </c>
      <c r="N27" t="str">
        <f>TEXT(C27,"yyyy-mm")</f>
        <v>2026-07</v>
      </c>
      <c r="O27" s="9">
        <f>ROUND(SUMIFS('Bank Lines'!$E$5:$E$1640,'Bank Lines'!$G$5:$G$1640,D27),2)</f>
        <v>4871.28</v>
      </c>
    </row>
    <row r="28">
      <c r="A28" t="inlineStr">
        <is>
          <t>EX024</t>
        </is>
      </c>
      <c r="B28" t="inlineStr">
        <is>
          <t>OPS</t>
        </is>
      </c>
      <c r="C28" s="5" t="n">
        <v>46218</v>
      </c>
      <c r="D28" t="inlineStr">
        <is>
          <t>G00024</t>
        </is>
      </c>
      <c r="E28" t="inlineStr">
        <is>
          <t>STRIPE-FEE</t>
        </is>
      </c>
      <c r="F28" t="inlineStr">
        <is>
          <t>Routine</t>
        </is>
      </c>
      <c r="G28" t="inlineStr">
        <is>
          <t>19 report lines; fees 48.19 | STRIPE PAYOUT STRIPE po_1Q0011KX</t>
        </is>
      </c>
      <c r="H28" s="9">
        <f>INDEX('Match Groups'!$L$5:$L$1326,MATCH(D28,'Match Groups'!$A$5:$A$1326,0))</f>
        <v>-48.19</v>
      </c>
      <c r="I28" s="9">
        <f>SUMIFS('Stripe Payouts'!$H$5:$H$72,'Stripe Payouts'!$M$5:$M$72,D28)</f>
        <v>4.38</v>
      </c>
      <c r="J28" t="inlineStr">
        <is>
          <t>Bookkeeper</t>
        </is>
      </c>
      <c r="K28" t="inlineStr">
        <is>
          <t>Reconcile payout with a fee line (reconciliation model 'Stripe fees'); GST claimed on fees.</t>
        </is>
      </c>
      <c r="L28" t="inlineStr">
        <is>
          <t>J024</t>
        </is>
      </c>
      <c r="M28" t="inlineStr">
        <is>
          <t>Proposed</t>
        </is>
      </c>
      <c r="N28" t="str">
        <f>TEXT(C28,"yyyy-mm")</f>
        <v>2026-07</v>
      </c>
      <c r="O28" s="9">
        <f>ROUND(SUMIFS('Bank Lines'!$E$5:$E$1640,'Bank Lines'!$G$5:$G$1640,D28),2)</f>
        <v>2376.81</v>
      </c>
    </row>
    <row r="29">
      <c r="A29" t="inlineStr">
        <is>
          <t>EX025</t>
        </is>
      </c>
      <c r="B29" t="inlineStr">
        <is>
          <t>OPS</t>
        </is>
      </c>
      <c r="C29" s="5" t="n">
        <v>46219</v>
      </c>
      <c r="D29" t="inlineStr">
        <is>
          <t>G00025</t>
        </is>
      </c>
      <c r="E29" t="inlineStr">
        <is>
          <t>STRIPE-FEE</t>
        </is>
      </c>
      <c r="F29" t="inlineStr">
        <is>
          <t>Routine</t>
        </is>
      </c>
      <c r="G29" t="inlineStr">
        <is>
          <t>34 report lines; fees 86.98 | STRIPE PAYOUT STRIPE po_1Q0012KX</t>
        </is>
      </c>
      <c r="H29" s="9">
        <f>INDEX('Match Groups'!$L$5:$L$1326,MATCH(D29,'Match Groups'!$A$5:$A$1326,0))</f>
        <v>-86.98</v>
      </c>
      <c r="I29" s="9">
        <f>SUMIFS('Stripe Payouts'!$H$5:$H$72,'Stripe Payouts'!$M$5:$M$72,D29)</f>
        <v>7.91</v>
      </c>
      <c r="J29" t="inlineStr">
        <is>
          <t>Bookkeeper</t>
        </is>
      </c>
      <c r="K29" t="inlineStr">
        <is>
          <t>Reconcile payout with a fee line (reconciliation model 'Stripe fees'); GST claimed on fees.</t>
        </is>
      </c>
      <c r="L29" t="inlineStr">
        <is>
          <t>J025</t>
        </is>
      </c>
      <c r="M29" t="inlineStr">
        <is>
          <t>Proposed</t>
        </is>
      </c>
      <c r="N29" t="str">
        <f>TEXT(C29,"yyyy-mm")</f>
        <v>2026-07</v>
      </c>
      <c r="O29" s="9">
        <f>ROUND(SUMIFS('Bank Lines'!$E$5:$E$1640,'Bank Lines'!$G$5:$G$1640,D29),2)</f>
        <v>4298.02</v>
      </c>
    </row>
    <row r="30">
      <c r="A30" t="inlineStr">
        <is>
          <t>EX026</t>
        </is>
      </c>
      <c r="B30" t="inlineStr">
        <is>
          <t>OPS</t>
        </is>
      </c>
      <c r="C30" s="5" t="n">
        <v>46220</v>
      </c>
      <c r="D30" t="inlineStr">
        <is>
          <t>G00026</t>
        </is>
      </c>
      <c r="E30" t="inlineStr">
        <is>
          <t>STRIPE-FEE</t>
        </is>
      </c>
      <c r="F30" t="inlineStr">
        <is>
          <t>Routine</t>
        </is>
      </c>
      <c r="G30" t="inlineStr">
        <is>
          <t>21 report lines; fees 52.37 | STRIPE PAYOUT STRIPE po_1Q0013KX</t>
        </is>
      </c>
      <c r="H30" s="9">
        <f>INDEX('Match Groups'!$L$5:$L$1326,MATCH(D30,'Match Groups'!$A$5:$A$1326,0))</f>
        <v>-52.37</v>
      </c>
      <c r="I30" s="9">
        <f>SUMIFS('Stripe Payouts'!$H$5:$H$72,'Stripe Payouts'!$M$5:$M$72,D30)</f>
        <v>4.76</v>
      </c>
      <c r="J30" t="inlineStr">
        <is>
          <t>Bookkeeper</t>
        </is>
      </c>
      <c r="K30" t="inlineStr">
        <is>
          <t>Reconcile payout with a fee line (reconciliation model 'Stripe fees'); GST claimed on fees.</t>
        </is>
      </c>
      <c r="L30" t="inlineStr">
        <is>
          <t>J026</t>
        </is>
      </c>
      <c r="M30" t="inlineStr">
        <is>
          <t>Proposed</t>
        </is>
      </c>
      <c r="N30" t="str">
        <f>TEXT(C30,"yyyy-mm")</f>
        <v>2026-07</v>
      </c>
      <c r="O30" s="9">
        <f>ROUND(SUMIFS('Bank Lines'!$E$5:$E$1640,'Bank Lines'!$G$5:$G$1640,D30),2)</f>
        <v>2577.63</v>
      </c>
    </row>
    <row r="31">
      <c r="A31" t="inlineStr">
        <is>
          <t>EX027</t>
        </is>
      </c>
      <c r="B31" t="inlineStr">
        <is>
          <t>OPS</t>
        </is>
      </c>
      <c r="C31" s="5" t="n">
        <v>46223</v>
      </c>
      <c r="D31" t="inlineStr">
        <is>
          <t>G00027</t>
        </is>
      </c>
      <c r="E31" t="inlineStr">
        <is>
          <t>STRIPE-FEE</t>
        </is>
      </c>
      <c r="F31" t="inlineStr">
        <is>
          <t>Routine</t>
        </is>
      </c>
      <c r="G31" t="inlineStr">
        <is>
          <t>23 report lines; fees 62.67 | STRIPE PAYOUT STRIPE po_1Q0014KX</t>
        </is>
      </c>
      <c r="H31" s="9">
        <f>INDEX('Match Groups'!$L$5:$L$1326,MATCH(D31,'Match Groups'!$A$5:$A$1326,0))</f>
        <v>-62.67</v>
      </c>
      <c r="I31" s="9">
        <f>SUMIFS('Stripe Payouts'!$H$5:$H$72,'Stripe Payouts'!$M$5:$M$72,D31)</f>
        <v>5.7</v>
      </c>
      <c r="J31" t="inlineStr">
        <is>
          <t>Bookkeeper</t>
        </is>
      </c>
      <c r="K31" t="inlineStr">
        <is>
          <t>Reconcile payout with a fee line (reconciliation model 'Stripe fees'); GST claimed on fees.</t>
        </is>
      </c>
      <c r="L31" t="inlineStr">
        <is>
          <t>J027</t>
        </is>
      </c>
      <c r="M31" t="inlineStr">
        <is>
          <t>Proposed</t>
        </is>
      </c>
      <c r="N31" t="str">
        <f>TEXT(C31,"yyyy-mm")</f>
        <v>2026-07</v>
      </c>
      <c r="O31" s="9">
        <f>ROUND(SUMIFS('Bank Lines'!$E$5:$E$1640,'Bank Lines'!$G$5:$G$1640,D31),2)</f>
        <v>3122.33</v>
      </c>
    </row>
    <row r="32">
      <c r="A32" t="inlineStr">
        <is>
          <t>EX028</t>
        </is>
      </c>
      <c r="B32" t="inlineStr">
        <is>
          <t>OPS</t>
        </is>
      </c>
      <c r="C32" s="5" t="n">
        <v>46224</v>
      </c>
      <c r="D32" t="inlineStr">
        <is>
          <t>G00028</t>
        </is>
      </c>
      <c r="E32" t="inlineStr">
        <is>
          <t>STRIPE-FEE</t>
        </is>
      </c>
      <c r="F32" t="inlineStr">
        <is>
          <t>Routine</t>
        </is>
      </c>
      <c r="G32" t="inlineStr">
        <is>
          <t>38 report lines; fees 94.29 | STRIPE PAYOUT STRIPE po_1Q0015KX</t>
        </is>
      </c>
      <c r="H32" s="9">
        <f>INDEX('Match Groups'!$L$5:$L$1326,MATCH(D32,'Match Groups'!$A$5:$A$1326,0))</f>
        <v>-94.29</v>
      </c>
      <c r="I32" s="9">
        <f>SUMIFS('Stripe Payouts'!$H$5:$H$72,'Stripe Payouts'!$M$5:$M$72,D32)</f>
        <v>8.57</v>
      </c>
      <c r="J32" t="inlineStr">
        <is>
          <t>Bookkeeper</t>
        </is>
      </c>
      <c r="K32" t="inlineStr">
        <is>
          <t>Reconcile payout with a fee line (reconciliation model 'Stripe fees'); GST claimed on fees.</t>
        </is>
      </c>
      <c r="L32" t="inlineStr">
        <is>
          <t>J028</t>
        </is>
      </c>
      <c r="M32" t="inlineStr">
        <is>
          <t>Proposed</t>
        </is>
      </c>
      <c r="N32" t="str">
        <f>TEXT(C32,"yyyy-mm")</f>
        <v>2026-07</v>
      </c>
      <c r="O32" s="9">
        <f>ROUND(SUMIFS('Bank Lines'!$E$5:$E$1640,'Bank Lines'!$G$5:$G$1640,D32),2)</f>
        <v>4640.71</v>
      </c>
    </row>
    <row r="33">
      <c r="A33" t="inlineStr">
        <is>
          <t>EX029</t>
        </is>
      </c>
      <c r="B33" t="inlineStr">
        <is>
          <t>OPS</t>
        </is>
      </c>
      <c r="C33" s="5" t="n">
        <v>46225</v>
      </c>
      <c r="D33" t="inlineStr">
        <is>
          <t>G00029</t>
        </is>
      </c>
      <c r="E33" t="inlineStr">
        <is>
          <t>STRIPE-FEE</t>
        </is>
      </c>
      <c r="F33" t="inlineStr">
        <is>
          <t>Routine</t>
        </is>
      </c>
      <c r="G33" t="inlineStr">
        <is>
          <t>32 report lines; fees 76.23 | STRIPE PAYOUT STRIPE po_1Q0016KX</t>
        </is>
      </c>
      <c r="H33" s="9">
        <f>INDEX('Match Groups'!$L$5:$L$1326,MATCH(D33,'Match Groups'!$A$5:$A$1326,0))</f>
        <v>-76.23</v>
      </c>
      <c r="I33" s="9">
        <f>SUMIFS('Stripe Payouts'!$H$5:$H$72,'Stripe Payouts'!$M$5:$M$72,D33)</f>
        <v>6.93</v>
      </c>
      <c r="J33" t="inlineStr">
        <is>
          <t>Bookkeeper</t>
        </is>
      </c>
      <c r="K33" t="inlineStr">
        <is>
          <t>Reconcile payout with a fee line (reconciliation model 'Stripe fees'); GST claimed on fees.</t>
        </is>
      </c>
      <c r="L33" t="inlineStr">
        <is>
          <t>J029</t>
        </is>
      </c>
      <c r="M33" t="inlineStr">
        <is>
          <t>Proposed</t>
        </is>
      </c>
      <c r="N33" t="str">
        <f>TEXT(C33,"yyyy-mm")</f>
        <v>2026-07</v>
      </c>
      <c r="O33" s="9">
        <f>ROUND(SUMIFS('Bank Lines'!$E$5:$E$1640,'Bank Lines'!$G$5:$G$1640,D33),2)</f>
        <v>3728.77</v>
      </c>
    </row>
    <row r="34">
      <c r="A34" t="inlineStr">
        <is>
          <t>EX030</t>
        </is>
      </c>
      <c r="B34" t="inlineStr">
        <is>
          <t>OPS</t>
        </is>
      </c>
      <c r="C34" s="5" t="n">
        <v>46226</v>
      </c>
      <c r="D34" t="inlineStr">
        <is>
          <t>G00030</t>
        </is>
      </c>
      <c r="E34" t="inlineStr">
        <is>
          <t>STRIPE-FEE</t>
        </is>
      </c>
      <c r="F34" t="inlineStr">
        <is>
          <t>Routine</t>
        </is>
      </c>
      <c r="G34" t="inlineStr">
        <is>
          <t>20 report lines; fees 51.69 | STRIPE PAYOUT STRIPE po_1Q0017KX</t>
        </is>
      </c>
      <c r="H34" s="9">
        <f>INDEX('Match Groups'!$L$5:$L$1326,MATCH(D34,'Match Groups'!$A$5:$A$1326,0))</f>
        <v>-51.69</v>
      </c>
      <c r="I34" s="9">
        <f>SUMIFS('Stripe Payouts'!$H$5:$H$72,'Stripe Payouts'!$M$5:$M$72,D34)</f>
        <v>4.7</v>
      </c>
      <c r="J34" t="inlineStr">
        <is>
          <t>Bookkeeper</t>
        </is>
      </c>
      <c r="K34" t="inlineStr">
        <is>
          <t>Reconcile payout with a fee line (reconciliation model 'Stripe fees'); GST claimed on fees.</t>
        </is>
      </c>
      <c r="L34" t="inlineStr">
        <is>
          <t>J030</t>
        </is>
      </c>
      <c r="M34" t="inlineStr">
        <is>
          <t>Proposed</t>
        </is>
      </c>
      <c r="N34" t="str">
        <f>TEXT(C34,"yyyy-mm")</f>
        <v>2026-07</v>
      </c>
      <c r="O34" s="9">
        <f>ROUND(SUMIFS('Bank Lines'!$E$5:$E$1640,'Bank Lines'!$G$5:$G$1640,D34),2)</f>
        <v>2558.31</v>
      </c>
    </row>
    <row r="35">
      <c r="A35" t="inlineStr">
        <is>
          <t>EX031</t>
        </is>
      </c>
      <c r="B35" t="inlineStr">
        <is>
          <t>OPS</t>
        </is>
      </c>
      <c r="C35" s="5" t="n">
        <v>46227</v>
      </c>
      <c r="D35" t="inlineStr">
        <is>
          <t>G00031</t>
        </is>
      </c>
      <c r="E35" t="inlineStr">
        <is>
          <t>STRIPE-FEE</t>
        </is>
      </c>
      <c r="F35" t="inlineStr">
        <is>
          <t>Routine</t>
        </is>
      </c>
      <c r="G35" t="inlineStr">
        <is>
          <t>22 report lines; fees 54.36 | STRIPE PAYOUT STRIPE po_1Q0018KX</t>
        </is>
      </c>
      <c r="H35" s="9">
        <f>INDEX('Match Groups'!$L$5:$L$1326,MATCH(D35,'Match Groups'!$A$5:$A$1326,0))</f>
        <v>-54.36</v>
      </c>
      <c r="I35" s="9">
        <f>SUMIFS('Stripe Payouts'!$H$5:$H$72,'Stripe Payouts'!$M$5:$M$72,D35)</f>
        <v>4.94</v>
      </c>
      <c r="J35" t="inlineStr">
        <is>
          <t>Bookkeeper</t>
        </is>
      </c>
      <c r="K35" t="inlineStr">
        <is>
          <t>Reconcile payout with a fee line (reconciliation model 'Stripe fees'); GST claimed on fees.</t>
        </is>
      </c>
      <c r="L35" t="inlineStr">
        <is>
          <t>J031</t>
        </is>
      </c>
      <c r="M35" t="inlineStr">
        <is>
          <t>Proposed</t>
        </is>
      </c>
      <c r="N35" t="str">
        <f>TEXT(C35,"yyyy-mm")</f>
        <v>2026-07</v>
      </c>
      <c r="O35" s="9">
        <f>ROUND(SUMIFS('Bank Lines'!$E$5:$E$1640,'Bank Lines'!$G$5:$G$1640,D35),2)</f>
        <v>2540.64</v>
      </c>
    </row>
    <row r="36">
      <c r="A36" t="inlineStr">
        <is>
          <t>EX032</t>
        </is>
      </c>
      <c r="B36" t="inlineStr">
        <is>
          <t>OPS</t>
        </is>
      </c>
      <c r="C36" s="5" t="n">
        <v>46230</v>
      </c>
      <c r="D36" t="inlineStr">
        <is>
          <t>G00032</t>
        </is>
      </c>
      <c r="E36" t="inlineStr">
        <is>
          <t>STRIPE-FEE</t>
        </is>
      </c>
      <c r="F36" t="inlineStr">
        <is>
          <t>Routine</t>
        </is>
      </c>
      <c r="G36" t="inlineStr">
        <is>
          <t>33 report lines; fees 89.11 | STRIPE PAYOUT STRIPE po_1Q0019KX</t>
        </is>
      </c>
      <c r="H36" s="9">
        <f>INDEX('Match Groups'!$L$5:$L$1326,MATCH(D36,'Match Groups'!$A$5:$A$1326,0))</f>
        <v>-89.11</v>
      </c>
      <c r="I36" s="9">
        <f>SUMIFS('Stripe Payouts'!$H$5:$H$72,'Stripe Payouts'!$M$5:$M$72,D36)</f>
        <v>8.1</v>
      </c>
      <c r="J36" t="inlineStr">
        <is>
          <t>Bookkeeper</t>
        </is>
      </c>
      <c r="K36" t="inlineStr">
        <is>
          <t>Reconcile payout with a fee line (reconciliation model 'Stripe fees'); GST claimed on fees.</t>
        </is>
      </c>
      <c r="L36" t="inlineStr">
        <is>
          <t>J032</t>
        </is>
      </c>
      <c r="M36" t="inlineStr">
        <is>
          <t>Proposed</t>
        </is>
      </c>
      <c r="N36" t="str">
        <f>TEXT(C36,"yyyy-mm")</f>
        <v>2026-07</v>
      </c>
      <c r="O36" s="9">
        <f>ROUND(SUMIFS('Bank Lines'!$E$5:$E$1640,'Bank Lines'!$G$5:$G$1640,D36),2)</f>
        <v>4435.89</v>
      </c>
    </row>
    <row r="37">
      <c r="A37" t="inlineStr">
        <is>
          <t>EX033</t>
        </is>
      </c>
      <c r="B37" t="inlineStr">
        <is>
          <t>OPS</t>
        </is>
      </c>
      <c r="C37" s="5" t="n">
        <v>46231</v>
      </c>
      <c r="D37" t="inlineStr">
        <is>
          <t>G00033</t>
        </is>
      </c>
      <c r="E37" t="inlineStr">
        <is>
          <t>STRIPE-FEE</t>
        </is>
      </c>
      <c r="F37" t="inlineStr">
        <is>
          <t>Routine</t>
        </is>
      </c>
      <c r="G37" t="inlineStr">
        <is>
          <t>38 report lines; fees 99.35 | STRIPE PAYOUT STRIPE po_1Q0020KX</t>
        </is>
      </c>
      <c r="H37" s="9">
        <f>INDEX('Match Groups'!$L$5:$L$1326,MATCH(D37,'Match Groups'!$A$5:$A$1326,0))</f>
        <v>-99.35</v>
      </c>
      <c r="I37" s="9">
        <f>SUMIFS('Stripe Payouts'!$H$5:$H$72,'Stripe Payouts'!$M$5:$M$72,D37)</f>
        <v>9.03</v>
      </c>
      <c r="J37" t="inlineStr">
        <is>
          <t>Bookkeeper</t>
        </is>
      </c>
      <c r="K37" t="inlineStr">
        <is>
          <t>Reconcile payout with a fee line (reconciliation model 'Stripe fees'); GST claimed on fees.</t>
        </is>
      </c>
      <c r="L37" t="inlineStr">
        <is>
          <t>J033</t>
        </is>
      </c>
      <c r="M37" t="inlineStr">
        <is>
          <t>Proposed</t>
        </is>
      </c>
      <c r="N37" t="str">
        <f>TEXT(C37,"yyyy-mm")</f>
        <v>2026-07</v>
      </c>
      <c r="O37" s="9">
        <f>ROUND(SUMIFS('Bank Lines'!$E$5:$E$1640,'Bank Lines'!$G$5:$G$1640,D37),2)</f>
        <v>4925.65</v>
      </c>
    </row>
    <row r="38">
      <c r="A38" t="inlineStr">
        <is>
          <t>EX034</t>
        </is>
      </c>
      <c r="B38" t="inlineStr">
        <is>
          <t>OPS</t>
        </is>
      </c>
      <c r="C38" s="5" t="n">
        <v>46232</v>
      </c>
      <c r="D38" t="inlineStr">
        <is>
          <t>G00034</t>
        </is>
      </c>
      <c r="E38" t="inlineStr">
        <is>
          <t>STRIPE-FEE</t>
        </is>
      </c>
      <c r="F38" t="inlineStr">
        <is>
          <t>Routine</t>
        </is>
      </c>
      <c r="G38" t="inlineStr">
        <is>
          <t>29 report lines; fees 78.38 | STRIPE PAYOUT STRIPE po_1Q0021KX</t>
        </is>
      </c>
      <c r="H38" s="9">
        <f>INDEX('Match Groups'!$L$5:$L$1326,MATCH(D38,'Match Groups'!$A$5:$A$1326,0))</f>
        <v>-78.38</v>
      </c>
      <c r="I38" s="9">
        <f>SUMIFS('Stripe Payouts'!$H$5:$H$72,'Stripe Payouts'!$M$5:$M$72,D38)</f>
        <v>7.13</v>
      </c>
      <c r="J38" t="inlineStr">
        <is>
          <t>Bookkeeper</t>
        </is>
      </c>
      <c r="K38" t="inlineStr">
        <is>
          <t>Reconcile payout with a fee line (reconciliation model 'Stripe fees'); GST claimed on fees.</t>
        </is>
      </c>
      <c r="L38" t="inlineStr">
        <is>
          <t>J034</t>
        </is>
      </c>
      <c r="M38" t="inlineStr">
        <is>
          <t>Proposed</t>
        </is>
      </c>
      <c r="N38" t="str">
        <f>TEXT(C38,"yyyy-mm")</f>
        <v>2026-07</v>
      </c>
      <c r="O38" s="9">
        <f>ROUND(SUMIFS('Bank Lines'!$E$5:$E$1640,'Bank Lines'!$G$5:$G$1640,D38),2)</f>
        <v>3901.62</v>
      </c>
    </row>
    <row r="39">
      <c r="A39" t="inlineStr">
        <is>
          <t>EX035</t>
        </is>
      </c>
      <c r="B39" t="inlineStr">
        <is>
          <t>OPS</t>
        </is>
      </c>
      <c r="C39" s="5" t="n">
        <v>46233</v>
      </c>
      <c r="D39" t="inlineStr">
        <is>
          <t>G00035</t>
        </is>
      </c>
      <c r="E39" t="inlineStr">
        <is>
          <t>STRIPE-FEE</t>
        </is>
      </c>
      <c r="F39" t="inlineStr">
        <is>
          <t>Routine</t>
        </is>
      </c>
      <c r="G39" t="inlineStr">
        <is>
          <t>20 report lines; fees 50.83 | STRIPE PAYOUT STRIPE po_1Q0022KX</t>
        </is>
      </c>
      <c r="H39" s="9">
        <f>INDEX('Match Groups'!$L$5:$L$1326,MATCH(D39,'Match Groups'!$A$5:$A$1326,0))</f>
        <v>-50.83</v>
      </c>
      <c r="I39" s="9">
        <f>SUMIFS('Stripe Payouts'!$H$5:$H$72,'Stripe Payouts'!$M$5:$M$72,D39)</f>
        <v>4.62</v>
      </c>
      <c r="J39" t="inlineStr">
        <is>
          <t>Bookkeeper</t>
        </is>
      </c>
      <c r="K39" t="inlineStr">
        <is>
          <t>Reconcile payout with a fee line (reconciliation model 'Stripe fees'); GST claimed on fees.</t>
        </is>
      </c>
      <c r="L39" t="inlineStr">
        <is>
          <t>J035</t>
        </is>
      </c>
      <c r="M39" t="inlineStr">
        <is>
          <t>Proposed</t>
        </is>
      </c>
      <c r="N39" t="str">
        <f>TEXT(C39,"yyyy-mm")</f>
        <v>2026-07</v>
      </c>
      <c r="O39" s="9">
        <f>ROUND(SUMIFS('Bank Lines'!$E$5:$E$1640,'Bank Lines'!$G$5:$G$1640,D39),2)</f>
        <v>2509.17</v>
      </c>
    </row>
    <row r="40">
      <c r="A40" t="inlineStr">
        <is>
          <t>EX036</t>
        </is>
      </c>
      <c r="B40" t="inlineStr">
        <is>
          <t>OPS</t>
        </is>
      </c>
      <c r="C40" s="5" t="n">
        <v>46234</v>
      </c>
      <c r="D40" t="inlineStr">
        <is>
          <t>G00036</t>
        </is>
      </c>
      <c r="E40" t="inlineStr">
        <is>
          <t>STRIPE-FEE</t>
        </is>
      </c>
      <c r="F40" t="inlineStr">
        <is>
          <t>Routine</t>
        </is>
      </c>
      <c r="G40" t="inlineStr">
        <is>
          <t>25 report lines; fees 61.51 | STRIPE PAYOUT STRIPE po_1Q0023KX</t>
        </is>
      </c>
      <c r="H40" s="9">
        <f>INDEX('Match Groups'!$L$5:$L$1326,MATCH(D40,'Match Groups'!$A$5:$A$1326,0))</f>
        <v>-61.51</v>
      </c>
      <c r="I40" s="9">
        <f>SUMIFS('Stripe Payouts'!$H$5:$H$72,'Stripe Payouts'!$M$5:$M$72,D40)</f>
        <v>5.59</v>
      </c>
      <c r="J40" t="inlineStr">
        <is>
          <t>Bookkeeper</t>
        </is>
      </c>
      <c r="K40" t="inlineStr">
        <is>
          <t>Reconcile payout with a fee line (reconciliation model 'Stripe fees'); GST claimed on fees.</t>
        </is>
      </c>
      <c r="L40" t="inlineStr">
        <is>
          <t>J036</t>
        </is>
      </c>
      <c r="M40" t="inlineStr">
        <is>
          <t>Proposed</t>
        </is>
      </c>
      <c r="N40" t="str">
        <f>TEXT(C40,"yyyy-mm")</f>
        <v>2026-07</v>
      </c>
      <c r="O40" s="9">
        <f>ROUND(SUMIFS('Bank Lines'!$E$5:$E$1640,'Bank Lines'!$G$5:$G$1640,D40),2)</f>
        <v>3023.49</v>
      </c>
    </row>
    <row r="41">
      <c r="A41" t="inlineStr">
        <is>
          <t>EX037</t>
        </is>
      </c>
      <c r="B41" t="inlineStr">
        <is>
          <t>OPS</t>
        </is>
      </c>
      <c r="C41" s="5" t="n">
        <v>46237</v>
      </c>
      <c r="D41" t="inlineStr">
        <is>
          <t>G00037</t>
        </is>
      </c>
      <c r="E41" t="inlineStr">
        <is>
          <t>STRIPE-FEE</t>
        </is>
      </c>
      <c r="F41" t="inlineStr">
        <is>
          <t>Routine</t>
        </is>
      </c>
      <c r="G41" t="inlineStr">
        <is>
          <t>30 report lines; fees 79.64 | STRIPE PAYOUT STRIPE po_1Q0024KX</t>
        </is>
      </c>
      <c r="H41" s="9">
        <f>INDEX('Match Groups'!$L$5:$L$1326,MATCH(D41,'Match Groups'!$A$5:$A$1326,0))</f>
        <v>-79.64</v>
      </c>
      <c r="I41" s="9">
        <f>SUMIFS('Stripe Payouts'!$H$5:$H$72,'Stripe Payouts'!$M$5:$M$72,D41)</f>
        <v>7.24</v>
      </c>
      <c r="J41" t="inlineStr">
        <is>
          <t>Bookkeeper</t>
        </is>
      </c>
      <c r="K41" t="inlineStr">
        <is>
          <t>Reconcile payout with a fee line (reconciliation model 'Stripe fees'); GST claimed on fees.</t>
        </is>
      </c>
      <c r="L41" t="inlineStr">
        <is>
          <t>J037</t>
        </is>
      </c>
      <c r="M41" t="inlineStr">
        <is>
          <t>Proposed</t>
        </is>
      </c>
      <c r="N41" t="str">
        <f>TEXT(C41,"yyyy-mm")</f>
        <v>2026-08</v>
      </c>
      <c r="O41" s="9">
        <f>ROUND(SUMIFS('Bank Lines'!$E$5:$E$1640,'Bank Lines'!$G$5:$G$1640,D41),2)</f>
        <v>3955.36</v>
      </c>
    </row>
    <row r="42">
      <c r="A42" t="inlineStr">
        <is>
          <t>EX038</t>
        </is>
      </c>
      <c r="B42" t="inlineStr">
        <is>
          <t>OPS</t>
        </is>
      </c>
      <c r="C42" s="5" t="n">
        <v>46238</v>
      </c>
      <c r="D42" t="inlineStr">
        <is>
          <t>G00038</t>
        </is>
      </c>
      <c r="E42" t="inlineStr">
        <is>
          <t>STRIPE-FEE</t>
        </is>
      </c>
      <c r="F42" t="inlineStr">
        <is>
          <t>Routine</t>
        </is>
      </c>
      <c r="G42" t="inlineStr">
        <is>
          <t>28 report lines; fees 69.70 | STRIPE PAYOUT STRIPE po_1Q0025KX</t>
        </is>
      </c>
      <c r="H42" s="9">
        <f>INDEX('Match Groups'!$L$5:$L$1326,MATCH(D42,'Match Groups'!$A$5:$A$1326,0))</f>
        <v>-69.7</v>
      </c>
      <c r="I42" s="9">
        <f>SUMIFS('Stripe Payouts'!$H$5:$H$72,'Stripe Payouts'!$M$5:$M$72,D42)</f>
        <v>6.34</v>
      </c>
      <c r="J42" t="inlineStr">
        <is>
          <t>Bookkeeper</t>
        </is>
      </c>
      <c r="K42" t="inlineStr">
        <is>
          <t>Reconcile payout with a fee line (reconciliation model 'Stripe fees'); GST claimed on fees.</t>
        </is>
      </c>
      <c r="L42" t="inlineStr">
        <is>
          <t>J038</t>
        </is>
      </c>
      <c r="M42" t="inlineStr">
        <is>
          <t>Proposed</t>
        </is>
      </c>
      <c r="N42" t="str">
        <f>TEXT(C42,"yyyy-mm")</f>
        <v>2026-08</v>
      </c>
      <c r="O42" s="9">
        <f>ROUND(SUMIFS('Bank Lines'!$E$5:$E$1640,'Bank Lines'!$G$5:$G$1640,D42),2)</f>
        <v>3430.3</v>
      </c>
    </row>
    <row r="43">
      <c r="A43" t="inlineStr">
        <is>
          <t>EX039</t>
        </is>
      </c>
      <c r="B43" t="inlineStr">
        <is>
          <t>OPS</t>
        </is>
      </c>
      <c r="C43" s="5" t="n">
        <v>46239</v>
      </c>
      <c r="D43" t="inlineStr">
        <is>
          <t>G00039</t>
        </is>
      </c>
      <c r="E43" t="inlineStr">
        <is>
          <t>STRIPE-FEE</t>
        </is>
      </c>
      <c r="F43" t="inlineStr">
        <is>
          <t>Routine</t>
        </is>
      </c>
      <c r="G43" t="inlineStr">
        <is>
          <t>28 report lines; fees 74.47 | STRIPE PAYOUT STRIPE po_1Q0026KX</t>
        </is>
      </c>
      <c r="H43" s="9">
        <f>INDEX('Match Groups'!$L$5:$L$1326,MATCH(D43,'Match Groups'!$A$5:$A$1326,0))</f>
        <v>-74.47</v>
      </c>
      <c r="I43" s="9">
        <f>SUMIFS('Stripe Payouts'!$H$5:$H$72,'Stripe Payouts'!$M$5:$M$72,D43)</f>
        <v>6.77</v>
      </c>
      <c r="J43" t="inlineStr">
        <is>
          <t>Bookkeeper</t>
        </is>
      </c>
      <c r="K43" t="inlineStr">
        <is>
          <t>Reconcile payout with a fee line (reconciliation model 'Stripe fees'); GST claimed on fees.</t>
        </is>
      </c>
      <c r="L43" t="inlineStr">
        <is>
          <t>J039</t>
        </is>
      </c>
      <c r="M43" t="inlineStr">
        <is>
          <t>Proposed</t>
        </is>
      </c>
      <c r="N43" t="str">
        <f>TEXT(C43,"yyyy-mm")</f>
        <v>2026-08</v>
      </c>
      <c r="O43" s="9">
        <f>ROUND(SUMIFS('Bank Lines'!$E$5:$E$1640,'Bank Lines'!$G$5:$G$1640,D43),2)</f>
        <v>3700.53</v>
      </c>
    </row>
    <row r="44">
      <c r="A44" t="inlineStr">
        <is>
          <t>EX040</t>
        </is>
      </c>
      <c r="B44" t="inlineStr">
        <is>
          <t>OPS</t>
        </is>
      </c>
      <c r="C44" s="5" t="n">
        <v>46240</v>
      </c>
      <c r="D44" t="inlineStr">
        <is>
          <t>G00040</t>
        </is>
      </c>
      <c r="E44" t="inlineStr">
        <is>
          <t>STRIPE-FEE</t>
        </is>
      </c>
      <c r="F44" t="inlineStr">
        <is>
          <t>Routine</t>
        </is>
      </c>
      <c r="G44" t="inlineStr">
        <is>
          <t>34 report lines; fees 86.27 | STRIPE PAYOUT STRIPE po_1Q0027KX</t>
        </is>
      </c>
      <c r="H44" s="9">
        <f>INDEX('Match Groups'!$L$5:$L$1326,MATCH(D44,'Match Groups'!$A$5:$A$1326,0))</f>
        <v>-86.27</v>
      </c>
      <c r="I44" s="9">
        <f>SUMIFS('Stripe Payouts'!$H$5:$H$72,'Stripe Payouts'!$M$5:$M$72,D44)</f>
        <v>7.84</v>
      </c>
      <c r="J44" t="inlineStr">
        <is>
          <t>Bookkeeper</t>
        </is>
      </c>
      <c r="K44" t="inlineStr">
        <is>
          <t>Reconcile payout with a fee line (reconciliation model 'Stripe fees'); GST claimed on fees.</t>
        </is>
      </c>
      <c r="L44" t="inlineStr">
        <is>
          <t>J040</t>
        </is>
      </c>
      <c r="M44" t="inlineStr">
        <is>
          <t>Proposed</t>
        </is>
      </c>
      <c r="N44" t="str">
        <f>TEXT(C44,"yyyy-mm")</f>
        <v>2026-08</v>
      </c>
      <c r="O44" s="9">
        <f>ROUND(SUMIFS('Bank Lines'!$E$5:$E$1640,'Bank Lines'!$G$5:$G$1640,D44),2)</f>
        <v>4258.73</v>
      </c>
    </row>
    <row r="45">
      <c r="A45" t="inlineStr">
        <is>
          <t>EX041</t>
        </is>
      </c>
      <c r="B45" t="inlineStr">
        <is>
          <t>OPS</t>
        </is>
      </c>
      <c r="C45" s="5" t="n">
        <v>46241</v>
      </c>
      <c r="D45" t="inlineStr">
        <is>
          <t>G00041</t>
        </is>
      </c>
      <c r="E45" t="inlineStr">
        <is>
          <t>STRIPE-FEE</t>
        </is>
      </c>
      <c r="F45" t="inlineStr">
        <is>
          <t>Routine</t>
        </is>
      </c>
      <c r="G45" t="inlineStr">
        <is>
          <t>30 report lines; fees 77.19 | STRIPE PAYOUT STRIPE po_1Q0028KX</t>
        </is>
      </c>
      <c r="H45" s="9">
        <f>INDEX('Match Groups'!$L$5:$L$1326,MATCH(D45,'Match Groups'!$A$5:$A$1326,0))</f>
        <v>-77.19</v>
      </c>
      <c r="I45" s="9">
        <f>SUMIFS('Stripe Payouts'!$H$5:$H$72,'Stripe Payouts'!$M$5:$M$72,D45)</f>
        <v>7.02</v>
      </c>
      <c r="J45" t="inlineStr">
        <is>
          <t>Bookkeeper</t>
        </is>
      </c>
      <c r="K45" t="inlineStr">
        <is>
          <t>Reconcile payout with a fee line (reconciliation model 'Stripe fees'); GST claimed on fees.</t>
        </is>
      </c>
      <c r="L45" t="inlineStr">
        <is>
          <t>J041</t>
        </is>
      </c>
      <c r="M45" t="inlineStr">
        <is>
          <t>Proposed</t>
        </is>
      </c>
      <c r="N45" t="str">
        <f>TEXT(C45,"yyyy-mm")</f>
        <v>2026-08</v>
      </c>
      <c r="O45" s="9">
        <f>ROUND(SUMIFS('Bank Lines'!$E$5:$E$1640,'Bank Lines'!$G$5:$G$1640,D45),2)</f>
        <v>3817.81</v>
      </c>
    </row>
    <row r="46">
      <c r="A46" t="inlineStr">
        <is>
          <t>EX042</t>
        </is>
      </c>
      <c r="B46" t="inlineStr">
        <is>
          <t>OPS</t>
        </is>
      </c>
      <c r="C46" s="5" t="n">
        <v>46244</v>
      </c>
      <c r="D46" t="inlineStr">
        <is>
          <t>G00042</t>
        </is>
      </c>
      <c r="E46" t="inlineStr">
        <is>
          <t>STRIPE-FEE</t>
        </is>
      </c>
      <c r="F46" t="inlineStr">
        <is>
          <t>Routine</t>
        </is>
      </c>
      <c r="G46" t="inlineStr">
        <is>
          <t>33 report lines; fees 82.82 | STRIPE PAYOUT STRIPE po_1Q0029KX</t>
        </is>
      </c>
      <c r="H46" s="9">
        <f>INDEX('Match Groups'!$L$5:$L$1326,MATCH(D46,'Match Groups'!$A$5:$A$1326,0))</f>
        <v>-82.82</v>
      </c>
      <c r="I46" s="9">
        <f>SUMIFS('Stripe Payouts'!$H$5:$H$72,'Stripe Payouts'!$M$5:$M$72,D46)</f>
        <v>7.53</v>
      </c>
      <c r="J46" t="inlineStr">
        <is>
          <t>Bookkeeper</t>
        </is>
      </c>
      <c r="K46" t="inlineStr">
        <is>
          <t>Reconcile payout with a fee line (reconciliation model 'Stripe fees'); GST claimed on fees.</t>
        </is>
      </c>
      <c r="L46" t="inlineStr">
        <is>
          <t>J042</t>
        </is>
      </c>
      <c r="M46" t="inlineStr">
        <is>
          <t>Proposed</t>
        </is>
      </c>
      <c r="N46" t="str">
        <f>TEXT(C46,"yyyy-mm")</f>
        <v>2026-08</v>
      </c>
      <c r="O46" s="9">
        <f>ROUND(SUMIFS('Bank Lines'!$E$5:$E$1640,'Bank Lines'!$G$5:$G$1640,D46),2)</f>
        <v>4082.18</v>
      </c>
    </row>
    <row r="47">
      <c r="A47" t="inlineStr">
        <is>
          <t>EX043</t>
        </is>
      </c>
      <c r="B47" t="inlineStr">
        <is>
          <t>OPS</t>
        </is>
      </c>
      <c r="C47" s="5" t="n">
        <v>46245</v>
      </c>
      <c r="D47" t="inlineStr">
        <is>
          <t>G00043</t>
        </is>
      </c>
      <c r="E47" t="inlineStr">
        <is>
          <t>STRIPE-FEE</t>
        </is>
      </c>
      <c r="F47" t="inlineStr">
        <is>
          <t>Routine</t>
        </is>
      </c>
      <c r="G47" t="inlineStr">
        <is>
          <t>33 report lines; fees 82.04 | STRIPE PAYOUT STRIPE po_1Q0030KX</t>
        </is>
      </c>
      <c r="H47" s="9">
        <f>INDEX('Match Groups'!$L$5:$L$1326,MATCH(D47,'Match Groups'!$A$5:$A$1326,0))</f>
        <v>-82.04</v>
      </c>
      <c r="I47" s="9">
        <f>SUMIFS('Stripe Payouts'!$H$5:$H$72,'Stripe Payouts'!$M$5:$M$72,D47)</f>
        <v>7.46</v>
      </c>
      <c r="J47" t="inlineStr">
        <is>
          <t>Bookkeeper</t>
        </is>
      </c>
      <c r="K47" t="inlineStr">
        <is>
          <t>Reconcile payout with a fee line (reconciliation model 'Stripe fees'); GST claimed on fees.</t>
        </is>
      </c>
      <c r="L47" t="inlineStr">
        <is>
          <t>J043</t>
        </is>
      </c>
      <c r="M47" t="inlineStr">
        <is>
          <t>Proposed</t>
        </is>
      </c>
      <c r="N47" t="str">
        <f>TEXT(C47,"yyyy-mm")</f>
        <v>2026-08</v>
      </c>
      <c r="O47" s="9">
        <f>ROUND(SUMIFS('Bank Lines'!$E$5:$E$1640,'Bank Lines'!$G$5:$G$1640,D47),2)</f>
        <v>4037.96</v>
      </c>
    </row>
    <row r="48">
      <c r="A48" t="inlineStr">
        <is>
          <t>EX044</t>
        </is>
      </c>
      <c r="B48" t="inlineStr">
        <is>
          <t>OPS</t>
        </is>
      </c>
      <c r="C48" s="5" t="n">
        <v>46246</v>
      </c>
      <c r="D48" t="inlineStr">
        <is>
          <t>G00044</t>
        </is>
      </c>
      <c r="E48" t="inlineStr">
        <is>
          <t>STRIPE-FEE</t>
        </is>
      </c>
      <c r="F48" t="inlineStr">
        <is>
          <t>Routine</t>
        </is>
      </c>
      <c r="G48" t="inlineStr">
        <is>
          <t>34 report lines; fees 85.59 | STRIPE PAYOUT STRIPE po_1Q0031KX</t>
        </is>
      </c>
      <c r="H48" s="9">
        <f>INDEX('Match Groups'!$L$5:$L$1326,MATCH(D48,'Match Groups'!$A$5:$A$1326,0))</f>
        <v>-85.59</v>
      </c>
      <c r="I48" s="9">
        <f>SUMIFS('Stripe Payouts'!$H$5:$H$72,'Stripe Payouts'!$M$5:$M$72,D48)</f>
        <v>7.78</v>
      </c>
      <c r="J48" t="inlineStr">
        <is>
          <t>Bookkeeper</t>
        </is>
      </c>
      <c r="K48" t="inlineStr">
        <is>
          <t>Reconcile payout with a fee line (reconciliation model 'Stripe fees'); GST claimed on fees.</t>
        </is>
      </c>
      <c r="L48" t="inlineStr">
        <is>
          <t>J044</t>
        </is>
      </c>
      <c r="M48" t="inlineStr">
        <is>
          <t>Proposed</t>
        </is>
      </c>
      <c r="N48" t="str">
        <f>TEXT(C48,"yyyy-mm")</f>
        <v>2026-08</v>
      </c>
      <c r="O48" s="9">
        <f>ROUND(SUMIFS('Bank Lines'!$E$5:$E$1640,'Bank Lines'!$G$5:$G$1640,D48),2)</f>
        <v>4219.41</v>
      </c>
    </row>
    <row r="49">
      <c r="A49" t="inlineStr">
        <is>
          <t>EX045</t>
        </is>
      </c>
      <c r="B49" t="inlineStr">
        <is>
          <t>OPS</t>
        </is>
      </c>
      <c r="C49" s="5" t="n">
        <v>46247</v>
      </c>
      <c r="D49" t="inlineStr">
        <is>
          <t>G00045</t>
        </is>
      </c>
      <c r="E49" t="inlineStr">
        <is>
          <t>STRIPE-FEE</t>
        </is>
      </c>
      <c r="F49" t="inlineStr">
        <is>
          <t>Routine</t>
        </is>
      </c>
      <c r="G49" t="inlineStr">
        <is>
          <t>22 report lines; fees 55.24 | STRIPE PAYOUT STRIPE po_1Q0032KX</t>
        </is>
      </c>
      <c r="H49" s="9">
        <f>INDEX('Match Groups'!$L$5:$L$1326,MATCH(D49,'Match Groups'!$A$5:$A$1326,0))</f>
        <v>-55.24</v>
      </c>
      <c r="I49" s="9">
        <f>SUMIFS('Stripe Payouts'!$H$5:$H$72,'Stripe Payouts'!$M$5:$M$72,D49)</f>
        <v>5.02</v>
      </c>
      <c r="J49" t="inlineStr">
        <is>
          <t>Bookkeeper</t>
        </is>
      </c>
      <c r="K49" t="inlineStr">
        <is>
          <t>Reconcile payout with a fee line (reconciliation model 'Stripe fees'); GST claimed on fees.</t>
        </is>
      </c>
      <c r="L49" t="inlineStr">
        <is>
          <t>J045</t>
        </is>
      </c>
      <c r="M49" t="inlineStr">
        <is>
          <t>Proposed</t>
        </is>
      </c>
      <c r="N49" t="str">
        <f>TEXT(C49,"yyyy-mm")</f>
        <v>2026-08</v>
      </c>
      <c r="O49" s="9">
        <f>ROUND(SUMIFS('Bank Lines'!$E$5:$E$1640,'Bank Lines'!$G$5:$G$1640,D49),2)</f>
        <v>2654.76</v>
      </c>
    </row>
    <row r="50">
      <c r="A50" t="inlineStr">
        <is>
          <t>EX046</t>
        </is>
      </c>
      <c r="B50" t="inlineStr">
        <is>
          <t>OPS</t>
        </is>
      </c>
      <c r="C50" s="5" t="n">
        <v>46248</v>
      </c>
      <c r="D50" t="inlineStr">
        <is>
          <t>G00046</t>
        </is>
      </c>
      <c r="E50" t="inlineStr">
        <is>
          <t>STRIPE-FEE</t>
        </is>
      </c>
      <c r="F50" t="inlineStr">
        <is>
          <t>Routine</t>
        </is>
      </c>
      <c r="G50" t="inlineStr">
        <is>
          <t>24 report lines; fees 58.48 | STRIPE PAYOUT STRIPE po_1Q0033KX</t>
        </is>
      </c>
      <c r="H50" s="9">
        <f>INDEX('Match Groups'!$L$5:$L$1326,MATCH(D50,'Match Groups'!$A$5:$A$1326,0))</f>
        <v>-58.48</v>
      </c>
      <c r="I50" s="9">
        <f>SUMIFS('Stripe Payouts'!$H$5:$H$72,'Stripe Payouts'!$M$5:$M$72,D50)</f>
        <v>5.32</v>
      </c>
      <c r="J50" t="inlineStr">
        <is>
          <t>Bookkeeper</t>
        </is>
      </c>
      <c r="K50" t="inlineStr">
        <is>
          <t>Reconcile payout with a fee line (reconciliation model 'Stripe fees'); GST claimed on fees.</t>
        </is>
      </c>
      <c r="L50" t="inlineStr">
        <is>
          <t>J046</t>
        </is>
      </c>
      <c r="M50" t="inlineStr">
        <is>
          <t>Proposed</t>
        </is>
      </c>
      <c r="N50" t="str">
        <f>TEXT(C50,"yyyy-mm")</f>
        <v>2026-08</v>
      </c>
      <c r="O50" s="9">
        <f>ROUND(SUMIFS('Bank Lines'!$E$5:$E$1640,'Bank Lines'!$G$5:$G$1640,D50),2)</f>
        <v>2871.52</v>
      </c>
    </row>
    <row r="51">
      <c r="A51" t="inlineStr">
        <is>
          <t>EX047</t>
        </is>
      </c>
      <c r="B51" t="inlineStr">
        <is>
          <t>OPS</t>
        </is>
      </c>
      <c r="C51" s="5" t="n">
        <v>46251</v>
      </c>
      <c r="D51" t="inlineStr">
        <is>
          <t>G00047</t>
        </is>
      </c>
      <c r="E51" t="inlineStr">
        <is>
          <t>STRIPE-FEE</t>
        </is>
      </c>
      <c r="F51" t="inlineStr">
        <is>
          <t>Routine</t>
        </is>
      </c>
      <c r="G51" t="inlineStr">
        <is>
          <t>30 report lines; fees 81.04 | STRIPE PAYOUT STRIPE po_1Q0034KX</t>
        </is>
      </c>
      <c r="H51" s="9">
        <f>INDEX('Match Groups'!$L$5:$L$1326,MATCH(D51,'Match Groups'!$A$5:$A$1326,0))</f>
        <v>-81.04</v>
      </c>
      <c r="I51" s="9">
        <f>SUMIFS('Stripe Payouts'!$H$5:$H$72,'Stripe Payouts'!$M$5:$M$72,D51)</f>
        <v>7.37</v>
      </c>
      <c r="J51" t="inlineStr">
        <is>
          <t>Bookkeeper</t>
        </is>
      </c>
      <c r="K51" t="inlineStr">
        <is>
          <t>Reconcile payout with a fee line (reconciliation model 'Stripe fees'); GST claimed on fees.</t>
        </is>
      </c>
      <c r="L51" t="inlineStr">
        <is>
          <t>J047</t>
        </is>
      </c>
      <c r="M51" t="inlineStr">
        <is>
          <t>Proposed</t>
        </is>
      </c>
      <c r="N51" t="str">
        <f>TEXT(C51,"yyyy-mm")</f>
        <v>2026-08</v>
      </c>
      <c r="O51" s="9">
        <f>ROUND(SUMIFS('Bank Lines'!$E$5:$E$1640,'Bank Lines'!$G$5:$G$1640,D51),2)</f>
        <v>4033.96</v>
      </c>
    </row>
    <row r="52">
      <c r="A52" t="inlineStr">
        <is>
          <t>EX048</t>
        </is>
      </c>
      <c r="B52" t="inlineStr">
        <is>
          <t>OPS</t>
        </is>
      </c>
      <c r="C52" s="5" t="n">
        <v>46252</v>
      </c>
      <c r="D52" t="inlineStr">
        <is>
          <t>G00048</t>
        </is>
      </c>
      <c r="E52" t="inlineStr">
        <is>
          <t>STRIPE-FEE</t>
        </is>
      </c>
      <c r="F52" t="inlineStr">
        <is>
          <t>Routine</t>
        </is>
      </c>
      <c r="G52" t="inlineStr">
        <is>
          <t>39 report lines; fees 104.31 | STRIPE PAYOUT STRIPE po_1Q0035KX</t>
        </is>
      </c>
      <c r="H52" s="9">
        <f>INDEX('Match Groups'!$L$5:$L$1326,MATCH(D52,'Match Groups'!$A$5:$A$1326,0))</f>
        <v>-104.31</v>
      </c>
      <c r="I52" s="9">
        <f>SUMIFS('Stripe Payouts'!$H$5:$H$72,'Stripe Payouts'!$M$5:$M$72,D52)</f>
        <v>9.48</v>
      </c>
      <c r="J52" t="inlineStr">
        <is>
          <t>Bookkeeper</t>
        </is>
      </c>
      <c r="K52" t="inlineStr">
        <is>
          <t>Reconcile payout with a fee line (reconciliation model 'Stripe fees'); GST claimed on fees.</t>
        </is>
      </c>
      <c r="L52" t="inlineStr">
        <is>
          <t>J048</t>
        </is>
      </c>
      <c r="M52" t="inlineStr">
        <is>
          <t>Proposed</t>
        </is>
      </c>
      <c r="N52" t="str">
        <f>TEXT(C52,"yyyy-mm")</f>
        <v>2026-08</v>
      </c>
      <c r="O52" s="9">
        <f>ROUND(SUMIFS('Bank Lines'!$E$5:$E$1640,'Bank Lines'!$G$5:$G$1640,D52),2)</f>
        <v>5185.69</v>
      </c>
    </row>
    <row r="53">
      <c r="A53" t="inlineStr">
        <is>
          <t>EX049</t>
        </is>
      </c>
      <c r="B53" t="inlineStr">
        <is>
          <t>OPS</t>
        </is>
      </c>
      <c r="C53" s="5" t="n">
        <v>46253</v>
      </c>
      <c r="D53" t="inlineStr">
        <is>
          <t>G00049</t>
        </is>
      </c>
      <c r="E53" t="inlineStr">
        <is>
          <t>STRIPE-FEE</t>
        </is>
      </c>
      <c r="F53" t="inlineStr">
        <is>
          <t>Routine</t>
        </is>
      </c>
      <c r="G53" t="inlineStr">
        <is>
          <t>23 report lines; fees 61.67 | STRIPE PAYOUT STRIPE po_1Q0036KX</t>
        </is>
      </c>
      <c r="H53" s="9">
        <f>INDEX('Match Groups'!$L$5:$L$1326,MATCH(D53,'Match Groups'!$A$5:$A$1326,0))</f>
        <v>-61.67</v>
      </c>
      <c r="I53" s="9">
        <f>SUMIFS('Stripe Payouts'!$H$5:$H$72,'Stripe Payouts'!$M$5:$M$72,D53)</f>
        <v>5.61</v>
      </c>
      <c r="J53" t="inlineStr">
        <is>
          <t>Bookkeeper</t>
        </is>
      </c>
      <c r="K53" t="inlineStr">
        <is>
          <t>Reconcile payout with a fee line (reconciliation model 'Stripe fees'); GST claimed on fees.</t>
        </is>
      </c>
      <c r="L53" t="inlineStr">
        <is>
          <t>J049</t>
        </is>
      </c>
      <c r="M53" t="inlineStr">
        <is>
          <t>Proposed</t>
        </is>
      </c>
      <c r="N53" t="str">
        <f>TEXT(C53,"yyyy-mm")</f>
        <v>2026-08</v>
      </c>
      <c r="O53" s="9">
        <f>ROUND(SUMIFS('Bank Lines'!$E$5:$E$1640,'Bank Lines'!$G$5:$G$1640,D53),2)</f>
        <v>3068.33</v>
      </c>
    </row>
    <row r="54">
      <c r="A54" t="inlineStr">
        <is>
          <t>EX050</t>
        </is>
      </c>
      <c r="B54" t="inlineStr">
        <is>
          <t>OPS</t>
        </is>
      </c>
      <c r="C54" s="5" t="n">
        <v>46254</v>
      </c>
      <c r="D54" t="inlineStr">
        <is>
          <t>G00050</t>
        </is>
      </c>
      <c r="E54" t="inlineStr">
        <is>
          <t>STRIPE-FEE</t>
        </is>
      </c>
      <c r="F54" t="inlineStr">
        <is>
          <t>Routine</t>
        </is>
      </c>
      <c r="G54" t="inlineStr">
        <is>
          <t>31 report lines; fees 79.42 | STRIPE PAYOUT STRIPE po_1Q0037KX</t>
        </is>
      </c>
      <c r="H54" s="9">
        <f>INDEX('Match Groups'!$L$5:$L$1326,MATCH(D54,'Match Groups'!$A$5:$A$1326,0))</f>
        <v>-79.42</v>
      </c>
      <c r="I54" s="9">
        <f>SUMIFS('Stripe Payouts'!$H$5:$H$72,'Stripe Payouts'!$M$5:$M$72,D54)</f>
        <v>7.22</v>
      </c>
      <c r="J54" t="inlineStr">
        <is>
          <t>Bookkeeper</t>
        </is>
      </c>
      <c r="K54" t="inlineStr">
        <is>
          <t>Reconcile payout with a fee line (reconciliation model 'Stripe fees'); GST claimed on fees.</t>
        </is>
      </c>
      <c r="L54" t="inlineStr">
        <is>
          <t>J050</t>
        </is>
      </c>
      <c r="M54" t="inlineStr">
        <is>
          <t>Proposed</t>
        </is>
      </c>
      <c r="N54" t="str">
        <f>TEXT(C54,"yyyy-mm")</f>
        <v>2026-08</v>
      </c>
      <c r="O54" s="9">
        <f>ROUND(SUMIFS('Bank Lines'!$E$5:$E$1640,'Bank Lines'!$G$5:$G$1640,D54),2)</f>
        <v>3925.58</v>
      </c>
    </row>
    <row r="55">
      <c r="A55" t="inlineStr">
        <is>
          <t>EX051</t>
        </is>
      </c>
      <c r="B55" t="inlineStr">
        <is>
          <t>OPS</t>
        </is>
      </c>
      <c r="C55" s="5" t="n">
        <v>46255</v>
      </c>
      <c r="D55" t="inlineStr">
        <is>
          <t>G00051</t>
        </is>
      </c>
      <c r="E55" t="inlineStr">
        <is>
          <t>STRIPE-FEE</t>
        </is>
      </c>
      <c r="F55" t="inlineStr">
        <is>
          <t>Routine</t>
        </is>
      </c>
      <c r="G55" t="inlineStr">
        <is>
          <t>34 report lines; fees 86.54 | STRIPE PAYOUT STRIPE po_1Q0038KX</t>
        </is>
      </c>
      <c r="H55" s="9">
        <f>INDEX('Match Groups'!$L$5:$L$1326,MATCH(D55,'Match Groups'!$A$5:$A$1326,0))</f>
        <v>-86.54</v>
      </c>
      <c r="I55" s="9">
        <f>SUMIFS('Stripe Payouts'!$H$5:$H$72,'Stripe Payouts'!$M$5:$M$72,D55)</f>
        <v>7.87</v>
      </c>
      <c r="J55" t="inlineStr">
        <is>
          <t>Bookkeeper</t>
        </is>
      </c>
      <c r="K55" t="inlineStr">
        <is>
          <t>Reconcile payout with a fee line (reconciliation model 'Stripe fees'); GST claimed on fees.</t>
        </is>
      </c>
      <c r="L55" t="inlineStr">
        <is>
          <t>J051</t>
        </is>
      </c>
      <c r="M55" t="inlineStr">
        <is>
          <t>Proposed</t>
        </is>
      </c>
      <c r="N55" t="str">
        <f>TEXT(C55,"yyyy-mm")</f>
        <v>2026-08</v>
      </c>
      <c r="O55" s="9">
        <f>ROUND(SUMIFS('Bank Lines'!$E$5:$E$1640,'Bank Lines'!$G$5:$G$1640,D55),2)</f>
        <v>4273.46</v>
      </c>
    </row>
    <row r="56">
      <c r="A56" t="inlineStr">
        <is>
          <t>EX052</t>
        </is>
      </c>
      <c r="B56" t="inlineStr">
        <is>
          <t>OPS</t>
        </is>
      </c>
      <c r="C56" s="5" t="n">
        <v>46258</v>
      </c>
      <c r="D56" t="inlineStr">
        <is>
          <t>G00052</t>
        </is>
      </c>
      <c r="E56" t="inlineStr">
        <is>
          <t>STRIPE-FEE</t>
        </is>
      </c>
      <c r="F56" t="inlineStr">
        <is>
          <t>Routine</t>
        </is>
      </c>
      <c r="G56" t="inlineStr">
        <is>
          <t>32 report lines; fees 78.12 | STRIPE PAYOUT STRIPE po_1Q0039KX</t>
        </is>
      </c>
      <c r="H56" s="9">
        <f>INDEX('Match Groups'!$L$5:$L$1326,MATCH(D56,'Match Groups'!$A$5:$A$1326,0))</f>
        <v>-78.12</v>
      </c>
      <c r="I56" s="9">
        <f>SUMIFS('Stripe Payouts'!$H$5:$H$72,'Stripe Payouts'!$M$5:$M$72,D56)</f>
        <v>7.1</v>
      </c>
      <c r="J56" t="inlineStr">
        <is>
          <t>Bookkeeper</t>
        </is>
      </c>
      <c r="K56" t="inlineStr">
        <is>
          <t>Reconcile payout with a fee line (reconciliation model 'Stripe fees'); GST claimed on fees.</t>
        </is>
      </c>
      <c r="L56" t="inlineStr">
        <is>
          <t>J052</t>
        </is>
      </c>
      <c r="M56" t="inlineStr">
        <is>
          <t>Proposed</t>
        </is>
      </c>
      <c r="N56" t="str">
        <f>TEXT(C56,"yyyy-mm")</f>
        <v>2026-08</v>
      </c>
      <c r="O56" s="9">
        <f>ROUND(SUMIFS('Bank Lines'!$E$5:$E$1640,'Bank Lines'!$G$5:$G$1640,D56),2)</f>
        <v>3671.88</v>
      </c>
    </row>
    <row r="57">
      <c r="A57" t="inlineStr">
        <is>
          <t>EX053</t>
        </is>
      </c>
      <c r="B57" t="inlineStr">
        <is>
          <t>OPS</t>
        </is>
      </c>
      <c r="C57" s="5" t="n">
        <v>46259</v>
      </c>
      <c r="D57" t="inlineStr">
        <is>
          <t>G00053</t>
        </is>
      </c>
      <c r="E57" t="inlineStr">
        <is>
          <t>STRIPE-FEE</t>
        </is>
      </c>
      <c r="F57" t="inlineStr">
        <is>
          <t>Routine</t>
        </is>
      </c>
      <c r="G57" t="inlineStr">
        <is>
          <t>28 report lines; fees 69.59 | STRIPE PAYOUT STRIPE po_1Q0040KX</t>
        </is>
      </c>
      <c r="H57" s="9">
        <f>INDEX('Match Groups'!$L$5:$L$1326,MATCH(D57,'Match Groups'!$A$5:$A$1326,0))</f>
        <v>-69.59</v>
      </c>
      <c r="I57" s="9">
        <f>SUMIFS('Stripe Payouts'!$H$5:$H$72,'Stripe Payouts'!$M$5:$M$72,D57)</f>
        <v>6.33</v>
      </c>
      <c r="J57" t="inlineStr">
        <is>
          <t>Bookkeeper</t>
        </is>
      </c>
      <c r="K57" t="inlineStr">
        <is>
          <t>Reconcile payout with a fee line (reconciliation model 'Stripe fees'); GST claimed on fees.</t>
        </is>
      </c>
      <c r="L57" t="inlineStr">
        <is>
          <t>J053</t>
        </is>
      </c>
      <c r="M57" t="inlineStr">
        <is>
          <t>Proposed</t>
        </is>
      </c>
      <c r="N57" t="str">
        <f>TEXT(C57,"yyyy-mm")</f>
        <v>2026-08</v>
      </c>
      <c r="O57" s="9">
        <f>ROUND(SUMIFS('Bank Lines'!$E$5:$E$1640,'Bank Lines'!$G$5:$G$1640,D57),2)</f>
        <v>3425.41</v>
      </c>
    </row>
    <row r="58">
      <c r="A58" t="inlineStr">
        <is>
          <t>EX054</t>
        </is>
      </c>
      <c r="B58" t="inlineStr">
        <is>
          <t>OPS</t>
        </is>
      </c>
      <c r="C58" s="5" t="n">
        <v>46260</v>
      </c>
      <c r="D58" t="inlineStr">
        <is>
          <t>G00054</t>
        </is>
      </c>
      <c r="E58" t="inlineStr">
        <is>
          <t>STRIPE-FEE</t>
        </is>
      </c>
      <c r="F58" t="inlineStr">
        <is>
          <t>Routine</t>
        </is>
      </c>
      <c r="G58" t="inlineStr">
        <is>
          <t>29 report lines; fees 94.57; dispute 95.00 | STRIPE PAYOUT STRIPE po_1Q0041KX</t>
        </is>
      </c>
      <c r="H58" s="9">
        <f>INDEX('Match Groups'!$L$5:$L$1326,MATCH(D58,'Match Groups'!$A$5:$A$1326,0))</f>
        <v>-189.57</v>
      </c>
      <c r="I58" s="9">
        <f>SUMIFS('Stripe Payouts'!$H$5:$H$72,'Stripe Payouts'!$M$5:$M$72,D58)</f>
        <v>8.6</v>
      </c>
      <c r="J58" t="inlineStr">
        <is>
          <t>Bookkeeper</t>
        </is>
      </c>
      <c r="K58" t="inlineStr">
        <is>
          <t>Reconcile payout with a fee line (reconciliation model 'Stripe fees'); GST claimed on fees.</t>
        </is>
      </c>
      <c r="L58" t="inlineStr">
        <is>
          <t>J054</t>
        </is>
      </c>
      <c r="M58" t="inlineStr">
        <is>
          <t>Proposed</t>
        </is>
      </c>
      <c r="N58" t="str">
        <f>TEXT(C58,"yyyy-mm")</f>
        <v>2026-08</v>
      </c>
      <c r="O58" s="9">
        <f>ROUND(SUMIFS('Bank Lines'!$E$5:$E$1640,'Bank Lines'!$G$5:$G$1640,D58),2)</f>
        <v>3305.43</v>
      </c>
    </row>
    <row r="59">
      <c r="A59" t="inlineStr">
        <is>
          <t>EX055</t>
        </is>
      </c>
      <c r="B59" t="inlineStr">
        <is>
          <t>OPS</t>
        </is>
      </c>
      <c r="C59" s="5" t="n">
        <v>46261</v>
      </c>
      <c r="D59" t="inlineStr">
        <is>
          <t>G00055</t>
        </is>
      </c>
      <c r="E59" t="inlineStr">
        <is>
          <t>STRIPE-FEE</t>
        </is>
      </c>
      <c r="F59" t="inlineStr">
        <is>
          <t>Routine</t>
        </is>
      </c>
      <c r="G59" t="inlineStr">
        <is>
          <t>20 report lines; fees 51.33 | STRIPE PAYOUT STRIPE po_1Q0042KX</t>
        </is>
      </c>
      <c r="H59" s="9">
        <f>INDEX('Match Groups'!$L$5:$L$1326,MATCH(D59,'Match Groups'!$A$5:$A$1326,0))</f>
        <v>-51.33</v>
      </c>
      <c r="I59" s="9">
        <f>SUMIFS('Stripe Payouts'!$H$5:$H$72,'Stripe Payouts'!$M$5:$M$72,D59)</f>
        <v>4.67</v>
      </c>
      <c r="J59" t="inlineStr">
        <is>
          <t>Bookkeeper</t>
        </is>
      </c>
      <c r="K59" t="inlineStr">
        <is>
          <t>Reconcile payout with a fee line (reconciliation model 'Stripe fees'); GST claimed on fees.</t>
        </is>
      </c>
      <c r="L59" t="inlineStr">
        <is>
          <t>J055</t>
        </is>
      </c>
      <c r="M59" t="inlineStr">
        <is>
          <t>Proposed</t>
        </is>
      </c>
      <c r="N59" t="str">
        <f>TEXT(C59,"yyyy-mm")</f>
        <v>2026-08</v>
      </c>
      <c r="O59" s="9">
        <f>ROUND(SUMIFS('Bank Lines'!$E$5:$E$1640,'Bank Lines'!$G$5:$G$1640,D59),2)</f>
        <v>2538.67</v>
      </c>
    </row>
    <row r="60">
      <c r="A60" t="inlineStr">
        <is>
          <t>EX056</t>
        </is>
      </c>
      <c r="B60" t="inlineStr">
        <is>
          <t>OPS</t>
        </is>
      </c>
      <c r="C60" s="5" t="n">
        <v>46262</v>
      </c>
      <c r="D60" t="inlineStr">
        <is>
          <t>G00056</t>
        </is>
      </c>
      <c r="E60" t="inlineStr">
        <is>
          <t>STRIPE-FEE</t>
        </is>
      </c>
      <c r="F60" t="inlineStr">
        <is>
          <t>Routine</t>
        </is>
      </c>
      <c r="G60" t="inlineStr">
        <is>
          <t>28 report lines; fees 66.98 | STRIPE PAYOUT STRIPE po_1Q0043KX</t>
        </is>
      </c>
      <c r="H60" s="9">
        <f>INDEX('Match Groups'!$L$5:$L$1326,MATCH(D60,'Match Groups'!$A$5:$A$1326,0))</f>
        <v>-66.98</v>
      </c>
      <c r="I60" s="9">
        <f>SUMIFS('Stripe Payouts'!$H$5:$H$72,'Stripe Payouts'!$M$5:$M$72,D60)</f>
        <v>6.09</v>
      </c>
      <c r="J60" t="inlineStr">
        <is>
          <t>Bookkeeper</t>
        </is>
      </c>
      <c r="K60" t="inlineStr">
        <is>
          <t>Reconcile payout with a fee line (reconciliation model 'Stripe fees'); GST claimed on fees.</t>
        </is>
      </c>
      <c r="L60" t="inlineStr">
        <is>
          <t>J056</t>
        </is>
      </c>
      <c r="M60" t="inlineStr">
        <is>
          <t>Proposed</t>
        </is>
      </c>
      <c r="N60" t="str">
        <f>TEXT(C60,"yyyy-mm")</f>
        <v>2026-08</v>
      </c>
      <c r="O60" s="9">
        <f>ROUND(SUMIFS('Bank Lines'!$E$5:$E$1640,'Bank Lines'!$G$5:$G$1640,D60),2)</f>
        <v>3278.02</v>
      </c>
    </row>
    <row r="61">
      <c r="A61" t="inlineStr">
        <is>
          <t>EX057</t>
        </is>
      </c>
      <c r="B61" t="inlineStr">
        <is>
          <t>OPS</t>
        </is>
      </c>
      <c r="C61" s="5" t="n">
        <v>46265</v>
      </c>
      <c r="D61" t="inlineStr">
        <is>
          <t>G00057</t>
        </is>
      </c>
      <c r="E61" t="inlineStr">
        <is>
          <t>STRIPE-FEE</t>
        </is>
      </c>
      <c r="F61" t="inlineStr">
        <is>
          <t>Routine</t>
        </is>
      </c>
      <c r="G61" t="inlineStr">
        <is>
          <t>29 report lines; fees 73.11 | STRIPE PAYOUT STRIPE po_1Q0044KX</t>
        </is>
      </c>
      <c r="H61" s="9">
        <f>INDEX('Match Groups'!$L$5:$L$1326,MATCH(D61,'Match Groups'!$A$5:$A$1326,0))</f>
        <v>-73.11</v>
      </c>
      <c r="I61" s="9">
        <f>SUMIFS('Stripe Payouts'!$H$5:$H$72,'Stripe Payouts'!$M$5:$M$72,D61)</f>
        <v>6.65</v>
      </c>
      <c r="J61" t="inlineStr">
        <is>
          <t>Bookkeeper</t>
        </is>
      </c>
      <c r="K61" t="inlineStr">
        <is>
          <t>Reconcile payout with a fee line (reconciliation model 'Stripe fees'); GST claimed on fees.</t>
        </is>
      </c>
      <c r="L61" t="inlineStr">
        <is>
          <t>J057</t>
        </is>
      </c>
      <c r="M61" t="inlineStr">
        <is>
          <t>Proposed</t>
        </is>
      </c>
      <c r="N61" t="str">
        <f>TEXT(C61,"yyyy-mm")</f>
        <v>2026-08</v>
      </c>
      <c r="O61" s="9">
        <f>ROUND(SUMIFS('Bank Lines'!$E$5:$E$1640,'Bank Lines'!$G$5:$G$1640,D61),2)</f>
        <v>3606.89</v>
      </c>
    </row>
    <row r="62">
      <c r="A62" t="inlineStr">
        <is>
          <t>EX058</t>
        </is>
      </c>
      <c r="B62" t="inlineStr">
        <is>
          <t>OPS</t>
        </is>
      </c>
      <c r="C62" s="5" t="n">
        <v>46266</v>
      </c>
      <c r="D62" t="inlineStr">
        <is>
          <t>G00058</t>
        </is>
      </c>
      <c r="E62" t="inlineStr">
        <is>
          <t>STRIPE-FEE</t>
        </is>
      </c>
      <c r="F62" t="inlineStr">
        <is>
          <t>Routine</t>
        </is>
      </c>
      <c r="G62" t="inlineStr">
        <is>
          <t>38 report lines; fees 87.53 | STRIPE PAYOUT STRIPE po_1Q0045KX</t>
        </is>
      </c>
      <c r="H62" s="9">
        <f>INDEX('Match Groups'!$L$5:$L$1326,MATCH(D62,'Match Groups'!$A$5:$A$1326,0))</f>
        <v>-87.53</v>
      </c>
      <c r="I62" s="9">
        <f>SUMIFS('Stripe Payouts'!$H$5:$H$72,'Stripe Payouts'!$M$5:$M$72,D62)</f>
        <v>7.96</v>
      </c>
      <c r="J62" t="inlineStr">
        <is>
          <t>Bookkeeper</t>
        </is>
      </c>
      <c r="K62" t="inlineStr">
        <is>
          <t>Reconcile payout with a fee line (reconciliation model 'Stripe fees'); GST claimed on fees.</t>
        </is>
      </c>
      <c r="L62" t="inlineStr">
        <is>
          <t>J058</t>
        </is>
      </c>
      <c r="M62" t="inlineStr">
        <is>
          <t>Proposed</t>
        </is>
      </c>
      <c r="N62" t="str">
        <f>TEXT(C62,"yyyy-mm")</f>
        <v>2026-09</v>
      </c>
      <c r="O62" s="9">
        <f>ROUND(SUMIFS('Bank Lines'!$E$5:$E$1640,'Bank Lines'!$G$5:$G$1640,D62),2)</f>
        <v>4182.47</v>
      </c>
    </row>
    <row r="63">
      <c r="A63" t="inlineStr">
        <is>
          <t>EX059</t>
        </is>
      </c>
      <c r="B63" t="inlineStr">
        <is>
          <t>OPS</t>
        </is>
      </c>
      <c r="C63" s="5" t="n">
        <v>46267</v>
      </c>
      <c r="D63" t="inlineStr">
        <is>
          <t>G00059</t>
        </is>
      </c>
      <c r="E63" t="inlineStr">
        <is>
          <t>STRIPE-FEE</t>
        </is>
      </c>
      <c r="F63" t="inlineStr">
        <is>
          <t>Routine</t>
        </is>
      </c>
      <c r="G63" t="inlineStr">
        <is>
          <t>33 report lines; fees 79.66 | STRIPE PAYOUT STRIPE po_1Q0046KX</t>
        </is>
      </c>
      <c r="H63" s="9">
        <f>INDEX('Match Groups'!$L$5:$L$1326,MATCH(D63,'Match Groups'!$A$5:$A$1326,0))</f>
        <v>-79.66</v>
      </c>
      <c r="I63" s="9">
        <f>SUMIFS('Stripe Payouts'!$H$5:$H$72,'Stripe Payouts'!$M$5:$M$72,D63)</f>
        <v>7.24</v>
      </c>
      <c r="J63" t="inlineStr">
        <is>
          <t>Bookkeeper</t>
        </is>
      </c>
      <c r="K63" t="inlineStr">
        <is>
          <t>Reconcile payout with a fee line (reconciliation model 'Stripe fees'); GST claimed on fees.</t>
        </is>
      </c>
      <c r="L63" t="inlineStr">
        <is>
          <t>J059</t>
        </is>
      </c>
      <c r="M63" t="inlineStr">
        <is>
          <t>Proposed</t>
        </is>
      </c>
      <c r="N63" t="str">
        <f>TEXT(C63,"yyyy-mm")</f>
        <v>2026-09</v>
      </c>
      <c r="O63" s="9">
        <f>ROUND(SUMIFS('Bank Lines'!$E$5:$E$1640,'Bank Lines'!$G$5:$G$1640,D63),2)</f>
        <v>3905.34</v>
      </c>
    </row>
    <row r="64">
      <c r="A64" t="inlineStr">
        <is>
          <t>EX060</t>
        </is>
      </c>
      <c r="B64" t="inlineStr">
        <is>
          <t>OPS</t>
        </is>
      </c>
      <c r="C64" s="5" t="n">
        <v>46268</v>
      </c>
      <c r="D64" t="inlineStr">
        <is>
          <t>G00060</t>
        </is>
      </c>
      <c r="E64" t="inlineStr">
        <is>
          <t>STRIPE-FEE</t>
        </is>
      </c>
      <c r="F64" t="inlineStr">
        <is>
          <t>Routine</t>
        </is>
      </c>
      <c r="G64" t="inlineStr">
        <is>
          <t>20 report lines; fees 46.90 | STRIPE PAYOUT STRIPE po_1Q0047KX</t>
        </is>
      </c>
      <c r="H64" s="9">
        <f>INDEX('Match Groups'!$L$5:$L$1326,MATCH(D64,'Match Groups'!$A$5:$A$1326,0))</f>
        <v>-46.9</v>
      </c>
      <c r="I64" s="9">
        <f>SUMIFS('Stripe Payouts'!$H$5:$H$72,'Stripe Payouts'!$M$5:$M$72,D64)</f>
        <v>4.26</v>
      </c>
      <c r="J64" t="inlineStr">
        <is>
          <t>Bookkeeper</t>
        </is>
      </c>
      <c r="K64" t="inlineStr">
        <is>
          <t>Reconcile payout with a fee line (reconciliation model 'Stripe fees'); GST claimed on fees.</t>
        </is>
      </c>
      <c r="L64" t="inlineStr">
        <is>
          <t>J060</t>
        </is>
      </c>
      <c r="M64" t="inlineStr">
        <is>
          <t>Proposed</t>
        </is>
      </c>
      <c r="N64" t="str">
        <f>TEXT(C64,"yyyy-mm")</f>
        <v>2026-09</v>
      </c>
      <c r="O64" s="9">
        <f>ROUND(SUMIFS('Bank Lines'!$E$5:$E$1640,'Bank Lines'!$G$5:$G$1640,D64),2)</f>
        <v>2288.1</v>
      </c>
    </row>
    <row r="65">
      <c r="A65" t="inlineStr">
        <is>
          <t>EX061</t>
        </is>
      </c>
      <c r="B65" t="inlineStr">
        <is>
          <t>OPS</t>
        </is>
      </c>
      <c r="C65" s="5" t="n">
        <v>46269</v>
      </c>
      <c r="D65" t="inlineStr">
        <is>
          <t>G00061</t>
        </is>
      </c>
      <c r="E65" t="inlineStr">
        <is>
          <t>STRIPE-FEE</t>
        </is>
      </c>
      <c r="F65" t="inlineStr">
        <is>
          <t>Routine</t>
        </is>
      </c>
      <c r="G65" t="inlineStr">
        <is>
          <t>29 report lines; fees 70.29 | STRIPE PAYOUT STRIPE po_1Q0048KX</t>
        </is>
      </c>
      <c r="H65" s="9">
        <f>INDEX('Match Groups'!$L$5:$L$1326,MATCH(D65,'Match Groups'!$A$5:$A$1326,0))</f>
        <v>-70.29</v>
      </c>
      <c r="I65" s="9">
        <f>SUMIFS('Stripe Payouts'!$H$5:$H$72,'Stripe Payouts'!$M$5:$M$72,D65)</f>
        <v>6.39</v>
      </c>
      <c r="J65" t="inlineStr">
        <is>
          <t>Bookkeeper</t>
        </is>
      </c>
      <c r="K65" t="inlineStr">
        <is>
          <t>Reconcile payout with a fee line (reconciliation model 'Stripe fees'); GST claimed on fees.</t>
        </is>
      </c>
      <c r="L65" t="inlineStr">
        <is>
          <t>J061</t>
        </is>
      </c>
      <c r="M65" t="inlineStr">
        <is>
          <t>Proposed</t>
        </is>
      </c>
      <c r="N65" t="str">
        <f>TEXT(C65,"yyyy-mm")</f>
        <v>2026-09</v>
      </c>
      <c r="O65" s="9">
        <f>ROUND(SUMIFS('Bank Lines'!$E$5:$E$1640,'Bank Lines'!$G$5:$G$1640,D65),2)</f>
        <v>3354.71</v>
      </c>
    </row>
    <row r="66">
      <c r="A66" t="inlineStr">
        <is>
          <t>EX062</t>
        </is>
      </c>
      <c r="B66" t="inlineStr">
        <is>
          <t>OPS</t>
        </is>
      </c>
      <c r="C66" s="5" t="n">
        <v>46272</v>
      </c>
      <c r="D66" t="inlineStr">
        <is>
          <t>G00062</t>
        </is>
      </c>
      <c r="E66" t="inlineStr">
        <is>
          <t>STRIPE-FEE</t>
        </is>
      </c>
      <c r="F66" t="inlineStr">
        <is>
          <t>Routine</t>
        </is>
      </c>
      <c r="G66" t="inlineStr">
        <is>
          <t>34 report lines; fees 77.28 | STRIPE PAYOUT STRIPE po_1Q0049KX</t>
        </is>
      </c>
      <c r="H66" s="9">
        <f>INDEX('Match Groups'!$L$5:$L$1326,MATCH(D66,'Match Groups'!$A$5:$A$1326,0))</f>
        <v>-77.28</v>
      </c>
      <c r="I66" s="9">
        <f>SUMIFS('Stripe Payouts'!$H$5:$H$72,'Stripe Payouts'!$M$5:$M$72,D66)</f>
        <v>7.03</v>
      </c>
      <c r="J66" t="inlineStr">
        <is>
          <t>Bookkeeper</t>
        </is>
      </c>
      <c r="K66" t="inlineStr">
        <is>
          <t>Reconcile payout with a fee line (reconciliation model 'Stripe fees'); GST claimed on fees.</t>
        </is>
      </c>
      <c r="L66" t="inlineStr">
        <is>
          <t>J062</t>
        </is>
      </c>
      <c r="M66" t="inlineStr">
        <is>
          <t>Proposed</t>
        </is>
      </c>
      <c r="N66" t="str">
        <f>TEXT(C66,"yyyy-mm")</f>
        <v>2026-09</v>
      </c>
      <c r="O66" s="9">
        <f>ROUND(SUMIFS('Bank Lines'!$E$5:$E$1640,'Bank Lines'!$G$5:$G$1640,D66),2)</f>
        <v>3752.72</v>
      </c>
    </row>
    <row r="67">
      <c r="A67" t="inlineStr">
        <is>
          <t>EX063</t>
        </is>
      </c>
      <c r="B67" t="inlineStr">
        <is>
          <t>OPS</t>
        </is>
      </c>
      <c r="C67" s="5" t="n">
        <v>46273</v>
      </c>
      <c r="D67" t="inlineStr">
        <is>
          <t>G00063</t>
        </is>
      </c>
      <c r="E67" t="inlineStr">
        <is>
          <t>STRIPE-FEE</t>
        </is>
      </c>
      <c r="F67" t="inlineStr">
        <is>
          <t>Routine</t>
        </is>
      </c>
      <c r="G67" t="inlineStr">
        <is>
          <t>24 report lines; fees 60.22 | STRIPE PAYOUT STRIPE po_1Q0050KX</t>
        </is>
      </c>
      <c r="H67" s="9">
        <f>INDEX('Match Groups'!$L$5:$L$1326,MATCH(D67,'Match Groups'!$A$5:$A$1326,0))</f>
        <v>-60.22</v>
      </c>
      <c r="I67" s="9">
        <f>SUMIFS('Stripe Payouts'!$H$5:$H$72,'Stripe Payouts'!$M$5:$M$72,D67)</f>
        <v>5.47</v>
      </c>
      <c r="J67" t="inlineStr">
        <is>
          <t>Bookkeeper</t>
        </is>
      </c>
      <c r="K67" t="inlineStr">
        <is>
          <t>Reconcile payout with a fee line (reconciliation model 'Stripe fees'); GST claimed on fees.</t>
        </is>
      </c>
      <c r="L67" t="inlineStr">
        <is>
          <t>J063</t>
        </is>
      </c>
      <c r="M67" t="inlineStr">
        <is>
          <t>Proposed</t>
        </is>
      </c>
      <c r="N67" t="str">
        <f>TEXT(C67,"yyyy-mm")</f>
        <v>2026-09</v>
      </c>
      <c r="O67" s="9">
        <f>ROUND(SUMIFS('Bank Lines'!$E$5:$E$1640,'Bank Lines'!$G$5:$G$1640,D67),2)</f>
        <v>2969.78</v>
      </c>
    </row>
    <row r="68">
      <c r="A68" t="inlineStr">
        <is>
          <t>EX064</t>
        </is>
      </c>
      <c r="B68" t="inlineStr">
        <is>
          <t>OPS</t>
        </is>
      </c>
      <c r="C68" s="5" t="n">
        <v>46274</v>
      </c>
      <c r="D68" t="inlineStr">
        <is>
          <t>G00064</t>
        </is>
      </c>
      <c r="E68" t="inlineStr">
        <is>
          <t>STRIPE-FEE</t>
        </is>
      </c>
      <c r="F68" t="inlineStr">
        <is>
          <t>Routine</t>
        </is>
      </c>
      <c r="G68" t="inlineStr">
        <is>
          <t>23 report lines; fees 62.99 | STRIPE PAYOUT STRIPE po_1Q0051KX</t>
        </is>
      </c>
      <c r="H68" s="9">
        <f>INDEX('Match Groups'!$L$5:$L$1326,MATCH(D68,'Match Groups'!$A$5:$A$1326,0))</f>
        <v>-62.99</v>
      </c>
      <c r="I68" s="9">
        <f>SUMIFS('Stripe Payouts'!$H$5:$H$72,'Stripe Payouts'!$M$5:$M$72,D68)</f>
        <v>5.73</v>
      </c>
      <c r="J68" t="inlineStr">
        <is>
          <t>Bookkeeper</t>
        </is>
      </c>
      <c r="K68" t="inlineStr">
        <is>
          <t>Reconcile payout with a fee line (reconciliation model 'Stripe fees'); GST claimed on fees.</t>
        </is>
      </c>
      <c r="L68" t="inlineStr">
        <is>
          <t>J064</t>
        </is>
      </c>
      <c r="M68" t="inlineStr">
        <is>
          <t>Proposed</t>
        </is>
      </c>
      <c r="N68" t="str">
        <f>TEXT(C68,"yyyy-mm")</f>
        <v>2026-09</v>
      </c>
      <c r="O68" s="9">
        <f>ROUND(SUMIFS('Bank Lines'!$E$5:$E$1640,'Bank Lines'!$G$5:$G$1640,D68),2)</f>
        <v>3037.01</v>
      </c>
    </row>
    <row r="69">
      <c r="A69" t="inlineStr">
        <is>
          <t>EX065</t>
        </is>
      </c>
      <c r="B69" t="inlineStr">
        <is>
          <t>OPS</t>
        </is>
      </c>
      <c r="C69" s="5" t="n">
        <v>46275</v>
      </c>
      <c r="D69" t="inlineStr">
        <is>
          <t>G00065</t>
        </is>
      </c>
      <c r="E69" t="inlineStr">
        <is>
          <t>STRIPE-FEE</t>
        </is>
      </c>
      <c r="F69" t="inlineStr">
        <is>
          <t>Routine</t>
        </is>
      </c>
      <c r="G69" t="inlineStr">
        <is>
          <t>20 report lines; fees 46.63 | STRIPE PAYOUT STRIPE po_1Q0052KX</t>
        </is>
      </c>
      <c r="H69" s="9">
        <f>INDEX('Match Groups'!$L$5:$L$1326,MATCH(D69,'Match Groups'!$A$5:$A$1326,0))</f>
        <v>-46.63</v>
      </c>
      <c r="I69" s="9">
        <f>SUMIFS('Stripe Payouts'!$H$5:$H$72,'Stripe Payouts'!$M$5:$M$72,D69)</f>
        <v>4.24</v>
      </c>
      <c r="J69" t="inlineStr">
        <is>
          <t>Bookkeeper</t>
        </is>
      </c>
      <c r="K69" t="inlineStr">
        <is>
          <t>Reconcile payout with a fee line (reconciliation model 'Stripe fees'); GST claimed on fees.</t>
        </is>
      </c>
      <c r="L69" t="inlineStr">
        <is>
          <t>J065</t>
        </is>
      </c>
      <c r="M69" t="inlineStr">
        <is>
          <t>Proposed</t>
        </is>
      </c>
      <c r="N69" t="str">
        <f>TEXT(C69,"yyyy-mm")</f>
        <v>2026-09</v>
      </c>
      <c r="O69" s="9">
        <f>ROUND(SUMIFS('Bank Lines'!$E$5:$E$1640,'Bank Lines'!$G$5:$G$1640,D69),2)</f>
        <v>2273.37</v>
      </c>
    </row>
    <row r="70">
      <c r="A70" t="inlineStr">
        <is>
          <t>EX066</t>
        </is>
      </c>
      <c r="B70" t="inlineStr">
        <is>
          <t>OPS</t>
        </is>
      </c>
      <c r="C70" s="5" t="n">
        <v>46276</v>
      </c>
      <c r="D70" t="inlineStr">
        <is>
          <t>G00066</t>
        </is>
      </c>
      <c r="E70" t="inlineStr">
        <is>
          <t>STRIPE-FEE</t>
        </is>
      </c>
      <c r="F70" t="inlineStr">
        <is>
          <t>Routine</t>
        </is>
      </c>
      <c r="G70" t="inlineStr">
        <is>
          <t>29 report lines; fees 68.85 | STRIPE PAYOUT STRIPE po_1Q0053KX</t>
        </is>
      </c>
      <c r="H70" s="9">
        <f>INDEX('Match Groups'!$L$5:$L$1326,MATCH(D70,'Match Groups'!$A$5:$A$1326,0))</f>
        <v>-68.85</v>
      </c>
      <c r="I70" s="9">
        <f>SUMIFS('Stripe Payouts'!$H$5:$H$72,'Stripe Payouts'!$M$5:$M$72,D70)</f>
        <v>6.26</v>
      </c>
      <c r="J70" t="inlineStr">
        <is>
          <t>Bookkeeper</t>
        </is>
      </c>
      <c r="K70" t="inlineStr">
        <is>
          <t>Reconcile payout with a fee line (reconciliation model 'Stripe fees'); GST claimed on fees.</t>
        </is>
      </c>
      <c r="L70" t="inlineStr">
        <is>
          <t>J066</t>
        </is>
      </c>
      <c r="M70" t="inlineStr">
        <is>
          <t>Proposed</t>
        </is>
      </c>
      <c r="N70" t="str">
        <f>TEXT(C70,"yyyy-mm")</f>
        <v>2026-09</v>
      </c>
      <c r="O70" s="9">
        <f>ROUND(SUMIFS('Bank Lines'!$E$5:$E$1640,'Bank Lines'!$G$5:$G$1640,D70),2)</f>
        <v>3366.15</v>
      </c>
    </row>
    <row r="71">
      <c r="A71" t="inlineStr">
        <is>
          <t>EX067</t>
        </is>
      </c>
      <c r="B71" t="inlineStr">
        <is>
          <t>OPS</t>
        </is>
      </c>
      <c r="C71" s="5" t="n">
        <v>46279</v>
      </c>
      <c r="D71" t="inlineStr">
        <is>
          <t>G00067</t>
        </is>
      </c>
      <c r="E71" t="inlineStr">
        <is>
          <t>STRIPE-FEE</t>
        </is>
      </c>
      <c r="F71" t="inlineStr">
        <is>
          <t>Routine</t>
        </is>
      </c>
      <c r="G71" t="inlineStr">
        <is>
          <t>24 report lines; fees 66.18 | STRIPE PAYOUT STRIPE po_1Q0054KX</t>
        </is>
      </c>
      <c r="H71" s="9">
        <f>INDEX('Match Groups'!$L$5:$L$1326,MATCH(D71,'Match Groups'!$A$5:$A$1326,0))</f>
        <v>-66.18</v>
      </c>
      <c r="I71" s="9">
        <f>SUMIFS('Stripe Payouts'!$H$5:$H$72,'Stripe Payouts'!$M$5:$M$72,D71)</f>
        <v>6.02</v>
      </c>
      <c r="J71" t="inlineStr">
        <is>
          <t>Bookkeeper</t>
        </is>
      </c>
      <c r="K71" t="inlineStr">
        <is>
          <t>Reconcile payout with a fee line (reconciliation model 'Stripe fees'); GST claimed on fees.</t>
        </is>
      </c>
      <c r="L71" t="inlineStr">
        <is>
          <t>J067</t>
        </is>
      </c>
      <c r="M71" t="inlineStr">
        <is>
          <t>Proposed</t>
        </is>
      </c>
      <c r="N71" t="str">
        <f>TEXT(C71,"yyyy-mm")</f>
        <v>2026-09</v>
      </c>
      <c r="O71" s="9">
        <f>ROUND(SUMIFS('Bank Lines'!$E$5:$E$1640,'Bank Lines'!$G$5:$G$1640,D71),2)</f>
        <v>3303.82</v>
      </c>
    </row>
    <row r="72">
      <c r="A72" t="inlineStr">
        <is>
          <t>EX068</t>
        </is>
      </c>
      <c r="B72" t="inlineStr">
        <is>
          <t>OPS</t>
        </is>
      </c>
      <c r="C72" s="5" t="n">
        <v>46280</v>
      </c>
      <c r="D72" t="inlineStr">
        <is>
          <t>G00068</t>
        </is>
      </c>
      <c r="E72" t="inlineStr">
        <is>
          <t>STRIPE-FEE</t>
        </is>
      </c>
      <c r="F72" t="inlineStr">
        <is>
          <t>Routine</t>
        </is>
      </c>
      <c r="G72" t="inlineStr">
        <is>
          <t>38 report lines; fees 94.91 | STRIPE PAYOUT STRIPE po_1Q0055KX</t>
        </is>
      </c>
      <c r="H72" s="9">
        <f>INDEX('Match Groups'!$L$5:$L$1326,MATCH(D72,'Match Groups'!$A$5:$A$1326,0))</f>
        <v>-94.91</v>
      </c>
      <c r="I72" s="9">
        <f>SUMIFS('Stripe Payouts'!$H$5:$H$72,'Stripe Payouts'!$M$5:$M$72,D72)</f>
        <v>8.63</v>
      </c>
      <c r="J72" t="inlineStr">
        <is>
          <t>Bookkeeper</t>
        </is>
      </c>
      <c r="K72" t="inlineStr">
        <is>
          <t>Reconcile payout with a fee line (reconciliation model 'Stripe fees'); GST claimed on fees.</t>
        </is>
      </c>
      <c r="L72" t="inlineStr">
        <is>
          <t>J068</t>
        </is>
      </c>
      <c r="M72" t="inlineStr">
        <is>
          <t>Proposed</t>
        </is>
      </c>
      <c r="N72" t="str">
        <f>TEXT(C72,"yyyy-mm")</f>
        <v>2026-09</v>
      </c>
      <c r="O72" s="9">
        <f>ROUND(SUMIFS('Bank Lines'!$E$5:$E$1640,'Bank Lines'!$G$5:$G$1640,D72),2)</f>
        <v>4675.09</v>
      </c>
    </row>
    <row r="73">
      <c r="A73" t="inlineStr">
        <is>
          <t>EX069</t>
        </is>
      </c>
      <c r="B73" t="inlineStr">
        <is>
          <t>OPS</t>
        </is>
      </c>
      <c r="C73" s="5" t="n">
        <v>46281</v>
      </c>
      <c r="D73" t="inlineStr">
        <is>
          <t>G00069</t>
        </is>
      </c>
      <c r="E73" t="inlineStr">
        <is>
          <t>STRIPE-FEE</t>
        </is>
      </c>
      <c r="F73" t="inlineStr">
        <is>
          <t>Routine</t>
        </is>
      </c>
      <c r="G73" t="inlineStr">
        <is>
          <t>20 report lines; fees 45.60 | STRIPE PAYOUT STRIPE po_1Q0056KX</t>
        </is>
      </c>
      <c r="H73" s="9">
        <f>INDEX('Match Groups'!$L$5:$L$1326,MATCH(D73,'Match Groups'!$A$5:$A$1326,0))</f>
        <v>-45.6</v>
      </c>
      <c r="I73" s="9">
        <f>SUMIFS('Stripe Payouts'!$H$5:$H$72,'Stripe Payouts'!$M$5:$M$72,D73)</f>
        <v>4.15</v>
      </c>
      <c r="J73" t="inlineStr">
        <is>
          <t>Bookkeeper</t>
        </is>
      </c>
      <c r="K73" t="inlineStr">
        <is>
          <t>Reconcile payout with a fee line (reconciliation model 'Stripe fees'); GST claimed on fees.</t>
        </is>
      </c>
      <c r="L73" t="inlineStr">
        <is>
          <t>J069</t>
        </is>
      </c>
      <c r="M73" t="inlineStr">
        <is>
          <t>Proposed</t>
        </is>
      </c>
      <c r="N73" t="str">
        <f>TEXT(C73,"yyyy-mm")</f>
        <v>2026-09</v>
      </c>
      <c r="O73" s="9">
        <f>ROUND(SUMIFS('Bank Lines'!$E$5:$E$1640,'Bank Lines'!$G$5:$G$1640,D73),2)</f>
        <v>2214.4</v>
      </c>
    </row>
    <row r="74">
      <c r="A74" t="inlineStr">
        <is>
          <t>EX070</t>
        </is>
      </c>
      <c r="B74" t="inlineStr">
        <is>
          <t>OPS</t>
        </is>
      </c>
      <c r="C74" s="5" t="n">
        <v>46282</v>
      </c>
      <c r="D74" t="inlineStr">
        <is>
          <t>G00070</t>
        </is>
      </c>
      <c r="E74" t="inlineStr">
        <is>
          <t>STRIPE-FEE</t>
        </is>
      </c>
      <c r="F74" t="inlineStr">
        <is>
          <t>Routine</t>
        </is>
      </c>
      <c r="G74" t="inlineStr">
        <is>
          <t>28 report lines; fees 71.60 | STRIPE PAYOUT STRIPE po_1Q0057KX</t>
        </is>
      </c>
      <c r="H74" s="9">
        <f>INDEX('Match Groups'!$L$5:$L$1326,MATCH(D74,'Match Groups'!$A$5:$A$1326,0))</f>
        <v>-71.6</v>
      </c>
      <c r="I74" s="9">
        <f>SUMIFS('Stripe Payouts'!$H$5:$H$72,'Stripe Payouts'!$M$5:$M$72,D74)</f>
        <v>6.51</v>
      </c>
      <c r="J74" t="inlineStr">
        <is>
          <t>Bookkeeper</t>
        </is>
      </c>
      <c r="K74" t="inlineStr">
        <is>
          <t>Reconcile payout with a fee line (reconciliation model 'Stripe fees'); GST claimed on fees.</t>
        </is>
      </c>
      <c r="L74" t="inlineStr">
        <is>
          <t>J070</t>
        </is>
      </c>
      <c r="M74" t="inlineStr">
        <is>
          <t>Proposed</t>
        </is>
      </c>
      <c r="N74" t="str">
        <f>TEXT(C74,"yyyy-mm")</f>
        <v>2026-09</v>
      </c>
      <c r="O74" s="9">
        <f>ROUND(SUMIFS('Bank Lines'!$E$5:$E$1640,'Bank Lines'!$G$5:$G$1640,D74),2)</f>
        <v>3538.4</v>
      </c>
    </row>
    <row r="75">
      <c r="A75" t="inlineStr">
        <is>
          <t>EX071</t>
        </is>
      </c>
      <c r="B75" t="inlineStr">
        <is>
          <t>OPS</t>
        </is>
      </c>
      <c r="C75" s="5" t="n">
        <v>46283</v>
      </c>
      <c r="D75" t="inlineStr">
        <is>
          <t>G00071</t>
        </is>
      </c>
      <c r="E75" t="inlineStr">
        <is>
          <t>STRIPE-FEE</t>
        </is>
      </c>
      <c r="F75" t="inlineStr">
        <is>
          <t>Routine</t>
        </is>
      </c>
      <c r="G75" t="inlineStr">
        <is>
          <t>19 report lines; fees 47.73 | STRIPE PAYOUT STRIPE po_1Q0058KX</t>
        </is>
      </c>
      <c r="H75" s="9">
        <f>INDEX('Match Groups'!$L$5:$L$1326,MATCH(D75,'Match Groups'!$A$5:$A$1326,0))</f>
        <v>-47.73</v>
      </c>
      <c r="I75" s="9">
        <f>SUMIFS('Stripe Payouts'!$H$5:$H$72,'Stripe Payouts'!$M$5:$M$72,D75)</f>
        <v>4.34</v>
      </c>
      <c r="J75" t="inlineStr">
        <is>
          <t>Bookkeeper</t>
        </is>
      </c>
      <c r="K75" t="inlineStr">
        <is>
          <t>Reconcile payout with a fee line (reconciliation model 'Stripe fees'); GST claimed on fees.</t>
        </is>
      </c>
      <c r="L75" t="inlineStr">
        <is>
          <t>J071</t>
        </is>
      </c>
      <c r="M75" t="inlineStr">
        <is>
          <t>Proposed</t>
        </is>
      </c>
      <c r="N75" t="str">
        <f>TEXT(C75,"yyyy-mm")</f>
        <v>2026-09</v>
      </c>
      <c r="O75" s="9">
        <f>ROUND(SUMIFS('Bank Lines'!$E$5:$E$1640,'Bank Lines'!$G$5:$G$1640,D75),2)</f>
        <v>2352.27</v>
      </c>
    </row>
    <row r="76">
      <c r="A76" t="inlineStr">
        <is>
          <t>EX072</t>
        </is>
      </c>
      <c r="B76" t="inlineStr">
        <is>
          <t>OPS</t>
        </is>
      </c>
      <c r="C76" s="5" t="n">
        <v>46286</v>
      </c>
      <c r="D76" t="inlineStr">
        <is>
          <t>G00072</t>
        </is>
      </c>
      <c r="E76" t="inlineStr">
        <is>
          <t>STRIPE-FEE</t>
        </is>
      </c>
      <c r="F76" t="inlineStr">
        <is>
          <t>Routine</t>
        </is>
      </c>
      <c r="G76" t="inlineStr">
        <is>
          <t>22 report lines; fees 61.13 | STRIPE PAYOUT STRIPE po_1Q0059KX</t>
        </is>
      </c>
      <c r="H76" s="9">
        <f>INDEX('Match Groups'!$L$5:$L$1326,MATCH(D76,'Match Groups'!$A$5:$A$1326,0))</f>
        <v>-61.13</v>
      </c>
      <c r="I76" s="9">
        <f>SUMIFS('Stripe Payouts'!$H$5:$H$72,'Stripe Payouts'!$M$5:$M$72,D76)</f>
        <v>5.56</v>
      </c>
      <c r="J76" t="inlineStr">
        <is>
          <t>Bookkeeper</t>
        </is>
      </c>
      <c r="K76" t="inlineStr">
        <is>
          <t>Reconcile payout with a fee line (reconciliation model 'Stripe fees'); GST claimed on fees.</t>
        </is>
      </c>
      <c r="L76" t="inlineStr">
        <is>
          <t>J072</t>
        </is>
      </c>
      <c r="M76" t="inlineStr">
        <is>
          <t>Proposed</t>
        </is>
      </c>
      <c r="N76" t="str">
        <f>TEXT(C76,"yyyy-mm")</f>
        <v>2026-09</v>
      </c>
      <c r="O76" s="9">
        <f>ROUND(SUMIFS('Bank Lines'!$E$5:$E$1640,'Bank Lines'!$G$5:$G$1640,D76),2)</f>
        <v>3053.87</v>
      </c>
    </row>
    <row r="77">
      <c r="A77" t="inlineStr">
        <is>
          <t>EX073</t>
        </is>
      </c>
      <c r="B77" t="inlineStr">
        <is>
          <t>OPS</t>
        </is>
      </c>
      <c r="C77" s="5" t="n">
        <v>46287</v>
      </c>
      <c r="D77" t="inlineStr">
        <is>
          <t>G00073</t>
        </is>
      </c>
      <c r="E77" t="inlineStr">
        <is>
          <t>STRIPE-FEE</t>
        </is>
      </c>
      <c r="F77" t="inlineStr">
        <is>
          <t>Routine</t>
        </is>
      </c>
      <c r="G77" t="inlineStr">
        <is>
          <t>39 report lines; fees 98.55 | STRIPE PAYOUT STRIPE po_1Q0060KX</t>
        </is>
      </c>
      <c r="H77" s="9">
        <f>INDEX('Match Groups'!$L$5:$L$1326,MATCH(D77,'Match Groups'!$A$5:$A$1326,0))</f>
        <v>-98.55</v>
      </c>
      <c r="I77" s="9">
        <f>SUMIFS('Stripe Payouts'!$H$5:$H$72,'Stripe Payouts'!$M$5:$M$72,D77)</f>
        <v>8.96</v>
      </c>
      <c r="J77" t="inlineStr">
        <is>
          <t>Bookkeeper</t>
        </is>
      </c>
      <c r="K77" t="inlineStr">
        <is>
          <t>Reconcile payout with a fee line (reconciliation model 'Stripe fees'); GST claimed on fees.</t>
        </is>
      </c>
      <c r="L77" t="inlineStr">
        <is>
          <t>J073</t>
        </is>
      </c>
      <c r="M77" t="inlineStr">
        <is>
          <t>Proposed</t>
        </is>
      </c>
      <c r="N77" t="str">
        <f>TEXT(C77,"yyyy-mm")</f>
        <v>2026-09</v>
      </c>
      <c r="O77" s="9">
        <f>ROUND(SUMIFS('Bank Lines'!$E$5:$E$1640,'Bank Lines'!$G$5:$G$1640,D77),2)</f>
        <v>4861.45</v>
      </c>
    </row>
    <row r="78">
      <c r="A78" t="inlineStr">
        <is>
          <t>EX074</t>
        </is>
      </c>
      <c r="B78" t="inlineStr">
        <is>
          <t>OPS</t>
        </is>
      </c>
      <c r="C78" s="5" t="n">
        <v>46288</v>
      </c>
      <c r="D78" t="inlineStr">
        <is>
          <t>G00074</t>
        </is>
      </c>
      <c r="E78" t="inlineStr">
        <is>
          <t>STRIPE-FEE</t>
        </is>
      </c>
      <c r="F78" t="inlineStr">
        <is>
          <t>Routine</t>
        </is>
      </c>
      <c r="G78" t="inlineStr">
        <is>
          <t>34 report lines; fees 86.19 | STRIPE PAYOUT STRIPE po_1Q0061KX</t>
        </is>
      </c>
      <c r="H78" s="9">
        <f>INDEX('Match Groups'!$L$5:$L$1326,MATCH(D78,'Match Groups'!$A$5:$A$1326,0))</f>
        <v>-86.19</v>
      </c>
      <c r="I78" s="9">
        <f>SUMIFS('Stripe Payouts'!$H$5:$H$72,'Stripe Payouts'!$M$5:$M$72,D78)</f>
        <v>7.84</v>
      </c>
      <c r="J78" t="inlineStr">
        <is>
          <t>Bookkeeper</t>
        </is>
      </c>
      <c r="K78" t="inlineStr">
        <is>
          <t>Reconcile payout with a fee line (reconciliation model 'Stripe fees'); GST claimed on fees.</t>
        </is>
      </c>
      <c r="L78" t="inlineStr">
        <is>
          <t>J074</t>
        </is>
      </c>
      <c r="M78" t="inlineStr">
        <is>
          <t>Proposed</t>
        </is>
      </c>
      <c r="N78" t="str">
        <f>TEXT(C78,"yyyy-mm")</f>
        <v>2026-09</v>
      </c>
      <c r="O78" s="9">
        <f>ROUND(SUMIFS('Bank Lines'!$E$5:$E$1640,'Bank Lines'!$G$5:$G$1640,D78),2)</f>
        <v>4253.81</v>
      </c>
    </row>
    <row r="79">
      <c r="A79" t="inlineStr">
        <is>
          <t>EX075</t>
        </is>
      </c>
      <c r="B79" t="inlineStr">
        <is>
          <t>OPS</t>
        </is>
      </c>
      <c r="C79" s="5" t="n">
        <v>46289</v>
      </c>
      <c r="D79" t="inlineStr">
        <is>
          <t>G00075</t>
        </is>
      </c>
      <c r="E79" t="inlineStr">
        <is>
          <t>STRIPE-FEE</t>
        </is>
      </c>
      <c r="F79" t="inlineStr">
        <is>
          <t>Routine</t>
        </is>
      </c>
      <c r="G79" t="inlineStr">
        <is>
          <t>18 report lines; fees 49.59 | STRIPE PAYOUT STRIPE po_1Q0062KX</t>
        </is>
      </c>
      <c r="H79" s="9">
        <f>INDEX('Match Groups'!$L$5:$L$1326,MATCH(D79,'Match Groups'!$A$5:$A$1326,0))</f>
        <v>-49.59</v>
      </c>
      <c r="I79" s="9">
        <f>SUMIFS('Stripe Payouts'!$H$5:$H$72,'Stripe Payouts'!$M$5:$M$72,D79)</f>
        <v>4.51</v>
      </c>
      <c r="J79" t="inlineStr">
        <is>
          <t>Bookkeeper</t>
        </is>
      </c>
      <c r="K79" t="inlineStr">
        <is>
          <t>Reconcile payout with a fee line (reconciliation model 'Stripe fees'); GST claimed on fees.</t>
        </is>
      </c>
      <c r="L79" t="inlineStr">
        <is>
          <t>J075</t>
        </is>
      </c>
      <c r="M79" t="inlineStr">
        <is>
          <t>Proposed</t>
        </is>
      </c>
      <c r="N79" t="str">
        <f>TEXT(C79,"yyyy-mm")</f>
        <v>2026-09</v>
      </c>
      <c r="O79" s="9">
        <f>ROUND(SUMIFS('Bank Lines'!$E$5:$E$1640,'Bank Lines'!$G$5:$G$1640,D79),2)</f>
        <v>2475.41</v>
      </c>
    </row>
    <row r="80">
      <c r="A80" t="inlineStr">
        <is>
          <t>EX076</t>
        </is>
      </c>
      <c r="B80" t="inlineStr">
        <is>
          <t>OPS</t>
        </is>
      </c>
      <c r="C80" s="5" t="n">
        <v>46290</v>
      </c>
      <c r="D80" t="inlineStr">
        <is>
          <t>G00076</t>
        </is>
      </c>
      <c r="E80" t="inlineStr">
        <is>
          <t>STRIPE-FEE</t>
        </is>
      </c>
      <c r="F80" t="inlineStr">
        <is>
          <t>Routine</t>
        </is>
      </c>
      <c r="G80" t="inlineStr">
        <is>
          <t>27 report lines; fees 66.58 | STRIPE PAYOUT STRIPE po_1Q0063KX</t>
        </is>
      </c>
      <c r="H80" s="9">
        <f>INDEX('Match Groups'!$L$5:$L$1326,MATCH(D80,'Match Groups'!$A$5:$A$1326,0))</f>
        <v>-66.58</v>
      </c>
      <c r="I80" s="9">
        <f>SUMIFS('Stripe Payouts'!$H$5:$H$72,'Stripe Payouts'!$M$5:$M$72,D80)</f>
        <v>6.05</v>
      </c>
      <c r="J80" t="inlineStr">
        <is>
          <t>Bookkeeper</t>
        </is>
      </c>
      <c r="K80" t="inlineStr">
        <is>
          <t>Reconcile payout with a fee line (reconciliation model 'Stripe fees'); GST claimed on fees.</t>
        </is>
      </c>
      <c r="L80" t="inlineStr">
        <is>
          <t>J076</t>
        </is>
      </c>
      <c r="M80" t="inlineStr">
        <is>
          <t>Proposed</t>
        </is>
      </c>
      <c r="N80" t="str">
        <f>TEXT(C80,"yyyy-mm")</f>
        <v>2026-09</v>
      </c>
      <c r="O80" s="9">
        <f>ROUND(SUMIFS('Bank Lines'!$E$5:$E$1640,'Bank Lines'!$G$5:$G$1640,D80),2)</f>
        <v>3273.42</v>
      </c>
    </row>
    <row r="81">
      <c r="A81" t="inlineStr">
        <is>
          <t>EX077</t>
        </is>
      </c>
      <c r="B81" t="inlineStr">
        <is>
          <t>OPS</t>
        </is>
      </c>
      <c r="C81" s="5" t="n">
        <v>46293</v>
      </c>
      <c r="D81" t="inlineStr">
        <is>
          <t>G00077</t>
        </is>
      </c>
      <c r="E81" t="inlineStr">
        <is>
          <t>STRIPE-FEE</t>
        </is>
      </c>
      <c r="F81" t="inlineStr">
        <is>
          <t>Routine</t>
        </is>
      </c>
      <c r="G81" t="inlineStr">
        <is>
          <t>26 report lines; fees 68.19 | STRIPE PAYOUT STRIPE po_1Q0064KX</t>
        </is>
      </c>
      <c r="H81" s="9">
        <f>INDEX('Match Groups'!$L$5:$L$1326,MATCH(D81,'Match Groups'!$A$5:$A$1326,0))</f>
        <v>-68.19</v>
      </c>
      <c r="I81" s="9">
        <f>SUMIFS('Stripe Payouts'!$H$5:$H$72,'Stripe Payouts'!$M$5:$M$72,D81)</f>
        <v>6.2</v>
      </c>
      <c r="J81" t="inlineStr">
        <is>
          <t>Bookkeeper</t>
        </is>
      </c>
      <c r="K81" t="inlineStr">
        <is>
          <t>Reconcile payout with a fee line (reconciliation model 'Stripe fees'); GST claimed on fees.</t>
        </is>
      </c>
      <c r="L81" t="inlineStr">
        <is>
          <t>J077</t>
        </is>
      </c>
      <c r="M81" t="inlineStr">
        <is>
          <t>Proposed</t>
        </is>
      </c>
      <c r="N81" t="str">
        <f>TEXT(C81,"yyyy-mm")</f>
        <v>2026-09</v>
      </c>
      <c r="O81" s="9">
        <f>ROUND(SUMIFS('Bank Lines'!$E$5:$E$1640,'Bank Lines'!$G$5:$G$1640,D81),2)</f>
        <v>3381.81</v>
      </c>
    </row>
    <row r="82">
      <c r="A82" t="inlineStr">
        <is>
          <t>EX078</t>
        </is>
      </c>
      <c r="B82" t="inlineStr">
        <is>
          <t>OPS</t>
        </is>
      </c>
      <c r="C82" s="5" t="n">
        <v>46294</v>
      </c>
      <c r="D82" t="inlineStr">
        <is>
          <t>G00078</t>
        </is>
      </c>
      <c r="E82" t="inlineStr">
        <is>
          <t>STRIPE-FEE</t>
        </is>
      </c>
      <c r="F82" t="inlineStr">
        <is>
          <t>Routine</t>
        </is>
      </c>
      <c r="G82" t="inlineStr">
        <is>
          <t>37 report lines; fees 89.81 | STRIPE PAYOUT STRIPE po_1Q0065KX</t>
        </is>
      </c>
      <c r="H82" s="9">
        <f>INDEX('Match Groups'!$L$5:$L$1326,MATCH(D82,'Match Groups'!$A$5:$A$1326,0))</f>
        <v>-89.81</v>
      </c>
      <c r="I82" s="9">
        <f>SUMIFS('Stripe Payouts'!$H$5:$H$72,'Stripe Payouts'!$M$5:$M$72,D82)</f>
        <v>8.16</v>
      </c>
      <c r="J82" t="inlineStr">
        <is>
          <t>Bookkeeper</t>
        </is>
      </c>
      <c r="K82" t="inlineStr">
        <is>
          <t>Reconcile payout with a fee line (reconciliation model 'Stripe fees'); GST claimed on fees.</t>
        </is>
      </c>
      <c r="L82" t="inlineStr">
        <is>
          <t>J078</t>
        </is>
      </c>
      <c r="M82" t="inlineStr">
        <is>
          <t>Proposed</t>
        </is>
      </c>
      <c r="N82" t="str">
        <f>TEXT(C82,"yyyy-mm")</f>
        <v>2026-09</v>
      </c>
      <c r="O82" s="9">
        <f>ROUND(SUMIFS('Bank Lines'!$E$5:$E$1640,'Bank Lines'!$G$5:$G$1640,D82),2)</f>
        <v>4405.19</v>
      </c>
    </row>
    <row r="83">
      <c r="A83" t="inlineStr">
        <is>
          <t>EX079</t>
        </is>
      </c>
      <c r="B83" t="inlineStr">
        <is>
          <t>OPS</t>
        </is>
      </c>
      <c r="C83" s="5" t="n">
        <v>46295</v>
      </c>
      <c r="D83" t="inlineStr">
        <is>
          <t>G00079</t>
        </is>
      </c>
      <c r="E83" t="inlineStr">
        <is>
          <t>STRIPE-FEE</t>
        </is>
      </c>
      <c r="F83" t="inlineStr">
        <is>
          <t>Routine</t>
        </is>
      </c>
      <c r="G83" t="inlineStr">
        <is>
          <t>27 report lines; fees 70.51 | STRIPE PAYOUT STRIPE po_1Q0066KX</t>
        </is>
      </c>
      <c r="H83" s="9">
        <f>INDEX('Match Groups'!$L$5:$L$1326,MATCH(D83,'Match Groups'!$A$5:$A$1326,0))</f>
        <v>-70.51</v>
      </c>
      <c r="I83" s="9">
        <f>SUMIFS('Stripe Payouts'!$H$5:$H$72,'Stripe Payouts'!$M$5:$M$72,D83)</f>
        <v>6.41</v>
      </c>
      <c r="J83" t="inlineStr">
        <is>
          <t>Bookkeeper</t>
        </is>
      </c>
      <c r="K83" t="inlineStr">
        <is>
          <t>Reconcile payout with a fee line (reconciliation model 'Stripe fees'); GST claimed on fees.</t>
        </is>
      </c>
      <c r="L83" t="inlineStr">
        <is>
          <t>J079</t>
        </is>
      </c>
      <c r="M83" t="inlineStr">
        <is>
          <t>Proposed</t>
        </is>
      </c>
      <c r="N83" t="str">
        <f>TEXT(C83,"yyyy-mm")</f>
        <v>2026-09</v>
      </c>
      <c r="O83" s="9">
        <f>ROUND(SUMIFS('Bank Lines'!$E$5:$E$1640,'Bank Lines'!$G$5:$G$1640,D83),2)</f>
        <v>3494.49</v>
      </c>
    </row>
    <row r="84">
      <c r="A84" t="inlineStr">
        <is>
          <t>EX080</t>
        </is>
      </c>
      <c r="B84" t="inlineStr">
        <is>
          <t>OPS</t>
        </is>
      </c>
      <c r="C84" s="5" t="n">
        <v>46204</v>
      </c>
      <c r="D84" t="inlineStr">
        <is>
          <t>G00080</t>
        </is>
      </c>
      <c r="E84" t="inlineStr">
        <is>
          <t>SHORT</t>
        </is>
      </c>
      <c r="F84" t="inlineStr">
        <is>
          <t>Decision</t>
        </is>
      </c>
      <c r="G84" t="inlineStr">
        <is>
          <t>Registered at invoice value; remittance shows short payment on INV/2026/01426 | DIRECT CREDIT RIVERBEND PLAN PARTN RA44801</t>
        </is>
      </c>
      <c r="H84" s="9">
        <f>INDEX('Match Groups'!$L$5:$L$1326,MATCH(D84,'Match Groups'!$A$5:$A$1326,0))</f>
        <v>-14.55</v>
      </c>
      <c r="I84" s="9" t="n">
        <v>0</v>
      </c>
      <c r="J84" t="inlineStr">
        <is>
          <t>AR officer</t>
        </is>
      </c>
      <c r="K84" t="inlineStr">
        <is>
          <t>Reduce the registered payment to the amount received; reopen the shortfall and chase or write off (price cap).</t>
        </is>
      </c>
      <c r="L84" t="inlineStr">
        <is>
          <t>J080</t>
        </is>
      </c>
      <c r="M84" t="inlineStr">
        <is>
          <t>Awaiting decision</t>
        </is>
      </c>
      <c r="N84" t="str">
        <f>TEXT(C84,"yyyy-mm")</f>
        <v>2026-07</v>
      </c>
      <c r="O84" s="9">
        <f>ROUND(SUMIFS('Bank Lines'!$E$5:$E$1640,'Bank Lines'!$G$5:$G$1640,D84),2)</f>
        <v>1140.59</v>
      </c>
    </row>
    <row r="85">
      <c r="A85" t="inlineStr">
        <is>
          <t>EX081</t>
        </is>
      </c>
      <c r="B85" t="inlineStr">
        <is>
          <t>OPS</t>
        </is>
      </c>
      <c r="C85" s="5" t="n">
        <v>46204</v>
      </c>
      <c r="D85" t="inlineStr">
        <is>
          <t>G00084</t>
        </is>
      </c>
      <c r="E85" t="inlineStr">
        <is>
          <t>REG</t>
        </is>
      </c>
      <c r="F85" t="inlineStr">
        <is>
          <t>Routine</t>
        </is>
      </c>
      <c r="G85" t="inlineStr">
        <is>
          <t>Receipt not registered in Odoo; remittance RA44805 lists 6 invoices | DIRECT CREDIT ACACIA PLAN PARTNE RA44805</t>
        </is>
      </c>
      <c r="H85" s="9">
        <f>INDEX('Match Groups'!$L$5:$L$1326,MATCH(D85,'Match Groups'!$A$5:$A$1326,0))</f>
        <v>969.93</v>
      </c>
      <c r="I85" s="9" t="n">
        <v>0</v>
      </c>
      <c r="J85" t="inlineStr">
        <is>
          <t>AR officer</t>
        </is>
      </c>
      <c r="K85" t="inlineStr">
        <is>
          <t>Register the payment against the open invoice(s) listed in Allocations, then reconcile.</t>
        </is>
      </c>
      <c r="L85" t="inlineStr">
        <is>
          <t>J081</t>
        </is>
      </c>
      <c r="M85" t="inlineStr">
        <is>
          <t>Proposed</t>
        </is>
      </c>
      <c r="N85" t="str">
        <f>TEXT(C85,"yyyy-mm")</f>
        <v>2026-07</v>
      </c>
      <c r="O85" s="9">
        <f>ROUND(SUMIFS('Bank Lines'!$E$5:$E$1640,'Bank Lines'!$G$5:$G$1640,D85),2)</f>
        <v>969.93</v>
      </c>
    </row>
    <row r="86">
      <c r="A86" t="inlineStr">
        <is>
          <t>EX082</t>
        </is>
      </c>
      <c r="B86" t="inlineStr">
        <is>
          <t>OPS</t>
        </is>
      </c>
      <c r="C86" s="5" t="n">
        <v>46205</v>
      </c>
      <c r="D86" t="inlineStr">
        <is>
          <t>G00088</t>
        </is>
      </c>
      <c r="E86" t="inlineStr">
        <is>
          <t>REG</t>
        </is>
      </c>
      <c r="F86" t="inlineStr">
        <is>
          <t>Routine</t>
        </is>
      </c>
      <c r="G86" t="inlineStr">
        <is>
          <t>Receipt not registered in Odoo; remittance RA44809 lists 2 invoices | DIRECT CREDIT BANKSIA PLAN CO RA44809</t>
        </is>
      </c>
      <c r="H86" s="9">
        <f>INDEX('Match Groups'!$L$5:$L$1326,MATCH(D86,'Match Groups'!$A$5:$A$1326,0))</f>
        <v>290.98</v>
      </c>
      <c r="I86" s="9" t="n">
        <v>0</v>
      </c>
      <c r="J86" t="inlineStr">
        <is>
          <t>AR officer</t>
        </is>
      </c>
      <c r="K86" t="inlineStr">
        <is>
          <t>Register the payment against the open invoice(s) listed in Allocations, then reconcile.</t>
        </is>
      </c>
      <c r="L86" t="inlineStr">
        <is>
          <t>J082</t>
        </is>
      </c>
      <c r="M86" t="inlineStr">
        <is>
          <t>Proposed</t>
        </is>
      </c>
      <c r="N86" t="str">
        <f>TEXT(C86,"yyyy-mm")</f>
        <v>2026-07</v>
      </c>
      <c r="O86" s="9">
        <f>ROUND(SUMIFS('Bank Lines'!$E$5:$E$1640,'Bank Lines'!$G$5:$G$1640,D86),2)</f>
        <v>290.98</v>
      </c>
    </row>
    <row r="87">
      <c r="A87" t="inlineStr">
        <is>
          <t>EX083</t>
        </is>
      </c>
      <c r="B87" t="inlineStr">
        <is>
          <t>OPS</t>
        </is>
      </c>
      <c r="C87" s="5" t="n">
        <v>46205</v>
      </c>
      <c r="D87" t="inlineStr">
        <is>
          <t>G00089</t>
        </is>
      </c>
      <c r="E87" t="inlineStr">
        <is>
          <t>REG</t>
        </is>
      </c>
      <c r="F87" t="inlineStr">
        <is>
          <t>Routine</t>
        </is>
      </c>
      <c r="G87" t="inlineStr">
        <is>
          <t>Receipt not registered in Odoo; remittance RA44810 lists 2 invoices | DIRECT CREDIT LYREBIRD PLAN MANAGEME RA44810</t>
        </is>
      </c>
      <c r="H87" s="9">
        <f>INDEX('Match Groups'!$L$5:$L$1326,MATCH(D87,'Match Groups'!$A$5:$A$1326,0))</f>
        <v>193.98</v>
      </c>
      <c r="I87" s="9" t="n">
        <v>0</v>
      </c>
      <c r="J87" t="inlineStr">
        <is>
          <t>AR officer</t>
        </is>
      </c>
      <c r="K87" t="inlineStr">
        <is>
          <t>Register the payment against the open invoice(s) listed in Allocations, then reconcile.</t>
        </is>
      </c>
      <c r="L87" t="inlineStr">
        <is>
          <t>J083</t>
        </is>
      </c>
      <c r="M87" t="inlineStr">
        <is>
          <t>Proposed</t>
        </is>
      </c>
      <c r="N87" t="str">
        <f>TEXT(C87,"yyyy-mm")</f>
        <v>2026-07</v>
      </c>
      <c r="O87" s="9">
        <f>ROUND(SUMIFS('Bank Lines'!$E$5:$E$1640,'Bank Lines'!$G$5:$G$1640,D87),2)</f>
        <v>193.98</v>
      </c>
    </row>
    <row r="88">
      <c r="A88" t="inlineStr">
        <is>
          <t>EX084</t>
        </is>
      </c>
      <c r="B88" t="inlineStr">
        <is>
          <t>OPS</t>
        </is>
      </c>
      <c r="C88" s="5" t="n">
        <v>46206</v>
      </c>
      <c r="D88" t="inlineStr">
        <is>
          <t>G00093</t>
        </is>
      </c>
      <c r="E88" t="inlineStr">
        <is>
          <t>SHORT</t>
        </is>
      </c>
      <c r="F88" t="inlineStr">
        <is>
          <t>Decision</t>
        </is>
      </c>
      <c r="G88" t="inlineStr">
        <is>
          <t>Registered at invoice value; remittance shows short payment on INV/2026/01401 | DIRECT CREDIT BLUEGUM PLAN MANAGE RA44814</t>
        </is>
      </c>
      <c r="H88" s="9">
        <f>INDEX('Match Groups'!$L$5:$L$1326,MATCH(D88,'Match Groups'!$A$5:$A$1326,0))</f>
        <v>-29.1</v>
      </c>
      <c r="I88" s="9" t="n">
        <v>0</v>
      </c>
      <c r="J88" t="inlineStr">
        <is>
          <t>AR officer</t>
        </is>
      </c>
      <c r="K88" t="inlineStr">
        <is>
          <t>Reduce the registered payment to the amount received; reopen the shortfall and chase or write off (price cap).</t>
        </is>
      </c>
      <c r="L88" t="inlineStr">
        <is>
          <t>J084</t>
        </is>
      </c>
      <c r="M88" t="inlineStr">
        <is>
          <t>Awaiting decision</t>
        </is>
      </c>
      <c r="N88" t="str">
        <f>TEXT(C88,"yyyy-mm")</f>
        <v>2026-07</v>
      </c>
      <c r="O88" s="9">
        <f>ROUND(SUMIFS('Bank Lines'!$E$5:$E$1640,'Bank Lines'!$G$5:$G$1640,D88),2)</f>
        <v>1853.51</v>
      </c>
    </row>
    <row r="89">
      <c r="A89" t="inlineStr">
        <is>
          <t>EX085</t>
        </is>
      </c>
      <c r="B89" t="inlineStr">
        <is>
          <t>OPS</t>
        </is>
      </c>
      <c r="C89" s="5" t="n">
        <v>46206</v>
      </c>
      <c r="D89" t="inlineStr">
        <is>
          <t>G00095</t>
        </is>
      </c>
      <c r="E89" t="inlineStr">
        <is>
          <t>REG</t>
        </is>
      </c>
      <c r="F89" t="inlineStr">
        <is>
          <t>Routine</t>
        </is>
      </c>
      <c r="G89" t="inlineStr">
        <is>
          <t>Receipt not registered in Odoo; remittance RA44816 lists 3 invoices | DIRECT CREDIT WATTLE PLAN SERVICES RA44816</t>
        </is>
      </c>
      <c r="H89" s="9">
        <f>INDEX('Match Groups'!$L$5:$L$1326,MATCH(D89,'Match Groups'!$A$5:$A$1326,0))</f>
        <v>494.67</v>
      </c>
      <c r="I89" s="9" t="n">
        <v>0</v>
      </c>
      <c r="J89" t="inlineStr">
        <is>
          <t>AR officer</t>
        </is>
      </c>
      <c r="K89" t="inlineStr">
        <is>
          <t>Register the payment against the open invoice(s) listed in Allocations, then reconcile.</t>
        </is>
      </c>
      <c r="L89" t="inlineStr">
        <is>
          <t>J085</t>
        </is>
      </c>
      <c r="M89" t="inlineStr">
        <is>
          <t>Proposed</t>
        </is>
      </c>
      <c r="N89" t="str">
        <f>TEXT(C89,"yyyy-mm")</f>
        <v>2026-07</v>
      </c>
      <c r="O89" s="9">
        <f>ROUND(SUMIFS('Bank Lines'!$E$5:$E$1640,'Bank Lines'!$G$5:$G$1640,D89),2)</f>
        <v>494.67</v>
      </c>
    </row>
    <row r="90">
      <c r="A90" t="inlineStr">
        <is>
          <t>EX086</t>
        </is>
      </c>
      <c r="B90" t="inlineStr">
        <is>
          <t>OPS</t>
        </is>
      </c>
      <c r="C90" s="5" t="n">
        <v>46209</v>
      </c>
      <c r="D90" t="inlineStr">
        <is>
          <t>G00107</t>
        </is>
      </c>
      <c r="E90" t="inlineStr">
        <is>
          <t>REG</t>
        </is>
      </c>
      <c r="F90" t="inlineStr">
        <is>
          <t>Routine</t>
        </is>
      </c>
      <c r="G90" t="inlineStr">
        <is>
          <t>Receipt not registered in Odoo; remittance RA44828 lists 4 invoices | DIRECT CREDIT ACACIAPLANPARTNE RA44828</t>
        </is>
      </c>
      <c r="H90" s="9">
        <f>INDEX('Match Groups'!$L$5:$L$1326,MATCH(D90,'Match Groups'!$A$5:$A$1326,0))</f>
        <v>1193.94</v>
      </c>
      <c r="I90" s="9" t="n">
        <v>0</v>
      </c>
      <c r="J90" t="inlineStr">
        <is>
          <t>AR officer</t>
        </is>
      </c>
      <c r="K90" t="inlineStr">
        <is>
          <t>Register the payment against the open invoice(s) listed in Allocations, then reconcile.</t>
        </is>
      </c>
      <c r="L90" t="inlineStr">
        <is>
          <t>J086</t>
        </is>
      </c>
      <c r="M90" t="inlineStr">
        <is>
          <t>Proposed</t>
        </is>
      </c>
      <c r="N90" t="str">
        <f>TEXT(C90,"yyyy-mm")</f>
        <v>2026-07</v>
      </c>
      <c r="O90" s="9">
        <f>ROUND(SUMIFS('Bank Lines'!$E$5:$E$1640,'Bank Lines'!$G$5:$G$1640,D90),2)</f>
        <v>1193.94</v>
      </c>
    </row>
    <row r="91">
      <c r="A91" t="inlineStr">
        <is>
          <t>EX087</t>
        </is>
      </c>
      <c r="B91" t="inlineStr">
        <is>
          <t>OPS</t>
        </is>
      </c>
      <c r="C91" s="5" t="n">
        <v>46210</v>
      </c>
      <c r="D91" t="inlineStr">
        <is>
          <t>G00110</t>
        </is>
      </c>
      <c r="E91" t="inlineStr">
        <is>
          <t>REG</t>
        </is>
      </c>
      <c r="F91" t="inlineStr">
        <is>
          <t>Routine</t>
        </is>
      </c>
      <c r="G91" t="inlineStr">
        <is>
          <t>Receipt not registered in Odoo; remittance RA44831 lists 4 invoices | DIRECT CREDIT WATTLE PLAN SERVICES P RA44831</t>
        </is>
      </c>
      <c r="H91" s="9">
        <f>INDEX('Match Groups'!$L$5:$L$1326,MATCH(D91,'Match Groups'!$A$5:$A$1326,0))</f>
        <v>884.45</v>
      </c>
      <c r="I91" s="9" t="n">
        <v>0</v>
      </c>
      <c r="J91" t="inlineStr">
        <is>
          <t>AR officer</t>
        </is>
      </c>
      <c r="K91" t="inlineStr">
        <is>
          <t>Register the payment against the open invoice(s) listed in Allocations, then reconcile.</t>
        </is>
      </c>
      <c r="L91" t="inlineStr">
        <is>
          <t>J087</t>
        </is>
      </c>
      <c r="M91" t="inlineStr">
        <is>
          <t>Proposed</t>
        </is>
      </c>
      <c r="N91" t="str">
        <f>TEXT(C91,"yyyy-mm")</f>
        <v>2026-07</v>
      </c>
      <c r="O91" s="9">
        <f>ROUND(SUMIFS('Bank Lines'!$E$5:$E$1640,'Bank Lines'!$G$5:$G$1640,D91),2)</f>
        <v>884.45</v>
      </c>
    </row>
    <row r="92">
      <c r="A92" t="inlineStr">
        <is>
          <t>EX088</t>
        </is>
      </c>
      <c r="B92" t="inlineStr">
        <is>
          <t>OPS</t>
        </is>
      </c>
      <c r="C92" s="5" t="n">
        <v>46212</v>
      </c>
      <c r="D92" t="inlineStr">
        <is>
          <t>G00123</t>
        </is>
      </c>
      <c r="E92" t="inlineStr">
        <is>
          <t>SHORT</t>
        </is>
      </c>
      <c r="F92" t="inlineStr">
        <is>
          <t>Decision</t>
        </is>
      </c>
      <c r="G92" t="inlineStr">
        <is>
          <t>Registered at invoice value; remittance shows short payment on INV/2026/01847 | DIRECT CREDIT CLEARPATH NDIS PLANS P RA44844</t>
        </is>
      </c>
      <c r="H92" s="9">
        <f>INDEX('Match Groups'!$L$5:$L$1326,MATCH(D92,'Match Groups'!$A$5:$A$1326,0))</f>
        <v>-14.55</v>
      </c>
      <c r="I92" s="9" t="n">
        <v>0</v>
      </c>
      <c r="J92" t="inlineStr">
        <is>
          <t>AR officer</t>
        </is>
      </c>
      <c r="K92" t="inlineStr">
        <is>
          <t>Reduce the registered payment to the amount received; reopen the shortfall and chase or write off (price cap).</t>
        </is>
      </c>
      <c r="L92" t="inlineStr">
        <is>
          <t>J088</t>
        </is>
      </c>
      <c r="M92" t="inlineStr">
        <is>
          <t>Awaiting decision</t>
        </is>
      </c>
      <c r="N92" t="str">
        <f>TEXT(C92,"yyyy-mm")</f>
        <v>2026-07</v>
      </c>
      <c r="O92" s="9">
        <f>ROUND(SUMIFS('Bank Lines'!$E$5:$E$1640,'Bank Lines'!$G$5:$G$1640,D92),2)</f>
        <v>364.62</v>
      </c>
    </row>
    <row r="93">
      <c r="A93" t="inlineStr">
        <is>
          <t>EX089</t>
        </is>
      </c>
      <c r="B93" t="inlineStr">
        <is>
          <t>OPS</t>
        </is>
      </c>
      <c r="C93" s="5" t="n">
        <v>46213</v>
      </c>
      <c r="D93" t="inlineStr">
        <is>
          <t>G00128</t>
        </is>
      </c>
      <c r="E93" t="inlineStr">
        <is>
          <t>REG</t>
        </is>
      </c>
      <c r="F93" t="inlineStr">
        <is>
          <t>Routine</t>
        </is>
      </c>
      <c r="G93" t="inlineStr">
        <is>
          <t>Receipt not registered in Odoo; remittance RA44849 lists 2 invoices | DIRECT CREDIT BLUEGUM PLAN MGMT RA44849</t>
        </is>
      </c>
      <c r="H93" s="9">
        <f>INDEX('Match Groups'!$L$5:$L$1326,MATCH(D93,'Match Groups'!$A$5:$A$1326,0))</f>
        <v>581.97</v>
      </c>
      <c r="I93" s="9" t="n">
        <v>0</v>
      </c>
      <c r="J93" t="inlineStr">
        <is>
          <t>AR officer</t>
        </is>
      </c>
      <c r="K93" t="inlineStr">
        <is>
          <t>Register the payment against the open invoice(s) listed in Allocations, then reconcile.</t>
        </is>
      </c>
      <c r="L93" t="inlineStr">
        <is>
          <t>J089</t>
        </is>
      </c>
      <c r="M93" t="inlineStr">
        <is>
          <t>Proposed</t>
        </is>
      </c>
      <c r="N93" t="str">
        <f>TEXT(C93,"yyyy-mm")</f>
        <v>2026-07</v>
      </c>
      <c r="O93" s="9">
        <f>ROUND(SUMIFS('Bank Lines'!$E$5:$E$1640,'Bank Lines'!$G$5:$G$1640,D93),2)</f>
        <v>581.97</v>
      </c>
    </row>
    <row r="94">
      <c r="A94" t="inlineStr">
        <is>
          <t>EX090</t>
        </is>
      </c>
      <c r="B94" t="inlineStr">
        <is>
          <t>OPS</t>
        </is>
      </c>
      <c r="C94" s="5" t="n">
        <v>46216</v>
      </c>
      <c r="D94" t="inlineStr">
        <is>
          <t>G00137</t>
        </is>
      </c>
      <c r="E94" t="inlineStr">
        <is>
          <t>REG</t>
        </is>
      </c>
      <c r="F94" t="inlineStr">
        <is>
          <t>Routine</t>
        </is>
      </c>
      <c r="G94" t="inlineStr">
        <is>
          <t>Receipt not registered in Odoo; remittance RA44858 lists 6 invoices | DIRECT CREDIT KOOKABURRAPLANSU RA44858</t>
        </is>
      </c>
      <c r="H94" s="9">
        <f>INDEX('Match Groups'!$L$5:$L$1326,MATCH(D94,'Match Groups'!$A$5:$A$1326,0))</f>
        <v>1058.13</v>
      </c>
      <c r="I94" s="9" t="n">
        <v>0</v>
      </c>
      <c r="J94" t="inlineStr">
        <is>
          <t>AR officer</t>
        </is>
      </c>
      <c r="K94" t="inlineStr">
        <is>
          <t>Register the payment against the open invoice(s) listed in Allocations, then reconcile.</t>
        </is>
      </c>
      <c r="L94" t="inlineStr">
        <is>
          <t>J090</t>
        </is>
      </c>
      <c r="M94" t="inlineStr">
        <is>
          <t>Proposed</t>
        </is>
      </c>
      <c r="N94" t="str">
        <f>TEXT(C94,"yyyy-mm")</f>
        <v>2026-07</v>
      </c>
      <c r="O94" s="9">
        <f>ROUND(SUMIFS('Bank Lines'!$E$5:$E$1640,'Bank Lines'!$G$5:$G$1640,D94),2)</f>
        <v>1058.13</v>
      </c>
    </row>
    <row r="95">
      <c r="A95" t="inlineStr">
        <is>
          <t>EX091</t>
        </is>
      </c>
      <c r="B95" t="inlineStr">
        <is>
          <t>OPS</t>
        </is>
      </c>
      <c r="C95" s="5" t="n">
        <v>46216</v>
      </c>
      <c r="D95" t="inlineStr">
        <is>
          <t>G00138</t>
        </is>
      </c>
      <c r="E95" t="inlineStr">
        <is>
          <t>REG</t>
        </is>
      </c>
      <c r="F95" t="inlineStr">
        <is>
          <t>Routine</t>
        </is>
      </c>
      <c r="G95" t="inlineStr">
        <is>
          <t>Receipt not registered in Odoo; remittance RA44859 lists 4 invoices | DIRECT CREDIT SALTBUSH PLAN MANAGERS RA44859</t>
        </is>
      </c>
      <c r="H95" s="9">
        <f>INDEX('Match Groups'!$L$5:$L$1326,MATCH(D95,'Match Groups'!$A$5:$A$1326,0))</f>
        <v>815.65</v>
      </c>
      <c r="I95" s="9" t="n">
        <v>0</v>
      </c>
      <c r="J95" t="inlineStr">
        <is>
          <t>AR officer</t>
        </is>
      </c>
      <c r="K95" t="inlineStr">
        <is>
          <t>Register the payment against the open invoice(s) listed in Allocations, then reconcile.</t>
        </is>
      </c>
      <c r="L95" t="inlineStr">
        <is>
          <t>J091</t>
        </is>
      </c>
      <c r="M95" t="inlineStr">
        <is>
          <t>Proposed</t>
        </is>
      </c>
      <c r="N95" t="str">
        <f>TEXT(C95,"yyyy-mm")</f>
        <v>2026-07</v>
      </c>
      <c r="O95" s="9">
        <f>ROUND(SUMIFS('Bank Lines'!$E$5:$E$1640,'Bank Lines'!$G$5:$G$1640,D95),2)</f>
        <v>815.65</v>
      </c>
    </row>
    <row r="96">
      <c r="A96" t="inlineStr">
        <is>
          <t>EX092</t>
        </is>
      </c>
      <c r="B96" t="inlineStr">
        <is>
          <t>OPS</t>
        </is>
      </c>
      <c r="C96" s="5" t="n">
        <v>46220</v>
      </c>
      <c r="D96" t="inlineStr">
        <is>
          <t>G00159</t>
        </is>
      </c>
      <c r="E96" t="inlineStr">
        <is>
          <t>REG</t>
        </is>
      </c>
      <c r="F96" t="inlineStr">
        <is>
          <t>Routine</t>
        </is>
      </c>
      <c r="G96" t="inlineStr">
        <is>
          <t>Receipt not registered in Odoo; remittance RA44880 lists 12 invoices | DIRECT CREDIT RIVERBEND PLAN PARTNER RA44880</t>
        </is>
      </c>
      <c r="H96" s="9">
        <f>INDEX('Match Groups'!$L$5:$L$1326,MATCH(D96,'Match Groups'!$A$5:$A$1326,0))</f>
        <v>3339.34</v>
      </c>
      <c r="I96" s="9" t="n">
        <v>0</v>
      </c>
      <c r="J96" t="inlineStr">
        <is>
          <t>AR officer</t>
        </is>
      </c>
      <c r="K96" t="inlineStr">
        <is>
          <t>Register the payment against the open invoice(s) listed in Allocations, then reconcile.</t>
        </is>
      </c>
      <c r="L96" t="inlineStr">
        <is>
          <t>J092</t>
        </is>
      </c>
      <c r="M96" t="inlineStr">
        <is>
          <t>Proposed</t>
        </is>
      </c>
      <c r="N96" t="str">
        <f>TEXT(C96,"yyyy-mm")</f>
        <v>2026-07</v>
      </c>
      <c r="O96" s="9">
        <f>ROUND(SUMIFS('Bank Lines'!$E$5:$E$1640,'Bank Lines'!$G$5:$G$1640,D96),2)</f>
        <v>3339.34</v>
      </c>
    </row>
    <row r="97">
      <c r="A97" t="inlineStr">
        <is>
          <t>EX093</t>
        </is>
      </c>
      <c r="B97" t="inlineStr">
        <is>
          <t>OPS</t>
        </is>
      </c>
      <c r="C97" s="5" t="n">
        <v>46220</v>
      </c>
      <c r="D97" t="inlineStr">
        <is>
          <t>G00161</t>
        </is>
      </c>
      <c r="E97" t="inlineStr">
        <is>
          <t>REG</t>
        </is>
      </c>
      <c r="F97" t="inlineStr">
        <is>
          <t>Routine</t>
        </is>
      </c>
      <c r="G97" t="inlineStr">
        <is>
          <t>Receipt not registered in Odoo; remittance RA44882 lists 6 invoices | DIRECT CREDIT BANKSIAPLANCO RA44882</t>
        </is>
      </c>
      <c r="H97" s="9">
        <f>INDEX('Match Groups'!$L$5:$L$1326,MATCH(D97,'Match Groups'!$A$5:$A$1326,0))</f>
        <v>1718.61</v>
      </c>
      <c r="I97" s="9" t="n">
        <v>0</v>
      </c>
      <c r="J97" t="inlineStr">
        <is>
          <t>AR officer</t>
        </is>
      </c>
      <c r="K97" t="inlineStr">
        <is>
          <t>Register the payment against the open invoice(s) listed in Allocations, then reconcile.</t>
        </is>
      </c>
      <c r="L97" t="inlineStr">
        <is>
          <t>J093</t>
        </is>
      </c>
      <c r="M97" t="inlineStr">
        <is>
          <t>Proposed</t>
        </is>
      </c>
      <c r="N97" t="str">
        <f>TEXT(C97,"yyyy-mm")</f>
        <v>2026-07</v>
      </c>
      <c r="O97" s="9">
        <f>ROUND(SUMIFS('Bank Lines'!$E$5:$E$1640,'Bank Lines'!$G$5:$G$1640,D97),2)</f>
        <v>1718.61</v>
      </c>
    </row>
    <row r="98">
      <c r="A98" t="inlineStr">
        <is>
          <t>EX094</t>
        </is>
      </c>
      <c r="B98" t="inlineStr">
        <is>
          <t>OPS</t>
        </is>
      </c>
      <c r="C98" s="5" t="n">
        <v>46225</v>
      </c>
      <c r="D98" t="inlineStr">
        <is>
          <t>G00184</t>
        </is>
      </c>
      <c r="E98" t="inlineStr">
        <is>
          <t>REG</t>
        </is>
      </c>
      <c r="F98" t="inlineStr">
        <is>
          <t>Routine</t>
        </is>
      </c>
      <c r="G98" t="inlineStr">
        <is>
          <t>Receipt not registered in Odoo; remittance RA44905 lists 8 invoices | DIRECT CREDIT KOOKABURRAPLANSU RA44905</t>
        </is>
      </c>
      <c r="H98" s="9">
        <f>INDEX('Match Groups'!$L$5:$L$1326,MATCH(D98,'Match Groups'!$A$5:$A$1326,0))</f>
        <v>1982.3</v>
      </c>
      <c r="I98" s="9" t="n">
        <v>0</v>
      </c>
      <c r="J98" t="inlineStr">
        <is>
          <t>AR officer</t>
        </is>
      </c>
      <c r="K98" t="inlineStr">
        <is>
          <t>Register the payment against the open invoice(s) listed in Allocations, then reconcile.</t>
        </is>
      </c>
      <c r="L98" t="inlineStr">
        <is>
          <t>J094</t>
        </is>
      </c>
      <c r="M98" t="inlineStr">
        <is>
          <t>Proposed</t>
        </is>
      </c>
      <c r="N98" t="str">
        <f>TEXT(C98,"yyyy-mm")</f>
        <v>2026-07</v>
      </c>
      <c r="O98" s="9">
        <f>ROUND(SUMIFS('Bank Lines'!$E$5:$E$1640,'Bank Lines'!$G$5:$G$1640,D98),2)</f>
        <v>1982.3</v>
      </c>
    </row>
    <row r="99">
      <c r="A99" t="inlineStr">
        <is>
          <t>EX095</t>
        </is>
      </c>
      <c r="B99" t="inlineStr">
        <is>
          <t>OPS</t>
        </is>
      </c>
      <c r="C99" s="5" t="n">
        <v>46227</v>
      </c>
      <c r="D99" t="inlineStr">
        <is>
          <t>G00202</t>
        </is>
      </c>
      <c r="E99" t="inlineStr">
        <is>
          <t>REG</t>
        </is>
      </c>
      <c r="F99" t="inlineStr">
        <is>
          <t>Routine</t>
        </is>
      </c>
      <c r="G99" t="inlineStr">
        <is>
          <t>Receipt not registered in Odoo; remittance RA44923 lists 8 invoices | DIRECT CREDIT ACACIAPLANPARTNE RA44923</t>
        </is>
      </c>
      <c r="H99" s="9">
        <f>INDEX('Match Groups'!$L$5:$L$1326,MATCH(D99,'Match Groups'!$A$5:$A$1326,0))</f>
        <v>1564.32</v>
      </c>
      <c r="I99" s="9" t="n">
        <v>0</v>
      </c>
      <c r="J99" t="inlineStr">
        <is>
          <t>AR officer</t>
        </is>
      </c>
      <c r="K99" t="inlineStr">
        <is>
          <t>Register the payment against the open invoice(s) listed in Allocations, then reconcile.</t>
        </is>
      </c>
      <c r="L99" t="inlineStr">
        <is>
          <t>J095</t>
        </is>
      </c>
      <c r="M99" t="inlineStr">
        <is>
          <t>Proposed</t>
        </is>
      </c>
      <c r="N99" t="str">
        <f>TEXT(C99,"yyyy-mm")</f>
        <v>2026-07</v>
      </c>
      <c r="O99" s="9">
        <f>ROUND(SUMIFS('Bank Lines'!$E$5:$E$1640,'Bank Lines'!$G$5:$G$1640,D99),2)</f>
        <v>1564.32</v>
      </c>
    </row>
    <row r="100">
      <c r="A100" t="inlineStr">
        <is>
          <t>EX096</t>
        </is>
      </c>
      <c r="B100" t="inlineStr">
        <is>
          <t>OPS</t>
        </is>
      </c>
      <c r="C100" s="5" t="n">
        <v>46237</v>
      </c>
      <c r="D100" t="inlineStr">
        <is>
          <t>G00244</t>
        </is>
      </c>
      <c r="E100" t="inlineStr">
        <is>
          <t>REG</t>
        </is>
      </c>
      <c r="F100" t="inlineStr">
        <is>
          <t>Routine</t>
        </is>
      </c>
      <c r="G100" t="inlineStr">
        <is>
          <t>Receipt not registered in Odoo; remittance RA44965 lists 5 invoices | DIRECT CREDIT WATTLE PLAN SERVICES RA44965</t>
        </is>
      </c>
      <c r="H100" s="9">
        <f>INDEX('Match Groups'!$L$5:$L$1326,MATCH(D100,'Match Groups'!$A$5:$A$1326,0))</f>
        <v>989.35</v>
      </c>
      <c r="I100" s="9" t="n">
        <v>0</v>
      </c>
      <c r="J100" t="inlineStr">
        <is>
          <t>AR officer</t>
        </is>
      </c>
      <c r="K100" t="inlineStr">
        <is>
          <t>Register the payment against the open invoice(s) listed in Allocations, then reconcile.</t>
        </is>
      </c>
      <c r="L100" t="inlineStr">
        <is>
          <t>J096</t>
        </is>
      </c>
      <c r="M100" t="inlineStr">
        <is>
          <t>Proposed</t>
        </is>
      </c>
      <c r="N100" t="str">
        <f>TEXT(C100,"yyyy-mm")</f>
        <v>2026-08</v>
      </c>
      <c r="O100" s="9">
        <f>ROUND(SUMIFS('Bank Lines'!$E$5:$E$1640,'Bank Lines'!$G$5:$G$1640,D100),2)</f>
        <v>989.35</v>
      </c>
    </row>
    <row r="101">
      <c r="A101" t="inlineStr">
        <is>
          <t>EX097</t>
        </is>
      </c>
      <c r="B101" t="inlineStr">
        <is>
          <t>OPS</t>
        </is>
      </c>
      <c r="C101" s="5" t="n">
        <v>46237</v>
      </c>
      <c r="D101" t="inlineStr">
        <is>
          <t>G00247</t>
        </is>
      </c>
      <c r="E101" t="inlineStr">
        <is>
          <t>REG</t>
        </is>
      </c>
      <c r="F101" t="inlineStr">
        <is>
          <t>Routine</t>
        </is>
      </c>
      <c r="G101" t="inlineStr">
        <is>
          <t>Receipt not registered in Odoo; remittance RA44968 lists 3 invoices | DIRECT CREDIT REDGUM PLAN ADMIN RA44968</t>
        </is>
      </c>
      <c r="H101" s="9">
        <f>INDEX('Match Groups'!$L$5:$L$1326,MATCH(D101,'Match Groups'!$A$5:$A$1326,0))</f>
        <v>785.66</v>
      </c>
      <c r="I101" s="9" t="n">
        <v>0</v>
      </c>
      <c r="J101" t="inlineStr">
        <is>
          <t>AR officer</t>
        </is>
      </c>
      <c r="K101" t="inlineStr">
        <is>
          <t>Register the payment against the open invoice(s) listed in Allocations, then reconcile.</t>
        </is>
      </c>
      <c r="L101" t="inlineStr">
        <is>
          <t>J097</t>
        </is>
      </c>
      <c r="M101" t="inlineStr">
        <is>
          <t>Proposed</t>
        </is>
      </c>
      <c r="N101" t="str">
        <f>TEXT(C101,"yyyy-mm")</f>
        <v>2026-08</v>
      </c>
      <c r="O101" s="9">
        <f>ROUND(SUMIFS('Bank Lines'!$E$5:$E$1640,'Bank Lines'!$G$5:$G$1640,D101),2)</f>
        <v>785.66</v>
      </c>
    </row>
    <row r="102">
      <c r="A102" t="inlineStr">
        <is>
          <t>EX098</t>
        </is>
      </c>
      <c r="B102" t="inlineStr">
        <is>
          <t>OPS</t>
        </is>
      </c>
      <c r="C102" s="5" t="n">
        <v>46244</v>
      </c>
      <c r="D102" t="inlineStr">
        <is>
          <t>G00276</t>
        </is>
      </c>
      <c r="E102" t="inlineStr">
        <is>
          <t>REG</t>
        </is>
      </c>
      <c r="F102" t="inlineStr">
        <is>
          <t>Routine</t>
        </is>
      </c>
      <c r="G102" t="inlineStr">
        <is>
          <t>Receipt not registered in Odoo; remittance RA44997 lists 3 invoices | DIRECT CREDIT WATTLEPLANSERVIC RA44997</t>
        </is>
      </c>
      <c r="H102" s="9">
        <f>INDEX('Match Groups'!$L$5:$L$1326,MATCH(D102,'Match Groups'!$A$5:$A$1326,0))</f>
        <v>912.66</v>
      </c>
      <c r="I102" s="9" t="n">
        <v>0</v>
      </c>
      <c r="J102" t="inlineStr">
        <is>
          <t>AR officer</t>
        </is>
      </c>
      <c r="K102" t="inlineStr">
        <is>
          <t>Register the payment against the open invoice(s) listed in Allocations, then reconcile.</t>
        </is>
      </c>
      <c r="L102" t="inlineStr">
        <is>
          <t>J098</t>
        </is>
      </c>
      <c r="M102" t="inlineStr">
        <is>
          <t>Proposed</t>
        </is>
      </c>
      <c r="N102" t="str">
        <f>TEXT(C102,"yyyy-mm")</f>
        <v>2026-08</v>
      </c>
      <c r="O102" s="9">
        <f>ROUND(SUMIFS('Bank Lines'!$E$5:$E$1640,'Bank Lines'!$G$5:$G$1640,D102),2)</f>
        <v>912.66</v>
      </c>
    </row>
    <row r="103">
      <c r="A103" t="inlineStr">
        <is>
          <t>EX099</t>
        </is>
      </c>
      <c r="B103" t="inlineStr">
        <is>
          <t>OPS</t>
        </is>
      </c>
      <c r="C103" s="5" t="n">
        <v>46245</v>
      </c>
      <c r="D103" t="inlineStr">
        <is>
          <t>G00285</t>
        </is>
      </c>
      <c r="E103" t="inlineStr">
        <is>
          <t>REG</t>
        </is>
      </c>
      <c r="F103" t="inlineStr">
        <is>
          <t>Routine</t>
        </is>
      </c>
      <c r="G103" t="inlineStr">
        <is>
          <t>Receipt not registered in Odoo; remittance RA45006 lists 2 invoices | DIRECT CREDIT REDGUM PLAN ADMIN RA45006</t>
        </is>
      </c>
      <c r="H103" s="9">
        <f>INDEX('Match Groups'!$L$5:$L$1326,MATCH(D103,'Match Groups'!$A$5:$A$1326,0))</f>
        <v>543.17</v>
      </c>
      <c r="I103" s="9" t="n">
        <v>0</v>
      </c>
      <c r="J103" t="inlineStr">
        <is>
          <t>AR officer</t>
        </is>
      </c>
      <c r="K103" t="inlineStr">
        <is>
          <t>Register the payment against the open invoice(s) listed in Allocations, then reconcile.</t>
        </is>
      </c>
      <c r="L103" t="inlineStr">
        <is>
          <t>J099</t>
        </is>
      </c>
      <c r="M103" t="inlineStr">
        <is>
          <t>Proposed</t>
        </is>
      </c>
      <c r="N103" t="str">
        <f>TEXT(C103,"yyyy-mm")</f>
        <v>2026-08</v>
      </c>
      <c r="O103" s="9">
        <f>ROUND(SUMIFS('Bank Lines'!$E$5:$E$1640,'Bank Lines'!$G$5:$G$1640,D103),2)</f>
        <v>543.17</v>
      </c>
    </row>
    <row r="104">
      <c r="A104" t="inlineStr">
        <is>
          <t>EX100</t>
        </is>
      </c>
      <c r="B104" t="inlineStr">
        <is>
          <t>OPS</t>
        </is>
      </c>
      <c r="C104" s="5" t="n">
        <v>46248</v>
      </c>
      <c r="D104" t="inlineStr">
        <is>
          <t>G00298</t>
        </is>
      </c>
      <c r="E104" t="inlineStr">
        <is>
          <t>REG</t>
        </is>
      </c>
      <c r="F104" t="inlineStr">
        <is>
          <t>Routine</t>
        </is>
      </c>
      <c r="G104" t="inlineStr">
        <is>
          <t>Receipt not registered in Odoo; remittance RA45019 lists 2 invoices | DIRECT CREDIT BLUEGUM PLAN MGMT RA45019</t>
        </is>
      </c>
      <c r="H104" s="9">
        <f>INDEX('Match Groups'!$L$5:$L$1326,MATCH(D104,'Match Groups'!$A$5:$A$1326,0))</f>
        <v>563.47</v>
      </c>
      <c r="I104" s="9" t="n">
        <v>0</v>
      </c>
      <c r="J104" t="inlineStr">
        <is>
          <t>AR officer</t>
        </is>
      </c>
      <c r="K104" t="inlineStr">
        <is>
          <t>Register the payment against the open invoice(s) listed in Allocations, then reconcile.</t>
        </is>
      </c>
      <c r="L104" t="inlineStr">
        <is>
          <t>J100</t>
        </is>
      </c>
      <c r="M104" t="inlineStr">
        <is>
          <t>Proposed</t>
        </is>
      </c>
      <c r="N104" t="str">
        <f>TEXT(C104,"yyyy-mm")</f>
        <v>2026-08</v>
      </c>
      <c r="O104" s="9">
        <f>ROUND(SUMIFS('Bank Lines'!$E$5:$E$1640,'Bank Lines'!$G$5:$G$1640,D104),2)</f>
        <v>563.47</v>
      </c>
    </row>
    <row r="105">
      <c r="A105" t="inlineStr">
        <is>
          <t>EX101</t>
        </is>
      </c>
      <c r="B105" t="inlineStr">
        <is>
          <t>OPS</t>
        </is>
      </c>
      <c r="C105" s="5" t="n">
        <v>46248</v>
      </c>
      <c r="D105" t="inlineStr">
        <is>
          <t>G00303</t>
        </is>
      </c>
      <c r="E105" t="inlineStr">
        <is>
          <t>REG</t>
        </is>
      </c>
      <c r="F105" t="inlineStr">
        <is>
          <t>Routine</t>
        </is>
      </c>
      <c r="G105" t="inlineStr">
        <is>
          <t>Receipt not registered in Odoo; remittance RA45024 lists 2 invoices | DIRECT CREDIT LYREBIRD PLAN MANA RA45024</t>
        </is>
      </c>
      <c r="H105" s="9">
        <f>INDEX('Match Groups'!$L$5:$L$1326,MATCH(D105,'Match Groups'!$A$5:$A$1326,0))</f>
        <v>320.98</v>
      </c>
      <c r="I105" s="9" t="n">
        <v>0</v>
      </c>
      <c r="J105" t="inlineStr">
        <is>
          <t>AR officer</t>
        </is>
      </c>
      <c r="K105" t="inlineStr">
        <is>
          <t>Register the payment against the open invoice(s) listed in Allocations, then reconcile.</t>
        </is>
      </c>
      <c r="L105" t="inlineStr">
        <is>
          <t>J101</t>
        </is>
      </c>
      <c r="M105" t="inlineStr">
        <is>
          <t>Proposed</t>
        </is>
      </c>
      <c r="N105" t="str">
        <f>TEXT(C105,"yyyy-mm")</f>
        <v>2026-08</v>
      </c>
      <c r="O105" s="9">
        <f>ROUND(SUMIFS('Bank Lines'!$E$5:$E$1640,'Bank Lines'!$G$5:$G$1640,D105),2)</f>
        <v>320.98</v>
      </c>
    </row>
    <row r="106">
      <c r="A106" t="inlineStr">
        <is>
          <t>EX102</t>
        </is>
      </c>
      <c r="B106" t="inlineStr">
        <is>
          <t>OPS</t>
        </is>
      </c>
      <c r="C106" s="5" t="n">
        <v>46251</v>
      </c>
      <c r="D106" t="inlineStr">
        <is>
          <t>G00306</t>
        </is>
      </c>
      <c r="E106" t="inlineStr">
        <is>
          <t>REG</t>
        </is>
      </c>
      <c r="F106" t="inlineStr">
        <is>
          <t>Routine</t>
        </is>
      </c>
      <c r="G106" t="inlineStr">
        <is>
          <t>Receipt not registered in Odoo; remittance RA45027 lists 6 invoices | DIRECT CREDIT IRONBARK PLAN MGMT RA45027</t>
        </is>
      </c>
      <c r="H106" s="9">
        <f>INDEX('Match Groups'!$L$5:$L$1326,MATCH(D106,'Match Groups'!$A$5:$A$1326,0))</f>
        <v>1746.81</v>
      </c>
      <c r="I106" s="9" t="n">
        <v>0</v>
      </c>
      <c r="J106" t="inlineStr">
        <is>
          <t>AR officer</t>
        </is>
      </c>
      <c r="K106" t="inlineStr">
        <is>
          <t>Register the payment against the open invoice(s) listed in Allocations, then reconcile.</t>
        </is>
      </c>
      <c r="L106" t="inlineStr">
        <is>
          <t>J102</t>
        </is>
      </c>
      <c r="M106" t="inlineStr">
        <is>
          <t>Proposed</t>
        </is>
      </c>
      <c r="N106" t="str">
        <f>TEXT(C106,"yyyy-mm")</f>
        <v>2026-08</v>
      </c>
      <c r="O106" s="9">
        <f>ROUND(SUMIFS('Bank Lines'!$E$5:$E$1640,'Bank Lines'!$G$5:$G$1640,D106),2)</f>
        <v>1746.81</v>
      </c>
    </row>
    <row r="107">
      <c r="A107" t="inlineStr">
        <is>
          <t>EX103</t>
        </is>
      </c>
      <c r="B107" t="inlineStr">
        <is>
          <t>OPS</t>
        </is>
      </c>
      <c r="C107" s="5" t="n">
        <v>46252</v>
      </c>
      <c r="D107" t="inlineStr">
        <is>
          <t>G00312</t>
        </is>
      </c>
      <c r="E107" t="inlineStr">
        <is>
          <t>REG</t>
        </is>
      </c>
      <c r="F107" t="inlineStr">
        <is>
          <t>Routine</t>
        </is>
      </c>
      <c r="G107" t="inlineStr">
        <is>
          <t>Receipt not registered in Odoo; remittance RA45033 lists 4 invoices | DIRECT CREDIT REDGUM PLAN ADMIN PTY RA45033</t>
        </is>
      </c>
      <c r="H107" s="9">
        <f>INDEX('Match Groups'!$L$5:$L$1326,MATCH(D107,'Match Groups'!$A$5:$A$1326,0))</f>
        <v>1125.14</v>
      </c>
      <c r="I107" s="9" t="n">
        <v>0</v>
      </c>
      <c r="J107" t="inlineStr">
        <is>
          <t>AR officer</t>
        </is>
      </c>
      <c r="K107" t="inlineStr">
        <is>
          <t>Register the payment against the open invoice(s) listed in Allocations, then reconcile.</t>
        </is>
      </c>
      <c r="L107" t="inlineStr">
        <is>
          <t>J103</t>
        </is>
      </c>
      <c r="M107" t="inlineStr">
        <is>
          <t>Proposed</t>
        </is>
      </c>
      <c r="N107" t="str">
        <f>TEXT(C107,"yyyy-mm")</f>
        <v>2026-08</v>
      </c>
      <c r="O107" s="9">
        <f>ROUND(SUMIFS('Bank Lines'!$E$5:$E$1640,'Bank Lines'!$G$5:$G$1640,D107),2)</f>
        <v>1125.14</v>
      </c>
    </row>
    <row r="108">
      <c r="A108" t="inlineStr">
        <is>
          <t>EX104</t>
        </is>
      </c>
      <c r="B108" t="inlineStr">
        <is>
          <t>OPS</t>
        </is>
      </c>
      <c r="C108" s="5" t="n">
        <v>46255</v>
      </c>
      <c r="D108" t="inlineStr">
        <is>
          <t>G00331</t>
        </is>
      </c>
      <c r="E108" t="inlineStr">
        <is>
          <t>REG</t>
        </is>
      </c>
      <c r="F108" t="inlineStr">
        <is>
          <t>Routine</t>
        </is>
      </c>
      <c r="G108" t="inlineStr">
        <is>
          <t>Receipt not registered in Odoo; remittance RA45052 lists 1 invoices | DIRECT CREDIT BANKSIAPLANCO RA45052</t>
        </is>
      </c>
      <c r="H108" s="9">
        <f>INDEX('Match Groups'!$L$5:$L$1326,MATCH(D108,'Match Groups'!$A$5:$A$1326,0))</f>
        <v>126.99</v>
      </c>
      <c r="I108" s="9" t="n">
        <v>0</v>
      </c>
      <c r="J108" t="inlineStr">
        <is>
          <t>AR officer</t>
        </is>
      </c>
      <c r="K108" t="inlineStr">
        <is>
          <t>Register the payment against the open invoice(s) listed in Allocations, then reconcile.</t>
        </is>
      </c>
      <c r="L108" t="inlineStr">
        <is>
          <t>J104</t>
        </is>
      </c>
      <c r="M108" t="inlineStr">
        <is>
          <t>Proposed</t>
        </is>
      </c>
      <c r="N108" t="str">
        <f>TEXT(C108,"yyyy-mm")</f>
        <v>2026-08</v>
      </c>
      <c r="O108" s="9">
        <f>ROUND(SUMIFS('Bank Lines'!$E$5:$E$1640,'Bank Lines'!$G$5:$G$1640,D108),2)</f>
        <v>126.99</v>
      </c>
    </row>
    <row r="109">
      <c r="A109" t="inlineStr">
        <is>
          <t>EX105</t>
        </is>
      </c>
      <c r="B109" t="inlineStr">
        <is>
          <t>OPS</t>
        </is>
      </c>
      <c r="C109" s="5" t="n">
        <v>46260</v>
      </c>
      <c r="D109" t="inlineStr">
        <is>
          <t>G00346</t>
        </is>
      </c>
      <c r="E109" t="inlineStr">
        <is>
          <t>REG</t>
        </is>
      </c>
      <c r="F109" t="inlineStr">
        <is>
          <t>Routine</t>
        </is>
      </c>
      <c r="G109" t="inlineStr">
        <is>
          <t>Receipt not registered in Odoo; remittance RA45067 lists 10 invoices | DIRECT CREDIT BLUEGUM PLAN MANAGE RA45067</t>
        </is>
      </c>
      <c r="H109" s="9">
        <f>INDEX('Match Groups'!$L$5:$L$1326,MATCH(D109,'Match Groups'!$A$5:$A$1326,0))</f>
        <v>2476.06</v>
      </c>
      <c r="I109" s="9" t="n">
        <v>0</v>
      </c>
      <c r="J109" t="inlineStr">
        <is>
          <t>AR officer</t>
        </is>
      </c>
      <c r="K109" t="inlineStr">
        <is>
          <t>Register the payment against the open invoice(s) listed in Allocations, then reconcile.</t>
        </is>
      </c>
      <c r="L109" t="inlineStr">
        <is>
          <t>J105</t>
        </is>
      </c>
      <c r="M109" t="inlineStr">
        <is>
          <t>Proposed</t>
        </is>
      </c>
      <c r="N109" t="str">
        <f>TEXT(C109,"yyyy-mm")</f>
        <v>2026-08</v>
      </c>
      <c r="O109" s="9">
        <f>ROUND(SUMIFS('Bank Lines'!$E$5:$E$1640,'Bank Lines'!$G$5:$G$1640,D109),2)</f>
        <v>2476.06</v>
      </c>
    </row>
    <row r="110">
      <c r="A110" t="inlineStr">
        <is>
          <t>EX106</t>
        </is>
      </c>
      <c r="B110" t="inlineStr">
        <is>
          <t>OPS</t>
        </is>
      </c>
      <c r="C110" s="5" t="n">
        <v>46268</v>
      </c>
      <c r="D110" t="inlineStr">
        <is>
          <t>G00387</t>
        </is>
      </c>
      <c r="E110" t="inlineStr">
        <is>
          <t>REG</t>
        </is>
      </c>
      <c r="F110" t="inlineStr">
        <is>
          <t>Routine</t>
        </is>
      </c>
      <c r="G110" t="inlineStr">
        <is>
          <t>Receipt not registered in Odoo; remittance RA45108 lists 3 invoices | DIRECT CREDIT TALLOWWOOD PLANS PTY L RA45108</t>
        </is>
      </c>
      <c r="H110" s="9">
        <f>INDEX('Match Groups'!$L$5:$L$1326,MATCH(D110,'Match Groups'!$A$5:$A$1326,0))</f>
        <v>476.17</v>
      </c>
      <c r="I110" s="9" t="n">
        <v>0</v>
      </c>
      <c r="J110" t="inlineStr">
        <is>
          <t>AR officer</t>
        </is>
      </c>
      <c r="K110" t="inlineStr">
        <is>
          <t>Register the payment against the open invoice(s) listed in Allocations, then reconcile.</t>
        </is>
      </c>
      <c r="L110" t="inlineStr">
        <is>
          <t>J106</t>
        </is>
      </c>
      <c r="M110" t="inlineStr">
        <is>
          <t>Proposed</t>
        </is>
      </c>
      <c r="N110" t="str">
        <f>TEXT(C110,"yyyy-mm")</f>
        <v>2026-09</v>
      </c>
      <c r="O110" s="9">
        <f>ROUND(SUMIFS('Bank Lines'!$E$5:$E$1640,'Bank Lines'!$G$5:$G$1640,D110),2)</f>
        <v>476.17</v>
      </c>
    </row>
    <row r="111">
      <c r="A111" t="inlineStr">
        <is>
          <t>EX107</t>
        </is>
      </c>
      <c r="B111" t="inlineStr">
        <is>
          <t>OPS</t>
        </is>
      </c>
      <c r="C111" s="5" t="n">
        <v>46272</v>
      </c>
      <c r="D111" t="inlineStr">
        <is>
          <t>G00403</t>
        </is>
      </c>
      <c r="E111" t="inlineStr">
        <is>
          <t>REG</t>
        </is>
      </c>
      <c r="F111" t="inlineStr">
        <is>
          <t>Routine</t>
        </is>
      </c>
      <c r="G111" t="inlineStr">
        <is>
          <t>Receipt not registered in Odoo; remittance RA45124 lists 2 invoices | DIRECT CREDIT MALLEE PLAN SERVICES RA45124</t>
        </is>
      </c>
      <c r="H111" s="9">
        <f>INDEX('Match Groups'!$L$5:$L$1326,MATCH(D111,'Match Groups'!$A$5:$A$1326,0))</f>
        <v>300.68</v>
      </c>
      <c r="I111" s="9" t="n">
        <v>0</v>
      </c>
      <c r="J111" t="inlineStr">
        <is>
          <t>AR officer</t>
        </is>
      </c>
      <c r="K111" t="inlineStr">
        <is>
          <t>Register the payment against the open invoice(s) listed in Allocations, then reconcile.</t>
        </is>
      </c>
      <c r="L111" t="inlineStr">
        <is>
          <t>J107</t>
        </is>
      </c>
      <c r="M111" t="inlineStr">
        <is>
          <t>Proposed</t>
        </is>
      </c>
      <c r="N111" t="str">
        <f>TEXT(C111,"yyyy-mm")</f>
        <v>2026-09</v>
      </c>
      <c r="O111" s="9">
        <f>ROUND(SUMIFS('Bank Lines'!$E$5:$E$1640,'Bank Lines'!$G$5:$G$1640,D111),2)</f>
        <v>300.68</v>
      </c>
    </row>
    <row r="112">
      <c r="A112" t="inlineStr">
        <is>
          <t>EX108</t>
        </is>
      </c>
      <c r="B112" t="inlineStr">
        <is>
          <t>OPS</t>
        </is>
      </c>
      <c r="C112" s="5" t="n">
        <v>46273</v>
      </c>
      <c r="D112" t="inlineStr">
        <is>
          <t>G00406</t>
        </is>
      </c>
      <c r="E112" t="inlineStr">
        <is>
          <t>REG</t>
        </is>
      </c>
      <c r="F112" t="inlineStr">
        <is>
          <t>Routine</t>
        </is>
      </c>
      <c r="G112" t="inlineStr">
        <is>
          <t>Receipt not registered in Odoo; remittance RA45127 lists 3 invoices | DIRECT CREDIT KOOKABURRAPLANSU RA45127</t>
        </is>
      </c>
      <c r="H112" s="9">
        <f>INDEX('Match Groups'!$L$5:$L$1326,MATCH(D112,'Match Groups'!$A$5:$A$1326,0))</f>
        <v>1009.65</v>
      </c>
      <c r="I112" s="9" t="n">
        <v>0</v>
      </c>
      <c r="J112" t="inlineStr">
        <is>
          <t>AR officer</t>
        </is>
      </c>
      <c r="K112" t="inlineStr">
        <is>
          <t>Register the payment against the open invoice(s) listed in Allocations, then reconcile.</t>
        </is>
      </c>
      <c r="L112" t="inlineStr">
        <is>
          <t>J108</t>
        </is>
      </c>
      <c r="M112" t="inlineStr">
        <is>
          <t>Proposed</t>
        </is>
      </c>
      <c r="N112" t="str">
        <f>TEXT(C112,"yyyy-mm")</f>
        <v>2026-09</v>
      </c>
      <c r="O112" s="9">
        <f>ROUND(SUMIFS('Bank Lines'!$E$5:$E$1640,'Bank Lines'!$G$5:$G$1640,D112),2)</f>
        <v>1009.65</v>
      </c>
    </row>
    <row r="113">
      <c r="A113" t="inlineStr">
        <is>
          <t>EX109</t>
        </is>
      </c>
      <c r="B113" t="inlineStr">
        <is>
          <t>OPS</t>
        </is>
      </c>
      <c r="C113" s="5" t="n">
        <v>46274</v>
      </c>
      <c r="D113" t="inlineStr">
        <is>
          <t>G00410</t>
        </is>
      </c>
      <c r="E113" t="inlineStr">
        <is>
          <t>REG</t>
        </is>
      </c>
      <c r="F113" t="inlineStr">
        <is>
          <t>Routine</t>
        </is>
      </c>
      <c r="G113" t="inlineStr">
        <is>
          <t>Receipt not registered in Odoo; remittance RA45131 lists 6 invoices | DIRECT CREDIT BANKSIA PLAN CO PTY LT RA45131</t>
        </is>
      </c>
      <c r="H113" s="9">
        <f>INDEX('Match Groups'!$L$5:$L$1326,MATCH(D113,'Match Groups'!$A$5:$A$1326,0))</f>
        <v>1892.32</v>
      </c>
      <c r="I113" s="9" t="n">
        <v>0</v>
      </c>
      <c r="J113" t="inlineStr">
        <is>
          <t>AR officer</t>
        </is>
      </c>
      <c r="K113" t="inlineStr">
        <is>
          <t>Register the payment against the open invoice(s) listed in Allocations, then reconcile.</t>
        </is>
      </c>
      <c r="L113" t="inlineStr">
        <is>
          <t>J109</t>
        </is>
      </c>
      <c r="M113" t="inlineStr">
        <is>
          <t>Proposed</t>
        </is>
      </c>
      <c r="N113" t="str">
        <f>TEXT(C113,"yyyy-mm")</f>
        <v>2026-09</v>
      </c>
      <c r="O113" s="9">
        <f>ROUND(SUMIFS('Bank Lines'!$E$5:$E$1640,'Bank Lines'!$G$5:$G$1640,D113),2)</f>
        <v>1892.32</v>
      </c>
    </row>
    <row r="114">
      <c r="A114" t="inlineStr">
        <is>
          <t>EX110</t>
        </is>
      </c>
      <c r="B114" t="inlineStr">
        <is>
          <t>OPS</t>
        </is>
      </c>
      <c r="C114" s="5" t="n">
        <v>46275</v>
      </c>
      <c r="D114" t="inlineStr">
        <is>
          <t>G00416</t>
        </is>
      </c>
      <c r="E114" t="inlineStr">
        <is>
          <t>REG</t>
        </is>
      </c>
      <c r="F114" t="inlineStr">
        <is>
          <t>Routine</t>
        </is>
      </c>
      <c r="G114" t="inlineStr">
        <is>
          <t>Receipt not registered in Odoo; remittance RA45137 lists 2 invoices | DIRECT CREDIT BANKSIA PLAN CO PTY LT RA45137</t>
        </is>
      </c>
      <c r="H114" s="9">
        <f>INDEX('Match Groups'!$L$5:$L$1326,MATCH(D114,'Match Groups'!$A$5:$A$1326,0))</f>
        <v>670.17</v>
      </c>
      <c r="I114" s="9" t="n">
        <v>0</v>
      </c>
      <c r="J114" t="inlineStr">
        <is>
          <t>AR officer</t>
        </is>
      </c>
      <c r="K114" t="inlineStr">
        <is>
          <t>Register the payment against the open invoice(s) listed in Allocations, then reconcile.</t>
        </is>
      </c>
      <c r="L114" t="inlineStr">
        <is>
          <t>J110</t>
        </is>
      </c>
      <c r="M114" t="inlineStr">
        <is>
          <t>Proposed</t>
        </is>
      </c>
      <c r="N114" t="str">
        <f>TEXT(C114,"yyyy-mm")</f>
        <v>2026-09</v>
      </c>
      <c r="O114" s="9">
        <f>ROUND(SUMIFS('Bank Lines'!$E$5:$E$1640,'Bank Lines'!$G$5:$G$1640,D114),2)</f>
        <v>670.17</v>
      </c>
    </row>
    <row r="115">
      <c r="A115" t="inlineStr">
        <is>
          <t>EX111</t>
        </is>
      </c>
      <c r="B115" t="inlineStr">
        <is>
          <t>OPS</t>
        </is>
      </c>
      <c r="C115" s="5" t="n">
        <v>46276</v>
      </c>
      <c r="D115" t="inlineStr">
        <is>
          <t>G00421</t>
        </is>
      </c>
      <c r="E115" t="inlineStr">
        <is>
          <t>REG</t>
        </is>
      </c>
      <c r="F115" t="inlineStr">
        <is>
          <t>Routine</t>
        </is>
      </c>
      <c r="G115" t="inlineStr">
        <is>
          <t>Receipt not registered in Odoo; remittance RA45142 lists 12 invoices | DIRECT CREDIT SOUTHERN CROSS PLAN RA45142</t>
        </is>
      </c>
      <c r="H115" s="9">
        <f>INDEX('Match Groups'!$L$5:$L$1326,MATCH(D115,'Match Groups'!$A$5:$A$1326,0))</f>
        <v>2767.94</v>
      </c>
      <c r="I115" s="9" t="n">
        <v>0</v>
      </c>
      <c r="J115" t="inlineStr">
        <is>
          <t>AR officer</t>
        </is>
      </c>
      <c r="K115" t="inlineStr">
        <is>
          <t>Register the payment against the open invoice(s) listed in Allocations, then reconcile.</t>
        </is>
      </c>
      <c r="L115" t="inlineStr">
        <is>
          <t>J111</t>
        </is>
      </c>
      <c r="M115" t="inlineStr">
        <is>
          <t>Proposed</t>
        </is>
      </c>
      <c r="N115" t="str">
        <f>TEXT(C115,"yyyy-mm")</f>
        <v>2026-09</v>
      </c>
      <c r="O115" s="9">
        <f>ROUND(SUMIFS('Bank Lines'!$E$5:$E$1640,'Bank Lines'!$G$5:$G$1640,D115),2)</f>
        <v>2767.94</v>
      </c>
    </row>
    <row r="116">
      <c r="A116" t="inlineStr">
        <is>
          <t>EX112</t>
        </is>
      </c>
      <c r="B116" t="inlineStr">
        <is>
          <t>OPS</t>
        </is>
      </c>
      <c r="C116" s="5" t="n">
        <v>46280</v>
      </c>
      <c r="D116" t="inlineStr">
        <is>
          <t>G00429</t>
        </is>
      </c>
      <c r="E116" t="inlineStr">
        <is>
          <t>REG</t>
        </is>
      </c>
      <c r="F116" t="inlineStr">
        <is>
          <t>Routine</t>
        </is>
      </c>
      <c r="G116" t="inlineStr">
        <is>
          <t>Receipt not registered in Odoo; remittance RA45150 lists 2 invoices | DIRECT CREDIT BLUEGUM PM PTY LTD RA45150</t>
        </is>
      </c>
      <c r="H116" s="9">
        <f>INDEX('Match Groups'!$L$5:$L$1326,MATCH(D116,'Match Groups'!$A$5:$A$1326,0))</f>
        <v>611.97</v>
      </c>
      <c r="I116" s="9" t="n">
        <v>0</v>
      </c>
      <c r="J116" t="inlineStr">
        <is>
          <t>AR officer</t>
        </is>
      </c>
      <c r="K116" t="inlineStr">
        <is>
          <t>Register the payment against the open invoice(s) listed in Allocations, then reconcile.</t>
        </is>
      </c>
      <c r="L116" t="inlineStr">
        <is>
          <t>J112</t>
        </is>
      </c>
      <c r="M116" t="inlineStr">
        <is>
          <t>Proposed</t>
        </is>
      </c>
      <c r="N116" t="str">
        <f>TEXT(C116,"yyyy-mm")</f>
        <v>2026-09</v>
      </c>
      <c r="O116" s="9">
        <f>ROUND(SUMIFS('Bank Lines'!$E$5:$E$1640,'Bank Lines'!$G$5:$G$1640,D116),2)</f>
        <v>611.97</v>
      </c>
    </row>
    <row r="117">
      <c r="A117" t="inlineStr">
        <is>
          <t>EX113</t>
        </is>
      </c>
      <c r="B117" t="inlineStr">
        <is>
          <t>OPS</t>
        </is>
      </c>
      <c r="C117" s="5" t="n">
        <v>46280</v>
      </c>
      <c r="D117" t="inlineStr">
        <is>
          <t>G00436</t>
        </is>
      </c>
      <c r="E117" t="inlineStr">
        <is>
          <t>REG</t>
        </is>
      </c>
      <c r="F117" t="inlineStr">
        <is>
          <t>Routine</t>
        </is>
      </c>
      <c r="G117" t="inlineStr">
        <is>
          <t>Receipt not registered in Odoo; remittance RA45157 lists 3 invoices | DIRECT CREDIT TALLOWWOOD PLANS PTY L RA45157</t>
        </is>
      </c>
      <c r="H117" s="9">
        <f>INDEX('Match Groups'!$L$5:$L$1326,MATCH(D117,'Match Groups'!$A$5:$A$1326,0))</f>
        <v>834.16</v>
      </c>
      <c r="I117" s="9" t="n">
        <v>0</v>
      </c>
      <c r="J117" t="inlineStr">
        <is>
          <t>AR officer</t>
        </is>
      </c>
      <c r="K117" t="inlineStr">
        <is>
          <t>Register the payment against the open invoice(s) listed in Allocations, then reconcile.</t>
        </is>
      </c>
      <c r="L117" t="inlineStr">
        <is>
          <t>J113</t>
        </is>
      </c>
      <c r="M117" t="inlineStr">
        <is>
          <t>Proposed</t>
        </is>
      </c>
      <c r="N117" t="str">
        <f>TEXT(C117,"yyyy-mm")</f>
        <v>2026-09</v>
      </c>
      <c r="O117" s="9">
        <f>ROUND(SUMIFS('Bank Lines'!$E$5:$E$1640,'Bank Lines'!$G$5:$G$1640,D117),2)</f>
        <v>834.16</v>
      </c>
    </row>
    <row r="118">
      <c r="A118" t="inlineStr">
        <is>
          <t>EX114</t>
        </is>
      </c>
      <c r="B118" t="inlineStr">
        <is>
          <t>OPS</t>
        </is>
      </c>
      <c r="C118" s="5" t="n">
        <v>46283</v>
      </c>
      <c r="D118" t="inlineStr">
        <is>
          <t>G00451</t>
        </is>
      </c>
      <c r="E118" t="inlineStr">
        <is>
          <t>REG</t>
        </is>
      </c>
      <c r="F118" t="inlineStr">
        <is>
          <t>Routine</t>
        </is>
      </c>
      <c r="G118" t="inlineStr">
        <is>
          <t>Receipt not registered in Odoo; remittance RA45172 lists 2 invoices | DIRECT CREDIT CLEARPATH NDIS PLANS P RA45172</t>
        </is>
      </c>
      <c r="H118" s="9">
        <f>INDEX('Match Groups'!$L$5:$L$1326,MATCH(D118,'Match Groups'!$A$5:$A$1326,0))</f>
        <v>282.18</v>
      </c>
      <c r="I118" s="9" t="n">
        <v>0</v>
      </c>
      <c r="J118" t="inlineStr">
        <is>
          <t>AR officer</t>
        </is>
      </c>
      <c r="K118" t="inlineStr">
        <is>
          <t>Register the payment against the open invoice(s) listed in Allocations, then reconcile.</t>
        </is>
      </c>
      <c r="L118" t="inlineStr">
        <is>
          <t>J114</t>
        </is>
      </c>
      <c r="M118" t="inlineStr">
        <is>
          <t>Proposed</t>
        </is>
      </c>
      <c r="N118" t="str">
        <f>TEXT(C118,"yyyy-mm")</f>
        <v>2026-09</v>
      </c>
      <c r="O118" s="9">
        <f>ROUND(SUMIFS('Bank Lines'!$E$5:$E$1640,'Bank Lines'!$G$5:$G$1640,D118),2)</f>
        <v>282.18</v>
      </c>
    </row>
    <row r="119">
      <c r="A119" t="inlineStr">
        <is>
          <t>EX115</t>
        </is>
      </c>
      <c r="B119" t="inlineStr">
        <is>
          <t>OPS</t>
        </is>
      </c>
      <c r="C119" s="5" t="n">
        <v>46283</v>
      </c>
      <c r="D119" t="inlineStr">
        <is>
          <t>G00452</t>
        </is>
      </c>
      <c r="E119" t="inlineStr">
        <is>
          <t>REG</t>
        </is>
      </c>
      <c r="F119" t="inlineStr">
        <is>
          <t>Routine</t>
        </is>
      </c>
      <c r="G119" t="inlineStr">
        <is>
          <t>Receipt not registered in Odoo; remittance RA45173 lists 7 invoices | DIRECT CREDIT WATTLE PLAN SERVIC RA45173</t>
        </is>
      </c>
      <c r="H119" s="9">
        <f>INDEX('Match Groups'!$L$5:$L$1326,MATCH(D119,'Match Groups'!$A$5:$A$1326,0))</f>
        <v>1922.29</v>
      </c>
      <c r="I119" s="9" t="n">
        <v>0</v>
      </c>
      <c r="J119" t="inlineStr">
        <is>
          <t>AR officer</t>
        </is>
      </c>
      <c r="K119" t="inlineStr">
        <is>
          <t>Register the payment against the open invoice(s) listed in Allocations, then reconcile.</t>
        </is>
      </c>
      <c r="L119" t="inlineStr">
        <is>
          <t>J115</t>
        </is>
      </c>
      <c r="M119" t="inlineStr">
        <is>
          <t>Proposed</t>
        </is>
      </c>
      <c r="N119" t="str">
        <f>TEXT(C119,"yyyy-mm")</f>
        <v>2026-09</v>
      </c>
      <c r="O119" s="9">
        <f>ROUND(SUMIFS('Bank Lines'!$E$5:$E$1640,'Bank Lines'!$G$5:$G$1640,D119),2)</f>
        <v>1922.29</v>
      </c>
    </row>
    <row r="120">
      <c r="A120" t="inlineStr">
        <is>
          <t>EX116</t>
        </is>
      </c>
      <c r="B120" t="inlineStr">
        <is>
          <t>OPS</t>
        </is>
      </c>
      <c r="C120" s="5" t="n">
        <v>46288</v>
      </c>
      <c r="D120" t="inlineStr">
        <is>
          <t>G00473</t>
        </is>
      </c>
      <c r="E120" t="inlineStr">
        <is>
          <t>REG</t>
        </is>
      </c>
      <c r="F120" t="inlineStr">
        <is>
          <t>Routine</t>
        </is>
      </c>
      <c r="G120" t="inlineStr">
        <is>
          <t>Receipt not registered in Odoo; remittance RA45194 lists 10 invoices | DIRECT CREDIT KOOKABURRA PLAN SUPPOR RA45194</t>
        </is>
      </c>
      <c r="H120" s="9">
        <f>INDEX('Match Groups'!$L$5:$L$1326,MATCH(D120,'Match Groups'!$A$5:$A$1326,0))</f>
        <v>2427.56</v>
      </c>
      <c r="I120" s="9" t="n">
        <v>0</v>
      </c>
      <c r="J120" t="inlineStr">
        <is>
          <t>AR officer</t>
        </is>
      </c>
      <c r="K120" t="inlineStr">
        <is>
          <t>Register the payment against the open invoice(s) listed in Allocations, then reconcile.</t>
        </is>
      </c>
      <c r="L120" t="inlineStr">
        <is>
          <t>J116</t>
        </is>
      </c>
      <c r="M120" t="inlineStr">
        <is>
          <t>Proposed</t>
        </is>
      </c>
      <c r="N120" t="str">
        <f>TEXT(C120,"yyyy-mm")</f>
        <v>2026-09</v>
      </c>
      <c r="O120" s="9">
        <f>ROUND(SUMIFS('Bank Lines'!$E$5:$E$1640,'Bank Lines'!$G$5:$G$1640,D120),2)</f>
        <v>2427.56</v>
      </c>
    </row>
    <row r="121">
      <c r="A121" t="inlineStr">
        <is>
          <t>EX117</t>
        </is>
      </c>
      <c r="B121" t="inlineStr">
        <is>
          <t>OPS</t>
        </is>
      </c>
      <c r="C121" s="5" t="n">
        <v>46288</v>
      </c>
      <c r="D121" t="inlineStr">
        <is>
          <t>G00475</t>
        </is>
      </c>
      <c r="E121" t="inlineStr">
        <is>
          <t>REG</t>
        </is>
      </c>
      <c r="F121" t="inlineStr">
        <is>
          <t>Routine</t>
        </is>
      </c>
      <c r="G121" t="inlineStr">
        <is>
          <t>Receipt not registered in Odoo; remittance RA45196 lists 3 invoices | DIRECT CREDIT TALLOWWOOD PLANS RA45196</t>
        </is>
      </c>
      <c r="H121" s="9">
        <f>INDEX('Match Groups'!$L$5:$L$1326,MATCH(D121,'Match Groups'!$A$5:$A$1326,0))</f>
        <v>854.45</v>
      </c>
      <c r="I121" s="9" t="n">
        <v>0</v>
      </c>
      <c r="J121" t="inlineStr">
        <is>
          <t>AR officer</t>
        </is>
      </c>
      <c r="K121" t="inlineStr">
        <is>
          <t>Register the payment against the open invoice(s) listed in Allocations, then reconcile.</t>
        </is>
      </c>
      <c r="L121" t="inlineStr">
        <is>
          <t>J117</t>
        </is>
      </c>
      <c r="M121" t="inlineStr">
        <is>
          <t>Proposed</t>
        </is>
      </c>
      <c r="N121" t="str">
        <f>TEXT(C121,"yyyy-mm")</f>
        <v>2026-09</v>
      </c>
      <c r="O121" s="9">
        <f>ROUND(SUMIFS('Bank Lines'!$E$5:$E$1640,'Bank Lines'!$G$5:$G$1640,D121),2)</f>
        <v>854.45</v>
      </c>
    </row>
    <row r="122">
      <c r="A122" t="inlineStr">
        <is>
          <t>EX118</t>
        </is>
      </c>
      <c r="B122" t="inlineStr">
        <is>
          <t>OPS</t>
        </is>
      </c>
      <c r="C122" s="5" t="n">
        <v>46293</v>
      </c>
      <c r="D122" t="inlineStr">
        <is>
          <t>G00488</t>
        </is>
      </c>
      <c r="E122" t="inlineStr">
        <is>
          <t>REG</t>
        </is>
      </c>
      <c r="F122" t="inlineStr">
        <is>
          <t>Routine</t>
        </is>
      </c>
      <c r="G122" t="inlineStr">
        <is>
          <t>Receipt not registered in Odoo; remittance RA45209 lists 12 invoices | DIRECT CREDIT RIVERBEND PLAN PAR RA45209</t>
        </is>
      </c>
      <c r="H122" s="9">
        <f>INDEX('Match Groups'!$L$5:$L$1326,MATCH(D122,'Match Groups'!$A$5:$A$1326,0))</f>
        <v>2261.77</v>
      </c>
      <c r="I122" s="9" t="n">
        <v>0</v>
      </c>
      <c r="J122" t="inlineStr">
        <is>
          <t>AR officer</t>
        </is>
      </c>
      <c r="K122" t="inlineStr">
        <is>
          <t>Register the payment against the open invoice(s) listed in Allocations, then reconcile.</t>
        </is>
      </c>
      <c r="L122" t="inlineStr">
        <is>
          <t>J118</t>
        </is>
      </c>
      <c r="M122" t="inlineStr">
        <is>
          <t>Proposed</t>
        </is>
      </c>
      <c r="N122" t="str">
        <f>TEXT(C122,"yyyy-mm")</f>
        <v>2026-09</v>
      </c>
      <c r="O122" s="9">
        <f>ROUND(SUMIFS('Bank Lines'!$E$5:$E$1640,'Bank Lines'!$G$5:$G$1640,D122),2)</f>
        <v>2261.77</v>
      </c>
    </row>
    <row r="123">
      <c r="A123" t="inlineStr">
        <is>
          <t>EX119</t>
        </is>
      </c>
      <c r="B123" t="inlineStr">
        <is>
          <t>OPS</t>
        </is>
      </c>
      <c r="C123" s="5" t="n">
        <v>46293</v>
      </c>
      <c r="D123" t="inlineStr">
        <is>
          <t>G00489</t>
        </is>
      </c>
      <c r="E123" t="inlineStr">
        <is>
          <t>REG</t>
        </is>
      </c>
      <c r="F123" t="inlineStr">
        <is>
          <t>Routine</t>
        </is>
      </c>
      <c r="G123" t="inlineStr">
        <is>
          <t>Receipt not registered in Odoo; remittance RA45210 lists 8 invoices | DIRECT CREDIT BANKSIA PLAN CO RA45210</t>
        </is>
      </c>
      <c r="H123" s="9">
        <f>INDEX('Match Groups'!$L$5:$L$1326,MATCH(D123,'Match Groups'!$A$5:$A$1326,0))</f>
        <v>2037.8</v>
      </c>
      <c r="I123" s="9" t="n">
        <v>0</v>
      </c>
      <c r="J123" t="inlineStr">
        <is>
          <t>AR officer</t>
        </is>
      </c>
      <c r="K123" t="inlineStr">
        <is>
          <t>Register the payment against the open invoice(s) listed in Allocations, then reconcile.</t>
        </is>
      </c>
      <c r="L123" t="inlineStr">
        <is>
          <t>J119</t>
        </is>
      </c>
      <c r="M123" t="inlineStr">
        <is>
          <t>Proposed</t>
        </is>
      </c>
      <c r="N123" t="str">
        <f>TEXT(C123,"yyyy-mm")</f>
        <v>2026-09</v>
      </c>
      <c r="O123" s="9">
        <f>ROUND(SUMIFS('Bank Lines'!$E$5:$E$1640,'Bank Lines'!$G$5:$G$1640,D123),2)</f>
        <v>2037.8</v>
      </c>
    </row>
    <row r="124">
      <c r="A124" t="inlineStr">
        <is>
          <t>EX120</t>
        </is>
      </c>
      <c r="B124" t="inlineStr">
        <is>
          <t>OPS</t>
        </is>
      </c>
      <c r="C124" s="5" t="n">
        <v>46213</v>
      </c>
      <c r="D124" t="inlineStr">
        <is>
          <t>G00509</t>
        </is>
      </c>
      <c r="E124" t="inlineStr">
        <is>
          <t>FXR</t>
        </is>
      </c>
      <c r="F124" t="inlineStr">
        <is>
          <t>Routine</t>
        </is>
      </c>
      <c r="G124" t="inlineStr">
        <is>
          <t>FX conversion FX0710: bank rate vs Odoo rate, difference -14.55 | FX CONVERSION AUD TO USD FX0710</t>
        </is>
      </c>
      <c r="H124" s="9">
        <f>INDEX('Match Groups'!$L$5:$L$1326,MATCH(D124,'Match Groups'!$A$5:$A$1326,0))</f>
        <v>-14.55</v>
      </c>
      <c r="I124" s="9" t="n">
        <v>0</v>
      </c>
      <c r="J124" t="inlineStr">
        <is>
          <t>Bookkeeper</t>
        </is>
      </c>
      <c r="K124" t="inlineStr">
        <is>
          <t>Post the difference between the bank's conversion rate and the Odoo rate to FX gains/losses.</t>
        </is>
      </c>
      <c r="L124" t="inlineStr">
        <is>
          <t>J120</t>
        </is>
      </c>
      <c r="M124" t="inlineStr">
        <is>
          <t>Proposed</t>
        </is>
      </c>
      <c r="N124" t="str">
        <f>TEXT(C124,"yyyy-mm")</f>
        <v>2026-07</v>
      </c>
      <c r="O124" s="9">
        <f>ROUND(SUMIFS('Bank Lines'!$E$5:$E$1640,'Bank Lines'!$G$5:$G$1640,D124),2)</f>
        <v>-13684.05</v>
      </c>
    </row>
    <row r="125">
      <c r="A125" t="inlineStr">
        <is>
          <t>EX121</t>
        </is>
      </c>
      <c r="B125" t="inlineStr">
        <is>
          <t>OPS</t>
        </is>
      </c>
      <c r="C125" s="5" t="n">
        <v>46244</v>
      </c>
      <c r="D125" t="inlineStr">
        <is>
          <t>G00521</t>
        </is>
      </c>
      <c r="E125" t="inlineStr">
        <is>
          <t>FXR</t>
        </is>
      </c>
      <c r="F125" t="inlineStr">
        <is>
          <t>Routine</t>
        </is>
      </c>
      <c r="G125" t="inlineStr">
        <is>
          <t>FX conversion FX0810: bank rate vs Odoo rate, difference -14.79 | FX CONVERSION AUD TO USD FX0810</t>
        </is>
      </c>
      <c r="H125" s="9">
        <f>INDEX('Match Groups'!$L$5:$L$1326,MATCH(D125,'Match Groups'!$A$5:$A$1326,0))</f>
        <v>-14.79</v>
      </c>
      <c r="I125" s="9" t="n">
        <v>0</v>
      </c>
      <c r="J125" t="inlineStr">
        <is>
          <t>Bookkeeper</t>
        </is>
      </c>
      <c r="K125" t="inlineStr">
        <is>
          <t>Post the difference between the bank's conversion rate and the Odoo rate to FX gains/losses.</t>
        </is>
      </c>
      <c r="L125" t="inlineStr">
        <is>
          <t>J121</t>
        </is>
      </c>
      <c r="M125" t="inlineStr">
        <is>
          <t>Proposed</t>
        </is>
      </c>
      <c r="N125" t="str">
        <f>TEXT(C125,"yyyy-mm")</f>
        <v>2026-08</v>
      </c>
      <c r="O125" s="9">
        <f>ROUND(SUMIFS('Bank Lines'!$E$5:$E$1640,'Bank Lines'!$G$5:$G$1640,D125),2)</f>
        <v>-13795.22</v>
      </c>
    </row>
    <row r="126">
      <c r="A126" t="inlineStr">
        <is>
          <t>EX122</t>
        </is>
      </c>
      <c r="B126" t="inlineStr">
        <is>
          <t>OPS</t>
        </is>
      </c>
      <c r="C126" s="5" t="n">
        <v>46275</v>
      </c>
      <c r="D126" t="inlineStr">
        <is>
          <t>G00539</t>
        </is>
      </c>
      <c r="E126" t="inlineStr">
        <is>
          <t>FXR</t>
        </is>
      </c>
      <c r="F126" t="inlineStr">
        <is>
          <t>Routine</t>
        </is>
      </c>
      <c r="G126" t="inlineStr">
        <is>
          <t>FX conversion FX0910: bank rate vs Odoo rate, difference -14.42 | FX CONVERSION AUD TO USD FX0910</t>
        </is>
      </c>
      <c r="H126" s="9">
        <f>INDEX('Match Groups'!$L$5:$L$1326,MATCH(D126,'Match Groups'!$A$5:$A$1326,0))</f>
        <v>-14.42</v>
      </c>
      <c r="I126" s="9" t="n">
        <v>0</v>
      </c>
      <c r="J126" t="inlineStr">
        <is>
          <t>Bookkeeper</t>
        </is>
      </c>
      <c r="K126" t="inlineStr">
        <is>
          <t>Post the difference between the bank's conversion rate and the Odoo rate to FX gains/losses.</t>
        </is>
      </c>
      <c r="L126" t="inlineStr">
        <is>
          <t>J122</t>
        </is>
      </c>
      <c r="M126" t="inlineStr">
        <is>
          <t>Proposed</t>
        </is>
      </c>
      <c r="N126" t="str">
        <f>TEXT(C126,"yyyy-mm")</f>
        <v>2026-09</v>
      </c>
      <c r="O126" s="9">
        <f>ROUND(SUMIFS('Bank Lines'!$E$5:$E$1640,'Bank Lines'!$G$5:$G$1640,D126),2)</f>
        <v>-13626.04</v>
      </c>
    </row>
    <row r="127">
      <c r="A127" t="inlineStr">
        <is>
          <t>EX123</t>
        </is>
      </c>
      <c r="B127" t="inlineStr">
        <is>
          <t>MER</t>
        </is>
      </c>
      <c r="C127" s="5" t="n">
        <v>46241</v>
      </c>
      <c r="D127" t="inlineStr">
        <is>
          <t>G00703</t>
        </is>
      </c>
      <c r="E127" t="inlineStr">
        <is>
          <t>REFUND-GAP</t>
        </is>
      </c>
      <c r="F127" t="inlineStr">
        <is>
          <t>Decision</t>
        </is>
      </c>
      <c r="G127" t="inlineStr">
        <is>
          <t>Settlement -120.00 lower than POS takings: terminal refund not in POS export | SETTLEMENT T403 060826</t>
        </is>
      </c>
      <c r="H127" s="9">
        <f>INDEX('Match Groups'!$L$5:$L$1326,MATCH(D127,'Match Groups'!$A$5:$A$1326,0))</f>
        <v>-120</v>
      </c>
      <c r="I127" s="9" t="n">
        <v>0</v>
      </c>
      <c r="J127" t="inlineStr">
        <is>
          <t>Practice manager</t>
        </is>
      </c>
      <c r="K127" t="inlineStr">
        <is>
          <t>Card refund processed on the terminal but not in the POS export. Confirm it was authorised, then post.</t>
        </is>
      </c>
      <c r="L127" t="inlineStr">
        <is>
          <t>J123</t>
        </is>
      </c>
      <c r="M127" t="inlineStr">
        <is>
          <t>Awaiting decision</t>
        </is>
      </c>
      <c r="N127" t="str">
        <f>TEXT(C127,"yyyy-mm")</f>
        <v>2026-08</v>
      </c>
      <c r="O127" s="9">
        <f>ROUND(SUMIFS('Bank Lines'!$E$5:$E$1640,'Bank Lines'!$G$5:$G$1640,D127),2)</f>
        <v>2958.33</v>
      </c>
    </row>
    <row r="128">
      <c r="A128" t="inlineStr">
        <is>
          <t>EX124</t>
        </is>
      </c>
      <c r="B128" t="inlineStr">
        <is>
          <t>MER</t>
        </is>
      </c>
      <c r="C128" s="5" t="n">
        <v>46281</v>
      </c>
      <c r="D128" t="inlineStr">
        <is>
          <t>G00845</t>
        </is>
      </c>
      <c r="E128" t="inlineStr">
        <is>
          <t>REFUND-GAP</t>
        </is>
      </c>
      <c r="F128" t="inlineStr">
        <is>
          <t>Decision</t>
        </is>
      </c>
      <c r="G128" t="inlineStr">
        <is>
          <t>Settlement -120.00 lower than POS takings: terminal refund not in POS export | SETTLEMENT T403 150926</t>
        </is>
      </c>
      <c r="H128" s="9">
        <f>INDEX('Match Groups'!$L$5:$L$1326,MATCH(D128,'Match Groups'!$A$5:$A$1326,0))</f>
        <v>-120</v>
      </c>
      <c r="I128" s="9" t="n">
        <v>0</v>
      </c>
      <c r="J128" t="inlineStr">
        <is>
          <t>Practice manager</t>
        </is>
      </c>
      <c r="K128" t="inlineStr">
        <is>
          <t>Card refund processed on the terminal but not in the POS export. Confirm it was authorised, then post.</t>
        </is>
      </c>
      <c r="L128" t="inlineStr">
        <is>
          <t>J124</t>
        </is>
      </c>
      <c r="M128" t="inlineStr">
        <is>
          <t>Awaiting decision</t>
        </is>
      </c>
      <c r="N128" t="str">
        <f>TEXT(C128,"yyyy-mm")</f>
        <v>2026-09</v>
      </c>
      <c r="O128" s="9">
        <f>ROUND(SUMIFS('Bank Lines'!$E$5:$E$1640,'Bank Lines'!$G$5:$G$1640,D128),2)</f>
        <v>2512.11</v>
      </c>
    </row>
    <row r="129">
      <c r="A129" t="inlineStr">
        <is>
          <t>EX125</t>
        </is>
      </c>
      <c r="B129" t="inlineStr">
        <is>
          <t>USD</t>
        </is>
      </c>
      <c r="C129" s="5" t="n">
        <v>46220</v>
      </c>
      <c r="D129" t="inlineStr">
        <is>
          <t>G01101</t>
        </is>
      </c>
      <c r="E129" t="inlineStr">
        <is>
          <t>FEE-DIFF</t>
        </is>
      </c>
      <c r="F129" t="inlineStr">
        <is>
          <t>Routine</t>
        </is>
      </c>
      <c r="G129" t="inlineStr">
        <is>
          <t>Reference INV/2026/03623; 18.00 deducted by intermediary bank | INWARD TT CASCADIA HEALTH ANALY INV/2026/03623</t>
        </is>
      </c>
      <c r="H129" s="9">
        <f>INDEX('Match Groups'!$L$5:$L$1326,MATCH(D129,'Match Groups'!$A$5:$A$1326,0))</f>
        <v>-18</v>
      </c>
      <c r="I129" s="9" t="n">
        <v>0</v>
      </c>
      <c r="J129" t="inlineStr">
        <is>
          <t>Bookkeeper</t>
        </is>
      </c>
      <c r="K129" t="inlineStr">
        <is>
          <t>Post the intermediary bank fee deducted from the inward transfer (USD).</t>
        </is>
      </c>
      <c r="L129" t="inlineStr">
        <is>
          <t>J125</t>
        </is>
      </c>
      <c r="M129" t="inlineStr">
        <is>
          <t>Proposed</t>
        </is>
      </c>
      <c r="N129" t="str">
        <f>TEXT(C129,"yyyy-mm")</f>
        <v>2026-07</v>
      </c>
      <c r="O129" s="9">
        <f>ROUND(SUMIFS('Bank Lines'!$E$5:$E$1640,'Bank Lines'!$G$5:$G$1640,D129),2)</f>
        <v>6782</v>
      </c>
    </row>
    <row r="130">
      <c r="A130" t="inlineStr">
        <is>
          <t>EX126</t>
        </is>
      </c>
      <c r="B130" t="inlineStr">
        <is>
          <t>USD</t>
        </is>
      </c>
      <c r="C130" s="5" t="n">
        <v>46248</v>
      </c>
      <c r="D130" t="inlineStr">
        <is>
          <t>G01105</t>
        </is>
      </c>
      <c r="E130" t="inlineStr">
        <is>
          <t>FEE-DIFF</t>
        </is>
      </c>
      <c r="F130" t="inlineStr">
        <is>
          <t>Routine</t>
        </is>
      </c>
      <c r="G130" t="inlineStr">
        <is>
          <t>Reference INV/2026/03624; 18.00 deducted by intermediary bank | INWARD TT CASCADIA HEALTH ANALY INV/2026/03624</t>
        </is>
      </c>
      <c r="H130" s="9">
        <f>INDEX('Match Groups'!$L$5:$L$1326,MATCH(D130,'Match Groups'!$A$5:$A$1326,0))</f>
        <v>-18</v>
      </c>
      <c r="I130" s="9" t="n">
        <v>0</v>
      </c>
      <c r="J130" t="inlineStr">
        <is>
          <t>Bookkeeper</t>
        </is>
      </c>
      <c r="K130" t="inlineStr">
        <is>
          <t>Post the intermediary bank fee deducted from the inward transfer (USD).</t>
        </is>
      </c>
      <c r="L130" t="inlineStr">
        <is>
          <t>J126</t>
        </is>
      </c>
      <c r="M130" t="inlineStr">
        <is>
          <t>Proposed</t>
        </is>
      </c>
      <c r="N130" t="str">
        <f>TEXT(C130,"yyyy-mm")</f>
        <v>2026-08</v>
      </c>
      <c r="O130" s="9">
        <f>ROUND(SUMIFS('Bank Lines'!$E$5:$E$1640,'Bank Lines'!$G$5:$G$1640,D130),2)</f>
        <v>6782</v>
      </c>
    </row>
    <row r="131">
      <c r="A131" t="inlineStr">
        <is>
          <t>EX127</t>
        </is>
      </c>
      <c r="B131" t="inlineStr">
        <is>
          <t>USD</t>
        </is>
      </c>
      <c r="C131" s="5" t="n">
        <v>46281</v>
      </c>
      <c r="D131" t="inlineStr">
        <is>
          <t>G01111</t>
        </is>
      </c>
      <c r="E131" t="inlineStr">
        <is>
          <t>FEE-DIFF</t>
        </is>
      </c>
      <c r="F131" t="inlineStr">
        <is>
          <t>Routine</t>
        </is>
      </c>
      <c r="G131" t="inlineStr">
        <is>
          <t>Reference INV/2026/03625; 18.00 deducted by intermediary bank | INWARD TT CASCADIA HEALTH ANALY INV/2026/03625</t>
        </is>
      </c>
      <c r="H131" s="9">
        <f>INDEX('Match Groups'!$L$5:$L$1326,MATCH(D131,'Match Groups'!$A$5:$A$1326,0))</f>
        <v>-18</v>
      </c>
      <c r="I131" s="9" t="n">
        <v>0</v>
      </c>
      <c r="J131" t="inlineStr">
        <is>
          <t>Bookkeeper</t>
        </is>
      </c>
      <c r="K131" t="inlineStr">
        <is>
          <t>Post the intermediary bank fee deducted from the inward transfer (USD).</t>
        </is>
      </c>
      <c r="L131" t="inlineStr">
        <is>
          <t>J127</t>
        </is>
      </c>
      <c r="M131" t="inlineStr">
        <is>
          <t>Proposed</t>
        </is>
      </c>
      <c r="N131" t="str">
        <f>TEXT(C131,"yyyy-mm")</f>
        <v>2026-09</v>
      </c>
      <c r="O131" s="9">
        <f>ROUND(SUMIFS('Bank Lines'!$E$5:$E$1640,'Bank Lines'!$G$5:$G$1640,D131),2)</f>
        <v>6782</v>
      </c>
    </row>
    <row r="132">
      <c r="A132" t="inlineStr">
        <is>
          <t>EX128</t>
        </is>
      </c>
      <c r="B132" t="inlineStr">
        <is>
          <t>OPS</t>
        </is>
      </c>
      <c r="C132" s="5" t="n">
        <v>46204</v>
      </c>
      <c r="D132" t="inlineStr">
        <is>
          <t>G01170</t>
        </is>
      </c>
      <c r="E132" t="inlineStr">
        <is>
          <t>REG</t>
        </is>
      </c>
      <c r="F132" t="inlineStr">
        <is>
          <t>Routine</t>
        </is>
      </c>
      <c r="G132" t="inlineStr">
        <is>
          <t>Receipt not entered in Odoo; matches open INV/2026/03452 | DIRECT CREDIT MORNANE ELECTRICAL PTY INV 3452</t>
        </is>
      </c>
      <c r="H132" s="9">
        <f>INDEX('Match Groups'!$L$5:$L$1326,MATCH(D132,'Match Groups'!$A$5:$A$1326,0))</f>
        <v>1320</v>
      </c>
      <c r="I132" s="9" t="n">
        <v>0</v>
      </c>
      <c r="J132" t="inlineStr">
        <is>
          <t>AR officer</t>
        </is>
      </c>
      <c r="K132" t="inlineStr">
        <is>
          <t>Register the payment against the open invoice(s) listed in Allocations, then reconcile.</t>
        </is>
      </c>
      <c r="L132" t="inlineStr">
        <is>
          <t>J128</t>
        </is>
      </c>
      <c r="M132" t="inlineStr">
        <is>
          <t>Proposed</t>
        </is>
      </c>
      <c r="N132" t="str">
        <f>TEXT(C132,"yyyy-mm")</f>
        <v>2026-07</v>
      </c>
      <c r="O132" s="9">
        <f>ROUND(SUMIFS('Bank Lines'!$E$5:$E$1640,'Bank Lines'!$G$5:$G$1640,D132),2)</f>
        <v>1320</v>
      </c>
    </row>
    <row r="133">
      <c r="A133" t="inlineStr">
        <is>
          <t>EX129</t>
        </is>
      </c>
      <c r="B133" t="inlineStr">
        <is>
          <t>OPS</t>
        </is>
      </c>
      <c r="C133" s="5" t="n">
        <v>46205</v>
      </c>
      <c r="D133" t="inlineStr">
        <is>
          <t>G01171</t>
        </is>
      </c>
      <c r="E133" t="inlineStr">
        <is>
          <t>REG</t>
        </is>
      </c>
      <c r="F133" t="inlineStr">
        <is>
          <t>Routine</t>
        </is>
      </c>
      <c r="G133" t="inlineStr">
        <is>
          <t>Receipt not entered in Odoo; matches open INV/2026/01705 | DIRECT CREDIT NORTHLINE INJURY CLAIM CLM5999218 RE INV 2026 01705</t>
        </is>
      </c>
      <c r="H133" s="9">
        <f>INDEX('Match Groups'!$L$5:$L$1326,MATCH(D133,'Match Groups'!$A$5:$A$1326,0))</f>
        <v>132</v>
      </c>
      <c r="I133" s="9" t="n">
        <v>0</v>
      </c>
      <c r="J133" t="inlineStr">
        <is>
          <t>AR officer</t>
        </is>
      </c>
      <c r="K133" t="inlineStr">
        <is>
          <t>Register the payment against the open invoice(s) listed in Allocations, then reconcile.</t>
        </is>
      </c>
      <c r="L133" t="inlineStr">
        <is>
          <t>J129</t>
        </is>
      </c>
      <c r="M133" t="inlineStr">
        <is>
          <t>Proposed</t>
        </is>
      </c>
      <c r="N133" t="str">
        <f>TEXT(C133,"yyyy-mm")</f>
        <v>2026-07</v>
      </c>
      <c r="O133" s="9">
        <f>ROUND(SUMIFS('Bank Lines'!$E$5:$E$1640,'Bank Lines'!$G$5:$G$1640,D133),2)</f>
        <v>132</v>
      </c>
    </row>
    <row r="134">
      <c r="A134" t="inlineStr">
        <is>
          <t>EX130</t>
        </is>
      </c>
      <c r="B134" t="inlineStr">
        <is>
          <t>OPS</t>
        </is>
      </c>
      <c r="C134" s="5" t="n">
        <v>46211</v>
      </c>
      <c r="D134" t="inlineStr">
        <is>
          <t>G01172</t>
        </is>
      </c>
      <c r="E134" t="inlineStr">
        <is>
          <t>REGBILL</t>
        </is>
      </c>
      <c r="F134" t="inlineStr">
        <is>
          <t>Routine</t>
        </is>
      </c>
      <c r="G134" t="inlineStr">
        <is>
          <t>Direct debit not entered in Odoo; matches open BILL/2026/1005 | DIRECT DEBIT FIBREWIRE NETWORKS 914647</t>
        </is>
      </c>
      <c r="H134" s="9">
        <f>INDEX('Match Groups'!$L$5:$L$1326,MATCH(D134,'Match Groups'!$A$5:$A$1326,0))</f>
        <v>-649</v>
      </c>
      <c r="I134" s="9" t="n">
        <v>0</v>
      </c>
      <c r="J134" t="inlineStr">
        <is>
          <t>AP officer</t>
        </is>
      </c>
      <c r="K134" t="inlineStr">
        <is>
          <t>Register the payment against the open bill, then reconcile.</t>
        </is>
      </c>
      <c r="L134" t="inlineStr">
        <is>
          <t>J130</t>
        </is>
      </c>
      <c r="M134" t="inlineStr">
        <is>
          <t>Proposed</t>
        </is>
      </c>
      <c r="N134" t="str">
        <f>TEXT(C134,"yyyy-mm")</f>
        <v>2026-07</v>
      </c>
      <c r="O134" s="9">
        <f>ROUND(SUMIFS('Bank Lines'!$E$5:$E$1640,'Bank Lines'!$G$5:$G$1640,D134),2)</f>
        <v>-649</v>
      </c>
    </row>
    <row r="135">
      <c r="A135" t="inlineStr">
        <is>
          <t>EX131</t>
        </is>
      </c>
      <c r="B135" t="inlineStr">
        <is>
          <t>OPS</t>
        </is>
      </c>
      <c r="C135" s="5" t="n">
        <v>46213</v>
      </c>
      <c r="D135" t="inlineStr">
        <is>
          <t>G01173</t>
        </is>
      </c>
      <c r="E135" t="inlineStr">
        <is>
          <t>REG</t>
        </is>
      </c>
      <c r="F135" t="inlineStr">
        <is>
          <t>Routine</t>
        </is>
      </c>
      <c r="G135" t="inlineStr">
        <is>
          <t>Receipt not entered in Odoo; matches open INV/2026/03431 | DIRECT CREDIT WESTMERECOUNCILS INV03431</t>
        </is>
      </c>
      <c r="H135" s="9">
        <f>INDEX('Match Groups'!$L$5:$L$1326,MATCH(D135,'Match Groups'!$A$5:$A$1326,0))</f>
        <v>10807.5</v>
      </c>
      <c r="I135" s="9" t="n">
        <v>0</v>
      </c>
      <c r="J135" t="inlineStr">
        <is>
          <t>AR officer</t>
        </is>
      </c>
      <c r="K135" t="inlineStr">
        <is>
          <t>Register the payment against the open invoice(s) listed in Allocations, then reconcile.</t>
        </is>
      </c>
      <c r="L135" t="inlineStr">
        <is>
          <t>J131</t>
        </is>
      </c>
      <c r="M135" t="inlineStr">
        <is>
          <t>Proposed</t>
        </is>
      </c>
      <c r="N135" t="str">
        <f>TEXT(C135,"yyyy-mm")</f>
        <v>2026-07</v>
      </c>
      <c r="O135" s="9">
        <f>ROUND(SUMIFS('Bank Lines'!$E$5:$E$1640,'Bank Lines'!$G$5:$G$1640,D135),2)</f>
        <v>10807.5</v>
      </c>
    </row>
    <row r="136">
      <c r="A136" t="inlineStr">
        <is>
          <t>EX132</t>
        </is>
      </c>
      <c r="B136" t="inlineStr">
        <is>
          <t>OPS</t>
        </is>
      </c>
      <c r="C136" s="5" t="n">
        <v>46217</v>
      </c>
      <c r="D136" t="inlineStr">
        <is>
          <t>G01174</t>
        </is>
      </c>
      <c r="E136" t="inlineStr">
        <is>
          <t>REG</t>
        </is>
      </c>
      <c r="F136" t="inlineStr">
        <is>
          <t>Routine</t>
        </is>
      </c>
      <c r="G136" t="inlineStr">
        <is>
          <t>Receipt not entered in Odoo; matches open INV/2026/01990 | DIRECT CREDIT UNITY WORKCOVER AGENTS CLM5522546 INV01990</t>
        </is>
      </c>
      <c r="H136" s="9">
        <f>INDEX('Match Groups'!$L$5:$L$1326,MATCH(D136,'Match Groups'!$A$5:$A$1326,0))</f>
        <v>88</v>
      </c>
      <c r="I136" s="9" t="n">
        <v>0</v>
      </c>
      <c r="J136" t="inlineStr">
        <is>
          <t>AR officer</t>
        </is>
      </c>
      <c r="K136" t="inlineStr">
        <is>
          <t>Register the payment against the open invoice(s) listed in Allocations, then reconcile.</t>
        </is>
      </c>
      <c r="L136" t="inlineStr">
        <is>
          <t>J132</t>
        </is>
      </c>
      <c r="M136" t="inlineStr">
        <is>
          <t>Proposed</t>
        </is>
      </c>
      <c r="N136" t="str">
        <f>TEXT(C136,"yyyy-mm")</f>
        <v>2026-07</v>
      </c>
      <c r="O136" s="9">
        <f>ROUND(SUMIFS('Bank Lines'!$E$5:$E$1640,'Bank Lines'!$G$5:$G$1640,D136),2)</f>
        <v>88</v>
      </c>
    </row>
    <row r="137">
      <c r="A137" t="inlineStr">
        <is>
          <t>EX133</t>
        </is>
      </c>
      <c r="B137" t="inlineStr">
        <is>
          <t>OPS</t>
        </is>
      </c>
      <c r="C137" s="5" t="n">
        <v>46223</v>
      </c>
      <c r="D137" t="inlineStr">
        <is>
          <t>G01175</t>
        </is>
      </c>
      <c r="E137" t="inlineStr">
        <is>
          <t>REGBILL</t>
        </is>
      </c>
      <c r="F137" t="inlineStr">
        <is>
          <t>Routine</t>
        </is>
      </c>
      <c r="G137" t="inlineStr">
        <is>
          <t>Direct debit not entered in Odoo; matches open BILL/2026/1003 | DIRECT DEBIT MEDISURE PROFESSIONA 912203</t>
        </is>
      </c>
      <c r="H137" s="9">
        <f>INDEX('Match Groups'!$L$5:$L$1326,MATCH(D137,'Match Groups'!$A$5:$A$1326,0))</f>
        <v>-2215.4</v>
      </c>
      <c r="I137" s="9" t="n">
        <v>0</v>
      </c>
      <c r="J137" t="inlineStr">
        <is>
          <t>AP officer</t>
        </is>
      </c>
      <c r="K137" t="inlineStr">
        <is>
          <t>Register the payment against the open bill, then reconcile.</t>
        </is>
      </c>
      <c r="L137" t="inlineStr">
        <is>
          <t>J133</t>
        </is>
      </c>
      <c r="M137" t="inlineStr">
        <is>
          <t>Proposed</t>
        </is>
      </c>
      <c r="N137" t="str">
        <f>TEXT(C137,"yyyy-mm")</f>
        <v>2026-07</v>
      </c>
      <c r="O137" s="9">
        <f>ROUND(SUMIFS('Bank Lines'!$E$5:$E$1640,'Bank Lines'!$G$5:$G$1640,D137),2)</f>
        <v>-2215.4</v>
      </c>
    </row>
    <row r="138">
      <c r="A138" t="inlineStr">
        <is>
          <t>EX134</t>
        </is>
      </c>
      <c r="B138" t="inlineStr">
        <is>
          <t>OPS</t>
        </is>
      </c>
      <c r="C138" s="5" t="n">
        <v>46231</v>
      </c>
      <c r="D138" t="inlineStr">
        <is>
          <t>G01176</t>
        </is>
      </c>
      <c r="E138" t="inlineStr">
        <is>
          <t>REG</t>
        </is>
      </c>
      <c r="F138" t="inlineStr">
        <is>
          <t>Routine</t>
        </is>
      </c>
      <c r="G138" t="inlineStr">
        <is>
          <t>Receipt not entered in Odoo; matches open INV/2026/02104 | DIRECT CREDIT UNITY WORKCOVER AGENTS CLM5237300 INV 2104</t>
        </is>
      </c>
      <c r="H138" s="9">
        <f>INDEX('Match Groups'!$L$5:$L$1326,MATCH(D138,'Match Groups'!$A$5:$A$1326,0))</f>
        <v>412.5</v>
      </c>
      <c r="I138" s="9" t="n">
        <v>0</v>
      </c>
      <c r="J138" t="inlineStr">
        <is>
          <t>AR officer</t>
        </is>
      </c>
      <c r="K138" t="inlineStr">
        <is>
          <t>Register the payment against the open invoice(s) listed in Allocations, then reconcile.</t>
        </is>
      </c>
      <c r="L138" t="inlineStr">
        <is>
          <t>J134</t>
        </is>
      </c>
      <c r="M138" t="inlineStr">
        <is>
          <t>Proposed</t>
        </is>
      </c>
      <c r="N138" t="str">
        <f>TEXT(C138,"yyyy-mm")</f>
        <v>2026-07</v>
      </c>
      <c r="O138" s="9">
        <f>ROUND(SUMIFS('Bank Lines'!$E$5:$E$1640,'Bank Lines'!$G$5:$G$1640,D138),2)</f>
        <v>412.5</v>
      </c>
    </row>
    <row r="139">
      <c r="A139" t="inlineStr">
        <is>
          <t>EX135</t>
        </is>
      </c>
      <c r="B139" t="inlineStr">
        <is>
          <t>OPS</t>
        </is>
      </c>
      <c r="C139" s="5" t="n">
        <v>46231</v>
      </c>
      <c r="D139" t="inlineStr">
        <is>
          <t>G01177</t>
        </is>
      </c>
      <c r="E139" t="inlineStr">
        <is>
          <t>REG</t>
        </is>
      </c>
      <c r="F139" t="inlineStr">
        <is>
          <t>Routine</t>
        </is>
      </c>
      <c r="G139" t="inlineStr">
        <is>
          <t>Receipt not entered in Odoo; matches open INV/2026/02130 | DIRECT CREDIT NORTHLINE INJURY CLA CLM5434848 INV02130</t>
        </is>
      </c>
      <c r="H139" s="9">
        <f>INDEX('Match Groups'!$L$5:$L$1326,MATCH(D139,'Match Groups'!$A$5:$A$1326,0))</f>
        <v>412.5</v>
      </c>
      <c r="I139" s="9" t="n">
        <v>0</v>
      </c>
      <c r="J139" t="inlineStr">
        <is>
          <t>AR officer</t>
        </is>
      </c>
      <c r="K139" t="inlineStr">
        <is>
          <t>Register the payment against the open invoice(s) listed in Allocations, then reconcile.</t>
        </is>
      </c>
      <c r="L139" t="inlineStr">
        <is>
          <t>J135</t>
        </is>
      </c>
      <c r="M139" t="inlineStr">
        <is>
          <t>Proposed</t>
        </is>
      </c>
      <c r="N139" t="str">
        <f>TEXT(C139,"yyyy-mm")</f>
        <v>2026-07</v>
      </c>
      <c r="O139" s="9">
        <f>ROUND(SUMIFS('Bank Lines'!$E$5:$E$1640,'Bank Lines'!$G$5:$G$1640,D139),2)</f>
        <v>412.5</v>
      </c>
    </row>
    <row r="140">
      <c r="A140" t="inlineStr">
        <is>
          <t>EX136</t>
        </is>
      </c>
      <c r="B140" t="inlineStr">
        <is>
          <t>OPS</t>
        </is>
      </c>
      <c r="C140" s="5" t="n">
        <v>46237</v>
      </c>
      <c r="D140" t="inlineStr">
        <is>
          <t>G01178</t>
        </is>
      </c>
      <c r="E140" t="inlineStr">
        <is>
          <t>REGBILL</t>
        </is>
      </c>
      <c r="F140" t="inlineStr">
        <is>
          <t>Routine</t>
        </is>
      </c>
      <c r="G140" t="inlineStr">
        <is>
          <t>Direct debit not entered in Odoo; matches open BILL/2026/1018 | DIRECT DEBIT CLINIC PRACTICE SOFT 737192</t>
        </is>
      </c>
      <c r="H140" s="9">
        <f>INDEX('Match Groups'!$L$5:$L$1326,MATCH(D140,'Match Groups'!$A$5:$A$1326,0))</f>
        <v>-1870</v>
      </c>
      <c r="I140" s="9" t="n">
        <v>0</v>
      </c>
      <c r="J140" t="inlineStr">
        <is>
          <t>AP officer</t>
        </is>
      </c>
      <c r="K140" t="inlineStr">
        <is>
          <t>Register the payment against the open bill, then reconcile.</t>
        </is>
      </c>
      <c r="L140" t="inlineStr">
        <is>
          <t>J136</t>
        </is>
      </c>
      <c r="M140" t="inlineStr">
        <is>
          <t>Proposed</t>
        </is>
      </c>
      <c r="N140" t="str">
        <f>TEXT(C140,"yyyy-mm")</f>
        <v>2026-08</v>
      </c>
      <c r="O140" s="9">
        <f>ROUND(SUMIFS('Bank Lines'!$E$5:$E$1640,'Bank Lines'!$G$5:$G$1640,D140),2)</f>
        <v>-1870</v>
      </c>
    </row>
    <row r="141">
      <c r="A141" t="inlineStr">
        <is>
          <t>EX137</t>
        </is>
      </c>
      <c r="B141" t="inlineStr">
        <is>
          <t>OPS</t>
        </is>
      </c>
      <c r="C141" s="5" t="n">
        <v>46241</v>
      </c>
      <c r="D141" t="inlineStr">
        <is>
          <t>G01179</t>
        </is>
      </c>
      <c r="E141" t="inlineStr">
        <is>
          <t>REG</t>
        </is>
      </c>
      <c r="F141" t="inlineStr">
        <is>
          <t>Routine</t>
        </is>
      </c>
      <c r="G141" t="inlineStr">
        <is>
          <t>Receipt not entered in Odoo; matches open INV/2026/03442, INV/2026/03494 | DIRECT CREDIT ELMHURST PROPERTY</t>
        </is>
      </c>
      <c r="H141" s="9">
        <f>INDEX('Match Groups'!$L$5:$L$1326,MATCH(D141,'Match Groups'!$A$5:$A$1326,0))</f>
        <v>6407.5</v>
      </c>
      <c r="I141" s="9" t="n">
        <v>0</v>
      </c>
      <c r="J141" t="inlineStr">
        <is>
          <t>AR officer</t>
        </is>
      </c>
      <c r="K141" t="inlineStr">
        <is>
          <t>Register the payment against the open invoice(s) listed in Allocations, then reconcile.</t>
        </is>
      </c>
      <c r="L141" t="inlineStr">
        <is>
          <t>J137</t>
        </is>
      </c>
      <c r="M141" t="inlineStr">
        <is>
          <t>Proposed</t>
        </is>
      </c>
      <c r="N141" t="str">
        <f>TEXT(C141,"yyyy-mm")</f>
        <v>2026-08</v>
      </c>
      <c r="O141" s="9">
        <f>ROUND(SUMIFS('Bank Lines'!$E$5:$E$1640,'Bank Lines'!$G$5:$G$1640,D141),2)</f>
        <v>6407.5</v>
      </c>
    </row>
    <row r="142">
      <c r="A142" t="inlineStr">
        <is>
          <t>EX138</t>
        </is>
      </c>
      <c r="B142" t="inlineStr">
        <is>
          <t>OPS</t>
        </is>
      </c>
      <c r="C142" s="5" t="n">
        <v>46245</v>
      </c>
      <c r="D142" t="inlineStr">
        <is>
          <t>G01180</t>
        </is>
      </c>
      <c r="E142" t="inlineStr">
        <is>
          <t>REG</t>
        </is>
      </c>
      <c r="F142" t="inlineStr">
        <is>
          <t>Routine</t>
        </is>
      </c>
      <c r="G142" t="inlineStr">
        <is>
          <t>Receipt not entered in Odoo; matches open INV/2026/02368 | DIRECT CREDIT HARBOUR MUTUAL HEALTH CLM5277204 INV02368</t>
        </is>
      </c>
      <c r="H142" s="9">
        <f>INDEX('Match Groups'!$L$5:$L$1326,MATCH(D142,'Match Groups'!$A$5:$A$1326,0))</f>
        <v>88</v>
      </c>
      <c r="I142" s="9" t="n">
        <v>0</v>
      </c>
      <c r="J142" t="inlineStr">
        <is>
          <t>AR officer</t>
        </is>
      </c>
      <c r="K142" t="inlineStr">
        <is>
          <t>Register the payment against the open invoice(s) listed in Allocations, then reconcile.</t>
        </is>
      </c>
      <c r="L142" t="inlineStr">
        <is>
          <t>J138</t>
        </is>
      </c>
      <c r="M142" t="inlineStr">
        <is>
          <t>Proposed</t>
        </is>
      </c>
      <c r="N142" t="str">
        <f>TEXT(C142,"yyyy-mm")</f>
        <v>2026-08</v>
      </c>
      <c r="O142" s="9">
        <f>ROUND(SUMIFS('Bank Lines'!$E$5:$E$1640,'Bank Lines'!$G$5:$G$1640,D142),2)</f>
        <v>88</v>
      </c>
    </row>
    <row r="143">
      <c r="A143" t="inlineStr">
        <is>
          <t>EX139</t>
        </is>
      </c>
      <c r="B143" t="inlineStr">
        <is>
          <t>OPS</t>
        </is>
      </c>
      <c r="C143" s="5" t="n">
        <v>46246</v>
      </c>
      <c r="D143" t="inlineStr">
        <is>
          <t>G01181</t>
        </is>
      </c>
      <c r="E143" t="inlineStr">
        <is>
          <t>NOBILL</t>
        </is>
      </c>
      <c r="F143" t="inlineStr">
        <is>
          <t>Decision</t>
        </is>
      </c>
      <c r="G143" t="inlineStr">
        <is>
          <t>Direct debit from Telwave Business Mobile with no bill in Odoo; request the tax invoice | DIRECT DEBIT TELWAVEBUSINESSM</t>
        </is>
      </c>
      <c r="H143" s="9">
        <f>INDEX('Match Groups'!$L$5:$L$1326,MATCH(D143,'Match Groups'!$A$5:$A$1326,0))</f>
        <v>-1189.3</v>
      </c>
      <c r="I143" s="9">
        <f>ROUND(-H143/11,2)</f>
        <v>108.12</v>
      </c>
      <c r="J143" t="inlineStr">
        <is>
          <t>AP officer</t>
        </is>
      </c>
      <c r="K143" t="inlineStr">
        <is>
          <t>Request the tax invoice; post the expense now and hold the GST claim until the invoice is on file.</t>
        </is>
      </c>
      <c r="L143" t="inlineStr">
        <is>
          <t>J139</t>
        </is>
      </c>
      <c r="M143" t="inlineStr">
        <is>
          <t>Awaiting decision</t>
        </is>
      </c>
      <c r="N143" t="str">
        <f>TEXT(C143,"yyyy-mm")</f>
        <v>2026-08</v>
      </c>
      <c r="O143" s="9">
        <f>ROUND(SUMIFS('Bank Lines'!$E$5:$E$1640,'Bank Lines'!$G$5:$G$1640,D143),2)</f>
        <v>-1189.3</v>
      </c>
    </row>
    <row r="144">
      <c r="A144" t="inlineStr">
        <is>
          <t>EX140</t>
        </is>
      </c>
      <c r="B144" t="inlineStr">
        <is>
          <t>OPS</t>
        </is>
      </c>
      <c r="C144" s="5" t="n">
        <v>46251</v>
      </c>
      <c r="D144" t="inlineStr">
        <is>
          <t>G01182</t>
        </is>
      </c>
      <c r="E144" t="inlineStr">
        <is>
          <t>REG</t>
        </is>
      </c>
      <c r="F144" t="inlineStr">
        <is>
          <t>Routine</t>
        </is>
      </c>
      <c r="G144" t="inlineStr">
        <is>
          <t>Receipt not entered in Odoo; matches open INV/2026/03510 | DIRECT CREDIT ROSEDALE NURSERIES 03510</t>
        </is>
      </c>
      <c r="H144" s="9">
        <f>INDEX('Match Groups'!$L$5:$L$1326,MATCH(D144,'Match Groups'!$A$5:$A$1326,0))</f>
        <v>2035</v>
      </c>
      <c r="I144" s="9" t="n">
        <v>0</v>
      </c>
      <c r="J144" t="inlineStr">
        <is>
          <t>AR officer</t>
        </is>
      </c>
      <c r="K144" t="inlineStr">
        <is>
          <t>Register the payment against the open invoice(s) listed in Allocations, then reconcile.</t>
        </is>
      </c>
      <c r="L144" t="inlineStr">
        <is>
          <t>J140</t>
        </is>
      </c>
      <c r="M144" t="inlineStr">
        <is>
          <t>Proposed</t>
        </is>
      </c>
      <c r="N144" t="str">
        <f>TEXT(C144,"yyyy-mm")</f>
        <v>2026-08</v>
      </c>
      <c r="O144" s="9">
        <f>ROUND(SUMIFS('Bank Lines'!$E$5:$E$1640,'Bank Lines'!$G$5:$G$1640,D144),2)</f>
        <v>2035</v>
      </c>
    </row>
    <row r="145">
      <c r="A145" t="inlineStr">
        <is>
          <t>EX141</t>
        </is>
      </c>
      <c r="B145" t="inlineStr">
        <is>
          <t>OPS</t>
        </is>
      </c>
      <c r="C145" s="5" t="n">
        <v>46252</v>
      </c>
      <c r="D145" t="inlineStr">
        <is>
          <t>G01183</t>
        </is>
      </c>
      <c r="E145" t="inlineStr">
        <is>
          <t>REG</t>
        </is>
      </c>
      <c r="F145" t="inlineStr">
        <is>
          <t>Routine</t>
        </is>
      </c>
      <c r="G145" t="inlineStr">
        <is>
          <t>Receipt not entered in Odoo; matches open INV/2026/03483 | DIRECT CREDIT WESTMERE COUNCIL SERVI INV/2026/03483</t>
        </is>
      </c>
      <c r="H145" s="9">
        <f>INDEX('Match Groups'!$L$5:$L$1326,MATCH(D145,'Match Groups'!$A$5:$A$1326,0))</f>
        <v>1471.25</v>
      </c>
      <c r="I145" s="9" t="n">
        <v>0</v>
      </c>
      <c r="J145" t="inlineStr">
        <is>
          <t>AR officer</t>
        </is>
      </c>
      <c r="K145" t="inlineStr">
        <is>
          <t>Register the payment against the open invoice(s) listed in Allocations, then reconcile.</t>
        </is>
      </c>
      <c r="L145" t="inlineStr">
        <is>
          <t>J141</t>
        </is>
      </c>
      <c r="M145" t="inlineStr">
        <is>
          <t>Proposed</t>
        </is>
      </c>
      <c r="N145" t="str">
        <f>TEXT(C145,"yyyy-mm")</f>
        <v>2026-08</v>
      </c>
      <c r="O145" s="9">
        <f>ROUND(SUMIFS('Bank Lines'!$E$5:$E$1640,'Bank Lines'!$G$5:$G$1640,D145),2)</f>
        <v>1471.25</v>
      </c>
    </row>
    <row r="146">
      <c r="A146" t="inlineStr">
        <is>
          <t>EX142</t>
        </is>
      </c>
      <c r="B146" t="inlineStr">
        <is>
          <t>OPS</t>
        </is>
      </c>
      <c r="C146" s="5" t="n">
        <v>46253</v>
      </c>
      <c r="D146" t="inlineStr">
        <is>
          <t>G01184</t>
        </is>
      </c>
      <c r="E146" t="inlineStr">
        <is>
          <t>REG</t>
        </is>
      </c>
      <c r="F146" t="inlineStr">
        <is>
          <t>Routine</t>
        </is>
      </c>
      <c r="G146" t="inlineStr">
        <is>
          <t>Receipt not entered in Odoo; matches open INV/2026/02388 | DIRECT CREDIT NORTHLINEINJURYC CLM5464200 INV 2388</t>
        </is>
      </c>
      <c r="H146" s="9">
        <f>INDEX('Match Groups'!$L$5:$L$1326,MATCH(D146,'Match Groups'!$A$5:$A$1326,0))</f>
        <v>88</v>
      </c>
      <c r="I146" s="9" t="n">
        <v>0</v>
      </c>
      <c r="J146" t="inlineStr">
        <is>
          <t>AR officer</t>
        </is>
      </c>
      <c r="K146" t="inlineStr">
        <is>
          <t>Register the payment against the open invoice(s) listed in Allocations, then reconcile.</t>
        </is>
      </c>
      <c r="L146" t="inlineStr">
        <is>
          <t>J142</t>
        </is>
      </c>
      <c r="M146" t="inlineStr">
        <is>
          <t>Proposed</t>
        </is>
      </c>
      <c r="N146" t="str">
        <f>TEXT(C146,"yyyy-mm")</f>
        <v>2026-08</v>
      </c>
      <c r="O146" s="9">
        <f>ROUND(SUMIFS('Bank Lines'!$E$5:$E$1640,'Bank Lines'!$G$5:$G$1640,D146),2)</f>
        <v>88</v>
      </c>
    </row>
    <row r="147">
      <c r="A147" t="inlineStr">
        <is>
          <t>EX143</t>
        </is>
      </c>
      <c r="B147" t="inlineStr">
        <is>
          <t>OPS</t>
        </is>
      </c>
      <c r="C147" s="5" t="n">
        <v>46255</v>
      </c>
      <c r="D147" t="inlineStr">
        <is>
          <t>G01185</t>
        </is>
      </c>
      <c r="E147" t="inlineStr">
        <is>
          <t>REG</t>
        </is>
      </c>
      <c r="F147" t="inlineStr">
        <is>
          <t>Routine</t>
        </is>
      </c>
      <c r="G147" t="inlineStr">
        <is>
          <t>Receipt not entered in Odoo; matches open INV/2026/02417 | DIRECT CREDIT MERIDIAN HEALTH COVER CLM5135221 INV02417</t>
        </is>
      </c>
      <c r="H147" s="9">
        <f>INDEX('Match Groups'!$L$5:$L$1326,MATCH(D147,'Match Groups'!$A$5:$A$1326,0))</f>
        <v>176</v>
      </c>
      <c r="I147" s="9" t="n">
        <v>0</v>
      </c>
      <c r="J147" t="inlineStr">
        <is>
          <t>AR officer</t>
        </is>
      </c>
      <c r="K147" t="inlineStr">
        <is>
          <t>Register the payment against the open invoice(s) listed in Allocations, then reconcile.</t>
        </is>
      </c>
      <c r="L147" t="inlineStr">
        <is>
          <t>J143</t>
        </is>
      </c>
      <c r="M147" t="inlineStr">
        <is>
          <t>Proposed</t>
        </is>
      </c>
      <c r="N147" t="str">
        <f>TEXT(C147,"yyyy-mm")</f>
        <v>2026-08</v>
      </c>
      <c r="O147" s="9">
        <f>ROUND(SUMIFS('Bank Lines'!$E$5:$E$1640,'Bank Lines'!$G$5:$G$1640,D147),2)</f>
        <v>176</v>
      </c>
    </row>
    <row r="148">
      <c r="A148" t="inlineStr">
        <is>
          <t>EX144</t>
        </is>
      </c>
      <c r="B148" t="inlineStr">
        <is>
          <t>OPS</t>
        </is>
      </c>
      <c r="C148" s="5" t="n">
        <v>46259</v>
      </c>
      <c r="D148" t="inlineStr">
        <is>
          <t>G01186</t>
        </is>
      </c>
      <c r="E148" t="inlineStr">
        <is>
          <t>REG</t>
        </is>
      </c>
      <c r="F148" t="inlineStr">
        <is>
          <t>Routine</t>
        </is>
      </c>
      <c r="G148" t="inlineStr">
        <is>
          <t>Receipt not entered in Odoo; matches open INV/2026/02490 | DIRECT CREDIT PINNACLE CLAIMS SE CLM5715202 INV02490</t>
        </is>
      </c>
      <c r="H148" s="9">
        <f>INDEX('Match Groups'!$L$5:$L$1326,MATCH(D148,'Match Groups'!$A$5:$A$1326,0))</f>
        <v>990</v>
      </c>
      <c r="I148" s="9" t="n">
        <v>0</v>
      </c>
      <c r="J148" t="inlineStr">
        <is>
          <t>AR officer</t>
        </is>
      </c>
      <c r="K148" t="inlineStr">
        <is>
          <t>Register the payment against the open invoice(s) listed in Allocations, then reconcile.</t>
        </is>
      </c>
      <c r="L148" t="inlineStr">
        <is>
          <t>J144</t>
        </is>
      </c>
      <c r="M148" t="inlineStr">
        <is>
          <t>Proposed</t>
        </is>
      </c>
      <c r="N148" t="str">
        <f>TEXT(C148,"yyyy-mm")</f>
        <v>2026-08</v>
      </c>
      <c r="O148" s="9">
        <f>ROUND(SUMIFS('Bank Lines'!$E$5:$E$1640,'Bank Lines'!$G$5:$G$1640,D148),2)</f>
        <v>990</v>
      </c>
    </row>
    <row r="149">
      <c r="A149" t="inlineStr">
        <is>
          <t>EX145</t>
        </is>
      </c>
      <c r="B149" t="inlineStr">
        <is>
          <t>OPS</t>
        </is>
      </c>
      <c r="C149" s="5" t="n">
        <v>46260</v>
      </c>
      <c r="D149" t="inlineStr">
        <is>
          <t>G01187</t>
        </is>
      </c>
      <c r="E149" t="inlineStr">
        <is>
          <t>REG</t>
        </is>
      </c>
      <c r="F149" t="inlineStr">
        <is>
          <t>Routine</t>
        </is>
      </c>
      <c r="G149" t="inlineStr">
        <is>
          <t>Receipt not entered in Odoo; matches open INV/2026/02488 | DIRECT CREDIT HARBOUR MUTUAL HEALTH CLM5432414 INV 2488</t>
        </is>
      </c>
      <c r="H149" s="9">
        <f>INDEX('Match Groups'!$L$5:$L$1326,MATCH(D149,'Match Groups'!$A$5:$A$1326,0))</f>
        <v>88</v>
      </c>
      <c r="I149" s="9" t="n">
        <v>0</v>
      </c>
      <c r="J149" t="inlineStr">
        <is>
          <t>AR officer</t>
        </is>
      </c>
      <c r="K149" t="inlineStr">
        <is>
          <t>Register the payment against the open invoice(s) listed in Allocations, then reconcile.</t>
        </is>
      </c>
      <c r="L149" t="inlineStr">
        <is>
          <t>J145</t>
        </is>
      </c>
      <c r="M149" t="inlineStr">
        <is>
          <t>Proposed</t>
        </is>
      </c>
      <c r="N149" t="str">
        <f>TEXT(C149,"yyyy-mm")</f>
        <v>2026-08</v>
      </c>
      <c r="O149" s="9">
        <f>ROUND(SUMIFS('Bank Lines'!$E$5:$E$1640,'Bank Lines'!$G$5:$G$1640,D149),2)</f>
        <v>88</v>
      </c>
    </row>
    <row r="150">
      <c r="A150" t="inlineStr">
        <is>
          <t>EX146</t>
        </is>
      </c>
      <c r="B150" t="inlineStr">
        <is>
          <t>OPS</t>
        </is>
      </c>
      <c r="C150" s="5" t="n">
        <v>46260</v>
      </c>
      <c r="D150" t="inlineStr">
        <is>
          <t>G01188</t>
        </is>
      </c>
      <c r="E150" t="inlineStr">
        <is>
          <t>REG</t>
        </is>
      </c>
      <c r="F150" t="inlineStr">
        <is>
          <t>Routine</t>
        </is>
      </c>
      <c r="G150" t="inlineStr">
        <is>
          <t>Receipt not entered in Odoo; matches open INV/2026/02489 | DIRECT CREDIT COASTLINEHEALTHF CLM5927684 INV/2026/02489</t>
        </is>
      </c>
      <c r="H150" s="9">
        <f>INDEX('Match Groups'!$L$5:$L$1326,MATCH(D150,'Match Groups'!$A$5:$A$1326,0))</f>
        <v>176</v>
      </c>
      <c r="I150" s="9" t="n">
        <v>0</v>
      </c>
      <c r="J150" t="inlineStr">
        <is>
          <t>AR officer</t>
        </is>
      </c>
      <c r="K150" t="inlineStr">
        <is>
          <t>Register the payment against the open invoice(s) listed in Allocations, then reconcile.</t>
        </is>
      </c>
      <c r="L150" t="inlineStr">
        <is>
          <t>J146</t>
        </is>
      </c>
      <c r="M150" t="inlineStr">
        <is>
          <t>Proposed</t>
        </is>
      </c>
      <c r="N150" t="str">
        <f>TEXT(C150,"yyyy-mm")</f>
        <v>2026-08</v>
      </c>
      <c r="O150" s="9">
        <f>ROUND(SUMIFS('Bank Lines'!$E$5:$E$1640,'Bank Lines'!$G$5:$G$1640,D150),2)</f>
        <v>176</v>
      </c>
    </row>
    <row r="151">
      <c r="A151" t="inlineStr">
        <is>
          <t>EX147</t>
        </is>
      </c>
      <c r="B151" t="inlineStr">
        <is>
          <t>OPS</t>
        </is>
      </c>
      <c r="C151" s="5" t="n">
        <v>46260</v>
      </c>
      <c r="D151" t="inlineStr">
        <is>
          <t>G01189</t>
        </is>
      </c>
      <c r="E151" t="inlineStr">
        <is>
          <t>REG</t>
        </is>
      </c>
      <c r="F151" t="inlineStr">
        <is>
          <t>Routine</t>
        </is>
      </c>
      <c r="G151" t="inlineStr">
        <is>
          <t>Receipt not entered in Odoo; matches open INV/2026/02656 | DIRECT CREDIT PINNACLE CLAIMS SERVIC CLM5477460 INV02656</t>
        </is>
      </c>
      <c r="H151" s="9">
        <f>INDEX('Match Groups'!$L$5:$L$1326,MATCH(D151,'Match Groups'!$A$5:$A$1326,0))</f>
        <v>412.5</v>
      </c>
      <c r="I151" s="9" t="n">
        <v>0</v>
      </c>
      <c r="J151" t="inlineStr">
        <is>
          <t>AR officer</t>
        </is>
      </c>
      <c r="K151" t="inlineStr">
        <is>
          <t>Register the payment against the open invoice(s) listed in Allocations, then reconcile.</t>
        </is>
      </c>
      <c r="L151" t="inlineStr">
        <is>
          <t>J147</t>
        </is>
      </c>
      <c r="M151" t="inlineStr">
        <is>
          <t>Proposed</t>
        </is>
      </c>
      <c r="N151" t="str">
        <f>TEXT(C151,"yyyy-mm")</f>
        <v>2026-08</v>
      </c>
      <c r="O151" s="9">
        <f>ROUND(SUMIFS('Bank Lines'!$E$5:$E$1640,'Bank Lines'!$G$5:$G$1640,D151),2)</f>
        <v>412.5</v>
      </c>
    </row>
    <row r="152">
      <c r="A152" t="inlineStr">
        <is>
          <t>EX148</t>
        </is>
      </c>
      <c r="B152" t="inlineStr">
        <is>
          <t>OPS</t>
        </is>
      </c>
      <c r="C152" s="5" t="n">
        <v>46260</v>
      </c>
      <c r="D152" t="inlineStr">
        <is>
          <t>G01190</t>
        </is>
      </c>
      <c r="E152" t="inlineStr">
        <is>
          <t>REG</t>
        </is>
      </c>
      <c r="F152" t="inlineStr">
        <is>
          <t>Routine</t>
        </is>
      </c>
      <c r="G152" t="inlineStr">
        <is>
          <t>Receipt not entered in Odoo; matches open INV/2026/03474 | DIRECT CREDIT GREYSTANESBUILDI INV 3474</t>
        </is>
      </c>
      <c r="H152" s="9">
        <f>INDEX('Match Groups'!$L$5:$L$1326,MATCH(D152,'Match Groups'!$A$5:$A$1326,0))</f>
        <v>6820</v>
      </c>
      <c r="I152" s="9" t="n">
        <v>0</v>
      </c>
      <c r="J152" t="inlineStr">
        <is>
          <t>AR officer</t>
        </is>
      </c>
      <c r="K152" t="inlineStr">
        <is>
          <t>Register the payment against the open invoice(s) listed in Allocations, then reconcile.</t>
        </is>
      </c>
      <c r="L152" t="inlineStr">
        <is>
          <t>J148</t>
        </is>
      </c>
      <c r="M152" t="inlineStr">
        <is>
          <t>Proposed</t>
        </is>
      </c>
      <c r="N152" t="str">
        <f>TEXT(C152,"yyyy-mm")</f>
        <v>2026-08</v>
      </c>
      <c r="O152" s="9">
        <f>ROUND(SUMIFS('Bank Lines'!$E$5:$E$1640,'Bank Lines'!$G$5:$G$1640,D152),2)</f>
        <v>6820</v>
      </c>
    </row>
    <row r="153">
      <c r="A153" t="inlineStr">
        <is>
          <t>EX149</t>
        </is>
      </c>
      <c r="B153" t="inlineStr">
        <is>
          <t>OPS</t>
        </is>
      </c>
      <c r="C153" s="5" t="n">
        <v>46260</v>
      </c>
      <c r="D153" t="inlineStr">
        <is>
          <t>G01191</t>
        </is>
      </c>
      <c r="E153" t="inlineStr">
        <is>
          <t>REG</t>
        </is>
      </c>
      <c r="F153" t="inlineStr">
        <is>
          <t>Routine</t>
        </is>
      </c>
      <c r="G153" t="inlineStr">
        <is>
          <t>Receipt not entered in Odoo; matches open INV/2026/03488 | DIRECT CREDIT LINFIELD DAIRY CO INV03488</t>
        </is>
      </c>
      <c r="H153" s="9">
        <f>INDEX('Match Groups'!$L$5:$L$1326,MATCH(D153,'Match Groups'!$A$5:$A$1326,0))</f>
        <v>2186.25</v>
      </c>
      <c r="I153" s="9" t="n">
        <v>0</v>
      </c>
      <c r="J153" t="inlineStr">
        <is>
          <t>AR officer</t>
        </is>
      </c>
      <c r="K153" t="inlineStr">
        <is>
          <t>Register the payment against the open invoice(s) listed in Allocations, then reconcile.</t>
        </is>
      </c>
      <c r="L153" t="inlineStr">
        <is>
          <t>J149</t>
        </is>
      </c>
      <c r="M153" t="inlineStr">
        <is>
          <t>Proposed</t>
        </is>
      </c>
      <c r="N153" t="str">
        <f>TEXT(C153,"yyyy-mm")</f>
        <v>2026-08</v>
      </c>
      <c r="O153" s="9">
        <f>ROUND(SUMIFS('Bank Lines'!$E$5:$E$1640,'Bank Lines'!$G$5:$G$1640,D153),2)</f>
        <v>2186.25</v>
      </c>
    </row>
    <row r="154">
      <c r="A154" t="inlineStr">
        <is>
          <t>EX150</t>
        </is>
      </c>
      <c r="B154" t="inlineStr">
        <is>
          <t>OPS</t>
        </is>
      </c>
      <c r="C154" s="5" t="n">
        <v>46260</v>
      </c>
      <c r="D154" t="inlineStr">
        <is>
          <t>G01192</t>
        </is>
      </c>
      <c r="E154" t="inlineStr">
        <is>
          <t>REG</t>
        </is>
      </c>
      <c r="F154" t="inlineStr">
        <is>
          <t>Routine</t>
        </is>
      </c>
      <c r="G154" t="inlineStr">
        <is>
          <t>Receipt not entered in Odoo; matches open INV/2026/03490 | DIRECT CREDIT PEREGRINE SECURITY INV 3490</t>
        </is>
      </c>
      <c r="H154" s="9">
        <f>INDEX('Match Groups'!$L$5:$L$1326,MATCH(D154,'Match Groups'!$A$5:$A$1326,0))</f>
        <v>10876.25</v>
      </c>
      <c r="I154" s="9" t="n">
        <v>0</v>
      </c>
      <c r="J154" t="inlineStr">
        <is>
          <t>AR officer</t>
        </is>
      </c>
      <c r="K154" t="inlineStr">
        <is>
          <t>Register the payment against the open invoice(s) listed in Allocations, then reconcile.</t>
        </is>
      </c>
      <c r="L154" t="inlineStr">
        <is>
          <t>J150</t>
        </is>
      </c>
      <c r="M154" t="inlineStr">
        <is>
          <t>Proposed</t>
        </is>
      </c>
      <c r="N154" t="str">
        <f>TEXT(C154,"yyyy-mm")</f>
        <v>2026-08</v>
      </c>
      <c r="O154" s="9">
        <f>ROUND(SUMIFS('Bank Lines'!$E$5:$E$1640,'Bank Lines'!$G$5:$G$1640,D154),2)</f>
        <v>10876.25</v>
      </c>
    </row>
    <row r="155">
      <c r="A155" t="inlineStr">
        <is>
          <t>EX151</t>
        </is>
      </c>
      <c r="B155" t="inlineStr">
        <is>
          <t>OPS</t>
        </is>
      </c>
      <c r="C155" s="5" t="n">
        <v>46266</v>
      </c>
      <c r="D155" t="inlineStr">
        <is>
          <t>G01193</t>
        </is>
      </c>
      <c r="E155" t="inlineStr">
        <is>
          <t>REGBILL</t>
        </is>
      </c>
      <c r="F155" t="inlineStr">
        <is>
          <t>Routine</t>
        </is>
      </c>
      <c r="G155" t="inlineStr">
        <is>
          <t>Direct debit not entered in Odoo; matches open BILL/2026/1022 | DIRECT DEBIT NORTHCOTE RETAIL H 709752</t>
        </is>
      </c>
      <c r="H155" s="9">
        <f>INDEX('Match Groups'!$L$5:$L$1326,MATCH(D155,'Match Groups'!$A$5:$A$1326,0))</f>
        <v>-9680</v>
      </c>
      <c r="I155" s="9" t="n">
        <v>0</v>
      </c>
      <c r="J155" t="inlineStr">
        <is>
          <t>AP officer</t>
        </is>
      </c>
      <c r="K155" t="inlineStr">
        <is>
          <t>Register the payment against the open bill, then reconcile.</t>
        </is>
      </c>
      <c r="L155" t="inlineStr">
        <is>
          <t>J151</t>
        </is>
      </c>
      <c r="M155" t="inlineStr">
        <is>
          <t>Proposed</t>
        </is>
      </c>
      <c r="N155" t="str">
        <f>TEXT(C155,"yyyy-mm")</f>
        <v>2026-09</v>
      </c>
      <c r="O155" s="9">
        <f>ROUND(SUMIFS('Bank Lines'!$E$5:$E$1640,'Bank Lines'!$G$5:$G$1640,D155),2)</f>
        <v>-9680</v>
      </c>
    </row>
    <row r="156">
      <c r="A156" t="inlineStr">
        <is>
          <t>EX152</t>
        </is>
      </c>
      <c r="B156" t="inlineStr">
        <is>
          <t>OPS</t>
        </is>
      </c>
      <c r="C156" s="5" t="n">
        <v>46266</v>
      </c>
      <c r="D156" t="inlineStr">
        <is>
          <t>G01194</t>
        </is>
      </c>
      <c r="E156" t="inlineStr">
        <is>
          <t>REGBILL</t>
        </is>
      </c>
      <c r="F156" t="inlineStr">
        <is>
          <t>Routine</t>
        </is>
      </c>
      <c r="G156" t="inlineStr">
        <is>
          <t>Direct debit not entered in Odoo; matches open BILL/2026/1024 | DIRECT DEBIT MOORABBIN OFFICE P 955352</t>
        </is>
      </c>
      <c r="H156" s="9">
        <f>INDEX('Match Groups'!$L$5:$L$1326,MATCH(D156,'Match Groups'!$A$5:$A$1326,0))</f>
        <v>-7425</v>
      </c>
      <c r="I156" s="9" t="n">
        <v>0</v>
      </c>
      <c r="J156" t="inlineStr">
        <is>
          <t>AP officer</t>
        </is>
      </c>
      <c r="K156" t="inlineStr">
        <is>
          <t>Register the payment against the open bill, then reconcile.</t>
        </is>
      </c>
      <c r="L156" t="inlineStr">
        <is>
          <t>J152</t>
        </is>
      </c>
      <c r="M156" t="inlineStr">
        <is>
          <t>Proposed</t>
        </is>
      </c>
      <c r="N156" t="str">
        <f>TEXT(C156,"yyyy-mm")</f>
        <v>2026-09</v>
      </c>
      <c r="O156" s="9">
        <f>ROUND(SUMIFS('Bank Lines'!$E$5:$E$1640,'Bank Lines'!$G$5:$G$1640,D156),2)</f>
        <v>-7425</v>
      </c>
    </row>
    <row r="157">
      <c r="A157" t="inlineStr">
        <is>
          <t>EX153</t>
        </is>
      </c>
      <c r="B157" t="inlineStr">
        <is>
          <t>OPS</t>
        </is>
      </c>
      <c r="C157" s="5" t="n">
        <v>46268</v>
      </c>
      <c r="D157" t="inlineStr">
        <is>
          <t>G01195</t>
        </is>
      </c>
      <c r="E157" t="inlineStr">
        <is>
          <t>REG</t>
        </is>
      </c>
      <c r="F157" t="inlineStr">
        <is>
          <t>Routine</t>
        </is>
      </c>
      <c r="G157" t="inlineStr">
        <is>
          <t>Receipt not entered in Odoo; matches open INV/2026/03536 | DIRECT CREDIT WESTMERE COUNCIL S INV 3536</t>
        </is>
      </c>
      <c r="H157" s="9">
        <f>INDEX('Match Groups'!$L$5:$L$1326,MATCH(D157,'Match Groups'!$A$5:$A$1326,0))</f>
        <v>3547.5</v>
      </c>
      <c r="I157" s="9" t="n">
        <v>0</v>
      </c>
      <c r="J157" t="inlineStr">
        <is>
          <t>AR officer</t>
        </is>
      </c>
      <c r="K157" t="inlineStr">
        <is>
          <t>Register the payment against the open invoice(s) listed in Allocations, then reconcile.</t>
        </is>
      </c>
      <c r="L157" t="inlineStr">
        <is>
          <t>J153</t>
        </is>
      </c>
      <c r="M157" t="inlineStr">
        <is>
          <t>Proposed</t>
        </is>
      </c>
      <c r="N157" t="str">
        <f>TEXT(C157,"yyyy-mm")</f>
        <v>2026-09</v>
      </c>
      <c r="O157" s="9">
        <f>ROUND(SUMIFS('Bank Lines'!$E$5:$E$1640,'Bank Lines'!$G$5:$G$1640,D157),2)</f>
        <v>3547.5</v>
      </c>
    </row>
    <row r="158">
      <c r="A158" t="inlineStr">
        <is>
          <t>EX154</t>
        </is>
      </c>
      <c r="B158" t="inlineStr">
        <is>
          <t>OPS</t>
        </is>
      </c>
      <c r="C158" s="5" t="n">
        <v>46268</v>
      </c>
      <c r="D158" t="inlineStr">
        <is>
          <t>G01196</t>
        </is>
      </c>
      <c r="E158" t="inlineStr">
        <is>
          <t>NOBILL</t>
        </is>
      </c>
      <c r="F158" t="inlineStr">
        <is>
          <t>Decision</t>
        </is>
      </c>
      <c r="G158" t="inlineStr">
        <is>
          <t>Direct debit from Clinic Practice Software AU with no bill in Odoo; request the tax invoice | DIRECT DEBIT CLINIC PRACTICE SOFT</t>
        </is>
      </c>
      <c r="H158" s="9">
        <f>INDEX('Match Groups'!$L$5:$L$1326,MATCH(D158,'Match Groups'!$A$5:$A$1326,0))</f>
        <v>-1870</v>
      </c>
      <c r="I158" s="9">
        <f>ROUND(-H158/11,2)</f>
        <v>170</v>
      </c>
      <c r="J158" t="inlineStr">
        <is>
          <t>AP officer</t>
        </is>
      </c>
      <c r="K158" t="inlineStr">
        <is>
          <t>Request the tax invoice; post the expense now and hold the GST claim until the invoice is on file.</t>
        </is>
      </c>
      <c r="L158" t="inlineStr">
        <is>
          <t>J154</t>
        </is>
      </c>
      <c r="M158" t="inlineStr">
        <is>
          <t>Awaiting decision</t>
        </is>
      </c>
      <c r="N158" t="str">
        <f>TEXT(C158,"yyyy-mm")</f>
        <v>2026-09</v>
      </c>
      <c r="O158" s="9">
        <f>ROUND(SUMIFS('Bank Lines'!$E$5:$E$1640,'Bank Lines'!$G$5:$G$1640,D158),2)</f>
        <v>-1870</v>
      </c>
    </row>
    <row r="159">
      <c r="A159" t="inlineStr">
        <is>
          <t>EX155</t>
        </is>
      </c>
      <c r="B159" t="inlineStr">
        <is>
          <t>OPS</t>
        </is>
      </c>
      <c r="C159" s="5" t="n">
        <v>46269</v>
      </c>
      <c r="D159" t="inlineStr">
        <is>
          <t>G01197</t>
        </is>
      </c>
      <c r="E159" t="inlineStr">
        <is>
          <t>REG</t>
        </is>
      </c>
      <c r="F159" t="inlineStr">
        <is>
          <t>Routine</t>
        </is>
      </c>
      <c r="G159" t="inlineStr">
        <is>
          <t>Receipt not entered in Odoo; matches open INV/2026/02735 | DIRECT CREDIT UNITY WORKCOVER AGEN CLM5741224 RE INV 2026 02735</t>
        </is>
      </c>
      <c r="H159" s="9">
        <f>INDEX('Match Groups'!$L$5:$L$1326,MATCH(D159,'Match Groups'!$A$5:$A$1326,0))</f>
        <v>412.5</v>
      </c>
      <c r="I159" s="9" t="n">
        <v>0</v>
      </c>
      <c r="J159" t="inlineStr">
        <is>
          <t>AR officer</t>
        </is>
      </c>
      <c r="K159" t="inlineStr">
        <is>
          <t>Register the payment against the open invoice(s) listed in Allocations, then reconcile.</t>
        </is>
      </c>
      <c r="L159" t="inlineStr">
        <is>
          <t>J155</t>
        </is>
      </c>
      <c r="M159" t="inlineStr">
        <is>
          <t>Proposed</t>
        </is>
      </c>
      <c r="N159" t="str">
        <f>TEXT(C159,"yyyy-mm")</f>
        <v>2026-09</v>
      </c>
      <c r="O159" s="9">
        <f>ROUND(SUMIFS('Bank Lines'!$E$5:$E$1640,'Bank Lines'!$G$5:$G$1640,D159),2)</f>
        <v>412.5</v>
      </c>
    </row>
    <row r="160">
      <c r="A160" t="inlineStr">
        <is>
          <t>EX156</t>
        </is>
      </c>
      <c r="B160" t="inlineStr">
        <is>
          <t>OPS</t>
        </is>
      </c>
      <c r="C160" s="5" t="n">
        <v>46273</v>
      </c>
      <c r="D160" t="inlineStr">
        <is>
          <t>G01198</t>
        </is>
      </c>
      <c r="E160" t="inlineStr">
        <is>
          <t>REGBILL</t>
        </is>
      </c>
      <c r="F160" t="inlineStr">
        <is>
          <t>Routine</t>
        </is>
      </c>
      <c r="G160" t="inlineStr">
        <is>
          <t>Direct debit not entered in Odoo; matches open BILL/2026/1028 | DIRECT DEBIT FIBREWIRE NETWORKS 301755</t>
        </is>
      </c>
      <c r="H160" s="9">
        <f>INDEX('Match Groups'!$L$5:$L$1326,MATCH(D160,'Match Groups'!$A$5:$A$1326,0))</f>
        <v>-649</v>
      </c>
      <c r="I160" s="9" t="n">
        <v>0</v>
      </c>
      <c r="J160" t="inlineStr">
        <is>
          <t>AP officer</t>
        </is>
      </c>
      <c r="K160" t="inlineStr">
        <is>
          <t>Register the payment against the open bill, then reconcile.</t>
        </is>
      </c>
      <c r="L160" t="inlineStr">
        <is>
          <t>J156</t>
        </is>
      </c>
      <c r="M160" t="inlineStr">
        <is>
          <t>Proposed</t>
        </is>
      </c>
      <c r="N160" t="str">
        <f>TEXT(C160,"yyyy-mm")</f>
        <v>2026-09</v>
      </c>
      <c r="O160" s="9">
        <f>ROUND(SUMIFS('Bank Lines'!$E$5:$E$1640,'Bank Lines'!$G$5:$G$1640,D160),2)</f>
        <v>-649</v>
      </c>
    </row>
    <row r="161">
      <c r="A161" t="inlineStr">
        <is>
          <t>EX157</t>
        </is>
      </c>
      <c r="B161" t="inlineStr">
        <is>
          <t>OPS</t>
        </is>
      </c>
      <c r="C161" s="5" t="n">
        <v>46274</v>
      </c>
      <c r="D161" t="inlineStr">
        <is>
          <t>G01199</t>
        </is>
      </c>
      <c r="E161" t="inlineStr">
        <is>
          <t>REG</t>
        </is>
      </c>
      <c r="F161" t="inlineStr">
        <is>
          <t>Routine</t>
        </is>
      </c>
      <c r="G161" t="inlineStr">
        <is>
          <t>Receipt not entered in Odoo; matches open INV/2026/02796 | DIRECT CREDIT HARBOURMUTUALHEA CLM5797046 RE INV 2026 02796</t>
        </is>
      </c>
      <c r="H161" s="9">
        <f>INDEX('Match Groups'!$L$5:$L$1326,MATCH(D161,'Match Groups'!$A$5:$A$1326,0))</f>
        <v>990</v>
      </c>
      <c r="I161" s="9" t="n">
        <v>0</v>
      </c>
      <c r="J161" t="inlineStr">
        <is>
          <t>AR officer</t>
        </is>
      </c>
      <c r="K161" t="inlineStr">
        <is>
          <t>Register the payment against the open invoice(s) listed in Allocations, then reconcile.</t>
        </is>
      </c>
      <c r="L161" t="inlineStr">
        <is>
          <t>J157</t>
        </is>
      </c>
      <c r="M161" t="inlineStr">
        <is>
          <t>Proposed</t>
        </is>
      </c>
      <c r="N161" t="str">
        <f>TEXT(C161,"yyyy-mm")</f>
        <v>2026-09</v>
      </c>
      <c r="O161" s="9">
        <f>ROUND(SUMIFS('Bank Lines'!$E$5:$E$1640,'Bank Lines'!$G$5:$G$1640,D161),2)</f>
        <v>990</v>
      </c>
    </row>
    <row r="162">
      <c r="A162" t="inlineStr">
        <is>
          <t>EX158</t>
        </is>
      </c>
      <c r="B162" t="inlineStr">
        <is>
          <t>OPS</t>
        </is>
      </c>
      <c r="C162" s="5" t="n">
        <v>46276</v>
      </c>
      <c r="D162" t="inlineStr">
        <is>
          <t>G01200</t>
        </is>
      </c>
      <c r="E162" t="inlineStr">
        <is>
          <t>REG</t>
        </is>
      </c>
      <c r="F162" t="inlineStr">
        <is>
          <t>Routine</t>
        </is>
      </c>
      <c r="G162" t="inlineStr">
        <is>
          <t>Receipt not entered in Odoo; matches open INV/2026/02951 | DIRECT CREDIT NORTHLINE INJURY CLAIM CLM5310416 RE INV 2026 02951</t>
        </is>
      </c>
      <c r="H162" s="9">
        <f>INDEX('Match Groups'!$L$5:$L$1326,MATCH(D162,'Match Groups'!$A$5:$A$1326,0))</f>
        <v>176</v>
      </c>
      <c r="I162" s="9" t="n">
        <v>0</v>
      </c>
      <c r="J162" t="inlineStr">
        <is>
          <t>AR officer</t>
        </is>
      </c>
      <c r="K162" t="inlineStr">
        <is>
          <t>Register the payment against the open invoice(s) listed in Allocations, then reconcile.</t>
        </is>
      </c>
      <c r="L162" t="inlineStr">
        <is>
          <t>J158</t>
        </is>
      </c>
      <c r="M162" t="inlineStr">
        <is>
          <t>Proposed</t>
        </is>
      </c>
      <c r="N162" t="str">
        <f>TEXT(C162,"yyyy-mm")</f>
        <v>2026-09</v>
      </c>
      <c r="O162" s="9">
        <f>ROUND(SUMIFS('Bank Lines'!$E$5:$E$1640,'Bank Lines'!$G$5:$G$1640,D162),2)</f>
        <v>176</v>
      </c>
    </row>
    <row r="163">
      <c r="A163" t="inlineStr">
        <is>
          <t>EX159</t>
        </is>
      </c>
      <c r="B163" t="inlineStr">
        <is>
          <t>OPS</t>
        </is>
      </c>
      <c r="C163" s="5" t="n">
        <v>46280</v>
      </c>
      <c r="D163" t="inlineStr">
        <is>
          <t>G01201</t>
        </is>
      </c>
      <c r="E163" t="inlineStr">
        <is>
          <t>REGBILL</t>
        </is>
      </c>
      <c r="F163" t="inlineStr">
        <is>
          <t>Routine</t>
        </is>
      </c>
      <c r="G163" t="inlineStr">
        <is>
          <t>Direct debit not entered in Odoo; matches open BILL/2026/1025 | DIRECT DEBIT FLEETWISE VEHICLE LE 648292</t>
        </is>
      </c>
      <c r="H163" s="9">
        <f>INDEX('Match Groups'!$L$5:$L$1326,MATCH(D163,'Match Groups'!$A$5:$A$1326,0))</f>
        <v>-3184.62</v>
      </c>
      <c r="I163" s="9" t="n">
        <v>0</v>
      </c>
      <c r="J163" t="inlineStr">
        <is>
          <t>AP officer</t>
        </is>
      </c>
      <c r="K163" t="inlineStr">
        <is>
          <t>Register the payment against the open bill, then reconcile.</t>
        </is>
      </c>
      <c r="L163" t="inlineStr">
        <is>
          <t>J159</t>
        </is>
      </c>
      <c r="M163" t="inlineStr">
        <is>
          <t>Proposed</t>
        </is>
      </c>
      <c r="N163" t="str">
        <f>TEXT(C163,"yyyy-mm")</f>
        <v>2026-09</v>
      </c>
      <c r="O163" s="9">
        <f>ROUND(SUMIFS('Bank Lines'!$E$5:$E$1640,'Bank Lines'!$G$5:$G$1640,D163),2)</f>
        <v>-3184.62</v>
      </c>
    </row>
    <row r="164">
      <c r="A164" t="inlineStr">
        <is>
          <t>EX160</t>
        </is>
      </c>
      <c r="B164" t="inlineStr">
        <is>
          <t>OPS</t>
        </is>
      </c>
      <c r="C164" s="5" t="n">
        <v>46281</v>
      </c>
      <c r="D164" t="inlineStr">
        <is>
          <t>G01202</t>
        </is>
      </c>
      <c r="E164" t="inlineStr">
        <is>
          <t>REG</t>
        </is>
      </c>
      <c r="F164" t="inlineStr">
        <is>
          <t>Routine</t>
        </is>
      </c>
      <c r="G164" t="inlineStr">
        <is>
          <t>Receipt not entered in Odoo; matches open INV/2026/02926 | DIRECT CREDIT COASTLINE HEALTH FUND CLM5576852 02926</t>
        </is>
      </c>
      <c r="H164" s="9">
        <f>INDEX('Match Groups'!$L$5:$L$1326,MATCH(D164,'Match Groups'!$A$5:$A$1326,0))</f>
        <v>176</v>
      </c>
      <c r="I164" s="9" t="n">
        <v>0</v>
      </c>
      <c r="J164" t="inlineStr">
        <is>
          <t>AR officer</t>
        </is>
      </c>
      <c r="K164" t="inlineStr">
        <is>
          <t>Register the payment against the open invoice(s) listed in Allocations, then reconcile.</t>
        </is>
      </c>
      <c r="L164" t="inlineStr">
        <is>
          <t>J160</t>
        </is>
      </c>
      <c r="M164" t="inlineStr">
        <is>
          <t>Proposed</t>
        </is>
      </c>
      <c r="N164" t="str">
        <f>TEXT(C164,"yyyy-mm")</f>
        <v>2026-09</v>
      </c>
      <c r="O164" s="9">
        <f>ROUND(SUMIFS('Bank Lines'!$E$5:$E$1640,'Bank Lines'!$G$5:$G$1640,D164),2)</f>
        <v>176</v>
      </c>
    </row>
    <row r="165">
      <c r="A165" t="inlineStr">
        <is>
          <t>EX161</t>
        </is>
      </c>
      <c r="B165" t="inlineStr">
        <is>
          <t>OPS</t>
        </is>
      </c>
      <c r="C165" s="5" t="n">
        <v>46288</v>
      </c>
      <c r="D165" t="inlineStr">
        <is>
          <t>G01203</t>
        </is>
      </c>
      <c r="E165" t="inlineStr">
        <is>
          <t>REG</t>
        </is>
      </c>
      <c r="F165" t="inlineStr">
        <is>
          <t>Routine</t>
        </is>
      </c>
      <c r="G165" t="inlineStr">
        <is>
          <t>Receipt not entered in Odoo; matches open INV/2026/03120 | DIRECT CREDIT UNITY WORKCOVER AGEN CLM5907014 INV03120</t>
        </is>
      </c>
      <c r="H165" s="9">
        <f>INDEX('Match Groups'!$L$5:$L$1326,MATCH(D165,'Match Groups'!$A$5:$A$1326,0))</f>
        <v>176</v>
      </c>
      <c r="I165" s="9" t="n">
        <v>0</v>
      </c>
      <c r="J165" t="inlineStr">
        <is>
          <t>AR officer</t>
        </is>
      </c>
      <c r="K165" t="inlineStr">
        <is>
          <t>Register the payment against the open invoice(s) listed in Allocations, then reconcile.</t>
        </is>
      </c>
      <c r="L165" t="inlineStr">
        <is>
          <t>J161</t>
        </is>
      </c>
      <c r="M165" t="inlineStr">
        <is>
          <t>Proposed</t>
        </is>
      </c>
      <c r="N165" t="str">
        <f>TEXT(C165,"yyyy-mm")</f>
        <v>2026-09</v>
      </c>
      <c r="O165" s="9">
        <f>ROUND(SUMIFS('Bank Lines'!$E$5:$E$1640,'Bank Lines'!$G$5:$G$1640,D165),2)</f>
        <v>176</v>
      </c>
    </row>
    <row r="166">
      <c r="A166" t="inlineStr">
        <is>
          <t>EX162</t>
        </is>
      </c>
      <c r="B166" t="inlineStr">
        <is>
          <t>OPS</t>
        </is>
      </c>
      <c r="C166" s="5" t="n">
        <v>46288</v>
      </c>
      <c r="D166" t="inlineStr">
        <is>
          <t>G01204</t>
        </is>
      </c>
      <c r="E166" t="inlineStr">
        <is>
          <t>REG</t>
        </is>
      </c>
      <c r="F166" t="inlineStr">
        <is>
          <t>Routine</t>
        </is>
      </c>
      <c r="G166" t="inlineStr">
        <is>
          <t>Receipt not entered in Odoo; matches open INV/2026/03149 | DIRECT CREDIT UNITY WORKCOVER AG CLM5258722 03149</t>
        </is>
      </c>
      <c r="H166" s="9">
        <f>INDEX('Match Groups'!$L$5:$L$1326,MATCH(D166,'Match Groups'!$A$5:$A$1326,0))</f>
        <v>264</v>
      </c>
      <c r="I166" s="9" t="n">
        <v>0</v>
      </c>
      <c r="J166" t="inlineStr">
        <is>
          <t>AR officer</t>
        </is>
      </c>
      <c r="K166" t="inlineStr">
        <is>
          <t>Register the payment against the open invoice(s) listed in Allocations, then reconcile.</t>
        </is>
      </c>
      <c r="L166" t="inlineStr">
        <is>
          <t>J162</t>
        </is>
      </c>
      <c r="M166" t="inlineStr">
        <is>
          <t>Proposed</t>
        </is>
      </c>
      <c r="N166" t="str">
        <f>TEXT(C166,"yyyy-mm")</f>
        <v>2026-09</v>
      </c>
      <c r="O166" s="9">
        <f>ROUND(SUMIFS('Bank Lines'!$E$5:$E$1640,'Bank Lines'!$G$5:$G$1640,D166),2)</f>
        <v>264</v>
      </c>
    </row>
    <row r="167">
      <c r="A167" t="inlineStr">
        <is>
          <t>EX163</t>
        </is>
      </c>
      <c r="B167" t="inlineStr">
        <is>
          <t>OPS</t>
        </is>
      </c>
      <c r="C167" s="5" t="n">
        <v>46290</v>
      </c>
      <c r="D167" t="inlineStr">
        <is>
          <t>G01205</t>
        </is>
      </c>
      <c r="E167" t="inlineStr">
        <is>
          <t>REG</t>
        </is>
      </c>
      <c r="F167" t="inlineStr">
        <is>
          <t>Routine</t>
        </is>
      </c>
      <c r="G167" t="inlineStr">
        <is>
          <t>Receipt not entered in Odoo; matches open INV/2026/03189 | DIRECT CREDIT COASTLINE HEALTH FUN CLM5990758 03189</t>
        </is>
      </c>
      <c r="H167" s="9">
        <f>INDEX('Match Groups'!$L$5:$L$1326,MATCH(D167,'Match Groups'!$A$5:$A$1326,0))</f>
        <v>264</v>
      </c>
      <c r="I167" s="9" t="n">
        <v>0</v>
      </c>
      <c r="J167" t="inlineStr">
        <is>
          <t>AR officer</t>
        </is>
      </c>
      <c r="K167" t="inlineStr">
        <is>
          <t>Register the payment against the open invoice(s) listed in Allocations, then reconcile.</t>
        </is>
      </c>
      <c r="L167" t="inlineStr">
        <is>
          <t>J163</t>
        </is>
      </c>
      <c r="M167" t="inlineStr">
        <is>
          <t>Proposed</t>
        </is>
      </c>
      <c r="N167" t="str">
        <f>TEXT(C167,"yyyy-mm")</f>
        <v>2026-09</v>
      </c>
      <c r="O167" s="9">
        <f>ROUND(SUMIFS('Bank Lines'!$E$5:$E$1640,'Bank Lines'!$G$5:$G$1640,D167),2)</f>
        <v>264</v>
      </c>
    </row>
    <row r="168">
      <c r="A168" t="inlineStr">
        <is>
          <t>EX164</t>
        </is>
      </c>
      <c r="B168" t="inlineStr">
        <is>
          <t>OPS</t>
        </is>
      </c>
      <c r="C168" s="5" t="n">
        <v>46290</v>
      </c>
      <c r="D168" t="inlineStr">
        <is>
          <t>G01206</t>
        </is>
      </c>
      <c r="E168" t="inlineStr">
        <is>
          <t>REG</t>
        </is>
      </c>
      <c r="F168" t="inlineStr">
        <is>
          <t>Routine</t>
        </is>
      </c>
      <c r="G168" t="inlineStr">
        <is>
          <t>Receipt not entered in Odoo; matches open INV/2026/03535 | DIRECT CREDIT WESTMERECOUNCILS INV 3535</t>
        </is>
      </c>
      <c r="H168" s="9">
        <f>INDEX('Match Groups'!$L$5:$L$1326,MATCH(D168,'Match Groups'!$A$5:$A$1326,0))</f>
        <v>16101.25</v>
      </c>
      <c r="I168" s="9" t="n">
        <v>0</v>
      </c>
      <c r="J168" t="inlineStr">
        <is>
          <t>AR officer</t>
        </is>
      </c>
      <c r="K168" t="inlineStr">
        <is>
          <t>Register the payment against the open invoice(s) listed in Allocations, then reconcile.</t>
        </is>
      </c>
      <c r="L168" t="inlineStr">
        <is>
          <t>J164</t>
        </is>
      </c>
      <c r="M168" t="inlineStr">
        <is>
          <t>Proposed</t>
        </is>
      </c>
      <c r="N168" t="str">
        <f>TEXT(C168,"yyyy-mm")</f>
        <v>2026-09</v>
      </c>
      <c r="O168" s="9">
        <f>ROUND(SUMIFS('Bank Lines'!$E$5:$E$1640,'Bank Lines'!$G$5:$G$1640,D168),2)</f>
        <v>16101.25</v>
      </c>
    </row>
    <row r="169">
      <c r="A169" t="inlineStr">
        <is>
          <t>EX165</t>
        </is>
      </c>
      <c r="B169" t="inlineStr">
        <is>
          <t>OPS</t>
        </is>
      </c>
      <c r="C169" s="5" t="n">
        <v>46290</v>
      </c>
      <c r="D169" t="inlineStr">
        <is>
          <t>G01207</t>
        </is>
      </c>
      <c r="E169" t="inlineStr">
        <is>
          <t>REG</t>
        </is>
      </c>
      <c r="F169" t="inlineStr">
        <is>
          <t>Routine</t>
        </is>
      </c>
      <c r="G169" t="inlineStr">
        <is>
          <t>Receipt not entered in Odoo; matches open INV/2026/03560 | DIRECT CREDIT MORNANE ELECTRICAL</t>
        </is>
      </c>
      <c r="H169" s="9">
        <f>INDEX('Match Groups'!$L$5:$L$1326,MATCH(D169,'Match Groups'!$A$5:$A$1326,0))</f>
        <v>2722.5</v>
      </c>
      <c r="I169" s="9" t="n">
        <v>0</v>
      </c>
      <c r="J169" t="inlineStr">
        <is>
          <t>AR officer</t>
        </is>
      </c>
      <c r="K169" t="inlineStr">
        <is>
          <t>Register the payment against the open invoice(s) listed in Allocations, then reconcile.</t>
        </is>
      </c>
      <c r="L169" t="inlineStr">
        <is>
          <t>J165</t>
        </is>
      </c>
      <c r="M169" t="inlineStr">
        <is>
          <t>Proposed</t>
        </is>
      </c>
      <c r="N169" t="str">
        <f>TEXT(C169,"yyyy-mm")</f>
        <v>2026-09</v>
      </c>
      <c r="O169" s="9">
        <f>ROUND(SUMIFS('Bank Lines'!$E$5:$E$1640,'Bank Lines'!$G$5:$G$1640,D169),2)</f>
        <v>2722.5</v>
      </c>
    </row>
    <row r="170">
      <c r="A170" t="inlineStr">
        <is>
          <t>EX166</t>
        </is>
      </c>
      <c r="B170" t="inlineStr">
        <is>
          <t>OPS</t>
        </is>
      </c>
      <c r="C170" s="5" t="n">
        <v>46293</v>
      </c>
      <c r="D170" t="inlineStr">
        <is>
          <t>G01208</t>
        </is>
      </c>
      <c r="E170" t="inlineStr">
        <is>
          <t>REG</t>
        </is>
      </c>
      <c r="F170" t="inlineStr">
        <is>
          <t>Routine</t>
        </is>
      </c>
      <c r="G170" t="inlineStr">
        <is>
          <t>Receipt not entered in Odoo; matches open INV/2026/03547 | DIRECT CREDIT DAINTREE PACKAGING PTY INV 3547</t>
        </is>
      </c>
      <c r="H170" s="9">
        <f>INDEX('Match Groups'!$L$5:$L$1326,MATCH(D170,'Match Groups'!$A$5:$A$1326,0))</f>
        <v>2722.5</v>
      </c>
      <c r="I170" s="9" t="n">
        <v>0</v>
      </c>
      <c r="J170" t="inlineStr">
        <is>
          <t>AR officer</t>
        </is>
      </c>
      <c r="K170" t="inlineStr">
        <is>
          <t>Register the payment against the open invoice(s) listed in Allocations, then reconcile.</t>
        </is>
      </c>
      <c r="L170" t="inlineStr">
        <is>
          <t>J166</t>
        </is>
      </c>
      <c r="M170" t="inlineStr">
        <is>
          <t>Proposed</t>
        </is>
      </c>
      <c r="N170" t="str">
        <f>TEXT(C170,"yyyy-mm")</f>
        <v>2026-09</v>
      </c>
      <c r="O170" s="9">
        <f>ROUND(SUMIFS('Bank Lines'!$E$5:$E$1640,'Bank Lines'!$G$5:$G$1640,D170),2)</f>
        <v>2722.5</v>
      </c>
    </row>
    <row r="171">
      <c r="A171" t="inlineStr">
        <is>
          <t>EX167</t>
        </is>
      </c>
      <c r="B171" t="inlineStr">
        <is>
          <t>OPS</t>
        </is>
      </c>
      <c r="C171" s="5" t="n">
        <v>46234</v>
      </c>
      <c r="D171" t="inlineStr">
        <is>
          <t>G01209</t>
        </is>
      </c>
      <c r="E171" t="inlineStr">
        <is>
          <t>FEE</t>
        </is>
      </c>
      <c r="F171" t="inlineStr">
        <is>
          <t>Routine</t>
        </is>
      </c>
      <c r="G171" t="inlineStr">
        <is>
          <t>ACCOUNT KEEPING FEE</t>
        </is>
      </c>
      <c r="H171" s="9">
        <f>INDEX('Match Groups'!$L$5:$L$1326,MATCH(D171,'Match Groups'!$A$5:$A$1326,0))</f>
        <v>-30</v>
      </c>
      <c r="I171" s="9" t="n">
        <v>0</v>
      </c>
      <c r="J171" t="inlineStr">
        <is>
          <t>Bookkeeper</t>
        </is>
      </c>
      <c r="K171" t="inlineStr">
        <is>
          <t>Post bank fee (input taxed, no GST).</t>
        </is>
      </c>
      <c r="L171" t="inlineStr">
        <is>
          <t>J167</t>
        </is>
      </c>
      <c r="M171" t="inlineStr">
        <is>
          <t>Proposed</t>
        </is>
      </c>
      <c r="N171" t="str">
        <f>TEXT(C171,"yyyy-mm")</f>
        <v>2026-07</v>
      </c>
      <c r="O171" s="9">
        <f>ROUND(SUMIFS('Bank Lines'!$E$5:$E$1640,'Bank Lines'!$G$5:$G$1640,D171),2)</f>
        <v>-30</v>
      </c>
    </row>
    <row r="172">
      <c r="A172" t="inlineStr">
        <is>
          <t>EX168</t>
        </is>
      </c>
      <c r="B172" t="inlineStr">
        <is>
          <t>OPS</t>
        </is>
      </c>
      <c r="C172" s="5" t="n">
        <v>46234</v>
      </c>
      <c r="D172" t="inlineStr">
        <is>
          <t>G01210</t>
        </is>
      </c>
      <c r="E172" t="inlineStr">
        <is>
          <t>FEE</t>
        </is>
      </c>
      <c r="F172" t="inlineStr">
        <is>
          <t>Routine</t>
        </is>
      </c>
      <c r="G172" t="inlineStr">
        <is>
          <t>TRANSACTION FEES</t>
        </is>
      </c>
      <c r="H172" s="9">
        <f>INDEX('Match Groups'!$L$5:$L$1326,MATCH(D172,'Match Groups'!$A$5:$A$1326,0))</f>
        <v>-54.15</v>
      </c>
      <c r="I172" s="9" t="n">
        <v>0</v>
      </c>
      <c r="J172" t="inlineStr">
        <is>
          <t>Bookkeeper</t>
        </is>
      </c>
      <c r="K172" t="inlineStr">
        <is>
          <t>Post bank fee (input taxed, no GST).</t>
        </is>
      </c>
      <c r="L172" t="inlineStr">
        <is>
          <t>J168</t>
        </is>
      </c>
      <c r="M172" t="inlineStr">
        <is>
          <t>Proposed</t>
        </is>
      </c>
      <c r="N172" t="str">
        <f>TEXT(C172,"yyyy-mm")</f>
        <v>2026-07</v>
      </c>
      <c r="O172" s="9">
        <f>ROUND(SUMIFS('Bank Lines'!$E$5:$E$1640,'Bank Lines'!$G$5:$G$1640,D172),2)</f>
        <v>-54.15</v>
      </c>
    </row>
    <row r="173">
      <c r="A173" t="inlineStr">
        <is>
          <t>EX169</t>
        </is>
      </c>
      <c r="B173" t="inlineStr">
        <is>
          <t>OPS</t>
        </is>
      </c>
      <c r="C173" s="5" t="n">
        <v>46234</v>
      </c>
      <c r="D173" t="inlineStr">
        <is>
          <t>G01211</t>
        </is>
      </c>
      <c r="E173" t="inlineStr">
        <is>
          <t>INT</t>
        </is>
      </c>
      <c r="F173" t="inlineStr">
        <is>
          <t>Routine</t>
        </is>
      </c>
      <c r="G173" t="inlineStr">
        <is>
          <t>INTEREST CREDIT</t>
        </is>
      </c>
      <c r="H173" s="9">
        <f>INDEX('Match Groups'!$L$5:$L$1326,MATCH(D173,'Match Groups'!$A$5:$A$1326,0))</f>
        <v>383.96</v>
      </c>
      <c r="I173" s="9" t="n">
        <v>0</v>
      </c>
      <c r="J173" t="inlineStr">
        <is>
          <t>Bookkeeper</t>
        </is>
      </c>
      <c r="K173" t="inlineStr">
        <is>
          <t>Post interest received (input taxed, no GST).</t>
        </is>
      </c>
      <c r="L173" t="inlineStr">
        <is>
          <t>J169</t>
        </is>
      </c>
      <c r="M173" t="inlineStr">
        <is>
          <t>Proposed</t>
        </is>
      </c>
      <c r="N173" t="str">
        <f>TEXT(C173,"yyyy-mm")</f>
        <v>2026-07</v>
      </c>
      <c r="O173" s="9">
        <f>ROUND(SUMIFS('Bank Lines'!$E$5:$E$1640,'Bank Lines'!$G$5:$G$1640,D173),2)</f>
        <v>383.96</v>
      </c>
    </row>
    <row r="174">
      <c r="A174" t="inlineStr">
        <is>
          <t>EX170</t>
        </is>
      </c>
      <c r="B174" t="inlineStr">
        <is>
          <t>OPS</t>
        </is>
      </c>
      <c r="C174" s="5" t="n">
        <v>46241</v>
      </c>
      <c r="D174" t="inlineStr">
        <is>
          <t>G01212</t>
        </is>
      </c>
      <c r="E174" t="inlineStr">
        <is>
          <t>RETPAY</t>
        </is>
      </c>
      <c r="F174" t="inlineStr">
        <is>
          <t>Decision</t>
        </is>
      </c>
      <c r="G174" t="inlineStr">
        <is>
          <t>Payment to Paperline Stationery Pty returned from ABA batch 0416 (BILL/2026/0889); bank details wrong | RETURNED PAYMENT ABA0416 PAPERLINE STATIONE INVALID ACCT</t>
        </is>
      </c>
      <c r="H174" s="9">
        <f>INDEX('Match Groups'!$L$5:$L$1326,MATCH(D174,'Match Groups'!$A$5:$A$1326,0))</f>
        <v>5952.1</v>
      </c>
      <c r="I174" s="9" t="n">
        <v>0</v>
      </c>
      <c r="J174" t="inlineStr">
        <is>
          <t>AP officer</t>
        </is>
      </c>
      <c r="K174" t="inlineStr">
        <is>
          <t>Supplier payment returned (invalid account). Reopen the bill, confirm bank details by phone, pay again.</t>
        </is>
      </c>
      <c r="L174" t="inlineStr">
        <is>
          <t>J170</t>
        </is>
      </c>
      <c r="M174" t="inlineStr">
        <is>
          <t>Awaiting decision</t>
        </is>
      </c>
      <c r="N174" t="str">
        <f>TEXT(C174,"yyyy-mm")</f>
        <v>2026-08</v>
      </c>
      <c r="O174" s="9">
        <f>ROUND(SUMIFS('Bank Lines'!$E$5:$E$1640,'Bank Lines'!$G$5:$G$1640,D174),2)</f>
        <v>5952.1</v>
      </c>
    </row>
    <row r="175">
      <c r="A175" t="inlineStr">
        <is>
          <t>EX171</t>
        </is>
      </c>
      <c r="B175" t="inlineStr">
        <is>
          <t>OPS</t>
        </is>
      </c>
      <c r="C175" s="5" t="n">
        <v>46265</v>
      </c>
      <c r="D175" t="inlineStr">
        <is>
          <t>G01213</t>
        </is>
      </c>
      <c r="E175" t="inlineStr">
        <is>
          <t>FEE</t>
        </is>
      </c>
      <c r="F175" t="inlineStr">
        <is>
          <t>Routine</t>
        </is>
      </c>
      <c r="G175" t="inlineStr">
        <is>
          <t>ACCOUNT KEEPING FEE</t>
        </is>
      </c>
      <c r="H175" s="9">
        <f>INDEX('Match Groups'!$L$5:$L$1326,MATCH(D175,'Match Groups'!$A$5:$A$1326,0))</f>
        <v>-30</v>
      </c>
      <c r="I175" s="9" t="n">
        <v>0</v>
      </c>
      <c r="J175" t="inlineStr">
        <is>
          <t>Bookkeeper</t>
        </is>
      </c>
      <c r="K175" t="inlineStr">
        <is>
          <t>Post bank fee (input taxed, no GST).</t>
        </is>
      </c>
      <c r="L175" t="inlineStr">
        <is>
          <t>J171</t>
        </is>
      </c>
      <c r="M175" t="inlineStr">
        <is>
          <t>Proposed</t>
        </is>
      </c>
      <c r="N175" t="str">
        <f>TEXT(C175,"yyyy-mm")</f>
        <v>2026-08</v>
      </c>
      <c r="O175" s="9">
        <f>ROUND(SUMIFS('Bank Lines'!$E$5:$E$1640,'Bank Lines'!$G$5:$G$1640,D175),2)</f>
        <v>-30</v>
      </c>
    </row>
    <row r="176">
      <c r="A176" t="inlineStr">
        <is>
          <t>EX172</t>
        </is>
      </c>
      <c r="B176" t="inlineStr">
        <is>
          <t>OPS</t>
        </is>
      </c>
      <c r="C176" s="5" t="n">
        <v>46265</v>
      </c>
      <c r="D176" t="inlineStr">
        <is>
          <t>G01214</t>
        </is>
      </c>
      <c r="E176" t="inlineStr">
        <is>
          <t>FEE</t>
        </is>
      </c>
      <c r="F176" t="inlineStr">
        <is>
          <t>Routine</t>
        </is>
      </c>
      <c r="G176" t="inlineStr">
        <is>
          <t>TRANSACTION FEES</t>
        </is>
      </c>
      <c r="H176" s="9">
        <f>INDEX('Match Groups'!$L$5:$L$1326,MATCH(D176,'Match Groups'!$A$5:$A$1326,0))</f>
        <v>-62.82</v>
      </c>
      <c r="I176" s="9" t="n">
        <v>0</v>
      </c>
      <c r="J176" t="inlineStr">
        <is>
          <t>Bookkeeper</t>
        </is>
      </c>
      <c r="K176" t="inlineStr">
        <is>
          <t>Post bank fee (input taxed, no GST).</t>
        </is>
      </c>
      <c r="L176" t="inlineStr">
        <is>
          <t>J172</t>
        </is>
      </c>
      <c r="M176" t="inlineStr">
        <is>
          <t>Proposed</t>
        </is>
      </c>
      <c r="N176" t="str">
        <f>TEXT(C176,"yyyy-mm")</f>
        <v>2026-08</v>
      </c>
      <c r="O176" s="9">
        <f>ROUND(SUMIFS('Bank Lines'!$E$5:$E$1640,'Bank Lines'!$G$5:$G$1640,D176),2)</f>
        <v>-62.82</v>
      </c>
    </row>
    <row r="177">
      <c r="A177" t="inlineStr">
        <is>
          <t>EX173</t>
        </is>
      </c>
      <c r="B177" t="inlineStr">
        <is>
          <t>OPS</t>
        </is>
      </c>
      <c r="C177" s="5" t="n">
        <v>46265</v>
      </c>
      <c r="D177" t="inlineStr">
        <is>
          <t>G01215</t>
        </is>
      </c>
      <c r="E177" t="inlineStr">
        <is>
          <t>INT</t>
        </is>
      </c>
      <c r="F177" t="inlineStr">
        <is>
          <t>Routine</t>
        </is>
      </c>
      <c r="G177" t="inlineStr">
        <is>
          <t>INTEREST CREDIT</t>
        </is>
      </c>
      <c r="H177" s="9">
        <f>INDEX('Match Groups'!$L$5:$L$1326,MATCH(D177,'Match Groups'!$A$5:$A$1326,0))</f>
        <v>418.71</v>
      </c>
      <c r="I177" s="9" t="n">
        <v>0</v>
      </c>
      <c r="J177" t="inlineStr">
        <is>
          <t>Bookkeeper</t>
        </is>
      </c>
      <c r="K177" t="inlineStr">
        <is>
          <t>Post interest received (input taxed, no GST).</t>
        </is>
      </c>
      <c r="L177" t="inlineStr">
        <is>
          <t>J173</t>
        </is>
      </c>
      <c r="M177" t="inlineStr">
        <is>
          <t>Proposed</t>
        </is>
      </c>
      <c r="N177" t="str">
        <f>TEXT(C177,"yyyy-mm")</f>
        <v>2026-08</v>
      </c>
      <c r="O177" s="9">
        <f>ROUND(SUMIFS('Bank Lines'!$E$5:$E$1640,'Bank Lines'!$G$5:$G$1640,D177),2)</f>
        <v>418.71</v>
      </c>
    </row>
    <row r="178">
      <c r="A178" t="inlineStr">
        <is>
          <t>EX174</t>
        </is>
      </c>
      <c r="B178" t="inlineStr">
        <is>
          <t>OPS</t>
        </is>
      </c>
      <c r="C178" s="5" t="n">
        <v>46295</v>
      </c>
      <c r="D178" t="inlineStr">
        <is>
          <t>G01216</t>
        </is>
      </c>
      <c r="E178" t="inlineStr">
        <is>
          <t>FEE</t>
        </is>
      </c>
      <c r="F178" t="inlineStr">
        <is>
          <t>Routine</t>
        </is>
      </c>
      <c r="G178" t="inlineStr">
        <is>
          <t>ACCOUNT KEEPING FEE</t>
        </is>
      </c>
      <c r="H178" s="9">
        <f>INDEX('Match Groups'!$L$5:$L$1326,MATCH(D178,'Match Groups'!$A$5:$A$1326,0))</f>
        <v>-30</v>
      </c>
      <c r="I178" s="9" t="n">
        <v>0</v>
      </c>
      <c r="J178" t="inlineStr">
        <is>
          <t>Bookkeeper</t>
        </is>
      </c>
      <c r="K178" t="inlineStr">
        <is>
          <t>Post bank fee (input taxed, no GST).</t>
        </is>
      </c>
      <c r="L178" t="inlineStr">
        <is>
          <t>J174</t>
        </is>
      </c>
      <c r="M178" t="inlineStr">
        <is>
          <t>Proposed</t>
        </is>
      </c>
      <c r="N178" t="str">
        <f>TEXT(C178,"yyyy-mm")</f>
        <v>2026-09</v>
      </c>
      <c r="O178" s="9">
        <f>ROUND(SUMIFS('Bank Lines'!$E$5:$E$1640,'Bank Lines'!$G$5:$G$1640,D178),2)</f>
        <v>-30</v>
      </c>
    </row>
    <row r="179">
      <c r="A179" t="inlineStr">
        <is>
          <t>EX175</t>
        </is>
      </c>
      <c r="B179" t="inlineStr">
        <is>
          <t>OPS</t>
        </is>
      </c>
      <c r="C179" s="5" t="n">
        <v>46295</v>
      </c>
      <c r="D179" t="inlineStr">
        <is>
          <t>G01217</t>
        </is>
      </c>
      <c r="E179" t="inlineStr">
        <is>
          <t>FEE</t>
        </is>
      </c>
      <c r="F179" t="inlineStr">
        <is>
          <t>Routine</t>
        </is>
      </c>
      <c r="G179" t="inlineStr">
        <is>
          <t>TRANSACTION FEES</t>
        </is>
      </c>
      <c r="H179" s="9">
        <f>INDEX('Match Groups'!$L$5:$L$1326,MATCH(D179,'Match Groups'!$A$5:$A$1326,0))</f>
        <v>-45.29</v>
      </c>
      <c r="I179" s="9" t="n">
        <v>0</v>
      </c>
      <c r="J179" t="inlineStr">
        <is>
          <t>Bookkeeper</t>
        </is>
      </c>
      <c r="K179" t="inlineStr">
        <is>
          <t>Post bank fee (input taxed, no GST).</t>
        </is>
      </c>
      <c r="L179" t="inlineStr">
        <is>
          <t>J175</t>
        </is>
      </c>
      <c r="M179" t="inlineStr">
        <is>
          <t>Proposed</t>
        </is>
      </c>
      <c r="N179" t="str">
        <f>TEXT(C179,"yyyy-mm")</f>
        <v>2026-09</v>
      </c>
      <c r="O179" s="9">
        <f>ROUND(SUMIFS('Bank Lines'!$E$5:$E$1640,'Bank Lines'!$G$5:$G$1640,D179),2)</f>
        <v>-45.29</v>
      </c>
    </row>
    <row r="180">
      <c r="A180" t="inlineStr">
        <is>
          <t>EX176</t>
        </is>
      </c>
      <c r="B180" t="inlineStr">
        <is>
          <t>OPS</t>
        </is>
      </c>
      <c r="C180" s="5" t="n">
        <v>46295</v>
      </c>
      <c r="D180" t="inlineStr">
        <is>
          <t>G01218</t>
        </is>
      </c>
      <c r="E180" t="inlineStr">
        <is>
          <t>INT</t>
        </is>
      </c>
      <c r="F180" t="inlineStr">
        <is>
          <t>Routine</t>
        </is>
      </c>
      <c r="G180" t="inlineStr">
        <is>
          <t>INTEREST CREDIT</t>
        </is>
      </c>
      <c r="H180" s="9">
        <f>INDEX('Match Groups'!$L$5:$L$1326,MATCH(D180,'Match Groups'!$A$5:$A$1326,0))</f>
        <v>379.93</v>
      </c>
      <c r="I180" s="9" t="n">
        <v>0</v>
      </c>
      <c r="J180" t="inlineStr">
        <is>
          <t>Bookkeeper</t>
        </is>
      </c>
      <c r="K180" t="inlineStr">
        <is>
          <t>Post interest received (input taxed, no GST).</t>
        </is>
      </c>
      <c r="L180" t="inlineStr">
        <is>
          <t>J176</t>
        </is>
      </c>
      <c r="M180" t="inlineStr">
        <is>
          <t>Proposed</t>
        </is>
      </c>
      <c r="N180" t="str">
        <f>TEXT(C180,"yyyy-mm")</f>
        <v>2026-09</v>
      </c>
      <c r="O180" s="9">
        <f>ROUND(SUMIFS('Bank Lines'!$E$5:$E$1640,'Bank Lines'!$G$5:$G$1640,D180),2)</f>
        <v>379.93</v>
      </c>
    </row>
    <row r="181">
      <c r="A181" t="inlineStr">
        <is>
          <t>EX177</t>
        </is>
      </c>
      <c r="B181" t="inlineStr">
        <is>
          <t>PAY</t>
        </is>
      </c>
      <c r="C181" s="5" t="n">
        <v>46234</v>
      </c>
      <c r="D181" t="inlineStr">
        <is>
          <t>G01219</t>
        </is>
      </c>
      <c r="E181" t="inlineStr">
        <is>
          <t>FEE</t>
        </is>
      </c>
      <c r="F181" t="inlineStr">
        <is>
          <t>Routine</t>
        </is>
      </c>
      <c r="G181" t="inlineStr">
        <is>
          <t>ACCOUNT KEEPING FEE</t>
        </is>
      </c>
      <c r="H181" s="9">
        <f>INDEX('Match Groups'!$L$5:$L$1326,MATCH(D181,'Match Groups'!$A$5:$A$1326,0))</f>
        <v>-10</v>
      </c>
      <c r="I181" s="9" t="n">
        <v>0</v>
      </c>
      <c r="J181" t="inlineStr">
        <is>
          <t>Bookkeeper</t>
        </is>
      </c>
      <c r="K181" t="inlineStr">
        <is>
          <t>Post bank fee (input taxed, no GST).</t>
        </is>
      </c>
      <c r="L181" t="inlineStr">
        <is>
          <t>J177</t>
        </is>
      </c>
      <c r="M181" t="inlineStr">
        <is>
          <t>Proposed</t>
        </is>
      </c>
      <c r="N181" t="str">
        <f>TEXT(C181,"yyyy-mm")</f>
        <v>2026-07</v>
      </c>
      <c r="O181" s="9">
        <f>ROUND(SUMIFS('Bank Lines'!$E$5:$E$1640,'Bank Lines'!$G$5:$G$1640,D181),2)</f>
        <v>-10</v>
      </c>
    </row>
    <row r="182">
      <c r="A182" t="inlineStr">
        <is>
          <t>EX178</t>
        </is>
      </c>
      <c r="B182" t="inlineStr">
        <is>
          <t>PAY</t>
        </is>
      </c>
      <c r="C182" s="5" t="n">
        <v>46265</v>
      </c>
      <c r="D182" t="inlineStr">
        <is>
          <t>G01220</t>
        </is>
      </c>
      <c r="E182" t="inlineStr">
        <is>
          <t>FEE</t>
        </is>
      </c>
      <c r="F182" t="inlineStr">
        <is>
          <t>Routine</t>
        </is>
      </c>
      <c r="G182" t="inlineStr">
        <is>
          <t>ACCOUNT KEEPING FEE</t>
        </is>
      </c>
      <c r="H182" s="9">
        <f>INDEX('Match Groups'!$L$5:$L$1326,MATCH(D182,'Match Groups'!$A$5:$A$1326,0))</f>
        <v>-10</v>
      </c>
      <c r="I182" s="9" t="n">
        <v>0</v>
      </c>
      <c r="J182" t="inlineStr">
        <is>
          <t>Bookkeeper</t>
        </is>
      </c>
      <c r="K182" t="inlineStr">
        <is>
          <t>Post bank fee (input taxed, no GST).</t>
        </is>
      </c>
      <c r="L182" t="inlineStr">
        <is>
          <t>J178</t>
        </is>
      </c>
      <c r="M182" t="inlineStr">
        <is>
          <t>Proposed</t>
        </is>
      </c>
      <c r="N182" t="str">
        <f>TEXT(C182,"yyyy-mm")</f>
        <v>2026-08</v>
      </c>
      <c r="O182" s="9">
        <f>ROUND(SUMIFS('Bank Lines'!$E$5:$E$1640,'Bank Lines'!$G$5:$G$1640,D182),2)</f>
        <v>-10</v>
      </c>
    </row>
    <row r="183">
      <c r="A183" t="inlineStr">
        <is>
          <t>EX179</t>
        </is>
      </c>
      <c r="B183" t="inlineStr">
        <is>
          <t>PAY</t>
        </is>
      </c>
      <c r="C183" s="5" t="n">
        <v>46295</v>
      </c>
      <c r="D183" t="inlineStr">
        <is>
          <t>G01221</t>
        </is>
      </c>
      <c r="E183" t="inlineStr">
        <is>
          <t>FEE</t>
        </is>
      </c>
      <c r="F183" t="inlineStr">
        <is>
          <t>Routine</t>
        </is>
      </c>
      <c r="G183" t="inlineStr">
        <is>
          <t>ACCOUNT KEEPING FEE</t>
        </is>
      </c>
      <c r="H183" s="9">
        <f>INDEX('Match Groups'!$L$5:$L$1326,MATCH(D183,'Match Groups'!$A$5:$A$1326,0))</f>
        <v>-10</v>
      </c>
      <c r="I183" s="9" t="n">
        <v>0</v>
      </c>
      <c r="J183" t="inlineStr">
        <is>
          <t>Bookkeeper</t>
        </is>
      </c>
      <c r="K183" t="inlineStr">
        <is>
          <t>Post bank fee (input taxed, no GST).</t>
        </is>
      </c>
      <c r="L183" t="inlineStr">
        <is>
          <t>J179</t>
        </is>
      </c>
      <c r="M183" t="inlineStr">
        <is>
          <t>Proposed</t>
        </is>
      </c>
      <c r="N183" t="str">
        <f>TEXT(C183,"yyyy-mm")</f>
        <v>2026-09</v>
      </c>
      <c r="O183" s="9">
        <f>ROUND(SUMIFS('Bank Lines'!$E$5:$E$1640,'Bank Lines'!$G$5:$G$1640,D183),2)</f>
        <v>-10</v>
      </c>
    </row>
    <row r="184">
      <c r="A184" t="inlineStr">
        <is>
          <t>EX180</t>
        </is>
      </c>
      <c r="B184" t="inlineStr">
        <is>
          <t>PAY</t>
        </is>
      </c>
      <c r="C184" s="5" t="n">
        <v>46248</v>
      </c>
      <c r="D184" t="inlineStr">
        <is>
          <t>G01222</t>
        </is>
      </c>
      <c r="E184" t="inlineStr">
        <is>
          <t>RETPAY-PAY</t>
        </is>
      </c>
      <c r="F184" t="inlineStr">
        <is>
          <t>Routine</t>
        </is>
      </c>
      <c r="G184" t="inlineStr">
        <is>
          <t>Pay returned (invalid BSB) and reissued; nets to nil | RETURN SALARY G. ERIKSEN PR260813 INVALID BSB</t>
        </is>
      </c>
      <c r="H184" s="9">
        <f>INDEX('Match Groups'!$L$5:$L$1326,MATCH(D184,'Match Groups'!$A$5:$A$1326,0))</f>
        <v>0</v>
      </c>
      <c r="I184" s="9" t="n">
        <v>0</v>
      </c>
      <c r="J184" t="inlineStr">
        <is>
          <t>Payroll officer</t>
        </is>
      </c>
      <c r="K184" t="inlineStr">
        <is>
          <t>Pay returned and reissued to corrected BSB; nets to nil. Note on the employee file, no journal.</t>
        </is>
      </c>
      <c r="L184" t="inlineStr">
        <is>
          <t>none</t>
        </is>
      </c>
      <c r="M184" t="inlineStr">
        <is>
          <t>Proposed</t>
        </is>
      </c>
      <c r="N184" t="str">
        <f>TEXT(C184,"yyyy-mm")</f>
        <v>2026-08</v>
      </c>
      <c r="O184" s="9">
        <f>ROUND(SUMIFS('Bank Lines'!$E$5:$E$1640,'Bank Lines'!$G$5:$G$1640,D184),2)</f>
        <v>0</v>
      </c>
    </row>
    <row r="185">
      <c r="A185" t="inlineStr">
        <is>
          <t>EX181</t>
        </is>
      </c>
      <c r="B185" t="inlineStr">
        <is>
          <t>MER</t>
        </is>
      </c>
      <c r="C185" s="5" t="n">
        <v>46234</v>
      </c>
      <c r="D185" t="inlineStr">
        <is>
          <t>G01223</t>
        </is>
      </c>
      <c r="E185" t="inlineStr">
        <is>
          <t>MERCH</t>
        </is>
      </c>
      <c r="F185" t="inlineStr">
        <is>
          <t>Routine</t>
        </is>
      </c>
      <c r="G185" t="inlineStr">
        <is>
          <t>MERCHANT SERVICE FEE JUL26</t>
        </is>
      </c>
      <c r="H185" s="9">
        <f>INDEX('Match Groups'!$L$5:$L$1326,MATCH(D185,'Match Groups'!$A$5:$A$1326,0))</f>
        <v>-2203.04</v>
      </c>
      <c r="I185" s="9">
        <f>ROUND(-H185/11,2)</f>
        <v>200.28</v>
      </c>
      <c r="J185" t="inlineStr">
        <is>
          <t>Bookkeeper</t>
        </is>
      </c>
      <c r="K185" t="inlineStr">
        <is>
          <t>Post merchant service fee with GST from the monthly merchant statement.</t>
        </is>
      </c>
      <c r="L185" t="inlineStr">
        <is>
          <t>J181</t>
        </is>
      </c>
      <c r="M185" t="inlineStr">
        <is>
          <t>Proposed</t>
        </is>
      </c>
      <c r="N185" t="str">
        <f>TEXT(C185,"yyyy-mm")</f>
        <v>2026-07</v>
      </c>
      <c r="O185" s="9">
        <f>ROUND(SUMIFS('Bank Lines'!$E$5:$E$1640,'Bank Lines'!$G$5:$G$1640,D185),2)</f>
        <v>-2203.04</v>
      </c>
    </row>
    <row r="186">
      <c r="A186" t="inlineStr">
        <is>
          <t>EX182</t>
        </is>
      </c>
      <c r="B186" t="inlineStr">
        <is>
          <t>MER</t>
        </is>
      </c>
      <c r="C186" s="5" t="n">
        <v>46253</v>
      </c>
      <c r="D186" t="inlineStr">
        <is>
          <t>G01224</t>
        </is>
      </c>
      <c r="E186" t="inlineStr">
        <is>
          <t>CHGBK</t>
        </is>
      </c>
      <c r="F186" t="inlineStr">
        <is>
          <t>Decision</t>
        </is>
      </c>
      <c r="G186" t="inlineStr">
        <is>
          <t>CHARGEBACK T402 REF 88104 CARD ****4417</t>
        </is>
      </c>
      <c r="H186" s="9">
        <f>INDEX('Match Groups'!$L$5:$L$1326,MATCH(D186,'Match Groups'!$A$5:$A$1326,0))</f>
        <v>-340</v>
      </c>
      <c r="I186" s="9" t="n">
        <v>0</v>
      </c>
      <c r="J186" t="inlineStr">
        <is>
          <t>Practice manager</t>
        </is>
      </c>
      <c r="K186" t="inlineStr">
        <is>
          <t>Decide whether to contest within 7 days; move to chargebacks under dispute meanwhile.</t>
        </is>
      </c>
      <c r="L186" t="inlineStr">
        <is>
          <t>J182</t>
        </is>
      </c>
      <c r="M186" t="inlineStr">
        <is>
          <t>Awaiting decision</t>
        </is>
      </c>
      <c r="N186" t="str">
        <f>TEXT(C186,"yyyy-mm")</f>
        <v>2026-08</v>
      </c>
      <c r="O186" s="9">
        <f>ROUND(SUMIFS('Bank Lines'!$E$5:$E$1640,'Bank Lines'!$G$5:$G$1640,D186),2)</f>
        <v>-340</v>
      </c>
    </row>
    <row r="187">
      <c r="A187" t="inlineStr">
        <is>
          <t>EX183</t>
        </is>
      </c>
      <c r="B187" t="inlineStr">
        <is>
          <t>MER</t>
        </is>
      </c>
      <c r="C187" s="5" t="n">
        <v>46265</v>
      </c>
      <c r="D187" t="inlineStr">
        <is>
          <t>G01225</t>
        </is>
      </c>
      <c r="E187" t="inlineStr">
        <is>
          <t>MERCH</t>
        </is>
      </c>
      <c r="F187" t="inlineStr">
        <is>
          <t>Routine</t>
        </is>
      </c>
      <c r="G187" t="inlineStr">
        <is>
          <t>MERCHANT SERVICE FEE AUG26</t>
        </is>
      </c>
      <c r="H187" s="9">
        <f>INDEX('Match Groups'!$L$5:$L$1326,MATCH(D187,'Match Groups'!$A$5:$A$1326,0))</f>
        <v>-2086.89</v>
      </c>
      <c r="I187" s="9">
        <f>ROUND(-H187/11,2)</f>
        <v>189.72</v>
      </c>
      <c r="J187" t="inlineStr">
        <is>
          <t>Bookkeeper</t>
        </is>
      </c>
      <c r="K187" t="inlineStr">
        <is>
          <t>Post merchant service fee with GST from the monthly merchant statement.</t>
        </is>
      </c>
      <c r="L187" t="inlineStr">
        <is>
          <t>J183</t>
        </is>
      </c>
      <c r="M187" t="inlineStr">
        <is>
          <t>Proposed</t>
        </is>
      </c>
      <c r="N187" t="str">
        <f>TEXT(C187,"yyyy-mm")</f>
        <v>2026-08</v>
      </c>
      <c r="O187" s="9">
        <f>ROUND(SUMIFS('Bank Lines'!$E$5:$E$1640,'Bank Lines'!$G$5:$G$1640,D187),2)</f>
        <v>-2086.89</v>
      </c>
    </row>
    <row r="188">
      <c r="A188" t="inlineStr">
        <is>
          <t>EX184</t>
        </is>
      </c>
      <c r="B188" t="inlineStr">
        <is>
          <t>MER</t>
        </is>
      </c>
      <c r="C188" s="5" t="n">
        <v>46295</v>
      </c>
      <c r="D188" t="inlineStr">
        <is>
          <t>G01226</t>
        </is>
      </c>
      <c r="E188" t="inlineStr">
        <is>
          <t>MERCH</t>
        </is>
      </c>
      <c r="F188" t="inlineStr">
        <is>
          <t>Routine</t>
        </is>
      </c>
      <c r="G188" t="inlineStr">
        <is>
          <t>MERCHANT SERVICE FEE SEP26</t>
        </is>
      </c>
      <c r="H188" s="9">
        <f>INDEX('Match Groups'!$L$5:$L$1326,MATCH(D188,'Match Groups'!$A$5:$A$1326,0))</f>
        <v>-2295.11</v>
      </c>
      <c r="I188" s="9">
        <f>ROUND(-H188/11,2)</f>
        <v>208.65</v>
      </c>
      <c r="J188" t="inlineStr">
        <is>
          <t>Bookkeeper</t>
        </is>
      </c>
      <c r="K188" t="inlineStr">
        <is>
          <t>Post merchant service fee with GST from the monthly merchant statement.</t>
        </is>
      </c>
      <c r="L188" t="inlineStr">
        <is>
          <t>J184</t>
        </is>
      </c>
      <c r="M188" t="inlineStr">
        <is>
          <t>Proposed</t>
        </is>
      </c>
      <c r="N188" t="str">
        <f>TEXT(C188,"yyyy-mm")</f>
        <v>2026-09</v>
      </c>
      <c r="O188" s="9">
        <f>ROUND(SUMIFS('Bank Lines'!$E$5:$E$1640,'Bank Lines'!$G$5:$G$1640,D188),2)</f>
        <v>-2295.11</v>
      </c>
    </row>
    <row r="189">
      <c r="A189" t="inlineStr">
        <is>
          <t>EX185</t>
        </is>
      </c>
      <c r="B189" t="inlineStr">
        <is>
          <t>USD</t>
        </is>
      </c>
      <c r="C189" s="5" t="n">
        <v>46209</v>
      </c>
      <c r="D189" t="inlineStr">
        <is>
          <t>G01227</t>
        </is>
      </c>
      <c r="E189" t="inlineStr">
        <is>
          <t>FEE</t>
        </is>
      </c>
      <c r="F189" t="inlineStr">
        <is>
          <t>Routine</t>
        </is>
      </c>
      <c r="G189" t="inlineStr">
        <is>
          <t>INTL TRANSFER FEE</t>
        </is>
      </c>
      <c r="H189" s="9">
        <f>INDEX('Match Groups'!$L$5:$L$1326,MATCH(D189,'Match Groups'!$A$5:$A$1326,0))</f>
        <v>-15</v>
      </c>
      <c r="I189" s="9" t="n">
        <v>0</v>
      </c>
      <c r="J189" t="inlineStr">
        <is>
          <t>Bookkeeper</t>
        </is>
      </c>
      <c r="K189" t="inlineStr">
        <is>
          <t>Post bank fee (input taxed, no GST).</t>
        </is>
      </c>
      <c r="L189" t="inlineStr">
        <is>
          <t>J185</t>
        </is>
      </c>
      <c r="M189" t="inlineStr">
        <is>
          <t>Proposed</t>
        </is>
      </c>
      <c r="N189" t="str">
        <f>TEXT(C189,"yyyy-mm")</f>
        <v>2026-07</v>
      </c>
      <c r="O189" s="9">
        <f>ROUND(SUMIFS('Bank Lines'!$E$5:$E$1640,'Bank Lines'!$G$5:$G$1640,D189),2)</f>
        <v>-15</v>
      </c>
    </row>
    <row r="190">
      <c r="A190" t="inlineStr">
        <is>
          <t>EX186</t>
        </is>
      </c>
      <c r="B190" t="inlineStr">
        <is>
          <t>USD</t>
        </is>
      </c>
      <c r="C190" s="5" t="n">
        <v>46217</v>
      </c>
      <c r="D190" t="inlineStr">
        <is>
          <t>G01228</t>
        </is>
      </c>
      <c r="E190" t="inlineStr">
        <is>
          <t>FEE</t>
        </is>
      </c>
      <c r="F190" t="inlineStr">
        <is>
          <t>Routine</t>
        </is>
      </c>
      <c r="G190" t="inlineStr">
        <is>
          <t>INTL TRANSFER FEE</t>
        </is>
      </c>
      <c r="H190" s="9">
        <f>INDEX('Match Groups'!$L$5:$L$1326,MATCH(D190,'Match Groups'!$A$5:$A$1326,0))</f>
        <v>-15</v>
      </c>
      <c r="I190" s="9" t="n">
        <v>0</v>
      </c>
      <c r="J190" t="inlineStr">
        <is>
          <t>Bookkeeper</t>
        </is>
      </c>
      <c r="K190" t="inlineStr">
        <is>
          <t>Post bank fee (input taxed, no GST).</t>
        </is>
      </c>
      <c r="L190" t="inlineStr">
        <is>
          <t>J186</t>
        </is>
      </c>
      <c r="M190" t="inlineStr">
        <is>
          <t>Proposed</t>
        </is>
      </c>
      <c r="N190" t="str">
        <f>TEXT(C190,"yyyy-mm")</f>
        <v>2026-07</v>
      </c>
      <c r="O190" s="9">
        <f>ROUND(SUMIFS('Bank Lines'!$E$5:$E$1640,'Bank Lines'!$G$5:$G$1640,D190),2)</f>
        <v>-15</v>
      </c>
    </row>
    <row r="191">
      <c r="A191" t="inlineStr">
        <is>
          <t>EX187</t>
        </is>
      </c>
      <c r="B191" t="inlineStr">
        <is>
          <t>USD</t>
        </is>
      </c>
      <c r="C191" s="5" t="n">
        <v>46223</v>
      </c>
      <c r="D191" t="inlineStr">
        <is>
          <t>G01229</t>
        </is>
      </c>
      <c r="E191" t="inlineStr">
        <is>
          <t>FEE</t>
        </is>
      </c>
      <c r="F191" t="inlineStr">
        <is>
          <t>Routine</t>
        </is>
      </c>
      <c r="G191" t="inlineStr">
        <is>
          <t>INTL TRANSFER FEE</t>
        </is>
      </c>
      <c r="H191" s="9">
        <f>INDEX('Match Groups'!$L$5:$L$1326,MATCH(D191,'Match Groups'!$A$5:$A$1326,0))</f>
        <v>-15</v>
      </c>
      <c r="I191" s="9" t="n">
        <v>0</v>
      </c>
      <c r="J191" t="inlineStr">
        <is>
          <t>Bookkeeper</t>
        </is>
      </c>
      <c r="K191" t="inlineStr">
        <is>
          <t>Post bank fee (input taxed, no GST).</t>
        </is>
      </c>
      <c r="L191" t="inlineStr">
        <is>
          <t>J187</t>
        </is>
      </c>
      <c r="M191" t="inlineStr">
        <is>
          <t>Proposed</t>
        </is>
      </c>
      <c r="N191" t="str">
        <f>TEXT(C191,"yyyy-mm")</f>
        <v>2026-07</v>
      </c>
      <c r="O191" s="9">
        <f>ROUND(SUMIFS('Bank Lines'!$E$5:$E$1640,'Bank Lines'!$G$5:$G$1640,D191),2)</f>
        <v>-15</v>
      </c>
    </row>
    <row r="192">
      <c r="A192" t="inlineStr">
        <is>
          <t>EX188</t>
        </is>
      </c>
      <c r="B192" t="inlineStr">
        <is>
          <t>USD</t>
        </is>
      </c>
      <c r="C192" s="5" t="n">
        <v>46230</v>
      </c>
      <c r="D192" t="inlineStr">
        <is>
          <t>G01230</t>
        </is>
      </c>
      <c r="E192" t="inlineStr">
        <is>
          <t>FEE</t>
        </is>
      </c>
      <c r="F192" t="inlineStr">
        <is>
          <t>Routine</t>
        </is>
      </c>
      <c r="G192" t="inlineStr">
        <is>
          <t>INTL TRANSFER FEE</t>
        </is>
      </c>
      <c r="H192" s="9">
        <f>INDEX('Match Groups'!$L$5:$L$1326,MATCH(D192,'Match Groups'!$A$5:$A$1326,0))</f>
        <v>-15</v>
      </c>
      <c r="I192" s="9" t="n">
        <v>0</v>
      </c>
      <c r="J192" t="inlineStr">
        <is>
          <t>Bookkeeper</t>
        </is>
      </c>
      <c r="K192" t="inlineStr">
        <is>
          <t>Post bank fee (input taxed, no GST).</t>
        </is>
      </c>
      <c r="L192" t="inlineStr">
        <is>
          <t>J188</t>
        </is>
      </c>
      <c r="M192" t="inlineStr">
        <is>
          <t>Proposed</t>
        </is>
      </c>
      <c r="N192" t="str">
        <f>TEXT(C192,"yyyy-mm")</f>
        <v>2026-07</v>
      </c>
      <c r="O192" s="9">
        <f>ROUND(SUMIFS('Bank Lines'!$E$5:$E$1640,'Bank Lines'!$G$5:$G$1640,D192),2)</f>
        <v>-15</v>
      </c>
    </row>
    <row r="193">
      <c r="A193" t="inlineStr">
        <is>
          <t>EX189</t>
        </is>
      </c>
      <c r="B193" t="inlineStr">
        <is>
          <t>USD</t>
        </is>
      </c>
      <c r="C193" s="5" t="n">
        <v>46240</v>
      </c>
      <c r="D193" t="inlineStr">
        <is>
          <t>G01231</t>
        </is>
      </c>
      <c r="E193" t="inlineStr">
        <is>
          <t>FEE</t>
        </is>
      </c>
      <c r="F193" t="inlineStr">
        <is>
          <t>Routine</t>
        </is>
      </c>
      <c r="G193" t="inlineStr">
        <is>
          <t>INTL TRANSFER FEE</t>
        </is>
      </c>
      <c r="H193" s="9">
        <f>INDEX('Match Groups'!$L$5:$L$1326,MATCH(D193,'Match Groups'!$A$5:$A$1326,0))</f>
        <v>-15</v>
      </c>
      <c r="I193" s="9" t="n">
        <v>0</v>
      </c>
      <c r="J193" t="inlineStr">
        <is>
          <t>Bookkeeper</t>
        </is>
      </c>
      <c r="K193" t="inlineStr">
        <is>
          <t>Post bank fee (input taxed, no GST).</t>
        </is>
      </c>
      <c r="L193" t="inlineStr">
        <is>
          <t>J189</t>
        </is>
      </c>
      <c r="M193" t="inlineStr">
        <is>
          <t>Proposed</t>
        </is>
      </c>
      <c r="N193" t="str">
        <f>TEXT(C193,"yyyy-mm")</f>
        <v>2026-08</v>
      </c>
      <c r="O193" s="9">
        <f>ROUND(SUMIFS('Bank Lines'!$E$5:$E$1640,'Bank Lines'!$G$5:$G$1640,D193),2)</f>
        <v>-15</v>
      </c>
    </row>
    <row r="194">
      <c r="A194" t="inlineStr">
        <is>
          <t>EX190</t>
        </is>
      </c>
      <c r="B194" t="inlineStr">
        <is>
          <t>USD</t>
        </is>
      </c>
      <c r="C194" s="5" t="n">
        <v>46248</v>
      </c>
      <c r="D194" t="inlineStr">
        <is>
          <t>G01232</t>
        </is>
      </c>
      <c r="E194" t="inlineStr">
        <is>
          <t>FEE</t>
        </is>
      </c>
      <c r="F194" t="inlineStr">
        <is>
          <t>Routine</t>
        </is>
      </c>
      <c r="G194" t="inlineStr">
        <is>
          <t>INTL TRANSFER FEE</t>
        </is>
      </c>
      <c r="H194" s="9">
        <f>INDEX('Match Groups'!$L$5:$L$1326,MATCH(D194,'Match Groups'!$A$5:$A$1326,0))</f>
        <v>-15</v>
      </c>
      <c r="I194" s="9" t="n">
        <v>0</v>
      </c>
      <c r="J194" t="inlineStr">
        <is>
          <t>Bookkeeper</t>
        </is>
      </c>
      <c r="K194" t="inlineStr">
        <is>
          <t>Post bank fee (input taxed, no GST).</t>
        </is>
      </c>
      <c r="L194" t="inlineStr">
        <is>
          <t>J190</t>
        </is>
      </c>
      <c r="M194" t="inlineStr">
        <is>
          <t>Proposed</t>
        </is>
      </c>
      <c r="N194" t="str">
        <f>TEXT(C194,"yyyy-mm")</f>
        <v>2026-08</v>
      </c>
      <c r="O194" s="9">
        <f>ROUND(SUMIFS('Bank Lines'!$E$5:$E$1640,'Bank Lines'!$G$5:$G$1640,D194),2)</f>
        <v>-15</v>
      </c>
    </row>
    <row r="195">
      <c r="A195" t="inlineStr">
        <is>
          <t>EX191</t>
        </is>
      </c>
      <c r="B195" t="inlineStr">
        <is>
          <t>USD</t>
        </is>
      </c>
      <c r="C195" s="5" t="n">
        <v>46254</v>
      </c>
      <c r="D195" t="inlineStr">
        <is>
          <t>G01233</t>
        </is>
      </c>
      <c r="E195" t="inlineStr">
        <is>
          <t>FEE</t>
        </is>
      </c>
      <c r="F195" t="inlineStr">
        <is>
          <t>Routine</t>
        </is>
      </c>
      <c r="G195" t="inlineStr">
        <is>
          <t>INTL TRANSFER FEE</t>
        </is>
      </c>
      <c r="H195" s="9">
        <f>INDEX('Match Groups'!$L$5:$L$1326,MATCH(D195,'Match Groups'!$A$5:$A$1326,0))</f>
        <v>-15</v>
      </c>
      <c r="I195" s="9" t="n">
        <v>0</v>
      </c>
      <c r="J195" t="inlineStr">
        <is>
          <t>Bookkeeper</t>
        </is>
      </c>
      <c r="K195" t="inlineStr">
        <is>
          <t>Post bank fee (input taxed, no GST).</t>
        </is>
      </c>
      <c r="L195" t="inlineStr">
        <is>
          <t>J191</t>
        </is>
      </c>
      <c r="M195" t="inlineStr">
        <is>
          <t>Proposed</t>
        </is>
      </c>
      <c r="N195" t="str">
        <f>TEXT(C195,"yyyy-mm")</f>
        <v>2026-08</v>
      </c>
      <c r="O195" s="9">
        <f>ROUND(SUMIFS('Bank Lines'!$E$5:$E$1640,'Bank Lines'!$G$5:$G$1640,D195),2)</f>
        <v>-15</v>
      </c>
    </row>
    <row r="196">
      <c r="A196" t="inlineStr">
        <is>
          <t>EX192</t>
        </is>
      </c>
      <c r="B196" t="inlineStr">
        <is>
          <t>USD</t>
        </is>
      </c>
      <c r="C196" s="5" t="n">
        <v>46259</v>
      </c>
      <c r="D196" t="inlineStr">
        <is>
          <t>G01234</t>
        </is>
      </c>
      <c r="E196" t="inlineStr">
        <is>
          <t>FEE</t>
        </is>
      </c>
      <c r="F196" t="inlineStr">
        <is>
          <t>Routine</t>
        </is>
      </c>
      <c r="G196" t="inlineStr">
        <is>
          <t>INTL TRANSFER FEE</t>
        </is>
      </c>
      <c r="H196" s="9">
        <f>INDEX('Match Groups'!$L$5:$L$1326,MATCH(D196,'Match Groups'!$A$5:$A$1326,0))</f>
        <v>-15</v>
      </c>
      <c r="I196" s="9" t="n">
        <v>0</v>
      </c>
      <c r="J196" t="inlineStr">
        <is>
          <t>Bookkeeper</t>
        </is>
      </c>
      <c r="K196" t="inlineStr">
        <is>
          <t>Post bank fee (input taxed, no GST).</t>
        </is>
      </c>
      <c r="L196" t="inlineStr">
        <is>
          <t>J192</t>
        </is>
      </c>
      <c r="M196" t="inlineStr">
        <is>
          <t>Proposed</t>
        </is>
      </c>
      <c r="N196" t="str">
        <f>TEXT(C196,"yyyy-mm")</f>
        <v>2026-08</v>
      </c>
      <c r="O196" s="9">
        <f>ROUND(SUMIFS('Bank Lines'!$E$5:$E$1640,'Bank Lines'!$G$5:$G$1640,D196),2)</f>
        <v>-15</v>
      </c>
    </row>
    <row r="197">
      <c r="A197" t="inlineStr">
        <is>
          <t>EX193</t>
        </is>
      </c>
      <c r="B197" t="inlineStr">
        <is>
          <t>USD</t>
        </is>
      </c>
      <c r="C197" s="5" t="n">
        <v>46272</v>
      </c>
      <c r="D197" t="inlineStr">
        <is>
          <t>G01235</t>
        </is>
      </c>
      <c r="E197" t="inlineStr">
        <is>
          <t>FEE</t>
        </is>
      </c>
      <c r="F197" t="inlineStr">
        <is>
          <t>Routine</t>
        </is>
      </c>
      <c r="G197" t="inlineStr">
        <is>
          <t>INTL TRANSFER FEE</t>
        </is>
      </c>
      <c r="H197" s="9">
        <f>INDEX('Match Groups'!$L$5:$L$1326,MATCH(D197,'Match Groups'!$A$5:$A$1326,0))</f>
        <v>-15</v>
      </c>
      <c r="I197" s="9" t="n">
        <v>0</v>
      </c>
      <c r="J197" t="inlineStr">
        <is>
          <t>Bookkeeper</t>
        </is>
      </c>
      <c r="K197" t="inlineStr">
        <is>
          <t>Post bank fee (input taxed, no GST).</t>
        </is>
      </c>
      <c r="L197" t="inlineStr">
        <is>
          <t>J193</t>
        </is>
      </c>
      <c r="M197" t="inlineStr">
        <is>
          <t>Proposed</t>
        </is>
      </c>
      <c r="N197" t="str">
        <f>TEXT(C197,"yyyy-mm")</f>
        <v>2026-09</v>
      </c>
      <c r="O197" s="9">
        <f>ROUND(SUMIFS('Bank Lines'!$E$5:$E$1640,'Bank Lines'!$G$5:$G$1640,D197),2)</f>
        <v>-15</v>
      </c>
    </row>
    <row r="198">
      <c r="A198" t="inlineStr">
        <is>
          <t>EX194</t>
        </is>
      </c>
      <c r="B198" t="inlineStr">
        <is>
          <t>USD</t>
        </is>
      </c>
      <c r="C198" s="5" t="n">
        <v>46279</v>
      </c>
      <c r="D198" t="inlineStr">
        <is>
          <t>G01236</t>
        </is>
      </c>
      <c r="E198" t="inlineStr">
        <is>
          <t>FEE</t>
        </is>
      </c>
      <c r="F198" t="inlineStr">
        <is>
          <t>Routine</t>
        </is>
      </c>
      <c r="G198" t="inlineStr">
        <is>
          <t>INTL TRANSFER FEE</t>
        </is>
      </c>
      <c r="H198" s="9">
        <f>INDEX('Match Groups'!$L$5:$L$1326,MATCH(D198,'Match Groups'!$A$5:$A$1326,0))</f>
        <v>-15</v>
      </c>
      <c r="I198" s="9" t="n">
        <v>0</v>
      </c>
      <c r="J198" t="inlineStr">
        <is>
          <t>Bookkeeper</t>
        </is>
      </c>
      <c r="K198" t="inlineStr">
        <is>
          <t>Post bank fee (input taxed, no GST).</t>
        </is>
      </c>
      <c r="L198" t="inlineStr">
        <is>
          <t>J194</t>
        </is>
      </c>
      <c r="M198" t="inlineStr">
        <is>
          <t>Proposed</t>
        </is>
      </c>
      <c r="N198" t="str">
        <f>TEXT(C198,"yyyy-mm")</f>
        <v>2026-09</v>
      </c>
      <c r="O198" s="9">
        <f>ROUND(SUMIFS('Bank Lines'!$E$5:$E$1640,'Bank Lines'!$G$5:$G$1640,D198),2)</f>
        <v>-15</v>
      </c>
    </row>
    <row r="199">
      <c r="A199" t="inlineStr">
        <is>
          <t>EX195</t>
        </is>
      </c>
      <c r="B199" t="inlineStr">
        <is>
          <t>USD</t>
        </is>
      </c>
      <c r="C199" s="5" t="n">
        <v>46286</v>
      </c>
      <c r="D199" t="inlineStr">
        <is>
          <t>G01237</t>
        </is>
      </c>
      <c r="E199" t="inlineStr">
        <is>
          <t>FEE</t>
        </is>
      </c>
      <c r="F199" t="inlineStr">
        <is>
          <t>Routine</t>
        </is>
      </c>
      <c r="G199" t="inlineStr">
        <is>
          <t>INTL TRANSFER FEE</t>
        </is>
      </c>
      <c r="H199" s="9">
        <f>INDEX('Match Groups'!$L$5:$L$1326,MATCH(D199,'Match Groups'!$A$5:$A$1326,0))</f>
        <v>-15</v>
      </c>
      <c r="I199" s="9" t="n">
        <v>0</v>
      </c>
      <c r="J199" t="inlineStr">
        <is>
          <t>Bookkeeper</t>
        </is>
      </c>
      <c r="K199" t="inlineStr">
        <is>
          <t>Post bank fee (input taxed, no GST).</t>
        </is>
      </c>
      <c r="L199" t="inlineStr">
        <is>
          <t>J195</t>
        </is>
      </c>
      <c r="M199" t="inlineStr">
        <is>
          <t>Proposed</t>
        </is>
      </c>
      <c r="N199" t="str">
        <f>TEXT(C199,"yyyy-mm")</f>
        <v>2026-09</v>
      </c>
      <c r="O199" s="9">
        <f>ROUND(SUMIFS('Bank Lines'!$E$5:$E$1640,'Bank Lines'!$G$5:$G$1640,D199),2)</f>
        <v>-15</v>
      </c>
    </row>
    <row r="200">
      <c r="A200" t="inlineStr">
        <is>
          <t>EX196</t>
        </is>
      </c>
      <c r="B200" t="inlineStr">
        <is>
          <t>USD</t>
        </is>
      </c>
      <c r="C200" s="5" t="n">
        <v>46290</v>
      </c>
      <c r="D200" t="inlineStr">
        <is>
          <t>G01238</t>
        </is>
      </c>
      <c r="E200" t="inlineStr">
        <is>
          <t>FEE</t>
        </is>
      </c>
      <c r="F200" t="inlineStr">
        <is>
          <t>Routine</t>
        </is>
      </c>
      <c r="G200" t="inlineStr">
        <is>
          <t>INTL TRANSFER FEE</t>
        </is>
      </c>
      <c r="H200" s="9">
        <f>INDEX('Match Groups'!$L$5:$L$1326,MATCH(D200,'Match Groups'!$A$5:$A$1326,0))</f>
        <v>-15</v>
      </c>
      <c r="I200" s="9" t="n">
        <v>0</v>
      </c>
      <c r="J200" t="inlineStr">
        <is>
          <t>Bookkeeper</t>
        </is>
      </c>
      <c r="K200" t="inlineStr">
        <is>
          <t>Post bank fee (input taxed, no GST).</t>
        </is>
      </c>
      <c r="L200" t="inlineStr">
        <is>
          <t>J196</t>
        </is>
      </c>
      <c r="M200" t="inlineStr">
        <is>
          <t>Proposed</t>
        </is>
      </c>
      <c r="N200" t="str">
        <f>TEXT(C200,"yyyy-mm")</f>
        <v>2026-09</v>
      </c>
      <c r="O200" s="9">
        <f>ROUND(SUMIFS('Bank Lines'!$E$5:$E$1640,'Bank Lines'!$G$5:$G$1640,D200),2)</f>
        <v>-15</v>
      </c>
    </row>
    <row r="201">
      <c r="A201" t="inlineStr">
        <is>
          <t>EX197</t>
        </is>
      </c>
      <c r="B201" t="inlineStr">
        <is>
          <t>OPS</t>
        </is>
      </c>
      <c r="C201" s="5" t="n">
        <v>46255</v>
      </c>
      <c r="D201" t="inlineStr">
        <is>
          <t>G01246</t>
        </is>
      </c>
      <c r="E201" t="inlineStr">
        <is>
          <t>UNEXP</t>
        </is>
      </c>
      <c r="F201" t="inlineStr">
        <is>
          <t>Escalated</t>
        </is>
      </c>
      <c r="G201" t="inlineStr">
        <is>
          <t>No Odoo item, open invoice or known pattern. Escalated. | DEPOSIT BRANCH 3021 CASH</t>
        </is>
      </c>
      <c r="H201" s="9">
        <f>INDEX('Match Groups'!$L$5:$L$1326,MATCH(D201,'Match Groups'!$A$5:$A$1326,0))</f>
        <v>1850</v>
      </c>
      <c r="I201" s="9" t="n">
        <v>0</v>
      </c>
      <c r="J201" t="inlineStr">
        <is>
          <t>Director</t>
        </is>
      </c>
      <c r="K201" t="inlineStr">
        <is>
          <t>Hold in suspense and ask the director; do not allocate until the payer or payee is confirmed.</t>
        </is>
      </c>
      <c r="L201" t="inlineStr">
        <is>
          <t>J197</t>
        </is>
      </c>
      <c r="M201" t="inlineStr">
        <is>
          <t>Escalated</t>
        </is>
      </c>
      <c r="N201" t="str">
        <f>TEXT(C201,"yyyy-mm")</f>
        <v>2026-08</v>
      </c>
      <c r="O201" s="9">
        <f>ROUND(SUMIFS('Bank Lines'!$E$5:$E$1640,'Bank Lines'!$G$5:$G$1640,D201),2)</f>
        <v>1850</v>
      </c>
    </row>
    <row r="202">
      <c r="A202" t="inlineStr">
        <is>
          <t>EX198</t>
        </is>
      </c>
      <c r="B202" t="inlineStr">
        <is>
          <t>OPS</t>
        </is>
      </c>
      <c r="C202" s="5" t="n">
        <v>46274</v>
      </c>
      <c r="D202" t="inlineStr">
        <is>
          <t>G01247</t>
        </is>
      </c>
      <c r="E202" t="inlineStr">
        <is>
          <t>UNEXP</t>
        </is>
      </c>
      <c r="F202" t="inlineStr">
        <is>
          <t>Escalated</t>
        </is>
      </c>
      <c r="G202" t="inlineStr">
        <is>
          <t>No Odoo item, open invoice or known pattern. Escalated. | VISA DEBIT DIGITALSVC*ONLINE 8841</t>
        </is>
      </c>
      <c r="H202" s="9">
        <f>INDEX('Match Groups'!$L$5:$L$1326,MATCH(D202,'Match Groups'!$A$5:$A$1326,0))</f>
        <v>-49.95</v>
      </c>
      <c r="I202" s="9" t="n">
        <v>0</v>
      </c>
      <c r="J202" t="inlineStr">
        <is>
          <t>Director</t>
        </is>
      </c>
      <c r="K202" t="inlineStr">
        <is>
          <t>Hold in suspense and ask the director; do not allocate until the payer or payee is confirmed.</t>
        </is>
      </c>
      <c r="L202" t="inlineStr">
        <is>
          <t>J198</t>
        </is>
      </c>
      <c r="M202" t="inlineStr">
        <is>
          <t>Escalated</t>
        </is>
      </c>
      <c r="N202" t="str">
        <f>TEXT(C202,"yyyy-mm")</f>
        <v>2026-09</v>
      </c>
      <c r="O202" s="9">
        <f>ROUND(SUMIFS('Bank Lines'!$E$5:$E$1640,'Bank Lines'!$G$5:$G$1640,D202),2)</f>
        <v>-49.95</v>
      </c>
    </row>
    <row r="203">
      <c r="A203" t="inlineStr">
        <is>
          <t>EX199</t>
        </is>
      </c>
      <c r="B203" t="inlineStr">
        <is>
          <t>OPS</t>
        </is>
      </c>
      <c r="C203" s="5" t="n">
        <v>46283</v>
      </c>
      <c r="D203" t="inlineStr">
        <is>
          <t>G01248</t>
        </is>
      </c>
      <c r="E203" t="inlineStr">
        <is>
          <t>UNEXP</t>
        </is>
      </c>
      <c r="F203" t="inlineStr">
        <is>
          <t>Escalated</t>
        </is>
      </c>
      <c r="G203" t="inlineStr">
        <is>
          <t>No Odoo item, open invoice or known pattern. Escalated. | DIRECT CREDIT QUILLON ENGINEERIN INV 3522</t>
        </is>
      </c>
      <c r="H203" s="9">
        <f>INDEX('Match Groups'!$L$5:$L$1326,MATCH(D203,'Match Groups'!$A$5:$A$1326,0))</f>
        <v>1320</v>
      </c>
      <c r="I203" s="9" t="n">
        <v>0</v>
      </c>
      <c r="J203" t="inlineStr">
        <is>
          <t>Director</t>
        </is>
      </c>
      <c r="K203" t="inlineStr">
        <is>
          <t>Hold in suspense and ask the director; do not allocate until the payer or payee is confirmed.</t>
        </is>
      </c>
      <c r="L203" t="inlineStr">
        <is>
          <t>J199</t>
        </is>
      </c>
      <c r="M203" t="inlineStr">
        <is>
          <t>Escalated</t>
        </is>
      </c>
      <c r="N203" t="str">
        <f>TEXT(C203,"yyyy-mm")</f>
        <v>2026-09</v>
      </c>
      <c r="O203" s="9">
        <f>ROUND(SUMIFS('Bank Lines'!$E$5:$E$1640,'Bank Lines'!$G$5:$G$1640,D203),2)</f>
        <v>1320</v>
      </c>
    </row>
    <row r="204">
      <c r="A204" t="inlineStr">
        <is>
          <t>EX200</t>
        </is>
      </c>
      <c r="B204" t="inlineStr">
        <is>
          <t>OPS</t>
        </is>
      </c>
      <c r="C204" s="5" t="n">
        <v>46199</v>
      </c>
      <c r="D204" t="inlineStr">
        <is>
          <t>G01249</t>
        </is>
      </c>
      <c r="E204" t="inlineStr">
        <is>
          <t>STALE</t>
        </is>
      </c>
      <c r="F204" t="inlineStr">
        <is>
          <t>Decision</t>
        </is>
      </c>
      <c r="G204" t="inlineStr">
        <is>
          <t>Cheque issued 2026-06-26, unpresented for 96 days | Cheque 000401 Greenleaf Plants Hire (CHQ 000401)</t>
        </is>
      </c>
      <c r="H204" s="9">
        <f>INDEX('Match Groups'!$L$5:$L$1326,MATCH(D204,'Match Groups'!$A$5:$A$1326,0))</f>
        <v>286</v>
      </c>
      <c r="I204" s="9" t="n">
        <v>0</v>
      </c>
      <c r="J204" t="inlineStr">
        <is>
          <t>Bookkeeper</t>
        </is>
      </c>
      <c r="K204" t="inlineStr">
        <is>
          <t>Cheque unpresented over 90 days. Contact the payee; if not presented by 6 months, cancel and reinstate the payable.</t>
        </is>
      </c>
      <c r="L204" t="inlineStr">
        <is>
          <t>none</t>
        </is>
      </c>
      <c r="M204" t="inlineStr">
        <is>
          <t>Awaiting decision</t>
        </is>
      </c>
      <c r="N204" t="str">
        <f>TEXT(C204,"yyyy-mm")</f>
        <v>2026-06</v>
      </c>
      <c r="O204" s="9">
        <f>ROUND(SUMIFS('Bank Lines'!$E$5:$E$1640,'Bank Lines'!$G$5:$G$1640,D204),2)</f>
        <v>0</v>
      </c>
    </row>
    <row r="205">
      <c r="A205" t="inlineStr">
        <is>
          <t>EX201</t>
        </is>
      </c>
      <c r="B205" t="inlineStr">
        <is>
          <t>OPS</t>
        </is>
      </c>
      <c r="C205" s="5" t="n">
        <v>46238</v>
      </c>
      <c r="D205" t="inlineStr">
        <is>
          <t>G01250</t>
        </is>
      </c>
      <c r="E205" t="inlineStr">
        <is>
          <t>DUPL</t>
        </is>
      </c>
      <c r="F205" t="inlineStr">
        <is>
          <t>Decision</t>
        </is>
      </c>
      <c r="G205" t="inlineStr">
        <is>
          <t>INV/2026/02428 shows a credit balance of 320.98: this payment was registered twice | Customer payment INV/2026/02428 (INV/2026/02428)</t>
        </is>
      </c>
      <c r="H205" s="9">
        <f>INDEX('Match Groups'!$L$5:$L$1326,MATCH(D205,'Match Groups'!$A$5:$A$1326,0))</f>
        <v>-320.98</v>
      </c>
      <c r="I205" s="9" t="n">
        <v>0</v>
      </c>
      <c r="J205" t="inlineStr">
        <is>
          <t>AR officer</t>
        </is>
      </c>
      <c r="K205" t="inlineStr">
        <is>
          <t>Receipt registered twice. Cancel the duplicate payment in Odoo; the invoice credit balance clears.</t>
        </is>
      </c>
      <c r="L205" t="inlineStr">
        <is>
          <t>J201</t>
        </is>
      </c>
      <c r="M205" t="inlineStr">
        <is>
          <t>Awaiting decision</t>
        </is>
      </c>
      <c r="N205" t="str">
        <f>TEXT(C205,"yyyy-mm")</f>
        <v>2026-08</v>
      </c>
      <c r="O205" s="9">
        <f>ROUND(SUMIFS('Bank Lines'!$E$5:$E$1640,'Bank Lines'!$G$5:$G$1640,D205),2)</f>
        <v>0</v>
      </c>
    </row>
    <row r="206">
      <c r="A206" t="inlineStr">
        <is>
          <t>EX202</t>
        </is>
      </c>
      <c r="B206" t="inlineStr">
        <is>
          <t>OPS</t>
        </is>
      </c>
      <c r="C206" s="5" t="n">
        <v>46282</v>
      </c>
      <c r="D206" t="inlineStr">
        <is>
          <t>G01251</t>
        </is>
      </c>
      <c r="E206" t="inlineStr">
        <is>
          <t>DUPL</t>
        </is>
      </c>
      <c r="F206" t="inlineStr">
        <is>
          <t>Decision</t>
        </is>
      </c>
      <c r="G206" t="inlineStr">
        <is>
          <t>INV/2026/03118 shows a credit balance of 155.19: this payment was registered twice | Customer payment INV/2026/03118 (INV/2026/03118)</t>
        </is>
      </c>
      <c r="H206" s="9">
        <f>INDEX('Match Groups'!$L$5:$L$1326,MATCH(D206,'Match Groups'!$A$5:$A$1326,0))</f>
        <v>-155.19</v>
      </c>
      <c r="I206" s="9" t="n">
        <v>0</v>
      </c>
      <c r="J206" t="inlineStr">
        <is>
          <t>AR officer</t>
        </is>
      </c>
      <c r="K206" t="inlineStr">
        <is>
          <t>Receipt registered twice. Cancel the duplicate payment in Odoo; the invoice credit balance clears.</t>
        </is>
      </c>
      <c r="L206" t="inlineStr">
        <is>
          <t>J202</t>
        </is>
      </c>
      <c r="M206" t="inlineStr">
        <is>
          <t>Awaiting decision</t>
        </is>
      </c>
      <c r="N206" t="str">
        <f>TEXT(C206,"yyyy-mm")</f>
        <v>2026-09</v>
      </c>
      <c r="O206" s="9">
        <f>ROUND(SUMIFS('Bank Lines'!$E$5:$E$1640,'Bank Lines'!$G$5:$G$1640,D206),2)</f>
        <v>0</v>
      </c>
    </row>
    <row r="207">
      <c r="A207" t="inlineStr">
        <is>
          <t>EX203</t>
        </is>
      </c>
      <c r="B207" t="inlineStr">
        <is>
          <t>MER</t>
        </is>
      </c>
      <c r="C207" s="5" t="n">
        <v>46268</v>
      </c>
      <c r="D207" t="inlineStr">
        <is>
          <t>G01316</t>
        </is>
      </c>
      <c r="E207" t="inlineStr">
        <is>
          <t>UNEXP</t>
        </is>
      </c>
      <c r="F207" t="inlineStr">
        <is>
          <t>Escalated</t>
        </is>
      </c>
      <c r="G207" t="inlineStr">
        <is>
          <t>No Odoo item, open invoice or known pattern. Escalated. | ADJUSTMENT CR</t>
        </is>
      </c>
      <c r="H207" s="9">
        <f>INDEX('Match Groups'!$L$5:$L$1326,MATCH(D207,'Match Groups'!$A$5:$A$1326,0))</f>
        <v>64.9</v>
      </c>
      <c r="I207" s="9" t="n">
        <v>0</v>
      </c>
      <c r="J207" t="inlineStr">
        <is>
          <t>Director</t>
        </is>
      </c>
      <c r="K207" t="inlineStr">
        <is>
          <t>Hold in suspense and ask the director; do not allocate until the payer or payee is confirmed.</t>
        </is>
      </c>
      <c r="L207" t="inlineStr">
        <is>
          <t>J203</t>
        </is>
      </c>
      <c r="M207" t="inlineStr">
        <is>
          <t>Escalated</t>
        </is>
      </c>
      <c r="N207" t="str">
        <f>TEXT(C207,"yyyy-mm")</f>
        <v>2026-09</v>
      </c>
      <c r="O207" s="9">
        <f>ROUND(SUMIFS('Bank Lines'!$E$5:$E$1640,'Bank Lines'!$G$5:$G$1640,D207),2)</f>
        <v>64.9</v>
      </c>
    </row>
    <row r="208">
      <c r="A208" t="inlineStr">
        <is>
          <t>EX204</t>
        </is>
      </c>
      <c r="B208" t="inlineStr">
        <is>
          <t>USD</t>
        </is>
      </c>
      <c r="C208" s="5" t="n">
        <v>46287</v>
      </c>
      <c r="D208" t="inlineStr">
        <is>
          <t>G01321</t>
        </is>
      </c>
      <c r="E208" t="inlineStr">
        <is>
          <t>UNEXP</t>
        </is>
      </c>
      <c r="F208" t="inlineStr">
        <is>
          <t>Escalated</t>
        </is>
      </c>
      <c r="G208" t="inlineStr">
        <is>
          <t>No Odoo item, open invoice or known pattern. Escalated. | INWARD TT REF 7781 ORIGINATOR UNKNOWN</t>
        </is>
      </c>
      <c r="H208" s="9">
        <f>INDEX('Match Groups'!$L$5:$L$1326,MATCH(D208,'Match Groups'!$A$5:$A$1326,0))</f>
        <v>1200</v>
      </c>
      <c r="I208" s="9" t="n">
        <v>0</v>
      </c>
      <c r="J208" t="inlineStr">
        <is>
          <t>Director</t>
        </is>
      </c>
      <c r="K208" t="inlineStr">
        <is>
          <t>Hold in suspense and ask the director; do not allocate until the payer or payee is confirmed.</t>
        </is>
      </c>
      <c r="L208" t="inlineStr">
        <is>
          <t>J204</t>
        </is>
      </c>
      <c r="M208" t="inlineStr">
        <is>
          <t>Escalated</t>
        </is>
      </c>
      <c r="N208" t="str">
        <f>TEXT(C208,"yyyy-mm")</f>
        <v>2026-09</v>
      </c>
      <c r="O208" s="9">
        <f>ROUND(SUMIFS('Bank Lines'!$E$5:$E$1640,'Bank Lines'!$G$5:$G$1640,D208),2)</f>
        <v>1200</v>
      </c>
    </row>
  </sheetData>
  <autoFilter ref="A4:O208"/>
  <conditionalFormatting sqref="A5:O208">
    <cfRule type="expression" priority="1" dxfId="0">
      <formula>$F5="Escalated"</formula>
    </cfRule>
    <cfRule type="expression" priority="2" dxfId="2">
      <formula>$F5="Decision"</formula>
    </cfRule>
  </conditionalFormatting>
  <dataValidations count="1">
    <dataValidation sqref="M5:M208" showDropDown="0" showInputMessage="0" showErrorMessage="0" allowBlank="1" type="list">
      <formula1>"Proposed,Awaiting decision,Escalated,Posted,Closed"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4" customWidth="1" min="1" max="1"/>
    <col width="12" customWidth="1" min="2" max="2"/>
    <col width="16" customWidth="1" min="3" max="3"/>
    <col width="9" customWidth="1" min="4" max="4"/>
    <col width="70" customWidth="1" min="5" max="5"/>
  </cols>
  <sheetData>
    <row r="1">
      <c r="A1" s="7" t="inlineStr">
        <is>
          <t>Control checks (all formulas)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8" t="inlineStr">
        <is>
          <t>Control</t>
        </is>
      </c>
      <c r="B4" s="8" t="inlineStr">
        <is>
          <t>Expected</t>
        </is>
      </c>
      <c r="C4" s="8" t="inlineStr">
        <is>
          <t>Actual</t>
        </is>
      </c>
      <c r="D4" s="8" t="inlineStr">
        <is>
          <t>Result</t>
        </is>
      </c>
      <c r="E4" s="8" t="inlineStr">
        <is>
          <t>Why it matters</t>
        </is>
      </c>
    </row>
    <row r="5">
      <c r="A5" t="inlineStr">
        <is>
          <t>Statement lines roll forward to the bank's closing balance (12 account-months)</t>
        </is>
      </c>
      <c r="B5" t="n">
        <v>0</v>
      </c>
      <c r="C5" s="19">
        <f>ROUND(SUMPRODUCT(ABS('Statement Balances'!I5:I16)),2)</f>
        <v>0</v>
      </c>
      <c r="D5" t="str">
        <f>IF(ROUND(C5-B5,2)=0,"PASS","FAIL")</f>
        <v>PASS</v>
      </c>
      <c r="E5" t="inlineStr">
        <is>
          <t>Proves the import is complete and the duplicates are excluded</t>
        </is>
      </c>
    </row>
    <row r="6">
      <c r="A6" t="inlineStr">
        <is>
          <t>Odoo journal items roll forward to the trial balance (12 account-months)</t>
        </is>
      </c>
      <c r="B6" t="n">
        <v>0</v>
      </c>
      <c r="C6" s="19">
        <f>ROUND(SUMPRODUCT(ABS('Odoo TB'!H5:H20)),2)</f>
        <v>0</v>
      </c>
      <c r="D6" t="str">
        <f>IF(ROUND(C6-B6,2)=0,"PASS","FAIL")</f>
        <v>PASS</v>
      </c>
      <c r="E6" t="inlineStr">
        <is>
          <t>Proves the Odoo export is complete</t>
        </is>
      </c>
    </row>
    <row r="7">
      <c r="A7" t="inlineStr">
        <is>
          <t>Unexplained difference on all 12 reconciliation statements</t>
        </is>
      </c>
      <c r="B7" t="n">
        <v>0</v>
      </c>
      <c r="C7" s="19">
        <f>ROUND(ABS('Rec Statements'!D35)+ABS('Rec Statements'!D69)+ABS('Rec Statements'!D103)+ABS('Rec Statements'!D137)+ABS('Rec Statements'!D171)+ABS('Rec Statements'!D205)+ABS('Rec Statements'!D239)+ABS('Rec Statements'!D273)+ABS('Rec Statements'!D307)+ABS('Rec Statements'!D341)+ABS('Rec Statements'!D375)+ABS('Rec Statements'!D409),2)</f>
        <v>0</v>
      </c>
      <c r="D7" t="str">
        <f>IF(ROUND(C7-B7,2)=0,"PASS","FAIL")</f>
        <v>PASS</v>
      </c>
      <c r="E7" t="inlineStr">
        <is>
          <t>Adjusted bank equals adjusted Odoo to the cent</t>
        </is>
      </c>
    </row>
    <row r="8">
      <c r="A8" t="inlineStr">
        <is>
          <t>Unclassified items on the statement side, all 12 statements</t>
        </is>
      </c>
      <c r="B8" t="n">
        <v>0</v>
      </c>
      <c r="C8" s="19">
        <f>ROUND(ABS('Rec Statements'!C24)+ABS('Rec Statements'!C58)+ABS('Rec Statements'!C92)+ABS('Rec Statements'!C126)+ABS('Rec Statements'!C160)+ABS('Rec Statements'!C194)+ABS('Rec Statements'!C228)+ABS('Rec Statements'!C262)+ABS('Rec Statements'!C296)+ABS('Rec Statements'!C330)+ABS('Rec Statements'!C364)+ABS('Rec Statements'!C398)+ABS('Rec Statements'!C31)+ABS('Rec Statements'!C65)+ABS('Rec Statements'!C99)+ABS('Rec Statements'!C133)+ABS('Rec Statements'!C167)+ABS('Rec Statements'!C201)+ABS('Rec Statements'!C235)+ABS('Rec Statements'!C269)+ABS('Rec Statements'!C303)+ABS('Rec Statements'!C337)+ABS('Rec Statements'!C371)+ABS('Rec Statements'!C405),2)</f>
        <v>0</v>
      </c>
      <c r="D8" t="str">
        <f>IF(ROUND(C8-B8,2)=0,"PASS","FAIL")</f>
        <v>PASS</v>
      </c>
      <c r="E8" t="inlineStr">
        <is>
          <t>Every reconciling item has a reason code</t>
        </is>
      </c>
    </row>
    <row r="9">
      <c r="A9" t="inlineStr">
        <is>
          <t>Bank lines without a match group</t>
        </is>
      </c>
      <c r="B9" t="n">
        <v>0</v>
      </c>
      <c r="C9" s="19">
        <f>COUNTBLANK('Bank Lines'!$G$5:$G$1640)</f>
        <v>0</v>
      </c>
      <c r="D9" t="str">
        <f>IF(ROUND(C9-B9,2)=0,"PASS","FAIL")</f>
        <v>PASS</v>
      </c>
      <c r="E9" t="inlineStr">
        <is>
          <t>Every line is accounted for</t>
        </is>
      </c>
    </row>
    <row r="10">
      <c r="A10" t="inlineStr">
        <is>
          <t>Odoo items without a match group</t>
        </is>
      </c>
      <c r="B10" t="n">
        <v>0</v>
      </c>
      <c r="C10" s="19">
        <f>COUNTBLANK('Odoo Items'!$J$5:$J$4331)</f>
        <v>0</v>
      </c>
      <c r="D10" t="str">
        <f>IF(ROUND(C10-B10,2)=0,"PASS","FAIL")</f>
        <v>PASS</v>
      </c>
      <c r="E10" t="inlineStr">
        <is>
          <t>Every Odoo item is accounted for</t>
        </is>
      </c>
    </row>
    <row r="11">
      <c r="A11" t="inlineStr">
        <is>
          <t>Bank lines in groups = bank lines imported</t>
        </is>
      </c>
      <c r="B11" t="n">
        <v>1636</v>
      </c>
      <c r="C11" s="20">
        <f>SUM('Match Groups'!$H$5:$H$1326)+COUNTIF('Bank Lines'!$J$5:$J$1640,0)</f>
        <v>1636</v>
      </c>
      <c r="D11" t="str">
        <f>IF(ROUND(C11-B11,2)=0,"PASS","FAIL")</f>
        <v>PASS</v>
      </c>
      <c r="E11" t="inlineStr">
        <is>
          <t>No line counted twice or dropped</t>
        </is>
      </c>
    </row>
    <row r="12">
      <c r="A12" t="inlineStr">
        <is>
          <t>Odoo items in groups = Odoo items exported</t>
        </is>
      </c>
      <c r="B12" t="n">
        <v>4327</v>
      </c>
      <c r="C12" s="20">
        <f>SUM('Match Groups'!$I$5:$I$1326)</f>
        <v>4327</v>
      </c>
      <c r="D12" t="str">
        <f>IF(ROUND(C12-B12,2)=0,"PASS","FAIL")</f>
        <v>PASS</v>
      </c>
      <c r="E12" t="inlineStr">
        <is>
          <t>No item counted twice or dropped</t>
        </is>
      </c>
    </row>
    <row r="13">
      <c r="A13" t="inlineStr">
        <is>
          <t>Groups with a repeated group number</t>
        </is>
      </c>
      <c r="B13" t="n">
        <v>0</v>
      </c>
      <c r="C13" s="19">
        <f>SUMPRODUCT((COUNTIF('Match Groups'!$A$5:$A$1326,'Match Groups'!$A$5:$A$1326)&gt;1)*1)</f>
        <v>0</v>
      </c>
      <c r="D13" t="str">
        <f>IF(ROUND(C13-B13,2)=0,"PASS","FAIL")</f>
        <v>PASS</v>
      </c>
      <c r="E13" t="inlineStr">
        <is>
          <t>Group numbers are unique</t>
        </is>
      </c>
    </row>
    <row r="14">
      <c r="A14" t="inlineStr">
        <is>
          <t>Clean matches (reason MATCH) that do not tie to the cent</t>
        </is>
      </c>
      <c r="B14" t="n">
        <v>0</v>
      </c>
      <c r="C14" s="19">
        <f>ROUND(SUMPRODUCT(('Match Groups'!$D$5:$D$1326="MATCH")*('Match Groups'!$H$5:$H$1326&gt;0)*('Match Groups'!$I$5:$I$1326&gt;0)*ABS('Match Groups'!$L$5:$L$1326)),2)</f>
        <v>0</v>
      </c>
      <c r="D14" t="str">
        <f>IF(ROUND(C14-B14,2)=0,"PASS","FAIL")</f>
        <v>PASS</v>
      </c>
      <c r="E14" t="inlineStr">
        <is>
          <t>A match only counts if it ties exactly</t>
        </is>
      </c>
    </row>
    <row r="15">
      <c r="A15" t="inlineStr">
        <is>
          <t>Matched groups that straddle a month end on one side only</t>
        </is>
      </c>
      <c r="B15" t="n">
        <v>0</v>
      </c>
      <c r="C15" s="19">
        <f>SUMPRODUCT(('Match Groups'!$Q$5:$Q$1326="BOTH")*((ABS('Match Groups'!$M$5:$M$1326-'Match Groups'!$J$5:$J$1326)+ABS('Match Groups'!$N$5:$N$1326-'Match Groups'!$K$5:$K$1326))&gt;0.004))+SUMPRODUCT(('Match Groups'!$W$5:$W$1326="BOTH")*((ABS('Match Groups'!$S$5:$S$1326-'Match Groups'!$J$5:$J$1326)+ABS('Match Groups'!$T$5:$T$1326-'Match Groups'!$K$5:$K$1326))&gt;0.004))+SUMPRODUCT(('Match Groups'!$AC$5:$AC$1326="BOTH")*((ABS('Match Groups'!$Y$5:$Y$1326-'Match Groups'!$J$5:$J$1326)+ABS('Match Groups'!$Z$5:$Z$1326-'Match Groups'!$K$5:$K$1326))&gt;0.004))</f>
        <v>0</v>
      </c>
      <c r="D15" t="str">
        <f>IF(ROUND(C15-B15,2)=0,"PASS","FAIL")</f>
        <v>PASS</v>
      </c>
      <c r="E15" t="inlineStr">
        <is>
          <t>Month-end positions are complete on both sides</t>
        </is>
      </c>
    </row>
    <row r="16">
      <c r="A16" t="inlineStr">
        <is>
          <t>Duplicate import lines detected (R01) and excluded from balances</t>
        </is>
      </c>
      <c r="B16" t="n">
        <v>13</v>
      </c>
      <c r="C16" s="20">
        <f>COUNTIFS('Bank Lines'!$I$5:$I$1640,"DUPIMP",'Bank Lines'!$J$5:$J$1640,0)</f>
        <v>13</v>
      </c>
      <c r="D16" t="str">
        <f>IF(ROUND(C16-B16,2)=0,"PASS","FAIL")</f>
        <v>PASS</v>
      </c>
      <c r="E16" t="inlineStr">
        <is>
          <t>The 14 Aug file was imported twice</t>
        </is>
      </c>
    </row>
    <row r="17">
      <c r="A17" t="inlineStr">
        <is>
          <t>Stripe report: gross - fee = net on every line</t>
        </is>
      </c>
      <c r="B17" t="n">
        <v>0</v>
      </c>
      <c r="C17" s="19">
        <f>ROUND(SUMPRODUCT(ABS('Stripe Report'!J5:J1934)),2)</f>
        <v>0</v>
      </c>
      <c r="D17" t="str">
        <f>IF(ROUND(C17-B17,2)=0,"PASS","FAIL")</f>
        <v>PASS</v>
      </c>
      <c r="E17" t="inlineStr">
        <is>
          <t>Payout report is internally consistent</t>
        </is>
      </c>
    </row>
    <row r="18">
      <c r="A18" t="inlineStr">
        <is>
          <t>Stripe payouts: report net vs bank amount</t>
        </is>
      </c>
      <c r="B18" t="n">
        <v>0</v>
      </c>
      <c r="C18" s="19">
        <f>ROUND(SUMPRODUCT(ABS('Stripe Payouts'!L5:L72)),2)</f>
        <v>0</v>
      </c>
      <c r="D18" t="str">
        <f>IF(ROUND(C18-B18,2)=0,"PASS","FAIL")</f>
        <v>PASS</v>
      </c>
      <c r="E18" t="inlineStr">
        <is>
          <t>Every payout ties to the cent</t>
        </is>
      </c>
    </row>
    <row r="19">
      <c r="A19" t="inlineStr">
        <is>
          <t>Stripe group differences = fees + disputes per report</t>
        </is>
      </c>
      <c r="B19" t="n">
        <v>0</v>
      </c>
      <c r="C19" s="19">
        <f>ROUND(SUMIFS('Match Groups'!$L$5:$L$1326,'Match Groups'!$D$5:$D$1326,"STRIPE-FEE")+SUMIFS('Stripe Payouts'!G5:G72,'Stripe Payouts'!J5:J72,"&lt;&gt;after 30 Sep")-SUMIFS('Stripe Payouts'!F5:F72,'Stripe Payouts'!J5:J72,"&lt;&gt;after 30 Sep"),2)</f>
        <v>0</v>
      </c>
      <c r="D19" t="str">
        <f>IF(ROUND(C19-B19,2)=0,"PASS","FAIL")</f>
        <v>PASS</v>
      </c>
      <c r="E19" t="inlineStr">
        <is>
          <t>Fees are booked exactly once</t>
        </is>
      </c>
    </row>
    <row r="20">
      <c r="A20" t="inlineStr">
        <is>
          <t>Proposed journals: total debits - total credits</t>
        </is>
      </c>
      <c r="B20" t="n">
        <v>0</v>
      </c>
      <c r="C20" s="19">
        <f>ROUND(SUM('Proposed Journals'!G5:G454)-SUM('Proposed Journals'!H5:H454),2)</f>
        <v>0</v>
      </c>
      <c r="D20" t="str">
        <f>IF(ROUND(C20-B20,2)=0,"PASS","FAIL")</f>
        <v>PASS</v>
      </c>
      <c r="E20" t="inlineStr">
        <is>
          <t>Journals balance</t>
        </is>
      </c>
    </row>
    <row r="21">
      <c r="A21" t="inlineStr">
        <is>
          <t>Proposed journals out of balance</t>
        </is>
      </c>
      <c r="B21" t="n">
        <v>0</v>
      </c>
      <c r="C21" s="19">
        <f>COUNTIF('Proposed Journals'!K5:K454,"&lt;&gt;0")</f>
        <v>0</v>
      </c>
      <c r="D21" t="str">
        <f>IF(ROUND(C21-B21,2)=0,"PASS","FAIL")</f>
        <v>PASS</v>
      </c>
      <c r="E21" t="inlineStr">
        <is>
          <t>Every journal balances on its own</t>
        </is>
      </c>
    </row>
    <row r="22">
      <c r="A22" t="inlineStr">
        <is>
          <t>Journal bank lines vs exceptions needing a journal, by account</t>
        </is>
      </c>
      <c r="B22" t="n">
        <v>0</v>
      </c>
      <c r="C22" s="19">
        <f>ROUND(ABS(SUMIFS('Proposed Journals'!G5:G454,'Proposed Journals'!E5:E454,"1110 Bank - Operating")-SUMIFS('Proposed Journals'!H5:H454,'Proposed Journals'!E5:E454,"1110 Bank - Operating")-SUMIFS(Exceptions!H5:H208,Exceptions!B5:B208,"OPS",Exceptions!L5:L208,"&lt;&gt;none"))+ABS(SUMIFS('Proposed Journals'!G5:G454,'Proposed Journals'!E5:E454,"1120 Bank - Payroll clearing")-SUMIFS('Proposed Journals'!H5:H454,'Proposed Journals'!E5:E454,"1120 Bank - Payroll clearing")-SUMIFS(Exceptions!H5:H208,Exceptions!B5:B208,"PAY",Exceptions!L5:L208,"&lt;&gt;none"))+ABS(SUMIFS('Proposed Journals'!G5:G454,'Proposed Journals'!E5:E454,"1130 Bank - Merchant settlement")-SUMIFS('Proposed Journals'!H5:H454,'Proposed Journals'!E5:E454,"1130 Bank - Merchant settlement")-SUMIFS(Exceptions!H5:H208,Exceptions!B5:B208,"MER",Exceptions!L5:L208,"&lt;&gt;none"))+ABS(SUMIFS('Proposed Journals'!G5:G454,'Proposed Journals'!E5:E454,"1140 Bank - USD")-SUMIFS('Proposed Journals'!H5:H454,'Proposed Journals'!E5:E454,"1140 Bank - USD")-SUMIFS(Exceptions!H5:H208,Exceptions!B5:B208,"USD",Exceptions!L5:L208,"&lt;&gt;none")),2)</f>
        <v>0</v>
      </c>
      <c r="D22" t="str">
        <f>IF(ROUND(C22-B22,2)=0,"PASS","FAIL")</f>
        <v>PASS</v>
      </c>
      <c r="E22" t="inlineStr">
        <is>
          <t>Journals post exactly what the register says</t>
        </is>
      </c>
    </row>
    <row r="23">
      <c r="A23" t="inlineStr">
        <is>
          <t>Exceptions vs 30 Sep Odoo-side reconciling items, by account</t>
        </is>
      </c>
      <c r="B23" t="n">
        <v>0</v>
      </c>
      <c r="C23" s="19">
        <f>ROUND(ABS(SUMIFS(Exceptions!H5:H208,Exceptions!B5:B208,"OPS",Exceptions!E5:E208,"&lt;&gt;STALE")-('Rec Statements'!D101-'Rec Statements'!D79))+ABS(SUMIFS(Exceptions!H5:H208,Exceptions!B5:B208,"PAY",Exceptions!E5:E208,"&lt;&gt;STALE")-('Rec Statements'!D203-'Rec Statements'!D181))+ABS(SUMIFS(Exceptions!H5:H208,Exceptions!B5:B208,"MER",Exceptions!E5:E208,"&lt;&gt;STALE")-('Rec Statements'!D305-'Rec Statements'!D283))+ABS(SUMIFS(Exceptions!H5:H208,Exceptions!B5:B208,"USD",Exceptions!E5:E208,"&lt;&gt;STALE")-('Rec Statements'!D407-'Rec Statements'!D385)),2)</f>
        <v>0</v>
      </c>
      <c r="D23" t="str">
        <f>IF(ROUND(C23-B23,2)=0,"PASS","FAIL")</f>
        <v>PASS</v>
      </c>
      <c r="E23" t="inlineStr">
        <is>
          <t>The register explains every reconciling item at quarter end</t>
        </is>
      </c>
    </row>
    <row r="24">
      <c r="A24" t="inlineStr">
        <is>
          <t>After proposed journals: Odoo + journals = statement + in transit, 30 Sep</t>
        </is>
      </c>
      <c r="B24" t="n">
        <v>0</v>
      </c>
      <c r="C24" s="19">
        <f>ROUND(ABS('Rec Statements'!D79+SUMIFS('Proposed Journals'!G5:G454,'Proposed Journals'!E5:E454,"1110 Bank - Operating")-SUMIFS('Proposed Journals'!H5:H454,'Proposed Journals'!E5:E454,"1110 Bank - Operating")-'Rec Statements'!D77)+ABS('Rec Statements'!D181+SUMIFS('Proposed Journals'!G5:G454,'Proposed Journals'!E5:E454,"1120 Bank - Payroll clearing")-SUMIFS('Proposed Journals'!H5:H454,'Proposed Journals'!E5:E454,"1120 Bank - Payroll clearing")-'Rec Statements'!D179)+ABS('Rec Statements'!D283+SUMIFS('Proposed Journals'!G5:G454,'Proposed Journals'!E5:E454,"1130 Bank - Merchant settlement")-SUMIFS('Proposed Journals'!H5:H454,'Proposed Journals'!E5:E454,"1130 Bank - Merchant settlement")-'Rec Statements'!D281)+ABS('Rec Statements'!D385+SUMIFS('Proposed Journals'!G5:G454,'Proposed Journals'!E5:E454,"1140 Bank - USD")-SUMIFS('Proposed Journals'!H5:H454,'Proposed Journals'!E5:E454,"1140 Bank - USD")-'Rec Statements'!D383),2)</f>
        <v>0</v>
      </c>
      <c r="D24" t="str">
        <f>IF(ROUND(C24-B24,2)=0,"PASS","FAIL")</f>
        <v>PASS</v>
      </c>
      <c r="E24" t="inlineStr">
        <is>
          <t>Posting the journals closes the reconciliation</t>
        </is>
      </c>
    </row>
    <row r="25">
      <c r="A25" t="inlineStr">
        <is>
          <t>Allocations exceeding an open item's residual</t>
        </is>
      </c>
      <c r="B25" t="n">
        <v>0</v>
      </c>
      <c r="C25" s="19">
        <f>COUNTIFS('Open Items'!K5:K483,"&lt;-0.005",'Open Items'!J5:J483,"&lt;&gt;0")</f>
        <v>0</v>
      </c>
      <c r="D25" t="str">
        <f>IF(ROUND(C25-B25,2)=0,"PASS","FAIL")</f>
        <v>PASS</v>
      </c>
      <c r="E25" t="inlineStr">
        <is>
          <t>No invoice or bill is over-allocated</t>
        </is>
      </c>
    </row>
    <row r="26">
      <c r="A26" t="inlineStr">
        <is>
          <t>Allocations vs REG / REGBILL exception amounts</t>
        </is>
      </c>
      <c r="B26" t="n">
        <v>0</v>
      </c>
      <c r="C26" s="19">
        <f>ROUND(SUM(Allocations!C5:C222)-SUMIFS(Exceptions!H5:H208,Exceptions!E5:E208,"REG")-SUMIFS(Exceptions!H5:H208,Exceptions!E5:E208,"REGBILL"),2)</f>
        <v>0</v>
      </c>
      <c r="D26" t="str">
        <f>IF(ROUND(C26-B26,2)=0,"PASS","FAIL")</f>
        <v>PASS</v>
      </c>
      <c r="E26" t="inlineStr">
        <is>
          <t>Allocations post the full amount</t>
        </is>
      </c>
    </row>
    <row r="27">
      <c r="A27" t="inlineStr">
        <is>
          <t>Transfers: operating to payroll vs payroll from operating (bank)</t>
        </is>
      </c>
      <c r="B27" t="n">
        <v>0</v>
      </c>
      <c r="C27" s="19">
        <f>ROUND(SUMIFS('Bank Lines'!$E$5:$E$1640,'Bank Lines'!$D$5:$D$1640,"TFR TO PAYROLL*",'Bank Lines'!$J$5:$J$1640,1)+SUMIFS('Bank Lines'!$E$5:$E$1640,'Bank Lines'!$D$5:$D$1640,"TFR FROM OPERATING*",'Bank Lines'!$J$5:$J$1640,1),2)</f>
        <v>0</v>
      </c>
      <c r="D27" t="str">
        <f>IF(ROUND(C27-B27,2)=0,"PASS","FAIL")</f>
        <v>PASS</v>
      </c>
      <c r="E27" t="inlineStr">
        <is>
          <t>Inter-account transfers net to nil</t>
        </is>
      </c>
    </row>
    <row r="28">
      <c r="A28" t="inlineStr">
        <is>
          <t>Sweeps: merchant to operating vs operating from merchant (bank)</t>
        </is>
      </c>
      <c r="B28" t="n">
        <v>0</v>
      </c>
      <c r="C28" s="19">
        <f>ROUND(SUMIFS('Bank Lines'!$E$5:$E$1640,'Bank Lines'!$D$5:$D$1640,"SWEEP TO*",'Bank Lines'!$J$5:$J$1640,1)+SUMIFS('Bank Lines'!$E$5:$E$1640,'Bank Lines'!$D$5:$D$1640,"SWEEP FROM*",'Bank Lines'!$J$5:$J$1640,1),2)</f>
        <v>0</v>
      </c>
      <c r="D28" t="str">
        <f>IF(ROUND(C28-B28,2)=0,"PASS","FAIL")</f>
        <v>PASS</v>
      </c>
      <c r="E28" t="inlineStr">
        <is>
          <t>Sweeps net to nil</t>
        </is>
      </c>
    </row>
    <row r="29">
      <c r="A29" t="inlineStr">
        <is>
          <t>Dashboard unexplained differences (all rows)</t>
        </is>
      </c>
      <c r="B29" t="n">
        <v>0</v>
      </c>
      <c r="C29" s="19">
        <f>ROUND(SUMPRODUCT(ABS(Dashboard!M5:M16)),2)</f>
        <v>0</v>
      </c>
      <c r="D29" t="str">
        <f>IF(ROUND(C29-B29,2)=0,"PASS","FAIL")</f>
        <v>PASS</v>
      </c>
      <c r="E29" t="inlineStr">
        <is>
          <t>Sign-off view agrees with the statements</t>
        </is>
      </c>
    </row>
    <row r="30">
      <c r="A30" t="inlineStr">
        <is>
          <t>Dashboard statement lines = counted bank lines</t>
        </is>
      </c>
      <c r="B30" t="n">
        <v>1623</v>
      </c>
      <c r="C30" s="20">
        <f>Dashboard!N17</f>
        <v>1623</v>
      </c>
      <c r="D30" t="str">
        <f>IF(ROUND(C30-B30,2)=0,"PASS","FAIL")</f>
        <v>PASS</v>
      </c>
      <c r="E30" t="inlineStr">
        <is>
          <t>Dashboard covers every line</t>
        </is>
      </c>
    </row>
    <row r="31">
      <c r="A31" t="inlineStr">
        <is>
          <t>Engine regression test: items that disagree with the expected outcome</t>
        </is>
      </c>
      <c r="B31" t="n">
        <v>0</v>
      </c>
      <c r="C31" s="19">
        <f>'Test Log'!E5</f>
        <v>0</v>
      </c>
      <c r="D31" t="str">
        <f>IF(ROUND(C31-B31,2)=0,"PASS","FAIL")</f>
        <v>PASS</v>
      </c>
      <c r="E31" t="inlineStr">
        <is>
          <t>match.py is checked on every run</t>
        </is>
      </c>
    </row>
    <row r="32">
      <c r="A32" t="inlineStr">
        <is>
          <t>Workbook groups = engine groups</t>
        </is>
      </c>
      <c r="B32" t="n">
        <v>1322</v>
      </c>
      <c r="C32" s="20">
        <f>COUNTA('Match Groups'!$A$5:$A$1326)</f>
        <v>1322</v>
      </c>
      <c r="D32" t="str">
        <f>IF(ROUND(C32-B32,2)=0,"PASS","FAIL")</f>
        <v>PASS</v>
      </c>
      <c r="E32" t="inlineStr">
        <is>
          <t>The workbook reflects this engine run</t>
        </is>
      </c>
    </row>
    <row r="34">
      <c r="A34" s="4" t="inlineStr">
        <is>
          <t>Controls passed</t>
        </is>
      </c>
      <c r="B34" t="n">
        <v>28</v>
      </c>
      <c r="C34">
        <f>COUNTIF(D5:D32,"PASS")</f>
        <v>28</v>
      </c>
    </row>
  </sheetData>
  <conditionalFormatting sqref="D5:D32">
    <cfRule type="cellIs" priority="1" operator="equal" dxfId="1">
      <formula>"PASS"</formula>
    </cfRule>
    <cfRule type="cellIs" priority="2" operator="equal" dxfId="0">
      <formula>"FAIL"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4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  <col width="8" customWidth="1" min="4" max="4"/>
    <col width="34" customWidth="1" min="5" max="5"/>
    <col width="40" customWidth="1" min="6" max="6"/>
    <col width="13" customWidth="1" min="7" max="7"/>
    <col width="13" customWidth="1" min="8" max="8"/>
    <col width="10" customWidth="1" min="9" max="9"/>
    <col width="8" customWidth="1" min="10" max="10"/>
    <col width="12" customWidth="1" min="11" max="11"/>
  </cols>
  <sheetData>
    <row r="1">
      <c r="A1" s="7" t="inlineStr">
        <is>
          <t>Proposed journals (amounts linked to the exceptions register)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Sample build: realistic data, built to show how I'd handle this work. Not client data.</t>
        </is>
      </c>
    </row>
    <row r="4">
      <c r="A4" s="8" t="inlineStr">
        <is>
          <t>Journal</t>
        </is>
      </c>
      <c r="B4" s="8" t="inlineStr">
        <is>
          <t>Exception</t>
        </is>
      </c>
      <c r="C4" s="8" t="inlineStr">
        <is>
          <t>Date</t>
        </is>
      </c>
      <c r="D4" s="8" t="inlineStr">
        <is>
          <t>Bank journal</t>
        </is>
      </c>
      <c r="E4" s="8" t="inlineStr">
        <is>
          <t>Account</t>
        </is>
      </c>
      <c r="F4" s="8" t="inlineStr">
        <is>
          <t>Partner / note</t>
        </is>
      </c>
      <c r="G4" s="8" t="inlineStr">
        <is>
          <t>Debit</t>
        </is>
      </c>
      <c r="H4" s="8" t="inlineStr">
        <is>
          <t>Credit</t>
        </is>
      </c>
      <c r="I4" s="8" t="inlineStr">
        <is>
          <t>Tax</t>
        </is>
      </c>
      <c r="J4" s="8" t="inlineStr">
        <is>
          <t>Currency</t>
        </is>
      </c>
      <c r="K4" s="8" t="inlineStr">
        <is>
          <t>Journal balance</t>
        </is>
      </c>
    </row>
    <row r="5">
      <c r="A5" t="inlineStr">
        <is>
          <t>J014</t>
        </is>
      </c>
      <c r="B5" t="inlineStr">
        <is>
          <t>EX014</t>
        </is>
      </c>
      <c r="C5" s="5" t="n">
        <v>46204</v>
      </c>
      <c r="D5" t="inlineStr">
        <is>
          <t>OPS</t>
        </is>
      </c>
      <c r="E5" t="inlineStr">
        <is>
          <t>1110 Bank - Operating</t>
        </is>
      </c>
      <c r="F5" t="inlineStr">
        <is>
          <t>31 report lines; fees 78.09 | STRIPE PAYOUT STRIPE po_1Q0001</t>
        </is>
      </c>
      <c r="G5" s="9">
        <f>MAX(Exceptions!$H$18,0)</f>
        <v>0</v>
      </c>
      <c r="H5" s="9">
        <f>MAX(-Exceptions!$H$18,0)</f>
        <v>78.09</v>
      </c>
      <c r="I5" t="inlineStr"/>
      <c r="J5" t="inlineStr">
        <is>
          <t>AUD</t>
        </is>
      </c>
      <c r="K5" s="9">
        <f>ROUND(SUMIFS($G$5:$G$454,$A$5:$A$454,A5)-SUMIFS($H$5:$H$454,$A$5:$A$454,A5),2)</f>
        <v>0</v>
      </c>
    </row>
    <row r="6">
      <c r="A6" t="inlineStr">
        <is>
          <t>J014</t>
        </is>
      </c>
      <c r="B6" t="inlineStr">
        <is>
          <t>EX014</t>
        </is>
      </c>
      <c r="C6" s="5" t="n">
        <v>46204</v>
      </c>
      <c r="D6" t="inlineStr">
        <is>
          <t>OPS</t>
        </is>
      </c>
      <c r="E6" t="inlineStr">
        <is>
          <t>6120 Merchant and payment fees</t>
        </is>
      </c>
      <c r="F6" t="inlineStr">
        <is>
          <t>Stripe fees ex GST</t>
        </is>
      </c>
      <c r="G6" s="9">
        <f>ROUND(SUMIFS('Stripe Payouts'!$G$5:$G$72,'Stripe Payouts'!$M$5:$M$72,Exceptions!$D$18)-Exceptions!$I$18,2)</f>
        <v>70.99</v>
      </c>
      <c r="H6" s="9" t="n">
        <v>0</v>
      </c>
      <c r="I6" t="inlineStr">
        <is>
          <t>GST on purchases</t>
        </is>
      </c>
      <c r="J6" t="inlineStr">
        <is>
          <t>AUD</t>
        </is>
      </c>
      <c r="K6" s="9">
        <f>ROUND(SUMIFS($G$5:$G$454,$A$5:$A$454,A6)-SUMIFS($H$5:$H$454,$A$5:$A$454,A6),2)</f>
        <v>0</v>
      </c>
    </row>
    <row r="7">
      <c r="A7" t="inlineStr">
        <is>
          <t>J014</t>
        </is>
      </c>
      <c r="B7" t="inlineStr">
        <is>
          <t>EX014</t>
        </is>
      </c>
      <c r="C7" s="5" t="n">
        <v>46204</v>
      </c>
      <c r="D7" t="inlineStr">
        <is>
          <t>OPS</t>
        </is>
      </c>
      <c r="E7" t="inlineStr">
        <is>
          <t>1300 GST paid (1B)</t>
        </is>
      </c>
      <c r="F7" t="inlineStr">
        <is>
          <t>GST on Stripe fees</t>
        </is>
      </c>
      <c r="G7" s="9">
        <f>Exceptions!$I$18</f>
        <v>7.1</v>
      </c>
      <c r="H7" s="9" t="n">
        <v>0</v>
      </c>
      <c r="I7" t="inlineStr">
        <is>
          <t>GST</t>
        </is>
      </c>
      <c r="J7" t="inlineStr">
        <is>
          <t>AUD</t>
        </is>
      </c>
      <c r="K7" s="9">
        <f>ROUND(SUMIFS($G$5:$G$454,$A$5:$A$454,A7)-SUMIFS($H$5:$H$454,$A$5:$A$454,A7),2)</f>
        <v>0</v>
      </c>
    </row>
    <row r="8">
      <c r="A8" t="inlineStr">
        <is>
          <t>J015</t>
        </is>
      </c>
      <c r="B8" t="inlineStr">
        <is>
          <t>EX015</t>
        </is>
      </c>
      <c r="C8" s="5" t="n">
        <v>46205</v>
      </c>
      <c r="D8" t="inlineStr">
        <is>
          <t>OPS</t>
        </is>
      </c>
      <c r="E8" t="inlineStr">
        <is>
          <t>1110 Bank - Operating</t>
        </is>
      </c>
      <c r="F8" t="inlineStr">
        <is>
          <t>21 report lines; fees 53.15 | STRIPE PAYOUT STRIPE po_1Q0002</t>
        </is>
      </c>
      <c r="G8" s="9">
        <f>MAX(Exceptions!$H$19,0)</f>
        <v>0</v>
      </c>
      <c r="H8" s="9">
        <f>MAX(-Exceptions!$H$19,0)</f>
        <v>53.15</v>
      </c>
      <c r="I8" t="inlineStr"/>
      <c r="J8" t="inlineStr">
        <is>
          <t>AUD</t>
        </is>
      </c>
      <c r="K8" s="9">
        <f>ROUND(SUMIFS($G$5:$G$454,$A$5:$A$454,A8)-SUMIFS($H$5:$H$454,$A$5:$A$454,A8),2)</f>
        <v>0</v>
      </c>
    </row>
    <row r="9">
      <c r="A9" t="inlineStr">
        <is>
          <t>J015</t>
        </is>
      </c>
      <c r="B9" t="inlineStr">
        <is>
          <t>EX015</t>
        </is>
      </c>
      <c r="C9" s="5" t="n">
        <v>46205</v>
      </c>
      <c r="D9" t="inlineStr">
        <is>
          <t>OPS</t>
        </is>
      </c>
      <c r="E9" t="inlineStr">
        <is>
          <t>6120 Merchant and payment fees</t>
        </is>
      </c>
      <c r="F9" t="inlineStr">
        <is>
          <t>Stripe fees ex GST</t>
        </is>
      </c>
      <c r="G9" s="9">
        <f>ROUND(SUMIFS('Stripe Payouts'!$G$5:$G$72,'Stripe Payouts'!$M$5:$M$72,Exceptions!$D$19)-Exceptions!$I$19,2)</f>
        <v>48.32</v>
      </c>
      <c r="H9" s="9" t="n">
        <v>0</v>
      </c>
      <c r="I9" t="inlineStr">
        <is>
          <t>GST on purchases</t>
        </is>
      </c>
      <c r="J9" t="inlineStr">
        <is>
          <t>AUD</t>
        </is>
      </c>
      <c r="K9" s="9">
        <f>ROUND(SUMIFS($G$5:$G$454,$A$5:$A$454,A9)-SUMIFS($H$5:$H$454,$A$5:$A$454,A9),2)</f>
        <v>0</v>
      </c>
    </row>
    <row r="10">
      <c r="A10" t="inlineStr">
        <is>
          <t>J015</t>
        </is>
      </c>
      <c r="B10" t="inlineStr">
        <is>
          <t>EX015</t>
        </is>
      </c>
      <c r="C10" s="5" t="n">
        <v>46205</v>
      </c>
      <c r="D10" t="inlineStr">
        <is>
          <t>OPS</t>
        </is>
      </c>
      <c r="E10" t="inlineStr">
        <is>
          <t>1300 GST paid (1B)</t>
        </is>
      </c>
      <c r="F10" t="inlineStr">
        <is>
          <t>GST on Stripe fees</t>
        </is>
      </c>
      <c r="G10" s="9">
        <f>Exceptions!$I$19</f>
        <v>4.83</v>
      </c>
      <c r="H10" s="9" t="n">
        <v>0</v>
      </c>
      <c r="I10" t="inlineStr">
        <is>
          <t>GST</t>
        </is>
      </c>
      <c r="J10" t="inlineStr">
        <is>
          <t>AUD</t>
        </is>
      </c>
      <c r="K10" s="9">
        <f>ROUND(SUMIFS($G$5:$G$454,$A$5:$A$454,A10)-SUMIFS($H$5:$H$454,$A$5:$A$454,A10),2)</f>
        <v>0</v>
      </c>
    </row>
    <row r="11">
      <c r="A11" t="inlineStr">
        <is>
          <t>J016</t>
        </is>
      </c>
      <c r="B11" t="inlineStr">
        <is>
          <t>EX016</t>
        </is>
      </c>
      <c r="C11" s="5" t="n">
        <v>46206</v>
      </c>
      <c r="D11" t="inlineStr">
        <is>
          <t>OPS</t>
        </is>
      </c>
      <c r="E11" t="inlineStr">
        <is>
          <t>1110 Bank - Operating</t>
        </is>
      </c>
      <c r="F11" t="inlineStr">
        <is>
          <t>32 report lines; fees 75.01 | STRIPE PAYOUT STRIPE po_1Q0003</t>
        </is>
      </c>
      <c r="G11" s="9">
        <f>MAX(Exceptions!$H$20,0)</f>
        <v>0</v>
      </c>
      <c r="H11" s="9">
        <f>MAX(-Exceptions!$H$20,0)</f>
        <v>75.01</v>
      </c>
      <c r="I11" t="inlineStr"/>
      <c r="J11" t="inlineStr">
        <is>
          <t>AUD</t>
        </is>
      </c>
      <c r="K11" s="9">
        <f>ROUND(SUMIFS($G$5:$G$454,$A$5:$A$454,A11)-SUMIFS($H$5:$H$454,$A$5:$A$454,A11),2)</f>
        <v>0</v>
      </c>
    </row>
    <row r="12">
      <c r="A12" t="inlineStr">
        <is>
          <t>J016</t>
        </is>
      </c>
      <c r="B12" t="inlineStr">
        <is>
          <t>EX016</t>
        </is>
      </c>
      <c r="C12" s="5" t="n">
        <v>46206</v>
      </c>
      <c r="D12" t="inlineStr">
        <is>
          <t>OPS</t>
        </is>
      </c>
      <c r="E12" t="inlineStr">
        <is>
          <t>6120 Merchant and payment fees</t>
        </is>
      </c>
      <c r="F12" t="inlineStr">
        <is>
          <t>Stripe fees ex GST</t>
        </is>
      </c>
      <c r="G12" s="9">
        <f>ROUND(SUMIFS('Stripe Payouts'!$G$5:$G$72,'Stripe Payouts'!$M$5:$M$72,Exceptions!$D$20)-Exceptions!$I$20,2)</f>
        <v>68.19</v>
      </c>
      <c r="H12" s="9" t="n">
        <v>0</v>
      </c>
      <c r="I12" t="inlineStr">
        <is>
          <t>GST on purchases</t>
        </is>
      </c>
      <c r="J12" t="inlineStr">
        <is>
          <t>AUD</t>
        </is>
      </c>
      <c r="K12" s="9">
        <f>ROUND(SUMIFS($G$5:$G$454,$A$5:$A$454,A12)-SUMIFS($H$5:$H$454,$A$5:$A$454,A12),2)</f>
        <v>0</v>
      </c>
    </row>
    <row r="13">
      <c r="A13" t="inlineStr">
        <is>
          <t>J016</t>
        </is>
      </c>
      <c r="B13" t="inlineStr">
        <is>
          <t>EX016</t>
        </is>
      </c>
      <c r="C13" s="5" t="n">
        <v>46206</v>
      </c>
      <c r="D13" t="inlineStr">
        <is>
          <t>OPS</t>
        </is>
      </c>
      <c r="E13" t="inlineStr">
        <is>
          <t>1300 GST paid (1B)</t>
        </is>
      </c>
      <c r="F13" t="inlineStr">
        <is>
          <t>GST on Stripe fees</t>
        </is>
      </c>
      <c r="G13" s="9">
        <f>Exceptions!$I$20</f>
        <v>6.82</v>
      </c>
      <c r="H13" s="9" t="n">
        <v>0</v>
      </c>
      <c r="I13" t="inlineStr">
        <is>
          <t>GST</t>
        </is>
      </c>
      <c r="J13" t="inlineStr">
        <is>
          <t>AUD</t>
        </is>
      </c>
      <c r="K13" s="9">
        <f>ROUND(SUMIFS($G$5:$G$454,$A$5:$A$454,A13)-SUMIFS($H$5:$H$454,$A$5:$A$454,A13),2)</f>
        <v>0</v>
      </c>
    </row>
    <row r="14">
      <c r="A14" t="inlineStr">
        <is>
          <t>J017</t>
        </is>
      </c>
      <c r="B14" t="inlineStr">
        <is>
          <t>EX017</t>
        </is>
      </c>
      <c r="C14" s="5" t="n">
        <v>46209</v>
      </c>
      <c r="D14" t="inlineStr">
        <is>
          <t>OPS</t>
        </is>
      </c>
      <c r="E14" t="inlineStr">
        <is>
          <t>1110 Bank - Operating</t>
        </is>
      </c>
      <c r="F14" t="inlineStr">
        <is>
          <t>25 report lines; fees 63.27 | STRIPE PAYOUT STRIPE po_1Q0004</t>
        </is>
      </c>
      <c r="G14" s="9">
        <f>MAX(Exceptions!$H$21,0)</f>
        <v>0</v>
      </c>
      <c r="H14" s="9">
        <f>MAX(-Exceptions!$H$21,0)</f>
        <v>63.27</v>
      </c>
      <c r="I14" t="inlineStr"/>
      <c r="J14" t="inlineStr">
        <is>
          <t>AUD</t>
        </is>
      </c>
      <c r="K14" s="9">
        <f>ROUND(SUMIFS($G$5:$G$454,$A$5:$A$454,A14)-SUMIFS($H$5:$H$454,$A$5:$A$454,A14),2)</f>
        <v>0</v>
      </c>
    </row>
    <row r="15">
      <c r="A15" t="inlineStr">
        <is>
          <t>J017</t>
        </is>
      </c>
      <c r="B15" t="inlineStr">
        <is>
          <t>EX017</t>
        </is>
      </c>
      <c r="C15" s="5" t="n">
        <v>46209</v>
      </c>
      <c r="D15" t="inlineStr">
        <is>
          <t>OPS</t>
        </is>
      </c>
      <c r="E15" t="inlineStr">
        <is>
          <t>6120 Merchant and payment fees</t>
        </is>
      </c>
      <c r="F15" t="inlineStr">
        <is>
          <t>Stripe fees ex GST</t>
        </is>
      </c>
      <c r="G15" s="9">
        <f>ROUND(SUMIFS('Stripe Payouts'!$G$5:$G$72,'Stripe Payouts'!$M$5:$M$72,Exceptions!$D$21)-Exceptions!$I$21,2)</f>
        <v>57.52</v>
      </c>
      <c r="H15" s="9" t="n">
        <v>0</v>
      </c>
      <c r="I15" t="inlineStr">
        <is>
          <t>GST on purchases</t>
        </is>
      </c>
      <c r="J15" t="inlineStr">
        <is>
          <t>AUD</t>
        </is>
      </c>
      <c r="K15" s="9">
        <f>ROUND(SUMIFS($G$5:$G$454,$A$5:$A$454,A15)-SUMIFS($H$5:$H$454,$A$5:$A$454,A15),2)</f>
        <v>0</v>
      </c>
    </row>
    <row r="16">
      <c r="A16" t="inlineStr">
        <is>
          <t>J017</t>
        </is>
      </c>
      <c r="B16" t="inlineStr">
        <is>
          <t>EX017</t>
        </is>
      </c>
      <c r="C16" s="5" t="n">
        <v>46209</v>
      </c>
      <c r="D16" t="inlineStr">
        <is>
          <t>OPS</t>
        </is>
      </c>
      <c r="E16" t="inlineStr">
        <is>
          <t>1300 GST paid (1B)</t>
        </is>
      </c>
      <c r="F16" t="inlineStr">
        <is>
          <t>GST on Stripe fees</t>
        </is>
      </c>
      <c r="G16" s="9">
        <f>Exceptions!$I$21</f>
        <v>5.75</v>
      </c>
      <c r="H16" s="9" t="n">
        <v>0</v>
      </c>
      <c r="I16" t="inlineStr">
        <is>
          <t>GST</t>
        </is>
      </c>
      <c r="J16" t="inlineStr">
        <is>
          <t>AUD</t>
        </is>
      </c>
      <c r="K16" s="9">
        <f>ROUND(SUMIFS($G$5:$G$454,$A$5:$A$454,A16)-SUMIFS($H$5:$H$454,$A$5:$A$454,A16),2)</f>
        <v>0</v>
      </c>
    </row>
    <row r="17">
      <c r="A17" t="inlineStr">
        <is>
          <t>J018</t>
        </is>
      </c>
      <c r="B17" t="inlineStr">
        <is>
          <t>EX018</t>
        </is>
      </c>
      <c r="C17" s="5" t="n">
        <v>46210</v>
      </c>
      <c r="D17" t="inlineStr">
        <is>
          <t>OPS</t>
        </is>
      </c>
      <c r="E17" t="inlineStr">
        <is>
          <t>1110 Bank - Operating</t>
        </is>
      </c>
      <c r="F17" t="inlineStr">
        <is>
          <t>38 report lines; fees 104.19 | STRIPE PAYOUT STRIPE po_1Q000</t>
        </is>
      </c>
      <c r="G17" s="9">
        <f>MAX(Exceptions!$H$22,0)</f>
        <v>0</v>
      </c>
      <c r="H17" s="9">
        <f>MAX(-Exceptions!$H$22,0)</f>
        <v>104.19</v>
      </c>
      <c r="I17" t="inlineStr"/>
      <c r="J17" t="inlineStr">
        <is>
          <t>AUD</t>
        </is>
      </c>
      <c r="K17" s="9">
        <f>ROUND(SUMIFS($G$5:$G$454,$A$5:$A$454,A17)-SUMIFS($H$5:$H$454,$A$5:$A$454,A17),2)</f>
        <v>0</v>
      </c>
    </row>
    <row r="18">
      <c r="A18" t="inlineStr">
        <is>
          <t>J018</t>
        </is>
      </c>
      <c r="B18" t="inlineStr">
        <is>
          <t>EX018</t>
        </is>
      </c>
      <c r="C18" s="5" t="n">
        <v>46210</v>
      </c>
      <c r="D18" t="inlineStr">
        <is>
          <t>OPS</t>
        </is>
      </c>
      <c r="E18" t="inlineStr">
        <is>
          <t>6120 Merchant and payment fees</t>
        </is>
      </c>
      <c r="F18" t="inlineStr">
        <is>
          <t>Stripe fees ex GST</t>
        </is>
      </c>
      <c r="G18" s="9">
        <f>ROUND(SUMIFS('Stripe Payouts'!$G$5:$G$72,'Stripe Payouts'!$M$5:$M$72,Exceptions!$D$22)-Exceptions!$I$22,2)</f>
        <v>94.72</v>
      </c>
      <c r="H18" s="9" t="n">
        <v>0</v>
      </c>
      <c r="I18" t="inlineStr">
        <is>
          <t>GST on purchases</t>
        </is>
      </c>
      <c r="J18" t="inlineStr">
        <is>
          <t>AUD</t>
        </is>
      </c>
      <c r="K18" s="9">
        <f>ROUND(SUMIFS($G$5:$G$454,$A$5:$A$454,A18)-SUMIFS($H$5:$H$454,$A$5:$A$454,A18),2)</f>
        <v>0</v>
      </c>
    </row>
    <row r="19">
      <c r="A19" t="inlineStr">
        <is>
          <t>J018</t>
        </is>
      </c>
      <c r="B19" t="inlineStr">
        <is>
          <t>EX018</t>
        </is>
      </c>
      <c r="C19" s="5" t="n">
        <v>46210</v>
      </c>
      <c r="D19" t="inlineStr">
        <is>
          <t>OPS</t>
        </is>
      </c>
      <c r="E19" t="inlineStr">
        <is>
          <t>1300 GST paid (1B)</t>
        </is>
      </c>
      <c r="F19" t="inlineStr">
        <is>
          <t>GST on Stripe fees</t>
        </is>
      </c>
      <c r="G19" s="9">
        <f>Exceptions!$I$22</f>
        <v>9.47</v>
      </c>
      <c r="H19" s="9" t="n">
        <v>0</v>
      </c>
      <c r="I19" t="inlineStr">
        <is>
          <t>GST</t>
        </is>
      </c>
      <c r="J19" t="inlineStr">
        <is>
          <t>AUD</t>
        </is>
      </c>
      <c r="K19" s="9">
        <f>ROUND(SUMIFS($G$5:$G$454,$A$5:$A$454,A19)-SUMIFS($H$5:$H$454,$A$5:$A$454,A19),2)</f>
        <v>0</v>
      </c>
    </row>
    <row r="20">
      <c r="A20" t="inlineStr">
        <is>
          <t>J019</t>
        </is>
      </c>
      <c r="B20" t="inlineStr">
        <is>
          <t>EX019</t>
        </is>
      </c>
      <c r="C20" s="5" t="n">
        <v>46211</v>
      </c>
      <c r="D20" t="inlineStr">
        <is>
          <t>OPS</t>
        </is>
      </c>
      <c r="E20" t="inlineStr">
        <is>
          <t>1110 Bank - Operating</t>
        </is>
      </c>
      <c r="F20" t="inlineStr">
        <is>
          <t>19 report lines; fees 46.59 | STRIPE PAYOUT STRIPE po_1Q0006</t>
        </is>
      </c>
      <c r="G20" s="9">
        <f>MAX(Exceptions!$H$23,0)</f>
        <v>0</v>
      </c>
      <c r="H20" s="9">
        <f>MAX(-Exceptions!$H$23,0)</f>
        <v>46.59</v>
      </c>
      <c r="I20" t="inlineStr"/>
      <c r="J20" t="inlineStr">
        <is>
          <t>AUD</t>
        </is>
      </c>
      <c r="K20" s="9">
        <f>ROUND(SUMIFS($G$5:$G$454,$A$5:$A$454,A20)-SUMIFS($H$5:$H$454,$A$5:$A$454,A20),2)</f>
        <v>0</v>
      </c>
    </row>
    <row r="21">
      <c r="A21" t="inlineStr">
        <is>
          <t>J019</t>
        </is>
      </c>
      <c r="B21" t="inlineStr">
        <is>
          <t>EX019</t>
        </is>
      </c>
      <c r="C21" s="5" t="n">
        <v>46211</v>
      </c>
      <c r="D21" t="inlineStr">
        <is>
          <t>OPS</t>
        </is>
      </c>
      <c r="E21" t="inlineStr">
        <is>
          <t>6120 Merchant and payment fees</t>
        </is>
      </c>
      <c r="F21" t="inlineStr">
        <is>
          <t>Stripe fees ex GST</t>
        </is>
      </c>
      <c r="G21" s="9">
        <f>ROUND(SUMIFS('Stripe Payouts'!$G$5:$G$72,'Stripe Payouts'!$M$5:$M$72,Exceptions!$D$23)-Exceptions!$I$23,2)</f>
        <v>42.35</v>
      </c>
      <c r="H21" s="9" t="n">
        <v>0</v>
      </c>
      <c r="I21" t="inlineStr">
        <is>
          <t>GST on purchases</t>
        </is>
      </c>
      <c r="J21" t="inlineStr">
        <is>
          <t>AUD</t>
        </is>
      </c>
      <c r="K21" s="9">
        <f>ROUND(SUMIFS($G$5:$G$454,$A$5:$A$454,A21)-SUMIFS($H$5:$H$454,$A$5:$A$454,A21),2)</f>
        <v>0</v>
      </c>
    </row>
    <row r="22">
      <c r="A22" t="inlineStr">
        <is>
          <t>J019</t>
        </is>
      </c>
      <c r="B22" t="inlineStr">
        <is>
          <t>EX019</t>
        </is>
      </c>
      <c r="C22" s="5" t="n">
        <v>46211</v>
      </c>
      <c r="D22" t="inlineStr">
        <is>
          <t>OPS</t>
        </is>
      </c>
      <c r="E22" t="inlineStr">
        <is>
          <t>1300 GST paid (1B)</t>
        </is>
      </c>
      <c r="F22" t="inlineStr">
        <is>
          <t>GST on Stripe fees</t>
        </is>
      </c>
      <c r="G22" s="9">
        <f>Exceptions!$I$23</f>
        <v>4.24</v>
      </c>
      <c r="H22" s="9" t="n">
        <v>0</v>
      </c>
      <c r="I22" t="inlineStr">
        <is>
          <t>GST</t>
        </is>
      </c>
      <c r="J22" t="inlineStr">
        <is>
          <t>AUD</t>
        </is>
      </c>
      <c r="K22" s="9">
        <f>ROUND(SUMIFS($G$5:$G$454,$A$5:$A$454,A22)-SUMIFS($H$5:$H$454,$A$5:$A$454,A22),2)</f>
        <v>0</v>
      </c>
    </row>
    <row r="23">
      <c r="A23" t="inlineStr">
        <is>
          <t>J020</t>
        </is>
      </c>
      <c r="B23" t="inlineStr">
        <is>
          <t>EX020</t>
        </is>
      </c>
      <c r="C23" s="5" t="n">
        <v>46212</v>
      </c>
      <c r="D23" t="inlineStr">
        <is>
          <t>OPS</t>
        </is>
      </c>
      <c r="E23" t="inlineStr">
        <is>
          <t>1110 Bank - Operating</t>
        </is>
      </c>
      <c r="F23" t="inlineStr">
        <is>
          <t>32 report lines; fees 69.84 | STRIPE PAYOUT STRIPE po_1Q0007</t>
        </is>
      </c>
      <c r="G23" s="9">
        <f>MAX(Exceptions!$H$24,0)</f>
        <v>0</v>
      </c>
      <c r="H23" s="9">
        <f>MAX(-Exceptions!$H$24,0)</f>
        <v>69.84</v>
      </c>
      <c r="I23" t="inlineStr"/>
      <c r="J23" t="inlineStr">
        <is>
          <t>AUD</t>
        </is>
      </c>
      <c r="K23" s="9">
        <f>ROUND(SUMIFS($G$5:$G$454,$A$5:$A$454,A23)-SUMIFS($H$5:$H$454,$A$5:$A$454,A23),2)</f>
        <v>0</v>
      </c>
    </row>
    <row r="24">
      <c r="A24" t="inlineStr">
        <is>
          <t>J020</t>
        </is>
      </c>
      <c r="B24" t="inlineStr">
        <is>
          <t>EX020</t>
        </is>
      </c>
      <c r="C24" s="5" t="n">
        <v>46212</v>
      </c>
      <c r="D24" t="inlineStr">
        <is>
          <t>OPS</t>
        </is>
      </c>
      <c r="E24" t="inlineStr">
        <is>
          <t>6120 Merchant and payment fees</t>
        </is>
      </c>
      <c r="F24" t="inlineStr">
        <is>
          <t>Stripe fees ex GST</t>
        </is>
      </c>
      <c r="G24" s="9">
        <f>ROUND(SUMIFS('Stripe Payouts'!$G$5:$G$72,'Stripe Payouts'!$M$5:$M$72,Exceptions!$D$24)-Exceptions!$I$24,2)</f>
        <v>63.49</v>
      </c>
      <c r="H24" s="9" t="n">
        <v>0</v>
      </c>
      <c r="I24" t="inlineStr">
        <is>
          <t>GST on purchases</t>
        </is>
      </c>
      <c r="J24" t="inlineStr">
        <is>
          <t>AUD</t>
        </is>
      </c>
      <c r="K24" s="9">
        <f>ROUND(SUMIFS($G$5:$G$454,$A$5:$A$454,A24)-SUMIFS($H$5:$H$454,$A$5:$A$454,A24),2)</f>
        <v>0</v>
      </c>
    </row>
    <row r="25">
      <c r="A25" t="inlineStr">
        <is>
          <t>J020</t>
        </is>
      </c>
      <c r="B25" t="inlineStr">
        <is>
          <t>EX020</t>
        </is>
      </c>
      <c r="C25" s="5" t="n">
        <v>46212</v>
      </c>
      <c r="D25" t="inlineStr">
        <is>
          <t>OPS</t>
        </is>
      </c>
      <c r="E25" t="inlineStr">
        <is>
          <t>1300 GST paid (1B)</t>
        </is>
      </c>
      <c r="F25" t="inlineStr">
        <is>
          <t>GST on Stripe fees</t>
        </is>
      </c>
      <c r="G25" s="9">
        <f>Exceptions!$I$24</f>
        <v>6.35</v>
      </c>
      <c r="H25" s="9" t="n">
        <v>0</v>
      </c>
      <c r="I25" t="inlineStr">
        <is>
          <t>GST</t>
        </is>
      </c>
      <c r="J25" t="inlineStr">
        <is>
          <t>AUD</t>
        </is>
      </c>
      <c r="K25" s="9">
        <f>ROUND(SUMIFS($G$5:$G$454,$A$5:$A$454,A25)-SUMIFS($H$5:$H$454,$A$5:$A$454,A25),2)</f>
        <v>0</v>
      </c>
    </row>
    <row r="26">
      <c r="A26" t="inlineStr">
        <is>
          <t>J021</t>
        </is>
      </c>
      <c r="B26" t="inlineStr">
        <is>
          <t>EX021</t>
        </is>
      </c>
      <c r="C26" s="5" t="n">
        <v>46213</v>
      </c>
      <c r="D26" t="inlineStr">
        <is>
          <t>OPS</t>
        </is>
      </c>
      <c r="E26" t="inlineStr">
        <is>
          <t>1110 Bank - Operating</t>
        </is>
      </c>
      <c r="F26" t="inlineStr">
        <is>
          <t>28 report lines; fees 75.63 | STRIPE PAYOUT STRIPE po_1Q0008</t>
        </is>
      </c>
      <c r="G26" s="9">
        <f>MAX(Exceptions!$H$25,0)</f>
        <v>0</v>
      </c>
      <c r="H26" s="9">
        <f>MAX(-Exceptions!$H$25,0)</f>
        <v>75.63</v>
      </c>
      <c r="I26" t="inlineStr"/>
      <c r="J26" t="inlineStr">
        <is>
          <t>AUD</t>
        </is>
      </c>
      <c r="K26" s="9">
        <f>ROUND(SUMIFS($G$5:$G$454,$A$5:$A$454,A26)-SUMIFS($H$5:$H$454,$A$5:$A$454,A26),2)</f>
        <v>0</v>
      </c>
    </row>
    <row r="27">
      <c r="A27" t="inlineStr">
        <is>
          <t>J021</t>
        </is>
      </c>
      <c r="B27" t="inlineStr">
        <is>
          <t>EX021</t>
        </is>
      </c>
      <c r="C27" s="5" t="n">
        <v>46213</v>
      </c>
      <c r="D27" t="inlineStr">
        <is>
          <t>OPS</t>
        </is>
      </c>
      <c r="E27" t="inlineStr">
        <is>
          <t>6120 Merchant and payment fees</t>
        </is>
      </c>
      <c r="F27" t="inlineStr">
        <is>
          <t>Stripe fees ex GST</t>
        </is>
      </c>
      <c r="G27" s="9">
        <f>ROUND(SUMIFS('Stripe Payouts'!$G$5:$G$72,'Stripe Payouts'!$M$5:$M$72,Exceptions!$D$25)-Exceptions!$I$25,2)</f>
        <v>68.75</v>
      </c>
      <c r="H27" s="9" t="n">
        <v>0</v>
      </c>
      <c r="I27" t="inlineStr">
        <is>
          <t>GST on purchases</t>
        </is>
      </c>
      <c r="J27" t="inlineStr">
        <is>
          <t>AUD</t>
        </is>
      </c>
      <c r="K27" s="9">
        <f>ROUND(SUMIFS($G$5:$G$454,$A$5:$A$454,A27)-SUMIFS($H$5:$H$454,$A$5:$A$454,A27),2)</f>
        <v>0</v>
      </c>
    </row>
    <row r="28">
      <c r="A28" t="inlineStr">
        <is>
          <t>J021</t>
        </is>
      </c>
      <c r="B28" t="inlineStr">
        <is>
          <t>EX021</t>
        </is>
      </c>
      <c r="C28" s="5" t="n">
        <v>46213</v>
      </c>
      <c r="D28" t="inlineStr">
        <is>
          <t>OPS</t>
        </is>
      </c>
      <c r="E28" t="inlineStr">
        <is>
          <t>1300 GST paid (1B)</t>
        </is>
      </c>
      <c r="F28" t="inlineStr">
        <is>
          <t>GST on Stripe fees</t>
        </is>
      </c>
      <c r="G28" s="9">
        <f>Exceptions!$I$25</f>
        <v>6.88</v>
      </c>
      <c r="H28" s="9" t="n">
        <v>0</v>
      </c>
      <c r="I28" t="inlineStr">
        <is>
          <t>GST</t>
        </is>
      </c>
      <c r="J28" t="inlineStr">
        <is>
          <t>AUD</t>
        </is>
      </c>
      <c r="K28" s="9">
        <f>ROUND(SUMIFS($G$5:$G$454,$A$5:$A$454,A28)-SUMIFS($H$5:$H$454,$A$5:$A$454,A28),2)</f>
        <v>0</v>
      </c>
    </row>
    <row r="29">
      <c r="A29" t="inlineStr">
        <is>
          <t>J022</t>
        </is>
      </c>
      <c r="B29" t="inlineStr">
        <is>
          <t>EX022</t>
        </is>
      </c>
      <c r="C29" s="5" t="n">
        <v>46216</v>
      </c>
      <c r="D29" t="inlineStr">
        <is>
          <t>OPS</t>
        </is>
      </c>
      <c r="E29" t="inlineStr">
        <is>
          <t>1110 Bank - Operating</t>
        </is>
      </c>
      <c r="F29" t="inlineStr">
        <is>
          <t>20 report lines; fees 51.79 | STRIPE PAYOUT STRIPE po_1Q0009</t>
        </is>
      </c>
      <c r="G29" s="9">
        <f>MAX(Exceptions!$H$26,0)</f>
        <v>0</v>
      </c>
      <c r="H29" s="9">
        <f>MAX(-Exceptions!$H$26,0)</f>
        <v>51.79</v>
      </c>
      <c r="I29" t="inlineStr"/>
      <c r="J29" t="inlineStr">
        <is>
          <t>AUD</t>
        </is>
      </c>
      <c r="K29" s="9">
        <f>ROUND(SUMIFS($G$5:$G$454,$A$5:$A$454,A29)-SUMIFS($H$5:$H$454,$A$5:$A$454,A29),2)</f>
        <v>0</v>
      </c>
    </row>
    <row r="30">
      <c r="A30" t="inlineStr">
        <is>
          <t>J022</t>
        </is>
      </c>
      <c r="B30" t="inlineStr">
        <is>
          <t>EX022</t>
        </is>
      </c>
      <c r="C30" s="5" t="n">
        <v>46216</v>
      </c>
      <c r="D30" t="inlineStr">
        <is>
          <t>OPS</t>
        </is>
      </c>
      <c r="E30" t="inlineStr">
        <is>
          <t>6120 Merchant and payment fees</t>
        </is>
      </c>
      <c r="F30" t="inlineStr">
        <is>
          <t>Stripe fees ex GST</t>
        </is>
      </c>
      <c r="G30" s="9">
        <f>ROUND(SUMIFS('Stripe Payouts'!$G$5:$G$72,'Stripe Payouts'!$M$5:$M$72,Exceptions!$D$26)-Exceptions!$I$26,2)</f>
        <v>47.08</v>
      </c>
      <c r="H30" s="9" t="n">
        <v>0</v>
      </c>
      <c r="I30" t="inlineStr">
        <is>
          <t>GST on purchases</t>
        </is>
      </c>
      <c r="J30" t="inlineStr">
        <is>
          <t>AUD</t>
        </is>
      </c>
      <c r="K30" s="9">
        <f>ROUND(SUMIFS($G$5:$G$454,$A$5:$A$454,A30)-SUMIFS($H$5:$H$454,$A$5:$A$454,A30),2)</f>
        <v>0</v>
      </c>
    </row>
    <row r="31">
      <c r="A31" t="inlineStr">
        <is>
          <t>J022</t>
        </is>
      </c>
      <c r="B31" t="inlineStr">
        <is>
          <t>EX022</t>
        </is>
      </c>
      <c r="C31" s="5" t="n">
        <v>46216</v>
      </c>
      <c r="D31" t="inlineStr">
        <is>
          <t>OPS</t>
        </is>
      </c>
      <c r="E31" t="inlineStr">
        <is>
          <t>1300 GST paid (1B)</t>
        </is>
      </c>
      <c r="F31" t="inlineStr">
        <is>
          <t>GST on Stripe fees</t>
        </is>
      </c>
      <c r="G31" s="9">
        <f>Exceptions!$I$26</f>
        <v>4.71</v>
      </c>
      <c r="H31" s="9" t="n">
        <v>0</v>
      </c>
      <c r="I31" t="inlineStr">
        <is>
          <t>GST</t>
        </is>
      </c>
      <c r="J31" t="inlineStr">
        <is>
          <t>AUD</t>
        </is>
      </c>
      <c r="K31" s="9">
        <f>ROUND(SUMIFS($G$5:$G$454,$A$5:$A$454,A31)-SUMIFS($H$5:$H$454,$A$5:$A$454,A31),2)</f>
        <v>0</v>
      </c>
    </row>
    <row r="32">
      <c r="A32" t="inlineStr">
        <is>
          <t>J023</t>
        </is>
      </c>
      <c r="B32" t="inlineStr">
        <is>
          <t>EX023</t>
        </is>
      </c>
      <c r="C32" s="5" t="n">
        <v>46217</v>
      </c>
      <c r="D32" t="inlineStr">
        <is>
          <t>OPS</t>
        </is>
      </c>
      <c r="E32" t="inlineStr">
        <is>
          <t>1110 Bank - Operating</t>
        </is>
      </c>
      <c r="F32" t="inlineStr">
        <is>
          <t>39 report lines; fees 98.72 | STRIPE PAYOUT STRIPE po_1Q0010</t>
        </is>
      </c>
      <c r="G32" s="9">
        <f>MAX(Exceptions!$H$27,0)</f>
        <v>0</v>
      </c>
      <c r="H32" s="9">
        <f>MAX(-Exceptions!$H$27,0)</f>
        <v>98.72</v>
      </c>
      <c r="I32" t="inlineStr"/>
      <c r="J32" t="inlineStr">
        <is>
          <t>AUD</t>
        </is>
      </c>
      <c r="K32" s="9">
        <f>ROUND(SUMIFS($G$5:$G$454,$A$5:$A$454,A32)-SUMIFS($H$5:$H$454,$A$5:$A$454,A32),2)</f>
        <v>0</v>
      </c>
    </row>
    <row r="33">
      <c r="A33" t="inlineStr">
        <is>
          <t>J023</t>
        </is>
      </c>
      <c r="B33" t="inlineStr">
        <is>
          <t>EX023</t>
        </is>
      </c>
      <c r="C33" s="5" t="n">
        <v>46217</v>
      </c>
      <c r="D33" t="inlineStr">
        <is>
          <t>OPS</t>
        </is>
      </c>
      <c r="E33" t="inlineStr">
        <is>
          <t>6120 Merchant and payment fees</t>
        </is>
      </c>
      <c r="F33" t="inlineStr">
        <is>
          <t>Stripe fees ex GST</t>
        </is>
      </c>
      <c r="G33" s="9">
        <f>ROUND(SUMIFS('Stripe Payouts'!$G$5:$G$72,'Stripe Payouts'!$M$5:$M$72,Exceptions!$D$27)-Exceptions!$I$27,2)</f>
        <v>89.75</v>
      </c>
      <c r="H33" s="9" t="n">
        <v>0</v>
      </c>
      <c r="I33" t="inlineStr">
        <is>
          <t>GST on purchases</t>
        </is>
      </c>
      <c r="J33" t="inlineStr">
        <is>
          <t>AUD</t>
        </is>
      </c>
      <c r="K33" s="9">
        <f>ROUND(SUMIFS($G$5:$G$454,$A$5:$A$454,A33)-SUMIFS($H$5:$H$454,$A$5:$A$454,A33),2)</f>
        <v>0</v>
      </c>
    </row>
    <row r="34">
      <c r="A34" t="inlineStr">
        <is>
          <t>J023</t>
        </is>
      </c>
      <c r="B34" t="inlineStr">
        <is>
          <t>EX023</t>
        </is>
      </c>
      <c r="C34" s="5" t="n">
        <v>46217</v>
      </c>
      <c r="D34" t="inlineStr">
        <is>
          <t>OPS</t>
        </is>
      </c>
      <c r="E34" t="inlineStr">
        <is>
          <t>1300 GST paid (1B)</t>
        </is>
      </c>
      <c r="F34" t="inlineStr">
        <is>
          <t>GST on Stripe fees</t>
        </is>
      </c>
      <c r="G34" s="9">
        <f>Exceptions!$I$27</f>
        <v>8.97</v>
      </c>
      <c r="H34" s="9" t="n">
        <v>0</v>
      </c>
      <c r="I34" t="inlineStr">
        <is>
          <t>GST</t>
        </is>
      </c>
      <c r="J34" t="inlineStr">
        <is>
          <t>AUD</t>
        </is>
      </c>
      <c r="K34" s="9">
        <f>ROUND(SUMIFS($G$5:$G$454,$A$5:$A$454,A34)-SUMIFS($H$5:$H$454,$A$5:$A$454,A34),2)</f>
        <v>0</v>
      </c>
    </row>
    <row r="35">
      <c r="A35" t="inlineStr">
        <is>
          <t>J024</t>
        </is>
      </c>
      <c r="B35" t="inlineStr">
        <is>
          <t>EX024</t>
        </is>
      </c>
      <c r="C35" s="5" t="n">
        <v>46218</v>
      </c>
      <c r="D35" t="inlineStr">
        <is>
          <t>OPS</t>
        </is>
      </c>
      <c r="E35" t="inlineStr">
        <is>
          <t>1110 Bank - Operating</t>
        </is>
      </c>
      <c r="F35" t="inlineStr">
        <is>
          <t>19 report lines; fees 48.19 | STRIPE PAYOUT STRIPE po_1Q0011</t>
        </is>
      </c>
      <c r="G35" s="9">
        <f>MAX(Exceptions!$H$28,0)</f>
        <v>0</v>
      </c>
      <c r="H35" s="9">
        <f>MAX(-Exceptions!$H$28,0)</f>
        <v>48.19</v>
      </c>
      <c r="I35" t="inlineStr"/>
      <c r="J35" t="inlineStr">
        <is>
          <t>AUD</t>
        </is>
      </c>
      <c r="K35" s="9">
        <f>ROUND(SUMIFS($G$5:$G$454,$A$5:$A$454,A35)-SUMIFS($H$5:$H$454,$A$5:$A$454,A35),2)</f>
        <v>0</v>
      </c>
    </row>
    <row r="36">
      <c r="A36" t="inlineStr">
        <is>
          <t>J024</t>
        </is>
      </c>
      <c r="B36" t="inlineStr">
        <is>
          <t>EX024</t>
        </is>
      </c>
      <c r="C36" s="5" t="n">
        <v>46218</v>
      </c>
      <c r="D36" t="inlineStr">
        <is>
          <t>OPS</t>
        </is>
      </c>
      <c r="E36" t="inlineStr">
        <is>
          <t>6120 Merchant and payment fees</t>
        </is>
      </c>
      <c r="F36" t="inlineStr">
        <is>
          <t>Stripe fees ex GST</t>
        </is>
      </c>
      <c r="G36" s="9">
        <f>ROUND(SUMIFS('Stripe Payouts'!$G$5:$G$72,'Stripe Payouts'!$M$5:$M$72,Exceptions!$D$28)-Exceptions!$I$28,2)</f>
        <v>43.81</v>
      </c>
      <c r="H36" s="9" t="n">
        <v>0</v>
      </c>
      <c r="I36" t="inlineStr">
        <is>
          <t>GST on purchases</t>
        </is>
      </c>
      <c r="J36" t="inlineStr">
        <is>
          <t>AUD</t>
        </is>
      </c>
      <c r="K36" s="9">
        <f>ROUND(SUMIFS($G$5:$G$454,$A$5:$A$454,A36)-SUMIFS($H$5:$H$454,$A$5:$A$454,A36),2)</f>
        <v>0</v>
      </c>
    </row>
    <row r="37">
      <c r="A37" t="inlineStr">
        <is>
          <t>J024</t>
        </is>
      </c>
      <c r="B37" t="inlineStr">
        <is>
          <t>EX024</t>
        </is>
      </c>
      <c r="C37" s="5" t="n">
        <v>46218</v>
      </c>
      <c r="D37" t="inlineStr">
        <is>
          <t>OPS</t>
        </is>
      </c>
      <c r="E37" t="inlineStr">
        <is>
          <t>1300 GST paid (1B)</t>
        </is>
      </c>
      <c r="F37" t="inlineStr">
        <is>
          <t>GST on Stripe fees</t>
        </is>
      </c>
      <c r="G37" s="9">
        <f>Exceptions!$I$28</f>
        <v>4.38</v>
      </c>
      <c r="H37" s="9" t="n">
        <v>0</v>
      </c>
      <c r="I37" t="inlineStr">
        <is>
          <t>GST</t>
        </is>
      </c>
      <c r="J37" t="inlineStr">
        <is>
          <t>AUD</t>
        </is>
      </c>
      <c r="K37" s="9">
        <f>ROUND(SUMIFS($G$5:$G$454,$A$5:$A$454,A37)-SUMIFS($H$5:$H$454,$A$5:$A$454,A37),2)</f>
        <v>0</v>
      </c>
    </row>
    <row r="38">
      <c r="A38" t="inlineStr">
        <is>
          <t>J025</t>
        </is>
      </c>
      <c r="B38" t="inlineStr">
        <is>
          <t>EX025</t>
        </is>
      </c>
      <c r="C38" s="5" t="n">
        <v>46219</v>
      </c>
      <c r="D38" t="inlineStr">
        <is>
          <t>OPS</t>
        </is>
      </c>
      <c r="E38" t="inlineStr">
        <is>
          <t>1110 Bank - Operating</t>
        </is>
      </c>
      <c r="F38" t="inlineStr">
        <is>
          <t>34 report lines; fees 86.98 | STRIPE PAYOUT STRIPE po_1Q0012</t>
        </is>
      </c>
      <c r="G38" s="9">
        <f>MAX(Exceptions!$H$29,0)</f>
        <v>0</v>
      </c>
      <c r="H38" s="9">
        <f>MAX(-Exceptions!$H$29,0)</f>
        <v>86.98</v>
      </c>
      <c r="I38" t="inlineStr"/>
      <c r="J38" t="inlineStr">
        <is>
          <t>AUD</t>
        </is>
      </c>
      <c r="K38" s="9">
        <f>ROUND(SUMIFS($G$5:$G$454,$A$5:$A$454,A38)-SUMIFS($H$5:$H$454,$A$5:$A$454,A38),2)</f>
        <v>0</v>
      </c>
    </row>
    <row r="39">
      <c r="A39" t="inlineStr">
        <is>
          <t>J025</t>
        </is>
      </c>
      <c r="B39" t="inlineStr">
        <is>
          <t>EX025</t>
        </is>
      </c>
      <c r="C39" s="5" t="n">
        <v>46219</v>
      </c>
      <c r="D39" t="inlineStr">
        <is>
          <t>OPS</t>
        </is>
      </c>
      <c r="E39" t="inlineStr">
        <is>
          <t>6120 Merchant and payment fees</t>
        </is>
      </c>
      <c r="F39" t="inlineStr">
        <is>
          <t>Stripe fees ex GST</t>
        </is>
      </c>
      <c r="G39" s="9">
        <f>ROUND(SUMIFS('Stripe Payouts'!$G$5:$G$72,'Stripe Payouts'!$M$5:$M$72,Exceptions!$D$29)-Exceptions!$I$29,2)</f>
        <v>79.07</v>
      </c>
      <c r="H39" s="9" t="n">
        <v>0</v>
      </c>
      <c r="I39" t="inlineStr">
        <is>
          <t>GST on purchases</t>
        </is>
      </c>
      <c r="J39" t="inlineStr">
        <is>
          <t>AUD</t>
        </is>
      </c>
      <c r="K39" s="9">
        <f>ROUND(SUMIFS($G$5:$G$454,$A$5:$A$454,A39)-SUMIFS($H$5:$H$454,$A$5:$A$454,A39),2)</f>
        <v>0</v>
      </c>
    </row>
    <row r="40">
      <c r="A40" t="inlineStr">
        <is>
          <t>J025</t>
        </is>
      </c>
      <c r="B40" t="inlineStr">
        <is>
          <t>EX025</t>
        </is>
      </c>
      <c r="C40" s="5" t="n">
        <v>46219</v>
      </c>
      <c r="D40" t="inlineStr">
        <is>
          <t>OPS</t>
        </is>
      </c>
      <c r="E40" t="inlineStr">
        <is>
          <t>1300 GST paid (1B)</t>
        </is>
      </c>
      <c r="F40" t="inlineStr">
        <is>
          <t>GST on Stripe fees</t>
        </is>
      </c>
      <c r="G40" s="9">
        <f>Exceptions!$I$29</f>
        <v>7.91</v>
      </c>
      <c r="H40" s="9" t="n">
        <v>0</v>
      </c>
      <c r="I40" t="inlineStr">
        <is>
          <t>GST</t>
        </is>
      </c>
      <c r="J40" t="inlineStr">
        <is>
          <t>AUD</t>
        </is>
      </c>
      <c r="K40" s="9">
        <f>ROUND(SUMIFS($G$5:$G$454,$A$5:$A$454,A40)-SUMIFS($H$5:$H$454,$A$5:$A$454,A40),2)</f>
        <v>0</v>
      </c>
    </row>
    <row r="41">
      <c r="A41" t="inlineStr">
        <is>
          <t>J026</t>
        </is>
      </c>
      <c r="B41" t="inlineStr">
        <is>
          <t>EX026</t>
        </is>
      </c>
      <c r="C41" s="5" t="n">
        <v>46220</v>
      </c>
      <c r="D41" t="inlineStr">
        <is>
          <t>OPS</t>
        </is>
      </c>
      <c r="E41" t="inlineStr">
        <is>
          <t>1110 Bank - Operating</t>
        </is>
      </c>
      <c r="F41" t="inlineStr">
        <is>
          <t>21 report lines; fees 52.37 | STRIPE PAYOUT STRIPE po_1Q0013</t>
        </is>
      </c>
      <c r="G41" s="9">
        <f>MAX(Exceptions!$H$30,0)</f>
        <v>0</v>
      </c>
      <c r="H41" s="9">
        <f>MAX(-Exceptions!$H$30,0)</f>
        <v>52.37</v>
      </c>
      <c r="I41" t="inlineStr"/>
      <c r="J41" t="inlineStr">
        <is>
          <t>AUD</t>
        </is>
      </c>
      <c r="K41" s="9">
        <f>ROUND(SUMIFS($G$5:$G$454,$A$5:$A$454,A41)-SUMIFS($H$5:$H$454,$A$5:$A$454,A41),2)</f>
        <v>0</v>
      </c>
    </row>
    <row r="42">
      <c r="A42" t="inlineStr">
        <is>
          <t>J026</t>
        </is>
      </c>
      <c r="B42" t="inlineStr">
        <is>
          <t>EX026</t>
        </is>
      </c>
      <c r="C42" s="5" t="n">
        <v>46220</v>
      </c>
      <c r="D42" t="inlineStr">
        <is>
          <t>OPS</t>
        </is>
      </c>
      <c r="E42" t="inlineStr">
        <is>
          <t>6120 Merchant and payment fees</t>
        </is>
      </c>
      <c r="F42" t="inlineStr">
        <is>
          <t>Stripe fees ex GST</t>
        </is>
      </c>
      <c r="G42" s="9">
        <f>ROUND(SUMIFS('Stripe Payouts'!$G$5:$G$72,'Stripe Payouts'!$M$5:$M$72,Exceptions!$D$30)-Exceptions!$I$30,2)</f>
        <v>47.61</v>
      </c>
      <c r="H42" s="9" t="n">
        <v>0</v>
      </c>
      <c r="I42" t="inlineStr">
        <is>
          <t>GST on purchases</t>
        </is>
      </c>
      <c r="J42" t="inlineStr">
        <is>
          <t>AUD</t>
        </is>
      </c>
      <c r="K42" s="9">
        <f>ROUND(SUMIFS($G$5:$G$454,$A$5:$A$454,A42)-SUMIFS($H$5:$H$454,$A$5:$A$454,A42),2)</f>
        <v>0</v>
      </c>
    </row>
    <row r="43">
      <c r="A43" t="inlineStr">
        <is>
          <t>J026</t>
        </is>
      </c>
      <c r="B43" t="inlineStr">
        <is>
          <t>EX026</t>
        </is>
      </c>
      <c r="C43" s="5" t="n">
        <v>46220</v>
      </c>
      <c r="D43" t="inlineStr">
        <is>
          <t>OPS</t>
        </is>
      </c>
      <c r="E43" t="inlineStr">
        <is>
          <t>1300 GST paid (1B)</t>
        </is>
      </c>
      <c r="F43" t="inlineStr">
        <is>
          <t>GST on Stripe fees</t>
        </is>
      </c>
      <c r="G43" s="9">
        <f>Exceptions!$I$30</f>
        <v>4.76</v>
      </c>
      <c r="H43" s="9" t="n">
        <v>0</v>
      </c>
      <c r="I43" t="inlineStr">
        <is>
          <t>GST</t>
        </is>
      </c>
      <c r="J43" t="inlineStr">
        <is>
          <t>AUD</t>
        </is>
      </c>
      <c r="K43" s="9">
        <f>ROUND(SUMIFS($G$5:$G$454,$A$5:$A$454,A43)-SUMIFS($H$5:$H$454,$A$5:$A$454,A43),2)</f>
        <v>0</v>
      </c>
    </row>
    <row r="44">
      <c r="A44" t="inlineStr">
        <is>
          <t>J027</t>
        </is>
      </c>
      <c r="B44" t="inlineStr">
        <is>
          <t>EX027</t>
        </is>
      </c>
      <c r="C44" s="5" t="n">
        <v>46223</v>
      </c>
      <c r="D44" t="inlineStr">
        <is>
          <t>OPS</t>
        </is>
      </c>
      <c r="E44" t="inlineStr">
        <is>
          <t>1110 Bank - Operating</t>
        </is>
      </c>
      <c r="F44" t="inlineStr">
        <is>
          <t>23 report lines; fees 62.67 | STRIPE PAYOUT STRIPE po_1Q0014</t>
        </is>
      </c>
      <c r="G44" s="9">
        <f>MAX(Exceptions!$H$31,0)</f>
        <v>0</v>
      </c>
      <c r="H44" s="9">
        <f>MAX(-Exceptions!$H$31,0)</f>
        <v>62.67</v>
      </c>
      <c r="I44" t="inlineStr"/>
      <c r="J44" t="inlineStr">
        <is>
          <t>AUD</t>
        </is>
      </c>
      <c r="K44" s="9">
        <f>ROUND(SUMIFS($G$5:$G$454,$A$5:$A$454,A44)-SUMIFS($H$5:$H$454,$A$5:$A$454,A44),2)</f>
        <v>0</v>
      </c>
    </row>
    <row r="45">
      <c r="A45" t="inlineStr">
        <is>
          <t>J027</t>
        </is>
      </c>
      <c r="B45" t="inlineStr">
        <is>
          <t>EX027</t>
        </is>
      </c>
      <c r="C45" s="5" t="n">
        <v>46223</v>
      </c>
      <c r="D45" t="inlineStr">
        <is>
          <t>OPS</t>
        </is>
      </c>
      <c r="E45" t="inlineStr">
        <is>
          <t>6120 Merchant and payment fees</t>
        </is>
      </c>
      <c r="F45" t="inlineStr">
        <is>
          <t>Stripe fees ex GST</t>
        </is>
      </c>
      <c r="G45" s="9">
        <f>ROUND(SUMIFS('Stripe Payouts'!$G$5:$G$72,'Stripe Payouts'!$M$5:$M$72,Exceptions!$D$31)-Exceptions!$I$31,2)</f>
        <v>56.97</v>
      </c>
      <c r="H45" s="9" t="n">
        <v>0</v>
      </c>
      <c r="I45" t="inlineStr">
        <is>
          <t>GST on purchases</t>
        </is>
      </c>
      <c r="J45" t="inlineStr">
        <is>
          <t>AUD</t>
        </is>
      </c>
      <c r="K45" s="9">
        <f>ROUND(SUMIFS($G$5:$G$454,$A$5:$A$454,A45)-SUMIFS($H$5:$H$454,$A$5:$A$454,A45),2)</f>
        <v>0</v>
      </c>
    </row>
    <row r="46">
      <c r="A46" t="inlineStr">
        <is>
          <t>J027</t>
        </is>
      </c>
      <c r="B46" t="inlineStr">
        <is>
          <t>EX027</t>
        </is>
      </c>
      <c r="C46" s="5" t="n">
        <v>46223</v>
      </c>
      <c r="D46" t="inlineStr">
        <is>
          <t>OPS</t>
        </is>
      </c>
      <c r="E46" t="inlineStr">
        <is>
          <t>1300 GST paid (1B)</t>
        </is>
      </c>
      <c r="F46" t="inlineStr">
        <is>
          <t>GST on Stripe fees</t>
        </is>
      </c>
      <c r="G46" s="9">
        <f>Exceptions!$I$31</f>
        <v>5.7</v>
      </c>
      <c r="H46" s="9" t="n">
        <v>0</v>
      </c>
      <c r="I46" t="inlineStr">
        <is>
          <t>GST</t>
        </is>
      </c>
      <c r="J46" t="inlineStr">
        <is>
          <t>AUD</t>
        </is>
      </c>
      <c r="K46" s="9">
        <f>ROUND(SUMIFS($G$5:$G$454,$A$5:$A$454,A46)-SUMIFS($H$5:$H$454,$A$5:$A$454,A46),2)</f>
        <v>0</v>
      </c>
    </row>
    <row r="47">
      <c r="A47" t="inlineStr">
        <is>
          <t>J028</t>
        </is>
      </c>
      <c r="B47" t="inlineStr">
        <is>
          <t>EX028</t>
        </is>
      </c>
      <c r="C47" s="5" t="n">
        <v>46224</v>
      </c>
      <c r="D47" t="inlineStr">
        <is>
          <t>OPS</t>
        </is>
      </c>
      <c r="E47" t="inlineStr">
        <is>
          <t>1110 Bank - Operating</t>
        </is>
      </c>
      <c r="F47" t="inlineStr">
        <is>
          <t>38 report lines; fees 94.29 | STRIPE PAYOUT STRIPE po_1Q0015</t>
        </is>
      </c>
      <c r="G47" s="9">
        <f>MAX(Exceptions!$H$32,0)</f>
        <v>0</v>
      </c>
      <c r="H47" s="9">
        <f>MAX(-Exceptions!$H$32,0)</f>
        <v>94.29</v>
      </c>
      <c r="I47" t="inlineStr"/>
      <c r="J47" t="inlineStr">
        <is>
          <t>AUD</t>
        </is>
      </c>
      <c r="K47" s="9">
        <f>ROUND(SUMIFS($G$5:$G$454,$A$5:$A$454,A47)-SUMIFS($H$5:$H$454,$A$5:$A$454,A47),2)</f>
        <v>0</v>
      </c>
    </row>
    <row r="48">
      <c r="A48" t="inlineStr">
        <is>
          <t>J028</t>
        </is>
      </c>
      <c r="B48" t="inlineStr">
        <is>
          <t>EX028</t>
        </is>
      </c>
      <c r="C48" s="5" t="n">
        <v>46224</v>
      </c>
      <c r="D48" t="inlineStr">
        <is>
          <t>OPS</t>
        </is>
      </c>
      <c r="E48" t="inlineStr">
        <is>
          <t>6120 Merchant and payment fees</t>
        </is>
      </c>
      <c r="F48" t="inlineStr">
        <is>
          <t>Stripe fees ex GST</t>
        </is>
      </c>
      <c r="G48" s="9">
        <f>ROUND(SUMIFS('Stripe Payouts'!$G$5:$G$72,'Stripe Payouts'!$M$5:$M$72,Exceptions!$D$32)-Exceptions!$I$32,2)</f>
        <v>85.72</v>
      </c>
      <c r="H48" s="9" t="n">
        <v>0</v>
      </c>
      <c r="I48" t="inlineStr">
        <is>
          <t>GST on purchases</t>
        </is>
      </c>
      <c r="J48" t="inlineStr">
        <is>
          <t>AUD</t>
        </is>
      </c>
      <c r="K48" s="9">
        <f>ROUND(SUMIFS($G$5:$G$454,$A$5:$A$454,A48)-SUMIFS($H$5:$H$454,$A$5:$A$454,A48),2)</f>
        <v>0</v>
      </c>
    </row>
    <row r="49">
      <c r="A49" t="inlineStr">
        <is>
          <t>J028</t>
        </is>
      </c>
      <c r="B49" t="inlineStr">
        <is>
          <t>EX028</t>
        </is>
      </c>
      <c r="C49" s="5" t="n">
        <v>46224</v>
      </c>
      <c r="D49" t="inlineStr">
        <is>
          <t>OPS</t>
        </is>
      </c>
      <c r="E49" t="inlineStr">
        <is>
          <t>1300 GST paid (1B)</t>
        </is>
      </c>
      <c r="F49" t="inlineStr">
        <is>
          <t>GST on Stripe fees</t>
        </is>
      </c>
      <c r="G49" s="9">
        <f>Exceptions!$I$32</f>
        <v>8.57</v>
      </c>
      <c r="H49" s="9" t="n">
        <v>0</v>
      </c>
      <c r="I49" t="inlineStr">
        <is>
          <t>GST</t>
        </is>
      </c>
      <c r="J49" t="inlineStr">
        <is>
          <t>AUD</t>
        </is>
      </c>
      <c r="K49" s="9">
        <f>ROUND(SUMIFS($G$5:$G$454,$A$5:$A$454,A49)-SUMIFS($H$5:$H$454,$A$5:$A$454,A49),2)</f>
        <v>0</v>
      </c>
    </row>
    <row r="50">
      <c r="A50" t="inlineStr">
        <is>
          <t>J029</t>
        </is>
      </c>
      <c r="B50" t="inlineStr">
        <is>
          <t>EX029</t>
        </is>
      </c>
      <c r="C50" s="5" t="n">
        <v>46225</v>
      </c>
      <c r="D50" t="inlineStr">
        <is>
          <t>OPS</t>
        </is>
      </c>
      <c r="E50" t="inlineStr">
        <is>
          <t>1110 Bank - Operating</t>
        </is>
      </c>
      <c r="F50" t="inlineStr">
        <is>
          <t>32 report lines; fees 76.23 | STRIPE PAYOUT STRIPE po_1Q0016</t>
        </is>
      </c>
      <c r="G50" s="9">
        <f>MAX(Exceptions!$H$33,0)</f>
        <v>0</v>
      </c>
      <c r="H50" s="9">
        <f>MAX(-Exceptions!$H$33,0)</f>
        <v>76.23</v>
      </c>
      <c r="I50" t="inlineStr"/>
      <c r="J50" t="inlineStr">
        <is>
          <t>AUD</t>
        </is>
      </c>
      <c r="K50" s="9">
        <f>ROUND(SUMIFS($G$5:$G$454,$A$5:$A$454,A50)-SUMIFS($H$5:$H$454,$A$5:$A$454,A50),2)</f>
        <v>0</v>
      </c>
    </row>
    <row r="51">
      <c r="A51" t="inlineStr">
        <is>
          <t>J029</t>
        </is>
      </c>
      <c r="B51" t="inlineStr">
        <is>
          <t>EX029</t>
        </is>
      </c>
      <c r="C51" s="5" t="n">
        <v>46225</v>
      </c>
      <c r="D51" t="inlineStr">
        <is>
          <t>OPS</t>
        </is>
      </c>
      <c r="E51" t="inlineStr">
        <is>
          <t>6120 Merchant and payment fees</t>
        </is>
      </c>
      <c r="F51" t="inlineStr">
        <is>
          <t>Stripe fees ex GST</t>
        </is>
      </c>
      <c r="G51" s="9">
        <f>ROUND(SUMIFS('Stripe Payouts'!$G$5:$G$72,'Stripe Payouts'!$M$5:$M$72,Exceptions!$D$33)-Exceptions!$I$33,2)</f>
        <v>69.3</v>
      </c>
      <c r="H51" s="9" t="n">
        <v>0</v>
      </c>
      <c r="I51" t="inlineStr">
        <is>
          <t>GST on purchases</t>
        </is>
      </c>
      <c r="J51" t="inlineStr">
        <is>
          <t>AUD</t>
        </is>
      </c>
      <c r="K51" s="9">
        <f>ROUND(SUMIFS($G$5:$G$454,$A$5:$A$454,A51)-SUMIFS($H$5:$H$454,$A$5:$A$454,A51),2)</f>
        <v>0</v>
      </c>
    </row>
    <row r="52">
      <c r="A52" t="inlineStr">
        <is>
          <t>J029</t>
        </is>
      </c>
      <c r="B52" t="inlineStr">
        <is>
          <t>EX029</t>
        </is>
      </c>
      <c r="C52" s="5" t="n">
        <v>46225</v>
      </c>
      <c r="D52" t="inlineStr">
        <is>
          <t>OPS</t>
        </is>
      </c>
      <c r="E52" t="inlineStr">
        <is>
          <t>1300 GST paid (1B)</t>
        </is>
      </c>
      <c r="F52" t="inlineStr">
        <is>
          <t>GST on Stripe fees</t>
        </is>
      </c>
      <c r="G52" s="9">
        <f>Exceptions!$I$33</f>
        <v>6.93</v>
      </c>
      <c r="H52" s="9" t="n">
        <v>0</v>
      </c>
      <c r="I52" t="inlineStr">
        <is>
          <t>GST</t>
        </is>
      </c>
      <c r="J52" t="inlineStr">
        <is>
          <t>AUD</t>
        </is>
      </c>
      <c r="K52" s="9">
        <f>ROUND(SUMIFS($G$5:$G$454,$A$5:$A$454,A52)-SUMIFS($H$5:$H$454,$A$5:$A$454,A52),2)</f>
        <v>0</v>
      </c>
    </row>
    <row r="53">
      <c r="A53" t="inlineStr">
        <is>
          <t>J030</t>
        </is>
      </c>
      <c r="B53" t="inlineStr">
        <is>
          <t>EX030</t>
        </is>
      </c>
      <c r="C53" s="5" t="n">
        <v>46226</v>
      </c>
      <c r="D53" t="inlineStr">
        <is>
          <t>OPS</t>
        </is>
      </c>
      <c r="E53" t="inlineStr">
        <is>
          <t>1110 Bank - Operating</t>
        </is>
      </c>
      <c r="F53" t="inlineStr">
        <is>
          <t>20 report lines; fees 51.69 | STRIPE PAYOUT STRIPE po_1Q0017</t>
        </is>
      </c>
      <c r="G53" s="9">
        <f>MAX(Exceptions!$H$34,0)</f>
        <v>0</v>
      </c>
      <c r="H53" s="9">
        <f>MAX(-Exceptions!$H$34,0)</f>
        <v>51.69</v>
      </c>
      <c r="I53" t="inlineStr"/>
      <c r="J53" t="inlineStr">
        <is>
          <t>AUD</t>
        </is>
      </c>
      <c r="K53" s="9">
        <f>ROUND(SUMIFS($G$5:$G$454,$A$5:$A$454,A53)-SUMIFS($H$5:$H$454,$A$5:$A$454,A53),2)</f>
        <v>0</v>
      </c>
    </row>
    <row r="54">
      <c r="A54" t="inlineStr">
        <is>
          <t>J030</t>
        </is>
      </c>
      <c r="B54" t="inlineStr">
        <is>
          <t>EX030</t>
        </is>
      </c>
      <c r="C54" s="5" t="n">
        <v>46226</v>
      </c>
      <c r="D54" t="inlineStr">
        <is>
          <t>OPS</t>
        </is>
      </c>
      <c r="E54" t="inlineStr">
        <is>
          <t>6120 Merchant and payment fees</t>
        </is>
      </c>
      <c r="F54" t="inlineStr">
        <is>
          <t>Stripe fees ex GST</t>
        </is>
      </c>
      <c r="G54" s="9">
        <f>ROUND(SUMIFS('Stripe Payouts'!$G$5:$G$72,'Stripe Payouts'!$M$5:$M$72,Exceptions!$D$34)-Exceptions!$I$34,2)</f>
        <v>46.99</v>
      </c>
      <c r="H54" s="9" t="n">
        <v>0</v>
      </c>
      <c r="I54" t="inlineStr">
        <is>
          <t>GST on purchases</t>
        </is>
      </c>
      <c r="J54" t="inlineStr">
        <is>
          <t>AUD</t>
        </is>
      </c>
      <c r="K54" s="9">
        <f>ROUND(SUMIFS($G$5:$G$454,$A$5:$A$454,A54)-SUMIFS($H$5:$H$454,$A$5:$A$454,A54),2)</f>
        <v>0</v>
      </c>
    </row>
    <row r="55">
      <c r="A55" t="inlineStr">
        <is>
          <t>J030</t>
        </is>
      </c>
      <c r="B55" t="inlineStr">
        <is>
          <t>EX030</t>
        </is>
      </c>
      <c r="C55" s="5" t="n">
        <v>46226</v>
      </c>
      <c r="D55" t="inlineStr">
        <is>
          <t>OPS</t>
        </is>
      </c>
      <c r="E55" t="inlineStr">
        <is>
          <t>1300 GST paid (1B)</t>
        </is>
      </c>
      <c r="F55" t="inlineStr">
        <is>
          <t>GST on Stripe fees</t>
        </is>
      </c>
      <c r="G55" s="9">
        <f>Exceptions!$I$34</f>
        <v>4.7</v>
      </c>
      <c r="H55" s="9" t="n">
        <v>0</v>
      </c>
      <c r="I55" t="inlineStr">
        <is>
          <t>GST</t>
        </is>
      </c>
      <c r="J55" t="inlineStr">
        <is>
          <t>AUD</t>
        </is>
      </c>
      <c r="K55" s="9">
        <f>ROUND(SUMIFS($G$5:$G$454,$A$5:$A$454,A55)-SUMIFS($H$5:$H$454,$A$5:$A$454,A55),2)</f>
        <v>0</v>
      </c>
    </row>
    <row r="56">
      <c r="A56" t="inlineStr">
        <is>
          <t>J031</t>
        </is>
      </c>
      <c r="B56" t="inlineStr">
        <is>
          <t>EX031</t>
        </is>
      </c>
      <c r="C56" s="5" t="n">
        <v>46227</v>
      </c>
      <c r="D56" t="inlineStr">
        <is>
          <t>OPS</t>
        </is>
      </c>
      <c r="E56" t="inlineStr">
        <is>
          <t>1110 Bank - Operating</t>
        </is>
      </c>
      <c r="F56" t="inlineStr">
        <is>
          <t>22 report lines; fees 54.36 | STRIPE PAYOUT STRIPE po_1Q0018</t>
        </is>
      </c>
      <c r="G56" s="9">
        <f>MAX(Exceptions!$H$35,0)</f>
        <v>0</v>
      </c>
      <c r="H56" s="9">
        <f>MAX(-Exceptions!$H$35,0)</f>
        <v>54.36</v>
      </c>
      <c r="I56" t="inlineStr"/>
      <c r="J56" t="inlineStr">
        <is>
          <t>AUD</t>
        </is>
      </c>
      <c r="K56" s="9">
        <f>ROUND(SUMIFS($G$5:$G$454,$A$5:$A$454,A56)-SUMIFS($H$5:$H$454,$A$5:$A$454,A56),2)</f>
        <v>0</v>
      </c>
    </row>
    <row r="57">
      <c r="A57" t="inlineStr">
        <is>
          <t>J031</t>
        </is>
      </c>
      <c r="B57" t="inlineStr">
        <is>
          <t>EX031</t>
        </is>
      </c>
      <c r="C57" s="5" t="n">
        <v>46227</v>
      </c>
      <c r="D57" t="inlineStr">
        <is>
          <t>OPS</t>
        </is>
      </c>
      <c r="E57" t="inlineStr">
        <is>
          <t>6120 Merchant and payment fees</t>
        </is>
      </c>
      <c r="F57" t="inlineStr">
        <is>
          <t>Stripe fees ex GST</t>
        </is>
      </c>
      <c r="G57" s="9">
        <f>ROUND(SUMIFS('Stripe Payouts'!$G$5:$G$72,'Stripe Payouts'!$M$5:$M$72,Exceptions!$D$35)-Exceptions!$I$35,2)</f>
        <v>49.42</v>
      </c>
      <c r="H57" s="9" t="n">
        <v>0</v>
      </c>
      <c r="I57" t="inlineStr">
        <is>
          <t>GST on purchases</t>
        </is>
      </c>
      <c r="J57" t="inlineStr">
        <is>
          <t>AUD</t>
        </is>
      </c>
      <c r="K57" s="9">
        <f>ROUND(SUMIFS($G$5:$G$454,$A$5:$A$454,A57)-SUMIFS($H$5:$H$454,$A$5:$A$454,A57),2)</f>
        <v>0</v>
      </c>
    </row>
    <row r="58">
      <c r="A58" t="inlineStr">
        <is>
          <t>J031</t>
        </is>
      </c>
      <c r="B58" t="inlineStr">
        <is>
          <t>EX031</t>
        </is>
      </c>
      <c r="C58" s="5" t="n">
        <v>46227</v>
      </c>
      <c r="D58" t="inlineStr">
        <is>
          <t>OPS</t>
        </is>
      </c>
      <c r="E58" t="inlineStr">
        <is>
          <t>1300 GST paid (1B)</t>
        </is>
      </c>
      <c r="F58" t="inlineStr">
        <is>
          <t>GST on Stripe fees</t>
        </is>
      </c>
      <c r="G58" s="9">
        <f>Exceptions!$I$35</f>
        <v>4.94</v>
      </c>
      <c r="H58" s="9" t="n">
        <v>0</v>
      </c>
      <c r="I58" t="inlineStr">
        <is>
          <t>GST</t>
        </is>
      </c>
      <c r="J58" t="inlineStr">
        <is>
          <t>AUD</t>
        </is>
      </c>
      <c r="K58" s="9">
        <f>ROUND(SUMIFS($G$5:$G$454,$A$5:$A$454,A58)-SUMIFS($H$5:$H$454,$A$5:$A$454,A58),2)</f>
        <v>0</v>
      </c>
    </row>
    <row r="59">
      <c r="A59" t="inlineStr">
        <is>
          <t>J032</t>
        </is>
      </c>
      <c r="B59" t="inlineStr">
        <is>
          <t>EX032</t>
        </is>
      </c>
      <c r="C59" s="5" t="n">
        <v>46230</v>
      </c>
      <c r="D59" t="inlineStr">
        <is>
          <t>OPS</t>
        </is>
      </c>
      <c r="E59" t="inlineStr">
        <is>
          <t>1110 Bank - Operating</t>
        </is>
      </c>
      <c r="F59" t="inlineStr">
        <is>
          <t>33 report lines; fees 89.11 | STRIPE PAYOUT STRIPE po_1Q0019</t>
        </is>
      </c>
      <c r="G59" s="9">
        <f>MAX(Exceptions!$H$36,0)</f>
        <v>0</v>
      </c>
      <c r="H59" s="9">
        <f>MAX(-Exceptions!$H$36,0)</f>
        <v>89.11</v>
      </c>
      <c r="I59" t="inlineStr"/>
      <c r="J59" t="inlineStr">
        <is>
          <t>AUD</t>
        </is>
      </c>
      <c r="K59" s="9">
        <f>ROUND(SUMIFS($G$5:$G$454,$A$5:$A$454,A59)-SUMIFS($H$5:$H$454,$A$5:$A$454,A59),2)</f>
        <v>0</v>
      </c>
    </row>
    <row r="60">
      <c r="A60" t="inlineStr">
        <is>
          <t>J032</t>
        </is>
      </c>
      <c r="B60" t="inlineStr">
        <is>
          <t>EX032</t>
        </is>
      </c>
      <c r="C60" s="5" t="n">
        <v>46230</v>
      </c>
      <c r="D60" t="inlineStr">
        <is>
          <t>OPS</t>
        </is>
      </c>
      <c r="E60" t="inlineStr">
        <is>
          <t>6120 Merchant and payment fees</t>
        </is>
      </c>
      <c r="F60" t="inlineStr">
        <is>
          <t>Stripe fees ex GST</t>
        </is>
      </c>
      <c r="G60" s="9">
        <f>ROUND(SUMIFS('Stripe Payouts'!$G$5:$G$72,'Stripe Payouts'!$M$5:$M$72,Exceptions!$D$36)-Exceptions!$I$36,2)</f>
        <v>81.01</v>
      </c>
      <c r="H60" s="9" t="n">
        <v>0</v>
      </c>
      <c r="I60" t="inlineStr">
        <is>
          <t>GST on purchases</t>
        </is>
      </c>
      <c r="J60" t="inlineStr">
        <is>
          <t>AUD</t>
        </is>
      </c>
      <c r="K60" s="9">
        <f>ROUND(SUMIFS($G$5:$G$454,$A$5:$A$454,A60)-SUMIFS($H$5:$H$454,$A$5:$A$454,A60),2)</f>
        <v>0</v>
      </c>
    </row>
    <row r="61">
      <c r="A61" t="inlineStr">
        <is>
          <t>J032</t>
        </is>
      </c>
      <c r="B61" t="inlineStr">
        <is>
          <t>EX032</t>
        </is>
      </c>
      <c r="C61" s="5" t="n">
        <v>46230</v>
      </c>
      <c r="D61" t="inlineStr">
        <is>
          <t>OPS</t>
        </is>
      </c>
      <c r="E61" t="inlineStr">
        <is>
          <t>1300 GST paid (1B)</t>
        </is>
      </c>
      <c r="F61" t="inlineStr">
        <is>
          <t>GST on Stripe fees</t>
        </is>
      </c>
      <c r="G61" s="9">
        <f>Exceptions!$I$36</f>
        <v>8.1</v>
      </c>
      <c r="H61" s="9" t="n">
        <v>0</v>
      </c>
      <c r="I61" t="inlineStr">
        <is>
          <t>GST</t>
        </is>
      </c>
      <c r="J61" t="inlineStr">
        <is>
          <t>AUD</t>
        </is>
      </c>
      <c r="K61" s="9">
        <f>ROUND(SUMIFS($G$5:$G$454,$A$5:$A$454,A61)-SUMIFS($H$5:$H$454,$A$5:$A$454,A61),2)</f>
        <v>0</v>
      </c>
    </row>
    <row r="62">
      <c r="A62" t="inlineStr">
        <is>
          <t>J033</t>
        </is>
      </c>
      <c r="B62" t="inlineStr">
        <is>
          <t>EX033</t>
        </is>
      </c>
      <c r="C62" s="5" t="n">
        <v>46231</v>
      </c>
      <c r="D62" t="inlineStr">
        <is>
          <t>OPS</t>
        </is>
      </c>
      <c r="E62" t="inlineStr">
        <is>
          <t>1110 Bank - Operating</t>
        </is>
      </c>
      <c r="F62" t="inlineStr">
        <is>
          <t>38 report lines; fees 99.35 | STRIPE PAYOUT STRIPE po_1Q0020</t>
        </is>
      </c>
      <c r="G62" s="9">
        <f>MAX(Exceptions!$H$37,0)</f>
        <v>0</v>
      </c>
      <c r="H62" s="9">
        <f>MAX(-Exceptions!$H$37,0)</f>
        <v>99.35</v>
      </c>
      <c r="I62" t="inlineStr"/>
      <c r="J62" t="inlineStr">
        <is>
          <t>AUD</t>
        </is>
      </c>
      <c r="K62" s="9">
        <f>ROUND(SUMIFS($G$5:$G$454,$A$5:$A$454,A62)-SUMIFS($H$5:$H$454,$A$5:$A$454,A62),2)</f>
        <v>0</v>
      </c>
    </row>
    <row r="63">
      <c r="A63" t="inlineStr">
        <is>
          <t>J033</t>
        </is>
      </c>
      <c r="B63" t="inlineStr">
        <is>
          <t>EX033</t>
        </is>
      </c>
      <c r="C63" s="5" t="n">
        <v>46231</v>
      </c>
      <c r="D63" t="inlineStr">
        <is>
          <t>OPS</t>
        </is>
      </c>
      <c r="E63" t="inlineStr">
        <is>
          <t>6120 Merchant and payment fees</t>
        </is>
      </c>
      <c r="F63" t="inlineStr">
        <is>
          <t>Stripe fees ex GST</t>
        </is>
      </c>
      <c r="G63" s="9">
        <f>ROUND(SUMIFS('Stripe Payouts'!$G$5:$G$72,'Stripe Payouts'!$M$5:$M$72,Exceptions!$D$37)-Exceptions!$I$37,2)</f>
        <v>90.32</v>
      </c>
      <c r="H63" s="9" t="n">
        <v>0</v>
      </c>
      <c r="I63" t="inlineStr">
        <is>
          <t>GST on purchases</t>
        </is>
      </c>
      <c r="J63" t="inlineStr">
        <is>
          <t>AUD</t>
        </is>
      </c>
      <c r="K63" s="9">
        <f>ROUND(SUMIFS($G$5:$G$454,$A$5:$A$454,A63)-SUMIFS($H$5:$H$454,$A$5:$A$454,A63),2)</f>
        <v>0</v>
      </c>
    </row>
    <row r="64">
      <c r="A64" t="inlineStr">
        <is>
          <t>J033</t>
        </is>
      </c>
      <c r="B64" t="inlineStr">
        <is>
          <t>EX033</t>
        </is>
      </c>
      <c r="C64" s="5" t="n">
        <v>46231</v>
      </c>
      <c r="D64" t="inlineStr">
        <is>
          <t>OPS</t>
        </is>
      </c>
      <c r="E64" t="inlineStr">
        <is>
          <t>1300 GST paid (1B)</t>
        </is>
      </c>
      <c r="F64" t="inlineStr">
        <is>
          <t>GST on Stripe fees</t>
        </is>
      </c>
      <c r="G64" s="9">
        <f>Exceptions!$I$37</f>
        <v>9.03</v>
      </c>
      <c r="H64" s="9" t="n">
        <v>0</v>
      </c>
      <c r="I64" t="inlineStr">
        <is>
          <t>GST</t>
        </is>
      </c>
      <c r="J64" t="inlineStr">
        <is>
          <t>AUD</t>
        </is>
      </c>
      <c r="K64" s="9">
        <f>ROUND(SUMIFS($G$5:$G$454,$A$5:$A$454,A64)-SUMIFS($H$5:$H$454,$A$5:$A$454,A64),2)</f>
        <v>0</v>
      </c>
    </row>
    <row r="65">
      <c r="A65" t="inlineStr">
        <is>
          <t>J034</t>
        </is>
      </c>
      <c r="B65" t="inlineStr">
        <is>
          <t>EX034</t>
        </is>
      </c>
      <c r="C65" s="5" t="n">
        <v>46232</v>
      </c>
      <c r="D65" t="inlineStr">
        <is>
          <t>OPS</t>
        </is>
      </c>
      <c r="E65" t="inlineStr">
        <is>
          <t>1110 Bank - Operating</t>
        </is>
      </c>
      <c r="F65" t="inlineStr">
        <is>
          <t>29 report lines; fees 78.38 | STRIPE PAYOUT STRIPE po_1Q0021</t>
        </is>
      </c>
      <c r="G65" s="9">
        <f>MAX(Exceptions!$H$38,0)</f>
        <v>0</v>
      </c>
      <c r="H65" s="9">
        <f>MAX(-Exceptions!$H$38,0)</f>
        <v>78.38</v>
      </c>
      <c r="I65" t="inlineStr"/>
      <c r="J65" t="inlineStr">
        <is>
          <t>AUD</t>
        </is>
      </c>
      <c r="K65" s="9">
        <f>ROUND(SUMIFS($G$5:$G$454,$A$5:$A$454,A65)-SUMIFS($H$5:$H$454,$A$5:$A$454,A65),2)</f>
        <v>0</v>
      </c>
    </row>
    <row r="66">
      <c r="A66" t="inlineStr">
        <is>
          <t>J034</t>
        </is>
      </c>
      <c r="B66" t="inlineStr">
        <is>
          <t>EX034</t>
        </is>
      </c>
      <c r="C66" s="5" t="n">
        <v>46232</v>
      </c>
      <c r="D66" t="inlineStr">
        <is>
          <t>OPS</t>
        </is>
      </c>
      <c r="E66" t="inlineStr">
        <is>
          <t>6120 Merchant and payment fees</t>
        </is>
      </c>
      <c r="F66" t="inlineStr">
        <is>
          <t>Stripe fees ex GST</t>
        </is>
      </c>
      <c r="G66" s="9">
        <f>ROUND(SUMIFS('Stripe Payouts'!$G$5:$G$72,'Stripe Payouts'!$M$5:$M$72,Exceptions!$D$38)-Exceptions!$I$38,2)</f>
        <v>71.25</v>
      </c>
      <c r="H66" s="9" t="n">
        <v>0</v>
      </c>
      <c r="I66" t="inlineStr">
        <is>
          <t>GST on purchases</t>
        </is>
      </c>
      <c r="J66" t="inlineStr">
        <is>
          <t>AUD</t>
        </is>
      </c>
      <c r="K66" s="9">
        <f>ROUND(SUMIFS($G$5:$G$454,$A$5:$A$454,A66)-SUMIFS($H$5:$H$454,$A$5:$A$454,A66),2)</f>
        <v>0</v>
      </c>
    </row>
    <row r="67">
      <c r="A67" t="inlineStr">
        <is>
          <t>J034</t>
        </is>
      </c>
      <c r="B67" t="inlineStr">
        <is>
          <t>EX034</t>
        </is>
      </c>
      <c r="C67" s="5" t="n">
        <v>46232</v>
      </c>
      <c r="D67" t="inlineStr">
        <is>
          <t>OPS</t>
        </is>
      </c>
      <c r="E67" t="inlineStr">
        <is>
          <t>1300 GST paid (1B)</t>
        </is>
      </c>
      <c r="F67" t="inlineStr">
        <is>
          <t>GST on Stripe fees</t>
        </is>
      </c>
      <c r="G67" s="9">
        <f>Exceptions!$I$38</f>
        <v>7.13</v>
      </c>
      <c r="H67" s="9" t="n">
        <v>0</v>
      </c>
      <c r="I67" t="inlineStr">
        <is>
          <t>GST</t>
        </is>
      </c>
      <c r="J67" t="inlineStr">
        <is>
          <t>AUD</t>
        </is>
      </c>
      <c r="K67" s="9">
        <f>ROUND(SUMIFS($G$5:$G$454,$A$5:$A$454,A67)-SUMIFS($H$5:$H$454,$A$5:$A$454,A67),2)</f>
        <v>0</v>
      </c>
    </row>
    <row r="68">
      <c r="A68" t="inlineStr">
        <is>
          <t>J035</t>
        </is>
      </c>
      <c r="B68" t="inlineStr">
        <is>
          <t>EX035</t>
        </is>
      </c>
      <c r="C68" s="5" t="n">
        <v>46233</v>
      </c>
      <c r="D68" t="inlineStr">
        <is>
          <t>OPS</t>
        </is>
      </c>
      <c r="E68" t="inlineStr">
        <is>
          <t>1110 Bank - Operating</t>
        </is>
      </c>
      <c r="F68" t="inlineStr">
        <is>
          <t>20 report lines; fees 50.83 | STRIPE PAYOUT STRIPE po_1Q0022</t>
        </is>
      </c>
      <c r="G68" s="9">
        <f>MAX(Exceptions!$H$39,0)</f>
        <v>0</v>
      </c>
      <c r="H68" s="9">
        <f>MAX(-Exceptions!$H$39,0)</f>
        <v>50.83</v>
      </c>
      <c r="I68" t="inlineStr"/>
      <c r="J68" t="inlineStr">
        <is>
          <t>AUD</t>
        </is>
      </c>
      <c r="K68" s="9">
        <f>ROUND(SUMIFS($G$5:$G$454,$A$5:$A$454,A68)-SUMIFS($H$5:$H$454,$A$5:$A$454,A68),2)</f>
        <v>0</v>
      </c>
    </row>
    <row r="69">
      <c r="A69" t="inlineStr">
        <is>
          <t>J035</t>
        </is>
      </c>
      <c r="B69" t="inlineStr">
        <is>
          <t>EX035</t>
        </is>
      </c>
      <c r="C69" s="5" t="n">
        <v>46233</v>
      </c>
      <c r="D69" t="inlineStr">
        <is>
          <t>OPS</t>
        </is>
      </c>
      <c r="E69" t="inlineStr">
        <is>
          <t>6120 Merchant and payment fees</t>
        </is>
      </c>
      <c r="F69" t="inlineStr">
        <is>
          <t>Stripe fees ex GST</t>
        </is>
      </c>
      <c r="G69" s="9">
        <f>ROUND(SUMIFS('Stripe Payouts'!$G$5:$G$72,'Stripe Payouts'!$M$5:$M$72,Exceptions!$D$39)-Exceptions!$I$39,2)</f>
        <v>46.21</v>
      </c>
      <c r="H69" s="9" t="n">
        <v>0</v>
      </c>
      <c r="I69" t="inlineStr">
        <is>
          <t>GST on purchases</t>
        </is>
      </c>
      <c r="J69" t="inlineStr">
        <is>
          <t>AUD</t>
        </is>
      </c>
      <c r="K69" s="9">
        <f>ROUND(SUMIFS($G$5:$G$454,$A$5:$A$454,A69)-SUMIFS($H$5:$H$454,$A$5:$A$454,A69),2)</f>
        <v>0</v>
      </c>
    </row>
    <row r="70">
      <c r="A70" t="inlineStr">
        <is>
          <t>J035</t>
        </is>
      </c>
      <c r="B70" t="inlineStr">
        <is>
          <t>EX035</t>
        </is>
      </c>
      <c r="C70" s="5" t="n">
        <v>46233</v>
      </c>
      <c r="D70" t="inlineStr">
        <is>
          <t>OPS</t>
        </is>
      </c>
      <c r="E70" t="inlineStr">
        <is>
          <t>1300 GST paid (1B)</t>
        </is>
      </c>
      <c r="F70" t="inlineStr">
        <is>
          <t>GST on Stripe fees</t>
        </is>
      </c>
      <c r="G70" s="9">
        <f>Exceptions!$I$39</f>
        <v>4.62</v>
      </c>
      <c r="H70" s="9" t="n">
        <v>0</v>
      </c>
      <c r="I70" t="inlineStr">
        <is>
          <t>GST</t>
        </is>
      </c>
      <c r="J70" t="inlineStr">
        <is>
          <t>AUD</t>
        </is>
      </c>
      <c r="K70" s="9">
        <f>ROUND(SUMIFS($G$5:$G$454,$A$5:$A$454,A70)-SUMIFS($H$5:$H$454,$A$5:$A$454,A70),2)</f>
        <v>0</v>
      </c>
    </row>
    <row r="71">
      <c r="A71" t="inlineStr">
        <is>
          <t>J036</t>
        </is>
      </c>
      <c r="B71" t="inlineStr">
        <is>
          <t>EX036</t>
        </is>
      </c>
      <c r="C71" s="5" t="n">
        <v>46234</v>
      </c>
      <c r="D71" t="inlineStr">
        <is>
          <t>OPS</t>
        </is>
      </c>
      <c r="E71" t="inlineStr">
        <is>
          <t>1110 Bank - Operating</t>
        </is>
      </c>
      <c r="F71" t="inlineStr">
        <is>
          <t>25 report lines; fees 61.51 | STRIPE PAYOUT STRIPE po_1Q0023</t>
        </is>
      </c>
      <c r="G71" s="9">
        <f>MAX(Exceptions!$H$40,0)</f>
        <v>0</v>
      </c>
      <c r="H71" s="9">
        <f>MAX(-Exceptions!$H$40,0)</f>
        <v>61.51</v>
      </c>
      <c r="I71" t="inlineStr"/>
      <c r="J71" t="inlineStr">
        <is>
          <t>AUD</t>
        </is>
      </c>
      <c r="K71" s="9">
        <f>ROUND(SUMIFS($G$5:$G$454,$A$5:$A$454,A71)-SUMIFS($H$5:$H$454,$A$5:$A$454,A71),2)</f>
        <v>0</v>
      </c>
    </row>
    <row r="72">
      <c r="A72" t="inlineStr">
        <is>
          <t>J036</t>
        </is>
      </c>
      <c r="B72" t="inlineStr">
        <is>
          <t>EX036</t>
        </is>
      </c>
      <c r="C72" s="5" t="n">
        <v>46234</v>
      </c>
      <c r="D72" t="inlineStr">
        <is>
          <t>OPS</t>
        </is>
      </c>
      <c r="E72" t="inlineStr">
        <is>
          <t>6120 Merchant and payment fees</t>
        </is>
      </c>
      <c r="F72" t="inlineStr">
        <is>
          <t>Stripe fees ex GST</t>
        </is>
      </c>
      <c r="G72" s="9">
        <f>ROUND(SUMIFS('Stripe Payouts'!$G$5:$G$72,'Stripe Payouts'!$M$5:$M$72,Exceptions!$D$40)-Exceptions!$I$40,2)</f>
        <v>55.92</v>
      </c>
      <c r="H72" s="9" t="n">
        <v>0</v>
      </c>
      <c r="I72" t="inlineStr">
        <is>
          <t>GST on purchases</t>
        </is>
      </c>
      <c r="J72" t="inlineStr">
        <is>
          <t>AUD</t>
        </is>
      </c>
      <c r="K72" s="9">
        <f>ROUND(SUMIFS($G$5:$G$454,$A$5:$A$454,A72)-SUMIFS($H$5:$H$454,$A$5:$A$454,A72),2)</f>
        <v>0</v>
      </c>
    </row>
    <row r="73">
      <c r="A73" t="inlineStr">
        <is>
          <t>J036</t>
        </is>
      </c>
      <c r="B73" t="inlineStr">
        <is>
          <t>EX036</t>
        </is>
      </c>
      <c r="C73" s="5" t="n">
        <v>46234</v>
      </c>
      <c r="D73" t="inlineStr">
        <is>
          <t>OPS</t>
        </is>
      </c>
      <c r="E73" t="inlineStr">
        <is>
          <t>1300 GST paid (1B)</t>
        </is>
      </c>
      <c r="F73" t="inlineStr">
        <is>
          <t>GST on Stripe fees</t>
        </is>
      </c>
      <c r="G73" s="9">
        <f>Exceptions!$I$40</f>
        <v>5.59</v>
      </c>
      <c r="H73" s="9" t="n">
        <v>0</v>
      </c>
      <c r="I73" t="inlineStr">
        <is>
          <t>GST</t>
        </is>
      </c>
      <c r="J73" t="inlineStr">
        <is>
          <t>AUD</t>
        </is>
      </c>
      <c r="K73" s="9">
        <f>ROUND(SUMIFS($G$5:$G$454,$A$5:$A$454,A73)-SUMIFS($H$5:$H$454,$A$5:$A$454,A73),2)</f>
        <v>0</v>
      </c>
    </row>
    <row r="74">
      <c r="A74" t="inlineStr">
        <is>
          <t>J037</t>
        </is>
      </c>
      <c r="B74" t="inlineStr">
        <is>
          <t>EX037</t>
        </is>
      </c>
      <c r="C74" s="5" t="n">
        <v>46237</v>
      </c>
      <c r="D74" t="inlineStr">
        <is>
          <t>OPS</t>
        </is>
      </c>
      <c r="E74" t="inlineStr">
        <is>
          <t>1110 Bank - Operating</t>
        </is>
      </c>
      <c r="F74" t="inlineStr">
        <is>
          <t>30 report lines; fees 79.64 | STRIPE PAYOUT STRIPE po_1Q0024</t>
        </is>
      </c>
      <c r="G74" s="9">
        <f>MAX(Exceptions!$H$41,0)</f>
        <v>0</v>
      </c>
      <c r="H74" s="9">
        <f>MAX(-Exceptions!$H$41,0)</f>
        <v>79.64</v>
      </c>
      <c r="I74" t="inlineStr"/>
      <c r="J74" t="inlineStr">
        <is>
          <t>AUD</t>
        </is>
      </c>
      <c r="K74" s="9">
        <f>ROUND(SUMIFS($G$5:$G$454,$A$5:$A$454,A74)-SUMIFS($H$5:$H$454,$A$5:$A$454,A74),2)</f>
        <v>0</v>
      </c>
    </row>
    <row r="75">
      <c r="A75" t="inlineStr">
        <is>
          <t>J037</t>
        </is>
      </c>
      <c r="B75" t="inlineStr">
        <is>
          <t>EX037</t>
        </is>
      </c>
      <c r="C75" s="5" t="n">
        <v>46237</v>
      </c>
      <c r="D75" t="inlineStr">
        <is>
          <t>OPS</t>
        </is>
      </c>
      <c r="E75" t="inlineStr">
        <is>
          <t>6120 Merchant and payment fees</t>
        </is>
      </c>
      <c r="F75" t="inlineStr">
        <is>
          <t>Stripe fees ex GST</t>
        </is>
      </c>
      <c r="G75" s="9">
        <f>ROUND(SUMIFS('Stripe Payouts'!$G$5:$G$72,'Stripe Payouts'!$M$5:$M$72,Exceptions!$D$41)-Exceptions!$I$41,2)</f>
        <v>72.4</v>
      </c>
      <c r="H75" s="9" t="n">
        <v>0</v>
      </c>
      <c r="I75" t="inlineStr">
        <is>
          <t>GST on purchases</t>
        </is>
      </c>
      <c r="J75" t="inlineStr">
        <is>
          <t>AUD</t>
        </is>
      </c>
      <c r="K75" s="9">
        <f>ROUND(SUMIFS($G$5:$G$454,$A$5:$A$454,A75)-SUMIFS($H$5:$H$454,$A$5:$A$454,A75),2)</f>
        <v>0</v>
      </c>
    </row>
    <row r="76">
      <c r="A76" t="inlineStr">
        <is>
          <t>J037</t>
        </is>
      </c>
      <c r="B76" t="inlineStr">
        <is>
          <t>EX037</t>
        </is>
      </c>
      <c r="C76" s="5" t="n">
        <v>46237</v>
      </c>
      <c r="D76" t="inlineStr">
        <is>
          <t>OPS</t>
        </is>
      </c>
      <c r="E76" t="inlineStr">
        <is>
          <t>1300 GST paid (1B)</t>
        </is>
      </c>
      <c r="F76" t="inlineStr">
        <is>
          <t>GST on Stripe fees</t>
        </is>
      </c>
      <c r="G76" s="9">
        <f>Exceptions!$I$41</f>
        <v>7.24</v>
      </c>
      <c r="H76" s="9" t="n">
        <v>0</v>
      </c>
      <c r="I76" t="inlineStr">
        <is>
          <t>GST</t>
        </is>
      </c>
      <c r="J76" t="inlineStr">
        <is>
          <t>AUD</t>
        </is>
      </c>
      <c r="K76" s="9">
        <f>ROUND(SUMIFS($G$5:$G$454,$A$5:$A$454,A76)-SUMIFS($H$5:$H$454,$A$5:$A$454,A76),2)</f>
        <v>0</v>
      </c>
    </row>
    <row r="77">
      <c r="A77" t="inlineStr">
        <is>
          <t>J038</t>
        </is>
      </c>
      <c r="B77" t="inlineStr">
        <is>
          <t>EX038</t>
        </is>
      </c>
      <c r="C77" s="5" t="n">
        <v>46238</v>
      </c>
      <c r="D77" t="inlineStr">
        <is>
          <t>OPS</t>
        </is>
      </c>
      <c r="E77" t="inlineStr">
        <is>
          <t>1110 Bank - Operating</t>
        </is>
      </c>
      <c r="F77" t="inlineStr">
        <is>
          <t>28 report lines; fees 69.70 | STRIPE PAYOUT STRIPE po_1Q0025</t>
        </is>
      </c>
      <c r="G77" s="9">
        <f>MAX(Exceptions!$H$42,0)</f>
        <v>0</v>
      </c>
      <c r="H77" s="9">
        <f>MAX(-Exceptions!$H$42,0)</f>
        <v>69.7</v>
      </c>
      <c r="I77" t="inlineStr"/>
      <c r="J77" t="inlineStr">
        <is>
          <t>AUD</t>
        </is>
      </c>
      <c r="K77" s="9">
        <f>ROUND(SUMIFS($G$5:$G$454,$A$5:$A$454,A77)-SUMIFS($H$5:$H$454,$A$5:$A$454,A77),2)</f>
        <v>0</v>
      </c>
    </row>
    <row r="78">
      <c r="A78" t="inlineStr">
        <is>
          <t>J038</t>
        </is>
      </c>
      <c r="B78" t="inlineStr">
        <is>
          <t>EX038</t>
        </is>
      </c>
      <c r="C78" s="5" t="n">
        <v>46238</v>
      </c>
      <c r="D78" t="inlineStr">
        <is>
          <t>OPS</t>
        </is>
      </c>
      <c r="E78" t="inlineStr">
        <is>
          <t>6120 Merchant and payment fees</t>
        </is>
      </c>
      <c r="F78" t="inlineStr">
        <is>
          <t>Stripe fees ex GST</t>
        </is>
      </c>
      <c r="G78" s="9">
        <f>ROUND(SUMIFS('Stripe Payouts'!$G$5:$G$72,'Stripe Payouts'!$M$5:$M$72,Exceptions!$D$42)-Exceptions!$I$42,2)</f>
        <v>63.36</v>
      </c>
      <c r="H78" s="9" t="n">
        <v>0</v>
      </c>
      <c r="I78" t="inlineStr">
        <is>
          <t>GST on purchases</t>
        </is>
      </c>
      <c r="J78" t="inlineStr">
        <is>
          <t>AUD</t>
        </is>
      </c>
      <c r="K78" s="9">
        <f>ROUND(SUMIFS($G$5:$G$454,$A$5:$A$454,A78)-SUMIFS($H$5:$H$454,$A$5:$A$454,A78),2)</f>
        <v>0</v>
      </c>
    </row>
    <row r="79">
      <c r="A79" t="inlineStr">
        <is>
          <t>J038</t>
        </is>
      </c>
      <c r="B79" t="inlineStr">
        <is>
          <t>EX038</t>
        </is>
      </c>
      <c r="C79" s="5" t="n">
        <v>46238</v>
      </c>
      <c r="D79" t="inlineStr">
        <is>
          <t>OPS</t>
        </is>
      </c>
      <c r="E79" t="inlineStr">
        <is>
          <t>1300 GST paid (1B)</t>
        </is>
      </c>
      <c r="F79" t="inlineStr">
        <is>
          <t>GST on Stripe fees</t>
        </is>
      </c>
      <c r="G79" s="9">
        <f>Exceptions!$I$42</f>
        <v>6.34</v>
      </c>
      <c r="H79" s="9" t="n">
        <v>0</v>
      </c>
      <c r="I79" t="inlineStr">
        <is>
          <t>GST</t>
        </is>
      </c>
      <c r="J79" t="inlineStr">
        <is>
          <t>AUD</t>
        </is>
      </c>
      <c r="K79" s="9">
        <f>ROUND(SUMIFS($G$5:$G$454,$A$5:$A$454,A79)-SUMIFS($H$5:$H$454,$A$5:$A$454,A79),2)</f>
        <v>0</v>
      </c>
    </row>
    <row r="80">
      <c r="A80" t="inlineStr">
        <is>
          <t>J039</t>
        </is>
      </c>
      <c r="B80" t="inlineStr">
        <is>
          <t>EX039</t>
        </is>
      </c>
      <c r="C80" s="5" t="n">
        <v>46239</v>
      </c>
      <c r="D80" t="inlineStr">
        <is>
          <t>OPS</t>
        </is>
      </c>
      <c r="E80" t="inlineStr">
        <is>
          <t>1110 Bank - Operating</t>
        </is>
      </c>
      <c r="F80" t="inlineStr">
        <is>
          <t>28 report lines; fees 74.47 | STRIPE PAYOUT STRIPE po_1Q0026</t>
        </is>
      </c>
      <c r="G80" s="9">
        <f>MAX(Exceptions!$H$43,0)</f>
        <v>0</v>
      </c>
      <c r="H80" s="9">
        <f>MAX(-Exceptions!$H$43,0)</f>
        <v>74.47</v>
      </c>
      <c r="I80" t="inlineStr"/>
      <c r="J80" t="inlineStr">
        <is>
          <t>AUD</t>
        </is>
      </c>
      <c r="K80" s="9">
        <f>ROUND(SUMIFS($G$5:$G$454,$A$5:$A$454,A80)-SUMIFS($H$5:$H$454,$A$5:$A$454,A80),2)</f>
        <v>0</v>
      </c>
    </row>
    <row r="81">
      <c r="A81" t="inlineStr">
        <is>
          <t>J039</t>
        </is>
      </c>
      <c r="B81" t="inlineStr">
        <is>
          <t>EX039</t>
        </is>
      </c>
      <c r="C81" s="5" t="n">
        <v>46239</v>
      </c>
      <c r="D81" t="inlineStr">
        <is>
          <t>OPS</t>
        </is>
      </c>
      <c r="E81" t="inlineStr">
        <is>
          <t>6120 Merchant and payment fees</t>
        </is>
      </c>
      <c r="F81" t="inlineStr">
        <is>
          <t>Stripe fees ex GST</t>
        </is>
      </c>
      <c r="G81" s="9">
        <f>ROUND(SUMIFS('Stripe Payouts'!$G$5:$G$72,'Stripe Payouts'!$M$5:$M$72,Exceptions!$D$43)-Exceptions!$I$43,2)</f>
        <v>67.7</v>
      </c>
      <c r="H81" s="9" t="n">
        <v>0</v>
      </c>
      <c r="I81" t="inlineStr">
        <is>
          <t>GST on purchases</t>
        </is>
      </c>
      <c r="J81" t="inlineStr">
        <is>
          <t>AUD</t>
        </is>
      </c>
      <c r="K81" s="9">
        <f>ROUND(SUMIFS($G$5:$G$454,$A$5:$A$454,A81)-SUMIFS($H$5:$H$454,$A$5:$A$454,A81),2)</f>
        <v>0</v>
      </c>
    </row>
    <row r="82">
      <c r="A82" t="inlineStr">
        <is>
          <t>J039</t>
        </is>
      </c>
      <c r="B82" t="inlineStr">
        <is>
          <t>EX039</t>
        </is>
      </c>
      <c r="C82" s="5" t="n">
        <v>46239</v>
      </c>
      <c r="D82" t="inlineStr">
        <is>
          <t>OPS</t>
        </is>
      </c>
      <c r="E82" t="inlineStr">
        <is>
          <t>1300 GST paid (1B)</t>
        </is>
      </c>
      <c r="F82" t="inlineStr">
        <is>
          <t>GST on Stripe fees</t>
        </is>
      </c>
      <c r="G82" s="9">
        <f>Exceptions!$I$43</f>
        <v>6.77</v>
      </c>
      <c r="H82" s="9" t="n">
        <v>0</v>
      </c>
      <c r="I82" t="inlineStr">
        <is>
          <t>GST</t>
        </is>
      </c>
      <c r="J82" t="inlineStr">
        <is>
          <t>AUD</t>
        </is>
      </c>
      <c r="K82" s="9">
        <f>ROUND(SUMIFS($G$5:$G$454,$A$5:$A$454,A82)-SUMIFS($H$5:$H$454,$A$5:$A$454,A82),2)</f>
        <v>0</v>
      </c>
    </row>
    <row r="83">
      <c r="A83" t="inlineStr">
        <is>
          <t>J040</t>
        </is>
      </c>
      <c r="B83" t="inlineStr">
        <is>
          <t>EX040</t>
        </is>
      </c>
      <c r="C83" s="5" t="n">
        <v>46240</v>
      </c>
      <c r="D83" t="inlineStr">
        <is>
          <t>OPS</t>
        </is>
      </c>
      <c r="E83" t="inlineStr">
        <is>
          <t>1110 Bank - Operating</t>
        </is>
      </c>
      <c r="F83" t="inlineStr">
        <is>
          <t>34 report lines; fees 86.27 | STRIPE PAYOUT STRIPE po_1Q0027</t>
        </is>
      </c>
      <c r="G83" s="9">
        <f>MAX(Exceptions!$H$44,0)</f>
        <v>0</v>
      </c>
      <c r="H83" s="9">
        <f>MAX(-Exceptions!$H$44,0)</f>
        <v>86.27</v>
      </c>
      <c r="I83" t="inlineStr"/>
      <c r="J83" t="inlineStr">
        <is>
          <t>AUD</t>
        </is>
      </c>
      <c r="K83" s="9">
        <f>ROUND(SUMIFS($G$5:$G$454,$A$5:$A$454,A83)-SUMIFS($H$5:$H$454,$A$5:$A$454,A83),2)</f>
        <v>0</v>
      </c>
    </row>
    <row r="84">
      <c r="A84" t="inlineStr">
        <is>
          <t>J040</t>
        </is>
      </c>
      <c r="B84" t="inlineStr">
        <is>
          <t>EX040</t>
        </is>
      </c>
      <c r="C84" s="5" t="n">
        <v>46240</v>
      </c>
      <c r="D84" t="inlineStr">
        <is>
          <t>OPS</t>
        </is>
      </c>
      <c r="E84" t="inlineStr">
        <is>
          <t>6120 Merchant and payment fees</t>
        </is>
      </c>
      <c r="F84" t="inlineStr">
        <is>
          <t>Stripe fees ex GST</t>
        </is>
      </c>
      <c r="G84" s="9">
        <f>ROUND(SUMIFS('Stripe Payouts'!$G$5:$G$72,'Stripe Payouts'!$M$5:$M$72,Exceptions!$D$44)-Exceptions!$I$44,2)</f>
        <v>78.43</v>
      </c>
      <c r="H84" s="9" t="n">
        <v>0</v>
      </c>
      <c r="I84" t="inlineStr">
        <is>
          <t>GST on purchases</t>
        </is>
      </c>
      <c r="J84" t="inlineStr">
        <is>
          <t>AUD</t>
        </is>
      </c>
      <c r="K84" s="9">
        <f>ROUND(SUMIFS($G$5:$G$454,$A$5:$A$454,A84)-SUMIFS($H$5:$H$454,$A$5:$A$454,A84),2)</f>
        <v>0</v>
      </c>
    </row>
    <row r="85">
      <c r="A85" t="inlineStr">
        <is>
          <t>J040</t>
        </is>
      </c>
      <c r="B85" t="inlineStr">
        <is>
          <t>EX040</t>
        </is>
      </c>
      <c r="C85" s="5" t="n">
        <v>46240</v>
      </c>
      <c r="D85" t="inlineStr">
        <is>
          <t>OPS</t>
        </is>
      </c>
      <c r="E85" t="inlineStr">
        <is>
          <t>1300 GST paid (1B)</t>
        </is>
      </c>
      <c r="F85" t="inlineStr">
        <is>
          <t>GST on Stripe fees</t>
        </is>
      </c>
      <c r="G85" s="9">
        <f>Exceptions!$I$44</f>
        <v>7.84</v>
      </c>
      <c r="H85" s="9" t="n">
        <v>0</v>
      </c>
      <c r="I85" t="inlineStr">
        <is>
          <t>GST</t>
        </is>
      </c>
      <c r="J85" t="inlineStr">
        <is>
          <t>AUD</t>
        </is>
      </c>
      <c r="K85" s="9">
        <f>ROUND(SUMIFS($G$5:$G$454,$A$5:$A$454,A85)-SUMIFS($H$5:$H$454,$A$5:$A$454,A85),2)</f>
        <v>0</v>
      </c>
    </row>
    <row r="86">
      <c r="A86" t="inlineStr">
        <is>
          <t>J041</t>
        </is>
      </c>
      <c r="B86" t="inlineStr">
        <is>
          <t>EX041</t>
        </is>
      </c>
      <c r="C86" s="5" t="n">
        <v>46241</v>
      </c>
      <c r="D86" t="inlineStr">
        <is>
          <t>OPS</t>
        </is>
      </c>
      <c r="E86" t="inlineStr">
        <is>
          <t>1110 Bank - Operating</t>
        </is>
      </c>
      <c r="F86" t="inlineStr">
        <is>
          <t>30 report lines; fees 77.19 | STRIPE PAYOUT STRIPE po_1Q0028</t>
        </is>
      </c>
      <c r="G86" s="9">
        <f>MAX(Exceptions!$H$45,0)</f>
        <v>0</v>
      </c>
      <c r="H86" s="9">
        <f>MAX(-Exceptions!$H$45,0)</f>
        <v>77.19</v>
      </c>
      <c r="I86" t="inlineStr"/>
      <c r="J86" t="inlineStr">
        <is>
          <t>AUD</t>
        </is>
      </c>
      <c r="K86" s="9">
        <f>ROUND(SUMIFS($G$5:$G$454,$A$5:$A$454,A86)-SUMIFS($H$5:$H$454,$A$5:$A$454,A86),2)</f>
        <v>0</v>
      </c>
    </row>
    <row r="87">
      <c r="A87" t="inlineStr">
        <is>
          <t>J041</t>
        </is>
      </c>
      <c r="B87" t="inlineStr">
        <is>
          <t>EX041</t>
        </is>
      </c>
      <c r="C87" s="5" t="n">
        <v>46241</v>
      </c>
      <c r="D87" t="inlineStr">
        <is>
          <t>OPS</t>
        </is>
      </c>
      <c r="E87" t="inlineStr">
        <is>
          <t>6120 Merchant and payment fees</t>
        </is>
      </c>
      <c r="F87" t="inlineStr">
        <is>
          <t>Stripe fees ex GST</t>
        </is>
      </c>
      <c r="G87" s="9">
        <f>ROUND(SUMIFS('Stripe Payouts'!$G$5:$G$72,'Stripe Payouts'!$M$5:$M$72,Exceptions!$D$45)-Exceptions!$I$45,2)</f>
        <v>70.17</v>
      </c>
      <c r="H87" s="9" t="n">
        <v>0</v>
      </c>
      <c r="I87" t="inlineStr">
        <is>
          <t>GST on purchases</t>
        </is>
      </c>
      <c r="J87" t="inlineStr">
        <is>
          <t>AUD</t>
        </is>
      </c>
      <c r="K87" s="9">
        <f>ROUND(SUMIFS($G$5:$G$454,$A$5:$A$454,A87)-SUMIFS($H$5:$H$454,$A$5:$A$454,A87),2)</f>
        <v>0</v>
      </c>
    </row>
    <row r="88">
      <c r="A88" t="inlineStr">
        <is>
          <t>J041</t>
        </is>
      </c>
      <c r="B88" t="inlineStr">
        <is>
          <t>EX041</t>
        </is>
      </c>
      <c r="C88" s="5" t="n">
        <v>46241</v>
      </c>
      <c r="D88" t="inlineStr">
        <is>
          <t>OPS</t>
        </is>
      </c>
      <c r="E88" t="inlineStr">
        <is>
          <t>1300 GST paid (1B)</t>
        </is>
      </c>
      <c r="F88" t="inlineStr">
        <is>
          <t>GST on Stripe fees</t>
        </is>
      </c>
      <c r="G88" s="9">
        <f>Exceptions!$I$45</f>
        <v>7.02</v>
      </c>
      <c r="H88" s="9" t="n">
        <v>0</v>
      </c>
      <c r="I88" t="inlineStr">
        <is>
          <t>GST</t>
        </is>
      </c>
      <c r="J88" t="inlineStr">
        <is>
          <t>AUD</t>
        </is>
      </c>
      <c r="K88" s="9">
        <f>ROUND(SUMIFS($G$5:$G$454,$A$5:$A$454,A88)-SUMIFS($H$5:$H$454,$A$5:$A$454,A88),2)</f>
        <v>0</v>
      </c>
    </row>
    <row r="89">
      <c r="A89" t="inlineStr">
        <is>
          <t>J042</t>
        </is>
      </c>
      <c r="B89" t="inlineStr">
        <is>
          <t>EX042</t>
        </is>
      </c>
      <c r="C89" s="5" t="n">
        <v>46244</v>
      </c>
      <c r="D89" t="inlineStr">
        <is>
          <t>OPS</t>
        </is>
      </c>
      <c r="E89" t="inlineStr">
        <is>
          <t>1110 Bank - Operating</t>
        </is>
      </c>
      <c r="F89" t="inlineStr">
        <is>
          <t>33 report lines; fees 82.82 | STRIPE PAYOUT STRIPE po_1Q0029</t>
        </is>
      </c>
      <c r="G89" s="9">
        <f>MAX(Exceptions!$H$46,0)</f>
        <v>0</v>
      </c>
      <c r="H89" s="9">
        <f>MAX(-Exceptions!$H$46,0)</f>
        <v>82.82</v>
      </c>
      <c r="I89" t="inlineStr"/>
      <c r="J89" t="inlineStr">
        <is>
          <t>AUD</t>
        </is>
      </c>
      <c r="K89" s="9">
        <f>ROUND(SUMIFS($G$5:$G$454,$A$5:$A$454,A89)-SUMIFS($H$5:$H$454,$A$5:$A$454,A89),2)</f>
        <v>0</v>
      </c>
    </row>
    <row r="90">
      <c r="A90" t="inlineStr">
        <is>
          <t>J042</t>
        </is>
      </c>
      <c r="B90" t="inlineStr">
        <is>
          <t>EX042</t>
        </is>
      </c>
      <c r="C90" s="5" t="n">
        <v>46244</v>
      </c>
      <c r="D90" t="inlineStr">
        <is>
          <t>OPS</t>
        </is>
      </c>
      <c r="E90" t="inlineStr">
        <is>
          <t>6120 Merchant and payment fees</t>
        </is>
      </c>
      <c r="F90" t="inlineStr">
        <is>
          <t>Stripe fees ex GST</t>
        </is>
      </c>
      <c r="G90" s="9">
        <f>ROUND(SUMIFS('Stripe Payouts'!$G$5:$G$72,'Stripe Payouts'!$M$5:$M$72,Exceptions!$D$46)-Exceptions!$I$46,2)</f>
        <v>75.29</v>
      </c>
      <c r="H90" s="9" t="n">
        <v>0</v>
      </c>
      <c r="I90" t="inlineStr">
        <is>
          <t>GST on purchases</t>
        </is>
      </c>
      <c r="J90" t="inlineStr">
        <is>
          <t>AUD</t>
        </is>
      </c>
      <c r="K90" s="9">
        <f>ROUND(SUMIFS($G$5:$G$454,$A$5:$A$454,A90)-SUMIFS($H$5:$H$454,$A$5:$A$454,A90),2)</f>
        <v>0</v>
      </c>
    </row>
    <row r="91">
      <c r="A91" t="inlineStr">
        <is>
          <t>J042</t>
        </is>
      </c>
      <c r="B91" t="inlineStr">
        <is>
          <t>EX042</t>
        </is>
      </c>
      <c r="C91" s="5" t="n">
        <v>46244</v>
      </c>
      <c r="D91" t="inlineStr">
        <is>
          <t>OPS</t>
        </is>
      </c>
      <c r="E91" t="inlineStr">
        <is>
          <t>1300 GST paid (1B)</t>
        </is>
      </c>
      <c r="F91" t="inlineStr">
        <is>
          <t>GST on Stripe fees</t>
        </is>
      </c>
      <c r="G91" s="9">
        <f>Exceptions!$I$46</f>
        <v>7.53</v>
      </c>
      <c r="H91" s="9" t="n">
        <v>0</v>
      </c>
      <c r="I91" t="inlineStr">
        <is>
          <t>GST</t>
        </is>
      </c>
      <c r="J91" t="inlineStr">
        <is>
          <t>AUD</t>
        </is>
      </c>
      <c r="K91" s="9">
        <f>ROUND(SUMIFS($G$5:$G$454,$A$5:$A$454,A91)-SUMIFS($H$5:$H$454,$A$5:$A$454,A91),2)</f>
        <v>0</v>
      </c>
    </row>
    <row r="92">
      <c r="A92" t="inlineStr">
        <is>
          <t>J043</t>
        </is>
      </c>
      <c r="B92" t="inlineStr">
        <is>
          <t>EX043</t>
        </is>
      </c>
      <c r="C92" s="5" t="n">
        <v>46245</v>
      </c>
      <c r="D92" t="inlineStr">
        <is>
          <t>OPS</t>
        </is>
      </c>
      <c r="E92" t="inlineStr">
        <is>
          <t>1110 Bank - Operating</t>
        </is>
      </c>
      <c r="F92" t="inlineStr">
        <is>
          <t>33 report lines; fees 82.04 | STRIPE PAYOUT STRIPE po_1Q0030</t>
        </is>
      </c>
      <c r="G92" s="9">
        <f>MAX(Exceptions!$H$47,0)</f>
        <v>0</v>
      </c>
      <c r="H92" s="9">
        <f>MAX(-Exceptions!$H$47,0)</f>
        <v>82.04</v>
      </c>
      <c r="I92" t="inlineStr"/>
      <c r="J92" t="inlineStr">
        <is>
          <t>AUD</t>
        </is>
      </c>
      <c r="K92" s="9">
        <f>ROUND(SUMIFS($G$5:$G$454,$A$5:$A$454,A92)-SUMIFS($H$5:$H$454,$A$5:$A$454,A92),2)</f>
        <v>0</v>
      </c>
    </row>
    <row r="93">
      <c r="A93" t="inlineStr">
        <is>
          <t>J043</t>
        </is>
      </c>
      <c r="B93" t="inlineStr">
        <is>
          <t>EX043</t>
        </is>
      </c>
      <c r="C93" s="5" t="n">
        <v>46245</v>
      </c>
      <c r="D93" t="inlineStr">
        <is>
          <t>OPS</t>
        </is>
      </c>
      <c r="E93" t="inlineStr">
        <is>
          <t>6120 Merchant and payment fees</t>
        </is>
      </c>
      <c r="F93" t="inlineStr">
        <is>
          <t>Stripe fees ex GST</t>
        </is>
      </c>
      <c r="G93" s="9">
        <f>ROUND(SUMIFS('Stripe Payouts'!$G$5:$G$72,'Stripe Payouts'!$M$5:$M$72,Exceptions!$D$47)-Exceptions!$I$47,2)</f>
        <v>74.58</v>
      </c>
      <c r="H93" s="9" t="n">
        <v>0</v>
      </c>
      <c r="I93" t="inlineStr">
        <is>
          <t>GST on purchases</t>
        </is>
      </c>
      <c r="J93" t="inlineStr">
        <is>
          <t>AUD</t>
        </is>
      </c>
      <c r="K93" s="9">
        <f>ROUND(SUMIFS($G$5:$G$454,$A$5:$A$454,A93)-SUMIFS($H$5:$H$454,$A$5:$A$454,A93),2)</f>
        <v>0</v>
      </c>
    </row>
    <row r="94">
      <c r="A94" t="inlineStr">
        <is>
          <t>J043</t>
        </is>
      </c>
      <c r="B94" t="inlineStr">
        <is>
          <t>EX043</t>
        </is>
      </c>
      <c r="C94" s="5" t="n">
        <v>46245</v>
      </c>
      <c r="D94" t="inlineStr">
        <is>
          <t>OPS</t>
        </is>
      </c>
      <c r="E94" t="inlineStr">
        <is>
          <t>1300 GST paid (1B)</t>
        </is>
      </c>
      <c r="F94" t="inlineStr">
        <is>
          <t>GST on Stripe fees</t>
        </is>
      </c>
      <c r="G94" s="9">
        <f>Exceptions!$I$47</f>
        <v>7.46</v>
      </c>
      <c r="H94" s="9" t="n">
        <v>0</v>
      </c>
      <c r="I94" t="inlineStr">
        <is>
          <t>GST</t>
        </is>
      </c>
      <c r="J94" t="inlineStr">
        <is>
          <t>AUD</t>
        </is>
      </c>
      <c r="K94" s="9">
        <f>ROUND(SUMIFS($G$5:$G$454,$A$5:$A$454,A94)-SUMIFS($H$5:$H$454,$A$5:$A$454,A94),2)</f>
        <v>0</v>
      </c>
    </row>
    <row r="95">
      <c r="A95" t="inlineStr">
        <is>
          <t>J044</t>
        </is>
      </c>
      <c r="B95" t="inlineStr">
        <is>
          <t>EX044</t>
        </is>
      </c>
      <c r="C95" s="5" t="n">
        <v>46246</v>
      </c>
      <c r="D95" t="inlineStr">
        <is>
          <t>OPS</t>
        </is>
      </c>
      <c r="E95" t="inlineStr">
        <is>
          <t>1110 Bank - Operating</t>
        </is>
      </c>
      <c r="F95" t="inlineStr">
        <is>
          <t>34 report lines; fees 85.59 | STRIPE PAYOUT STRIPE po_1Q0031</t>
        </is>
      </c>
      <c r="G95" s="9">
        <f>MAX(Exceptions!$H$48,0)</f>
        <v>0</v>
      </c>
      <c r="H95" s="9">
        <f>MAX(-Exceptions!$H$48,0)</f>
        <v>85.59</v>
      </c>
      <c r="I95" t="inlineStr"/>
      <c r="J95" t="inlineStr">
        <is>
          <t>AUD</t>
        </is>
      </c>
      <c r="K95" s="9">
        <f>ROUND(SUMIFS($G$5:$G$454,$A$5:$A$454,A95)-SUMIFS($H$5:$H$454,$A$5:$A$454,A95),2)</f>
        <v>0</v>
      </c>
    </row>
    <row r="96">
      <c r="A96" t="inlineStr">
        <is>
          <t>J044</t>
        </is>
      </c>
      <c r="B96" t="inlineStr">
        <is>
          <t>EX044</t>
        </is>
      </c>
      <c r="C96" s="5" t="n">
        <v>46246</v>
      </c>
      <c r="D96" t="inlineStr">
        <is>
          <t>OPS</t>
        </is>
      </c>
      <c r="E96" t="inlineStr">
        <is>
          <t>6120 Merchant and payment fees</t>
        </is>
      </c>
      <c r="F96" t="inlineStr">
        <is>
          <t>Stripe fees ex GST</t>
        </is>
      </c>
      <c r="G96" s="9">
        <f>ROUND(SUMIFS('Stripe Payouts'!$G$5:$G$72,'Stripe Payouts'!$M$5:$M$72,Exceptions!$D$48)-Exceptions!$I$48,2)</f>
        <v>77.81</v>
      </c>
      <c r="H96" s="9" t="n">
        <v>0</v>
      </c>
      <c r="I96" t="inlineStr">
        <is>
          <t>GST on purchases</t>
        </is>
      </c>
      <c r="J96" t="inlineStr">
        <is>
          <t>AUD</t>
        </is>
      </c>
      <c r="K96" s="9">
        <f>ROUND(SUMIFS($G$5:$G$454,$A$5:$A$454,A96)-SUMIFS($H$5:$H$454,$A$5:$A$454,A96),2)</f>
        <v>0</v>
      </c>
    </row>
    <row r="97">
      <c r="A97" t="inlineStr">
        <is>
          <t>J044</t>
        </is>
      </c>
      <c r="B97" t="inlineStr">
        <is>
          <t>EX044</t>
        </is>
      </c>
      <c r="C97" s="5" t="n">
        <v>46246</v>
      </c>
      <c r="D97" t="inlineStr">
        <is>
          <t>OPS</t>
        </is>
      </c>
      <c r="E97" t="inlineStr">
        <is>
          <t>1300 GST paid (1B)</t>
        </is>
      </c>
      <c r="F97" t="inlineStr">
        <is>
          <t>GST on Stripe fees</t>
        </is>
      </c>
      <c r="G97" s="9">
        <f>Exceptions!$I$48</f>
        <v>7.78</v>
      </c>
      <c r="H97" s="9" t="n">
        <v>0</v>
      </c>
      <c r="I97" t="inlineStr">
        <is>
          <t>GST</t>
        </is>
      </c>
      <c r="J97" t="inlineStr">
        <is>
          <t>AUD</t>
        </is>
      </c>
      <c r="K97" s="9">
        <f>ROUND(SUMIFS($G$5:$G$454,$A$5:$A$454,A97)-SUMIFS($H$5:$H$454,$A$5:$A$454,A97),2)</f>
        <v>0</v>
      </c>
    </row>
    <row r="98">
      <c r="A98" t="inlineStr">
        <is>
          <t>J045</t>
        </is>
      </c>
      <c r="B98" t="inlineStr">
        <is>
          <t>EX045</t>
        </is>
      </c>
      <c r="C98" s="5" t="n">
        <v>46247</v>
      </c>
      <c r="D98" t="inlineStr">
        <is>
          <t>OPS</t>
        </is>
      </c>
      <c r="E98" t="inlineStr">
        <is>
          <t>1110 Bank - Operating</t>
        </is>
      </c>
      <c r="F98" t="inlineStr">
        <is>
          <t>22 report lines; fees 55.24 | STRIPE PAYOUT STRIPE po_1Q0032</t>
        </is>
      </c>
      <c r="G98" s="9">
        <f>MAX(Exceptions!$H$49,0)</f>
        <v>0</v>
      </c>
      <c r="H98" s="9">
        <f>MAX(-Exceptions!$H$49,0)</f>
        <v>55.24</v>
      </c>
      <c r="I98" t="inlineStr"/>
      <c r="J98" t="inlineStr">
        <is>
          <t>AUD</t>
        </is>
      </c>
      <c r="K98" s="9">
        <f>ROUND(SUMIFS($G$5:$G$454,$A$5:$A$454,A98)-SUMIFS($H$5:$H$454,$A$5:$A$454,A98),2)</f>
        <v>0</v>
      </c>
    </row>
    <row r="99">
      <c r="A99" t="inlineStr">
        <is>
          <t>J045</t>
        </is>
      </c>
      <c r="B99" t="inlineStr">
        <is>
          <t>EX045</t>
        </is>
      </c>
      <c r="C99" s="5" t="n">
        <v>46247</v>
      </c>
      <c r="D99" t="inlineStr">
        <is>
          <t>OPS</t>
        </is>
      </c>
      <c r="E99" t="inlineStr">
        <is>
          <t>6120 Merchant and payment fees</t>
        </is>
      </c>
      <c r="F99" t="inlineStr">
        <is>
          <t>Stripe fees ex GST</t>
        </is>
      </c>
      <c r="G99" s="9">
        <f>ROUND(SUMIFS('Stripe Payouts'!$G$5:$G$72,'Stripe Payouts'!$M$5:$M$72,Exceptions!$D$49)-Exceptions!$I$49,2)</f>
        <v>50.22</v>
      </c>
      <c r="H99" s="9" t="n">
        <v>0</v>
      </c>
      <c r="I99" t="inlineStr">
        <is>
          <t>GST on purchases</t>
        </is>
      </c>
      <c r="J99" t="inlineStr">
        <is>
          <t>AUD</t>
        </is>
      </c>
      <c r="K99" s="9">
        <f>ROUND(SUMIFS($G$5:$G$454,$A$5:$A$454,A99)-SUMIFS($H$5:$H$454,$A$5:$A$454,A99),2)</f>
        <v>0</v>
      </c>
    </row>
    <row r="100">
      <c r="A100" t="inlineStr">
        <is>
          <t>J045</t>
        </is>
      </c>
      <c r="B100" t="inlineStr">
        <is>
          <t>EX045</t>
        </is>
      </c>
      <c r="C100" s="5" t="n">
        <v>46247</v>
      </c>
      <c r="D100" t="inlineStr">
        <is>
          <t>OPS</t>
        </is>
      </c>
      <c r="E100" t="inlineStr">
        <is>
          <t>1300 GST paid (1B)</t>
        </is>
      </c>
      <c r="F100" t="inlineStr">
        <is>
          <t>GST on Stripe fees</t>
        </is>
      </c>
      <c r="G100" s="9">
        <f>Exceptions!$I$49</f>
        <v>5.02</v>
      </c>
      <c r="H100" s="9" t="n">
        <v>0</v>
      </c>
      <c r="I100" t="inlineStr">
        <is>
          <t>GST</t>
        </is>
      </c>
      <c r="J100" t="inlineStr">
        <is>
          <t>AUD</t>
        </is>
      </c>
      <c r="K100" s="9">
        <f>ROUND(SUMIFS($G$5:$G$454,$A$5:$A$454,A100)-SUMIFS($H$5:$H$454,$A$5:$A$454,A100),2)</f>
        <v>0</v>
      </c>
    </row>
    <row r="101">
      <c r="A101" t="inlineStr">
        <is>
          <t>J046</t>
        </is>
      </c>
      <c r="B101" t="inlineStr">
        <is>
          <t>EX046</t>
        </is>
      </c>
      <c r="C101" s="5" t="n">
        <v>46248</v>
      </c>
      <c r="D101" t="inlineStr">
        <is>
          <t>OPS</t>
        </is>
      </c>
      <c r="E101" t="inlineStr">
        <is>
          <t>1110 Bank - Operating</t>
        </is>
      </c>
      <c r="F101" t="inlineStr">
        <is>
          <t>24 report lines; fees 58.48 | STRIPE PAYOUT STRIPE po_1Q0033</t>
        </is>
      </c>
      <c r="G101" s="9">
        <f>MAX(Exceptions!$H$50,0)</f>
        <v>0</v>
      </c>
      <c r="H101" s="9">
        <f>MAX(-Exceptions!$H$50,0)</f>
        <v>58.48</v>
      </c>
      <c r="I101" t="inlineStr"/>
      <c r="J101" t="inlineStr">
        <is>
          <t>AUD</t>
        </is>
      </c>
      <c r="K101" s="9">
        <f>ROUND(SUMIFS($G$5:$G$454,$A$5:$A$454,A101)-SUMIFS($H$5:$H$454,$A$5:$A$454,A101),2)</f>
        <v>0</v>
      </c>
    </row>
    <row r="102">
      <c r="A102" t="inlineStr">
        <is>
          <t>J046</t>
        </is>
      </c>
      <c r="B102" t="inlineStr">
        <is>
          <t>EX046</t>
        </is>
      </c>
      <c r="C102" s="5" t="n">
        <v>46248</v>
      </c>
      <c r="D102" t="inlineStr">
        <is>
          <t>OPS</t>
        </is>
      </c>
      <c r="E102" t="inlineStr">
        <is>
          <t>6120 Merchant and payment fees</t>
        </is>
      </c>
      <c r="F102" t="inlineStr">
        <is>
          <t>Stripe fees ex GST</t>
        </is>
      </c>
      <c r="G102" s="9">
        <f>ROUND(SUMIFS('Stripe Payouts'!$G$5:$G$72,'Stripe Payouts'!$M$5:$M$72,Exceptions!$D$50)-Exceptions!$I$50,2)</f>
        <v>53.16</v>
      </c>
      <c r="H102" s="9" t="n">
        <v>0</v>
      </c>
      <c r="I102" t="inlineStr">
        <is>
          <t>GST on purchases</t>
        </is>
      </c>
      <c r="J102" t="inlineStr">
        <is>
          <t>AUD</t>
        </is>
      </c>
      <c r="K102" s="9">
        <f>ROUND(SUMIFS($G$5:$G$454,$A$5:$A$454,A102)-SUMIFS($H$5:$H$454,$A$5:$A$454,A102),2)</f>
        <v>0</v>
      </c>
    </row>
    <row r="103">
      <c r="A103" t="inlineStr">
        <is>
          <t>J046</t>
        </is>
      </c>
      <c r="B103" t="inlineStr">
        <is>
          <t>EX046</t>
        </is>
      </c>
      <c r="C103" s="5" t="n">
        <v>46248</v>
      </c>
      <c r="D103" t="inlineStr">
        <is>
          <t>OPS</t>
        </is>
      </c>
      <c r="E103" t="inlineStr">
        <is>
          <t>1300 GST paid (1B)</t>
        </is>
      </c>
      <c r="F103" t="inlineStr">
        <is>
          <t>GST on Stripe fees</t>
        </is>
      </c>
      <c r="G103" s="9">
        <f>Exceptions!$I$50</f>
        <v>5.32</v>
      </c>
      <c r="H103" s="9" t="n">
        <v>0</v>
      </c>
      <c r="I103" t="inlineStr">
        <is>
          <t>GST</t>
        </is>
      </c>
      <c r="J103" t="inlineStr">
        <is>
          <t>AUD</t>
        </is>
      </c>
      <c r="K103" s="9">
        <f>ROUND(SUMIFS($G$5:$G$454,$A$5:$A$454,A103)-SUMIFS($H$5:$H$454,$A$5:$A$454,A103),2)</f>
        <v>0</v>
      </c>
    </row>
    <row r="104">
      <c r="A104" t="inlineStr">
        <is>
          <t>J047</t>
        </is>
      </c>
      <c r="B104" t="inlineStr">
        <is>
          <t>EX047</t>
        </is>
      </c>
      <c r="C104" s="5" t="n">
        <v>46251</v>
      </c>
      <c r="D104" t="inlineStr">
        <is>
          <t>OPS</t>
        </is>
      </c>
      <c r="E104" t="inlineStr">
        <is>
          <t>1110 Bank - Operating</t>
        </is>
      </c>
      <c r="F104" t="inlineStr">
        <is>
          <t>30 report lines; fees 81.04 | STRIPE PAYOUT STRIPE po_1Q0034</t>
        </is>
      </c>
      <c r="G104" s="9">
        <f>MAX(Exceptions!$H$51,0)</f>
        <v>0</v>
      </c>
      <c r="H104" s="9">
        <f>MAX(-Exceptions!$H$51,0)</f>
        <v>81.04</v>
      </c>
      <c r="I104" t="inlineStr"/>
      <c r="J104" t="inlineStr">
        <is>
          <t>AUD</t>
        </is>
      </c>
      <c r="K104" s="9">
        <f>ROUND(SUMIFS($G$5:$G$454,$A$5:$A$454,A104)-SUMIFS($H$5:$H$454,$A$5:$A$454,A104),2)</f>
        <v>0</v>
      </c>
    </row>
    <row r="105">
      <c r="A105" t="inlineStr">
        <is>
          <t>J047</t>
        </is>
      </c>
      <c r="B105" t="inlineStr">
        <is>
          <t>EX047</t>
        </is>
      </c>
      <c r="C105" s="5" t="n">
        <v>46251</v>
      </c>
      <c r="D105" t="inlineStr">
        <is>
          <t>OPS</t>
        </is>
      </c>
      <c r="E105" t="inlineStr">
        <is>
          <t>6120 Merchant and payment fees</t>
        </is>
      </c>
      <c r="F105" t="inlineStr">
        <is>
          <t>Stripe fees ex GST</t>
        </is>
      </c>
      <c r="G105" s="9">
        <f>ROUND(SUMIFS('Stripe Payouts'!$G$5:$G$72,'Stripe Payouts'!$M$5:$M$72,Exceptions!$D$51)-Exceptions!$I$51,2)</f>
        <v>73.67</v>
      </c>
      <c r="H105" s="9" t="n">
        <v>0</v>
      </c>
      <c r="I105" t="inlineStr">
        <is>
          <t>GST on purchases</t>
        </is>
      </c>
      <c r="J105" t="inlineStr">
        <is>
          <t>AUD</t>
        </is>
      </c>
      <c r="K105" s="9">
        <f>ROUND(SUMIFS($G$5:$G$454,$A$5:$A$454,A105)-SUMIFS($H$5:$H$454,$A$5:$A$454,A105),2)</f>
        <v>0</v>
      </c>
    </row>
    <row r="106">
      <c r="A106" t="inlineStr">
        <is>
          <t>J047</t>
        </is>
      </c>
      <c r="B106" t="inlineStr">
        <is>
          <t>EX047</t>
        </is>
      </c>
      <c r="C106" s="5" t="n">
        <v>46251</v>
      </c>
      <c r="D106" t="inlineStr">
        <is>
          <t>OPS</t>
        </is>
      </c>
      <c r="E106" t="inlineStr">
        <is>
          <t>1300 GST paid (1B)</t>
        </is>
      </c>
      <c r="F106" t="inlineStr">
        <is>
          <t>GST on Stripe fees</t>
        </is>
      </c>
      <c r="G106" s="9">
        <f>Exceptions!$I$51</f>
        <v>7.37</v>
      </c>
      <c r="H106" s="9" t="n">
        <v>0</v>
      </c>
      <c r="I106" t="inlineStr">
        <is>
          <t>GST</t>
        </is>
      </c>
      <c r="J106" t="inlineStr">
        <is>
          <t>AUD</t>
        </is>
      </c>
      <c r="K106" s="9">
        <f>ROUND(SUMIFS($G$5:$G$454,$A$5:$A$454,A106)-SUMIFS($H$5:$H$454,$A$5:$A$454,A106),2)</f>
        <v>0</v>
      </c>
    </row>
    <row r="107">
      <c r="A107" t="inlineStr">
        <is>
          <t>J048</t>
        </is>
      </c>
      <c r="B107" t="inlineStr">
        <is>
          <t>EX048</t>
        </is>
      </c>
      <c r="C107" s="5" t="n">
        <v>46252</v>
      </c>
      <c r="D107" t="inlineStr">
        <is>
          <t>OPS</t>
        </is>
      </c>
      <c r="E107" t="inlineStr">
        <is>
          <t>1110 Bank - Operating</t>
        </is>
      </c>
      <c r="F107" t="inlineStr">
        <is>
          <t>39 report lines; fees 104.31 | STRIPE PAYOUT STRIPE po_1Q003</t>
        </is>
      </c>
      <c r="G107" s="9">
        <f>MAX(Exceptions!$H$52,0)</f>
        <v>0</v>
      </c>
      <c r="H107" s="9">
        <f>MAX(-Exceptions!$H$52,0)</f>
        <v>104.31</v>
      </c>
      <c r="I107" t="inlineStr"/>
      <c r="J107" t="inlineStr">
        <is>
          <t>AUD</t>
        </is>
      </c>
      <c r="K107" s="9">
        <f>ROUND(SUMIFS($G$5:$G$454,$A$5:$A$454,A107)-SUMIFS($H$5:$H$454,$A$5:$A$454,A107),2)</f>
        <v>0</v>
      </c>
    </row>
    <row r="108">
      <c r="A108" t="inlineStr">
        <is>
          <t>J048</t>
        </is>
      </c>
      <c r="B108" t="inlineStr">
        <is>
          <t>EX048</t>
        </is>
      </c>
      <c r="C108" s="5" t="n">
        <v>46252</v>
      </c>
      <c r="D108" t="inlineStr">
        <is>
          <t>OPS</t>
        </is>
      </c>
      <c r="E108" t="inlineStr">
        <is>
          <t>6120 Merchant and payment fees</t>
        </is>
      </c>
      <c r="F108" t="inlineStr">
        <is>
          <t>Stripe fees ex GST</t>
        </is>
      </c>
      <c r="G108" s="9">
        <f>ROUND(SUMIFS('Stripe Payouts'!$G$5:$G$72,'Stripe Payouts'!$M$5:$M$72,Exceptions!$D$52)-Exceptions!$I$52,2)</f>
        <v>94.83</v>
      </c>
      <c r="H108" s="9" t="n">
        <v>0</v>
      </c>
      <c r="I108" t="inlineStr">
        <is>
          <t>GST on purchases</t>
        </is>
      </c>
      <c r="J108" t="inlineStr">
        <is>
          <t>AUD</t>
        </is>
      </c>
      <c r="K108" s="9">
        <f>ROUND(SUMIFS($G$5:$G$454,$A$5:$A$454,A108)-SUMIFS($H$5:$H$454,$A$5:$A$454,A108),2)</f>
        <v>0</v>
      </c>
    </row>
    <row r="109">
      <c r="A109" t="inlineStr">
        <is>
          <t>J048</t>
        </is>
      </c>
      <c r="B109" t="inlineStr">
        <is>
          <t>EX048</t>
        </is>
      </c>
      <c r="C109" s="5" t="n">
        <v>46252</v>
      </c>
      <c r="D109" t="inlineStr">
        <is>
          <t>OPS</t>
        </is>
      </c>
      <c r="E109" t="inlineStr">
        <is>
          <t>1300 GST paid (1B)</t>
        </is>
      </c>
      <c r="F109" t="inlineStr">
        <is>
          <t>GST on Stripe fees</t>
        </is>
      </c>
      <c r="G109" s="9">
        <f>Exceptions!$I$52</f>
        <v>9.48</v>
      </c>
      <c r="H109" s="9" t="n">
        <v>0</v>
      </c>
      <c r="I109" t="inlineStr">
        <is>
          <t>GST</t>
        </is>
      </c>
      <c r="J109" t="inlineStr">
        <is>
          <t>AUD</t>
        </is>
      </c>
      <c r="K109" s="9">
        <f>ROUND(SUMIFS($G$5:$G$454,$A$5:$A$454,A109)-SUMIFS($H$5:$H$454,$A$5:$A$454,A109),2)</f>
        <v>0</v>
      </c>
    </row>
    <row r="110">
      <c r="A110" t="inlineStr">
        <is>
          <t>J049</t>
        </is>
      </c>
      <c r="B110" t="inlineStr">
        <is>
          <t>EX049</t>
        </is>
      </c>
      <c r="C110" s="5" t="n">
        <v>46253</v>
      </c>
      <c r="D110" t="inlineStr">
        <is>
          <t>OPS</t>
        </is>
      </c>
      <c r="E110" t="inlineStr">
        <is>
          <t>1110 Bank - Operating</t>
        </is>
      </c>
      <c r="F110" t="inlineStr">
        <is>
          <t>23 report lines; fees 61.67 | STRIPE PAYOUT STRIPE po_1Q0036</t>
        </is>
      </c>
      <c r="G110" s="9">
        <f>MAX(Exceptions!$H$53,0)</f>
        <v>0</v>
      </c>
      <c r="H110" s="9">
        <f>MAX(-Exceptions!$H$53,0)</f>
        <v>61.67</v>
      </c>
      <c r="I110" t="inlineStr"/>
      <c r="J110" t="inlineStr">
        <is>
          <t>AUD</t>
        </is>
      </c>
      <c r="K110" s="9">
        <f>ROUND(SUMIFS($G$5:$G$454,$A$5:$A$454,A110)-SUMIFS($H$5:$H$454,$A$5:$A$454,A110),2)</f>
        <v>0</v>
      </c>
    </row>
    <row r="111">
      <c r="A111" t="inlineStr">
        <is>
          <t>J049</t>
        </is>
      </c>
      <c r="B111" t="inlineStr">
        <is>
          <t>EX049</t>
        </is>
      </c>
      <c r="C111" s="5" t="n">
        <v>46253</v>
      </c>
      <c r="D111" t="inlineStr">
        <is>
          <t>OPS</t>
        </is>
      </c>
      <c r="E111" t="inlineStr">
        <is>
          <t>6120 Merchant and payment fees</t>
        </is>
      </c>
      <c r="F111" t="inlineStr">
        <is>
          <t>Stripe fees ex GST</t>
        </is>
      </c>
      <c r="G111" s="9">
        <f>ROUND(SUMIFS('Stripe Payouts'!$G$5:$G$72,'Stripe Payouts'!$M$5:$M$72,Exceptions!$D$53)-Exceptions!$I$53,2)</f>
        <v>56.06</v>
      </c>
      <c r="H111" s="9" t="n">
        <v>0</v>
      </c>
      <c r="I111" t="inlineStr">
        <is>
          <t>GST on purchases</t>
        </is>
      </c>
      <c r="J111" t="inlineStr">
        <is>
          <t>AUD</t>
        </is>
      </c>
      <c r="K111" s="9">
        <f>ROUND(SUMIFS($G$5:$G$454,$A$5:$A$454,A111)-SUMIFS($H$5:$H$454,$A$5:$A$454,A111),2)</f>
        <v>0</v>
      </c>
    </row>
    <row r="112">
      <c r="A112" t="inlineStr">
        <is>
          <t>J049</t>
        </is>
      </c>
      <c r="B112" t="inlineStr">
        <is>
          <t>EX049</t>
        </is>
      </c>
      <c r="C112" s="5" t="n">
        <v>46253</v>
      </c>
      <c r="D112" t="inlineStr">
        <is>
          <t>OPS</t>
        </is>
      </c>
      <c r="E112" t="inlineStr">
        <is>
          <t>1300 GST paid (1B)</t>
        </is>
      </c>
      <c r="F112" t="inlineStr">
        <is>
          <t>GST on Stripe fees</t>
        </is>
      </c>
      <c r="G112" s="9">
        <f>Exceptions!$I$53</f>
        <v>5.61</v>
      </c>
      <c r="H112" s="9" t="n">
        <v>0</v>
      </c>
      <c r="I112" t="inlineStr">
        <is>
          <t>GST</t>
        </is>
      </c>
      <c r="J112" t="inlineStr">
        <is>
          <t>AUD</t>
        </is>
      </c>
      <c r="K112" s="9">
        <f>ROUND(SUMIFS($G$5:$G$454,$A$5:$A$454,A112)-SUMIFS($H$5:$H$454,$A$5:$A$454,A112),2)</f>
        <v>0</v>
      </c>
    </row>
    <row r="113">
      <c r="A113" t="inlineStr">
        <is>
          <t>J050</t>
        </is>
      </c>
      <c r="B113" t="inlineStr">
        <is>
          <t>EX050</t>
        </is>
      </c>
      <c r="C113" s="5" t="n">
        <v>46254</v>
      </c>
      <c r="D113" t="inlineStr">
        <is>
          <t>OPS</t>
        </is>
      </c>
      <c r="E113" t="inlineStr">
        <is>
          <t>1110 Bank - Operating</t>
        </is>
      </c>
      <c r="F113" t="inlineStr">
        <is>
          <t>31 report lines; fees 79.42 | STRIPE PAYOUT STRIPE po_1Q0037</t>
        </is>
      </c>
      <c r="G113" s="9">
        <f>MAX(Exceptions!$H$54,0)</f>
        <v>0</v>
      </c>
      <c r="H113" s="9">
        <f>MAX(-Exceptions!$H$54,0)</f>
        <v>79.42</v>
      </c>
      <c r="I113" t="inlineStr"/>
      <c r="J113" t="inlineStr">
        <is>
          <t>AUD</t>
        </is>
      </c>
      <c r="K113" s="9">
        <f>ROUND(SUMIFS($G$5:$G$454,$A$5:$A$454,A113)-SUMIFS($H$5:$H$454,$A$5:$A$454,A113),2)</f>
        <v>0</v>
      </c>
    </row>
    <row r="114">
      <c r="A114" t="inlineStr">
        <is>
          <t>J050</t>
        </is>
      </c>
      <c r="B114" t="inlineStr">
        <is>
          <t>EX050</t>
        </is>
      </c>
      <c r="C114" s="5" t="n">
        <v>46254</v>
      </c>
      <c r="D114" t="inlineStr">
        <is>
          <t>OPS</t>
        </is>
      </c>
      <c r="E114" t="inlineStr">
        <is>
          <t>6120 Merchant and payment fees</t>
        </is>
      </c>
      <c r="F114" t="inlineStr">
        <is>
          <t>Stripe fees ex GST</t>
        </is>
      </c>
      <c r="G114" s="9">
        <f>ROUND(SUMIFS('Stripe Payouts'!$G$5:$G$72,'Stripe Payouts'!$M$5:$M$72,Exceptions!$D$54)-Exceptions!$I$54,2)</f>
        <v>72.2</v>
      </c>
      <c r="H114" s="9" t="n">
        <v>0</v>
      </c>
      <c r="I114" t="inlineStr">
        <is>
          <t>GST on purchases</t>
        </is>
      </c>
      <c r="J114" t="inlineStr">
        <is>
          <t>AUD</t>
        </is>
      </c>
      <c r="K114" s="9">
        <f>ROUND(SUMIFS($G$5:$G$454,$A$5:$A$454,A114)-SUMIFS($H$5:$H$454,$A$5:$A$454,A114),2)</f>
        <v>0</v>
      </c>
    </row>
    <row r="115">
      <c r="A115" t="inlineStr">
        <is>
          <t>J050</t>
        </is>
      </c>
      <c r="B115" t="inlineStr">
        <is>
          <t>EX050</t>
        </is>
      </c>
      <c r="C115" s="5" t="n">
        <v>46254</v>
      </c>
      <c r="D115" t="inlineStr">
        <is>
          <t>OPS</t>
        </is>
      </c>
      <c r="E115" t="inlineStr">
        <is>
          <t>1300 GST paid (1B)</t>
        </is>
      </c>
      <c r="F115" t="inlineStr">
        <is>
          <t>GST on Stripe fees</t>
        </is>
      </c>
      <c r="G115" s="9">
        <f>Exceptions!$I$54</f>
        <v>7.22</v>
      </c>
      <c r="H115" s="9" t="n">
        <v>0</v>
      </c>
      <c r="I115" t="inlineStr">
        <is>
          <t>GST</t>
        </is>
      </c>
      <c r="J115" t="inlineStr">
        <is>
          <t>AUD</t>
        </is>
      </c>
      <c r="K115" s="9">
        <f>ROUND(SUMIFS($G$5:$G$454,$A$5:$A$454,A115)-SUMIFS($H$5:$H$454,$A$5:$A$454,A115),2)</f>
        <v>0</v>
      </c>
    </row>
    <row r="116">
      <c r="A116" t="inlineStr">
        <is>
          <t>J051</t>
        </is>
      </c>
      <c r="B116" t="inlineStr">
        <is>
          <t>EX051</t>
        </is>
      </c>
      <c r="C116" s="5" t="n">
        <v>46255</v>
      </c>
      <c r="D116" t="inlineStr">
        <is>
          <t>OPS</t>
        </is>
      </c>
      <c r="E116" t="inlineStr">
        <is>
          <t>1110 Bank - Operating</t>
        </is>
      </c>
      <c r="F116" t="inlineStr">
        <is>
          <t>34 report lines; fees 86.54 | STRIPE PAYOUT STRIPE po_1Q0038</t>
        </is>
      </c>
      <c r="G116" s="9">
        <f>MAX(Exceptions!$H$55,0)</f>
        <v>0</v>
      </c>
      <c r="H116" s="9">
        <f>MAX(-Exceptions!$H$55,0)</f>
        <v>86.54</v>
      </c>
      <c r="I116" t="inlineStr"/>
      <c r="J116" t="inlineStr">
        <is>
          <t>AUD</t>
        </is>
      </c>
      <c r="K116" s="9">
        <f>ROUND(SUMIFS($G$5:$G$454,$A$5:$A$454,A116)-SUMIFS($H$5:$H$454,$A$5:$A$454,A116),2)</f>
        <v>0</v>
      </c>
    </row>
    <row r="117">
      <c r="A117" t="inlineStr">
        <is>
          <t>J051</t>
        </is>
      </c>
      <c r="B117" t="inlineStr">
        <is>
          <t>EX051</t>
        </is>
      </c>
      <c r="C117" s="5" t="n">
        <v>46255</v>
      </c>
      <c r="D117" t="inlineStr">
        <is>
          <t>OPS</t>
        </is>
      </c>
      <c r="E117" t="inlineStr">
        <is>
          <t>6120 Merchant and payment fees</t>
        </is>
      </c>
      <c r="F117" t="inlineStr">
        <is>
          <t>Stripe fees ex GST</t>
        </is>
      </c>
      <c r="G117" s="9">
        <f>ROUND(SUMIFS('Stripe Payouts'!$G$5:$G$72,'Stripe Payouts'!$M$5:$M$72,Exceptions!$D$55)-Exceptions!$I$55,2)</f>
        <v>78.67</v>
      </c>
      <c r="H117" s="9" t="n">
        <v>0</v>
      </c>
      <c r="I117" t="inlineStr">
        <is>
          <t>GST on purchases</t>
        </is>
      </c>
      <c r="J117" t="inlineStr">
        <is>
          <t>AUD</t>
        </is>
      </c>
      <c r="K117" s="9">
        <f>ROUND(SUMIFS($G$5:$G$454,$A$5:$A$454,A117)-SUMIFS($H$5:$H$454,$A$5:$A$454,A117),2)</f>
        <v>0</v>
      </c>
    </row>
    <row r="118">
      <c r="A118" t="inlineStr">
        <is>
          <t>J051</t>
        </is>
      </c>
      <c r="B118" t="inlineStr">
        <is>
          <t>EX051</t>
        </is>
      </c>
      <c r="C118" s="5" t="n">
        <v>46255</v>
      </c>
      <c r="D118" t="inlineStr">
        <is>
          <t>OPS</t>
        </is>
      </c>
      <c r="E118" t="inlineStr">
        <is>
          <t>1300 GST paid (1B)</t>
        </is>
      </c>
      <c r="F118" t="inlineStr">
        <is>
          <t>GST on Stripe fees</t>
        </is>
      </c>
      <c r="G118" s="9">
        <f>Exceptions!$I$55</f>
        <v>7.87</v>
      </c>
      <c r="H118" s="9" t="n">
        <v>0</v>
      </c>
      <c r="I118" t="inlineStr">
        <is>
          <t>GST</t>
        </is>
      </c>
      <c r="J118" t="inlineStr">
        <is>
          <t>AUD</t>
        </is>
      </c>
      <c r="K118" s="9">
        <f>ROUND(SUMIFS($G$5:$G$454,$A$5:$A$454,A118)-SUMIFS($H$5:$H$454,$A$5:$A$454,A118),2)</f>
        <v>0</v>
      </c>
    </row>
    <row r="119">
      <c r="A119" t="inlineStr">
        <is>
          <t>J052</t>
        </is>
      </c>
      <c r="B119" t="inlineStr">
        <is>
          <t>EX052</t>
        </is>
      </c>
      <c r="C119" s="5" t="n">
        <v>46258</v>
      </c>
      <c r="D119" t="inlineStr">
        <is>
          <t>OPS</t>
        </is>
      </c>
      <c r="E119" t="inlineStr">
        <is>
          <t>1110 Bank - Operating</t>
        </is>
      </c>
      <c r="F119" t="inlineStr">
        <is>
          <t>32 report lines; fees 78.12 | STRIPE PAYOUT STRIPE po_1Q0039</t>
        </is>
      </c>
      <c r="G119" s="9">
        <f>MAX(Exceptions!$H$56,0)</f>
        <v>0</v>
      </c>
      <c r="H119" s="9">
        <f>MAX(-Exceptions!$H$56,0)</f>
        <v>78.12</v>
      </c>
      <c r="I119" t="inlineStr"/>
      <c r="J119" t="inlineStr">
        <is>
          <t>AUD</t>
        </is>
      </c>
      <c r="K119" s="9">
        <f>ROUND(SUMIFS($G$5:$G$454,$A$5:$A$454,A119)-SUMIFS($H$5:$H$454,$A$5:$A$454,A119),2)</f>
        <v>0</v>
      </c>
    </row>
    <row r="120">
      <c r="A120" t="inlineStr">
        <is>
          <t>J052</t>
        </is>
      </c>
      <c r="B120" t="inlineStr">
        <is>
          <t>EX052</t>
        </is>
      </c>
      <c r="C120" s="5" t="n">
        <v>46258</v>
      </c>
      <c r="D120" t="inlineStr">
        <is>
          <t>OPS</t>
        </is>
      </c>
      <c r="E120" t="inlineStr">
        <is>
          <t>6120 Merchant and payment fees</t>
        </is>
      </c>
      <c r="F120" t="inlineStr">
        <is>
          <t>Stripe fees ex GST</t>
        </is>
      </c>
      <c r="G120" s="9">
        <f>ROUND(SUMIFS('Stripe Payouts'!$G$5:$G$72,'Stripe Payouts'!$M$5:$M$72,Exceptions!$D$56)-Exceptions!$I$56,2)</f>
        <v>71.02</v>
      </c>
      <c r="H120" s="9" t="n">
        <v>0</v>
      </c>
      <c r="I120" t="inlineStr">
        <is>
          <t>GST on purchases</t>
        </is>
      </c>
      <c r="J120" t="inlineStr">
        <is>
          <t>AUD</t>
        </is>
      </c>
      <c r="K120" s="9">
        <f>ROUND(SUMIFS($G$5:$G$454,$A$5:$A$454,A120)-SUMIFS($H$5:$H$454,$A$5:$A$454,A120),2)</f>
        <v>0</v>
      </c>
    </row>
    <row r="121">
      <c r="A121" t="inlineStr">
        <is>
          <t>J052</t>
        </is>
      </c>
      <c r="B121" t="inlineStr">
        <is>
          <t>EX052</t>
        </is>
      </c>
      <c r="C121" s="5" t="n">
        <v>46258</v>
      </c>
      <c r="D121" t="inlineStr">
        <is>
          <t>OPS</t>
        </is>
      </c>
      <c r="E121" t="inlineStr">
        <is>
          <t>1300 GST paid (1B)</t>
        </is>
      </c>
      <c r="F121" t="inlineStr">
        <is>
          <t>GST on Stripe fees</t>
        </is>
      </c>
      <c r="G121" s="9">
        <f>Exceptions!$I$56</f>
        <v>7.1</v>
      </c>
      <c r="H121" s="9" t="n">
        <v>0</v>
      </c>
      <c r="I121" t="inlineStr">
        <is>
          <t>GST</t>
        </is>
      </c>
      <c r="J121" t="inlineStr">
        <is>
          <t>AUD</t>
        </is>
      </c>
      <c r="K121" s="9">
        <f>ROUND(SUMIFS($G$5:$G$454,$A$5:$A$454,A121)-SUMIFS($H$5:$H$454,$A$5:$A$454,A121),2)</f>
        <v>0</v>
      </c>
    </row>
    <row r="122">
      <c r="A122" t="inlineStr">
        <is>
          <t>J053</t>
        </is>
      </c>
      <c r="B122" t="inlineStr">
        <is>
          <t>EX053</t>
        </is>
      </c>
      <c r="C122" s="5" t="n">
        <v>46259</v>
      </c>
      <c r="D122" t="inlineStr">
        <is>
          <t>OPS</t>
        </is>
      </c>
      <c r="E122" t="inlineStr">
        <is>
          <t>1110 Bank - Operating</t>
        </is>
      </c>
      <c r="F122" t="inlineStr">
        <is>
          <t>28 report lines; fees 69.59 | STRIPE PAYOUT STRIPE po_1Q0040</t>
        </is>
      </c>
      <c r="G122" s="9">
        <f>MAX(Exceptions!$H$57,0)</f>
        <v>0</v>
      </c>
      <c r="H122" s="9">
        <f>MAX(-Exceptions!$H$57,0)</f>
        <v>69.59</v>
      </c>
      <c r="I122" t="inlineStr"/>
      <c r="J122" t="inlineStr">
        <is>
          <t>AUD</t>
        </is>
      </c>
      <c r="K122" s="9">
        <f>ROUND(SUMIFS($G$5:$G$454,$A$5:$A$454,A122)-SUMIFS($H$5:$H$454,$A$5:$A$454,A122),2)</f>
        <v>0</v>
      </c>
    </row>
    <row r="123">
      <c r="A123" t="inlineStr">
        <is>
          <t>J053</t>
        </is>
      </c>
      <c r="B123" t="inlineStr">
        <is>
          <t>EX053</t>
        </is>
      </c>
      <c r="C123" s="5" t="n">
        <v>46259</v>
      </c>
      <c r="D123" t="inlineStr">
        <is>
          <t>OPS</t>
        </is>
      </c>
      <c r="E123" t="inlineStr">
        <is>
          <t>6120 Merchant and payment fees</t>
        </is>
      </c>
      <c r="F123" t="inlineStr">
        <is>
          <t>Stripe fees ex GST</t>
        </is>
      </c>
      <c r="G123" s="9">
        <f>ROUND(SUMIFS('Stripe Payouts'!$G$5:$G$72,'Stripe Payouts'!$M$5:$M$72,Exceptions!$D$57)-Exceptions!$I$57,2)</f>
        <v>63.26</v>
      </c>
      <c r="H123" s="9" t="n">
        <v>0</v>
      </c>
      <c r="I123" t="inlineStr">
        <is>
          <t>GST on purchases</t>
        </is>
      </c>
      <c r="J123" t="inlineStr">
        <is>
          <t>AUD</t>
        </is>
      </c>
      <c r="K123" s="9">
        <f>ROUND(SUMIFS($G$5:$G$454,$A$5:$A$454,A123)-SUMIFS($H$5:$H$454,$A$5:$A$454,A123),2)</f>
        <v>0</v>
      </c>
    </row>
    <row r="124">
      <c r="A124" t="inlineStr">
        <is>
          <t>J053</t>
        </is>
      </c>
      <c r="B124" t="inlineStr">
        <is>
          <t>EX053</t>
        </is>
      </c>
      <c r="C124" s="5" t="n">
        <v>46259</v>
      </c>
      <c r="D124" t="inlineStr">
        <is>
          <t>OPS</t>
        </is>
      </c>
      <c r="E124" t="inlineStr">
        <is>
          <t>1300 GST paid (1B)</t>
        </is>
      </c>
      <c r="F124" t="inlineStr">
        <is>
          <t>GST on Stripe fees</t>
        </is>
      </c>
      <c r="G124" s="9">
        <f>Exceptions!$I$57</f>
        <v>6.33</v>
      </c>
      <c r="H124" s="9" t="n">
        <v>0</v>
      </c>
      <c r="I124" t="inlineStr">
        <is>
          <t>GST</t>
        </is>
      </c>
      <c r="J124" t="inlineStr">
        <is>
          <t>AUD</t>
        </is>
      </c>
      <c r="K124" s="9">
        <f>ROUND(SUMIFS($G$5:$G$454,$A$5:$A$454,A124)-SUMIFS($H$5:$H$454,$A$5:$A$454,A124),2)</f>
        <v>0</v>
      </c>
    </row>
    <row r="125">
      <c r="A125" t="inlineStr">
        <is>
          <t>J054</t>
        </is>
      </c>
      <c r="B125" t="inlineStr">
        <is>
          <t>EX054</t>
        </is>
      </c>
      <c r="C125" s="5" t="n">
        <v>46260</v>
      </c>
      <c r="D125" t="inlineStr">
        <is>
          <t>OPS</t>
        </is>
      </c>
      <c r="E125" t="inlineStr">
        <is>
          <t>1110 Bank - Operating</t>
        </is>
      </c>
      <c r="F125" t="inlineStr">
        <is>
          <t>29 report lines; fees 94.57; dispute 95.00 | STRIPE PAYOUT S</t>
        </is>
      </c>
      <c r="G125" s="9">
        <f>MAX(Exceptions!$H$58,0)</f>
        <v>0</v>
      </c>
      <c r="H125" s="9">
        <f>MAX(-Exceptions!$H$58,0)</f>
        <v>189.57</v>
      </c>
      <c r="I125" t="inlineStr"/>
      <c r="J125" t="inlineStr">
        <is>
          <t>AUD</t>
        </is>
      </c>
      <c r="K125" s="9">
        <f>ROUND(SUMIFS($G$5:$G$454,$A$5:$A$454,A125)-SUMIFS($H$5:$H$454,$A$5:$A$454,A125),2)</f>
        <v>0</v>
      </c>
    </row>
    <row r="126">
      <c r="A126" t="inlineStr">
        <is>
          <t>J054</t>
        </is>
      </c>
      <c r="B126" t="inlineStr">
        <is>
          <t>EX054</t>
        </is>
      </c>
      <c r="C126" s="5" t="n">
        <v>46260</v>
      </c>
      <c r="D126" t="inlineStr">
        <is>
          <t>OPS</t>
        </is>
      </c>
      <c r="E126" t="inlineStr">
        <is>
          <t>6120 Merchant and payment fees</t>
        </is>
      </c>
      <c r="F126" t="inlineStr">
        <is>
          <t>Stripe fees ex GST</t>
        </is>
      </c>
      <c r="G126" s="9">
        <f>ROUND(SUMIFS('Stripe Payouts'!$G$5:$G$72,'Stripe Payouts'!$M$5:$M$72,Exceptions!$D$58)-Exceptions!$I$58,2)</f>
        <v>85.97</v>
      </c>
      <c r="H126" s="9" t="n">
        <v>0</v>
      </c>
      <c r="I126" t="inlineStr">
        <is>
          <t>GST on purchases</t>
        </is>
      </c>
      <c r="J126" t="inlineStr">
        <is>
          <t>AUD</t>
        </is>
      </c>
      <c r="K126" s="9">
        <f>ROUND(SUMIFS($G$5:$G$454,$A$5:$A$454,A126)-SUMIFS($H$5:$H$454,$A$5:$A$454,A126),2)</f>
        <v>0</v>
      </c>
    </row>
    <row r="127">
      <c r="A127" t="inlineStr">
        <is>
          <t>J054</t>
        </is>
      </c>
      <c r="B127" t="inlineStr">
        <is>
          <t>EX054</t>
        </is>
      </c>
      <c r="C127" s="5" t="n">
        <v>46260</v>
      </c>
      <c r="D127" t="inlineStr">
        <is>
          <t>OPS</t>
        </is>
      </c>
      <c r="E127" t="inlineStr">
        <is>
          <t>1300 GST paid (1B)</t>
        </is>
      </c>
      <c r="F127" t="inlineStr">
        <is>
          <t>GST on Stripe fees</t>
        </is>
      </c>
      <c r="G127" s="9">
        <f>Exceptions!$I$58</f>
        <v>8.6</v>
      </c>
      <c r="H127" s="9" t="n">
        <v>0</v>
      </c>
      <c r="I127" t="inlineStr">
        <is>
          <t>GST</t>
        </is>
      </c>
      <c r="J127" t="inlineStr">
        <is>
          <t>AUD</t>
        </is>
      </c>
      <c r="K127" s="9">
        <f>ROUND(SUMIFS($G$5:$G$454,$A$5:$A$454,A127)-SUMIFS($H$5:$H$454,$A$5:$A$454,A127),2)</f>
        <v>0</v>
      </c>
    </row>
    <row r="128">
      <c r="A128" t="inlineStr">
        <is>
          <t>J054</t>
        </is>
      </c>
      <c r="B128" t="inlineStr">
        <is>
          <t>EX054</t>
        </is>
      </c>
      <c r="C128" s="5" t="n">
        <v>46260</v>
      </c>
      <c r="D128" t="inlineStr">
        <is>
          <t>OPS</t>
        </is>
      </c>
      <c r="E128" t="inlineStr">
        <is>
          <t>1250 Card disputes under review</t>
        </is>
      </c>
      <c r="F128" t="inlineStr">
        <is>
          <t>Stripe dispute (charge reversed)</t>
        </is>
      </c>
      <c r="G128" s="9">
        <f>ROUND(-SUMIFS('Stripe Payouts'!$F$5:$F$72,'Stripe Payouts'!$M$5:$M$72,Exceptions!$D$58),2)</f>
        <v>95</v>
      </c>
      <c r="H128" s="9" t="n">
        <v>0</v>
      </c>
      <c r="I128" t="inlineStr"/>
      <c r="J128" t="inlineStr">
        <is>
          <t>AUD</t>
        </is>
      </c>
      <c r="K128" s="9">
        <f>ROUND(SUMIFS($G$5:$G$454,$A$5:$A$454,A128)-SUMIFS($H$5:$H$454,$A$5:$A$454,A128),2)</f>
        <v>0</v>
      </c>
    </row>
    <row r="129">
      <c r="A129" t="inlineStr">
        <is>
          <t>J055</t>
        </is>
      </c>
      <c r="B129" t="inlineStr">
        <is>
          <t>EX055</t>
        </is>
      </c>
      <c r="C129" s="5" t="n">
        <v>46261</v>
      </c>
      <c r="D129" t="inlineStr">
        <is>
          <t>OPS</t>
        </is>
      </c>
      <c r="E129" t="inlineStr">
        <is>
          <t>1110 Bank - Operating</t>
        </is>
      </c>
      <c r="F129" t="inlineStr">
        <is>
          <t>20 report lines; fees 51.33 | STRIPE PAYOUT STRIPE po_1Q0042</t>
        </is>
      </c>
      <c r="G129" s="9">
        <f>MAX(Exceptions!$H$59,0)</f>
        <v>0</v>
      </c>
      <c r="H129" s="9">
        <f>MAX(-Exceptions!$H$59,0)</f>
        <v>51.33</v>
      </c>
      <c r="I129" t="inlineStr"/>
      <c r="J129" t="inlineStr">
        <is>
          <t>AUD</t>
        </is>
      </c>
      <c r="K129" s="9">
        <f>ROUND(SUMIFS($G$5:$G$454,$A$5:$A$454,A129)-SUMIFS($H$5:$H$454,$A$5:$A$454,A129),2)</f>
        <v>0</v>
      </c>
    </row>
    <row r="130">
      <c r="A130" t="inlineStr">
        <is>
          <t>J055</t>
        </is>
      </c>
      <c r="B130" t="inlineStr">
        <is>
          <t>EX055</t>
        </is>
      </c>
      <c r="C130" s="5" t="n">
        <v>46261</v>
      </c>
      <c r="D130" t="inlineStr">
        <is>
          <t>OPS</t>
        </is>
      </c>
      <c r="E130" t="inlineStr">
        <is>
          <t>6120 Merchant and payment fees</t>
        </is>
      </c>
      <c r="F130" t="inlineStr">
        <is>
          <t>Stripe fees ex GST</t>
        </is>
      </c>
      <c r="G130" s="9">
        <f>ROUND(SUMIFS('Stripe Payouts'!$G$5:$G$72,'Stripe Payouts'!$M$5:$M$72,Exceptions!$D$59)-Exceptions!$I$59,2)</f>
        <v>46.66</v>
      </c>
      <c r="H130" s="9" t="n">
        <v>0</v>
      </c>
      <c r="I130" t="inlineStr">
        <is>
          <t>GST on purchases</t>
        </is>
      </c>
      <c r="J130" t="inlineStr">
        <is>
          <t>AUD</t>
        </is>
      </c>
      <c r="K130" s="9">
        <f>ROUND(SUMIFS($G$5:$G$454,$A$5:$A$454,A130)-SUMIFS($H$5:$H$454,$A$5:$A$454,A130),2)</f>
        <v>0</v>
      </c>
    </row>
    <row r="131">
      <c r="A131" t="inlineStr">
        <is>
          <t>J055</t>
        </is>
      </c>
      <c r="B131" t="inlineStr">
        <is>
          <t>EX055</t>
        </is>
      </c>
      <c r="C131" s="5" t="n">
        <v>46261</v>
      </c>
      <c r="D131" t="inlineStr">
        <is>
          <t>OPS</t>
        </is>
      </c>
      <c r="E131" t="inlineStr">
        <is>
          <t>1300 GST paid (1B)</t>
        </is>
      </c>
      <c r="F131" t="inlineStr">
        <is>
          <t>GST on Stripe fees</t>
        </is>
      </c>
      <c r="G131" s="9">
        <f>Exceptions!$I$59</f>
        <v>4.67</v>
      </c>
      <c r="H131" s="9" t="n">
        <v>0</v>
      </c>
      <c r="I131" t="inlineStr">
        <is>
          <t>GST</t>
        </is>
      </c>
      <c r="J131" t="inlineStr">
        <is>
          <t>AUD</t>
        </is>
      </c>
      <c r="K131" s="9">
        <f>ROUND(SUMIFS($G$5:$G$454,$A$5:$A$454,A131)-SUMIFS($H$5:$H$454,$A$5:$A$454,A131),2)</f>
        <v>0</v>
      </c>
    </row>
    <row r="132">
      <c r="A132" t="inlineStr">
        <is>
          <t>J056</t>
        </is>
      </c>
      <c r="B132" t="inlineStr">
        <is>
          <t>EX056</t>
        </is>
      </c>
      <c r="C132" s="5" t="n">
        <v>46262</v>
      </c>
      <c r="D132" t="inlineStr">
        <is>
          <t>OPS</t>
        </is>
      </c>
      <c r="E132" t="inlineStr">
        <is>
          <t>1110 Bank - Operating</t>
        </is>
      </c>
      <c r="F132" t="inlineStr">
        <is>
          <t>28 report lines; fees 66.98 | STRIPE PAYOUT STRIPE po_1Q0043</t>
        </is>
      </c>
      <c r="G132" s="9">
        <f>MAX(Exceptions!$H$60,0)</f>
        <v>0</v>
      </c>
      <c r="H132" s="9">
        <f>MAX(-Exceptions!$H$60,0)</f>
        <v>66.98</v>
      </c>
      <c r="I132" t="inlineStr"/>
      <c r="J132" t="inlineStr">
        <is>
          <t>AUD</t>
        </is>
      </c>
      <c r="K132" s="9">
        <f>ROUND(SUMIFS($G$5:$G$454,$A$5:$A$454,A132)-SUMIFS($H$5:$H$454,$A$5:$A$454,A132),2)</f>
        <v>0</v>
      </c>
    </row>
    <row r="133">
      <c r="A133" t="inlineStr">
        <is>
          <t>J056</t>
        </is>
      </c>
      <c r="B133" t="inlineStr">
        <is>
          <t>EX056</t>
        </is>
      </c>
      <c r="C133" s="5" t="n">
        <v>46262</v>
      </c>
      <c r="D133" t="inlineStr">
        <is>
          <t>OPS</t>
        </is>
      </c>
      <c r="E133" t="inlineStr">
        <is>
          <t>6120 Merchant and payment fees</t>
        </is>
      </c>
      <c r="F133" t="inlineStr">
        <is>
          <t>Stripe fees ex GST</t>
        </is>
      </c>
      <c r="G133" s="9">
        <f>ROUND(SUMIFS('Stripe Payouts'!$G$5:$G$72,'Stripe Payouts'!$M$5:$M$72,Exceptions!$D$60)-Exceptions!$I$60,2)</f>
        <v>60.89</v>
      </c>
      <c r="H133" s="9" t="n">
        <v>0</v>
      </c>
      <c r="I133" t="inlineStr">
        <is>
          <t>GST on purchases</t>
        </is>
      </c>
      <c r="J133" t="inlineStr">
        <is>
          <t>AUD</t>
        </is>
      </c>
      <c r="K133" s="9">
        <f>ROUND(SUMIFS($G$5:$G$454,$A$5:$A$454,A133)-SUMIFS($H$5:$H$454,$A$5:$A$454,A133),2)</f>
        <v>0</v>
      </c>
    </row>
    <row r="134">
      <c r="A134" t="inlineStr">
        <is>
          <t>J056</t>
        </is>
      </c>
      <c r="B134" t="inlineStr">
        <is>
          <t>EX056</t>
        </is>
      </c>
      <c r="C134" s="5" t="n">
        <v>46262</v>
      </c>
      <c r="D134" t="inlineStr">
        <is>
          <t>OPS</t>
        </is>
      </c>
      <c r="E134" t="inlineStr">
        <is>
          <t>1300 GST paid (1B)</t>
        </is>
      </c>
      <c r="F134" t="inlineStr">
        <is>
          <t>GST on Stripe fees</t>
        </is>
      </c>
      <c r="G134" s="9">
        <f>Exceptions!$I$60</f>
        <v>6.09</v>
      </c>
      <c r="H134" s="9" t="n">
        <v>0</v>
      </c>
      <c r="I134" t="inlineStr">
        <is>
          <t>GST</t>
        </is>
      </c>
      <c r="J134" t="inlineStr">
        <is>
          <t>AUD</t>
        </is>
      </c>
      <c r="K134" s="9">
        <f>ROUND(SUMIFS($G$5:$G$454,$A$5:$A$454,A134)-SUMIFS($H$5:$H$454,$A$5:$A$454,A134),2)</f>
        <v>0</v>
      </c>
    </row>
    <row r="135">
      <c r="A135" t="inlineStr">
        <is>
          <t>J057</t>
        </is>
      </c>
      <c r="B135" t="inlineStr">
        <is>
          <t>EX057</t>
        </is>
      </c>
      <c r="C135" s="5" t="n">
        <v>46265</v>
      </c>
      <c r="D135" t="inlineStr">
        <is>
          <t>OPS</t>
        </is>
      </c>
      <c r="E135" t="inlineStr">
        <is>
          <t>1110 Bank - Operating</t>
        </is>
      </c>
      <c r="F135" t="inlineStr">
        <is>
          <t>29 report lines; fees 73.11 | STRIPE PAYOUT STRIPE po_1Q0044</t>
        </is>
      </c>
      <c r="G135" s="9">
        <f>MAX(Exceptions!$H$61,0)</f>
        <v>0</v>
      </c>
      <c r="H135" s="9">
        <f>MAX(-Exceptions!$H$61,0)</f>
        <v>73.11</v>
      </c>
      <c r="I135" t="inlineStr"/>
      <c r="J135" t="inlineStr">
        <is>
          <t>AUD</t>
        </is>
      </c>
      <c r="K135" s="9">
        <f>ROUND(SUMIFS($G$5:$G$454,$A$5:$A$454,A135)-SUMIFS($H$5:$H$454,$A$5:$A$454,A135),2)</f>
        <v>0</v>
      </c>
    </row>
    <row r="136">
      <c r="A136" t="inlineStr">
        <is>
          <t>J057</t>
        </is>
      </c>
      <c r="B136" t="inlineStr">
        <is>
          <t>EX057</t>
        </is>
      </c>
      <c r="C136" s="5" t="n">
        <v>46265</v>
      </c>
      <c r="D136" t="inlineStr">
        <is>
          <t>OPS</t>
        </is>
      </c>
      <c r="E136" t="inlineStr">
        <is>
          <t>6120 Merchant and payment fees</t>
        </is>
      </c>
      <c r="F136" t="inlineStr">
        <is>
          <t>Stripe fees ex GST</t>
        </is>
      </c>
      <c r="G136" s="9">
        <f>ROUND(SUMIFS('Stripe Payouts'!$G$5:$G$72,'Stripe Payouts'!$M$5:$M$72,Exceptions!$D$61)-Exceptions!$I$61,2)</f>
        <v>66.46</v>
      </c>
      <c r="H136" s="9" t="n">
        <v>0</v>
      </c>
      <c r="I136" t="inlineStr">
        <is>
          <t>GST on purchases</t>
        </is>
      </c>
      <c r="J136" t="inlineStr">
        <is>
          <t>AUD</t>
        </is>
      </c>
      <c r="K136" s="9">
        <f>ROUND(SUMIFS($G$5:$G$454,$A$5:$A$454,A136)-SUMIFS($H$5:$H$454,$A$5:$A$454,A136),2)</f>
        <v>0</v>
      </c>
    </row>
    <row r="137">
      <c r="A137" t="inlineStr">
        <is>
          <t>J057</t>
        </is>
      </c>
      <c r="B137" t="inlineStr">
        <is>
          <t>EX057</t>
        </is>
      </c>
      <c r="C137" s="5" t="n">
        <v>46265</v>
      </c>
      <c r="D137" t="inlineStr">
        <is>
          <t>OPS</t>
        </is>
      </c>
      <c r="E137" t="inlineStr">
        <is>
          <t>1300 GST paid (1B)</t>
        </is>
      </c>
      <c r="F137" t="inlineStr">
        <is>
          <t>GST on Stripe fees</t>
        </is>
      </c>
      <c r="G137" s="9">
        <f>Exceptions!$I$61</f>
        <v>6.65</v>
      </c>
      <c r="H137" s="9" t="n">
        <v>0</v>
      </c>
      <c r="I137" t="inlineStr">
        <is>
          <t>GST</t>
        </is>
      </c>
      <c r="J137" t="inlineStr">
        <is>
          <t>AUD</t>
        </is>
      </c>
      <c r="K137" s="9">
        <f>ROUND(SUMIFS($G$5:$G$454,$A$5:$A$454,A137)-SUMIFS($H$5:$H$454,$A$5:$A$454,A137),2)</f>
        <v>0</v>
      </c>
    </row>
    <row r="138">
      <c r="A138" t="inlineStr">
        <is>
          <t>J058</t>
        </is>
      </c>
      <c r="B138" t="inlineStr">
        <is>
          <t>EX058</t>
        </is>
      </c>
      <c r="C138" s="5" t="n">
        <v>46266</v>
      </c>
      <c r="D138" t="inlineStr">
        <is>
          <t>OPS</t>
        </is>
      </c>
      <c r="E138" t="inlineStr">
        <is>
          <t>1110 Bank - Operating</t>
        </is>
      </c>
      <c r="F138" t="inlineStr">
        <is>
          <t>38 report lines; fees 87.53 | STRIPE PAYOUT STRIPE po_1Q0045</t>
        </is>
      </c>
      <c r="G138" s="9">
        <f>MAX(Exceptions!$H$62,0)</f>
        <v>0</v>
      </c>
      <c r="H138" s="9">
        <f>MAX(-Exceptions!$H$62,0)</f>
        <v>87.53</v>
      </c>
      <c r="I138" t="inlineStr"/>
      <c r="J138" t="inlineStr">
        <is>
          <t>AUD</t>
        </is>
      </c>
      <c r="K138" s="9">
        <f>ROUND(SUMIFS($G$5:$G$454,$A$5:$A$454,A138)-SUMIFS($H$5:$H$454,$A$5:$A$454,A138),2)</f>
        <v>0</v>
      </c>
    </row>
    <row r="139">
      <c r="A139" t="inlineStr">
        <is>
          <t>J058</t>
        </is>
      </c>
      <c r="B139" t="inlineStr">
        <is>
          <t>EX058</t>
        </is>
      </c>
      <c r="C139" s="5" t="n">
        <v>46266</v>
      </c>
      <c r="D139" t="inlineStr">
        <is>
          <t>OPS</t>
        </is>
      </c>
      <c r="E139" t="inlineStr">
        <is>
          <t>6120 Merchant and payment fees</t>
        </is>
      </c>
      <c r="F139" t="inlineStr">
        <is>
          <t>Stripe fees ex GST</t>
        </is>
      </c>
      <c r="G139" s="9">
        <f>ROUND(SUMIFS('Stripe Payouts'!$G$5:$G$72,'Stripe Payouts'!$M$5:$M$72,Exceptions!$D$62)-Exceptions!$I$62,2)</f>
        <v>79.57</v>
      </c>
      <c r="H139" s="9" t="n">
        <v>0</v>
      </c>
      <c r="I139" t="inlineStr">
        <is>
          <t>GST on purchases</t>
        </is>
      </c>
      <c r="J139" t="inlineStr">
        <is>
          <t>AUD</t>
        </is>
      </c>
      <c r="K139" s="9">
        <f>ROUND(SUMIFS($G$5:$G$454,$A$5:$A$454,A139)-SUMIFS($H$5:$H$454,$A$5:$A$454,A139),2)</f>
        <v>0</v>
      </c>
    </row>
    <row r="140">
      <c r="A140" t="inlineStr">
        <is>
          <t>J058</t>
        </is>
      </c>
      <c r="B140" t="inlineStr">
        <is>
          <t>EX058</t>
        </is>
      </c>
      <c r="C140" s="5" t="n">
        <v>46266</v>
      </c>
      <c r="D140" t="inlineStr">
        <is>
          <t>OPS</t>
        </is>
      </c>
      <c r="E140" t="inlineStr">
        <is>
          <t>1300 GST paid (1B)</t>
        </is>
      </c>
      <c r="F140" t="inlineStr">
        <is>
          <t>GST on Stripe fees</t>
        </is>
      </c>
      <c r="G140" s="9">
        <f>Exceptions!$I$62</f>
        <v>7.96</v>
      </c>
      <c r="H140" s="9" t="n">
        <v>0</v>
      </c>
      <c r="I140" t="inlineStr">
        <is>
          <t>GST</t>
        </is>
      </c>
      <c r="J140" t="inlineStr">
        <is>
          <t>AUD</t>
        </is>
      </c>
      <c r="K140" s="9">
        <f>ROUND(SUMIFS($G$5:$G$454,$A$5:$A$454,A140)-SUMIFS($H$5:$H$454,$A$5:$A$454,A140),2)</f>
        <v>0</v>
      </c>
    </row>
    <row r="141">
      <c r="A141" t="inlineStr">
        <is>
          <t>J059</t>
        </is>
      </c>
      <c r="B141" t="inlineStr">
        <is>
          <t>EX059</t>
        </is>
      </c>
      <c r="C141" s="5" t="n">
        <v>46267</v>
      </c>
      <c r="D141" t="inlineStr">
        <is>
          <t>OPS</t>
        </is>
      </c>
      <c r="E141" t="inlineStr">
        <is>
          <t>1110 Bank - Operating</t>
        </is>
      </c>
      <c r="F141" t="inlineStr">
        <is>
          <t>33 report lines; fees 79.66 | STRIPE PAYOUT STRIPE po_1Q0046</t>
        </is>
      </c>
      <c r="G141" s="9">
        <f>MAX(Exceptions!$H$63,0)</f>
        <v>0</v>
      </c>
      <c r="H141" s="9">
        <f>MAX(-Exceptions!$H$63,0)</f>
        <v>79.66</v>
      </c>
      <c r="I141" t="inlineStr"/>
      <c r="J141" t="inlineStr">
        <is>
          <t>AUD</t>
        </is>
      </c>
      <c r="K141" s="9">
        <f>ROUND(SUMIFS($G$5:$G$454,$A$5:$A$454,A141)-SUMIFS($H$5:$H$454,$A$5:$A$454,A141),2)</f>
        <v>0</v>
      </c>
    </row>
    <row r="142">
      <c r="A142" t="inlineStr">
        <is>
          <t>J059</t>
        </is>
      </c>
      <c r="B142" t="inlineStr">
        <is>
          <t>EX059</t>
        </is>
      </c>
      <c r="C142" s="5" t="n">
        <v>46267</v>
      </c>
      <c r="D142" t="inlineStr">
        <is>
          <t>OPS</t>
        </is>
      </c>
      <c r="E142" t="inlineStr">
        <is>
          <t>6120 Merchant and payment fees</t>
        </is>
      </c>
      <c r="F142" t="inlineStr">
        <is>
          <t>Stripe fees ex GST</t>
        </is>
      </c>
      <c r="G142" s="9">
        <f>ROUND(SUMIFS('Stripe Payouts'!$G$5:$G$72,'Stripe Payouts'!$M$5:$M$72,Exceptions!$D$63)-Exceptions!$I$63,2)</f>
        <v>72.42</v>
      </c>
      <c r="H142" s="9" t="n">
        <v>0</v>
      </c>
      <c r="I142" t="inlineStr">
        <is>
          <t>GST on purchases</t>
        </is>
      </c>
      <c r="J142" t="inlineStr">
        <is>
          <t>AUD</t>
        </is>
      </c>
      <c r="K142" s="9">
        <f>ROUND(SUMIFS($G$5:$G$454,$A$5:$A$454,A142)-SUMIFS($H$5:$H$454,$A$5:$A$454,A142),2)</f>
        <v>0</v>
      </c>
    </row>
    <row r="143">
      <c r="A143" t="inlineStr">
        <is>
          <t>J059</t>
        </is>
      </c>
      <c r="B143" t="inlineStr">
        <is>
          <t>EX059</t>
        </is>
      </c>
      <c r="C143" s="5" t="n">
        <v>46267</v>
      </c>
      <c r="D143" t="inlineStr">
        <is>
          <t>OPS</t>
        </is>
      </c>
      <c r="E143" t="inlineStr">
        <is>
          <t>1300 GST paid (1B)</t>
        </is>
      </c>
      <c r="F143" t="inlineStr">
        <is>
          <t>GST on Stripe fees</t>
        </is>
      </c>
      <c r="G143" s="9">
        <f>Exceptions!$I$63</f>
        <v>7.24</v>
      </c>
      <c r="H143" s="9" t="n">
        <v>0</v>
      </c>
      <c r="I143" t="inlineStr">
        <is>
          <t>GST</t>
        </is>
      </c>
      <c r="J143" t="inlineStr">
        <is>
          <t>AUD</t>
        </is>
      </c>
      <c r="K143" s="9">
        <f>ROUND(SUMIFS($G$5:$G$454,$A$5:$A$454,A143)-SUMIFS($H$5:$H$454,$A$5:$A$454,A143),2)</f>
        <v>0</v>
      </c>
    </row>
    <row r="144">
      <c r="A144" t="inlineStr">
        <is>
          <t>J060</t>
        </is>
      </c>
      <c r="B144" t="inlineStr">
        <is>
          <t>EX060</t>
        </is>
      </c>
      <c r="C144" s="5" t="n">
        <v>46268</v>
      </c>
      <c r="D144" t="inlineStr">
        <is>
          <t>OPS</t>
        </is>
      </c>
      <c r="E144" t="inlineStr">
        <is>
          <t>1110 Bank - Operating</t>
        </is>
      </c>
      <c r="F144" t="inlineStr">
        <is>
          <t>20 report lines; fees 46.90 | STRIPE PAYOUT STRIPE po_1Q0047</t>
        </is>
      </c>
      <c r="G144" s="9">
        <f>MAX(Exceptions!$H$64,0)</f>
        <v>0</v>
      </c>
      <c r="H144" s="9">
        <f>MAX(-Exceptions!$H$64,0)</f>
        <v>46.9</v>
      </c>
      <c r="I144" t="inlineStr"/>
      <c r="J144" t="inlineStr">
        <is>
          <t>AUD</t>
        </is>
      </c>
      <c r="K144" s="9">
        <f>ROUND(SUMIFS($G$5:$G$454,$A$5:$A$454,A144)-SUMIFS($H$5:$H$454,$A$5:$A$454,A144),2)</f>
        <v>0</v>
      </c>
    </row>
    <row r="145">
      <c r="A145" t="inlineStr">
        <is>
          <t>J060</t>
        </is>
      </c>
      <c r="B145" t="inlineStr">
        <is>
          <t>EX060</t>
        </is>
      </c>
      <c r="C145" s="5" t="n">
        <v>46268</v>
      </c>
      <c r="D145" t="inlineStr">
        <is>
          <t>OPS</t>
        </is>
      </c>
      <c r="E145" t="inlineStr">
        <is>
          <t>6120 Merchant and payment fees</t>
        </is>
      </c>
      <c r="F145" t="inlineStr">
        <is>
          <t>Stripe fees ex GST</t>
        </is>
      </c>
      <c r="G145" s="9">
        <f>ROUND(SUMIFS('Stripe Payouts'!$G$5:$G$72,'Stripe Payouts'!$M$5:$M$72,Exceptions!$D$64)-Exceptions!$I$64,2)</f>
        <v>42.64</v>
      </c>
      <c r="H145" s="9" t="n">
        <v>0</v>
      </c>
      <c r="I145" t="inlineStr">
        <is>
          <t>GST on purchases</t>
        </is>
      </c>
      <c r="J145" t="inlineStr">
        <is>
          <t>AUD</t>
        </is>
      </c>
      <c r="K145" s="9">
        <f>ROUND(SUMIFS($G$5:$G$454,$A$5:$A$454,A145)-SUMIFS($H$5:$H$454,$A$5:$A$454,A145),2)</f>
        <v>0</v>
      </c>
    </row>
    <row r="146">
      <c r="A146" t="inlineStr">
        <is>
          <t>J060</t>
        </is>
      </c>
      <c r="B146" t="inlineStr">
        <is>
          <t>EX060</t>
        </is>
      </c>
      <c r="C146" s="5" t="n">
        <v>46268</v>
      </c>
      <c r="D146" t="inlineStr">
        <is>
          <t>OPS</t>
        </is>
      </c>
      <c r="E146" t="inlineStr">
        <is>
          <t>1300 GST paid (1B)</t>
        </is>
      </c>
      <c r="F146" t="inlineStr">
        <is>
          <t>GST on Stripe fees</t>
        </is>
      </c>
      <c r="G146" s="9">
        <f>Exceptions!$I$64</f>
        <v>4.26</v>
      </c>
      <c r="H146" s="9" t="n">
        <v>0</v>
      </c>
      <c r="I146" t="inlineStr">
        <is>
          <t>GST</t>
        </is>
      </c>
      <c r="J146" t="inlineStr">
        <is>
          <t>AUD</t>
        </is>
      </c>
      <c r="K146" s="9">
        <f>ROUND(SUMIFS($G$5:$G$454,$A$5:$A$454,A146)-SUMIFS($H$5:$H$454,$A$5:$A$454,A146),2)</f>
        <v>0</v>
      </c>
    </row>
    <row r="147">
      <c r="A147" t="inlineStr">
        <is>
          <t>J061</t>
        </is>
      </c>
      <c r="B147" t="inlineStr">
        <is>
          <t>EX061</t>
        </is>
      </c>
      <c r="C147" s="5" t="n">
        <v>46269</v>
      </c>
      <c r="D147" t="inlineStr">
        <is>
          <t>OPS</t>
        </is>
      </c>
      <c r="E147" t="inlineStr">
        <is>
          <t>1110 Bank - Operating</t>
        </is>
      </c>
      <c r="F147" t="inlineStr">
        <is>
          <t>29 report lines; fees 70.29 | STRIPE PAYOUT STRIPE po_1Q0048</t>
        </is>
      </c>
      <c r="G147" s="9">
        <f>MAX(Exceptions!$H$65,0)</f>
        <v>0</v>
      </c>
      <c r="H147" s="9">
        <f>MAX(-Exceptions!$H$65,0)</f>
        <v>70.29</v>
      </c>
      <c r="I147" t="inlineStr"/>
      <c r="J147" t="inlineStr">
        <is>
          <t>AUD</t>
        </is>
      </c>
      <c r="K147" s="9">
        <f>ROUND(SUMIFS($G$5:$G$454,$A$5:$A$454,A147)-SUMIFS($H$5:$H$454,$A$5:$A$454,A147),2)</f>
        <v>0</v>
      </c>
    </row>
    <row r="148">
      <c r="A148" t="inlineStr">
        <is>
          <t>J061</t>
        </is>
      </c>
      <c r="B148" t="inlineStr">
        <is>
          <t>EX061</t>
        </is>
      </c>
      <c r="C148" s="5" t="n">
        <v>46269</v>
      </c>
      <c r="D148" t="inlineStr">
        <is>
          <t>OPS</t>
        </is>
      </c>
      <c r="E148" t="inlineStr">
        <is>
          <t>6120 Merchant and payment fees</t>
        </is>
      </c>
      <c r="F148" t="inlineStr">
        <is>
          <t>Stripe fees ex GST</t>
        </is>
      </c>
      <c r="G148" s="9">
        <f>ROUND(SUMIFS('Stripe Payouts'!$G$5:$G$72,'Stripe Payouts'!$M$5:$M$72,Exceptions!$D$65)-Exceptions!$I$65,2)</f>
        <v>63.9</v>
      </c>
      <c r="H148" s="9" t="n">
        <v>0</v>
      </c>
      <c r="I148" t="inlineStr">
        <is>
          <t>GST on purchases</t>
        </is>
      </c>
      <c r="J148" t="inlineStr">
        <is>
          <t>AUD</t>
        </is>
      </c>
      <c r="K148" s="9">
        <f>ROUND(SUMIFS($G$5:$G$454,$A$5:$A$454,A148)-SUMIFS($H$5:$H$454,$A$5:$A$454,A148),2)</f>
        <v>0</v>
      </c>
    </row>
    <row r="149">
      <c r="A149" t="inlineStr">
        <is>
          <t>J061</t>
        </is>
      </c>
      <c r="B149" t="inlineStr">
        <is>
          <t>EX061</t>
        </is>
      </c>
      <c r="C149" s="5" t="n">
        <v>46269</v>
      </c>
      <c r="D149" t="inlineStr">
        <is>
          <t>OPS</t>
        </is>
      </c>
      <c r="E149" t="inlineStr">
        <is>
          <t>1300 GST paid (1B)</t>
        </is>
      </c>
      <c r="F149" t="inlineStr">
        <is>
          <t>GST on Stripe fees</t>
        </is>
      </c>
      <c r="G149" s="9">
        <f>Exceptions!$I$65</f>
        <v>6.39</v>
      </c>
      <c r="H149" s="9" t="n">
        <v>0</v>
      </c>
      <c r="I149" t="inlineStr">
        <is>
          <t>GST</t>
        </is>
      </c>
      <c r="J149" t="inlineStr">
        <is>
          <t>AUD</t>
        </is>
      </c>
      <c r="K149" s="9">
        <f>ROUND(SUMIFS($G$5:$G$454,$A$5:$A$454,A149)-SUMIFS($H$5:$H$454,$A$5:$A$454,A149),2)</f>
        <v>0</v>
      </c>
    </row>
    <row r="150">
      <c r="A150" t="inlineStr">
        <is>
          <t>J062</t>
        </is>
      </c>
      <c r="B150" t="inlineStr">
        <is>
          <t>EX062</t>
        </is>
      </c>
      <c r="C150" s="5" t="n">
        <v>46272</v>
      </c>
      <c r="D150" t="inlineStr">
        <is>
          <t>OPS</t>
        </is>
      </c>
      <c r="E150" t="inlineStr">
        <is>
          <t>1110 Bank - Operating</t>
        </is>
      </c>
      <c r="F150" t="inlineStr">
        <is>
          <t>34 report lines; fees 77.28 | STRIPE PAYOUT STRIPE po_1Q0049</t>
        </is>
      </c>
      <c r="G150" s="9">
        <f>MAX(Exceptions!$H$66,0)</f>
        <v>0</v>
      </c>
      <c r="H150" s="9">
        <f>MAX(-Exceptions!$H$66,0)</f>
        <v>77.28</v>
      </c>
      <c r="I150" t="inlineStr"/>
      <c r="J150" t="inlineStr">
        <is>
          <t>AUD</t>
        </is>
      </c>
      <c r="K150" s="9">
        <f>ROUND(SUMIFS($G$5:$G$454,$A$5:$A$454,A150)-SUMIFS($H$5:$H$454,$A$5:$A$454,A150),2)</f>
        <v>0</v>
      </c>
    </row>
    <row r="151">
      <c r="A151" t="inlineStr">
        <is>
          <t>J062</t>
        </is>
      </c>
      <c r="B151" t="inlineStr">
        <is>
          <t>EX062</t>
        </is>
      </c>
      <c r="C151" s="5" t="n">
        <v>46272</v>
      </c>
      <c r="D151" t="inlineStr">
        <is>
          <t>OPS</t>
        </is>
      </c>
      <c r="E151" t="inlineStr">
        <is>
          <t>6120 Merchant and payment fees</t>
        </is>
      </c>
      <c r="F151" t="inlineStr">
        <is>
          <t>Stripe fees ex GST</t>
        </is>
      </c>
      <c r="G151" s="9">
        <f>ROUND(SUMIFS('Stripe Payouts'!$G$5:$G$72,'Stripe Payouts'!$M$5:$M$72,Exceptions!$D$66)-Exceptions!$I$66,2)</f>
        <v>70.25</v>
      </c>
      <c r="H151" s="9" t="n">
        <v>0</v>
      </c>
      <c r="I151" t="inlineStr">
        <is>
          <t>GST on purchases</t>
        </is>
      </c>
      <c r="J151" t="inlineStr">
        <is>
          <t>AUD</t>
        </is>
      </c>
      <c r="K151" s="9">
        <f>ROUND(SUMIFS($G$5:$G$454,$A$5:$A$454,A151)-SUMIFS($H$5:$H$454,$A$5:$A$454,A151),2)</f>
        <v>0</v>
      </c>
    </row>
    <row r="152">
      <c r="A152" t="inlineStr">
        <is>
          <t>J062</t>
        </is>
      </c>
      <c r="B152" t="inlineStr">
        <is>
          <t>EX062</t>
        </is>
      </c>
      <c r="C152" s="5" t="n">
        <v>46272</v>
      </c>
      <c r="D152" t="inlineStr">
        <is>
          <t>OPS</t>
        </is>
      </c>
      <c r="E152" t="inlineStr">
        <is>
          <t>1300 GST paid (1B)</t>
        </is>
      </c>
      <c r="F152" t="inlineStr">
        <is>
          <t>GST on Stripe fees</t>
        </is>
      </c>
      <c r="G152" s="9">
        <f>Exceptions!$I$66</f>
        <v>7.03</v>
      </c>
      <c r="H152" s="9" t="n">
        <v>0</v>
      </c>
      <c r="I152" t="inlineStr">
        <is>
          <t>GST</t>
        </is>
      </c>
      <c r="J152" t="inlineStr">
        <is>
          <t>AUD</t>
        </is>
      </c>
      <c r="K152" s="9">
        <f>ROUND(SUMIFS($G$5:$G$454,$A$5:$A$454,A152)-SUMIFS($H$5:$H$454,$A$5:$A$454,A152),2)</f>
        <v>0</v>
      </c>
    </row>
    <row r="153">
      <c r="A153" t="inlineStr">
        <is>
          <t>J063</t>
        </is>
      </c>
      <c r="B153" t="inlineStr">
        <is>
          <t>EX063</t>
        </is>
      </c>
      <c r="C153" s="5" t="n">
        <v>46273</v>
      </c>
      <c r="D153" t="inlineStr">
        <is>
          <t>OPS</t>
        </is>
      </c>
      <c r="E153" t="inlineStr">
        <is>
          <t>1110 Bank - Operating</t>
        </is>
      </c>
      <c r="F153" t="inlineStr">
        <is>
          <t>24 report lines; fees 60.22 | STRIPE PAYOUT STRIPE po_1Q0050</t>
        </is>
      </c>
      <c r="G153" s="9">
        <f>MAX(Exceptions!$H$67,0)</f>
        <v>0</v>
      </c>
      <c r="H153" s="9">
        <f>MAX(-Exceptions!$H$67,0)</f>
        <v>60.22</v>
      </c>
      <c r="I153" t="inlineStr"/>
      <c r="J153" t="inlineStr">
        <is>
          <t>AUD</t>
        </is>
      </c>
      <c r="K153" s="9">
        <f>ROUND(SUMIFS($G$5:$G$454,$A$5:$A$454,A153)-SUMIFS($H$5:$H$454,$A$5:$A$454,A153),2)</f>
        <v>0</v>
      </c>
    </row>
    <row r="154">
      <c r="A154" t="inlineStr">
        <is>
          <t>J063</t>
        </is>
      </c>
      <c r="B154" t="inlineStr">
        <is>
          <t>EX063</t>
        </is>
      </c>
      <c r="C154" s="5" t="n">
        <v>46273</v>
      </c>
      <c r="D154" t="inlineStr">
        <is>
          <t>OPS</t>
        </is>
      </c>
      <c r="E154" t="inlineStr">
        <is>
          <t>6120 Merchant and payment fees</t>
        </is>
      </c>
      <c r="F154" t="inlineStr">
        <is>
          <t>Stripe fees ex GST</t>
        </is>
      </c>
      <c r="G154" s="9">
        <f>ROUND(SUMIFS('Stripe Payouts'!$G$5:$G$72,'Stripe Payouts'!$M$5:$M$72,Exceptions!$D$67)-Exceptions!$I$67,2)</f>
        <v>54.75</v>
      </c>
      <c r="H154" s="9" t="n">
        <v>0</v>
      </c>
      <c r="I154" t="inlineStr">
        <is>
          <t>GST on purchases</t>
        </is>
      </c>
      <c r="J154" t="inlineStr">
        <is>
          <t>AUD</t>
        </is>
      </c>
      <c r="K154" s="9">
        <f>ROUND(SUMIFS($G$5:$G$454,$A$5:$A$454,A154)-SUMIFS($H$5:$H$454,$A$5:$A$454,A154),2)</f>
        <v>0</v>
      </c>
    </row>
    <row r="155">
      <c r="A155" t="inlineStr">
        <is>
          <t>J063</t>
        </is>
      </c>
      <c r="B155" t="inlineStr">
        <is>
          <t>EX063</t>
        </is>
      </c>
      <c r="C155" s="5" t="n">
        <v>46273</v>
      </c>
      <c r="D155" t="inlineStr">
        <is>
          <t>OPS</t>
        </is>
      </c>
      <c r="E155" t="inlineStr">
        <is>
          <t>1300 GST paid (1B)</t>
        </is>
      </c>
      <c r="F155" t="inlineStr">
        <is>
          <t>GST on Stripe fees</t>
        </is>
      </c>
      <c r="G155" s="9">
        <f>Exceptions!$I$67</f>
        <v>5.47</v>
      </c>
      <c r="H155" s="9" t="n">
        <v>0</v>
      </c>
      <c r="I155" t="inlineStr">
        <is>
          <t>GST</t>
        </is>
      </c>
      <c r="J155" t="inlineStr">
        <is>
          <t>AUD</t>
        </is>
      </c>
      <c r="K155" s="9">
        <f>ROUND(SUMIFS($G$5:$G$454,$A$5:$A$454,A155)-SUMIFS($H$5:$H$454,$A$5:$A$454,A155),2)</f>
        <v>0</v>
      </c>
    </row>
    <row r="156">
      <c r="A156" t="inlineStr">
        <is>
          <t>J064</t>
        </is>
      </c>
      <c r="B156" t="inlineStr">
        <is>
          <t>EX064</t>
        </is>
      </c>
      <c r="C156" s="5" t="n">
        <v>46274</v>
      </c>
      <c r="D156" t="inlineStr">
        <is>
          <t>OPS</t>
        </is>
      </c>
      <c r="E156" t="inlineStr">
        <is>
          <t>1110 Bank - Operating</t>
        </is>
      </c>
      <c r="F156" t="inlineStr">
        <is>
          <t>23 report lines; fees 62.99 | STRIPE PAYOUT STRIPE po_1Q0051</t>
        </is>
      </c>
      <c r="G156" s="9">
        <f>MAX(Exceptions!$H$68,0)</f>
        <v>0</v>
      </c>
      <c r="H156" s="9">
        <f>MAX(-Exceptions!$H$68,0)</f>
        <v>62.99</v>
      </c>
      <c r="I156" t="inlineStr"/>
      <c r="J156" t="inlineStr">
        <is>
          <t>AUD</t>
        </is>
      </c>
      <c r="K156" s="9">
        <f>ROUND(SUMIFS($G$5:$G$454,$A$5:$A$454,A156)-SUMIFS($H$5:$H$454,$A$5:$A$454,A156),2)</f>
        <v>0</v>
      </c>
    </row>
    <row r="157">
      <c r="A157" t="inlineStr">
        <is>
          <t>J064</t>
        </is>
      </c>
      <c r="B157" t="inlineStr">
        <is>
          <t>EX064</t>
        </is>
      </c>
      <c r="C157" s="5" t="n">
        <v>46274</v>
      </c>
      <c r="D157" t="inlineStr">
        <is>
          <t>OPS</t>
        </is>
      </c>
      <c r="E157" t="inlineStr">
        <is>
          <t>6120 Merchant and payment fees</t>
        </is>
      </c>
      <c r="F157" t="inlineStr">
        <is>
          <t>Stripe fees ex GST</t>
        </is>
      </c>
      <c r="G157" s="9">
        <f>ROUND(SUMIFS('Stripe Payouts'!$G$5:$G$72,'Stripe Payouts'!$M$5:$M$72,Exceptions!$D$68)-Exceptions!$I$68,2)</f>
        <v>57.26</v>
      </c>
      <c r="H157" s="9" t="n">
        <v>0</v>
      </c>
      <c r="I157" t="inlineStr">
        <is>
          <t>GST on purchases</t>
        </is>
      </c>
      <c r="J157" t="inlineStr">
        <is>
          <t>AUD</t>
        </is>
      </c>
      <c r="K157" s="9">
        <f>ROUND(SUMIFS($G$5:$G$454,$A$5:$A$454,A157)-SUMIFS($H$5:$H$454,$A$5:$A$454,A157),2)</f>
        <v>0</v>
      </c>
    </row>
    <row r="158">
      <c r="A158" t="inlineStr">
        <is>
          <t>J064</t>
        </is>
      </c>
      <c r="B158" t="inlineStr">
        <is>
          <t>EX064</t>
        </is>
      </c>
      <c r="C158" s="5" t="n">
        <v>46274</v>
      </c>
      <c r="D158" t="inlineStr">
        <is>
          <t>OPS</t>
        </is>
      </c>
      <c r="E158" t="inlineStr">
        <is>
          <t>1300 GST paid (1B)</t>
        </is>
      </c>
      <c r="F158" t="inlineStr">
        <is>
          <t>GST on Stripe fees</t>
        </is>
      </c>
      <c r="G158" s="9">
        <f>Exceptions!$I$68</f>
        <v>5.73</v>
      </c>
      <c r="H158" s="9" t="n">
        <v>0</v>
      </c>
      <c r="I158" t="inlineStr">
        <is>
          <t>GST</t>
        </is>
      </c>
      <c r="J158" t="inlineStr">
        <is>
          <t>AUD</t>
        </is>
      </c>
      <c r="K158" s="9">
        <f>ROUND(SUMIFS($G$5:$G$454,$A$5:$A$454,A158)-SUMIFS($H$5:$H$454,$A$5:$A$454,A158),2)</f>
        <v>0</v>
      </c>
    </row>
    <row r="159">
      <c r="A159" t="inlineStr">
        <is>
          <t>J065</t>
        </is>
      </c>
      <c r="B159" t="inlineStr">
        <is>
          <t>EX065</t>
        </is>
      </c>
      <c r="C159" s="5" t="n">
        <v>46275</v>
      </c>
      <c r="D159" t="inlineStr">
        <is>
          <t>OPS</t>
        </is>
      </c>
      <c r="E159" t="inlineStr">
        <is>
          <t>1110 Bank - Operating</t>
        </is>
      </c>
      <c r="F159" t="inlineStr">
        <is>
          <t>20 report lines; fees 46.63 | STRIPE PAYOUT STRIPE po_1Q0052</t>
        </is>
      </c>
      <c r="G159" s="9">
        <f>MAX(Exceptions!$H$69,0)</f>
        <v>0</v>
      </c>
      <c r="H159" s="9">
        <f>MAX(-Exceptions!$H$69,0)</f>
        <v>46.63</v>
      </c>
      <c r="I159" t="inlineStr"/>
      <c r="J159" t="inlineStr">
        <is>
          <t>AUD</t>
        </is>
      </c>
      <c r="K159" s="9">
        <f>ROUND(SUMIFS($G$5:$G$454,$A$5:$A$454,A159)-SUMIFS($H$5:$H$454,$A$5:$A$454,A159),2)</f>
        <v>0</v>
      </c>
    </row>
    <row r="160">
      <c r="A160" t="inlineStr">
        <is>
          <t>J065</t>
        </is>
      </c>
      <c r="B160" t="inlineStr">
        <is>
          <t>EX065</t>
        </is>
      </c>
      <c r="C160" s="5" t="n">
        <v>46275</v>
      </c>
      <c r="D160" t="inlineStr">
        <is>
          <t>OPS</t>
        </is>
      </c>
      <c r="E160" t="inlineStr">
        <is>
          <t>6120 Merchant and payment fees</t>
        </is>
      </c>
      <c r="F160" t="inlineStr">
        <is>
          <t>Stripe fees ex GST</t>
        </is>
      </c>
      <c r="G160" s="9">
        <f>ROUND(SUMIFS('Stripe Payouts'!$G$5:$G$72,'Stripe Payouts'!$M$5:$M$72,Exceptions!$D$69)-Exceptions!$I$69,2)</f>
        <v>42.39</v>
      </c>
      <c r="H160" s="9" t="n">
        <v>0</v>
      </c>
      <c r="I160" t="inlineStr">
        <is>
          <t>GST on purchases</t>
        </is>
      </c>
      <c r="J160" t="inlineStr">
        <is>
          <t>AUD</t>
        </is>
      </c>
      <c r="K160" s="9">
        <f>ROUND(SUMIFS($G$5:$G$454,$A$5:$A$454,A160)-SUMIFS($H$5:$H$454,$A$5:$A$454,A160),2)</f>
        <v>0</v>
      </c>
    </row>
    <row r="161">
      <c r="A161" t="inlineStr">
        <is>
          <t>J065</t>
        </is>
      </c>
      <c r="B161" t="inlineStr">
        <is>
          <t>EX065</t>
        </is>
      </c>
      <c r="C161" s="5" t="n">
        <v>46275</v>
      </c>
      <c r="D161" t="inlineStr">
        <is>
          <t>OPS</t>
        </is>
      </c>
      <c r="E161" t="inlineStr">
        <is>
          <t>1300 GST paid (1B)</t>
        </is>
      </c>
      <c r="F161" t="inlineStr">
        <is>
          <t>GST on Stripe fees</t>
        </is>
      </c>
      <c r="G161" s="9">
        <f>Exceptions!$I$69</f>
        <v>4.24</v>
      </c>
      <c r="H161" s="9" t="n">
        <v>0</v>
      </c>
      <c r="I161" t="inlineStr">
        <is>
          <t>GST</t>
        </is>
      </c>
      <c r="J161" t="inlineStr">
        <is>
          <t>AUD</t>
        </is>
      </c>
      <c r="K161" s="9">
        <f>ROUND(SUMIFS($G$5:$G$454,$A$5:$A$454,A161)-SUMIFS($H$5:$H$454,$A$5:$A$454,A161),2)</f>
        <v>0</v>
      </c>
    </row>
    <row r="162">
      <c r="A162" t="inlineStr">
        <is>
          <t>J066</t>
        </is>
      </c>
      <c r="B162" t="inlineStr">
        <is>
          <t>EX066</t>
        </is>
      </c>
      <c r="C162" s="5" t="n">
        <v>46276</v>
      </c>
      <c r="D162" t="inlineStr">
        <is>
          <t>OPS</t>
        </is>
      </c>
      <c r="E162" t="inlineStr">
        <is>
          <t>1110 Bank - Operating</t>
        </is>
      </c>
      <c r="F162" t="inlineStr">
        <is>
          <t>29 report lines; fees 68.85 | STRIPE PAYOUT STRIPE po_1Q0053</t>
        </is>
      </c>
      <c r="G162" s="9">
        <f>MAX(Exceptions!$H$70,0)</f>
        <v>0</v>
      </c>
      <c r="H162" s="9">
        <f>MAX(-Exceptions!$H$70,0)</f>
        <v>68.85</v>
      </c>
      <c r="I162" t="inlineStr"/>
      <c r="J162" t="inlineStr">
        <is>
          <t>AUD</t>
        </is>
      </c>
      <c r="K162" s="9">
        <f>ROUND(SUMIFS($G$5:$G$454,$A$5:$A$454,A162)-SUMIFS($H$5:$H$454,$A$5:$A$454,A162),2)</f>
        <v>0</v>
      </c>
    </row>
    <row r="163">
      <c r="A163" t="inlineStr">
        <is>
          <t>J066</t>
        </is>
      </c>
      <c r="B163" t="inlineStr">
        <is>
          <t>EX066</t>
        </is>
      </c>
      <c r="C163" s="5" t="n">
        <v>46276</v>
      </c>
      <c r="D163" t="inlineStr">
        <is>
          <t>OPS</t>
        </is>
      </c>
      <c r="E163" t="inlineStr">
        <is>
          <t>6120 Merchant and payment fees</t>
        </is>
      </c>
      <c r="F163" t="inlineStr">
        <is>
          <t>Stripe fees ex GST</t>
        </is>
      </c>
      <c r="G163" s="9">
        <f>ROUND(SUMIFS('Stripe Payouts'!$G$5:$G$72,'Stripe Payouts'!$M$5:$M$72,Exceptions!$D$70)-Exceptions!$I$70,2)</f>
        <v>62.59</v>
      </c>
      <c r="H163" s="9" t="n">
        <v>0</v>
      </c>
      <c r="I163" t="inlineStr">
        <is>
          <t>GST on purchases</t>
        </is>
      </c>
      <c r="J163" t="inlineStr">
        <is>
          <t>AUD</t>
        </is>
      </c>
      <c r="K163" s="9">
        <f>ROUND(SUMIFS($G$5:$G$454,$A$5:$A$454,A163)-SUMIFS($H$5:$H$454,$A$5:$A$454,A163),2)</f>
        <v>0</v>
      </c>
    </row>
    <row r="164">
      <c r="A164" t="inlineStr">
        <is>
          <t>J066</t>
        </is>
      </c>
      <c r="B164" t="inlineStr">
        <is>
          <t>EX066</t>
        </is>
      </c>
      <c r="C164" s="5" t="n">
        <v>46276</v>
      </c>
      <c r="D164" t="inlineStr">
        <is>
          <t>OPS</t>
        </is>
      </c>
      <c r="E164" t="inlineStr">
        <is>
          <t>1300 GST paid (1B)</t>
        </is>
      </c>
      <c r="F164" t="inlineStr">
        <is>
          <t>GST on Stripe fees</t>
        </is>
      </c>
      <c r="G164" s="9">
        <f>Exceptions!$I$70</f>
        <v>6.26</v>
      </c>
      <c r="H164" s="9" t="n">
        <v>0</v>
      </c>
      <c r="I164" t="inlineStr">
        <is>
          <t>GST</t>
        </is>
      </c>
      <c r="J164" t="inlineStr">
        <is>
          <t>AUD</t>
        </is>
      </c>
      <c r="K164" s="9">
        <f>ROUND(SUMIFS($G$5:$G$454,$A$5:$A$454,A164)-SUMIFS($H$5:$H$454,$A$5:$A$454,A164),2)</f>
        <v>0</v>
      </c>
    </row>
    <row r="165">
      <c r="A165" t="inlineStr">
        <is>
          <t>J067</t>
        </is>
      </c>
      <c r="B165" t="inlineStr">
        <is>
          <t>EX067</t>
        </is>
      </c>
      <c r="C165" s="5" t="n">
        <v>46279</v>
      </c>
      <c r="D165" t="inlineStr">
        <is>
          <t>OPS</t>
        </is>
      </c>
      <c r="E165" t="inlineStr">
        <is>
          <t>1110 Bank - Operating</t>
        </is>
      </c>
      <c r="F165" t="inlineStr">
        <is>
          <t>24 report lines; fees 66.18 | STRIPE PAYOUT STRIPE po_1Q0054</t>
        </is>
      </c>
      <c r="G165" s="9">
        <f>MAX(Exceptions!$H$71,0)</f>
        <v>0</v>
      </c>
      <c r="H165" s="9">
        <f>MAX(-Exceptions!$H$71,0)</f>
        <v>66.18</v>
      </c>
      <c r="I165" t="inlineStr"/>
      <c r="J165" t="inlineStr">
        <is>
          <t>AUD</t>
        </is>
      </c>
      <c r="K165" s="9">
        <f>ROUND(SUMIFS($G$5:$G$454,$A$5:$A$454,A165)-SUMIFS($H$5:$H$454,$A$5:$A$454,A165),2)</f>
        <v>0</v>
      </c>
    </row>
    <row r="166">
      <c r="A166" t="inlineStr">
        <is>
          <t>J067</t>
        </is>
      </c>
      <c r="B166" t="inlineStr">
        <is>
          <t>EX067</t>
        </is>
      </c>
      <c r="C166" s="5" t="n">
        <v>46279</v>
      </c>
      <c r="D166" t="inlineStr">
        <is>
          <t>OPS</t>
        </is>
      </c>
      <c r="E166" t="inlineStr">
        <is>
          <t>6120 Merchant and payment fees</t>
        </is>
      </c>
      <c r="F166" t="inlineStr">
        <is>
          <t>Stripe fees ex GST</t>
        </is>
      </c>
      <c r="G166" s="9">
        <f>ROUND(SUMIFS('Stripe Payouts'!$G$5:$G$72,'Stripe Payouts'!$M$5:$M$72,Exceptions!$D$71)-Exceptions!$I$71,2)</f>
        <v>60.16</v>
      </c>
      <c r="H166" s="9" t="n">
        <v>0</v>
      </c>
      <c r="I166" t="inlineStr">
        <is>
          <t>GST on purchases</t>
        </is>
      </c>
      <c r="J166" t="inlineStr">
        <is>
          <t>AUD</t>
        </is>
      </c>
      <c r="K166" s="9">
        <f>ROUND(SUMIFS($G$5:$G$454,$A$5:$A$454,A166)-SUMIFS($H$5:$H$454,$A$5:$A$454,A166),2)</f>
        <v>0</v>
      </c>
    </row>
    <row r="167">
      <c r="A167" t="inlineStr">
        <is>
          <t>J067</t>
        </is>
      </c>
      <c r="B167" t="inlineStr">
        <is>
          <t>EX067</t>
        </is>
      </c>
      <c r="C167" s="5" t="n">
        <v>46279</v>
      </c>
      <c r="D167" t="inlineStr">
        <is>
          <t>OPS</t>
        </is>
      </c>
      <c r="E167" t="inlineStr">
        <is>
          <t>1300 GST paid (1B)</t>
        </is>
      </c>
      <c r="F167" t="inlineStr">
        <is>
          <t>GST on Stripe fees</t>
        </is>
      </c>
      <c r="G167" s="9">
        <f>Exceptions!$I$71</f>
        <v>6.02</v>
      </c>
      <c r="H167" s="9" t="n">
        <v>0</v>
      </c>
      <c r="I167" t="inlineStr">
        <is>
          <t>GST</t>
        </is>
      </c>
      <c r="J167" t="inlineStr">
        <is>
          <t>AUD</t>
        </is>
      </c>
      <c r="K167" s="9">
        <f>ROUND(SUMIFS($G$5:$G$454,$A$5:$A$454,A167)-SUMIFS($H$5:$H$454,$A$5:$A$454,A167),2)</f>
        <v>0</v>
      </c>
    </row>
    <row r="168">
      <c r="A168" t="inlineStr">
        <is>
          <t>J068</t>
        </is>
      </c>
      <c r="B168" t="inlineStr">
        <is>
          <t>EX068</t>
        </is>
      </c>
      <c r="C168" s="5" t="n">
        <v>46280</v>
      </c>
      <c r="D168" t="inlineStr">
        <is>
          <t>OPS</t>
        </is>
      </c>
      <c r="E168" t="inlineStr">
        <is>
          <t>1110 Bank - Operating</t>
        </is>
      </c>
      <c r="F168" t="inlineStr">
        <is>
          <t>38 report lines; fees 94.91 | STRIPE PAYOUT STRIPE po_1Q0055</t>
        </is>
      </c>
      <c r="G168" s="9">
        <f>MAX(Exceptions!$H$72,0)</f>
        <v>0</v>
      </c>
      <c r="H168" s="9">
        <f>MAX(-Exceptions!$H$72,0)</f>
        <v>94.91</v>
      </c>
      <c r="I168" t="inlineStr"/>
      <c r="J168" t="inlineStr">
        <is>
          <t>AUD</t>
        </is>
      </c>
      <c r="K168" s="9">
        <f>ROUND(SUMIFS($G$5:$G$454,$A$5:$A$454,A168)-SUMIFS($H$5:$H$454,$A$5:$A$454,A168),2)</f>
        <v>0</v>
      </c>
    </row>
    <row r="169">
      <c r="A169" t="inlineStr">
        <is>
          <t>J068</t>
        </is>
      </c>
      <c r="B169" t="inlineStr">
        <is>
          <t>EX068</t>
        </is>
      </c>
      <c r="C169" s="5" t="n">
        <v>46280</v>
      </c>
      <c r="D169" t="inlineStr">
        <is>
          <t>OPS</t>
        </is>
      </c>
      <c r="E169" t="inlineStr">
        <is>
          <t>6120 Merchant and payment fees</t>
        </is>
      </c>
      <c r="F169" t="inlineStr">
        <is>
          <t>Stripe fees ex GST</t>
        </is>
      </c>
      <c r="G169" s="9">
        <f>ROUND(SUMIFS('Stripe Payouts'!$G$5:$G$72,'Stripe Payouts'!$M$5:$M$72,Exceptions!$D$72)-Exceptions!$I$72,2)</f>
        <v>86.28</v>
      </c>
      <c r="H169" s="9" t="n">
        <v>0</v>
      </c>
      <c r="I169" t="inlineStr">
        <is>
          <t>GST on purchases</t>
        </is>
      </c>
      <c r="J169" t="inlineStr">
        <is>
          <t>AUD</t>
        </is>
      </c>
      <c r="K169" s="9">
        <f>ROUND(SUMIFS($G$5:$G$454,$A$5:$A$454,A169)-SUMIFS($H$5:$H$454,$A$5:$A$454,A169),2)</f>
        <v>0</v>
      </c>
    </row>
    <row r="170">
      <c r="A170" t="inlineStr">
        <is>
          <t>J068</t>
        </is>
      </c>
      <c r="B170" t="inlineStr">
        <is>
          <t>EX068</t>
        </is>
      </c>
      <c r="C170" s="5" t="n">
        <v>46280</v>
      </c>
      <c r="D170" t="inlineStr">
        <is>
          <t>OPS</t>
        </is>
      </c>
      <c r="E170" t="inlineStr">
        <is>
          <t>1300 GST paid (1B)</t>
        </is>
      </c>
      <c r="F170" t="inlineStr">
        <is>
          <t>GST on Stripe fees</t>
        </is>
      </c>
      <c r="G170" s="9">
        <f>Exceptions!$I$72</f>
        <v>8.63</v>
      </c>
      <c r="H170" s="9" t="n">
        <v>0</v>
      </c>
      <c r="I170" t="inlineStr">
        <is>
          <t>GST</t>
        </is>
      </c>
      <c r="J170" t="inlineStr">
        <is>
          <t>AUD</t>
        </is>
      </c>
      <c r="K170" s="9">
        <f>ROUND(SUMIFS($G$5:$G$454,$A$5:$A$454,A170)-SUMIFS($H$5:$H$454,$A$5:$A$454,A170),2)</f>
        <v>0</v>
      </c>
    </row>
    <row r="171">
      <c r="A171" t="inlineStr">
        <is>
          <t>J069</t>
        </is>
      </c>
      <c r="B171" t="inlineStr">
        <is>
          <t>EX069</t>
        </is>
      </c>
      <c r="C171" s="5" t="n">
        <v>46281</v>
      </c>
      <c r="D171" t="inlineStr">
        <is>
          <t>OPS</t>
        </is>
      </c>
      <c r="E171" t="inlineStr">
        <is>
          <t>1110 Bank - Operating</t>
        </is>
      </c>
      <c r="F171" t="inlineStr">
        <is>
          <t>20 report lines; fees 45.60 | STRIPE PAYOUT STRIPE po_1Q0056</t>
        </is>
      </c>
      <c r="G171" s="9">
        <f>MAX(Exceptions!$H$73,0)</f>
        <v>0</v>
      </c>
      <c r="H171" s="9">
        <f>MAX(-Exceptions!$H$73,0)</f>
        <v>45.6</v>
      </c>
      <c r="I171" t="inlineStr"/>
      <c r="J171" t="inlineStr">
        <is>
          <t>AUD</t>
        </is>
      </c>
      <c r="K171" s="9">
        <f>ROUND(SUMIFS($G$5:$G$454,$A$5:$A$454,A171)-SUMIFS($H$5:$H$454,$A$5:$A$454,A171),2)</f>
        <v>0</v>
      </c>
    </row>
    <row r="172">
      <c r="A172" t="inlineStr">
        <is>
          <t>J069</t>
        </is>
      </c>
      <c r="B172" t="inlineStr">
        <is>
          <t>EX069</t>
        </is>
      </c>
      <c r="C172" s="5" t="n">
        <v>46281</v>
      </c>
      <c r="D172" t="inlineStr">
        <is>
          <t>OPS</t>
        </is>
      </c>
      <c r="E172" t="inlineStr">
        <is>
          <t>6120 Merchant and payment fees</t>
        </is>
      </c>
      <c r="F172" t="inlineStr">
        <is>
          <t>Stripe fees ex GST</t>
        </is>
      </c>
      <c r="G172" s="9">
        <f>ROUND(SUMIFS('Stripe Payouts'!$G$5:$G$72,'Stripe Payouts'!$M$5:$M$72,Exceptions!$D$73)-Exceptions!$I$73,2)</f>
        <v>41.45</v>
      </c>
      <c r="H172" s="9" t="n">
        <v>0</v>
      </c>
      <c r="I172" t="inlineStr">
        <is>
          <t>GST on purchases</t>
        </is>
      </c>
      <c r="J172" t="inlineStr">
        <is>
          <t>AUD</t>
        </is>
      </c>
      <c r="K172" s="9">
        <f>ROUND(SUMIFS($G$5:$G$454,$A$5:$A$454,A172)-SUMIFS($H$5:$H$454,$A$5:$A$454,A172),2)</f>
        <v>0</v>
      </c>
    </row>
    <row r="173">
      <c r="A173" t="inlineStr">
        <is>
          <t>J069</t>
        </is>
      </c>
      <c r="B173" t="inlineStr">
        <is>
          <t>EX069</t>
        </is>
      </c>
      <c r="C173" s="5" t="n">
        <v>46281</v>
      </c>
      <c r="D173" t="inlineStr">
        <is>
          <t>OPS</t>
        </is>
      </c>
      <c r="E173" t="inlineStr">
        <is>
          <t>1300 GST paid (1B)</t>
        </is>
      </c>
      <c r="F173" t="inlineStr">
        <is>
          <t>GST on Stripe fees</t>
        </is>
      </c>
      <c r="G173" s="9">
        <f>Exceptions!$I$73</f>
        <v>4.15</v>
      </c>
      <c r="H173" s="9" t="n">
        <v>0</v>
      </c>
      <c r="I173" t="inlineStr">
        <is>
          <t>GST</t>
        </is>
      </c>
      <c r="J173" t="inlineStr">
        <is>
          <t>AUD</t>
        </is>
      </c>
      <c r="K173" s="9">
        <f>ROUND(SUMIFS($G$5:$G$454,$A$5:$A$454,A173)-SUMIFS($H$5:$H$454,$A$5:$A$454,A173),2)</f>
        <v>0</v>
      </c>
    </row>
    <row r="174">
      <c r="A174" t="inlineStr">
        <is>
          <t>J070</t>
        </is>
      </c>
      <c r="B174" t="inlineStr">
        <is>
          <t>EX070</t>
        </is>
      </c>
      <c r="C174" s="5" t="n">
        <v>46282</v>
      </c>
      <c r="D174" t="inlineStr">
        <is>
          <t>OPS</t>
        </is>
      </c>
      <c r="E174" t="inlineStr">
        <is>
          <t>1110 Bank - Operating</t>
        </is>
      </c>
      <c r="F174" t="inlineStr">
        <is>
          <t>28 report lines; fees 71.60 | STRIPE PAYOUT STRIPE po_1Q0057</t>
        </is>
      </c>
      <c r="G174" s="9">
        <f>MAX(Exceptions!$H$74,0)</f>
        <v>0</v>
      </c>
      <c r="H174" s="9">
        <f>MAX(-Exceptions!$H$74,0)</f>
        <v>71.6</v>
      </c>
      <c r="I174" t="inlineStr"/>
      <c r="J174" t="inlineStr">
        <is>
          <t>AUD</t>
        </is>
      </c>
      <c r="K174" s="9">
        <f>ROUND(SUMIFS($G$5:$G$454,$A$5:$A$454,A174)-SUMIFS($H$5:$H$454,$A$5:$A$454,A174),2)</f>
        <v>0</v>
      </c>
    </row>
    <row r="175">
      <c r="A175" t="inlineStr">
        <is>
          <t>J070</t>
        </is>
      </c>
      <c r="B175" t="inlineStr">
        <is>
          <t>EX070</t>
        </is>
      </c>
      <c r="C175" s="5" t="n">
        <v>46282</v>
      </c>
      <c r="D175" t="inlineStr">
        <is>
          <t>OPS</t>
        </is>
      </c>
      <c r="E175" t="inlineStr">
        <is>
          <t>6120 Merchant and payment fees</t>
        </is>
      </c>
      <c r="F175" t="inlineStr">
        <is>
          <t>Stripe fees ex GST</t>
        </is>
      </c>
      <c r="G175" s="9">
        <f>ROUND(SUMIFS('Stripe Payouts'!$G$5:$G$72,'Stripe Payouts'!$M$5:$M$72,Exceptions!$D$74)-Exceptions!$I$74,2)</f>
        <v>65.09</v>
      </c>
      <c r="H175" s="9" t="n">
        <v>0</v>
      </c>
      <c r="I175" t="inlineStr">
        <is>
          <t>GST on purchases</t>
        </is>
      </c>
      <c r="J175" t="inlineStr">
        <is>
          <t>AUD</t>
        </is>
      </c>
      <c r="K175" s="9">
        <f>ROUND(SUMIFS($G$5:$G$454,$A$5:$A$454,A175)-SUMIFS($H$5:$H$454,$A$5:$A$454,A175),2)</f>
        <v>0</v>
      </c>
    </row>
    <row r="176">
      <c r="A176" t="inlineStr">
        <is>
          <t>J070</t>
        </is>
      </c>
      <c r="B176" t="inlineStr">
        <is>
          <t>EX070</t>
        </is>
      </c>
      <c r="C176" s="5" t="n">
        <v>46282</v>
      </c>
      <c r="D176" t="inlineStr">
        <is>
          <t>OPS</t>
        </is>
      </c>
      <c r="E176" t="inlineStr">
        <is>
          <t>1300 GST paid (1B)</t>
        </is>
      </c>
      <c r="F176" t="inlineStr">
        <is>
          <t>GST on Stripe fees</t>
        </is>
      </c>
      <c r="G176" s="9">
        <f>Exceptions!$I$74</f>
        <v>6.51</v>
      </c>
      <c r="H176" s="9" t="n">
        <v>0</v>
      </c>
      <c r="I176" t="inlineStr">
        <is>
          <t>GST</t>
        </is>
      </c>
      <c r="J176" t="inlineStr">
        <is>
          <t>AUD</t>
        </is>
      </c>
      <c r="K176" s="9">
        <f>ROUND(SUMIFS($G$5:$G$454,$A$5:$A$454,A176)-SUMIFS($H$5:$H$454,$A$5:$A$454,A176),2)</f>
        <v>0</v>
      </c>
    </row>
    <row r="177">
      <c r="A177" t="inlineStr">
        <is>
          <t>J071</t>
        </is>
      </c>
      <c r="B177" t="inlineStr">
        <is>
          <t>EX071</t>
        </is>
      </c>
      <c r="C177" s="5" t="n">
        <v>46283</v>
      </c>
      <c r="D177" t="inlineStr">
        <is>
          <t>OPS</t>
        </is>
      </c>
      <c r="E177" t="inlineStr">
        <is>
          <t>1110 Bank - Operating</t>
        </is>
      </c>
      <c r="F177" t="inlineStr">
        <is>
          <t>19 report lines; fees 47.73 | STRIPE PAYOUT STRIPE po_1Q0058</t>
        </is>
      </c>
      <c r="G177" s="9">
        <f>MAX(Exceptions!$H$75,0)</f>
        <v>0</v>
      </c>
      <c r="H177" s="9">
        <f>MAX(-Exceptions!$H$75,0)</f>
        <v>47.73</v>
      </c>
      <c r="I177" t="inlineStr"/>
      <c r="J177" t="inlineStr">
        <is>
          <t>AUD</t>
        </is>
      </c>
      <c r="K177" s="9">
        <f>ROUND(SUMIFS($G$5:$G$454,$A$5:$A$454,A177)-SUMIFS($H$5:$H$454,$A$5:$A$454,A177),2)</f>
        <v>0</v>
      </c>
    </row>
    <row r="178">
      <c r="A178" t="inlineStr">
        <is>
          <t>J071</t>
        </is>
      </c>
      <c r="B178" t="inlineStr">
        <is>
          <t>EX071</t>
        </is>
      </c>
      <c r="C178" s="5" t="n">
        <v>46283</v>
      </c>
      <c r="D178" t="inlineStr">
        <is>
          <t>OPS</t>
        </is>
      </c>
      <c r="E178" t="inlineStr">
        <is>
          <t>6120 Merchant and payment fees</t>
        </is>
      </c>
      <c r="F178" t="inlineStr">
        <is>
          <t>Stripe fees ex GST</t>
        </is>
      </c>
      <c r="G178" s="9">
        <f>ROUND(SUMIFS('Stripe Payouts'!$G$5:$G$72,'Stripe Payouts'!$M$5:$M$72,Exceptions!$D$75)-Exceptions!$I$75,2)</f>
        <v>43.39</v>
      </c>
      <c r="H178" s="9" t="n">
        <v>0</v>
      </c>
      <c r="I178" t="inlineStr">
        <is>
          <t>GST on purchases</t>
        </is>
      </c>
      <c r="J178" t="inlineStr">
        <is>
          <t>AUD</t>
        </is>
      </c>
      <c r="K178" s="9">
        <f>ROUND(SUMIFS($G$5:$G$454,$A$5:$A$454,A178)-SUMIFS($H$5:$H$454,$A$5:$A$454,A178),2)</f>
        <v>0</v>
      </c>
    </row>
    <row r="179">
      <c r="A179" t="inlineStr">
        <is>
          <t>J071</t>
        </is>
      </c>
      <c r="B179" t="inlineStr">
        <is>
          <t>EX071</t>
        </is>
      </c>
      <c r="C179" s="5" t="n">
        <v>46283</v>
      </c>
      <c r="D179" t="inlineStr">
        <is>
          <t>OPS</t>
        </is>
      </c>
      <c r="E179" t="inlineStr">
        <is>
          <t>1300 GST paid (1B)</t>
        </is>
      </c>
      <c r="F179" t="inlineStr">
        <is>
          <t>GST on Stripe fees</t>
        </is>
      </c>
      <c r="G179" s="9">
        <f>Exceptions!$I$75</f>
        <v>4.34</v>
      </c>
      <c r="H179" s="9" t="n">
        <v>0</v>
      </c>
      <c r="I179" t="inlineStr">
        <is>
          <t>GST</t>
        </is>
      </c>
      <c r="J179" t="inlineStr">
        <is>
          <t>AUD</t>
        </is>
      </c>
      <c r="K179" s="9">
        <f>ROUND(SUMIFS($G$5:$G$454,$A$5:$A$454,A179)-SUMIFS($H$5:$H$454,$A$5:$A$454,A179),2)</f>
        <v>0</v>
      </c>
    </row>
    <row r="180">
      <c r="A180" t="inlineStr">
        <is>
          <t>J072</t>
        </is>
      </c>
      <c r="B180" t="inlineStr">
        <is>
          <t>EX072</t>
        </is>
      </c>
      <c r="C180" s="5" t="n">
        <v>46286</v>
      </c>
      <c r="D180" t="inlineStr">
        <is>
          <t>OPS</t>
        </is>
      </c>
      <c r="E180" t="inlineStr">
        <is>
          <t>1110 Bank - Operating</t>
        </is>
      </c>
      <c r="F180" t="inlineStr">
        <is>
          <t>22 report lines; fees 61.13 | STRIPE PAYOUT STRIPE po_1Q0059</t>
        </is>
      </c>
      <c r="G180" s="9">
        <f>MAX(Exceptions!$H$76,0)</f>
        <v>0</v>
      </c>
      <c r="H180" s="9">
        <f>MAX(-Exceptions!$H$76,0)</f>
        <v>61.13</v>
      </c>
      <c r="I180" t="inlineStr"/>
      <c r="J180" t="inlineStr">
        <is>
          <t>AUD</t>
        </is>
      </c>
      <c r="K180" s="9">
        <f>ROUND(SUMIFS($G$5:$G$454,$A$5:$A$454,A180)-SUMIFS($H$5:$H$454,$A$5:$A$454,A180),2)</f>
        <v>0</v>
      </c>
    </row>
    <row r="181">
      <c r="A181" t="inlineStr">
        <is>
          <t>J072</t>
        </is>
      </c>
      <c r="B181" t="inlineStr">
        <is>
          <t>EX072</t>
        </is>
      </c>
      <c r="C181" s="5" t="n">
        <v>46286</v>
      </c>
      <c r="D181" t="inlineStr">
        <is>
          <t>OPS</t>
        </is>
      </c>
      <c r="E181" t="inlineStr">
        <is>
          <t>6120 Merchant and payment fees</t>
        </is>
      </c>
      <c r="F181" t="inlineStr">
        <is>
          <t>Stripe fees ex GST</t>
        </is>
      </c>
      <c r="G181" s="9">
        <f>ROUND(SUMIFS('Stripe Payouts'!$G$5:$G$72,'Stripe Payouts'!$M$5:$M$72,Exceptions!$D$76)-Exceptions!$I$76,2)</f>
        <v>55.57</v>
      </c>
      <c r="H181" s="9" t="n">
        <v>0</v>
      </c>
      <c r="I181" t="inlineStr">
        <is>
          <t>GST on purchases</t>
        </is>
      </c>
      <c r="J181" t="inlineStr">
        <is>
          <t>AUD</t>
        </is>
      </c>
      <c r="K181" s="9">
        <f>ROUND(SUMIFS($G$5:$G$454,$A$5:$A$454,A181)-SUMIFS($H$5:$H$454,$A$5:$A$454,A181),2)</f>
        <v>0</v>
      </c>
    </row>
    <row r="182">
      <c r="A182" t="inlineStr">
        <is>
          <t>J072</t>
        </is>
      </c>
      <c r="B182" t="inlineStr">
        <is>
          <t>EX072</t>
        </is>
      </c>
      <c r="C182" s="5" t="n">
        <v>46286</v>
      </c>
      <c r="D182" t="inlineStr">
        <is>
          <t>OPS</t>
        </is>
      </c>
      <c r="E182" t="inlineStr">
        <is>
          <t>1300 GST paid (1B)</t>
        </is>
      </c>
      <c r="F182" t="inlineStr">
        <is>
          <t>GST on Stripe fees</t>
        </is>
      </c>
      <c r="G182" s="9">
        <f>Exceptions!$I$76</f>
        <v>5.56</v>
      </c>
      <c r="H182" s="9" t="n">
        <v>0</v>
      </c>
      <c r="I182" t="inlineStr">
        <is>
          <t>GST</t>
        </is>
      </c>
      <c r="J182" t="inlineStr">
        <is>
          <t>AUD</t>
        </is>
      </c>
      <c r="K182" s="9">
        <f>ROUND(SUMIFS($G$5:$G$454,$A$5:$A$454,A182)-SUMIFS($H$5:$H$454,$A$5:$A$454,A182),2)</f>
        <v>0</v>
      </c>
    </row>
    <row r="183">
      <c r="A183" t="inlineStr">
        <is>
          <t>J073</t>
        </is>
      </c>
      <c r="B183" t="inlineStr">
        <is>
          <t>EX073</t>
        </is>
      </c>
      <c r="C183" s="5" t="n">
        <v>46287</v>
      </c>
      <c r="D183" t="inlineStr">
        <is>
          <t>OPS</t>
        </is>
      </c>
      <c r="E183" t="inlineStr">
        <is>
          <t>1110 Bank - Operating</t>
        </is>
      </c>
      <c r="F183" t="inlineStr">
        <is>
          <t>39 report lines; fees 98.55 | STRIPE PAYOUT STRIPE po_1Q0060</t>
        </is>
      </c>
      <c r="G183" s="9">
        <f>MAX(Exceptions!$H$77,0)</f>
        <v>0</v>
      </c>
      <c r="H183" s="9">
        <f>MAX(-Exceptions!$H$77,0)</f>
        <v>98.55</v>
      </c>
      <c r="I183" t="inlineStr"/>
      <c r="J183" t="inlineStr">
        <is>
          <t>AUD</t>
        </is>
      </c>
      <c r="K183" s="9">
        <f>ROUND(SUMIFS($G$5:$G$454,$A$5:$A$454,A183)-SUMIFS($H$5:$H$454,$A$5:$A$454,A183),2)</f>
        <v>0</v>
      </c>
    </row>
    <row r="184">
      <c r="A184" t="inlineStr">
        <is>
          <t>J073</t>
        </is>
      </c>
      <c r="B184" t="inlineStr">
        <is>
          <t>EX073</t>
        </is>
      </c>
      <c r="C184" s="5" t="n">
        <v>46287</v>
      </c>
      <c r="D184" t="inlineStr">
        <is>
          <t>OPS</t>
        </is>
      </c>
      <c r="E184" t="inlineStr">
        <is>
          <t>6120 Merchant and payment fees</t>
        </is>
      </c>
      <c r="F184" t="inlineStr">
        <is>
          <t>Stripe fees ex GST</t>
        </is>
      </c>
      <c r="G184" s="9">
        <f>ROUND(SUMIFS('Stripe Payouts'!$G$5:$G$72,'Stripe Payouts'!$M$5:$M$72,Exceptions!$D$77)-Exceptions!$I$77,2)</f>
        <v>89.59</v>
      </c>
      <c r="H184" s="9" t="n">
        <v>0</v>
      </c>
      <c r="I184" t="inlineStr">
        <is>
          <t>GST on purchases</t>
        </is>
      </c>
      <c r="J184" t="inlineStr">
        <is>
          <t>AUD</t>
        </is>
      </c>
      <c r="K184" s="9">
        <f>ROUND(SUMIFS($G$5:$G$454,$A$5:$A$454,A184)-SUMIFS($H$5:$H$454,$A$5:$A$454,A184),2)</f>
        <v>0</v>
      </c>
    </row>
    <row r="185">
      <c r="A185" t="inlineStr">
        <is>
          <t>J073</t>
        </is>
      </c>
      <c r="B185" t="inlineStr">
        <is>
          <t>EX073</t>
        </is>
      </c>
      <c r="C185" s="5" t="n">
        <v>46287</v>
      </c>
      <c r="D185" t="inlineStr">
        <is>
          <t>OPS</t>
        </is>
      </c>
      <c r="E185" t="inlineStr">
        <is>
          <t>1300 GST paid (1B)</t>
        </is>
      </c>
      <c r="F185" t="inlineStr">
        <is>
          <t>GST on Stripe fees</t>
        </is>
      </c>
      <c r="G185" s="9">
        <f>Exceptions!$I$77</f>
        <v>8.96</v>
      </c>
      <c r="H185" s="9" t="n">
        <v>0</v>
      </c>
      <c r="I185" t="inlineStr">
        <is>
          <t>GST</t>
        </is>
      </c>
      <c r="J185" t="inlineStr">
        <is>
          <t>AUD</t>
        </is>
      </c>
      <c r="K185" s="9">
        <f>ROUND(SUMIFS($G$5:$G$454,$A$5:$A$454,A185)-SUMIFS($H$5:$H$454,$A$5:$A$454,A185),2)</f>
        <v>0</v>
      </c>
    </row>
    <row r="186">
      <c r="A186" t="inlineStr">
        <is>
          <t>J074</t>
        </is>
      </c>
      <c r="B186" t="inlineStr">
        <is>
          <t>EX074</t>
        </is>
      </c>
      <c r="C186" s="5" t="n">
        <v>46288</v>
      </c>
      <c r="D186" t="inlineStr">
        <is>
          <t>OPS</t>
        </is>
      </c>
      <c r="E186" t="inlineStr">
        <is>
          <t>1110 Bank - Operating</t>
        </is>
      </c>
      <c r="F186" t="inlineStr">
        <is>
          <t>34 report lines; fees 86.19 | STRIPE PAYOUT STRIPE po_1Q0061</t>
        </is>
      </c>
      <c r="G186" s="9">
        <f>MAX(Exceptions!$H$78,0)</f>
        <v>0</v>
      </c>
      <c r="H186" s="9">
        <f>MAX(-Exceptions!$H$78,0)</f>
        <v>86.19</v>
      </c>
      <c r="I186" t="inlineStr"/>
      <c r="J186" t="inlineStr">
        <is>
          <t>AUD</t>
        </is>
      </c>
      <c r="K186" s="9">
        <f>ROUND(SUMIFS($G$5:$G$454,$A$5:$A$454,A186)-SUMIFS($H$5:$H$454,$A$5:$A$454,A186),2)</f>
        <v>0</v>
      </c>
    </row>
    <row r="187">
      <c r="A187" t="inlineStr">
        <is>
          <t>J074</t>
        </is>
      </c>
      <c r="B187" t="inlineStr">
        <is>
          <t>EX074</t>
        </is>
      </c>
      <c r="C187" s="5" t="n">
        <v>46288</v>
      </c>
      <c r="D187" t="inlineStr">
        <is>
          <t>OPS</t>
        </is>
      </c>
      <c r="E187" t="inlineStr">
        <is>
          <t>6120 Merchant and payment fees</t>
        </is>
      </c>
      <c r="F187" t="inlineStr">
        <is>
          <t>Stripe fees ex GST</t>
        </is>
      </c>
      <c r="G187" s="9">
        <f>ROUND(SUMIFS('Stripe Payouts'!$G$5:$G$72,'Stripe Payouts'!$M$5:$M$72,Exceptions!$D$78)-Exceptions!$I$78,2)</f>
        <v>78.35</v>
      </c>
      <c r="H187" s="9" t="n">
        <v>0</v>
      </c>
      <c r="I187" t="inlineStr">
        <is>
          <t>GST on purchases</t>
        </is>
      </c>
      <c r="J187" t="inlineStr">
        <is>
          <t>AUD</t>
        </is>
      </c>
      <c r="K187" s="9">
        <f>ROUND(SUMIFS($G$5:$G$454,$A$5:$A$454,A187)-SUMIFS($H$5:$H$454,$A$5:$A$454,A187),2)</f>
        <v>0</v>
      </c>
    </row>
    <row r="188">
      <c r="A188" t="inlineStr">
        <is>
          <t>J074</t>
        </is>
      </c>
      <c r="B188" t="inlineStr">
        <is>
          <t>EX074</t>
        </is>
      </c>
      <c r="C188" s="5" t="n">
        <v>46288</v>
      </c>
      <c r="D188" t="inlineStr">
        <is>
          <t>OPS</t>
        </is>
      </c>
      <c r="E188" t="inlineStr">
        <is>
          <t>1300 GST paid (1B)</t>
        </is>
      </c>
      <c r="F188" t="inlineStr">
        <is>
          <t>GST on Stripe fees</t>
        </is>
      </c>
      <c r="G188" s="9">
        <f>Exceptions!$I$78</f>
        <v>7.84</v>
      </c>
      <c r="H188" s="9" t="n">
        <v>0</v>
      </c>
      <c r="I188" t="inlineStr">
        <is>
          <t>GST</t>
        </is>
      </c>
      <c r="J188" t="inlineStr">
        <is>
          <t>AUD</t>
        </is>
      </c>
      <c r="K188" s="9">
        <f>ROUND(SUMIFS($G$5:$G$454,$A$5:$A$454,A188)-SUMIFS($H$5:$H$454,$A$5:$A$454,A188),2)</f>
        <v>0</v>
      </c>
    </row>
    <row r="189">
      <c r="A189" t="inlineStr">
        <is>
          <t>J075</t>
        </is>
      </c>
      <c r="B189" t="inlineStr">
        <is>
          <t>EX075</t>
        </is>
      </c>
      <c r="C189" s="5" t="n">
        <v>46289</v>
      </c>
      <c r="D189" t="inlineStr">
        <is>
          <t>OPS</t>
        </is>
      </c>
      <c r="E189" t="inlineStr">
        <is>
          <t>1110 Bank - Operating</t>
        </is>
      </c>
      <c r="F189" t="inlineStr">
        <is>
          <t>18 report lines; fees 49.59 | STRIPE PAYOUT STRIPE po_1Q0062</t>
        </is>
      </c>
      <c r="G189" s="9">
        <f>MAX(Exceptions!$H$79,0)</f>
        <v>0</v>
      </c>
      <c r="H189" s="9">
        <f>MAX(-Exceptions!$H$79,0)</f>
        <v>49.59</v>
      </c>
      <c r="I189" t="inlineStr"/>
      <c r="J189" t="inlineStr">
        <is>
          <t>AUD</t>
        </is>
      </c>
      <c r="K189" s="9">
        <f>ROUND(SUMIFS($G$5:$G$454,$A$5:$A$454,A189)-SUMIFS($H$5:$H$454,$A$5:$A$454,A189),2)</f>
        <v>0</v>
      </c>
    </row>
    <row r="190">
      <c r="A190" t="inlineStr">
        <is>
          <t>J075</t>
        </is>
      </c>
      <c r="B190" t="inlineStr">
        <is>
          <t>EX075</t>
        </is>
      </c>
      <c r="C190" s="5" t="n">
        <v>46289</v>
      </c>
      <c r="D190" t="inlineStr">
        <is>
          <t>OPS</t>
        </is>
      </c>
      <c r="E190" t="inlineStr">
        <is>
          <t>6120 Merchant and payment fees</t>
        </is>
      </c>
      <c r="F190" t="inlineStr">
        <is>
          <t>Stripe fees ex GST</t>
        </is>
      </c>
      <c r="G190" s="9">
        <f>ROUND(SUMIFS('Stripe Payouts'!$G$5:$G$72,'Stripe Payouts'!$M$5:$M$72,Exceptions!$D$79)-Exceptions!$I$79,2)</f>
        <v>45.08</v>
      </c>
      <c r="H190" s="9" t="n">
        <v>0</v>
      </c>
      <c r="I190" t="inlineStr">
        <is>
          <t>GST on purchases</t>
        </is>
      </c>
      <c r="J190" t="inlineStr">
        <is>
          <t>AUD</t>
        </is>
      </c>
      <c r="K190" s="9">
        <f>ROUND(SUMIFS($G$5:$G$454,$A$5:$A$454,A190)-SUMIFS($H$5:$H$454,$A$5:$A$454,A190),2)</f>
        <v>0</v>
      </c>
    </row>
    <row r="191">
      <c r="A191" t="inlineStr">
        <is>
          <t>J075</t>
        </is>
      </c>
      <c r="B191" t="inlineStr">
        <is>
          <t>EX075</t>
        </is>
      </c>
      <c r="C191" s="5" t="n">
        <v>46289</v>
      </c>
      <c r="D191" t="inlineStr">
        <is>
          <t>OPS</t>
        </is>
      </c>
      <c r="E191" t="inlineStr">
        <is>
          <t>1300 GST paid (1B)</t>
        </is>
      </c>
      <c r="F191" t="inlineStr">
        <is>
          <t>GST on Stripe fees</t>
        </is>
      </c>
      <c r="G191" s="9">
        <f>Exceptions!$I$79</f>
        <v>4.51</v>
      </c>
      <c r="H191" s="9" t="n">
        <v>0</v>
      </c>
      <c r="I191" t="inlineStr">
        <is>
          <t>GST</t>
        </is>
      </c>
      <c r="J191" t="inlineStr">
        <is>
          <t>AUD</t>
        </is>
      </c>
      <c r="K191" s="9">
        <f>ROUND(SUMIFS($G$5:$G$454,$A$5:$A$454,A191)-SUMIFS($H$5:$H$454,$A$5:$A$454,A191),2)</f>
        <v>0</v>
      </c>
    </row>
    <row r="192">
      <c r="A192" t="inlineStr">
        <is>
          <t>J076</t>
        </is>
      </c>
      <c r="B192" t="inlineStr">
        <is>
          <t>EX076</t>
        </is>
      </c>
      <c r="C192" s="5" t="n">
        <v>46290</v>
      </c>
      <c r="D192" t="inlineStr">
        <is>
          <t>OPS</t>
        </is>
      </c>
      <c r="E192" t="inlineStr">
        <is>
          <t>1110 Bank - Operating</t>
        </is>
      </c>
      <c r="F192" t="inlineStr">
        <is>
          <t>27 report lines; fees 66.58 | STRIPE PAYOUT STRIPE po_1Q0063</t>
        </is>
      </c>
      <c r="G192" s="9">
        <f>MAX(Exceptions!$H$80,0)</f>
        <v>0</v>
      </c>
      <c r="H192" s="9">
        <f>MAX(-Exceptions!$H$80,0)</f>
        <v>66.58</v>
      </c>
      <c r="I192" t="inlineStr"/>
      <c r="J192" t="inlineStr">
        <is>
          <t>AUD</t>
        </is>
      </c>
      <c r="K192" s="9">
        <f>ROUND(SUMIFS($G$5:$G$454,$A$5:$A$454,A192)-SUMIFS($H$5:$H$454,$A$5:$A$454,A192),2)</f>
        <v>0</v>
      </c>
    </row>
    <row r="193">
      <c r="A193" t="inlineStr">
        <is>
          <t>J076</t>
        </is>
      </c>
      <c r="B193" t="inlineStr">
        <is>
          <t>EX076</t>
        </is>
      </c>
      <c r="C193" s="5" t="n">
        <v>46290</v>
      </c>
      <c r="D193" t="inlineStr">
        <is>
          <t>OPS</t>
        </is>
      </c>
      <c r="E193" t="inlineStr">
        <is>
          <t>6120 Merchant and payment fees</t>
        </is>
      </c>
      <c r="F193" t="inlineStr">
        <is>
          <t>Stripe fees ex GST</t>
        </is>
      </c>
      <c r="G193" s="9">
        <f>ROUND(SUMIFS('Stripe Payouts'!$G$5:$G$72,'Stripe Payouts'!$M$5:$M$72,Exceptions!$D$80)-Exceptions!$I$80,2)</f>
        <v>60.53</v>
      </c>
      <c r="H193" s="9" t="n">
        <v>0</v>
      </c>
      <c r="I193" t="inlineStr">
        <is>
          <t>GST on purchases</t>
        </is>
      </c>
      <c r="J193" t="inlineStr">
        <is>
          <t>AUD</t>
        </is>
      </c>
      <c r="K193" s="9">
        <f>ROUND(SUMIFS($G$5:$G$454,$A$5:$A$454,A193)-SUMIFS($H$5:$H$454,$A$5:$A$454,A193),2)</f>
        <v>0</v>
      </c>
    </row>
    <row r="194">
      <c r="A194" t="inlineStr">
        <is>
          <t>J076</t>
        </is>
      </c>
      <c r="B194" t="inlineStr">
        <is>
          <t>EX076</t>
        </is>
      </c>
      <c r="C194" s="5" t="n">
        <v>46290</v>
      </c>
      <c r="D194" t="inlineStr">
        <is>
          <t>OPS</t>
        </is>
      </c>
      <c r="E194" t="inlineStr">
        <is>
          <t>1300 GST paid (1B)</t>
        </is>
      </c>
      <c r="F194" t="inlineStr">
        <is>
          <t>GST on Stripe fees</t>
        </is>
      </c>
      <c r="G194" s="9">
        <f>Exceptions!$I$80</f>
        <v>6.05</v>
      </c>
      <c r="H194" s="9" t="n">
        <v>0</v>
      </c>
      <c r="I194" t="inlineStr">
        <is>
          <t>GST</t>
        </is>
      </c>
      <c r="J194" t="inlineStr">
        <is>
          <t>AUD</t>
        </is>
      </c>
      <c r="K194" s="9">
        <f>ROUND(SUMIFS($G$5:$G$454,$A$5:$A$454,A194)-SUMIFS($H$5:$H$454,$A$5:$A$454,A194),2)</f>
        <v>0</v>
      </c>
    </row>
    <row r="195">
      <c r="A195" t="inlineStr">
        <is>
          <t>J077</t>
        </is>
      </c>
      <c r="B195" t="inlineStr">
        <is>
          <t>EX077</t>
        </is>
      </c>
      <c r="C195" s="5" t="n">
        <v>46293</v>
      </c>
      <c r="D195" t="inlineStr">
        <is>
          <t>OPS</t>
        </is>
      </c>
      <c r="E195" t="inlineStr">
        <is>
          <t>1110 Bank - Operating</t>
        </is>
      </c>
      <c r="F195" t="inlineStr">
        <is>
          <t>26 report lines; fees 68.19 | STRIPE PAYOUT STRIPE po_1Q0064</t>
        </is>
      </c>
      <c r="G195" s="9">
        <f>MAX(Exceptions!$H$81,0)</f>
        <v>0</v>
      </c>
      <c r="H195" s="9">
        <f>MAX(-Exceptions!$H$81,0)</f>
        <v>68.19</v>
      </c>
      <c r="I195" t="inlineStr"/>
      <c r="J195" t="inlineStr">
        <is>
          <t>AUD</t>
        </is>
      </c>
      <c r="K195" s="9">
        <f>ROUND(SUMIFS($G$5:$G$454,$A$5:$A$454,A195)-SUMIFS($H$5:$H$454,$A$5:$A$454,A195),2)</f>
        <v>0</v>
      </c>
    </row>
    <row r="196">
      <c r="A196" t="inlineStr">
        <is>
          <t>J077</t>
        </is>
      </c>
      <c r="B196" t="inlineStr">
        <is>
          <t>EX077</t>
        </is>
      </c>
      <c r="C196" s="5" t="n">
        <v>46293</v>
      </c>
      <c r="D196" t="inlineStr">
        <is>
          <t>OPS</t>
        </is>
      </c>
      <c r="E196" t="inlineStr">
        <is>
          <t>6120 Merchant and payment fees</t>
        </is>
      </c>
      <c r="F196" t="inlineStr">
        <is>
          <t>Stripe fees ex GST</t>
        </is>
      </c>
      <c r="G196" s="9">
        <f>ROUND(SUMIFS('Stripe Payouts'!$G$5:$G$72,'Stripe Payouts'!$M$5:$M$72,Exceptions!$D$81)-Exceptions!$I$81,2)</f>
        <v>61.99</v>
      </c>
      <c r="H196" s="9" t="n">
        <v>0</v>
      </c>
      <c r="I196" t="inlineStr">
        <is>
          <t>GST on purchases</t>
        </is>
      </c>
      <c r="J196" t="inlineStr">
        <is>
          <t>AUD</t>
        </is>
      </c>
      <c r="K196" s="9">
        <f>ROUND(SUMIFS($G$5:$G$454,$A$5:$A$454,A196)-SUMIFS($H$5:$H$454,$A$5:$A$454,A196),2)</f>
        <v>0</v>
      </c>
    </row>
    <row r="197">
      <c r="A197" t="inlineStr">
        <is>
          <t>J077</t>
        </is>
      </c>
      <c r="B197" t="inlineStr">
        <is>
          <t>EX077</t>
        </is>
      </c>
      <c r="C197" s="5" t="n">
        <v>46293</v>
      </c>
      <c r="D197" t="inlineStr">
        <is>
          <t>OPS</t>
        </is>
      </c>
      <c r="E197" t="inlineStr">
        <is>
          <t>1300 GST paid (1B)</t>
        </is>
      </c>
      <c r="F197" t="inlineStr">
        <is>
          <t>GST on Stripe fees</t>
        </is>
      </c>
      <c r="G197" s="9">
        <f>Exceptions!$I$81</f>
        <v>6.2</v>
      </c>
      <c r="H197" s="9" t="n">
        <v>0</v>
      </c>
      <c r="I197" t="inlineStr">
        <is>
          <t>GST</t>
        </is>
      </c>
      <c r="J197" t="inlineStr">
        <is>
          <t>AUD</t>
        </is>
      </c>
      <c r="K197" s="9">
        <f>ROUND(SUMIFS($G$5:$G$454,$A$5:$A$454,A197)-SUMIFS($H$5:$H$454,$A$5:$A$454,A197),2)</f>
        <v>0</v>
      </c>
    </row>
    <row r="198">
      <c r="A198" t="inlineStr">
        <is>
          <t>J078</t>
        </is>
      </c>
      <c r="B198" t="inlineStr">
        <is>
          <t>EX078</t>
        </is>
      </c>
      <c r="C198" s="5" t="n">
        <v>46294</v>
      </c>
      <c r="D198" t="inlineStr">
        <is>
          <t>OPS</t>
        </is>
      </c>
      <c r="E198" t="inlineStr">
        <is>
          <t>1110 Bank - Operating</t>
        </is>
      </c>
      <c r="F198" t="inlineStr">
        <is>
          <t>37 report lines; fees 89.81 | STRIPE PAYOUT STRIPE po_1Q0065</t>
        </is>
      </c>
      <c r="G198" s="9">
        <f>MAX(Exceptions!$H$82,0)</f>
        <v>0</v>
      </c>
      <c r="H198" s="9">
        <f>MAX(-Exceptions!$H$82,0)</f>
        <v>89.81</v>
      </c>
      <c r="I198" t="inlineStr"/>
      <c r="J198" t="inlineStr">
        <is>
          <t>AUD</t>
        </is>
      </c>
      <c r="K198" s="9">
        <f>ROUND(SUMIFS($G$5:$G$454,$A$5:$A$454,A198)-SUMIFS($H$5:$H$454,$A$5:$A$454,A198),2)</f>
        <v>0</v>
      </c>
    </row>
    <row r="199">
      <c r="A199" t="inlineStr">
        <is>
          <t>J078</t>
        </is>
      </c>
      <c r="B199" t="inlineStr">
        <is>
          <t>EX078</t>
        </is>
      </c>
      <c r="C199" s="5" t="n">
        <v>46294</v>
      </c>
      <c r="D199" t="inlineStr">
        <is>
          <t>OPS</t>
        </is>
      </c>
      <c r="E199" t="inlineStr">
        <is>
          <t>6120 Merchant and payment fees</t>
        </is>
      </c>
      <c r="F199" t="inlineStr">
        <is>
          <t>Stripe fees ex GST</t>
        </is>
      </c>
      <c r="G199" s="9">
        <f>ROUND(SUMIFS('Stripe Payouts'!$G$5:$G$72,'Stripe Payouts'!$M$5:$M$72,Exceptions!$D$82)-Exceptions!$I$82,2)</f>
        <v>81.65</v>
      </c>
      <c r="H199" s="9" t="n">
        <v>0</v>
      </c>
      <c r="I199" t="inlineStr">
        <is>
          <t>GST on purchases</t>
        </is>
      </c>
      <c r="J199" t="inlineStr">
        <is>
          <t>AUD</t>
        </is>
      </c>
      <c r="K199" s="9">
        <f>ROUND(SUMIFS($G$5:$G$454,$A$5:$A$454,A199)-SUMIFS($H$5:$H$454,$A$5:$A$454,A199),2)</f>
        <v>0</v>
      </c>
    </row>
    <row r="200">
      <c r="A200" t="inlineStr">
        <is>
          <t>J078</t>
        </is>
      </c>
      <c r="B200" t="inlineStr">
        <is>
          <t>EX078</t>
        </is>
      </c>
      <c r="C200" s="5" t="n">
        <v>46294</v>
      </c>
      <c r="D200" t="inlineStr">
        <is>
          <t>OPS</t>
        </is>
      </c>
      <c r="E200" t="inlineStr">
        <is>
          <t>1300 GST paid (1B)</t>
        </is>
      </c>
      <c r="F200" t="inlineStr">
        <is>
          <t>GST on Stripe fees</t>
        </is>
      </c>
      <c r="G200" s="9">
        <f>Exceptions!$I$82</f>
        <v>8.16</v>
      </c>
      <c r="H200" s="9" t="n">
        <v>0</v>
      </c>
      <c r="I200" t="inlineStr">
        <is>
          <t>GST</t>
        </is>
      </c>
      <c r="J200" t="inlineStr">
        <is>
          <t>AUD</t>
        </is>
      </c>
      <c r="K200" s="9">
        <f>ROUND(SUMIFS($G$5:$G$454,$A$5:$A$454,A200)-SUMIFS($H$5:$H$454,$A$5:$A$454,A200),2)</f>
        <v>0</v>
      </c>
    </row>
    <row r="201">
      <c r="A201" t="inlineStr">
        <is>
          <t>J079</t>
        </is>
      </c>
      <c r="B201" t="inlineStr">
        <is>
          <t>EX079</t>
        </is>
      </c>
      <c r="C201" s="5" t="n">
        <v>46295</v>
      </c>
      <c r="D201" t="inlineStr">
        <is>
          <t>OPS</t>
        </is>
      </c>
      <c r="E201" t="inlineStr">
        <is>
          <t>1110 Bank - Operating</t>
        </is>
      </c>
      <c r="F201" t="inlineStr">
        <is>
          <t>27 report lines; fees 70.51 | STRIPE PAYOUT STRIPE po_1Q0066</t>
        </is>
      </c>
      <c r="G201" s="9">
        <f>MAX(Exceptions!$H$83,0)</f>
        <v>0</v>
      </c>
      <c r="H201" s="9">
        <f>MAX(-Exceptions!$H$83,0)</f>
        <v>70.51</v>
      </c>
      <c r="I201" t="inlineStr"/>
      <c r="J201" t="inlineStr">
        <is>
          <t>AUD</t>
        </is>
      </c>
      <c r="K201" s="9">
        <f>ROUND(SUMIFS($G$5:$G$454,$A$5:$A$454,A201)-SUMIFS($H$5:$H$454,$A$5:$A$454,A201),2)</f>
        <v>0</v>
      </c>
    </row>
    <row r="202">
      <c r="A202" t="inlineStr">
        <is>
          <t>J079</t>
        </is>
      </c>
      <c r="B202" t="inlineStr">
        <is>
          <t>EX079</t>
        </is>
      </c>
      <c r="C202" s="5" t="n">
        <v>46295</v>
      </c>
      <c r="D202" t="inlineStr">
        <is>
          <t>OPS</t>
        </is>
      </c>
      <c r="E202" t="inlineStr">
        <is>
          <t>6120 Merchant and payment fees</t>
        </is>
      </c>
      <c r="F202" t="inlineStr">
        <is>
          <t>Stripe fees ex GST</t>
        </is>
      </c>
      <c r="G202" s="9">
        <f>ROUND(SUMIFS('Stripe Payouts'!$G$5:$G$72,'Stripe Payouts'!$M$5:$M$72,Exceptions!$D$83)-Exceptions!$I$83,2)</f>
        <v>64.1</v>
      </c>
      <c r="H202" s="9" t="n">
        <v>0</v>
      </c>
      <c r="I202" t="inlineStr">
        <is>
          <t>GST on purchases</t>
        </is>
      </c>
      <c r="J202" t="inlineStr">
        <is>
          <t>AUD</t>
        </is>
      </c>
      <c r="K202" s="9">
        <f>ROUND(SUMIFS($G$5:$G$454,$A$5:$A$454,A202)-SUMIFS($H$5:$H$454,$A$5:$A$454,A202),2)</f>
        <v>0</v>
      </c>
    </row>
    <row r="203">
      <c r="A203" t="inlineStr">
        <is>
          <t>J079</t>
        </is>
      </c>
      <c r="B203" t="inlineStr">
        <is>
          <t>EX079</t>
        </is>
      </c>
      <c r="C203" s="5" t="n">
        <v>46295</v>
      </c>
      <c r="D203" t="inlineStr">
        <is>
          <t>OPS</t>
        </is>
      </c>
      <c r="E203" t="inlineStr">
        <is>
          <t>1300 GST paid (1B)</t>
        </is>
      </c>
      <c r="F203" t="inlineStr">
        <is>
          <t>GST on Stripe fees</t>
        </is>
      </c>
      <c r="G203" s="9">
        <f>Exceptions!$I$83</f>
        <v>6.41</v>
      </c>
      <c r="H203" s="9" t="n">
        <v>0</v>
      </c>
      <c r="I203" t="inlineStr">
        <is>
          <t>GST</t>
        </is>
      </c>
      <c r="J203" t="inlineStr">
        <is>
          <t>AUD</t>
        </is>
      </c>
      <c r="K203" s="9">
        <f>ROUND(SUMIFS($G$5:$G$454,$A$5:$A$454,A203)-SUMIFS($H$5:$H$454,$A$5:$A$454,A203),2)</f>
        <v>0</v>
      </c>
    </row>
    <row r="204">
      <c r="A204" t="inlineStr">
        <is>
          <t>J080</t>
        </is>
      </c>
      <c r="B204" t="inlineStr">
        <is>
          <t>EX080</t>
        </is>
      </c>
      <c r="C204" s="5" t="n">
        <v>46204</v>
      </c>
      <c r="D204" t="inlineStr">
        <is>
          <t>OPS</t>
        </is>
      </c>
      <c r="E204" t="inlineStr">
        <is>
          <t>1110 Bank - Operating</t>
        </is>
      </c>
      <c r="F204" t="inlineStr">
        <is>
          <t>Riverbend Plan Partners</t>
        </is>
      </c>
      <c r="G204" s="9">
        <f>MAX(Exceptions!$H$84,0)</f>
        <v>0</v>
      </c>
      <c r="H204" s="9">
        <f>MAX(-Exceptions!$H$84,0)</f>
        <v>14.55</v>
      </c>
      <c r="I204" t="inlineStr"/>
      <c r="J204" t="inlineStr">
        <is>
          <t>AUD</t>
        </is>
      </c>
      <c r="K204" s="9">
        <f>ROUND(SUMIFS($G$5:$G$454,$A$5:$A$454,A204)-SUMIFS($H$5:$H$454,$A$5:$A$454,A204),2)</f>
        <v>0</v>
      </c>
    </row>
    <row r="205">
      <c r="A205" t="inlineStr">
        <is>
          <t>J080</t>
        </is>
      </c>
      <c r="B205" t="inlineStr">
        <is>
          <t>EX080</t>
        </is>
      </c>
      <c r="C205" s="5" t="n">
        <v>46204</v>
      </c>
      <c r="D205" t="inlineStr">
        <is>
          <t>OPS</t>
        </is>
      </c>
      <c r="E205" t="inlineStr">
        <is>
          <t>1200 Accounts receivable</t>
        </is>
      </c>
      <c r="F205" t="inlineStr">
        <is>
          <t>Riverbend Plan Partners (shortfall reopened)</t>
        </is>
      </c>
      <c r="G205" s="9">
        <f>MAX(-Exceptions!$H$84,0)</f>
        <v>14.55</v>
      </c>
      <c r="H205" s="9">
        <f>MAX(Exceptions!$H$84,0)</f>
        <v>0</v>
      </c>
      <c r="I205" t="inlineStr"/>
      <c r="J205" t="inlineStr">
        <is>
          <t>AUD</t>
        </is>
      </c>
      <c r="K205" s="9">
        <f>ROUND(SUMIFS($G$5:$G$454,$A$5:$A$454,A205)-SUMIFS($H$5:$H$454,$A$5:$A$454,A205),2)</f>
        <v>0</v>
      </c>
    </row>
    <row r="206">
      <c r="A206" t="inlineStr">
        <is>
          <t>J081</t>
        </is>
      </c>
      <c r="B206" t="inlineStr">
        <is>
          <t>EX081</t>
        </is>
      </c>
      <c r="C206" s="5" t="n">
        <v>46204</v>
      </c>
      <c r="D206" t="inlineStr">
        <is>
          <t>OPS</t>
        </is>
      </c>
      <c r="E206" t="inlineStr">
        <is>
          <t>1110 Bank - Operating</t>
        </is>
      </c>
      <c r="F206" t="inlineStr">
        <is>
          <t>Acacia Plan Partners</t>
        </is>
      </c>
      <c r="G206" s="9">
        <f>MAX(Exceptions!$H$85,0)</f>
        <v>969.93</v>
      </c>
      <c r="H206" s="9">
        <f>MAX(-Exceptions!$H$85,0)</f>
        <v>0</v>
      </c>
      <c r="I206" t="inlineStr"/>
      <c r="J206" t="inlineStr">
        <is>
          <t>AUD</t>
        </is>
      </c>
      <c r="K206" s="9">
        <f>ROUND(SUMIFS($G$5:$G$454,$A$5:$A$454,A206)-SUMIFS($H$5:$H$454,$A$5:$A$454,A206),2)</f>
        <v>0</v>
      </c>
    </row>
    <row r="207">
      <c r="A207" t="inlineStr">
        <is>
          <t>J081</t>
        </is>
      </c>
      <c r="B207" t="inlineStr">
        <is>
          <t>EX081</t>
        </is>
      </c>
      <c r="C207" s="5" t="n">
        <v>46204</v>
      </c>
      <c r="D207" t="inlineStr">
        <is>
          <t>OPS</t>
        </is>
      </c>
      <c r="E207" t="inlineStr">
        <is>
          <t>1200 Accounts receivable</t>
        </is>
      </c>
      <c r="F207" t="inlineStr">
        <is>
          <t>Acacia Plan Partners (see Allocations)</t>
        </is>
      </c>
      <c r="G207" s="9">
        <f>MAX(-Exceptions!$H$85,0)</f>
        <v>0</v>
      </c>
      <c r="H207" s="9">
        <f>MAX(Exceptions!$H$85,0)</f>
        <v>969.93</v>
      </c>
      <c r="I207" t="inlineStr"/>
      <c r="J207" t="inlineStr">
        <is>
          <t>AUD</t>
        </is>
      </c>
      <c r="K207" s="9">
        <f>ROUND(SUMIFS($G$5:$G$454,$A$5:$A$454,A207)-SUMIFS($H$5:$H$454,$A$5:$A$454,A207),2)</f>
        <v>0</v>
      </c>
    </row>
    <row r="208">
      <c r="A208" t="inlineStr">
        <is>
          <t>J082</t>
        </is>
      </c>
      <c r="B208" t="inlineStr">
        <is>
          <t>EX082</t>
        </is>
      </c>
      <c r="C208" s="5" t="n">
        <v>46205</v>
      </c>
      <c r="D208" t="inlineStr">
        <is>
          <t>OPS</t>
        </is>
      </c>
      <c r="E208" t="inlineStr">
        <is>
          <t>1110 Bank - Operating</t>
        </is>
      </c>
      <c r="F208" t="inlineStr">
        <is>
          <t>Banksia Plan Co</t>
        </is>
      </c>
      <c r="G208" s="9">
        <f>MAX(Exceptions!$H$86,0)</f>
        <v>290.98</v>
      </c>
      <c r="H208" s="9">
        <f>MAX(-Exceptions!$H$86,0)</f>
        <v>0</v>
      </c>
      <c r="I208" t="inlineStr"/>
      <c r="J208" t="inlineStr">
        <is>
          <t>AUD</t>
        </is>
      </c>
      <c r="K208" s="9">
        <f>ROUND(SUMIFS($G$5:$G$454,$A$5:$A$454,A208)-SUMIFS($H$5:$H$454,$A$5:$A$454,A208),2)</f>
        <v>0</v>
      </c>
    </row>
    <row r="209">
      <c r="A209" t="inlineStr">
        <is>
          <t>J082</t>
        </is>
      </c>
      <c r="B209" t="inlineStr">
        <is>
          <t>EX082</t>
        </is>
      </c>
      <c r="C209" s="5" t="n">
        <v>46205</v>
      </c>
      <c r="D209" t="inlineStr">
        <is>
          <t>OPS</t>
        </is>
      </c>
      <c r="E209" t="inlineStr">
        <is>
          <t>1200 Accounts receivable</t>
        </is>
      </c>
      <c r="F209" t="inlineStr">
        <is>
          <t>Banksia Plan Co (see Allocations)</t>
        </is>
      </c>
      <c r="G209" s="9">
        <f>MAX(-Exceptions!$H$86,0)</f>
        <v>0</v>
      </c>
      <c r="H209" s="9">
        <f>MAX(Exceptions!$H$86,0)</f>
        <v>290.98</v>
      </c>
      <c r="I209" t="inlineStr"/>
      <c r="J209" t="inlineStr">
        <is>
          <t>AUD</t>
        </is>
      </c>
      <c r="K209" s="9">
        <f>ROUND(SUMIFS($G$5:$G$454,$A$5:$A$454,A209)-SUMIFS($H$5:$H$454,$A$5:$A$454,A209),2)</f>
        <v>0</v>
      </c>
    </row>
    <row r="210">
      <c r="A210" t="inlineStr">
        <is>
          <t>J083</t>
        </is>
      </c>
      <c r="B210" t="inlineStr">
        <is>
          <t>EX083</t>
        </is>
      </c>
      <c r="C210" s="5" t="n">
        <v>46205</v>
      </c>
      <c r="D210" t="inlineStr">
        <is>
          <t>OPS</t>
        </is>
      </c>
      <c r="E210" t="inlineStr">
        <is>
          <t>1110 Bank - Operating</t>
        </is>
      </c>
      <c r="F210" t="inlineStr">
        <is>
          <t>Lyrebird Plan Management</t>
        </is>
      </c>
      <c r="G210" s="9">
        <f>MAX(Exceptions!$H$87,0)</f>
        <v>193.98</v>
      </c>
      <c r="H210" s="9">
        <f>MAX(-Exceptions!$H$87,0)</f>
        <v>0</v>
      </c>
      <c r="I210" t="inlineStr"/>
      <c r="J210" t="inlineStr">
        <is>
          <t>AUD</t>
        </is>
      </c>
      <c r="K210" s="9">
        <f>ROUND(SUMIFS($G$5:$G$454,$A$5:$A$454,A210)-SUMIFS($H$5:$H$454,$A$5:$A$454,A210),2)</f>
        <v>0</v>
      </c>
    </row>
    <row r="211">
      <c r="A211" t="inlineStr">
        <is>
          <t>J083</t>
        </is>
      </c>
      <c r="B211" t="inlineStr">
        <is>
          <t>EX083</t>
        </is>
      </c>
      <c r="C211" s="5" t="n">
        <v>46205</v>
      </c>
      <c r="D211" t="inlineStr">
        <is>
          <t>OPS</t>
        </is>
      </c>
      <c r="E211" t="inlineStr">
        <is>
          <t>1200 Accounts receivable</t>
        </is>
      </c>
      <c r="F211" t="inlineStr">
        <is>
          <t>Lyrebird Plan Management (see Allocations)</t>
        </is>
      </c>
      <c r="G211" s="9">
        <f>MAX(-Exceptions!$H$87,0)</f>
        <v>0</v>
      </c>
      <c r="H211" s="9">
        <f>MAX(Exceptions!$H$87,0)</f>
        <v>193.98</v>
      </c>
      <c r="I211" t="inlineStr"/>
      <c r="J211" t="inlineStr">
        <is>
          <t>AUD</t>
        </is>
      </c>
      <c r="K211" s="9">
        <f>ROUND(SUMIFS($G$5:$G$454,$A$5:$A$454,A211)-SUMIFS($H$5:$H$454,$A$5:$A$454,A211),2)</f>
        <v>0</v>
      </c>
    </row>
    <row r="212">
      <c r="A212" t="inlineStr">
        <is>
          <t>J084</t>
        </is>
      </c>
      <c r="B212" t="inlineStr">
        <is>
          <t>EX084</t>
        </is>
      </c>
      <c r="C212" s="5" t="n">
        <v>46206</v>
      </c>
      <c r="D212" t="inlineStr">
        <is>
          <t>OPS</t>
        </is>
      </c>
      <c r="E212" t="inlineStr">
        <is>
          <t>1110 Bank - Operating</t>
        </is>
      </c>
      <c r="F212" t="inlineStr">
        <is>
          <t>Bluegum Plan Management</t>
        </is>
      </c>
      <c r="G212" s="9">
        <f>MAX(Exceptions!$H$88,0)</f>
        <v>0</v>
      </c>
      <c r="H212" s="9">
        <f>MAX(-Exceptions!$H$88,0)</f>
        <v>29.1</v>
      </c>
      <c r="I212" t="inlineStr"/>
      <c r="J212" t="inlineStr">
        <is>
          <t>AUD</t>
        </is>
      </c>
      <c r="K212" s="9">
        <f>ROUND(SUMIFS($G$5:$G$454,$A$5:$A$454,A212)-SUMIFS($H$5:$H$454,$A$5:$A$454,A212),2)</f>
        <v>0</v>
      </c>
    </row>
    <row r="213">
      <c r="A213" t="inlineStr">
        <is>
          <t>J084</t>
        </is>
      </c>
      <c r="B213" t="inlineStr">
        <is>
          <t>EX084</t>
        </is>
      </c>
      <c r="C213" s="5" t="n">
        <v>46206</v>
      </c>
      <c r="D213" t="inlineStr">
        <is>
          <t>OPS</t>
        </is>
      </c>
      <c r="E213" t="inlineStr">
        <is>
          <t>1200 Accounts receivable</t>
        </is>
      </c>
      <c r="F213" t="inlineStr">
        <is>
          <t>Bluegum Plan Management (shortfall reopened)</t>
        </is>
      </c>
      <c r="G213" s="9">
        <f>MAX(-Exceptions!$H$88,0)</f>
        <v>29.1</v>
      </c>
      <c r="H213" s="9">
        <f>MAX(Exceptions!$H$88,0)</f>
        <v>0</v>
      </c>
      <c r="I213" t="inlineStr"/>
      <c r="J213" t="inlineStr">
        <is>
          <t>AUD</t>
        </is>
      </c>
      <c r="K213" s="9">
        <f>ROUND(SUMIFS($G$5:$G$454,$A$5:$A$454,A213)-SUMIFS($H$5:$H$454,$A$5:$A$454,A213),2)</f>
        <v>0</v>
      </c>
    </row>
    <row r="214">
      <c r="A214" t="inlineStr">
        <is>
          <t>J085</t>
        </is>
      </c>
      <c r="B214" t="inlineStr">
        <is>
          <t>EX085</t>
        </is>
      </c>
      <c r="C214" s="5" t="n">
        <v>46206</v>
      </c>
      <c r="D214" t="inlineStr">
        <is>
          <t>OPS</t>
        </is>
      </c>
      <c r="E214" t="inlineStr">
        <is>
          <t>1110 Bank - Operating</t>
        </is>
      </c>
      <c r="F214" t="inlineStr">
        <is>
          <t>Wattle Plan Services</t>
        </is>
      </c>
      <c r="G214" s="9">
        <f>MAX(Exceptions!$H$89,0)</f>
        <v>494.67</v>
      </c>
      <c r="H214" s="9">
        <f>MAX(-Exceptions!$H$89,0)</f>
        <v>0</v>
      </c>
      <c r="I214" t="inlineStr"/>
      <c r="J214" t="inlineStr">
        <is>
          <t>AUD</t>
        </is>
      </c>
      <c r="K214" s="9">
        <f>ROUND(SUMIFS($G$5:$G$454,$A$5:$A$454,A214)-SUMIFS($H$5:$H$454,$A$5:$A$454,A214),2)</f>
        <v>0</v>
      </c>
    </row>
    <row r="215">
      <c r="A215" t="inlineStr">
        <is>
          <t>J085</t>
        </is>
      </c>
      <c r="B215" t="inlineStr">
        <is>
          <t>EX085</t>
        </is>
      </c>
      <c r="C215" s="5" t="n">
        <v>46206</v>
      </c>
      <c r="D215" t="inlineStr">
        <is>
          <t>OPS</t>
        </is>
      </c>
      <c r="E215" t="inlineStr">
        <is>
          <t>1200 Accounts receivable</t>
        </is>
      </c>
      <c r="F215" t="inlineStr">
        <is>
          <t>Wattle Plan Services (see Allocations)</t>
        </is>
      </c>
      <c r="G215" s="9">
        <f>MAX(-Exceptions!$H$89,0)</f>
        <v>0</v>
      </c>
      <c r="H215" s="9">
        <f>MAX(Exceptions!$H$89,0)</f>
        <v>494.67</v>
      </c>
      <c r="I215" t="inlineStr"/>
      <c r="J215" t="inlineStr">
        <is>
          <t>AUD</t>
        </is>
      </c>
      <c r="K215" s="9">
        <f>ROUND(SUMIFS($G$5:$G$454,$A$5:$A$454,A215)-SUMIFS($H$5:$H$454,$A$5:$A$454,A215),2)</f>
        <v>0</v>
      </c>
    </row>
    <row r="216">
      <c r="A216" t="inlineStr">
        <is>
          <t>J086</t>
        </is>
      </c>
      <c r="B216" t="inlineStr">
        <is>
          <t>EX086</t>
        </is>
      </c>
      <c r="C216" s="5" t="n">
        <v>46209</v>
      </c>
      <c r="D216" t="inlineStr">
        <is>
          <t>OPS</t>
        </is>
      </c>
      <c r="E216" t="inlineStr">
        <is>
          <t>1110 Bank - Operating</t>
        </is>
      </c>
      <c r="F216" t="inlineStr">
        <is>
          <t>Acacia Plan Partners</t>
        </is>
      </c>
      <c r="G216" s="9">
        <f>MAX(Exceptions!$H$90,0)</f>
        <v>1193.94</v>
      </c>
      <c r="H216" s="9">
        <f>MAX(-Exceptions!$H$90,0)</f>
        <v>0</v>
      </c>
      <c r="I216" t="inlineStr"/>
      <c r="J216" t="inlineStr">
        <is>
          <t>AUD</t>
        </is>
      </c>
      <c r="K216" s="9">
        <f>ROUND(SUMIFS($G$5:$G$454,$A$5:$A$454,A216)-SUMIFS($H$5:$H$454,$A$5:$A$454,A216),2)</f>
        <v>0</v>
      </c>
    </row>
    <row r="217">
      <c r="A217" t="inlineStr">
        <is>
          <t>J086</t>
        </is>
      </c>
      <c r="B217" t="inlineStr">
        <is>
          <t>EX086</t>
        </is>
      </c>
      <c r="C217" s="5" t="n">
        <v>46209</v>
      </c>
      <c r="D217" t="inlineStr">
        <is>
          <t>OPS</t>
        </is>
      </c>
      <c r="E217" t="inlineStr">
        <is>
          <t>1200 Accounts receivable</t>
        </is>
      </c>
      <c r="F217" t="inlineStr">
        <is>
          <t>Acacia Plan Partners (see Allocations)</t>
        </is>
      </c>
      <c r="G217" s="9">
        <f>MAX(-Exceptions!$H$90,0)</f>
        <v>0</v>
      </c>
      <c r="H217" s="9">
        <f>MAX(Exceptions!$H$90,0)</f>
        <v>1193.94</v>
      </c>
      <c r="I217" t="inlineStr"/>
      <c r="J217" t="inlineStr">
        <is>
          <t>AUD</t>
        </is>
      </c>
      <c r="K217" s="9">
        <f>ROUND(SUMIFS($G$5:$G$454,$A$5:$A$454,A217)-SUMIFS($H$5:$H$454,$A$5:$A$454,A217),2)</f>
        <v>0</v>
      </c>
    </row>
    <row r="218">
      <c r="A218" t="inlineStr">
        <is>
          <t>J087</t>
        </is>
      </c>
      <c r="B218" t="inlineStr">
        <is>
          <t>EX087</t>
        </is>
      </c>
      <c r="C218" s="5" t="n">
        <v>46210</v>
      </c>
      <c r="D218" t="inlineStr">
        <is>
          <t>OPS</t>
        </is>
      </c>
      <c r="E218" t="inlineStr">
        <is>
          <t>1110 Bank - Operating</t>
        </is>
      </c>
      <c r="F218" t="inlineStr">
        <is>
          <t>Wattle Plan Services</t>
        </is>
      </c>
      <c r="G218" s="9">
        <f>MAX(Exceptions!$H$91,0)</f>
        <v>884.45</v>
      </c>
      <c r="H218" s="9">
        <f>MAX(-Exceptions!$H$91,0)</f>
        <v>0</v>
      </c>
      <c r="I218" t="inlineStr"/>
      <c r="J218" t="inlineStr">
        <is>
          <t>AUD</t>
        </is>
      </c>
      <c r="K218" s="9">
        <f>ROUND(SUMIFS($G$5:$G$454,$A$5:$A$454,A218)-SUMIFS($H$5:$H$454,$A$5:$A$454,A218),2)</f>
        <v>0</v>
      </c>
    </row>
    <row r="219">
      <c r="A219" t="inlineStr">
        <is>
          <t>J087</t>
        </is>
      </c>
      <c r="B219" t="inlineStr">
        <is>
          <t>EX087</t>
        </is>
      </c>
      <c r="C219" s="5" t="n">
        <v>46210</v>
      </c>
      <c r="D219" t="inlineStr">
        <is>
          <t>OPS</t>
        </is>
      </c>
      <c r="E219" t="inlineStr">
        <is>
          <t>1200 Accounts receivable</t>
        </is>
      </c>
      <c r="F219" t="inlineStr">
        <is>
          <t>Wattle Plan Services (see Allocations)</t>
        </is>
      </c>
      <c r="G219" s="9">
        <f>MAX(-Exceptions!$H$91,0)</f>
        <v>0</v>
      </c>
      <c r="H219" s="9">
        <f>MAX(Exceptions!$H$91,0)</f>
        <v>884.45</v>
      </c>
      <c r="I219" t="inlineStr"/>
      <c r="J219" t="inlineStr">
        <is>
          <t>AUD</t>
        </is>
      </c>
      <c r="K219" s="9">
        <f>ROUND(SUMIFS($G$5:$G$454,$A$5:$A$454,A219)-SUMIFS($H$5:$H$454,$A$5:$A$454,A219),2)</f>
        <v>0</v>
      </c>
    </row>
    <row r="220">
      <c r="A220" t="inlineStr">
        <is>
          <t>J088</t>
        </is>
      </c>
      <c r="B220" t="inlineStr">
        <is>
          <t>EX088</t>
        </is>
      </c>
      <c r="C220" s="5" t="n">
        <v>46212</v>
      </c>
      <c r="D220" t="inlineStr">
        <is>
          <t>OPS</t>
        </is>
      </c>
      <c r="E220" t="inlineStr">
        <is>
          <t>1110 Bank - Operating</t>
        </is>
      </c>
      <c r="F220" t="inlineStr">
        <is>
          <t>Clearpath NDIS Plans</t>
        </is>
      </c>
      <c r="G220" s="9">
        <f>MAX(Exceptions!$H$92,0)</f>
        <v>0</v>
      </c>
      <c r="H220" s="9">
        <f>MAX(-Exceptions!$H$92,0)</f>
        <v>14.55</v>
      </c>
      <c r="I220" t="inlineStr"/>
      <c r="J220" t="inlineStr">
        <is>
          <t>AUD</t>
        </is>
      </c>
      <c r="K220" s="9">
        <f>ROUND(SUMIFS($G$5:$G$454,$A$5:$A$454,A220)-SUMIFS($H$5:$H$454,$A$5:$A$454,A220),2)</f>
        <v>0</v>
      </c>
    </row>
    <row r="221">
      <c r="A221" t="inlineStr">
        <is>
          <t>J088</t>
        </is>
      </c>
      <c r="B221" t="inlineStr">
        <is>
          <t>EX088</t>
        </is>
      </c>
      <c r="C221" s="5" t="n">
        <v>46212</v>
      </c>
      <c r="D221" t="inlineStr">
        <is>
          <t>OPS</t>
        </is>
      </c>
      <c r="E221" t="inlineStr">
        <is>
          <t>1200 Accounts receivable</t>
        </is>
      </c>
      <c r="F221" t="inlineStr">
        <is>
          <t>Clearpath NDIS Plans (shortfall reopened)</t>
        </is>
      </c>
      <c r="G221" s="9">
        <f>MAX(-Exceptions!$H$92,0)</f>
        <v>14.55</v>
      </c>
      <c r="H221" s="9">
        <f>MAX(Exceptions!$H$92,0)</f>
        <v>0</v>
      </c>
      <c r="I221" t="inlineStr"/>
      <c r="J221" t="inlineStr">
        <is>
          <t>AUD</t>
        </is>
      </c>
      <c r="K221" s="9">
        <f>ROUND(SUMIFS($G$5:$G$454,$A$5:$A$454,A221)-SUMIFS($H$5:$H$454,$A$5:$A$454,A221),2)</f>
        <v>0</v>
      </c>
    </row>
    <row r="222">
      <c r="A222" t="inlineStr">
        <is>
          <t>J089</t>
        </is>
      </c>
      <c r="B222" t="inlineStr">
        <is>
          <t>EX089</t>
        </is>
      </c>
      <c r="C222" s="5" t="n">
        <v>46213</v>
      </c>
      <c r="D222" t="inlineStr">
        <is>
          <t>OPS</t>
        </is>
      </c>
      <c r="E222" t="inlineStr">
        <is>
          <t>1110 Bank - Operating</t>
        </is>
      </c>
      <c r="F222" t="inlineStr">
        <is>
          <t>Bluegum Plan Management</t>
        </is>
      </c>
      <c r="G222" s="9">
        <f>MAX(Exceptions!$H$93,0)</f>
        <v>581.97</v>
      </c>
      <c r="H222" s="9">
        <f>MAX(-Exceptions!$H$93,0)</f>
        <v>0</v>
      </c>
      <c r="I222" t="inlineStr"/>
      <c r="J222" t="inlineStr">
        <is>
          <t>AUD</t>
        </is>
      </c>
      <c r="K222" s="9">
        <f>ROUND(SUMIFS($G$5:$G$454,$A$5:$A$454,A222)-SUMIFS($H$5:$H$454,$A$5:$A$454,A222),2)</f>
        <v>0</v>
      </c>
    </row>
    <row r="223">
      <c r="A223" t="inlineStr">
        <is>
          <t>J089</t>
        </is>
      </c>
      <c r="B223" t="inlineStr">
        <is>
          <t>EX089</t>
        </is>
      </c>
      <c r="C223" s="5" t="n">
        <v>46213</v>
      </c>
      <c r="D223" t="inlineStr">
        <is>
          <t>OPS</t>
        </is>
      </c>
      <c r="E223" t="inlineStr">
        <is>
          <t>1200 Accounts receivable</t>
        </is>
      </c>
      <c r="F223" t="inlineStr">
        <is>
          <t>Bluegum Plan Management (see Allocations)</t>
        </is>
      </c>
      <c r="G223" s="9">
        <f>MAX(-Exceptions!$H$93,0)</f>
        <v>0</v>
      </c>
      <c r="H223" s="9">
        <f>MAX(Exceptions!$H$93,0)</f>
        <v>581.97</v>
      </c>
      <c r="I223" t="inlineStr"/>
      <c r="J223" t="inlineStr">
        <is>
          <t>AUD</t>
        </is>
      </c>
      <c r="K223" s="9">
        <f>ROUND(SUMIFS($G$5:$G$454,$A$5:$A$454,A223)-SUMIFS($H$5:$H$454,$A$5:$A$454,A223),2)</f>
        <v>0</v>
      </c>
    </row>
    <row r="224">
      <c r="A224" t="inlineStr">
        <is>
          <t>J090</t>
        </is>
      </c>
      <c r="B224" t="inlineStr">
        <is>
          <t>EX090</t>
        </is>
      </c>
      <c r="C224" s="5" t="n">
        <v>46216</v>
      </c>
      <c r="D224" t="inlineStr">
        <is>
          <t>OPS</t>
        </is>
      </c>
      <c r="E224" t="inlineStr">
        <is>
          <t>1110 Bank - Operating</t>
        </is>
      </c>
      <c r="F224" t="inlineStr">
        <is>
          <t>Kookaburra Plan Support</t>
        </is>
      </c>
      <c r="G224" s="9">
        <f>MAX(Exceptions!$H$94,0)</f>
        <v>1058.13</v>
      </c>
      <c r="H224" s="9">
        <f>MAX(-Exceptions!$H$94,0)</f>
        <v>0</v>
      </c>
      <c r="I224" t="inlineStr"/>
      <c r="J224" t="inlineStr">
        <is>
          <t>AUD</t>
        </is>
      </c>
      <c r="K224" s="9">
        <f>ROUND(SUMIFS($G$5:$G$454,$A$5:$A$454,A224)-SUMIFS($H$5:$H$454,$A$5:$A$454,A224),2)</f>
        <v>0</v>
      </c>
    </row>
    <row r="225">
      <c r="A225" t="inlineStr">
        <is>
          <t>J090</t>
        </is>
      </c>
      <c r="B225" t="inlineStr">
        <is>
          <t>EX090</t>
        </is>
      </c>
      <c r="C225" s="5" t="n">
        <v>46216</v>
      </c>
      <c r="D225" t="inlineStr">
        <is>
          <t>OPS</t>
        </is>
      </c>
      <c r="E225" t="inlineStr">
        <is>
          <t>1200 Accounts receivable</t>
        </is>
      </c>
      <c r="F225" t="inlineStr">
        <is>
          <t>Kookaburra Plan Support (see Allocations)</t>
        </is>
      </c>
      <c r="G225" s="9">
        <f>MAX(-Exceptions!$H$94,0)</f>
        <v>0</v>
      </c>
      <c r="H225" s="9">
        <f>MAX(Exceptions!$H$94,0)</f>
        <v>1058.13</v>
      </c>
      <c r="I225" t="inlineStr"/>
      <c r="J225" t="inlineStr">
        <is>
          <t>AUD</t>
        </is>
      </c>
      <c r="K225" s="9">
        <f>ROUND(SUMIFS($G$5:$G$454,$A$5:$A$454,A225)-SUMIFS($H$5:$H$454,$A$5:$A$454,A225),2)</f>
        <v>0</v>
      </c>
    </row>
    <row r="226">
      <c r="A226" t="inlineStr">
        <is>
          <t>J091</t>
        </is>
      </c>
      <c r="B226" t="inlineStr">
        <is>
          <t>EX091</t>
        </is>
      </c>
      <c r="C226" s="5" t="n">
        <v>46216</v>
      </c>
      <c r="D226" t="inlineStr">
        <is>
          <t>OPS</t>
        </is>
      </c>
      <c r="E226" t="inlineStr">
        <is>
          <t>1110 Bank - Operating</t>
        </is>
      </c>
      <c r="F226" t="inlineStr">
        <is>
          <t>Saltbush Plan Managers</t>
        </is>
      </c>
      <c r="G226" s="9">
        <f>MAX(Exceptions!$H$95,0)</f>
        <v>815.65</v>
      </c>
      <c r="H226" s="9">
        <f>MAX(-Exceptions!$H$95,0)</f>
        <v>0</v>
      </c>
      <c r="I226" t="inlineStr"/>
      <c r="J226" t="inlineStr">
        <is>
          <t>AUD</t>
        </is>
      </c>
      <c r="K226" s="9">
        <f>ROUND(SUMIFS($G$5:$G$454,$A$5:$A$454,A226)-SUMIFS($H$5:$H$454,$A$5:$A$454,A226),2)</f>
        <v>0</v>
      </c>
    </row>
    <row r="227">
      <c r="A227" t="inlineStr">
        <is>
          <t>J091</t>
        </is>
      </c>
      <c r="B227" t="inlineStr">
        <is>
          <t>EX091</t>
        </is>
      </c>
      <c r="C227" s="5" t="n">
        <v>46216</v>
      </c>
      <c r="D227" t="inlineStr">
        <is>
          <t>OPS</t>
        </is>
      </c>
      <c r="E227" t="inlineStr">
        <is>
          <t>1200 Accounts receivable</t>
        </is>
      </c>
      <c r="F227" t="inlineStr">
        <is>
          <t>Saltbush Plan Managers (see Allocations)</t>
        </is>
      </c>
      <c r="G227" s="9">
        <f>MAX(-Exceptions!$H$95,0)</f>
        <v>0</v>
      </c>
      <c r="H227" s="9">
        <f>MAX(Exceptions!$H$95,0)</f>
        <v>815.65</v>
      </c>
      <c r="I227" t="inlineStr"/>
      <c r="J227" t="inlineStr">
        <is>
          <t>AUD</t>
        </is>
      </c>
      <c r="K227" s="9">
        <f>ROUND(SUMIFS($G$5:$G$454,$A$5:$A$454,A227)-SUMIFS($H$5:$H$454,$A$5:$A$454,A227),2)</f>
        <v>0</v>
      </c>
    </row>
    <row r="228">
      <c r="A228" t="inlineStr">
        <is>
          <t>J092</t>
        </is>
      </c>
      <c r="B228" t="inlineStr">
        <is>
          <t>EX092</t>
        </is>
      </c>
      <c r="C228" s="5" t="n">
        <v>46220</v>
      </c>
      <c r="D228" t="inlineStr">
        <is>
          <t>OPS</t>
        </is>
      </c>
      <c r="E228" t="inlineStr">
        <is>
          <t>1110 Bank - Operating</t>
        </is>
      </c>
      <c r="F228" t="inlineStr">
        <is>
          <t>Riverbend Plan Partners</t>
        </is>
      </c>
      <c r="G228" s="9">
        <f>MAX(Exceptions!$H$96,0)</f>
        <v>3339.34</v>
      </c>
      <c r="H228" s="9">
        <f>MAX(-Exceptions!$H$96,0)</f>
        <v>0</v>
      </c>
      <c r="I228" t="inlineStr"/>
      <c r="J228" t="inlineStr">
        <is>
          <t>AUD</t>
        </is>
      </c>
      <c r="K228" s="9">
        <f>ROUND(SUMIFS($G$5:$G$454,$A$5:$A$454,A228)-SUMIFS($H$5:$H$454,$A$5:$A$454,A228),2)</f>
        <v>0</v>
      </c>
    </row>
    <row r="229">
      <c r="A229" t="inlineStr">
        <is>
          <t>J092</t>
        </is>
      </c>
      <c r="B229" t="inlineStr">
        <is>
          <t>EX092</t>
        </is>
      </c>
      <c r="C229" s="5" t="n">
        <v>46220</v>
      </c>
      <c r="D229" t="inlineStr">
        <is>
          <t>OPS</t>
        </is>
      </c>
      <c r="E229" t="inlineStr">
        <is>
          <t>1200 Accounts receivable</t>
        </is>
      </c>
      <c r="F229" t="inlineStr">
        <is>
          <t>Riverbend Plan Partners (see Allocations)</t>
        </is>
      </c>
      <c r="G229" s="9">
        <f>MAX(-Exceptions!$H$96,0)</f>
        <v>0</v>
      </c>
      <c r="H229" s="9">
        <f>MAX(Exceptions!$H$96,0)</f>
        <v>3339.34</v>
      </c>
      <c r="I229" t="inlineStr"/>
      <c r="J229" t="inlineStr">
        <is>
          <t>AUD</t>
        </is>
      </c>
      <c r="K229" s="9">
        <f>ROUND(SUMIFS($G$5:$G$454,$A$5:$A$454,A229)-SUMIFS($H$5:$H$454,$A$5:$A$454,A229),2)</f>
        <v>0</v>
      </c>
    </row>
    <row r="230">
      <c r="A230" t="inlineStr">
        <is>
          <t>J093</t>
        </is>
      </c>
      <c r="B230" t="inlineStr">
        <is>
          <t>EX093</t>
        </is>
      </c>
      <c r="C230" s="5" t="n">
        <v>46220</v>
      </c>
      <c r="D230" t="inlineStr">
        <is>
          <t>OPS</t>
        </is>
      </c>
      <c r="E230" t="inlineStr">
        <is>
          <t>1110 Bank - Operating</t>
        </is>
      </c>
      <c r="F230" t="inlineStr">
        <is>
          <t>Banksia Plan Co</t>
        </is>
      </c>
      <c r="G230" s="9">
        <f>MAX(Exceptions!$H$97,0)</f>
        <v>1718.61</v>
      </c>
      <c r="H230" s="9">
        <f>MAX(-Exceptions!$H$97,0)</f>
        <v>0</v>
      </c>
      <c r="I230" t="inlineStr"/>
      <c r="J230" t="inlineStr">
        <is>
          <t>AUD</t>
        </is>
      </c>
      <c r="K230" s="9">
        <f>ROUND(SUMIFS($G$5:$G$454,$A$5:$A$454,A230)-SUMIFS($H$5:$H$454,$A$5:$A$454,A230),2)</f>
        <v>0</v>
      </c>
    </row>
    <row r="231">
      <c r="A231" t="inlineStr">
        <is>
          <t>J093</t>
        </is>
      </c>
      <c r="B231" t="inlineStr">
        <is>
          <t>EX093</t>
        </is>
      </c>
      <c r="C231" s="5" t="n">
        <v>46220</v>
      </c>
      <c r="D231" t="inlineStr">
        <is>
          <t>OPS</t>
        </is>
      </c>
      <c r="E231" t="inlineStr">
        <is>
          <t>1200 Accounts receivable</t>
        </is>
      </c>
      <c r="F231" t="inlineStr">
        <is>
          <t>Banksia Plan Co (see Allocations)</t>
        </is>
      </c>
      <c r="G231" s="9">
        <f>MAX(-Exceptions!$H$97,0)</f>
        <v>0</v>
      </c>
      <c r="H231" s="9">
        <f>MAX(Exceptions!$H$97,0)</f>
        <v>1718.61</v>
      </c>
      <c r="I231" t="inlineStr"/>
      <c r="J231" t="inlineStr">
        <is>
          <t>AUD</t>
        </is>
      </c>
      <c r="K231" s="9">
        <f>ROUND(SUMIFS($G$5:$G$454,$A$5:$A$454,A231)-SUMIFS($H$5:$H$454,$A$5:$A$454,A231),2)</f>
        <v>0</v>
      </c>
    </row>
    <row r="232">
      <c r="A232" t="inlineStr">
        <is>
          <t>J094</t>
        </is>
      </c>
      <c r="B232" t="inlineStr">
        <is>
          <t>EX094</t>
        </is>
      </c>
      <c r="C232" s="5" t="n">
        <v>46225</v>
      </c>
      <c r="D232" t="inlineStr">
        <is>
          <t>OPS</t>
        </is>
      </c>
      <c r="E232" t="inlineStr">
        <is>
          <t>1110 Bank - Operating</t>
        </is>
      </c>
      <c r="F232" t="inlineStr">
        <is>
          <t>Kookaburra Plan Support</t>
        </is>
      </c>
      <c r="G232" s="9">
        <f>MAX(Exceptions!$H$98,0)</f>
        <v>1982.3</v>
      </c>
      <c r="H232" s="9">
        <f>MAX(-Exceptions!$H$98,0)</f>
        <v>0</v>
      </c>
      <c r="I232" t="inlineStr"/>
      <c r="J232" t="inlineStr">
        <is>
          <t>AUD</t>
        </is>
      </c>
      <c r="K232" s="9">
        <f>ROUND(SUMIFS($G$5:$G$454,$A$5:$A$454,A232)-SUMIFS($H$5:$H$454,$A$5:$A$454,A232),2)</f>
        <v>0</v>
      </c>
    </row>
    <row r="233">
      <c r="A233" t="inlineStr">
        <is>
          <t>J094</t>
        </is>
      </c>
      <c r="B233" t="inlineStr">
        <is>
          <t>EX094</t>
        </is>
      </c>
      <c r="C233" s="5" t="n">
        <v>46225</v>
      </c>
      <c r="D233" t="inlineStr">
        <is>
          <t>OPS</t>
        </is>
      </c>
      <c r="E233" t="inlineStr">
        <is>
          <t>1200 Accounts receivable</t>
        </is>
      </c>
      <c r="F233" t="inlineStr">
        <is>
          <t>Kookaburra Plan Support (see Allocations)</t>
        </is>
      </c>
      <c r="G233" s="9">
        <f>MAX(-Exceptions!$H$98,0)</f>
        <v>0</v>
      </c>
      <c r="H233" s="9">
        <f>MAX(Exceptions!$H$98,0)</f>
        <v>1982.3</v>
      </c>
      <c r="I233" t="inlineStr"/>
      <c r="J233" t="inlineStr">
        <is>
          <t>AUD</t>
        </is>
      </c>
      <c r="K233" s="9">
        <f>ROUND(SUMIFS($G$5:$G$454,$A$5:$A$454,A233)-SUMIFS($H$5:$H$454,$A$5:$A$454,A233),2)</f>
        <v>0</v>
      </c>
    </row>
    <row r="234">
      <c r="A234" t="inlineStr">
        <is>
          <t>J095</t>
        </is>
      </c>
      <c r="B234" t="inlineStr">
        <is>
          <t>EX095</t>
        </is>
      </c>
      <c r="C234" s="5" t="n">
        <v>46227</v>
      </c>
      <c r="D234" t="inlineStr">
        <is>
          <t>OPS</t>
        </is>
      </c>
      <c r="E234" t="inlineStr">
        <is>
          <t>1110 Bank - Operating</t>
        </is>
      </c>
      <c r="F234" t="inlineStr">
        <is>
          <t>Acacia Plan Partners</t>
        </is>
      </c>
      <c r="G234" s="9">
        <f>MAX(Exceptions!$H$99,0)</f>
        <v>1564.32</v>
      </c>
      <c r="H234" s="9">
        <f>MAX(-Exceptions!$H$99,0)</f>
        <v>0</v>
      </c>
      <c r="I234" t="inlineStr"/>
      <c r="J234" t="inlineStr">
        <is>
          <t>AUD</t>
        </is>
      </c>
      <c r="K234" s="9">
        <f>ROUND(SUMIFS($G$5:$G$454,$A$5:$A$454,A234)-SUMIFS($H$5:$H$454,$A$5:$A$454,A234),2)</f>
        <v>0</v>
      </c>
    </row>
    <row r="235">
      <c r="A235" t="inlineStr">
        <is>
          <t>J095</t>
        </is>
      </c>
      <c r="B235" t="inlineStr">
        <is>
          <t>EX095</t>
        </is>
      </c>
      <c r="C235" s="5" t="n">
        <v>46227</v>
      </c>
      <c r="D235" t="inlineStr">
        <is>
          <t>OPS</t>
        </is>
      </c>
      <c r="E235" t="inlineStr">
        <is>
          <t>1200 Accounts receivable</t>
        </is>
      </c>
      <c r="F235" t="inlineStr">
        <is>
          <t>Acacia Plan Partners (see Allocations)</t>
        </is>
      </c>
      <c r="G235" s="9">
        <f>MAX(-Exceptions!$H$99,0)</f>
        <v>0</v>
      </c>
      <c r="H235" s="9">
        <f>MAX(Exceptions!$H$99,0)</f>
        <v>1564.32</v>
      </c>
      <c r="I235" t="inlineStr"/>
      <c r="J235" t="inlineStr">
        <is>
          <t>AUD</t>
        </is>
      </c>
      <c r="K235" s="9">
        <f>ROUND(SUMIFS($G$5:$G$454,$A$5:$A$454,A235)-SUMIFS($H$5:$H$454,$A$5:$A$454,A235),2)</f>
        <v>0</v>
      </c>
    </row>
    <row r="236">
      <c r="A236" t="inlineStr">
        <is>
          <t>J096</t>
        </is>
      </c>
      <c r="B236" t="inlineStr">
        <is>
          <t>EX096</t>
        </is>
      </c>
      <c r="C236" s="5" t="n">
        <v>46237</v>
      </c>
      <c r="D236" t="inlineStr">
        <is>
          <t>OPS</t>
        </is>
      </c>
      <c r="E236" t="inlineStr">
        <is>
          <t>1110 Bank - Operating</t>
        </is>
      </c>
      <c r="F236" t="inlineStr">
        <is>
          <t>Wattle Plan Services</t>
        </is>
      </c>
      <c r="G236" s="9">
        <f>MAX(Exceptions!$H$100,0)</f>
        <v>989.35</v>
      </c>
      <c r="H236" s="9">
        <f>MAX(-Exceptions!$H$100,0)</f>
        <v>0</v>
      </c>
      <c r="I236" t="inlineStr"/>
      <c r="J236" t="inlineStr">
        <is>
          <t>AUD</t>
        </is>
      </c>
      <c r="K236" s="9">
        <f>ROUND(SUMIFS($G$5:$G$454,$A$5:$A$454,A236)-SUMIFS($H$5:$H$454,$A$5:$A$454,A236),2)</f>
        <v>0</v>
      </c>
    </row>
    <row r="237">
      <c r="A237" t="inlineStr">
        <is>
          <t>J096</t>
        </is>
      </c>
      <c r="B237" t="inlineStr">
        <is>
          <t>EX096</t>
        </is>
      </c>
      <c r="C237" s="5" t="n">
        <v>46237</v>
      </c>
      <c r="D237" t="inlineStr">
        <is>
          <t>OPS</t>
        </is>
      </c>
      <c r="E237" t="inlineStr">
        <is>
          <t>1200 Accounts receivable</t>
        </is>
      </c>
      <c r="F237" t="inlineStr">
        <is>
          <t>Wattle Plan Services (see Allocations)</t>
        </is>
      </c>
      <c r="G237" s="9">
        <f>MAX(-Exceptions!$H$100,0)</f>
        <v>0</v>
      </c>
      <c r="H237" s="9">
        <f>MAX(Exceptions!$H$100,0)</f>
        <v>989.35</v>
      </c>
      <c r="I237" t="inlineStr"/>
      <c r="J237" t="inlineStr">
        <is>
          <t>AUD</t>
        </is>
      </c>
      <c r="K237" s="9">
        <f>ROUND(SUMIFS($G$5:$G$454,$A$5:$A$454,A237)-SUMIFS($H$5:$H$454,$A$5:$A$454,A237),2)</f>
        <v>0</v>
      </c>
    </row>
    <row r="238">
      <c r="A238" t="inlineStr">
        <is>
          <t>J097</t>
        </is>
      </c>
      <c r="B238" t="inlineStr">
        <is>
          <t>EX097</t>
        </is>
      </c>
      <c r="C238" s="5" t="n">
        <v>46237</v>
      </c>
      <c r="D238" t="inlineStr">
        <is>
          <t>OPS</t>
        </is>
      </c>
      <c r="E238" t="inlineStr">
        <is>
          <t>1110 Bank - Operating</t>
        </is>
      </c>
      <c r="F238" t="inlineStr">
        <is>
          <t>Redgum Plan Admin</t>
        </is>
      </c>
      <c r="G238" s="9">
        <f>MAX(Exceptions!$H$101,0)</f>
        <v>785.66</v>
      </c>
      <c r="H238" s="9">
        <f>MAX(-Exceptions!$H$101,0)</f>
        <v>0</v>
      </c>
      <c r="I238" t="inlineStr"/>
      <c r="J238" t="inlineStr">
        <is>
          <t>AUD</t>
        </is>
      </c>
      <c r="K238" s="9">
        <f>ROUND(SUMIFS($G$5:$G$454,$A$5:$A$454,A238)-SUMIFS($H$5:$H$454,$A$5:$A$454,A238),2)</f>
        <v>0</v>
      </c>
    </row>
    <row r="239">
      <c r="A239" t="inlineStr">
        <is>
          <t>J097</t>
        </is>
      </c>
      <c r="B239" t="inlineStr">
        <is>
          <t>EX097</t>
        </is>
      </c>
      <c r="C239" s="5" t="n">
        <v>46237</v>
      </c>
      <c r="D239" t="inlineStr">
        <is>
          <t>OPS</t>
        </is>
      </c>
      <c r="E239" t="inlineStr">
        <is>
          <t>1200 Accounts receivable</t>
        </is>
      </c>
      <c r="F239" t="inlineStr">
        <is>
          <t>Redgum Plan Admin (see Allocations)</t>
        </is>
      </c>
      <c r="G239" s="9">
        <f>MAX(-Exceptions!$H$101,0)</f>
        <v>0</v>
      </c>
      <c r="H239" s="9">
        <f>MAX(Exceptions!$H$101,0)</f>
        <v>785.66</v>
      </c>
      <c r="I239" t="inlineStr"/>
      <c r="J239" t="inlineStr">
        <is>
          <t>AUD</t>
        </is>
      </c>
      <c r="K239" s="9">
        <f>ROUND(SUMIFS($G$5:$G$454,$A$5:$A$454,A239)-SUMIFS($H$5:$H$454,$A$5:$A$454,A239),2)</f>
        <v>0</v>
      </c>
    </row>
    <row r="240">
      <c r="A240" t="inlineStr">
        <is>
          <t>J098</t>
        </is>
      </c>
      <c r="B240" t="inlineStr">
        <is>
          <t>EX098</t>
        </is>
      </c>
      <c r="C240" s="5" t="n">
        <v>46244</v>
      </c>
      <c r="D240" t="inlineStr">
        <is>
          <t>OPS</t>
        </is>
      </c>
      <c r="E240" t="inlineStr">
        <is>
          <t>1110 Bank - Operating</t>
        </is>
      </c>
      <c r="F240" t="inlineStr">
        <is>
          <t>Wattle Plan Services</t>
        </is>
      </c>
      <c r="G240" s="9">
        <f>MAX(Exceptions!$H$102,0)</f>
        <v>912.66</v>
      </c>
      <c r="H240" s="9">
        <f>MAX(-Exceptions!$H$102,0)</f>
        <v>0</v>
      </c>
      <c r="I240" t="inlineStr"/>
      <c r="J240" t="inlineStr">
        <is>
          <t>AUD</t>
        </is>
      </c>
      <c r="K240" s="9">
        <f>ROUND(SUMIFS($G$5:$G$454,$A$5:$A$454,A240)-SUMIFS($H$5:$H$454,$A$5:$A$454,A240),2)</f>
        <v>0</v>
      </c>
    </row>
    <row r="241">
      <c r="A241" t="inlineStr">
        <is>
          <t>J098</t>
        </is>
      </c>
      <c r="B241" t="inlineStr">
        <is>
          <t>EX098</t>
        </is>
      </c>
      <c r="C241" s="5" t="n">
        <v>46244</v>
      </c>
      <c r="D241" t="inlineStr">
        <is>
          <t>OPS</t>
        </is>
      </c>
      <c r="E241" t="inlineStr">
        <is>
          <t>1200 Accounts receivable</t>
        </is>
      </c>
      <c r="F241" t="inlineStr">
        <is>
          <t>Wattle Plan Services (see Allocations)</t>
        </is>
      </c>
      <c r="G241" s="9">
        <f>MAX(-Exceptions!$H$102,0)</f>
        <v>0</v>
      </c>
      <c r="H241" s="9">
        <f>MAX(Exceptions!$H$102,0)</f>
        <v>912.66</v>
      </c>
      <c r="I241" t="inlineStr"/>
      <c r="J241" t="inlineStr">
        <is>
          <t>AUD</t>
        </is>
      </c>
      <c r="K241" s="9">
        <f>ROUND(SUMIFS($G$5:$G$454,$A$5:$A$454,A241)-SUMIFS($H$5:$H$454,$A$5:$A$454,A241),2)</f>
        <v>0</v>
      </c>
    </row>
    <row r="242">
      <c r="A242" t="inlineStr">
        <is>
          <t>J099</t>
        </is>
      </c>
      <c r="B242" t="inlineStr">
        <is>
          <t>EX099</t>
        </is>
      </c>
      <c r="C242" s="5" t="n">
        <v>46245</v>
      </c>
      <c r="D242" t="inlineStr">
        <is>
          <t>OPS</t>
        </is>
      </c>
      <c r="E242" t="inlineStr">
        <is>
          <t>1110 Bank - Operating</t>
        </is>
      </c>
      <c r="F242" t="inlineStr">
        <is>
          <t>Redgum Plan Admin</t>
        </is>
      </c>
      <c r="G242" s="9">
        <f>MAX(Exceptions!$H$103,0)</f>
        <v>543.17</v>
      </c>
      <c r="H242" s="9">
        <f>MAX(-Exceptions!$H$103,0)</f>
        <v>0</v>
      </c>
      <c r="I242" t="inlineStr"/>
      <c r="J242" t="inlineStr">
        <is>
          <t>AUD</t>
        </is>
      </c>
      <c r="K242" s="9">
        <f>ROUND(SUMIFS($G$5:$G$454,$A$5:$A$454,A242)-SUMIFS($H$5:$H$454,$A$5:$A$454,A242),2)</f>
        <v>0</v>
      </c>
    </row>
    <row r="243">
      <c r="A243" t="inlineStr">
        <is>
          <t>J099</t>
        </is>
      </c>
      <c r="B243" t="inlineStr">
        <is>
          <t>EX099</t>
        </is>
      </c>
      <c r="C243" s="5" t="n">
        <v>46245</v>
      </c>
      <c r="D243" t="inlineStr">
        <is>
          <t>OPS</t>
        </is>
      </c>
      <c r="E243" t="inlineStr">
        <is>
          <t>1200 Accounts receivable</t>
        </is>
      </c>
      <c r="F243" t="inlineStr">
        <is>
          <t>Redgum Plan Admin (see Allocations)</t>
        </is>
      </c>
      <c r="G243" s="9">
        <f>MAX(-Exceptions!$H$103,0)</f>
        <v>0</v>
      </c>
      <c r="H243" s="9">
        <f>MAX(Exceptions!$H$103,0)</f>
        <v>543.17</v>
      </c>
      <c r="I243" t="inlineStr"/>
      <c r="J243" t="inlineStr">
        <is>
          <t>AUD</t>
        </is>
      </c>
      <c r="K243" s="9">
        <f>ROUND(SUMIFS($G$5:$G$454,$A$5:$A$454,A243)-SUMIFS($H$5:$H$454,$A$5:$A$454,A243),2)</f>
        <v>0</v>
      </c>
    </row>
    <row r="244">
      <c r="A244" t="inlineStr">
        <is>
          <t>J100</t>
        </is>
      </c>
      <c r="B244" t="inlineStr">
        <is>
          <t>EX100</t>
        </is>
      </c>
      <c r="C244" s="5" t="n">
        <v>46248</v>
      </c>
      <c r="D244" t="inlineStr">
        <is>
          <t>OPS</t>
        </is>
      </c>
      <c r="E244" t="inlineStr">
        <is>
          <t>1110 Bank - Operating</t>
        </is>
      </c>
      <c r="F244" t="inlineStr">
        <is>
          <t>Bluegum Plan Management</t>
        </is>
      </c>
      <c r="G244" s="9">
        <f>MAX(Exceptions!$H$104,0)</f>
        <v>563.47</v>
      </c>
      <c r="H244" s="9">
        <f>MAX(-Exceptions!$H$104,0)</f>
        <v>0</v>
      </c>
      <c r="I244" t="inlineStr"/>
      <c r="J244" t="inlineStr">
        <is>
          <t>AUD</t>
        </is>
      </c>
      <c r="K244" s="9">
        <f>ROUND(SUMIFS($G$5:$G$454,$A$5:$A$454,A244)-SUMIFS($H$5:$H$454,$A$5:$A$454,A244),2)</f>
        <v>0</v>
      </c>
    </row>
    <row r="245">
      <c r="A245" t="inlineStr">
        <is>
          <t>J100</t>
        </is>
      </c>
      <c r="B245" t="inlineStr">
        <is>
          <t>EX100</t>
        </is>
      </c>
      <c r="C245" s="5" t="n">
        <v>46248</v>
      </c>
      <c r="D245" t="inlineStr">
        <is>
          <t>OPS</t>
        </is>
      </c>
      <c r="E245" t="inlineStr">
        <is>
          <t>1200 Accounts receivable</t>
        </is>
      </c>
      <c r="F245" t="inlineStr">
        <is>
          <t>Bluegum Plan Management (see Allocations)</t>
        </is>
      </c>
      <c r="G245" s="9">
        <f>MAX(-Exceptions!$H$104,0)</f>
        <v>0</v>
      </c>
      <c r="H245" s="9">
        <f>MAX(Exceptions!$H$104,0)</f>
        <v>563.47</v>
      </c>
      <c r="I245" t="inlineStr"/>
      <c r="J245" t="inlineStr">
        <is>
          <t>AUD</t>
        </is>
      </c>
      <c r="K245" s="9">
        <f>ROUND(SUMIFS($G$5:$G$454,$A$5:$A$454,A245)-SUMIFS($H$5:$H$454,$A$5:$A$454,A245),2)</f>
        <v>0</v>
      </c>
    </row>
    <row r="246">
      <c r="A246" t="inlineStr">
        <is>
          <t>J101</t>
        </is>
      </c>
      <c r="B246" t="inlineStr">
        <is>
          <t>EX101</t>
        </is>
      </c>
      <c r="C246" s="5" t="n">
        <v>46248</v>
      </c>
      <c r="D246" t="inlineStr">
        <is>
          <t>OPS</t>
        </is>
      </c>
      <c r="E246" t="inlineStr">
        <is>
          <t>1110 Bank - Operating</t>
        </is>
      </c>
      <c r="F246" t="inlineStr">
        <is>
          <t>Lyrebird Plan Management</t>
        </is>
      </c>
      <c r="G246" s="9">
        <f>MAX(Exceptions!$H$105,0)</f>
        <v>320.98</v>
      </c>
      <c r="H246" s="9">
        <f>MAX(-Exceptions!$H$105,0)</f>
        <v>0</v>
      </c>
      <c r="I246" t="inlineStr"/>
      <c r="J246" t="inlineStr">
        <is>
          <t>AUD</t>
        </is>
      </c>
      <c r="K246" s="9">
        <f>ROUND(SUMIFS($G$5:$G$454,$A$5:$A$454,A246)-SUMIFS($H$5:$H$454,$A$5:$A$454,A246),2)</f>
        <v>0</v>
      </c>
    </row>
    <row r="247">
      <c r="A247" t="inlineStr">
        <is>
          <t>J101</t>
        </is>
      </c>
      <c r="B247" t="inlineStr">
        <is>
          <t>EX101</t>
        </is>
      </c>
      <c r="C247" s="5" t="n">
        <v>46248</v>
      </c>
      <c r="D247" t="inlineStr">
        <is>
          <t>OPS</t>
        </is>
      </c>
      <c r="E247" t="inlineStr">
        <is>
          <t>1200 Accounts receivable</t>
        </is>
      </c>
      <c r="F247" t="inlineStr">
        <is>
          <t>Lyrebird Plan Management (see Allocations)</t>
        </is>
      </c>
      <c r="G247" s="9">
        <f>MAX(-Exceptions!$H$105,0)</f>
        <v>0</v>
      </c>
      <c r="H247" s="9">
        <f>MAX(Exceptions!$H$105,0)</f>
        <v>320.98</v>
      </c>
      <c r="I247" t="inlineStr"/>
      <c r="J247" t="inlineStr">
        <is>
          <t>AUD</t>
        </is>
      </c>
      <c r="K247" s="9">
        <f>ROUND(SUMIFS($G$5:$G$454,$A$5:$A$454,A247)-SUMIFS($H$5:$H$454,$A$5:$A$454,A247),2)</f>
        <v>0</v>
      </c>
    </row>
    <row r="248">
      <c r="A248" t="inlineStr">
        <is>
          <t>J102</t>
        </is>
      </c>
      <c r="B248" t="inlineStr">
        <is>
          <t>EX102</t>
        </is>
      </c>
      <c r="C248" s="5" t="n">
        <v>46251</v>
      </c>
      <c r="D248" t="inlineStr">
        <is>
          <t>OPS</t>
        </is>
      </c>
      <c r="E248" t="inlineStr">
        <is>
          <t>1110 Bank - Operating</t>
        </is>
      </c>
      <c r="F248" t="inlineStr">
        <is>
          <t>Ironbark Plan Management</t>
        </is>
      </c>
      <c r="G248" s="9">
        <f>MAX(Exceptions!$H$106,0)</f>
        <v>1746.81</v>
      </c>
      <c r="H248" s="9">
        <f>MAX(-Exceptions!$H$106,0)</f>
        <v>0</v>
      </c>
      <c r="I248" t="inlineStr"/>
      <c r="J248" t="inlineStr">
        <is>
          <t>AUD</t>
        </is>
      </c>
      <c r="K248" s="9">
        <f>ROUND(SUMIFS($G$5:$G$454,$A$5:$A$454,A248)-SUMIFS($H$5:$H$454,$A$5:$A$454,A248),2)</f>
        <v>0</v>
      </c>
    </row>
    <row r="249">
      <c r="A249" t="inlineStr">
        <is>
          <t>J102</t>
        </is>
      </c>
      <c r="B249" t="inlineStr">
        <is>
          <t>EX102</t>
        </is>
      </c>
      <c r="C249" s="5" t="n">
        <v>46251</v>
      </c>
      <c r="D249" t="inlineStr">
        <is>
          <t>OPS</t>
        </is>
      </c>
      <c r="E249" t="inlineStr">
        <is>
          <t>1200 Accounts receivable</t>
        </is>
      </c>
      <c r="F249" t="inlineStr">
        <is>
          <t>Ironbark Plan Management (see Allocations)</t>
        </is>
      </c>
      <c r="G249" s="9">
        <f>MAX(-Exceptions!$H$106,0)</f>
        <v>0</v>
      </c>
      <c r="H249" s="9">
        <f>MAX(Exceptions!$H$106,0)</f>
        <v>1746.81</v>
      </c>
      <c r="I249" t="inlineStr"/>
      <c r="J249" t="inlineStr">
        <is>
          <t>AUD</t>
        </is>
      </c>
      <c r="K249" s="9">
        <f>ROUND(SUMIFS($G$5:$G$454,$A$5:$A$454,A249)-SUMIFS($H$5:$H$454,$A$5:$A$454,A249),2)</f>
        <v>0</v>
      </c>
    </row>
    <row r="250">
      <c r="A250" t="inlineStr">
        <is>
          <t>J103</t>
        </is>
      </c>
      <c r="B250" t="inlineStr">
        <is>
          <t>EX103</t>
        </is>
      </c>
      <c r="C250" s="5" t="n">
        <v>46252</v>
      </c>
      <c r="D250" t="inlineStr">
        <is>
          <t>OPS</t>
        </is>
      </c>
      <c r="E250" t="inlineStr">
        <is>
          <t>1110 Bank - Operating</t>
        </is>
      </c>
      <c r="F250" t="inlineStr">
        <is>
          <t>Redgum Plan Admin</t>
        </is>
      </c>
      <c r="G250" s="9">
        <f>MAX(Exceptions!$H$107,0)</f>
        <v>1125.14</v>
      </c>
      <c r="H250" s="9">
        <f>MAX(-Exceptions!$H$107,0)</f>
        <v>0</v>
      </c>
      <c r="I250" t="inlineStr"/>
      <c r="J250" t="inlineStr">
        <is>
          <t>AUD</t>
        </is>
      </c>
      <c r="K250" s="9">
        <f>ROUND(SUMIFS($G$5:$G$454,$A$5:$A$454,A250)-SUMIFS($H$5:$H$454,$A$5:$A$454,A250),2)</f>
        <v>0</v>
      </c>
    </row>
    <row r="251">
      <c r="A251" t="inlineStr">
        <is>
          <t>J103</t>
        </is>
      </c>
      <c r="B251" t="inlineStr">
        <is>
          <t>EX103</t>
        </is>
      </c>
      <c r="C251" s="5" t="n">
        <v>46252</v>
      </c>
      <c r="D251" t="inlineStr">
        <is>
          <t>OPS</t>
        </is>
      </c>
      <c r="E251" t="inlineStr">
        <is>
          <t>1200 Accounts receivable</t>
        </is>
      </c>
      <c r="F251" t="inlineStr">
        <is>
          <t>Redgum Plan Admin (see Allocations)</t>
        </is>
      </c>
      <c r="G251" s="9">
        <f>MAX(-Exceptions!$H$107,0)</f>
        <v>0</v>
      </c>
      <c r="H251" s="9">
        <f>MAX(Exceptions!$H$107,0)</f>
        <v>1125.14</v>
      </c>
      <c r="I251" t="inlineStr"/>
      <c r="J251" t="inlineStr">
        <is>
          <t>AUD</t>
        </is>
      </c>
      <c r="K251" s="9">
        <f>ROUND(SUMIFS($G$5:$G$454,$A$5:$A$454,A251)-SUMIFS($H$5:$H$454,$A$5:$A$454,A251),2)</f>
        <v>0</v>
      </c>
    </row>
    <row r="252">
      <c r="A252" t="inlineStr">
        <is>
          <t>J104</t>
        </is>
      </c>
      <c r="B252" t="inlineStr">
        <is>
          <t>EX104</t>
        </is>
      </c>
      <c r="C252" s="5" t="n">
        <v>46255</v>
      </c>
      <c r="D252" t="inlineStr">
        <is>
          <t>OPS</t>
        </is>
      </c>
      <c r="E252" t="inlineStr">
        <is>
          <t>1110 Bank - Operating</t>
        </is>
      </c>
      <c r="F252" t="inlineStr">
        <is>
          <t>Banksia Plan Co</t>
        </is>
      </c>
      <c r="G252" s="9">
        <f>MAX(Exceptions!$H$108,0)</f>
        <v>126.99</v>
      </c>
      <c r="H252" s="9">
        <f>MAX(-Exceptions!$H$108,0)</f>
        <v>0</v>
      </c>
      <c r="I252" t="inlineStr"/>
      <c r="J252" t="inlineStr">
        <is>
          <t>AUD</t>
        </is>
      </c>
      <c r="K252" s="9">
        <f>ROUND(SUMIFS($G$5:$G$454,$A$5:$A$454,A252)-SUMIFS($H$5:$H$454,$A$5:$A$454,A252),2)</f>
        <v>0</v>
      </c>
    </row>
    <row r="253">
      <c r="A253" t="inlineStr">
        <is>
          <t>J104</t>
        </is>
      </c>
      <c r="B253" t="inlineStr">
        <is>
          <t>EX104</t>
        </is>
      </c>
      <c r="C253" s="5" t="n">
        <v>46255</v>
      </c>
      <c r="D253" t="inlineStr">
        <is>
          <t>OPS</t>
        </is>
      </c>
      <c r="E253" t="inlineStr">
        <is>
          <t>1200 Accounts receivable</t>
        </is>
      </c>
      <c r="F253" t="inlineStr">
        <is>
          <t>Banksia Plan Co (see Allocations)</t>
        </is>
      </c>
      <c r="G253" s="9">
        <f>MAX(-Exceptions!$H$108,0)</f>
        <v>0</v>
      </c>
      <c r="H253" s="9">
        <f>MAX(Exceptions!$H$108,0)</f>
        <v>126.99</v>
      </c>
      <c r="I253" t="inlineStr"/>
      <c r="J253" t="inlineStr">
        <is>
          <t>AUD</t>
        </is>
      </c>
      <c r="K253" s="9">
        <f>ROUND(SUMIFS($G$5:$G$454,$A$5:$A$454,A253)-SUMIFS($H$5:$H$454,$A$5:$A$454,A253),2)</f>
        <v>0</v>
      </c>
    </row>
    <row r="254">
      <c r="A254" t="inlineStr">
        <is>
          <t>J105</t>
        </is>
      </c>
      <c r="B254" t="inlineStr">
        <is>
          <t>EX105</t>
        </is>
      </c>
      <c r="C254" s="5" t="n">
        <v>46260</v>
      </c>
      <c r="D254" t="inlineStr">
        <is>
          <t>OPS</t>
        </is>
      </c>
      <c r="E254" t="inlineStr">
        <is>
          <t>1110 Bank - Operating</t>
        </is>
      </c>
      <c r="F254" t="inlineStr">
        <is>
          <t>Bluegum Plan Management</t>
        </is>
      </c>
      <c r="G254" s="9">
        <f>MAX(Exceptions!$H$109,0)</f>
        <v>2476.06</v>
      </c>
      <c r="H254" s="9">
        <f>MAX(-Exceptions!$H$109,0)</f>
        <v>0</v>
      </c>
      <c r="I254" t="inlineStr"/>
      <c r="J254" t="inlineStr">
        <is>
          <t>AUD</t>
        </is>
      </c>
      <c r="K254" s="9">
        <f>ROUND(SUMIFS($G$5:$G$454,$A$5:$A$454,A254)-SUMIFS($H$5:$H$454,$A$5:$A$454,A254),2)</f>
        <v>0</v>
      </c>
    </row>
    <row r="255">
      <c r="A255" t="inlineStr">
        <is>
          <t>J105</t>
        </is>
      </c>
      <c r="B255" t="inlineStr">
        <is>
          <t>EX105</t>
        </is>
      </c>
      <c r="C255" s="5" t="n">
        <v>46260</v>
      </c>
      <c r="D255" t="inlineStr">
        <is>
          <t>OPS</t>
        </is>
      </c>
      <c r="E255" t="inlineStr">
        <is>
          <t>1200 Accounts receivable</t>
        </is>
      </c>
      <c r="F255" t="inlineStr">
        <is>
          <t>Bluegum Plan Management (see Allocations)</t>
        </is>
      </c>
      <c r="G255" s="9">
        <f>MAX(-Exceptions!$H$109,0)</f>
        <v>0</v>
      </c>
      <c r="H255" s="9">
        <f>MAX(Exceptions!$H$109,0)</f>
        <v>2476.06</v>
      </c>
      <c r="I255" t="inlineStr"/>
      <c r="J255" t="inlineStr">
        <is>
          <t>AUD</t>
        </is>
      </c>
      <c r="K255" s="9">
        <f>ROUND(SUMIFS($G$5:$G$454,$A$5:$A$454,A255)-SUMIFS($H$5:$H$454,$A$5:$A$454,A255),2)</f>
        <v>0</v>
      </c>
    </row>
    <row r="256">
      <c r="A256" t="inlineStr">
        <is>
          <t>J106</t>
        </is>
      </c>
      <c r="B256" t="inlineStr">
        <is>
          <t>EX106</t>
        </is>
      </c>
      <c r="C256" s="5" t="n">
        <v>46268</v>
      </c>
      <c r="D256" t="inlineStr">
        <is>
          <t>OPS</t>
        </is>
      </c>
      <c r="E256" t="inlineStr">
        <is>
          <t>1110 Bank - Operating</t>
        </is>
      </c>
      <c r="F256" t="inlineStr">
        <is>
          <t>Tallowwood Plans</t>
        </is>
      </c>
      <c r="G256" s="9">
        <f>MAX(Exceptions!$H$110,0)</f>
        <v>476.17</v>
      </c>
      <c r="H256" s="9">
        <f>MAX(-Exceptions!$H$110,0)</f>
        <v>0</v>
      </c>
      <c r="I256" t="inlineStr"/>
      <c r="J256" t="inlineStr">
        <is>
          <t>AUD</t>
        </is>
      </c>
      <c r="K256" s="9">
        <f>ROUND(SUMIFS($G$5:$G$454,$A$5:$A$454,A256)-SUMIFS($H$5:$H$454,$A$5:$A$454,A256),2)</f>
        <v>0</v>
      </c>
    </row>
    <row r="257">
      <c r="A257" t="inlineStr">
        <is>
          <t>J106</t>
        </is>
      </c>
      <c r="B257" t="inlineStr">
        <is>
          <t>EX106</t>
        </is>
      </c>
      <c r="C257" s="5" t="n">
        <v>46268</v>
      </c>
      <c r="D257" t="inlineStr">
        <is>
          <t>OPS</t>
        </is>
      </c>
      <c r="E257" t="inlineStr">
        <is>
          <t>1200 Accounts receivable</t>
        </is>
      </c>
      <c r="F257" t="inlineStr">
        <is>
          <t>Tallowwood Plans (see Allocations)</t>
        </is>
      </c>
      <c r="G257" s="9">
        <f>MAX(-Exceptions!$H$110,0)</f>
        <v>0</v>
      </c>
      <c r="H257" s="9">
        <f>MAX(Exceptions!$H$110,0)</f>
        <v>476.17</v>
      </c>
      <c r="I257" t="inlineStr"/>
      <c r="J257" t="inlineStr">
        <is>
          <t>AUD</t>
        </is>
      </c>
      <c r="K257" s="9">
        <f>ROUND(SUMIFS($G$5:$G$454,$A$5:$A$454,A257)-SUMIFS($H$5:$H$454,$A$5:$A$454,A257),2)</f>
        <v>0</v>
      </c>
    </row>
    <row r="258">
      <c r="A258" t="inlineStr">
        <is>
          <t>J107</t>
        </is>
      </c>
      <c r="B258" t="inlineStr">
        <is>
          <t>EX107</t>
        </is>
      </c>
      <c r="C258" s="5" t="n">
        <v>46272</v>
      </c>
      <c r="D258" t="inlineStr">
        <is>
          <t>OPS</t>
        </is>
      </c>
      <c r="E258" t="inlineStr">
        <is>
          <t>1110 Bank - Operating</t>
        </is>
      </c>
      <c r="F258" t="inlineStr">
        <is>
          <t>Mallee Plan Services</t>
        </is>
      </c>
      <c r="G258" s="9">
        <f>MAX(Exceptions!$H$111,0)</f>
        <v>300.68</v>
      </c>
      <c r="H258" s="9">
        <f>MAX(-Exceptions!$H$111,0)</f>
        <v>0</v>
      </c>
      <c r="I258" t="inlineStr"/>
      <c r="J258" t="inlineStr">
        <is>
          <t>AUD</t>
        </is>
      </c>
      <c r="K258" s="9">
        <f>ROUND(SUMIFS($G$5:$G$454,$A$5:$A$454,A258)-SUMIFS($H$5:$H$454,$A$5:$A$454,A258),2)</f>
        <v>0</v>
      </c>
    </row>
    <row r="259">
      <c r="A259" t="inlineStr">
        <is>
          <t>J107</t>
        </is>
      </c>
      <c r="B259" t="inlineStr">
        <is>
          <t>EX107</t>
        </is>
      </c>
      <c r="C259" s="5" t="n">
        <v>46272</v>
      </c>
      <c r="D259" t="inlineStr">
        <is>
          <t>OPS</t>
        </is>
      </c>
      <c r="E259" t="inlineStr">
        <is>
          <t>1200 Accounts receivable</t>
        </is>
      </c>
      <c r="F259" t="inlineStr">
        <is>
          <t>Mallee Plan Services (see Allocations)</t>
        </is>
      </c>
      <c r="G259" s="9">
        <f>MAX(-Exceptions!$H$111,0)</f>
        <v>0</v>
      </c>
      <c r="H259" s="9">
        <f>MAX(Exceptions!$H$111,0)</f>
        <v>300.68</v>
      </c>
      <c r="I259" t="inlineStr"/>
      <c r="J259" t="inlineStr">
        <is>
          <t>AUD</t>
        </is>
      </c>
      <c r="K259" s="9">
        <f>ROUND(SUMIFS($G$5:$G$454,$A$5:$A$454,A259)-SUMIFS($H$5:$H$454,$A$5:$A$454,A259),2)</f>
        <v>0</v>
      </c>
    </row>
    <row r="260">
      <c r="A260" t="inlineStr">
        <is>
          <t>J108</t>
        </is>
      </c>
      <c r="B260" t="inlineStr">
        <is>
          <t>EX108</t>
        </is>
      </c>
      <c r="C260" s="5" t="n">
        <v>46273</v>
      </c>
      <c r="D260" t="inlineStr">
        <is>
          <t>OPS</t>
        </is>
      </c>
      <c r="E260" t="inlineStr">
        <is>
          <t>1110 Bank - Operating</t>
        </is>
      </c>
      <c r="F260" t="inlineStr">
        <is>
          <t>Kookaburra Plan Support</t>
        </is>
      </c>
      <c r="G260" s="9">
        <f>MAX(Exceptions!$H$112,0)</f>
        <v>1009.65</v>
      </c>
      <c r="H260" s="9">
        <f>MAX(-Exceptions!$H$112,0)</f>
        <v>0</v>
      </c>
      <c r="I260" t="inlineStr"/>
      <c r="J260" t="inlineStr">
        <is>
          <t>AUD</t>
        </is>
      </c>
      <c r="K260" s="9">
        <f>ROUND(SUMIFS($G$5:$G$454,$A$5:$A$454,A260)-SUMIFS($H$5:$H$454,$A$5:$A$454,A260),2)</f>
        <v>0</v>
      </c>
    </row>
    <row r="261">
      <c r="A261" t="inlineStr">
        <is>
          <t>J108</t>
        </is>
      </c>
      <c r="B261" t="inlineStr">
        <is>
          <t>EX108</t>
        </is>
      </c>
      <c r="C261" s="5" t="n">
        <v>46273</v>
      </c>
      <c r="D261" t="inlineStr">
        <is>
          <t>OPS</t>
        </is>
      </c>
      <c r="E261" t="inlineStr">
        <is>
          <t>1200 Accounts receivable</t>
        </is>
      </c>
      <c r="F261" t="inlineStr">
        <is>
          <t>Kookaburra Plan Support (see Allocations)</t>
        </is>
      </c>
      <c r="G261" s="9">
        <f>MAX(-Exceptions!$H$112,0)</f>
        <v>0</v>
      </c>
      <c r="H261" s="9">
        <f>MAX(Exceptions!$H$112,0)</f>
        <v>1009.65</v>
      </c>
      <c r="I261" t="inlineStr"/>
      <c r="J261" t="inlineStr">
        <is>
          <t>AUD</t>
        </is>
      </c>
      <c r="K261" s="9">
        <f>ROUND(SUMIFS($G$5:$G$454,$A$5:$A$454,A261)-SUMIFS($H$5:$H$454,$A$5:$A$454,A261),2)</f>
        <v>0</v>
      </c>
    </row>
    <row r="262">
      <c r="A262" t="inlineStr">
        <is>
          <t>J109</t>
        </is>
      </c>
      <c r="B262" t="inlineStr">
        <is>
          <t>EX109</t>
        </is>
      </c>
      <c r="C262" s="5" t="n">
        <v>46274</v>
      </c>
      <c r="D262" t="inlineStr">
        <is>
          <t>OPS</t>
        </is>
      </c>
      <c r="E262" t="inlineStr">
        <is>
          <t>1110 Bank - Operating</t>
        </is>
      </c>
      <c r="F262" t="inlineStr">
        <is>
          <t>Banksia Plan Co</t>
        </is>
      </c>
      <c r="G262" s="9">
        <f>MAX(Exceptions!$H$113,0)</f>
        <v>1892.32</v>
      </c>
      <c r="H262" s="9">
        <f>MAX(-Exceptions!$H$113,0)</f>
        <v>0</v>
      </c>
      <c r="I262" t="inlineStr"/>
      <c r="J262" t="inlineStr">
        <is>
          <t>AUD</t>
        </is>
      </c>
      <c r="K262" s="9">
        <f>ROUND(SUMIFS($G$5:$G$454,$A$5:$A$454,A262)-SUMIFS($H$5:$H$454,$A$5:$A$454,A262),2)</f>
        <v>0</v>
      </c>
    </row>
    <row r="263">
      <c r="A263" t="inlineStr">
        <is>
          <t>J109</t>
        </is>
      </c>
      <c r="B263" t="inlineStr">
        <is>
          <t>EX109</t>
        </is>
      </c>
      <c r="C263" s="5" t="n">
        <v>46274</v>
      </c>
      <c r="D263" t="inlineStr">
        <is>
          <t>OPS</t>
        </is>
      </c>
      <c r="E263" t="inlineStr">
        <is>
          <t>1200 Accounts receivable</t>
        </is>
      </c>
      <c r="F263" t="inlineStr">
        <is>
          <t>Banksia Plan Co (see Allocations)</t>
        </is>
      </c>
      <c r="G263" s="9">
        <f>MAX(-Exceptions!$H$113,0)</f>
        <v>0</v>
      </c>
      <c r="H263" s="9">
        <f>MAX(Exceptions!$H$113,0)</f>
        <v>1892.32</v>
      </c>
      <c r="I263" t="inlineStr"/>
      <c r="J263" t="inlineStr">
        <is>
          <t>AUD</t>
        </is>
      </c>
      <c r="K263" s="9">
        <f>ROUND(SUMIFS($G$5:$G$454,$A$5:$A$454,A263)-SUMIFS($H$5:$H$454,$A$5:$A$454,A263),2)</f>
        <v>0</v>
      </c>
    </row>
    <row r="264">
      <c r="A264" t="inlineStr">
        <is>
          <t>J110</t>
        </is>
      </c>
      <c r="B264" t="inlineStr">
        <is>
          <t>EX110</t>
        </is>
      </c>
      <c r="C264" s="5" t="n">
        <v>46275</v>
      </c>
      <c r="D264" t="inlineStr">
        <is>
          <t>OPS</t>
        </is>
      </c>
      <c r="E264" t="inlineStr">
        <is>
          <t>1110 Bank - Operating</t>
        </is>
      </c>
      <c r="F264" t="inlineStr">
        <is>
          <t>Banksia Plan Co</t>
        </is>
      </c>
      <c r="G264" s="9">
        <f>MAX(Exceptions!$H$114,0)</f>
        <v>670.17</v>
      </c>
      <c r="H264" s="9">
        <f>MAX(-Exceptions!$H$114,0)</f>
        <v>0</v>
      </c>
      <c r="I264" t="inlineStr"/>
      <c r="J264" t="inlineStr">
        <is>
          <t>AUD</t>
        </is>
      </c>
      <c r="K264" s="9">
        <f>ROUND(SUMIFS($G$5:$G$454,$A$5:$A$454,A264)-SUMIFS($H$5:$H$454,$A$5:$A$454,A264),2)</f>
        <v>0</v>
      </c>
    </row>
    <row r="265">
      <c r="A265" t="inlineStr">
        <is>
          <t>J110</t>
        </is>
      </c>
      <c r="B265" t="inlineStr">
        <is>
          <t>EX110</t>
        </is>
      </c>
      <c r="C265" s="5" t="n">
        <v>46275</v>
      </c>
      <c r="D265" t="inlineStr">
        <is>
          <t>OPS</t>
        </is>
      </c>
      <c r="E265" t="inlineStr">
        <is>
          <t>1200 Accounts receivable</t>
        </is>
      </c>
      <c r="F265" t="inlineStr">
        <is>
          <t>Banksia Plan Co (see Allocations)</t>
        </is>
      </c>
      <c r="G265" s="9">
        <f>MAX(-Exceptions!$H$114,0)</f>
        <v>0</v>
      </c>
      <c r="H265" s="9">
        <f>MAX(Exceptions!$H$114,0)</f>
        <v>670.17</v>
      </c>
      <c r="I265" t="inlineStr"/>
      <c r="J265" t="inlineStr">
        <is>
          <t>AUD</t>
        </is>
      </c>
      <c r="K265" s="9">
        <f>ROUND(SUMIFS($G$5:$G$454,$A$5:$A$454,A265)-SUMIFS($H$5:$H$454,$A$5:$A$454,A265),2)</f>
        <v>0</v>
      </c>
    </row>
    <row r="266">
      <c r="A266" t="inlineStr">
        <is>
          <t>J111</t>
        </is>
      </c>
      <c r="B266" t="inlineStr">
        <is>
          <t>EX111</t>
        </is>
      </c>
      <c r="C266" s="5" t="n">
        <v>46276</v>
      </c>
      <c r="D266" t="inlineStr">
        <is>
          <t>OPS</t>
        </is>
      </c>
      <c r="E266" t="inlineStr">
        <is>
          <t>1110 Bank - Operating</t>
        </is>
      </c>
      <c r="F266" t="inlineStr">
        <is>
          <t>Southern Cross Plan Mgmt</t>
        </is>
      </c>
      <c r="G266" s="9">
        <f>MAX(Exceptions!$H$115,0)</f>
        <v>2767.94</v>
      </c>
      <c r="H266" s="9">
        <f>MAX(-Exceptions!$H$115,0)</f>
        <v>0</v>
      </c>
      <c r="I266" t="inlineStr"/>
      <c r="J266" t="inlineStr">
        <is>
          <t>AUD</t>
        </is>
      </c>
      <c r="K266" s="9">
        <f>ROUND(SUMIFS($G$5:$G$454,$A$5:$A$454,A266)-SUMIFS($H$5:$H$454,$A$5:$A$454,A266),2)</f>
        <v>0</v>
      </c>
    </row>
    <row r="267">
      <c r="A267" t="inlineStr">
        <is>
          <t>J111</t>
        </is>
      </c>
      <c r="B267" t="inlineStr">
        <is>
          <t>EX111</t>
        </is>
      </c>
      <c r="C267" s="5" t="n">
        <v>46276</v>
      </c>
      <c r="D267" t="inlineStr">
        <is>
          <t>OPS</t>
        </is>
      </c>
      <c r="E267" t="inlineStr">
        <is>
          <t>1200 Accounts receivable</t>
        </is>
      </c>
      <c r="F267" t="inlineStr">
        <is>
          <t>Southern Cross Plan Mgmt (see Allocations)</t>
        </is>
      </c>
      <c r="G267" s="9">
        <f>MAX(-Exceptions!$H$115,0)</f>
        <v>0</v>
      </c>
      <c r="H267" s="9">
        <f>MAX(Exceptions!$H$115,0)</f>
        <v>2767.94</v>
      </c>
      <c r="I267" t="inlineStr"/>
      <c r="J267" t="inlineStr">
        <is>
          <t>AUD</t>
        </is>
      </c>
      <c r="K267" s="9">
        <f>ROUND(SUMIFS($G$5:$G$454,$A$5:$A$454,A267)-SUMIFS($H$5:$H$454,$A$5:$A$454,A267),2)</f>
        <v>0</v>
      </c>
    </row>
    <row r="268">
      <c r="A268" t="inlineStr">
        <is>
          <t>J112</t>
        </is>
      </c>
      <c r="B268" t="inlineStr">
        <is>
          <t>EX112</t>
        </is>
      </c>
      <c r="C268" s="5" t="n">
        <v>46280</v>
      </c>
      <c r="D268" t="inlineStr">
        <is>
          <t>OPS</t>
        </is>
      </c>
      <c r="E268" t="inlineStr">
        <is>
          <t>1110 Bank - Operating</t>
        </is>
      </c>
      <c r="F268" t="inlineStr">
        <is>
          <t>Bluegum Plan Management</t>
        </is>
      </c>
      <c r="G268" s="9">
        <f>MAX(Exceptions!$H$116,0)</f>
        <v>611.97</v>
      </c>
      <c r="H268" s="9">
        <f>MAX(-Exceptions!$H$116,0)</f>
        <v>0</v>
      </c>
      <c r="I268" t="inlineStr"/>
      <c r="J268" t="inlineStr">
        <is>
          <t>AUD</t>
        </is>
      </c>
      <c r="K268" s="9">
        <f>ROUND(SUMIFS($G$5:$G$454,$A$5:$A$454,A268)-SUMIFS($H$5:$H$454,$A$5:$A$454,A268),2)</f>
        <v>0</v>
      </c>
    </row>
    <row r="269">
      <c r="A269" t="inlineStr">
        <is>
          <t>J112</t>
        </is>
      </c>
      <c r="B269" t="inlineStr">
        <is>
          <t>EX112</t>
        </is>
      </c>
      <c r="C269" s="5" t="n">
        <v>46280</v>
      </c>
      <c r="D269" t="inlineStr">
        <is>
          <t>OPS</t>
        </is>
      </c>
      <c r="E269" t="inlineStr">
        <is>
          <t>1200 Accounts receivable</t>
        </is>
      </c>
      <c r="F269" t="inlineStr">
        <is>
          <t>Bluegum Plan Management (see Allocations)</t>
        </is>
      </c>
      <c r="G269" s="9">
        <f>MAX(-Exceptions!$H$116,0)</f>
        <v>0</v>
      </c>
      <c r="H269" s="9">
        <f>MAX(Exceptions!$H$116,0)</f>
        <v>611.97</v>
      </c>
      <c r="I269" t="inlineStr"/>
      <c r="J269" t="inlineStr">
        <is>
          <t>AUD</t>
        </is>
      </c>
      <c r="K269" s="9">
        <f>ROUND(SUMIFS($G$5:$G$454,$A$5:$A$454,A269)-SUMIFS($H$5:$H$454,$A$5:$A$454,A269),2)</f>
        <v>0</v>
      </c>
    </row>
    <row r="270">
      <c r="A270" t="inlineStr">
        <is>
          <t>J113</t>
        </is>
      </c>
      <c r="B270" t="inlineStr">
        <is>
          <t>EX113</t>
        </is>
      </c>
      <c r="C270" s="5" t="n">
        <v>46280</v>
      </c>
      <c r="D270" t="inlineStr">
        <is>
          <t>OPS</t>
        </is>
      </c>
      <c r="E270" t="inlineStr">
        <is>
          <t>1110 Bank - Operating</t>
        </is>
      </c>
      <c r="F270" t="inlineStr">
        <is>
          <t>Tallowwood Plans</t>
        </is>
      </c>
      <c r="G270" s="9">
        <f>MAX(Exceptions!$H$117,0)</f>
        <v>834.16</v>
      </c>
      <c r="H270" s="9">
        <f>MAX(-Exceptions!$H$117,0)</f>
        <v>0</v>
      </c>
      <c r="I270" t="inlineStr"/>
      <c r="J270" t="inlineStr">
        <is>
          <t>AUD</t>
        </is>
      </c>
      <c r="K270" s="9">
        <f>ROUND(SUMIFS($G$5:$G$454,$A$5:$A$454,A270)-SUMIFS($H$5:$H$454,$A$5:$A$454,A270),2)</f>
        <v>0</v>
      </c>
    </row>
    <row r="271">
      <c r="A271" t="inlineStr">
        <is>
          <t>J113</t>
        </is>
      </c>
      <c r="B271" t="inlineStr">
        <is>
          <t>EX113</t>
        </is>
      </c>
      <c r="C271" s="5" t="n">
        <v>46280</v>
      </c>
      <c r="D271" t="inlineStr">
        <is>
          <t>OPS</t>
        </is>
      </c>
      <c r="E271" t="inlineStr">
        <is>
          <t>1200 Accounts receivable</t>
        </is>
      </c>
      <c r="F271" t="inlineStr">
        <is>
          <t>Tallowwood Plans (see Allocations)</t>
        </is>
      </c>
      <c r="G271" s="9">
        <f>MAX(-Exceptions!$H$117,0)</f>
        <v>0</v>
      </c>
      <c r="H271" s="9">
        <f>MAX(Exceptions!$H$117,0)</f>
        <v>834.16</v>
      </c>
      <c r="I271" t="inlineStr"/>
      <c r="J271" t="inlineStr">
        <is>
          <t>AUD</t>
        </is>
      </c>
      <c r="K271" s="9">
        <f>ROUND(SUMIFS($G$5:$G$454,$A$5:$A$454,A271)-SUMIFS($H$5:$H$454,$A$5:$A$454,A271),2)</f>
        <v>0</v>
      </c>
    </row>
    <row r="272">
      <c r="A272" t="inlineStr">
        <is>
          <t>J114</t>
        </is>
      </c>
      <c r="B272" t="inlineStr">
        <is>
          <t>EX114</t>
        </is>
      </c>
      <c r="C272" s="5" t="n">
        <v>46283</v>
      </c>
      <c r="D272" t="inlineStr">
        <is>
          <t>OPS</t>
        </is>
      </c>
      <c r="E272" t="inlineStr">
        <is>
          <t>1110 Bank - Operating</t>
        </is>
      </c>
      <c r="F272" t="inlineStr">
        <is>
          <t>Clearpath NDIS Plans</t>
        </is>
      </c>
      <c r="G272" s="9">
        <f>MAX(Exceptions!$H$118,0)</f>
        <v>282.18</v>
      </c>
      <c r="H272" s="9">
        <f>MAX(-Exceptions!$H$118,0)</f>
        <v>0</v>
      </c>
      <c r="I272" t="inlineStr"/>
      <c r="J272" t="inlineStr">
        <is>
          <t>AUD</t>
        </is>
      </c>
      <c r="K272" s="9">
        <f>ROUND(SUMIFS($G$5:$G$454,$A$5:$A$454,A272)-SUMIFS($H$5:$H$454,$A$5:$A$454,A272),2)</f>
        <v>0</v>
      </c>
    </row>
    <row r="273">
      <c r="A273" t="inlineStr">
        <is>
          <t>J114</t>
        </is>
      </c>
      <c r="B273" t="inlineStr">
        <is>
          <t>EX114</t>
        </is>
      </c>
      <c r="C273" s="5" t="n">
        <v>46283</v>
      </c>
      <c r="D273" t="inlineStr">
        <is>
          <t>OPS</t>
        </is>
      </c>
      <c r="E273" t="inlineStr">
        <is>
          <t>1200 Accounts receivable</t>
        </is>
      </c>
      <c r="F273" t="inlineStr">
        <is>
          <t>Clearpath NDIS Plans (see Allocations)</t>
        </is>
      </c>
      <c r="G273" s="9">
        <f>MAX(-Exceptions!$H$118,0)</f>
        <v>0</v>
      </c>
      <c r="H273" s="9">
        <f>MAX(Exceptions!$H$118,0)</f>
        <v>282.18</v>
      </c>
      <c r="I273" t="inlineStr"/>
      <c r="J273" t="inlineStr">
        <is>
          <t>AUD</t>
        </is>
      </c>
      <c r="K273" s="9">
        <f>ROUND(SUMIFS($G$5:$G$454,$A$5:$A$454,A273)-SUMIFS($H$5:$H$454,$A$5:$A$454,A273),2)</f>
        <v>0</v>
      </c>
    </row>
    <row r="274">
      <c r="A274" t="inlineStr">
        <is>
          <t>J115</t>
        </is>
      </c>
      <c r="B274" t="inlineStr">
        <is>
          <t>EX115</t>
        </is>
      </c>
      <c r="C274" s="5" t="n">
        <v>46283</v>
      </c>
      <c r="D274" t="inlineStr">
        <is>
          <t>OPS</t>
        </is>
      </c>
      <c r="E274" t="inlineStr">
        <is>
          <t>1110 Bank - Operating</t>
        </is>
      </c>
      <c r="F274" t="inlineStr">
        <is>
          <t>Wattle Plan Services</t>
        </is>
      </c>
      <c r="G274" s="9">
        <f>MAX(Exceptions!$H$119,0)</f>
        <v>1922.29</v>
      </c>
      <c r="H274" s="9">
        <f>MAX(-Exceptions!$H$119,0)</f>
        <v>0</v>
      </c>
      <c r="I274" t="inlineStr"/>
      <c r="J274" t="inlineStr">
        <is>
          <t>AUD</t>
        </is>
      </c>
      <c r="K274" s="9">
        <f>ROUND(SUMIFS($G$5:$G$454,$A$5:$A$454,A274)-SUMIFS($H$5:$H$454,$A$5:$A$454,A274),2)</f>
        <v>0</v>
      </c>
    </row>
    <row r="275">
      <c r="A275" t="inlineStr">
        <is>
          <t>J115</t>
        </is>
      </c>
      <c r="B275" t="inlineStr">
        <is>
          <t>EX115</t>
        </is>
      </c>
      <c r="C275" s="5" t="n">
        <v>46283</v>
      </c>
      <c r="D275" t="inlineStr">
        <is>
          <t>OPS</t>
        </is>
      </c>
      <c r="E275" t="inlineStr">
        <is>
          <t>1200 Accounts receivable</t>
        </is>
      </c>
      <c r="F275" t="inlineStr">
        <is>
          <t>Wattle Plan Services (see Allocations)</t>
        </is>
      </c>
      <c r="G275" s="9">
        <f>MAX(-Exceptions!$H$119,0)</f>
        <v>0</v>
      </c>
      <c r="H275" s="9">
        <f>MAX(Exceptions!$H$119,0)</f>
        <v>1922.29</v>
      </c>
      <c r="I275" t="inlineStr"/>
      <c r="J275" t="inlineStr">
        <is>
          <t>AUD</t>
        </is>
      </c>
      <c r="K275" s="9">
        <f>ROUND(SUMIFS($G$5:$G$454,$A$5:$A$454,A275)-SUMIFS($H$5:$H$454,$A$5:$A$454,A275),2)</f>
        <v>0</v>
      </c>
    </row>
    <row r="276">
      <c r="A276" t="inlineStr">
        <is>
          <t>J116</t>
        </is>
      </c>
      <c r="B276" t="inlineStr">
        <is>
          <t>EX116</t>
        </is>
      </c>
      <c r="C276" s="5" t="n">
        <v>46288</v>
      </c>
      <c r="D276" t="inlineStr">
        <is>
          <t>OPS</t>
        </is>
      </c>
      <c r="E276" t="inlineStr">
        <is>
          <t>1110 Bank - Operating</t>
        </is>
      </c>
      <c r="F276" t="inlineStr">
        <is>
          <t>Kookaburra Plan Support</t>
        </is>
      </c>
      <c r="G276" s="9">
        <f>MAX(Exceptions!$H$120,0)</f>
        <v>2427.56</v>
      </c>
      <c r="H276" s="9">
        <f>MAX(-Exceptions!$H$120,0)</f>
        <v>0</v>
      </c>
      <c r="I276" t="inlineStr"/>
      <c r="J276" t="inlineStr">
        <is>
          <t>AUD</t>
        </is>
      </c>
      <c r="K276" s="9">
        <f>ROUND(SUMIFS($G$5:$G$454,$A$5:$A$454,A276)-SUMIFS($H$5:$H$454,$A$5:$A$454,A276),2)</f>
        <v>0</v>
      </c>
    </row>
    <row r="277">
      <c r="A277" t="inlineStr">
        <is>
          <t>J116</t>
        </is>
      </c>
      <c r="B277" t="inlineStr">
        <is>
          <t>EX116</t>
        </is>
      </c>
      <c r="C277" s="5" t="n">
        <v>46288</v>
      </c>
      <c r="D277" t="inlineStr">
        <is>
          <t>OPS</t>
        </is>
      </c>
      <c r="E277" t="inlineStr">
        <is>
          <t>1200 Accounts receivable</t>
        </is>
      </c>
      <c r="F277" t="inlineStr">
        <is>
          <t>Kookaburra Plan Support (see Allocations)</t>
        </is>
      </c>
      <c r="G277" s="9">
        <f>MAX(-Exceptions!$H$120,0)</f>
        <v>0</v>
      </c>
      <c r="H277" s="9">
        <f>MAX(Exceptions!$H$120,0)</f>
        <v>2427.56</v>
      </c>
      <c r="I277" t="inlineStr"/>
      <c r="J277" t="inlineStr">
        <is>
          <t>AUD</t>
        </is>
      </c>
      <c r="K277" s="9">
        <f>ROUND(SUMIFS($G$5:$G$454,$A$5:$A$454,A277)-SUMIFS($H$5:$H$454,$A$5:$A$454,A277),2)</f>
        <v>0</v>
      </c>
    </row>
    <row r="278">
      <c r="A278" t="inlineStr">
        <is>
          <t>J117</t>
        </is>
      </c>
      <c r="B278" t="inlineStr">
        <is>
          <t>EX117</t>
        </is>
      </c>
      <c r="C278" s="5" t="n">
        <v>46288</v>
      </c>
      <c r="D278" t="inlineStr">
        <is>
          <t>OPS</t>
        </is>
      </c>
      <c r="E278" t="inlineStr">
        <is>
          <t>1110 Bank - Operating</t>
        </is>
      </c>
      <c r="F278" t="inlineStr">
        <is>
          <t>Tallowwood Plans</t>
        </is>
      </c>
      <c r="G278" s="9">
        <f>MAX(Exceptions!$H$121,0)</f>
        <v>854.45</v>
      </c>
      <c r="H278" s="9">
        <f>MAX(-Exceptions!$H$121,0)</f>
        <v>0</v>
      </c>
      <c r="I278" t="inlineStr"/>
      <c r="J278" t="inlineStr">
        <is>
          <t>AUD</t>
        </is>
      </c>
      <c r="K278" s="9">
        <f>ROUND(SUMIFS($G$5:$G$454,$A$5:$A$454,A278)-SUMIFS($H$5:$H$454,$A$5:$A$454,A278),2)</f>
        <v>0</v>
      </c>
    </row>
    <row r="279">
      <c r="A279" t="inlineStr">
        <is>
          <t>J117</t>
        </is>
      </c>
      <c r="B279" t="inlineStr">
        <is>
          <t>EX117</t>
        </is>
      </c>
      <c r="C279" s="5" t="n">
        <v>46288</v>
      </c>
      <c r="D279" t="inlineStr">
        <is>
          <t>OPS</t>
        </is>
      </c>
      <c r="E279" t="inlineStr">
        <is>
          <t>1200 Accounts receivable</t>
        </is>
      </c>
      <c r="F279" t="inlineStr">
        <is>
          <t>Tallowwood Plans (see Allocations)</t>
        </is>
      </c>
      <c r="G279" s="9">
        <f>MAX(-Exceptions!$H$121,0)</f>
        <v>0</v>
      </c>
      <c r="H279" s="9">
        <f>MAX(Exceptions!$H$121,0)</f>
        <v>854.45</v>
      </c>
      <c r="I279" t="inlineStr"/>
      <c r="J279" t="inlineStr">
        <is>
          <t>AUD</t>
        </is>
      </c>
      <c r="K279" s="9">
        <f>ROUND(SUMIFS($G$5:$G$454,$A$5:$A$454,A279)-SUMIFS($H$5:$H$454,$A$5:$A$454,A279),2)</f>
        <v>0</v>
      </c>
    </row>
    <row r="280">
      <c r="A280" t="inlineStr">
        <is>
          <t>J118</t>
        </is>
      </c>
      <c r="B280" t="inlineStr">
        <is>
          <t>EX118</t>
        </is>
      </c>
      <c r="C280" s="5" t="n">
        <v>46293</v>
      </c>
      <c r="D280" t="inlineStr">
        <is>
          <t>OPS</t>
        </is>
      </c>
      <c r="E280" t="inlineStr">
        <is>
          <t>1110 Bank - Operating</t>
        </is>
      </c>
      <c r="F280" t="inlineStr">
        <is>
          <t>Riverbend Plan Partners</t>
        </is>
      </c>
      <c r="G280" s="9">
        <f>MAX(Exceptions!$H$122,0)</f>
        <v>2261.77</v>
      </c>
      <c r="H280" s="9">
        <f>MAX(-Exceptions!$H$122,0)</f>
        <v>0</v>
      </c>
      <c r="I280" t="inlineStr"/>
      <c r="J280" t="inlineStr">
        <is>
          <t>AUD</t>
        </is>
      </c>
      <c r="K280" s="9">
        <f>ROUND(SUMIFS($G$5:$G$454,$A$5:$A$454,A280)-SUMIFS($H$5:$H$454,$A$5:$A$454,A280),2)</f>
        <v>0</v>
      </c>
    </row>
    <row r="281">
      <c r="A281" t="inlineStr">
        <is>
          <t>J118</t>
        </is>
      </c>
      <c r="B281" t="inlineStr">
        <is>
          <t>EX118</t>
        </is>
      </c>
      <c r="C281" s="5" t="n">
        <v>46293</v>
      </c>
      <c r="D281" t="inlineStr">
        <is>
          <t>OPS</t>
        </is>
      </c>
      <c r="E281" t="inlineStr">
        <is>
          <t>1200 Accounts receivable</t>
        </is>
      </c>
      <c r="F281" t="inlineStr">
        <is>
          <t>Riverbend Plan Partners (see Allocations)</t>
        </is>
      </c>
      <c r="G281" s="9">
        <f>MAX(-Exceptions!$H$122,0)</f>
        <v>0</v>
      </c>
      <c r="H281" s="9">
        <f>MAX(Exceptions!$H$122,0)</f>
        <v>2261.77</v>
      </c>
      <c r="I281" t="inlineStr"/>
      <c r="J281" t="inlineStr">
        <is>
          <t>AUD</t>
        </is>
      </c>
      <c r="K281" s="9">
        <f>ROUND(SUMIFS($G$5:$G$454,$A$5:$A$454,A281)-SUMIFS($H$5:$H$454,$A$5:$A$454,A281),2)</f>
        <v>0</v>
      </c>
    </row>
    <row r="282">
      <c r="A282" t="inlineStr">
        <is>
          <t>J119</t>
        </is>
      </c>
      <c r="B282" t="inlineStr">
        <is>
          <t>EX119</t>
        </is>
      </c>
      <c r="C282" s="5" t="n">
        <v>46293</v>
      </c>
      <c r="D282" t="inlineStr">
        <is>
          <t>OPS</t>
        </is>
      </c>
      <c r="E282" t="inlineStr">
        <is>
          <t>1110 Bank - Operating</t>
        </is>
      </c>
      <c r="F282" t="inlineStr">
        <is>
          <t>Banksia Plan Co</t>
        </is>
      </c>
      <c r="G282" s="9">
        <f>MAX(Exceptions!$H$123,0)</f>
        <v>2037.8</v>
      </c>
      <c r="H282" s="9">
        <f>MAX(-Exceptions!$H$123,0)</f>
        <v>0</v>
      </c>
      <c r="I282" t="inlineStr"/>
      <c r="J282" t="inlineStr">
        <is>
          <t>AUD</t>
        </is>
      </c>
      <c r="K282" s="9">
        <f>ROUND(SUMIFS($G$5:$G$454,$A$5:$A$454,A282)-SUMIFS($H$5:$H$454,$A$5:$A$454,A282),2)</f>
        <v>0</v>
      </c>
    </row>
    <row r="283">
      <c r="A283" t="inlineStr">
        <is>
          <t>J119</t>
        </is>
      </c>
      <c r="B283" t="inlineStr">
        <is>
          <t>EX119</t>
        </is>
      </c>
      <c r="C283" s="5" t="n">
        <v>46293</v>
      </c>
      <c r="D283" t="inlineStr">
        <is>
          <t>OPS</t>
        </is>
      </c>
      <c r="E283" t="inlineStr">
        <is>
          <t>1200 Accounts receivable</t>
        </is>
      </c>
      <c r="F283" t="inlineStr">
        <is>
          <t>Banksia Plan Co (see Allocations)</t>
        </is>
      </c>
      <c r="G283" s="9">
        <f>MAX(-Exceptions!$H$123,0)</f>
        <v>0</v>
      </c>
      <c r="H283" s="9">
        <f>MAX(Exceptions!$H$123,0)</f>
        <v>2037.8</v>
      </c>
      <c r="I283" t="inlineStr"/>
      <c r="J283" t="inlineStr">
        <is>
          <t>AUD</t>
        </is>
      </c>
      <c r="K283" s="9">
        <f>ROUND(SUMIFS($G$5:$G$454,$A$5:$A$454,A283)-SUMIFS($H$5:$H$454,$A$5:$A$454,A283),2)</f>
        <v>0</v>
      </c>
    </row>
    <row r="284">
      <c r="A284" t="inlineStr">
        <is>
          <t>J120</t>
        </is>
      </c>
      <c r="B284" t="inlineStr">
        <is>
          <t>EX120</t>
        </is>
      </c>
      <c r="C284" s="5" t="n">
        <v>46213</v>
      </c>
      <c r="D284" t="inlineStr">
        <is>
          <t>OPS</t>
        </is>
      </c>
      <c r="E284" t="inlineStr">
        <is>
          <t>1110 Bank - Operating</t>
        </is>
      </c>
      <c r="F284" t="inlineStr">
        <is>
          <t>FX conversion FX0710: bank rate vs Odoo rate, difference -14</t>
        </is>
      </c>
      <c r="G284" s="9">
        <f>MAX(Exceptions!$H$124,0)</f>
        <v>0</v>
      </c>
      <c r="H284" s="9">
        <f>MAX(-Exceptions!$H$124,0)</f>
        <v>14.55</v>
      </c>
      <c r="I284" t="inlineStr"/>
      <c r="J284" t="inlineStr">
        <is>
          <t>AUD</t>
        </is>
      </c>
      <c r="K284" s="9">
        <f>ROUND(SUMIFS($G$5:$G$454,$A$5:$A$454,A284)-SUMIFS($H$5:$H$454,$A$5:$A$454,A284),2)</f>
        <v>0</v>
      </c>
    </row>
    <row r="285">
      <c r="A285" t="inlineStr">
        <is>
          <t>J120</t>
        </is>
      </c>
      <c r="B285" t="inlineStr">
        <is>
          <t>EX120</t>
        </is>
      </c>
      <c r="C285" s="5" t="n">
        <v>46213</v>
      </c>
      <c r="D285" t="inlineStr">
        <is>
          <t>OPS</t>
        </is>
      </c>
      <c r="E285" t="inlineStr">
        <is>
          <t>6900 FX gains and losses</t>
        </is>
      </c>
      <c r="F285" t="inlineStr">
        <is>
          <t>Bank rate vs Odoo rate</t>
        </is>
      </c>
      <c r="G285" s="9">
        <f>MAX(-Exceptions!$H$124,0)</f>
        <v>14.55</v>
      </c>
      <c r="H285" s="9">
        <f>MAX(Exceptions!$H$124,0)</f>
        <v>0</v>
      </c>
      <c r="I285" t="inlineStr"/>
      <c r="J285" t="inlineStr">
        <is>
          <t>AUD</t>
        </is>
      </c>
      <c r="K285" s="9">
        <f>ROUND(SUMIFS($G$5:$G$454,$A$5:$A$454,A285)-SUMIFS($H$5:$H$454,$A$5:$A$454,A285),2)</f>
        <v>0</v>
      </c>
    </row>
    <row r="286">
      <c r="A286" t="inlineStr">
        <is>
          <t>J121</t>
        </is>
      </c>
      <c r="B286" t="inlineStr">
        <is>
          <t>EX121</t>
        </is>
      </c>
      <c r="C286" s="5" t="n">
        <v>46244</v>
      </c>
      <c r="D286" t="inlineStr">
        <is>
          <t>OPS</t>
        </is>
      </c>
      <c r="E286" t="inlineStr">
        <is>
          <t>1110 Bank - Operating</t>
        </is>
      </c>
      <c r="F286" t="inlineStr">
        <is>
          <t>FX conversion FX0810: bank rate vs Odoo rate, difference -14</t>
        </is>
      </c>
      <c r="G286" s="9">
        <f>MAX(Exceptions!$H$125,0)</f>
        <v>0</v>
      </c>
      <c r="H286" s="9">
        <f>MAX(-Exceptions!$H$125,0)</f>
        <v>14.79</v>
      </c>
      <c r="I286" t="inlineStr"/>
      <c r="J286" t="inlineStr">
        <is>
          <t>AUD</t>
        </is>
      </c>
      <c r="K286" s="9">
        <f>ROUND(SUMIFS($G$5:$G$454,$A$5:$A$454,A286)-SUMIFS($H$5:$H$454,$A$5:$A$454,A286),2)</f>
        <v>0</v>
      </c>
    </row>
    <row r="287">
      <c r="A287" t="inlineStr">
        <is>
          <t>J121</t>
        </is>
      </c>
      <c r="B287" t="inlineStr">
        <is>
          <t>EX121</t>
        </is>
      </c>
      <c r="C287" s="5" t="n">
        <v>46244</v>
      </c>
      <c r="D287" t="inlineStr">
        <is>
          <t>OPS</t>
        </is>
      </c>
      <c r="E287" t="inlineStr">
        <is>
          <t>6900 FX gains and losses</t>
        </is>
      </c>
      <c r="F287" t="inlineStr">
        <is>
          <t>Bank rate vs Odoo rate</t>
        </is>
      </c>
      <c r="G287" s="9">
        <f>MAX(-Exceptions!$H$125,0)</f>
        <v>14.79</v>
      </c>
      <c r="H287" s="9">
        <f>MAX(Exceptions!$H$125,0)</f>
        <v>0</v>
      </c>
      <c r="I287" t="inlineStr"/>
      <c r="J287" t="inlineStr">
        <is>
          <t>AUD</t>
        </is>
      </c>
      <c r="K287" s="9">
        <f>ROUND(SUMIFS($G$5:$G$454,$A$5:$A$454,A287)-SUMIFS($H$5:$H$454,$A$5:$A$454,A287),2)</f>
        <v>0</v>
      </c>
    </row>
    <row r="288">
      <c r="A288" t="inlineStr">
        <is>
          <t>J122</t>
        </is>
      </c>
      <c r="B288" t="inlineStr">
        <is>
          <t>EX122</t>
        </is>
      </c>
      <c r="C288" s="5" t="n">
        <v>46275</v>
      </c>
      <c r="D288" t="inlineStr">
        <is>
          <t>OPS</t>
        </is>
      </c>
      <c r="E288" t="inlineStr">
        <is>
          <t>1110 Bank - Operating</t>
        </is>
      </c>
      <c r="F288" t="inlineStr">
        <is>
          <t>FX conversion FX0910: bank rate vs Odoo rate, difference -14</t>
        </is>
      </c>
      <c r="G288" s="9">
        <f>MAX(Exceptions!$H$126,0)</f>
        <v>0</v>
      </c>
      <c r="H288" s="9">
        <f>MAX(-Exceptions!$H$126,0)</f>
        <v>14.42</v>
      </c>
      <c r="I288" t="inlineStr"/>
      <c r="J288" t="inlineStr">
        <is>
          <t>AUD</t>
        </is>
      </c>
      <c r="K288" s="9">
        <f>ROUND(SUMIFS($G$5:$G$454,$A$5:$A$454,A288)-SUMIFS($H$5:$H$454,$A$5:$A$454,A288),2)</f>
        <v>0</v>
      </c>
    </row>
    <row r="289">
      <c r="A289" t="inlineStr">
        <is>
          <t>J122</t>
        </is>
      </c>
      <c r="B289" t="inlineStr">
        <is>
          <t>EX122</t>
        </is>
      </c>
      <c r="C289" s="5" t="n">
        <v>46275</v>
      </c>
      <c r="D289" t="inlineStr">
        <is>
          <t>OPS</t>
        </is>
      </c>
      <c r="E289" t="inlineStr">
        <is>
          <t>6900 FX gains and losses</t>
        </is>
      </c>
      <c r="F289" t="inlineStr">
        <is>
          <t>Bank rate vs Odoo rate</t>
        </is>
      </c>
      <c r="G289" s="9">
        <f>MAX(-Exceptions!$H$126,0)</f>
        <v>14.42</v>
      </c>
      <c r="H289" s="9">
        <f>MAX(Exceptions!$H$126,0)</f>
        <v>0</v>
      </c>
      <c r="I289" t="inlineStr"/>
      <c r="J289" t="inlineStr">
        <is>
          <t>AUD</t>
        </is>
      </c>
      <c r="K289" s="9">
        <f>ROUND(SUMIFS($G$5:$G$454,$A$5:$A$454,A289)-SUMIFS($H$5:$H$454,$A$5:$A$454,A289),2)</f>
        <v>0</v>
      </c>
    </row>
    <row r="290">
      <c r="A290" t="inlineStr">
        <is>
          <t>J123</t>
        </is>
      </c>
      <c r="B290" t="inlineStr">
        <is>
          <t>EX123</t>
        </is>
      </c>
      <c r="C290" s="5" t="n">
        <v>46241</v>
      </c>
      <c r="D290" t="inlineStr">
        <is>
          <t>MER</t>
        </is>
      </c>
      <c r="E290" t="inlineStr">
        <is>
          <t>1130 Bank - Merchant settlement</t>
        </is>
      </c>
      <c r="F290" t="inlineStr">
        <is>
          <t>Settlement -120.00 lower than POS takings: terminal refund n</t>
        </is>
      </c>
      <c r="G290" s="9">
        <f>MAX(Exceptions!$H$127,0)</f>
        <v>0</v>
      </c>
      <c r="H290" s="9">
        <f>MAX(-Exceptions!$H$127,0)</f>
        <v>120</v>
      </c>
      <c r="I290" t="inlineStr"/>
      <c r="J290" t="inlineStr">
        <is>
          <t>AUD</t>
        </is>
      </c>
      <c r="K290" s="9">
        <f>ROUND(SUMIFS($G$5:$G$454,$A$5:$A$454,A290)-SUMIFS($H$5:$H$454,$A$5:$A$454,A290),2)</f>
        <v>0</v>
      </c>
    </row>
    <row r="291">
      <c r="A291" t="inlineStr">
        <is>
          <t>J123</t>
        </is>
      </c>
      <c r="B291" t="inlineStr">
        <is>
          <t>EX123</t>
        </is>
      </c>
      <c r="C291" s="5" t="n">
        <v>46241</v>
      </c>
      <c r="D291" t="inlineStr">
        <is>
          <t>MER</t>
        </is>
      </c>
      <c r="E291" t="inlineStr">
        <is>
          <t>4150 Patient refunds</t>
        </is>
      </c>
      <c r="F291" t="inlineStr">
        <is>
          <t>Terminal refund not in POS</t>
        </is>
      </c>
      <c r="G291" s="9">
        <f>MAX(-Exceptions!$H$127,0)</f>
        <v>120</v>
      </c>
      <c r="H291" s="9">
        <f>MAX(Exceptions!$H$127,0)</f>
        <v>0</v>
      </c>
      <c r="I291" t="inlineStr">
        <is>
          <t>GST free</t>
        </is>
      </c>
      <c r="J291" t="inlineStr">
        <is>
          <t>AUD</t>
        </is>
      </c>
      <c r="K291" s="9">
        <f>ROUND(SUMIFS($G$5:$G$454,$A$5:$A$454,A291)-SUMIFS($H$5:$H$454,$A$5:$A$454,A291),2)</f>
        <v>0</v>
      </c>
    </row>
    <row r="292">
      <c r="A292" t="inlineStr">
        <is>
          <t>J124</t>
        </is>
      </c>
      <c r="B292" t="inlineStr">
        <is>
          <t>EX124</t>
        </is>
      </c>
      <c r="C292" s="5" t="n">
        <v>46281</v>
      </c>
      <c r="D292" t="inlineStr">
        <is>
          <t>MER</t>
        </is>
      </c>
      <c r="E292" t="inlineStr">
        <is>
          <t>1130 Bank - Merchant settlement</t>
        </is>
      </c>
      <c r="F292" t="inlineStr">
        <is>
          <t>Settlement -120.00 lower than POS takings: terminal refund n</t>
        </is>
      </c>
      <c r="G292" s="9">
        <f>MAX(Exceptions!$H$128,0)</f>
        <v>0</v>
      </c>
      <c r="H292" s="9">
        <f>MAX(-Exceptions!$H$128,0)</f>
        <v>120</v>
      </c>
      <c r="I292" t="inlineStr"/>
      <c r="J292" t="inlineStr">
        <is>
          <t>AUD</t>
        </is>
      </c>
      <c r="K292" s="9">
        <f>ROUND(SUMIFS($G$5:$G$454,$A$5:$A$454,A292)-SUMIFS($H$5:$H$454,$A$5:$A$454,A292),2)</f>
        <v>0</v>
      </c>
    </row>
    <row r="293">
      <c r="A293" t="inlineStr">
        <is>
          <t>J124</t>
        </is>
      </c>
      <c r="B293" t="inlineStr">
        <is>
          <t>EX124</t>
        </is>
      </c>
      <c r="C293" s="5" t="n">
        <v>46281</v>
      </c>
      <c r="D293" t="inlineStr">
        <is>
          <t>MER</t>
        </is>
      </c>
      <c r="E293" t="inlineStr">
        <is>
          <t>4150 Patient refunds</t>
        </is>
      </c>
      <c r="F293" t="inlineStr">
        <is>
          <t>Terminal refund not in POS</t>
        </is>
      </c>
      <c r="G293" s="9">
        <f>MAX(-Exceptions!$H$128,0)</f>
        <v>120</v>
      </c>
      <c r="H293" s="9">
        <f>MAX(Exceptions!$H$128,0)</f>
        <v>0</v>
      </c>
      <c r="I293" t="inlineStr">
        <is>
          <t>GST free</t>
        </is>
      </c>
      <c r="J293" t="inlineStr">
        <is>
          <t>AUD</t>
        </is>
      </c>
      <c r="K293" s="9">
        <f>ROUND(SUMIFS($G$5:$G$454,$A$5:$A$454,A293)-SUMIFS($H$5:$H$454,$A$5:$A$454,A293),2)</f>
        <v>0</v>
      </c>
    </row>
    <row r="294">
      <c r="A294" t="inlineStr">
        <is>
          <t>J125</t>
        </is>
      </c>
      <c r="B294" t="inlineStr">
        <is>
          <t>EX125</t>
        </is>
      </c>
      <c r="C294" s="5" t="n">
        <v>46220</v>
      </c>
      <c r="D294" t="inlineStr">
        <is>
          <t>USD</t>
        </is>
      </c>
      <c r="E294" t="inlineStr">
        <is>
          <t>1140 Bank - USD</t>
        </is>
      </c>
      <c r="F294" t="inlineStr">
        <is>
          <t>Cascadia Health Analytics Inc</t>
        </is>
      </c>
      <c r="G294" s="9">
        <f>MAX(Exceptions!$H$129,0)</f>
        <v>0</v>
      </c>
      <c r="H294" s="9">
        <f>MAX(-Exceptions!$H$129,0)</f>
        <v>18</v>
      </c>
      <c r="I294" t="inlineStr"/>
      <c r="J294" t="inlineStr">
        <is>
          <t>USD</t>
        </is>
      </c>
      <c r="K294" s="9">
        <f>ROUND(SUMIFS($G$5:$G$454,$A$5:$A$454,A294)-SUMIFS($H$5:$H$454,$A$5:$A$454,A294),2)</f>
        <v>0</v>
      </c>
    </row>
    <row r="295">
      <c r="A295" t="inlineStr">
        <is>
          <t>J125</t>
        </is>
      </c>
      <c r="B295" t="inlineStr">
        <is>
          <t>EX125</t>
        </is>
      </c>
      <c r="C295" s="5" t="n">
        <v>46220</v>
      </c>
      <c r="D295" t="inlineStr">
        <is>
          <t>USD</t>
        </is>
      </c>
      <c r="E295" t="inlineStr">
        <is>
          <t>6110 Bank charges</t>
        </is>
      </c>
      <c r="F295" t="inlineStr">
        <is>
          <t>Intermediary bank fee (USD)</t>
        </is>
      </c>
      <c r="G295" s="9">
        <f>MAX(-Exceptions!$H$129,0)</f>
        <v>18</v>
      </c>
      <c r="H295" s="9">
        <f>MAX(Exceptions!$H$129,0)</f>
        <v>0</v>
      </c>
      <c r="I295" t="inlineStr">
        <is>
          <t>Input taxed</t>
        </is>
      </c>
      <c r="J295" t="inlineStr">
        <is>
          <t>USD</t>
        </is>
      </c>
      <c r="K295" s="9">
        <f>ROUND(SUMIFS($G$5:$G$454,$A$5:$A$454,A295)-SUMIFS($H$5:$H$454,$A$5:$A$454,A295),2)</f>
        <v>0</v>
      </c>
    </row>
    <row r="296">
      <c r="A296" t="inlineStr">
        <is>
          <t>J126</t>
        </is>
      </c>
      <c r="B296" t="inlineStr">
        <is>
          <t>EX126</t>
        </is>
      </c>
      <c r="C296" s="5" t="n">
        <v>46248</v>
      </c>
      <c r="D296" t="inlineStr">
        <is>
          <t>USD</t>
        </is>
      </c>
      <c r="E296" t="inlineStr">
        <is>
          <t>1140 Bank - USD</t>
        </is>
      </c>
      <c r="F296" t="inlineStr">
        <is>
          <t>Cascadia Health Analytics Inc</t>
        </is>
      </c>
      <c r="G296" s="9">
        <f>MAX(Exceptions!$H$130,0)</f>
        <v>0</v>
      </c>
      <c r="H296" s="9">
        <f>MAX(-Exceptions!$H$130,0)</f>
        <v>18</v>
      </c>
      <c r="I296" t="inlineStr"/>
      <c r="J296" t="inlineStr">
        <is>
          <t>USD</t>
        </is>
      </c>
      <c r="K296" s="9">
        <f>ROUND(SUMIFS($G$5:$G$454,$A$5:$A$454,A296)-SUMIFS($H$5:$H$454,$A$5:$A$454,A296),2)</f>
        <v>0</v>
      </c>
    </row>
    <row r="297">
      <c r="A297" t="inlineStr">
        <is>
          <t>J126</t>
        </is>
      </c>
      <c r="B297" t="inlineStr">
        <is>
          <t>EX126</t>
        </is>
      </c>
      <c r="C297" s="5" t="n">
        <v>46248</v>
      </c>
      <c r="D297" t="inlineStr">
        <is>
          <t>USD</t>
        </is>
      </c>
      <c r="E297" t="inlineStr">
        <is>
          <t>6110 Bank charges</t>
        </is>
      </c>
      <c r="F297" t="inlineStr">
        <is>
          <t>Intermediary bank fee (USD)</t>
        </is>
      </c>
      <c r="G297" s="9">
        <f>MAX(-Exceptions!$H$130,0)</f>
        <v>18</v>
      </c>
      <c r="H297" s="9">
        <f>MAX(Exceptions!$H$130,0)</f>
        <v>0</v>
      </c>
      <c r="I297" t="inlineStr">
        <is>
          <t>Input taxed</t>
        </is>
      </c>
      <c r="J297" t="inlineStr">
        <is>
          <t>USD</t>
        </is>
      </c>
      <c r="K297" s="9">
        <f>ROUND(SUMIFS($G$5:$G$454,$A$5:$A$454,A297)-SUMIFS($H$5:$H$454,$A$5:$A$454,A297),2)</f>
        <v>0</v>
      </c>
    </row>
    <row r="298">
      <c r="A298" t="inlineStr">
        <is>
          <t>J127</t>
        </is>
      </c>
      <c r="B298" t="inlineStr">
        <is>
          <t>EX127</t>
        </is>
      </c>
      <c r="C298" s="5" t="n">
        <v>46281</v>
      </c>
      <c r="D298" t="inlineStr">
        <is>
          <t>USD</t>
        </is>
      </c>
      <c r="E298" t="inlineStr">
        <is>
          <t>1140 Bank - USD</t>
        </is>
      </c>
      <c r="F298" t="inlineStr">
        <is>
          <t>Cascadia Health Analytics Inc</t>
        </is>
      </c>
      <c r="G298" s="9">
        <f>MAX(Exceptions!$H$131,0)</f>
        <v>0</v>
      </c>
      <c r="H298" s="9">
        <f>MAX(-Exceptions!$H$131,0)</f>
        <v>18</v>
      </c>
      <c r="I298" t="inlineStr"/>
      <c r="J298" t="inlineStr">
        <is>
          <t>USD</t>
        </is>
      </c>
      <c r="K298" s="9">
        <f>ROUND(SUMIFS($G$5:$G$454,$A$5:$A$454,A298)-SUMIFS($H$5:$H$454,$A$5:$A$454,A298),2)</f>
        <v>0</v>
      </c>
    </row>
    <row r="299">
      <c r="A299" t="inlineStr">
        <is>
          <t>J127</t>
        </is>
      </c>
      <c r="B299" t="inlineStr">
        <is>
          <t>EX127</t>
        </is>
      </c>
      <c r="C299" s="5" t="n">
        <v>46281</v>
      </c>
      <c r="D299" t="inlineStr">
        <is>
          <t>USD</t>
        </is>
      </c>
      <c r="E299" t="inlineStr">
        <is>
          <t>6110 Bank charges</t>
        </is>
      </c>
      <c r="F299" t="inlineStr">
        <is>
          <t>Intermediary bank fee (USD)</t>
        </is>
      </c>
      <c r="G299" s="9">
        <f>MAX(-Exceptions!$H$131,0)</f>
        <v>18</v>
      </c>
      <c r="H299" s="9">
        <f>MAX(Exceptions!$H$131,0)</f>
        <v>0</v>
      </c>
      <c r="I299" t="inlineStr">
        <is>
          <t>Input taxed</t>
        </is>
      </c>
      <c r="J299" t="inlineStr">
        <is>
          <t>USD</t>
        </is>
      </c>
      <c r="K299" s="9">
        <f>ROUND(SUMIFS($G$5:$G$454,$A$5:$A$454,A299)-SUMIFS($H$5:$H$454,$A$5:$A$454,A299),2)</f>
        <v>0</v>
      </c>
    </row>
    <row r="300">
      <c r="A300" t="inlineStr">
        <is>
          <t>J128</t>
        </is>
      </c>
      <c r="B300" t="inlineStr">
        <is>
          <t>EX128</t>
        </is>
      </c>
      <c r="C300" s="5" t="n">
        <v>46204</v>
      </c>
      <c r="D300" t="inlineStr">
        <is>
          <t>OPS</t>
        </is>
      </c>
      <c r="E300" t="inlineStr">
        <is>
          <t>1110 Bank - Operating</t>
        </is>
      </c>
      <c r="F300" t="inlineStr">
        <is>
          <t>Mornane Electrical</t>
        </is>
      </c>
      <c r="G300" s="9">
        <f>MAX(Exceptions!$H$132,0)</f>
        <v>1320</v>
      </c>
      <c r="H300" s="9">
        <f>MAX(-Exceptions!$H$132,0)</f>
        <v>0</v>
      </c>
      <c r="I300" t="inlineStr"/>
      <c r="J300" t="inlineStr">
        <is>
          <t>AUD</t>
        </is>
      </c>
      <c r="K300" s="9">
        <f>ROUND(SUMIFS($G$5:$G$454,$A$5:$A$454,A300)-SUMIFS($H$5:$H$454,$A$5:$A$454,A300),2)</f>
        <v>0</v>
      </c>
    </row>
    <row r="301">
      <c r="A301" t="inlineStr">
        <is>
          <t>J128</t>
        </is>
      </c>
      <c r="B301" t="inlineStr">
        <is>
          <t>EX128</t>
        </is>
      </c>
      <c r="C301" s="5" t="n">
        <v>46204</v>
      </c>
      <c r="D301" t="inlineStr">
        <is>
          <t>OPS</t>
        </is>
      </c>
      <c r="E301" t="inlineStr">
        <is>
          <t>1200 Accounts receivable</t>
        </is>
      </c>
      <c r="F301" t="inlineStr">
        <is>
          <t>Mornane Electrical (see Allocations)</t>
        </is>
      </c>
      <c r="G301" s="9">
        <f>MAX(-Exceptions!$H$132,0)</f>
        <v>0</v>
      </c>
      <c r="H301" s="9">
        <f>MAX(Exceptions!$H$132,0)</f>
        <v>1320</v>
      </c>
      <c r="I301" t="inlineStr"/>
      <c r="J301" t="inlineStr">
        <is>
          <t>AUD</t>
        </is>
      </c>
      <c r="K301" s="9">
        <f>ROUND(SUMIFS($G$5:$G$454,$A$5:$A$454,A301)-SUMIFS($H$5:$H$454,$A$5:$A$454,A301),2)</f>
        <v>0</v>
      </c>
    </row>
    <row r="302">
      <c r="A302" t="inlineStr">
        <is>
          <t>J129</t>
        </is>
      </c>
      <c r="B302" t="inlineStr">
        <is>
          <t>EX129</t>
        </is>
      </c>
      <c r="C302" s="5" t="n">
        <v>46205</v>
      </c>
      <c r="D302" t="inlineStr">
        <is>
          <t>OPS</t>
        </is>
      </c>
      <c r="E302" t="inlineStr">
        <is>
          <t>1110 Bank - Operating</t>
        </is>
      </c>
      <c r="F302" t="inlineStr">
        <is>
          <t>Northline Injury Claims</t>
        </is>
      </c>
      <c r="G302" s="9">
        <f>MAX(Exceptions!$H$133,0)</f>
        <v>132</v>
      </c>
      <c r="H302" s="9">
        <f>MAX(-Exceptions!$H$133,0)</f>
        <v>0</v>
      </c>
      <c r="I302" t="inlineStr"/>
      <c r="J302" t="inlineStr">
        <is>
          <t>AUD</t>
        </is>
      </c>
      <c r="K302" s="9">
        <f>ROUND(SUMIFS($G$5:$G$454,$A$5:$A$454,A302)-SUMIFS($H$5:$H$454,$A$5:$A$454,A302),2)</f>
        <v>0</v>
      </c>
    </row>
    <row r="303">
      <c r="A303" t="inlineStr">
        <is>
          <t>J129</t>
        </is>
      </c>
      <c r="B303" t="inlineStr">
        <is>
          <t>EX129</t>
        </is>
      </c>
      <c r="C303" s="5" t="n">
        <v>46205</v>
      </c>
      <c r="D303" t="inlineStr">
        <is>
          <t>OPS</t>
        </is>
      </c>
      <c r="E303" t="inlineStr">
        <is>
          <t>1200 Accounts receivable</t>
        </is>
      </c>
      <c r="F303" t="inlineStr">
        <is>
          <t>Northline Injury Claims (see Allocations)</t>
        </is>
      </c>
      <c r="G303" s="9">
        <f>MAX(-Exceptions!$H$133,0)</f>
        <v>0</v>
      </c>
      <c r="H303" s="9">
        <f>MAX(Exceptions!$H$133,0)</f>
        <v>132</v>
      </c>
      <c r="I303" t="inlineStr"/>
      <c r="J303" t="inlineStr">
        <is>
          <t>AUD</t>
        </is>
      </c>
      <c r="K303" s="9">
        <f>ROUND(SUMIFS($G$5:$G$454,$A$5:$A$454,A303)-SUMIFS($H$5:$H$454,$A$5:$A$454,A303),2)</f>
        <v>0</v>
      </c>
    </row>
    <row r="304">
      <c r="A304" t="inlineStr">
        <is>
          <t>J130</t>
        </is>
      </c>
      <c r="B304" t="inlineStr">
        <is>
          <t>EX130</t>
        </is>
      </c>
      <c r="C304" s="5" t="n">
        <v>46211</v>
      </c>
      <c r="D304" t="inlineStr">
        <is>
          <t>OPS</t>
        </is>
      </c>
      <c r="E304" t="inlineStr">
        <is>
          <t>1110 Bank - Operating</t>
        </is>
      </c>
      <c r="F304" t="inlineStr">
        <is>
          <t>Fibrewire Networks</t>
        </is>
      </c>
      <c r="G304" s="9">
        <f>MAX(Exceptions!$H$134,0)</f>
        <v>0</v>
      </c>
      <c r="H304" s="9">
        <f>MAX(-Exceptions!$H$134,0)</f>
        <v>649</v>
      </c>
      <c r="I304" t="inlineStr"/>
      <c r="J304" t="inlineStr">
        <is>
          <t>AUD</t>
        </is>
      </c>
      <c r="K304" s="9">
        <f>ROUND(SUMIFS($G$5:$G$454,$A$5:$A$454,A304)-SUMIFS($H$5:$H$454,$A$5:$A$454,A304),2)</f>
        <v>0</v>
      </c>
    </row>
    <row r="305">
      <c r="A305" t="inlineStr">
        <is>
          <t>J130</t>
        </is>
      </c>
      <c r="B305" t="inlineStr">
        <is>
          <t>EX130</t>
        </is>
      </c>
      <c r="C305" s="5" t="n">
        <v>46211</v>
      </c>
      <c r="D305" t="inlineStr">
        <is>
          <t>OPS</t>
        </is>
      </c>
      <c r="E305" t="inlineStr">
        <is>
          <t>2100 Accounts payable</t>
        </is>
      </c>
      <c r="F305" t="inlineStr">
        <is>
          <t>Fibrewire Networks</t>
        </is>
      </c>
      <c r="G305" s="9">
        <f>MAX(-Exceptions!$H$134,0)</f>
        <v>649</v>
      </c>
      <c r="H305" s="9">
        <f>MAX(Exceptions!$H$134,0)</f>
        <v>0</v>
      </c>
      <c r="I305" t="inlineStr"/>
      <c r="J305" t="inlineStr">
        <is>
          <t>AUD</t>
        </is>
      </c>
      <c r="K305" s="9">
        <f>ROUND(SUMIFS($G$5:$G$454,$A$5:$A$454,A305)-SUMIFS($H$5:$H$454,$A$5:$A$454,A305),2)</f>
        <v>0</v>
      </c>
    </row>
    <row r="306">
      <c r="A306" t="inlineStr">
        <is>
          <t>J131</t>
        </is>
      </c>
      <c r="B306" t="inlineStr">
        <is>
          <t>EX131</t>
        </is>
      </c>
      <c r="C306" s="5" t="n">
        <v>46213</v>
      </c>
      <c r="D306" t="inlineStr">
        <is>
          <t>OPS</t>
        </is>
      </c>
      <c r="E306" t="inlineStr">
        <is>
          <t>1110 Bank - Operating</t>
        </is>
      </c>
      <c r="F306" t="inlineStr">
        <is>
          <t>Westmere Council Services</t>
        </is>
      </c>
      <c r="G306" s="9">
        <f>MAX(Exceptions!$H$135,0)</f>
        <v>10807.5</v>
      </c>
      <c r="H306" s="9">
        <f>MAX(-Exceptions!$H$135,0)</f>
        <v>0</v>
      </c>
      <c r="I306" t="inlineStr"/>
      <c r="J306" t="inlineStr">
        <is>
          <t>AUD</t>
        </is>
      </c>
      <c r="K306" s="9">
        <f>ROUND(SUMIFS($G$5:$G$454,$A$5:$A$454,A306)-SUMIFS($H$5:$H$454,$A$5:$A$454,A306),2)</f>
        <v>0</v>
      </c>
    </row>
    <row r="307">
      <c r="A307" t="inlineStr">
        <is>
          <t>J131</t>
        </is>
      </c>
      <c r="B307" t="inlineStr">
        <is>
          <t>EX131</t>
        </is>
      </c>
      <c r="C307" s="5" t="n">
        <v>46213</v>
      </c>
      <c r="D307" t="inlineStr">
        <is>
          <t>OPS</t>
        </is>
      </c>
      <c r="E307" t="inlineStr">
        <is>
          <t>1200 Accounts receivable</t>
        </is>
      </c>
      <c r="F307" t="inlineStr">
        <is>
          <t>Westmere Council Services (see Allocations)</t>
        </is>
      </c>
      <c r="G307" s="9">
        <f>MAX(-Exceptions!$H$135,0)</f>
        <v>0</v>
      </c>
      <c r="H307" s="9">
        <f>MAX(Exceptions!$H$135,0)</f>
        <v>10807.5</v>
      </c>
      <c r="I307" t="inlineStr"/>
      <c r="J307" t="inlineStr">
        <is>
          <t>AUD</t>
        </is>
      </c>
      <c r="K307" s="9">
        <f>ROUND(SUMIFS($G$5:$G$454,$A$5:$A$454,A307)-SUMIFS($H$5:$H$454,$A$5:$A$454,A307),2)</f>
        <v>0</v>
      </c>
    </row>
    <row r="308">
      <c r="A308" t="inlineStr">
        <is>
          <t>J132</t>
        </is>
      </c>
      <c r="B308" t="inlineStr">
        <is>
          <t>EX132</t>
        </is>
      </c>
      <c r="C308" s="5" t="n">
        <v>46217</v>
      </c>
      <c r="D308" t="inlineStr">
        <is>
          <t>OPS</t>
        </is>
      </c>
      <c r="E308" t="inlineStr">
        <is>
          <t>1110 Bank - Operating</t>
        </is>
      </c>
      <c r="F308" t="inlineStr">
        <is>
          <t>Unity Workcover Agents</t>
        </is>
      </c>
      <c r="G308" s="9">
        <f>MAX(Exceptions!$H$136,0)</f>
        <v>88</v>
      </c>
      <c r="H308" s="9">
        <f>MAX(-Exceptions!$H$136,0)</f>
        <v>0</v>
      </c>
      <c r="I308" t="inlineStr"/>
      <c r="J308" t="inlineStr">
        <is>
          <t>AUD</t>
        </is>
      </c>
      <c r="K308" s="9">
        <f>ROUND(SUMIFS($G$5:$G$454,$A$5:$A$454,A308)-SUMIFS($H$5:$H$454,$A$5:$A$454,A308),2)</f>
        <v>0</v>
      </c>
    </row>
    <row r="309">
      <c r="A309" t="inlineStr">
        <is>
          <t>J132</t>
        </is>
      </c>
      <c r="B309" t="inlineStr">
        <is>
          <t>EX132</t>
        </is>
      </c>
      <c r="C309" s="5" t="n">
        <v>46217</v>
      </c>
      <c r="D309" t="inlineStr">
        <is>
          <t>OPS</t>
        </is>
      </c>
      <c r="E309" t="inlineStr">
        <is>
          <t>1200 Accounts receivable</t>
        </is>
      </c>
      <c r="F309" t="inlineStr">
        <is>
          <t>Unity Workcover Agents (see Allocations)</t>
        </is>
      </c>
      <c r="G309" s="9">
        <f>MAX(-Exceptions!$H$136,0)</f>
        <v>0</v>
      </c>
      <c r="H309" s="9">
        <f>MAX(Exceptions!$H$136,0)</f>
        <v>88</v>
      </c>
      <c r="I309" t="inlineStr"/>
      <c r="J309" t="inlineStr">
        <is>
          <t>AUD</t>
        </is>
      </c>
      <c r="K309" s="9">
        <f>ROUND(SUMIFS($G$5:$G$454,$A$5:$A$454,A309)-SUMIFS($H$5:$H$454,$A$5:$A$454,A309),2)</f>
        <v>0</v>
      </c>
    </row>
    <row r="310">
      <c r="A310" t="inlineStr">
        <is>
          <t>J133</t>
        </is>
      </c>
      <c r="B310" t="inlineStr">
        <is>
          <t>EX133</t>
        </is>
      </c>
      <c r="C310" s="5" t="n">
        <v>46223</v>
      </c>
      <c r="D310" t="inlineStr">
        <is>
          <t>OPS</t>
        </is>
      </c>
      <c r="E310" t="inlineStr">
        <is>
          <t>1110 Bank - Operating</t>
        </is>
      </c>
      <c r="F310" t="inlineStr">
        <is>
          <t>Medisure Professional Indemnity</t>
        </is>
      </c>
      <c r="G310" s="9">
        <f>MAX(Exceptions!$H$137,0)</f>
        <v>0</v>
      </c>
      <c r="H310" s="9">
        <f>MAX(-Exceptions!$H$137,0)</f>
        <v>2215.4</v>
      </c>
      <c r="I310" t="inlineStr"/>
      <c r="J310" t="inlineStr">
        <is>
          <t>AUD</t>
        </is>
      </c>
      <c r="K310" s="9">
        <f>ROUND(SUMIFS($G$5:$G$454,$A$5:$A$454,A310)-SUMIFS($H$5:$H$454,$A$5:$A$454,A310),2)</f>
        <v>0</v>
      </c>
    </row>
    <row r="311">
      <c r="A311" t="inlineStr">
        <is>
          <t>J133</t>
        </is>
      </c>
      <c r="B311" t="inlineStr">
        <is>
          <t>EX133</t>
        </is>
      </c>
      <c r="C311" s="5" t="n">
        <v>46223</v>
      </c>
      <c r="D311" t="inlineStr">
        <is>
          <t>OPS</t>
        </is>
      </c>
      <c r="E311" t="inlineStr">
        <is>
          <t>2100 Accounts payable</t>
        </is>
      </c>
      <c r="F311" t="inlineStr">
        <is>
          <t>Medisure Professional Indemnity</t>
        </is>
      </c>
      <c r="G311" s="9">
        <f>MAX(-Exceptions!$H$137,0)</f>
        <v>2215.4</v>
      </c>
      <c r="H311" s="9">
        <f>MAX(Exceptions!$H$137,0)</f>
        <v>0</v>
      </c>
      <c r="I311" t="inlineStr"/>
      <c r="J311" t="inlineStr">
        <is>
          <t>AUD</t>
        </is>
      </c>
      <c r="K311" s="9">
        <f>ROUND(SUMIFS($G$5:$G$454,$A$5:$A$454,A311)-SUMIFS($H$5:$H$454,$A$5:$A$454,A311),2)</f>
        <v>0</v>
      </c>
    </row>
    <row r="312">
      <c r="A312" t="inlineStr">
        <is>
          <t>J134</t>
        </is>
      </c>
      <c r="B312" t="inlineStr">
        <is>
          <t>EX134</t>
        </is>
      </c>
      <c r="C312" s="5" t="n">
        <v>46231</v>
      </c>
      <c r="D312" t="inlineStr">
        <is>
          <t>OPS</t>
        </is>
      </c>
      <c r="E312" t="inlineStr">
        <is>
          <t>1110 Bank - Operating</t>
        </is>
      </c>
      <c r="F312" t="inlineStr">
        <is>
          <t>Unity Workcover Agents</t>
        </is>
      </c>
      <c r="G312" s="9">
        <f>MAX(Exceptions!$H$138,0)</f>
        <v>412.5</v>
      </c>
      <c r="H312" s="9">
        <f>MAX(-Exceptions!$H$138,0)</f>
        <v>0</v>
      </c>
      <c r="I312" t="inlineStr"/>
      <c r="J312" t="inlineStr">
        <is>
          <t>AUD</t>
        </is>
      </c>
      <c r="K312" s="9">
        <f>ROUND(SUMIFS($G$5:$G$454,$A$5:$A$454,A312)-SUMIFS($H$5:$H$454,$A$5:$A$454,A312),2)</f>
        <v>0</v>
      </c>
    </row>
    <row r="313">
      <c r="A313" t="inlineStr">
        <is>
          <t>J134</t>
        </is>
      </c>
      <c r="B313" t="inlineStr">
        <is>
          <t>EX134</t>
        </is>
      </c>
      <c r="C313" s="5" t="n">
        <v>46231</v>
      </c>
      <c r="D313" t="inlineStr">
        <is>
          <t>OPS</t>
        </is>
      </c>
      <c r="E313" t="inlineStr">
        <is>
          <t>1200 Accounts receivable</t>
        </is>
      </c>
      <c r="F313" t="inlineStr">
        <is>
          <t>Unity Workcover Agents (see Allocations)</t>
        </is>
      </c>
      <c r="G313" s="9">
        <f>MAX(-Exceptions!$H$138,0)</f>
        <v>0</v>
      </c>
      <c r="H313" s="9">
        <f>MAX(Exceptions!$H$138,0)</f>
        <v>412.5</v>
      </c>
      <c r="I313" t="inlineStr"/>
      <c r="J313" t="inlineStr">
        <is>
          <t>AUD</t>
        </is>
      </c>
      <c r="K313" s="9">
        <f>ROUND(SUMIFS($G$5:$G$454,$A$5:$A$454,A313)-SUMIFS($H$5:$H$454,$A$5:$A$454,A313),2)</f>
        <v>0</v>
      </c>
    </row>
    <row r="314">
      <c r="A314" t="inlineStr">
        <is>
          <t>J135</t>
        </is>
      </c>
      <c r="B314" t="inlineStr">
        <is>
          <t>EX135</t>
        </is>
      </c>
      <c r="C314" s="5" t="n">
        <v>46231</v>
      </c>
      <c r="D314" t="inlineStr">
        <is>
          <t>OPS</t>
        </is>
      </c>
      <c r="E314" t="inlineStr">
        <is>
          <t>1110 Bank - Operating</t>
        </is>
      </c>
      <c r="F314" t="inlineStr">
        <is>
          <t>Northline Injury Claims</t>
        </is>
      </c>
      <c r="G314" s="9">
        <f>MAX(Exceptions!$H$139,0)</f>
        <v>412.5</v>
      </c>
      <c r="H314" s="9">
        <f>MAX(-Exceptions!$H$139,0)</f>
        <v>0</v>
      </c>
      <c r="I314" t="inlineStr"/>
      <c r="J314" t="inlineStr">
        <is>
          <t>AUD</t>
        </is>
      </c>
      <c r="K314" s="9">
        <f>ROUND(SUMIFS($G$5:$G$454,$A$5:$A$454,A314)-SUMIFS($H$5:$H$454,$A$5:$A$454,A314),2)</f>
        <v>0</v>
      </c>
    </row>
    <row r="315">
      <c r="A315" t="inlineStr">
        <is>
          <t>J135</t>
        </is>
      </c>
      <c r="B315" t="inlineStr">
        <is>
          <t>EX135</t>
        </is>
      </c>
      <c r="C315" s="5" t="n">
        <v>46231</v>
      </c>
      <c r="D315" t="inlineStr">
        <is>
          <t>OPS</t>
        </is>
      </c>
      <c r="E315" t="inlineStr">
        <is>
          <t>1200 Accounts receivable</t>
        </is>
      </c>
      <c r="F315" t="inlineStr">
        <is>
          <t>Northline Injury Claims (see Allocations)</t>
        </is>
      </c>
      <c r="G315" s="9">
        <f>MAX(-Exceptions!$H$139,0)</f>
        <v>0</v>
      </c>
      <c r="H315" s="9">
        <f>MAX(Exceptions!$H$139,0)</f>
        <v>412.5</v>
      </c>
      <c r="I315" t="inlineStr"/>
      <c r="J315" t="inlineStr">
        <is>
          <t>AUD</t>
        </is>
      </c>
      <c r="K315" s="9">
        <f>ROUND(SUMIFS($G$5:$G$454,$A$5:$A$454,A315)-SUMIFS($H$5:$H$454,$A$5:$A$454,A315),2)</f>
        <v>0</v>
      </c>
    </row>
    <row r="316">
      <c r="A316" t="inlineStr">
        <is>
          <t>J136</t>
        </is>
      </c>
      <c r="B316" t="inlineStr">
        <is>
          <t>EX136</t>
        </is>
      </c>
      <c r="C316" s="5" t="n">
        <v>46237</v>
      </c>
      <c r="D316" t="inlineStr">
        <is>
          <t>OPS</t>
        </is>
      </c>
      <c r="E316" t="inlineStr">
        <is>
          <t>1110 Bank - Operating</t>
        </is>
      </c>
      <c r="F316" t="inlineStr">
        <is>
          <t>Clinic Practice Software AU</t>
        </is>
      </c>
      <c r="G316" s="9">
        <f>MAX(Exceptions!$H$140,0)</f>
        <v>0</v>
      </c>
      <c r="H316" s="9">
        <f>MAX(-Exceptions!$H$140,0)</f>
        <v>1870</v>
      </c>
      <c r="I316" t="inlineStr"/>
      <c r="J316" t="inlineStr">
        <is>
          <t>AUD</t>
        </is>
      </c>
      <c r="K316" s="9">
        <f>ROUND(SUMIFS($G$5:$G$454,$A$5:$A$454,A316)-SUMIFS($H$5:$H$454,$A$5:$A$454,A316),2)</f>
        <v>0</v>
      </c>
    </row>
    <row r="317">
      <c r="A317" t="inlineStr">
        <is>
          <t>J136</t>
        </is>
      </c>
      <c r="B317" t="inlineStr">
        <is>
          <t>EX136</t>
        </is>
      </c>
      <c r="C317" s="5" t="n">
        <v>46237</v>
      </c>
      <c r="D317" t="inlineStr">
        <is>
          <t>OPS</t>
        </is>
      </c>
      <c r="E317" t="inlineStr">
        <is>
          <t>2100 Accounts payable</t>
        </is>
      </c>
      <c r="F317" t="inlineStr">
        <is>
          <t>Clinic Practice Software AU</t>
        </is>
      </c>
      <c r="G317" s="9">
        <f>MAX(-Exceptions!$H$140,0)</f>
        <v>1870</v>
      </c>
      <c r="H317" s="9">
        <f>MAX(Exceptions!$H$140,0)</f>
        <v>0</v>
      </c>
      <c r="I317" t="inlineStr"/>
      <c r="J317" t="inlineStr">
        <is>
          <t>AUD</t>
        </is>
      </c>
      <c r="K317" s="9">
        <f>ROUND(SUMIFS($G$5:$G$454,$A$5:$A$454,A317)-SUMIFS($H$5:$H$454,$A$5:$A$454,A317),2)</f>
        <v>0</v>
      </c>
    </row>
    <row r="318">
      <c r="A318" t="inlineStr">
        <is>
          <t>J137</t>
        </is>
      </c>
      <c r="B318" t="inlineStr">
        <is>
          <t>EX137</t>
        </is>
      </c>
      <c r="C318" s="5" t="n">
        <v>46241</v>
      </c>
      <c r="D318" t="inlineStr">
        <is>
          <t>OPS</t>
        </is>
      </c>
      <c r="E318" t="inlineStr">
        <is>
          <t>1110 Bank - Operating</t>
        </is>
      </c>
      <c r="F318" t="inlineStr">
        <is>
          <t>Elmhurst Property Group</t>
        </is>
      </c>
      <c r="G318" s="9">
        <f>MAX(Exceptions!$H$141,0)</f>
        <v>6407.5</v>
      </c>
      <c r="H318" s="9">
        <f>MAX(-Exceptions!$H$141,0)</f>
        <v>0</v>
      </c>
      <c r="I318" t="inlineStr"/>
      <c r="J318" t="inlineStr">
        <is>
          <t>AUD</t>
        </is>
      </c>
      <c r="K318" s="9">
        <f>ROUND(SUMIFS($G$5:$G$454,$A$5:$A$454,A318)-SUMIFS($H$5:$H$454,$A$5:$A$454,A318),2)</f>
        <v>0</v>
      </c>
    </row>
    <row r="319">
      <c r="A319" t="inlineStr">
        <is>
          <t>J137</t>
        </is>
      </c>
      <c r="B319" t="inlineStr">
        <is>
          <t>EX137</t>
        </is>
      </c>
      <c r="C319" s="5" t="n">
        <v>46241</v>
      </c>
      <c r="D319" t="inlineStr">
        <is>
          <t>OPS</t>
        </is>
      </c>
      <c r="E319" t="inlineStr">
        <is>
          <t>1200 Accounts receivable</t>
        </is>
      </c>
      <c r="F319" t="inlineStr">
        <is>
          <t>Elmhurst Property Group (see Allocations)</t>
        </is>
      </c>
      <c r="G319" s="9">
        <f>MAX(-Exceptions!$H$141,0)</f>
        <v>0</v>
      </c>
      <c r="H319" s="9">
        <f>MAX(Exceptions!$H$141,0)</f>
        <v>6407.5</v>
      </c>
      <c r="I319" t="inlineStr"/>
      <c r="J319" t="inlineStr">
        <is>
          <t>AUD</t>
        </is>
      </c>
      <c r="K319" s="9">
        <f>ROUND(SUMIFS($G$5:$G$454,$A$5:$A$454,A319)-SUMIFS($H$5:$H$454,$A$5:$A$454,A319),2)</f>
        <v>0</v>
      </c>
    </row>
    <row r="320">
      <c r="A320" t="inlineStr">
        <is>
          <t>J138</t>
        </is>
      </c>
      <c r="B320" t="inlineStr">
        <is>
          <t>EX138</t>
        </is>
      </c>
      <c r="C320" s="5" t="n">
        <v>46245</v>
      </c>
      <c r="D320" t="inlineStr">
        <is>
          <t>OPS</t>
        </is>
      </c>
      <c r="E320" t="inlineStr">
        <is>
          <t>1110 Bank - Operating</t>
        </is>
      </c>
      <c r="F320" t="inlineStr">
        <is>
          <t>Harbour Mutual Health</t>
        </is>
      </c>
      <c r="G320" s="9">
        <f>MAX(Exceptions!$H$142,0)</f>
        <v>88</v>
      </c>
      <c r="H320" s="9">
        <f>MAX(-Exceptions!$H$142,0)</f>
        <v>0</v>
      </c>
      <c r="I320" t="inlineStr"/>
      <c r="J320" t="inlineStr">
        <is>
          <t>AUD</t>
        </is>
      </c>
      <c r="K320" s="9">
        <f>ROUND(SUMIFS($G$5:$G$454,$A$5:$A$454,A320)-SUMIFS($H$5:$H$454,$A$5:$A$454,A320),2)</f>
        <v>0</v>
      </c>
    </row>
    <row r="321">
      <c r="A321" t="inlineStr">
        <is>
          <t>J138</t>
        </is>
      </c>
      <c r="B321" t="inlineStr">
        <is>
          <t>EX138</t>
        </is>
      </c>
      <c r="C321" s="5" t="n">
        <v>46245</v>
      </c>
      <c r="D321" t="inlineStr">
        <is>
          <t>OPS</t>
        </is>
      </c>
      <c r="E321" t="inlineStr">
        <is>
          <t>1200 Accounts receivable</t>
        </is>
      </c>
      <c r="F321" t="inlineStr">
        <is>
          <t>Harbour Mutual Health (see Allocations)</t>
        </is>
      </c>
      <c r="G321" s="9">
        <f>MAX(-Exceptions!$H$142,0)</f>
        <v>0</v>
      </c>
      <c r="H321" s="9">
        <f>MAX(Exceptions!$H$142,0)</f>
        <v>88</v>
      </c>
      <c r="I321" t="inlineStr"/>
      <c r="J321" t="inlineStr">
        <is>
          <t>AUD</t>
        </is>
      </c>
      <c r="K321" s="9">
        <f>ROUND(SUMIFS($G$5:$G$454,$A$5:$A$454,A321)-SUMIFS($H$5:$H$454,$A$5:$A$454,A321),2)</f>
        <v>0</v>
      </c>
    </row>
    <row r="322">
      <c r="A322" t="inlineStr">
        <is>
          <t>J139</t>
        </is>
      </c>
      <c r="B322" t="inlineStr">
        <is>
          <t>EX139</t>
        </is>
      </c>
      <c r="C322" s="5" t="n">
        <v>46246</v>
      </c>
      <c r="D322" t="inlineStr">
        <is>
          <t>OPS</t>
        </is>
      </c>
      <c r="E322" t="inlineStr">
        <is>
          <t>1110 Bank - Operating</t>
        </is>
      </c>
      <c r="F322" t="inlineStr">
        <is>
          <t>Telwave Business Mobile</t>
        </is>
      </c>
      <c r="G322" s="9">
        <f>MAX(Exceptions!$H$143,0)</f>
        <v>0</v>
      </c>
      <c r="H322" s="9">
        <f>MAX(-Exceptions!$H$143,0)</f>
        <v>1189.3</v>
      </c>
      <c r="I322" t="inlineStr"/>
      <c r="J322" t="inlineStr">
        <is>
          <t>AUD</t>
        </is>
      </c>
      <c r="K322" s="9">
        <f>ROUND(SUMIFS($G$5:$G$454,$A$5:$A$454,A322)-SUMIFS($H$5:$H$454,$A$5:$A$454,A322),2)</f>
        <v>0</v>
      </c>
    </row>
    <row r="323">
      <c r="A323" t="inlineStr">
        <is>
          <t>J139</t>
        </is>
      </c>
      <c r="B323" t="inlineStr">
        <is>
          <t>EX139</t>
        </is>
      </c>
      <c r="C323" s="5" t="n">
        <v>46246</v>
      </c>
      <c r="D323" t="inlineStr">
        <is>
          <t>OPS</t>
        </is>
      </c>
      <c r="E323" t="inlineStr">
        <is>
          <t>6510 Telephone and internet</t>
        </is>
      </c>
      <c r="F323" t="inlineStr">
        <is>
          <t>Telwave Business Mobile</t>
        </is>
      </c>
      <c r="G323" s="9">
        <f>ROUND(-Exceptions!$H$143-Exceptions!$I$143,2)</f>
        <v>1081.18</v>
      </c>
      <c r="H323" s="9" t="n">
        <v>0</v>
      </c>
      <c r="I323" t="inlineStr">
        <is>
          <t>GST on purchases</t>
        </is>
      </c>
      <c r="J323" t="inlineStr">
        <is>
          <t>AUD</t>
        </is>
      </c>
      <c r="K323" s="9">
        <f>ROUND(SUMIFS($G$5:$G$454,$A$5:$A$454,A323)-SUMIFS($H$5:$H$454,$A$5:$A$454,A323),2)</f>
        <v>0</v>
      </c>
    </row>
    <row r="324">
      <c r="A324" t="inlineStr">
        <is>
          <t>J139</t>
        </is>
      </c>
      <c r="B324" t="inlineStr">
        <is>
          <t>EX139</t>
        </is>
      </c>
      <c r="C324" s="5" t="n">
        <v>46246</v>
      </c>
      <c r="D324" t="inlineStr">
        <is>
          <t>OPS</t>
        </is>
      </c>
      <c r="E324" t="inlineStr">
        <is>
          <t>1300 GST paid (1B)</t>
        </is>
      </c>
      <c r="F324" t="inlineStr">
        <is>
          <t>Hold claim until tax invoice held</t>
        </is>
      </c>
      <c r="G324" s="9">
        <f>Exceptions!$I$143</f>
        <v>108.12</v>
      </c>
      <c r="H324" s="9" t="n">
        <v>0</v>
      </c>
      <c r="I324" t="inlineStr">
        <is>
          <t>GST</t>
        </is>
      </c>
      <c r="J324" t="inlineStr">
        <is>
          <t>AUD</t>
        </is>
      </c>
      <c r="K324" s="9">
        <f>ROUND(SUMIFS($G$5:$G$454,$A$5:$A$454,A324)-SUMIFS($H$5:$H$454,$A$5:$A$454,A324),2)</f>
        <v>0</v>
      </c>
    </row>
    <row r="325">
      <c r="A325" t="inlineStr">
        <is>
          <t>J140</t>
        </is>
      </c>
      <c r="B325" t="inlineStr">
        <is>
          <t>EX140</t>
        </is>
      </c>
      <c r="C325" s="5" t="n">
        <v>46251</v>
      </c>
      <c r="D325" t="inlineStr">
        <is>
          <t>OPS</t>
        </is>
      </c>
      <c r="E325" t="inlineStr">
        <is>
          <t>1110 Bank - Operating</t>
        </is>
      </c>
      <c r="F325" t="inlineStr">
        <is>
          <t>Rosedale Nurseries</t>
        </is>
      </c>
      <c r="G325" s="9">
        <f>MAX(Exceptions!$H$144,0)</f>
        <v>2035</v>
      </c>
      <c r="H325" s="9">
        <f>MAX(-Exceptions!$H$144,0)</f>
        <v>0</v>
      </c>
      <c r="I325" t="inlineStr"/>
      <c r="J325" t="inlineStr">
        <is>
          <t>AUD</t>
        </is>
      </c>
      <c r="K325" s="9">
        <f>ROUND(SUMIFS($G$5:$G$454,$A$5:$A$454,A325)-SUMIFS($H$5:$H$454,$A$5:$A$454,A325),2)</f>
        <v>0</v>
      </c>
    </row>
    <row r="326">
      <c r="A326" t="inlineStr">
        <is>
          <t>J140</t>
        </is>
      </c>
      <c r="B326" t="inlineStr">
        <is>
          <t>EX140</t>
        </is>
      </c>
      <c r="C326" s="5" t="n">
        <v>46251</v>
      </c>
      <c r="D326" t="inlineStr">
        <is>
          <t>OPS</t>
        </is>
      </c>
      <c r="E326" t="inlineStr">
        <is>
          <t>1200 Accounts receivable</t>
        </is>
      </c>
      <c r="F326" t="inlineStr">
        <is>
          <t>Rosedale Nurseries (see Allocations)</t>
        </is>
      </c>
      <c r="G326" s="9">
        <f>MAX(-Exceptions!$H$144,0)</f>
        <v>0</v>
      </c>
      <c r="H326" s="9">
        <f>MAX(Exceptions!$H$144,0)</f>
        <v>2035</v>
      </c>
      <c r="I326" t="inlineStr"/>
      <c r="J326" t="inlineStr">
        <is>
          <t>AUD</t>
        </is>
      </c>
      <c r="K326" s="9">
        <f>ROUND(SUMIFS($G$5:$G$454,$A$5:$A$454,A326)-SUMIFS($H$5:$H$454,$A$5:$A$454,A326),2)</f>
        <v>0</v>
      </c>
    </row>
    <row r="327">
      <c r="A327" t="inlineStr">
        <is>
          <t>J141</t>
        </is>
      </c>
      <c r="B327" t="inlineStr">
        <is>
          <t>EX141</t>
        </is>
      </c>
      <c r="C327" s="5" t="n">
        <v>46252</v>
      </c>
      <c r="D327" t="inlineStr">
        <is>
          <t>OPS</t>
        </is>
      </c>
      <c r="E327" t="inlineStr">
        <is>
          <t>1110 Bank - Operating</t>
        </is>
      </c>
      <c r="F327" t="inlineStr">
        <is>
          <t>Westmere Council Services</t>
        </is>
      </c>
      <c r="G327" s="9">
        <f>MAX(Exceptions!$H$145,0)</f>
        <v>1471.25</v>
      </c>
      <c r="H327" s="9">
        <f>MAX(-Exceptions!$H$145,0)</f>
        <v>0</v>
      </c>
      <c r="I327" t="inlineStr"/>
      <c r="J327" t="inlineStr">
        <is>
          <t>AUD</t>
        </is>
      </c>
      <c r="K327" s="9">
        <f>ROUND(SUMIFS($G$5:$G$454,$A$5:$A$454,A327)-SUMIFS($H$5:$H$454,$A$5:$A$454,A327),2)</f>
        <v>0</v>
      </c>
    </row>
    <row r="328">
      <c r="A328" t="inlineStr">
        <is>
          <t>J141</t>
        </is>
      </c>
      <c r="B328" t="inlineStr">
        <is>
          <t>EX141</t>
        </is>
      </c>
      <c r="C328" s="5" t="n">
        <v>46252</v>
      </c>
      <c r="D328" t="inlineStr">
        <is>
          <t>OPS</t>
        </is>
      </c>
      <c r="E328" t="inlineStr">
        <is>
          <t>1200 Accounts receivable</t>
        </is>
      </c>
      <c r="F328" t="inlineStr">
        <is>
          <t>Westmere Council Services (see Allocations)</t>
        </is>
      </c>
      <c r="G328" s="9">
        <f>MAX(-Exceptions!$H$145,0)</f>
        <v>0</v>
      </c>
      <c r="H328" s="9">
        <f>MAX(Exceptions!$H$145,0)</f>
        <v>1471.25</v>
      </c>
      <c r="I328" t="inlineStr"/>
      <c r="J328" t="inlineStr">
        <is>
          <t>AUD</t>
        </is>
      </c>
      <c r="K328" s="9">
        <f>ROUND(SUMIFS($G$5:$G$454,$A$5:$A$454,A328)-SUMIFS($H$5:$H$454,$A$5:$A$454,A328),2)</f>
        <v>0</v>
      </c>
    </row>
    <row r="329">
      <c r="A329" t="inlineStr">
        <is>
          <t>J142</t>
        </is>
      </c>
      <c r="B329" t="inlineStr">
        <is>
          <t>EX142</t>
        </is>
      </c>
      <c r="C329" s="5" t="n">
        <v>46253</v>
      </c>
      <c r="D329" t="inlineStr">
        <is>
          <t>OPS</t>
        </is>
      </c>
      <c r="E329" t="inlineStr">
        <is>
          <t>1110 Bank - Operating</t>
        </is>
      </c>
      <c r="F329" t="inlineStr">
        <is>
          <t>Northline Injury Claims</t>
        </is>
      </c>
      <c r="G329" s="9">
        <f>MAX(Exceptions!$H$146,0)</f>
        <v>88</v>
      </c>
      <c r="H329" s="9">
        <f>MAX(-Exceptions!$H$146,0)</f>
        <v>0</v>
      </c>
      <c r="I329" t="inlineStr"/>
      <c r="J329" t="inlineStr">
        <is>
          <t>AUD</t>
        </is>
      </c>
      <c r="K329" s="9">
        <f>ROUND(SUMIFS($G$5:$G$454,$A$5:$A$454,A329)-SUMIFS($H$5:$H$454,$A$5:$A$454,A329),2)</f>
        <v>0</v>
      </c>
    </row>
    <row r="330">
      <c r="A330" t="inlineStr">
        <is>
          <t>J142</t>
        </is>
      </c>
      <c r="B330" t="inlineStr">
        <is>
          <t>EX142</t>
        </is>
      </c>
      <c r="C330" s="5" t="n">
        <v>46253</v>
      </c>
      <c r="D330" t="inlineStr">
        <is>
          <t>OPS</t>
        </is>
      </c>
      <c r="E330" t="inlineStr">
        <is>
          <t>1200 Accounts receivable</t>
        </is>
      </c>
      <c r="F330" t="inlineStr">
        <is>
          <t>Northline Injury Claims (see Allocations)</t>
        </is>
      </c>
      <c r="G330" s="9">
        <f>MAX(-Exceptions!$H$146,0)</f>
        <v>0</v>
      </c>
      <c r="H330" s="9">
        <f>MAX(Exceptions!$H$146,0)</f>
        <v>88</v>
      </c>
      <c r="I330" t="inlineStr"/>
      <c r="J330" t="inlineStr">
        <is>
          <t>AUD</t>
        </is>
      </c>
      <c r="K330" s="9">
        <f>ROUND(SUMIFS($G$5:$G$454,$A$5:$A$454,A330)-SUMIFS($H$5:$H$454,$A$5:$A$454,A330),2)</f>
        <v>0</v>
      </c>
    </row>
    <row r="331">
      <c r="A331" t="inlineStr">
        <is>
          <t>J143</t>
        </is>
      </c>
      <c r="B331" t="inlineStr">
        <is>
          <t>EX143</t>
        </is>
      </c>
      <c r="C331" s="5" t="n">
        <v>46255</v>
      </c>
      <c r="D331" t="inlineStr">
        <is>
          <t>OPS</t>
        </is>
      </c>
      <c r="E331" t="inlineStr">
        <is>
          <t>1110 Bank - Operating</t>
        </is>
      </c>
      <c r="F331" t="inlineStr">
        <is>
          <t>Meridian Health Cover</t>
        </is>
      </c>
      <c r="G331" s="9">
        <f>MAX(Exceptions!$H$147,0)</f>
        <v>176</v>
      </c>
      <c r="H331" s="9">
        <f>MAX(-Exceptions!$H$147,0)</f>
        <v>0</v>
      </c>
      <c r="I331" t="inlineStr"/>
      <c r="J331" t="inlineStr">
        <is>
          <t>AUD</t>
        </is>
      </c>
      <c r="K331" s="9">
        <f>ROUND(SUMIFS($G$5:$G$454,$A$5:$A$454,A331)-SUMIFS($H$5:$H$454,$A$5:$A$454,A331),2)</f>
        <v>0</v>
      </c>
    </row>
    <row r="332">
      <c r="A332" t="inlineStr">
        <is>
          <t>J143</t>
        </is>
      </c>
      <c r="B332" t="inlineStr">
        <is>
          <t>EX143</t>
        </is>
      </c>
      <c r="C332" s="5" t="n">
        <v>46255</v>
      </c>
      <c r="D332" t="inlineStr">
        <is>
          <t>OPS</t>
        </is>
      </c>
      <c r="E332" t="inlineStr">
        <is>
          <t>1200 Accounts receivable</t>
        </is>
      </c>
      <c r="F332" t="inlineStr">
        <is>
          <t>Meridian Health Cover (see Allocations)</t>
        </is>
      </c>
      <c r="G332" s="9">
        <f>MAX(-Exceptions!$H$147,0)</f>
        <v>0</v>
      </c>
      <c r="H332" s="9">
        <f>MAX(Exceptions!$H$147,0)</f>
        <v>176</v>
      </c>
      <c r="I332" t="inlineStr"/>
      <c r="J332" t="inlineStr">
        <is>
          <t>AUD</t>
        </is>
      </c>
      <c r="K332" s="9">
        <f>ROUND(SUMIFS($G$5:$G$454,$A$5:$A$454,A332)-SUMIFS($H$5:$H$454,$A$5:$A$454,A332),2)</f>
        <v>0</v>
      </c>
    </row>
    <row r="333">
      <c r="A333" t="inlineStr">
        <is>
          <t>J144</t>
        </is>
      </c>
      <c r="B333" t="inlineStr">
        <is>
          <t>EX144</t>
        </is>
      </c>
      <c r="C333" s="5" t="n">
        <v>46259</v>
      </c>
      <c r="D333" t="inlineStr">
        <is>
          <t>OPS</t>
        </is>
      </c>
      <c r="E333" t="inlineStr">
        <is>
          <t>1110 Bank - Operating</t>
        </is>
      </c>
      <c r="F333" t="inlineStr">
        <is>
          <t>Pinnacle Claims Services</t>
        </is>
      </c>
      <c r="G333" s="9">
        <f>MAX(Exceptions!$H$148,0)</f>
        <v>990</v>
      </c>
      <c r="H333" s="9">
        <f>MAX(-Exceptions!$H$148,0)</f>
        <v>0</v>
      </c>
      <c r="I333" t="inlineStr"/>
      <c r="J333" t="inlineStr">
        <is>
          <t>AUD</t>
        </is>
      </c>
      <c r="K333" s="9">
        <f>ROUND(SUMIFS($G$5:$G$454,$A$5:$A$454,A333)-SUMIFS($H$5:$H$454,$A$5:$A$454,A333),2)</f>
        <v>0</v>
      </c>
    </row>
    <row r="334">
      <c r="A334" t="inlineStr">
        <is>
          <t>J144</t>
        </is>
      </c>
      <c r="B334" t="inlineStr">
        <is>
          <t>EX144</t>
        </is>
      </c>
      <c r="C334" s="5" t="n">
        <v>46259</v>
      </c>
      <c r="D334" t="inlineStr">
        <is>
          <t>OPS</t>
        </is>
      </c>
      <c r="E334" t="inlineStr">
        <is>
          <t>1200 Accounts receivable</t>
        </is>
      </c>
      <c r="F334" t="inlineStr">
        <is>
          <t>Pinnacle Claims Services (see Allocations)</t>
        </is>
      </c>
      <c r="G334" s="9">
        <f>MAX(-Exceptions!$H$148,0)</f>
        <v>0</v>
      </c>
      <c r="H334" s="9">
        <f>MAX(Exceptions!$H$148,0)</f>
        <v>990</v>
      </c>
      <c r="I334" t="inlineStr"/>
      <c r="J334" t="inlineStr">
        <is>
          <t>AUD</t>
        </is>
      </c>
      <c r="K334" s="9">
        <f>ROUND(SUMIFS($G$5:$G$454,$A$5:$A$454,A334)-SUMIFS($H$5:$H$454,$A$5:$A$454,A334),2)</f>
        <v>0</v>
      </c>
    </row>
    <row r="335">
      <c r="A335" t="inlineStr">
        <is>
          <t>J145</t>
        </is>
      </c>
      <c r="B335" t="inlineStr">
        <is>
          <t>EX145</t>
        </is>
      </c>
      <c r="C335" s="5" t="n">
        <v>46260</v>
      </c>
      <c r="D335" t="inlineStr">
        <is>
          <t>OPS</t>
        </is>
      </c>
      <c r="E335" t="inlineStr">
        <is>
          <t>1110 Bank - Operating</t>
        </is>
      </c>
      <c r="F335" t="inlineStr">
        <is>
          <t>Harbour Mutual Health</t>
        </is>
      </c>
      <c r="G335" s="9">
        <f>MAX(Exceptions!$H$149,0)</f>
        <v>88</v>
      </c>
      <c r="H335" s="9">
        <f>MAX(-Exceptions!$H$149,0)</f>
        <v>0</v>
      </c>
      <c r="I335" t="inlineStr"/>
      <c r="J335" t="inlineStr">
        <is>
          <t>AUD</t>
        </is>
      </c>
      <c r="K335" s="9">
        <f>ROUND(SUMIFS($G$5:$G$454,$A$5:$A$454,A335)-SUMIFS($H$5:$H$454,$A$5:$A$454,A335),2)</f>
        <v>0</v>
      </c>
    </row>
    <row r="336">
      <c r="A336" t="inlineStr">
        <is>
          <t>J145</t>
        </is>
      </c>
      <c r="B336" t="inlineStr">
        <is>
          <t>EX145</t>
        </is>
      </c>
      <c r="C336" s="5" t="n">
        <v>46260</v>
      </c>
      <c r="D336" t="inlineStr">
        <is>
          <t>OPS</t>
        </is>
      </c>
      <c r="E336" t="inlineStr">
        <is>
          <t>1200 Accounts receivable</t>
        </is>
      </c>
      <c r="F336" t="inlineStr">
        <is>
          <t>Harbour Mutual Health (see Allocations)</t>
        </is>
      </c>
      <c r="G336" s="9">
        <f>MAX(-Exceptions!$H$149,0)</f>
        <v>0</v>
      </c>
      <c r="H336" s="9">
        <f>MAX(Exceptions!$H$149,0)</f>
        <v>88</v>
      </c>
      <c r="I336" t="inlineStr"/>
      <c r="J336" t="inlineStr">
        <is>
          <t>AUD</t>
        </is>
      </c>
      <c r="K336" s="9">
        <f>ROUND(SUMIFS($G$5:$G$454,$A$5:$A$454,A336)-SUMIFS($H$5:$H$454,$A$5:$A$454,A336),2)</f>
        <v>0</v>
      </c>
    </row>
    <row r="337">
      <c r="A337" t="inlineStr">
        <is>
          <t>J146</t>
        </is>
      </c>
      <c r="B337" t="inlineStr">
        <is>
          <t>EX146</t>
        </is>
      </c>
      <c r="C337" s="5" t="n">
        <v>46260</v>
      </c>
      <c r="D337" t="inlineStr">
        <is>
          <t>OPS</t>
        </is>
      </c>
      <c r="E337" t="inlineStr">
        <is>
          <t>1110 Bank - Operating</t>
        </is>
      </c>
      <c r="F337" t="inlineStr">
        <is>
          <t>Coastline Health Fund</t>
        </is>
      </c>
      <c r="G337" s="9">
        <f>MAX(Exceptions!$H$150,0)</f>
        <v>176</v>
      </c>
      <c r="H337" s="9">
        <f>MAX(-Exceptions!$H$150,0)</f>
        <v>0</v>
      </c>
      <c r="I337" t="inlineStr"/>
      <c r="J337" t="inlineStr">
        <is>
          <t>AUD</t>
        </is>
      </c>
      <c r="K337" s="9">
        <f>ROUND(SUMIFS($G$5:$G$454,$A$5:$A$454,A337)-SUMIFS($H$5:$H$454,$A$5:$A$454,A337),2)</f>
        <v>0</v>
      </c>
    </row>
    <row r="338">
      <c r="A338" t="inlineStr">
        <is>
          <t>J146</t>
        </is>
      </c>
      <c r="B338" t="inlineStr">
        <is>
          <t>EX146</t>
        </is>
      </c>
      <c r="C338" s="5" t="n">
        <v>46260</v>
      </c>
      <c r="D338" t="inlineStr">
        <is>
          <t>OPS</t>
        </is>
      </c>
      <c r="E338" t="inlineStr">
        <is>
          <t>1200 Accounts receivable</t>
        </is>
      </c>
      <c r="F338" t="inlineStr">
        <is>
          <t>Coastline Health Fund (see Allocations)</t>
        </is>
      </c>
      <c r="G338" s="9">
        <f>MAX(-Exceptions!$H$150,0)</f>
        <v>0</v>
      </c>
      <c r="H338" s="9">
        <f>MAX(Exceptions!$H$150,0)</f>
        <v>176</v>
      </c>
      <c r="I338" t="inlineStr"/>
      <c r="J338" t="inlineStr">
        <is>
          <t>AUD</t>
        </is>
      </c>
      <c r="K338" s="9">
        <f>ROUND(SUMIFS($G$5:$G$454,$A$5:$A$454,A338)-SUMIFS($H$5:$H$454,$A$5:$A$454,A338),2)</f>
        <v>0</v>
      </c>
    </row>
    <row r="339">
      <c r="A339" t="inlineStr">
        <is>
          <t>J147</t>
        </is>
      </c>
      <c r="B339" t="inlineStr">
        <is>
          <t>EX147</t>
        </is>
      </c>
      <c r="C339" s="5" t="n">
        <v>46260</v>
      </c>
      <c r="D339" t="inlineStr">
        <is>
          <t>OPS</t>
        </is>
      </c>
      <c r="E339" t="inlineStr">
        <is>
          <t>1110 Bank - Operating</t>
        </is>
      </c>
      <c r="F339" t="inlineStr">
        <is>
          <t>Pinnacle Claims Services</t>
        </is>
      </c>
      <c r="G339" s="9">
        <f>MAX(Exceptions!$H$151,0)</f>
        <v>412.5</v>
      </c>
      <c r="H339" s="9">
        <f>MAX(-Exceptions!$H$151,0)</f>
        <v>0</v>
      </c>
      <c r="I339" t="inlineStr"/>
      <c r="J339" t="inlineStr">
        <is>
          <t>AUD</t>
        </is>
      </c>
      <c r="K339" s="9">
        <f>ROUND(SUMIFS($G$5:$G$454,$A$5:$A$454,A339)-SUMIFS($H$5:$H$454,$A$5:$A$454,A339),2)</f>
        <v>0</v>
      </c>
    </row>
    <row r="340">
      <c r="A340" t="inlineStr">
        <is>
          <t>J147</t>
        </is>
      </c>
      <c r="B340" t="inlineStr">
        <is>
          <t>EX147</t>
        </is>
      </c>
      <c r="C340" s="5" t="n">
        <v>46260</v>
      </c>
      <c r="D340" t="inlineStr">
        <is>
          <t>OPS</t>
        </is>
      </c>
      <c r="E340" t="inlineStr">
        <is>
          <t>1200 Accounts receivable</t>
        </is>
      </c>
      <c r="F340" t="inlineStr">
        <is>
          <t>Pinnacle Claims Services (see Allocations)</t>
        </is>
      </c>
      <c r="G340" s="9">
        <f>MAX(-Exceptions!$H$151,0)</f>
        <v>0</v>
      </c>
      <c r="H340" s="9">
        <f>MAX(Exceptions!$H$151,0)</f>
        <v>412.5</v>
      </c>
      <c r="I340" t="inlineStr"/>
      <c r="J340" t="inlineStr">
        <is>
          <t>AUD</t>
        </is>
      </c>
      <c r="K340" s="9">
        <f>ROUND(SUMIFS($G$5:$G$454,$A$5:$A$454,A340)-SUMIFS($H$5:$H$454,$A$5:$A$454,A340),2)</f>
        <v>0</v>
      </c>
    </row>
    <row r="341">
      <c r="A341" t="inlineStr">
        <is>
          <t>J148</t>
        </is>
      </c>
      <c r="B341" t="inlineStr">
        <is>
          <t>EX148</t>
        </is>
      </c>
      <c r="C341" s="5" t="n">
        <v>46260</v>
      </c>
      <c r="D341" t="inlineStr">
        <is>
          <t>OPS</t>
        </is>
      </c>
      <c r="E341" t="inlineStr">
        <is>
          <t>1110 Bank - Operating</t>
        </is>
      </c>
      <c r="F341" t="inlineStr">
        <is>
          <t>Greystanes Building Co</t>
        </is>
      </c>
      <c r="G341" s="9">
        <f>MAX(Exceptions!$H$152,0)</f>
        <v>6820</v>
      </c>
      <c r="H341" s="9">
        <f>MAX(-Exceptions!$H$152,0)</f>
        <v>0</v>
      </c>
      <c r="I341" t="inlineStr"/>
      <c r="J341" t="inlineStr">
        <is>
          <t>AUD</t>
        </is>
      </c>
      <c r="K341" s="9">
        <f>ROUND(SUMIFS($G$5:$G$454,$A$5:$A$454,A341)-SUMIFS($H$5:$H$454,$A$5:$A$454,A341),2)</f>
        <v>0</v>
      </c>
    </row>
    <row r="342">
      <c r="A342" t="inlineStr">
        <is>
          <t>J148</t>
        </is>
      </c>
      <c r="B342" t="inlineStr">
        <is>
          <t>EX148</t>
        </is>
      </c>
      <c r="C342" s="5" t="n">
        <v>46260</v>
      </c>
      <c r="D342" t="inlineStr">
        <is>
          <t>OPS</t>
        </is>
      </c>
      <c r="E342" t="inlineStr">
        <is>
          <t>1200 Accounts receivable</t>
        </is>
      </c>
      <c r="F342" t="inlineStr">
        <is>
          <t>Greystanes Building Co (see Allocations)</t>
        </is>
      </c>
      <c r="G342" s="9">
        <f>MAX(-Exceptions!$H$152,0)</f>
        <v>0</v>
      </c>
      <c r="H342" s="9">
        <f>MAX(Exceptions!$H$152,0)</f>
        <v>6820</v>
      </c>
      <c r="I342" t="inlineStr"/>
      <c r="J342" t="inlineStr">
        <is>
          <t>AUD</t>
        </is>
      </c>
      <c r="K342" s="9">
        <f>ROUND(SUMIFS($G$5:$G$454,$A$5:$A$454,A342)-SUMIFS($H$5:$H$454,$A$5:$A$454,A342),2)</f>
        <v>0</v>
      </c>
    </row>
    <row r="343">
      <c r="A343" t="inlineStr">
        <is>
          <t>J149</t>
        </is>
      </c>
      <c r="B343" t="inlineStr">
        <is>
          <t>EX149</t>
        </is>
      </c>
      <c r="C343" s="5" t="n">
        <v>46260</v>
      </c>
      <c r="D343" t="inlineStr">
        <is>
          <t>OPS</t>
        </is>
      </c>
      <c r="E343" t="inlineStr">
        <is>
          <t>1110 Bank - Operating</t>
        </is>
      </c>
      <c r="F343" t="inlineStr">
        <is>
          <t>Linfield Dairy Co</t>
        </is>
      </c>
      <c r="G343" s="9">
        <f>MAX(Exceptions!$H$153,0)</f>
        <v>2186.25</v>
      </c>
      <c r="H343" s="9">
        <f>MAX(-Exceptions!$H$153,0)</f>
        <v>0</v>
      </c>
      <c r="I343" t="inlineStr"/>
      <c r="J343" t="inlineStr">
        <is>
          <t>AUD</t>
        </is>
      </c>
      <c r="K343" s="9">
        <f>ROUND(SUMIFS($G$5:$G$454,$A$5:$A$454,A343)-SUMIFS($H$5:$H$454,$A$5:$A$454,A343),2)</f>
        <v>0</v>
      </c>
    </row>
    <row r="344">
      <c r="A344" t="inlineStr">
        <is>
          <t>J149</t>
        </is>
      </c>
      <c r="B344" t="inlineStr">
        <is>
          <t>EX149</t>
        </is>
      </c>
      <c r="C344" s="5" t="n">
        <v>46260</v>
      </c>
      <c r="D344" t="inlineStr">
        <is>
          <t>OPS</t>
        </is>
      </c>
      <c r="E344" t="inlineStr">
        <is>
          <t>1200 Accounts receivable</t>
        </is>
      </c>
      <c r="F344" t="inlineStr">
        <is>
          <t>Linfield Dairy Co (see Allocations)</t>
        </is>
      </c>
      <c r="G344" s="9">
        <f>MAX(-Exceptions!$H$153,0)</f>
        <v>0</v>
      </c>
      <c r="H344" s="9">
        <f>MAX(Exceptions!$H$153,0)</f>
        <v>2186.25</v>
      </c>
      <c r="I344" t="inlineStr"/>
      <c r="J344" t="inlineStr">
        <is>
          <t>AUD</t>
        </is>
      </c>
      <c r="K344" s="9">
        <f>ROUND(SUMIFS($G$5:$G$454,$A$5:$A$454,A344)-SUMIFS($H$5:$H$454,$A$5:$A$454,A344),2)</f>
        <v>0</v>
      </c>
    </row>
    <row r="345">
      <c r="A345" t="inlineStr">
        <is>
          <t>J150</t>
        </is>
      </c>
      <c r="B345" t="inlineStr">
        <is>
          <t>EX150</t>
        </is>
      </c>
      <c r="C345" s="5" t="n">
        <v>46260</v>
      </c>
      <c r="D345" t="inlineStr">
        <is>
          <t>OPS</t>
        </is>
      </c>
      <c r="E345" t="inlineStr">
        <is>
          <t>1110 Bank - Operating</t>
        </is>
      </c>
      <c r="F345" t="inlineStr">
        <is>
          <t>Peregrine Security</t>
        </is>
      </c>
      <c r="G345" s="9">
        <f>MAX(Exceptions!$H$154,0)</f>
        <v>10876.25</v>
      </c>
      <c r="H345" s="9">
        <f>MAX(-Exceptions!$H$154,0)</f>
        <v>0</v>
      </c>
      <c r="I345" t="inlineStr"/>
      <c r="J345" t="inlineStr">
        <is>
          <t>AUD</t>
        </is>
      </c>
      <c r="K345" s="9">
        <f>ROUND(SUMIFS($G$5:$G$454,$A$5:$A$454,A345)-SUMIFS($H$5:$H$454,$A$5:$A$454,A345),2)</f>
        <v>0</v>
      </c>
    </row>
    <row r="346">
      <c r="A346" t="inlineStr">
        <is>
          <t>J150</t>
        </is>
      </c>
      <c r="B346" t="inlineStr">
        <is>
          <t>EX150</t>
        </is>
      </c>
      <c r="C346" s="5" t="n">
        <v>46260</v>
      </c>
      <c r="D346" t="inlineStr">
        <is>
          <t>OPS</t>
        </is>
      </c>
      <c r="E346" t="inlineStr">
        <is>
          <t>1200 Accounts receivable</t>
        </is>
      </c>
      <c r="F346" t="inlineStr">
        <is>
          <t>Peregrine Security (see Allocations)</t>
        </is>
      </c>
      <c r="G346" s="9">
        <f>MAX(-Exceptions!$H$154,0)</f>
        <v>0</v>
      </c>
      <c r="H346" s="9">
        <f>MAX(Exceptions!$H$154,0)</f>
        <v>10876.25</v>
      </c>
      <c r="I346" t="inlineStr"/>
      <c r="J346" t="inlineStr">
        <is>
          <t>AUD</t>
        </is>
      </c>
      <c r="K346" s="9">
        <f>ROUND(SUMIFS($G$5:$G$454,$A$5:$A$454,A346)-SUMIFS($H$5:$H$454,$A$5:$A$454,A346),2)</f>
        <v>0</v>
      </c>
    </row>
    <row r="347">
      <c r="A347" t="inlineStr">
        <is>
          <t>J151</t>
        </is>
      </c>
      <c r="B347" t="inlineStr">
        <is>
          <t>EX151</t>
        </is>
      </c>
      <c r="C347" s="5" t="n">
        <v>46266</v>
      </c>
      <c r="D347" t="inlineStr">
        <is>
          <t>OPS</t>
        </is>
      </c>
      <c r="E347" t="inlineStr">
        <is>
          <t>1110 Bank - Operating</t>
        </is>
      </c>
      <c r="F347" t="inlineStr">
        <is>
          <t>Northcote Retail Holdings</t>
        </is>
      </c>
      <c r="G347" s="9">
        <f>MAX(Exceptions!$H$155,0)</f>
        <v>0</v>
      </c>
      <c r="H347" s="9">
        <f>MAX(-Exceptions!$H$155,0)</f>
        <v>9680</v>
      </c>
      <c r="I347" t="inlineStr"/>
      <c r="J347" t="inlineStr">
        <is>
          <t>AUD</t>
        </is>
      </c>
      <c r="K347" s="9">
        <f>ROUND(SUMIFS($G$5:$G$454,$A$5:$A$454,A347)-SUMIFS($H$5:$H$454,$A$5:$A$454,A347),2)</f>
        <v>0</v>
      </c>
    </row>
    <row r="348">
      <c r="A348" t="inlineStr">
        <is>
          <t>J151</t>
        </is>
      </c>
      <c r="B348" t="inlineStr">
        <is>
          <t>EX151</t>
        </is>
      </c>
      <c r="C348" s="5" t="n">
        <v>46266</v>
      </c>
      <c r="D348" t="inlineStr">
        <is>
          <t>OPS</t>
        </is>
      </c>
      <c r="E348" t="inlineStr">
        <is>
          <t>2100 Accounts payable</t>
        </is>
      </c>
      <c r="F348" t="inlineStr">
        <is>
          <t>Northcote Retail Holdings</t>
        </is>
      </c>
      <c r="G348" s="9">
        <f>MAX(-Exceptions!$H$155,0)</f>
        <v>9680</v>
      </c>
      <c r="H348" s="9">
        <f>MAX(Exceptions!$H$155,0)</f>
        <v>0</v>
      </c>
      <c r="I348" t="inlineStr"/>
      <c r="J348" t="inlineStr">
        <is>
          <t>AUD</t>
        </is>
      </c>
      <c r="K348" s="9">
        <f>ROUND(SUMIFS($G$5:$G$454,$A$5:$A$454,A348)-SUMIFS($H$5:$H$454,$A$5:$A$454,A348),2)</f>
        <v>0</v>
      </c>
    </row>
    <row r="349">
      <c r="A349" t="inlineStr">
        <is>
          <t>J152</t>
        </is>
      </c>
      <c r="B349" t="inlineStr">
        <is>
          <t>EX152</t>
        </is>
      </c>
      <c r="C349" s="5" t="n">
        <v>46266</v>
      </c>
      <c r="D349" t="inlineStr">
        <is>
          <t>OPS</t>
        </is>
      </c>
      <c r="E349" t="inlineStr">
        <is>
          <t>1110 Bank - Operating</t>
        </is>
      </c>
      <c r="F349" t="inlineStr">
        <is>
          <t>Moorabbin Office Park</t>
        </is>
      </c>
      <c r="G349" s="9">
        <f>MAX(Exceptions!$H$156,0)</f>
        <v>0</v>
      </c>
      <c r="H349" s="9">
        <f>MAX(-Exceptions!$H$156,0)</f>
        <v>7425</v>
      </c>
      <c r="I349" t="inlineStr"/>
      <c r="J349" t="inlineStr">
        <is>
          <t>AUD</t>
        </is>
      </c>
      <c r="K349" s="9">
        <f>ROUND(SUMIFS($G$5:$G$454,$A$5:$A$454,A349)-SUMIFS($H$5:$H$454,$A$5:$A$454,A349),2)</f>
        <v>0</v>
      </c>
    </row>
    <row r="350">
      <c r="A350" t="inlineStr">
        <is>
          <t>J152</t>
        </is>
      </c>
      <c r="B350" t="inlineStr">
        <is>
          <t>EX152</t>
        </is>
      </c>
      <c r="C350" s="5" t="n">
        <v>46266</v>
      </c>
      <c r="D350" t="inlineStr">
        <is>
          <t>OPS</t>
        </is>
      </c>
      <c r="E350" t="inlineStr">
        <is>
          <t>2100 Accounts payable</t>
        </is>
      </c>
      <c r="F350" t="inlineStr">
        <is>
          <t>Moorabbin Office Park</t>
        </is>
      </c>
      <c r="G350" s="9">
        <f>MAX(-Exceptions!$H$156,0)</f>
        <v>7425</v>
      </c>
      <c r="H350" s="9">
        <f>MAX(Exceptions!$H$156,0)</f>
        <v>0</v>
      </c>
      <c r="I350" t="inlineStr"/>
      <c r="J350" t="inlineStr">
        <is>
          <t>AUD</t>
        </is>
      </c>
      <c r="K350" s="9">
        <f>ROUND(SUMIFS($G$5:$G$454,$A$5:$A$454,A350)-SUMIFS($H$5:$H$454,$A$5:$A$454,A350),2)</f>
        <v>0</v>
      </c>
    </row>
    <row r="351">
      <c r="A351" t="inlineStr">
        <is>
          <t>J153</t>
        </is>
      </c>
      <c r="B351" t="inlineStr">
        <is>
          <t>EX153</t>
        </is>
      </c>
      <c r="C351" s="5" t="n">
        <v>46268</v>
      </c>
      <c r="D351" t="inlineStr">
        <is>
          <t>OPS</t>
        </is>
      </c>
      <c r="E351" t="inlineStr">
        <is>
          <t>1110 Bank - Operating</t>
        </is>
      </c>
      <c r="F351" t="inlineStr">
        <is>
          <t>Westmere Council Services</t>
        </is>
      </c>
      <c r="G351" s="9">
        <f>MAX(Exceptions!$H$157,0)</f>
        <v>3547.5</v>
      </c>
      <c r="H351" s="9">
        <f>MAX(-Exceptions!$H$157,0)</f>
        <v>0</v>
      </c>
      <c r="I351" t="inlineStr"/>
      <c r="J351" t="inlineStr">
        <is>
          <t>AUD</t>
        </is>
      </c>
      <c r="K351" s="9">
        <f>ROUND(SUMIFS($G$5:$G$454,$A$5:$A$454,A351)-SUMIFS($H$5:$H$454,$A$5:$A$454,A351),2)</f>
        <v>0</v>
      </c>
    </row>
    <row r="352">
      <c r="A352" t="inlineStr">
        <is>
          <t>J153</t>
        </is>
      </c>
      <c r="B352" t="inlineStr">
        <is>
          <t>EX153</t>
        </is>
      </c>
      <c r="C352" s="5" t="n">
        <v>46268</v>
      </c>
      <c r="D352" t="inlineStr">
        <is>
          <t>OPS</t>
        </is>
      </c>
      <c r="E352" t="inlineStr">
        <is>
          <t>1200 Accounts receivable</t>
        </is>
      </c>
      <c r="F352" t="inlineStr">
        <is>
          <t>Westmere Council Services (see Allocations)</t>
        </is>
      </c>
      <c r="G352" s="9">
        <f>MAX(-Exceptions!$H$157,0)</f>
        <v>0</v>
      </c>
      <c r="H352" s="9">
        <f>MAX(Exceptions!$H$157,0)</f>
        <v>3547.5</v>
      </c>
      <c r="I352" t="inlineStr"/>
      <c r="J352" t="inlineStr">
        <is>
          <t>AUD</t>
        </is>
      </c>
      <c r="K352" s="9">
        <f>ROUND(SUMIFS($G$5:$G$454,$A$5:$A$454,A352)-SUMIFS($H$5:$H$454,$A$5:$A$454,A352),2)</f>
        <v>0</v>
      </c>
    </row>
    <row r="353">
      <c r="A353" t="inlineStr">
        <is>
          <t>J154</t>
        </is>
      </c>
      <c r="B353" t="inlineStr">
        <is>
          <t>EX154</t>
        </is>
      </c>
      <c r="C353" s="5" t="n">
        <v>46268</v>
      </c>
      <c r="D353" t="inlineStr">
        <is>
          <t>OPS</t>
        </is>
      </c>
      <c r="E353" t="inlineStr">
        <is>
          <t>1110 Bank - Operating</t>
        </is>
      </c>
      <c r="F353" t="inlineStr">
        <is>
          <t>Clinic Practice Software AU</t>
        </is>
      </c>
      <c r="G353" s="9">
        <f>MAX(Exceptions!$H$158,0)</f>
        <v>0</v>
      </c>
      <c r="H353" s="9">
        <f>MAX(-Exceptions!$H$158,0)</f>
        <v>1870</v>
      </c>
      <c r="I353" t="inlineStr"/>
      <c r="J353" t="inlineStr">
        <is>
          <t>AUD</t>
        </is>
      </c>
      <c r="K353" s="9">
        <f>ROUND(SUMIFS($G$5:$G$454,$A$5:$A$454,A353)-SUMIFS($H$5:$H$454,$A$5:$A$454,A353),2)</f>
        <v>0</v>
      </c>
    </row>
    <row r="354">
      <c r="A354" t="inlineStr">
        <is>
          <t>J154</t>
        </is>
      </c>
      <c r="B354" t="inlineStr">
        <is>
          <t>EX154</t>
        </is>
      </c>
      <c r="C354" s="5" t="n">
        <v>46268</v>
      </c>
      <c r="D354" t="inlineStr">
        <is>
          <t>OPS</t>
        </is>
      </c>
      <c r="E354" t="inlineStr">
        <is>
          <t>6520 Software subscriptions</t>
        </is>
      </c>
      <c r="F354" t="inlineStr">
        <is>
          <t>Clinic Practice Software AU</t>
        </is>
      </c>
      <c r="G354" s="9">
        <f>ROUND(-Exceptions!$H$158-Exceptions!$I$158,2)</f>
        <v>1700</v>
      </c>
      <c r="H354" s="9" t="n">
        <v>0</v>
      </c>
      <c r="I354" t="inlineStr">
        <is>
          <t>GST on purchases</t>
        </is>
      </c>
      <c r="J354" t="inlineStr">
        <is>
          <t>AUD</t>
        </is>
      </c>
      <c r="K354" s="9">
        <f>ROUND(SUMIFS($G$5:$G$454,$A$5:$A$454,A354)-SUMIFS($H$5:$H$454,$A$5:$A$454,A354),2)</f>
        <v>0</v>
      </c>
    </row>
    <row r="355">
      <c r="A355" t="inlineStr">
        <is>
          <t>J154</t>
        </is>
      </c>
      <c r="B355" t="inlineStr">
        <is>
          <t>EX154</t>
        </is>
      </c>
      <c r="C355" s="5" t="n">
        <v>46268</v>
      </c>
      <c r="D355" t="inlineStr">
        <is>
          <t>OPS</t>
        </is>
      </c>
      <c r="E355" t="inlineStr">
        <is>
          <t>1300 GST paid (1B)</t>
        </is>
      </c>
      <c r="F355" t="inlineStr">
        <is>
          <t>Hold claim until tax invoice held</t>
        </is>
      </c>
      <c r="G355" s="9">
        <f>Exceptions!$I$158</f>
        <v>170</v>
      </c>
      <c r="H355" s="9" t="n">
        <v>0</v>
      </c>
      <c r="I355" t="inlineStr">
        <is>
          <t>GST</t>
        </is>
      </c>
      <c r="J355" t="inlineStr">
        <is>
          <t>AUD</t>
        </is>
      </c>
      <c r="K355" s="9">
        <f>ROUND(SUMIFS($G$5:$G$454,$A$5:$A$454,A355)-SUMIFS($H$5:$H$454,$A$5:$A$454,A355),2)</f>
        <v>0</v>
      </c>
    </row>
    <row r="356">
      <c r="A356" t="inlineStr">
        <is>
          <t>J155</t>
        </is>
      </c>
      <c r="B356" t="inlineStr">
        <is>
          <t>EX155</t>
        </is>
      </c>
      <c r="C356" s="5" t="n">
        <v>46269</v>
      </c>
      <c r="D356" t="inlineStr">
        <is>
          <t>OPS</t>
        </is>
      </c>
      <c r="E356" t="inlineStr">
        <is>
          <t>1110 Bank - Operating</t>
        </is>
      </c>
      <c r="F356" t="inlineStr">
        <is>
          <t>Unity Workcover Agents</t>
        </is>
      </c>
      <c r="G356" s="9">
        <f>MAX(Exceptions!$H$159,0)</f>
        <v>412.5</v>
      </c>
      <c r="H356" s="9">
        <f>MAX(-Exceptions!$H$159,0)</f>
        <v>0</v>
      </c>
      <c r="I356" t="inlineStr"/>
      <c r="J356" t="inlineStr">
        <is>
          <t>AUD</t>
        </is>
      </c>
      <c r="K356" s="9">
        <f>ROUND(SUMIFS($G$5:$G$454,$A$5:$A$454,A356)-SUMIFS($H$5:$H$454,$A$5:$A$454,A356),2)</f>
        <v>0</v>
      </c>
    </row>
    <row r="357">
      <c r="A357" t="inlineStr">
        <is>
          <t>J155</t>
        </is>
      </c>
      <c r="B357" t="inlineStr">
        <is>
          <t>EX155</t>
        </is>
      </c>
      <c r="C357" s="5" t="n">
        <v>46269</v>
      </c>
      <c r="D357" t="inlineStr">
        <is>
          <t>OPS</t>
        </is>
      </c>
      <c r="E357" t="inlineStr">
        <is>
          <t>1200 Accounts receivable</t>
        </is>
      </c>
      <c r="F357" t="inlineStr">
        <is>
          <t>Unity Workcover Agents (see Allocations)</t>
        </is>
      </c>
      <c r="G357" s="9">
        <f>MAX(-Exceptions!$H$159,0)</f>
        <v>0</v>
      </c>
      <c r="H357" s="9">
        <f>MAX(Exceptions!$H$159,0)</f>
        <v>412.5</v>
      </c>
      <c r="I357" t="inlineStr"/>
      <c r="J357" t="inlineStr">
        <is>
          <t>AUD</t>
        </is>
      </c>
      <c r="K357" s="9">
        <f>ROUND(SUMIFS($G$5:$G$454,$A$5:$A$454,A357)-SUMIFS($H$5:$H$454,$A$5:$A$454,A357),2)</f>
        <v>0</v>
      </c>
    </row>
    <row r="358">
      <c r="A358" t="inlineStr">
        <is>
          <t>J156</t>
        </is>
      </c>
      <c r="B358" t="inlineStr">
        <is>
          <t>EX156</t>
        </is>
      </c>
      <c r="C358" s="5" t="n">
        <v>46273</v>
      </c>
      <c r="D358" t="inlineStr">
        <is>
          <t>OPS</t>
        </is>
      </c>
      <c r="E358" t="inlineStr">
        <is>
          <t>1110 Bank - Operating</t>
        </is>
      </c>
      <c r="F358" t="inlineStr">
        <is>
          <t>Fibrewire Networks</t>
        </is>
      </c>
      <c r="G358" s="9">
        <f>MAX(Exceptions!$H$160,0)</f>
        <v>0</v>
      </c>
      <c r="H358" s="9">
        <f>MAX(-Exceptions!$H$160,0)</f>
        <v>649</v>
      </c>
      <c r="I358" t="inlineStr"/>
      <c r="J358" t="inlineStr">
        <is>
          <t>AUD</t>
        </is>
      </c>
      <c r="K358" s="9">
        <f>ROUND(SUMIFS($G$5:$G$454,$A$5:$A$454,A358)-SUMIFS($H$5:$H$454,$A$5:$A$454,A358),2)</f>
        <v>0</v>
      </c>
    </row>
    <row r="359">
      <c r="A359" t="inlineStr">
        <is>
          <t>J156</t>
        </is>
      </c>
      <c r="B359" t="inlineStr">
        <is>
          <t>EX156</t>
        </is>
      </c>
      <c r="C359" s="5" t="n">
        <v>46273</v>
      </c>
      <c r="D359" t="inlineStr">
        <is>
          <t>OPS</t>
        </is>
      </c>
      <c r="E359" t="inlineStr">
        <is>
          <t>2100 Accounts payable</t>
        </is>
      </c>
      <c r="F359" t="inlineStr">
        <is>
          <t>Fibrewire Networks</t>
        </is>
      </c>
      <c r="G359" s="9">
        <f>MAX(-Exceptions!$H$160,0)</f>
        <v>649</v>
      </c>
      <c r="H359" s="9">
        <f>MAX(Exceptions!$H$160,0)</f>
        <v>0</v>
      </c>
      <c r="I359" t="inlineStr"/>
      <c r="J359" t="inlineStr">
        <is>
          <t>AUD</t>
        </is>
      </c>
      <c r="K359" s="9">
        <f>ROUND(SUMIFS($G$5:$G$454,$A$5:$A$454,A359)-SUMIFS($H$5:$H$454,$A$5:$A$454,A359),2)</f>
        <v>0</v>
      </c>
    </row>
    <row r="360">
      <c r="A360" t="inlineStr">
        <is>
          <t>J157</t>
        </is>
      </c>
      <c r="B360" t="inlineStr">
        <is>
          <t>EX157</t>
        </is>
      </c>
      <c r="C360" s="5" t="n">
        <v>46274</v>
      </c>
      <c r="D360" t="inlineStr">
        <is>
          <t>OPS</t>
        </is>
      </c>
      <c r="E360" t="inlineStr">
        <is>
          <t>1110 Bank - Operating</t>
        </is>
      </c>
      <c r="F360" t="inlineStr">
        <is>
          <t>Harbour Mutual Health</t>
        </is>
      </c>
      <c r="G360" s="9">
        <f>MAX(Exceptions!$H$161,0)</f>
        <v>990</v>
      </c>
      <c r="H360" s="9">
        <f>MAX(-Exceptions!$H$161,0)</f>
        <v>0</v>
      </c>
      <c r="I360" t="inlineStr"/>
      <c r="J360" t="inlineStr">
        <is>
          <t>AUD</t>
        </is>
      </c>
      <c r="K360" s="9">
        <f>ROUND(SUMIFS($G$5:$G$454,$A$5:$A$454,A360)-SUMIFS($H$5:$H$454,$A$5:$A$454,A360),2)</f>
        <v>0</v>
      </c>
    </row>
    <row r="361">
      <c r="A361" t="inlineStr">
        <is>
          <t>J157</t>
        </is>
      </c>
      <c r="B361" t="inlineStr">
        <is>
          <t>EX157</t>
        </is>
      </c>
      <c r="C361" s="5" t="n">
        <v>46274</v>
      </c>
      <c r="D361" t="inlineStr">
        <is>
          <t>OPS</t>
        </is>
      </c>
      <c r="E361" t="inlineStr">
        <is>
          <t>1200 Accounts receivable</t>
        </is>
      </c>
      <c r="F361" t="inlineStr">
        <is>
          <t>Harbour Mutual Health (see Allocations)</t>
        </is>
      </c>
      <c r="G361" s="9">
        <f>MAX(-Exceptions!$H$161,0)</f>
        <v>0</v>
      </c>
      <c r="H361" s="9">
        <f>MAX(Exceptions!$H$161,0)</f>
        <v>990</v>
      </c>
      <c r="I361" t="inlineStr"/>
      <c r="J361" t="inlineStr">
        <is>
          <t>AUD</t>
        </is>
      </c>
      <c r="K361" s="9">
        <f>ROUND(SUMIFS($G$5:$G$454,$A$5:$A$454,A361)-SUMIFS($H$5:$H$454,$A$5:$A$454,A361),2)</f>
        <v>0</v>
      </c>
    </row>
    <row r="362">
      <c r="A362" t="inlineStr">
        <is>
          <t>J158</t>
        </is>
      </c>
      <c r="B362" t="inlineStr">
        <is>
          <t>EX158</t>
        </is>
      </c>
      <c r="C362" s="5" t="n">
        <v>46276</v>
      </c>
      <c r="D362" t="inlineStr">
        <is>
          <t>OPS</t>
        </is>
      </c>
      <c r="E362" t="inlineStr">
        <is>
          <t>1110 Bank - Operating</t>
        </is>
      </c>
      <c r="F362" t="inlineStr">
        <is>
          <t>Northline Injury Claims</t>
        </is>
      </c>
      <c r="G362" s="9">
        <f>MAX(Exceptions!$H$162,0)</f>
        <v>176</v>
      </c>
      <c r="H362" s="9">
        <f>MAX(-Exceptions!$H$162,0)</f>
        <v>0</v>
      </c>
      <c r="I362" t="inlineStr"/>
      <c r="J362" t="inlineStr">
        <is>
          <t>AUD</t>
        </is>
      </c>
      <c r="K362" s="9">
        <f>ROUND(SUMIFS($G$5:$G$454,$A$5:$A$454,A362)-SUMIFS($H$5:$H$454,$A$5:$A$454,A362),2)</f>
        <v>0</v>
      </c>
    </row>
    <row r="363">
      <c r="A363" t="inlineStr">
        <is>
          <t>J158</t>
        </is>
      </c>
      <c r="B363" t="inlineStr">
        <is>
          <t>EX158</t>
        </is>
      </c>
      <c r="C363" s="5" t="n">
        <v>46276</v>
      </c>
      <c r="D363" t="inlineStr">
        <is>
          <t>OPS</t>
        </is>
      </c>
      <c r="E363" t="inlineStr">
        <is>
          <t>1200 Accounts receivable</t>
        </is>
      </c>
      <c r="F363" t="inlineStr">
        <is>
          <t>Northline Injury Claims (see Allocations)</t>
        </is>
      </c>
      <c r="G363" s="9">
        <f>MAX(-Exceptions!$H$162,0)</f>
        <v>0</v>
      </c>
      <c r="H363" s="9">
        <f>MAX(Exceptions!$H$162,0)</f>
        <v>176</v>
      </c>
      <c r="I363" t="inlineStr"/>
      <c r="J363" t="inlineStr">
        <is>
          <t>AUD</t>
        </is>
      </c>
      <c r="K363" s="9">
        <f>ROUND(SUMIFS($G$5:$G$454,$A$5:$A$454,A363)-SUMIFS($H$5:$H$454,$A$5:$A$454,A363),2)</f>
        <v>0</v>
      </c>
    </row>
    <row r="364">
      <c r="A364" t="inlineStr">
        <is>
          <t>J159</t>
        </is>
      </c>
      <c r="B364" t="inlineStr">
        <is>
          <t>EX159</t>
        </is>
      </c>
      <c r="C364" s="5" t="n">
        <v>46280</v>
      </c>
      <c r="D364" t="inlineStr">
        <is>
          <t>OPS</t>
        </is>
      </c>
      <c r="E364" t="inlineStr">
        <is>
          <t>1110 Bank - Operating</t>
        </is>
      </c>
      <c r="F364" t="inlineStr">
        <is>
          <t>Fleetwise Vehicle Leasing</t>
        </is>
      </c>
      <c r="G364" s="9">
        <f>MAX(Exceptions!$H$163,0)</f>
        <v>0</v>
      </c>
      <c r="H364" s="9">
        <f>MAX(-Exceptions!$H$163,0)</f>
        <v>3184.62</v>
      </c>
      <c r="I364" t="inlineStr"/>
      <c r="J364" t="inlineStr">
        <is>
          <t>AUD</t>
        </is>
      </c>
      <c r="K364" s="9">
        <f>ROUND(SUMIFS($G$5:$G$454,$A$5:$A$454,A364)-SUMIFS($H$5:$H$454,$A$5:$A$454,A364),2)</f>
        <v>0</v>
      </c>
    </row>
    <row r="365">
      <c r="A365" t="inlineStr">
        <is>
          <t>J159</t>
        </is>
      </c>
      <c r="B365" t="inlineStr">
        <is>
          <t>EX159</t>
        </is>
      </c>
      <c r="C365" s="5" t="n">
        <v>46280</v>
      </c>
      <c r="D365" t="inlineStr">
        <is>
          <t>OPS</t>
        </is>
      </c>
      <c r="E365" t="inlineStr">
        <is>
          <t>2100 Accounts payable</t>
        </is>
      </c>
      <c r="F365" t="inlineStr">
        <is>
          <t>Fleetwise Vehicle Leasing</t>
        </is>
      </c>
      <c r="G365" s="9">
        <f>MAX(-Exceptions!$H$163,0)</f>
        <v>3184.62</v>
      </c>
      <c r="H365" s="9">
        <f>MAX(Exceptions!$H$163,0)</f>
        <v>0</v>
      </c>
      <c r="I365" t="inlineStr"/>
      <c r="J365" t="inlineStr">
        <is>
          <t>AUD</t>
        </is>
      </c>
      <c r="K365" s="9">
        <f>ROUND(SUMIFS($G$5:$G$454,$A$5:$A$454,A365)-SUMIFS($H$5:$H$454,$A$5:$A$454,A365),2)</f>
        <v>0</v>
      </c>
    </row>
    <row r="366">
      <c r="A366" t="inlineStr">
        <is>
          <t>J160</t>
        </is>
      </c>
      <c r="B366" t="inlineStr">
        <is>
          <t>EX160</t>
        </is>
      </c>
      <c r="C366" s="5" t="n">
        <v>46281</v>
      </c>
      <c r="D366" t="inlineStr">
        <is>
          <t>OPS</t>
        </is>
      </c>
      <c r="E366" t="inlineStr">
        <is>
          <t>1110 Bank - Operating</t>
        </is>
      </c>
      <c r="F366" t="inlineStr">
        <is>
          <t>Coastline Health Fund</t>
        </is>
      </c>
      <c r="G366" s="9">
        <f>MAX(Exceptions!$H$164,0)</f>
        <v>176</v>
      </c>
      <c r="H366" s="9">
        <f>MAX(-Exceptions!$H$164,0)</f>
        <v>0</v>
      </c>
      <c r="I366" t="inlineStr"/>
      <c r="J366" t="inlineStr">
        <is>
          <t>AUD</t>
        </is>
      </c>
      <c r="K366" s="9">
        <f>ROUND(SUMIFS($G$5:$G$454,$A$5:$A$454,A366)-SUMIFS($H$5:$H$454,$A$5:$A$454,A366),2)</f>
        <v>0</v>
      </c>
    </row>
    <row r="367">
      <c r="A367" t="inlineStr">
        <is>
          <t>J160</t>
        </is>
      </c>
      <c r="B367" t="inlineStr">
        <is>
          <t>EX160</t>
        </is>
      </c>
      <c r="C367" s="5" t="n">
        <v>46281</v>
      </c>
      <c r="D367" t="inlineStr">
        <is>
          <t>OPS</t>
        </is>
      </c>
      <c r="E367" t="inlineStr">
        <is>
          <t>1200 Accounts receivable</t>
        </is>
      </c>
      <c r="F367" t="inlineStr">
        <is>
          <t>Coastline Health Fund (see Allocations)</t>
        </is>
      </c>
      <c r="G367" s="9">
        <f>MAX(-Exceptions!$H$164,0)</f>
        <v>0</v>
      </c>
      <c r="H367" s="9">
        <f>MAX(Exceptions!$H$164,0)</f>
        <v>176</v>
      </c>
      <c r="I367" t="inlineStr"/>
      <c r="J367" t="inlineStr">
        <is>
          <t>AUD</t>
        </is>
      </c>
      <c r="K367" s="9">
        <f>ROUND(SUMIFS($G$5:$G$454,$A$5:$A$454,A367)-SUMIFS($H$5:$H$454,$A$5:$A$454,A367),2)</f>
        <v>0</v>
      </c>
    </row>
    <row r="368">
      <c r="A368" t="inlineStr">
        <is>
          <t>J161</t>
        </is>
      </c>
      <c r="B368" t="inlineStr">
        <is>
          <t>EX161</t>
        </is>
      </c>
      <c r="C368" s="5" t="n">
        <v>46288</v>
      </c>
      <c r="D368" t="inlineStr">
        <is>
          <t>OPS</t>
        </is>
      </c>
      <c r="E368" t="inlineStr">
        <is>
          <t>1110 Bank - Operating</t>
        </is>
      </c>
      <c r="F368" t="inlineStr">
        <is>
          <t>Unity Workcover Agents</t>
        </is>
      </c>
      <c r="G368" s="9">
        <f>MAX(Exceptions!$H$165,0)</f>
        <v>176</v>
      </c>
      <c r="H368" s="9">
        <f>MAX(-Exceptions!$H$165,0)</f>
        <v>0</v>
      </c>
      <c r="I368" t="inlineStr"/>
      <c r="J368" t="inlineStr">
        <is>
          <t>AUD</t>
        </is>
      </c>
      <c r="K368" s="9">
        <f>ROUND(SUMIFS($G$5:$G$454,$A$5:$A$454,A368)-SUMIFS($H$5:$H$454,$A$5:$A$454,A368),2)</f>
        <v>0</v>
      </c>
    </row>
    <row r="369">
      <c r="A369" t="inlineStr">
        <is>
          <t>J161</t>
        </is>
      </c>
      <c r="B369" t="inlineStr">
        <is>
          <t>EX161</t>
        </is>
      </c>
      <c r="C369" s="5" t="n">
        <v>46288</v>
      </c>
      <c r="D369" t="inlineStr">
        <is>
          <t>OPS</t>
        </is>
      </c>
      <c r="E369" t="inlineStr">
        <is>
          <t>1200 Accounts receivable</t>
        </is>
      </c>
      <c r="F369" t="inlineStr">
        <is>
          <t>Unity Workcover Agents (see Allocations)</t>
        </is>
      </c>
      <c r="G369" s="9">
        <f>MAX(-Exceptions!$H$165,0)</f>
        <v>0</v>
      </c>
      <c r="H369" s="9">
        <f>MAX(Exceptions!$H$165,0)</f>
        <v>176</v>
      </c>
      <c r="I369" t="inlineStr"/>
      <c r="J369" t="inlineStr">
        <is>
          <t>AUD</t>
        </is>
      </c>
      <c r="K369" s="9">
        <f>ROUND(SUMIFS($G$5:$G$454,$A$5:$A$454,A369)-SUMIFS($H$5:$H$454,$A$5:$A$454,A369),2)</f>
        <v>0</v>
      </c>
    </row>
    <row r="370">
      <c r="A370" t="inlineStr">
        <is>
          <t>J162</t>
        </is>
      </c>
      <c r="B370" t="inlineStr">
        <is>
          <t>EX162</t>
        </is>
      </c>
      <c r="C370" s="5" t="n">
        <v>46288</v>
      </c>
      <c r="D370" t="inlineStr">
        <is>
          <t>OPS</t>
        </is>
      </c>
      <c r="E370" t="inlineStr">
        <is>
          <t>1110 Bank - Operating</t>
        </is>
      </c>
      <c r="F370" t="inlineStr">
        <is>
          <t>Unity Workcover Agents</t>
        </is>
      </c>
      <c r="G370" s="9">
        <f>MAX(Exceptions!$H$166,0)</f>
        <v>264</v>
      </c>
      <c r="H370" s="9">
        <f>MAX(-Exceptions!$H$166,0)</f>
        <v>0</v>
      </c>
      <c r="I370" t="inlineStr"/>
      <c r="J370" t="inlineStr">
        <is>
          <t>AUD</t>
        </is>
      </c>
      <c r="K370" s="9">
        <f>ROUND(SUMIFS($G$5:$G$454,$A$5:$A$454,A370)-SUMIFS($H$5:$H$454,$A$5:$A$454,A370),2)</f>
        <v>0</v>
      </c>
    </row>
    <row r="371">
      <c r="A371" t="inlineStr">
        <is>
          <t>J162</t>
        </is>
      </c>
      <c r="B371" t="inlineStr">
        <is>
          <t>EX162</t>
        </is>
      </c>
      <c r="C371" s="5" t="n">
        <v>46288</v>
      </c>
      <c r="D371" t="inlineStr">
        <is>
          <t>OPS</t>
        </is>
      </c>
      <c r="E371" t="inlineStr">
        <is>
          <t>1200 Accounts receivable</t>
        </is>
      </c>
      <c r="F371" t="inlineStr">
        <is>
          <t>Unity Workcover Agents (see Allocations)</t>
        </is>
      </c>
      <c r="G371" s="9">
        <f>MAX(-Exceptions!$H$166,0)</f>
        <v>0</v>
      </c>
      <c r="H371" s="9">
        <f>MAX(Exceptions!$H$166,0)</f>
        <v>264</v>
      </c>
      <c r="I371" t="inlineStr"/>
      <c r="J371" t="inlineStr">
        <is>
          <t>AUD</t>
        </is>
      </c>
      <c r="K371" s="9">
        <f>ROUND(SUMIFS($G$5:$G$454,$A$5:$A$454,A371)-SUMIFS($H$5:$H$454,$A$5:$A$454,A371),2)</f>
        <v>0</v>
      </c>
    </row>
    <row r="372">
      <c r="A372" t="inlineStr">
        <is>
          <t>J163</t>
        </is>
      </c>
      <c r="B372" t="inlineStr">
        <is>
          <t>EX163</t>
        </is>
      </c>
      <c r="C372" s="5" t="n">
        <v>46290</v>
      </c>
      <c r="D372" t="inlineStr">
        <is>
          <t>OPS</t>
        </is>
      </c>
      <c r="E372" t="inlineStr">
        <is>
          <t>1110 Bank - Operating</t>
        </is>
      </c>
      <c r="F372" t="inlineStr">
        <is>
          <t>Coastline Health Fund</t>
        </is>
      </c>
      <c r="G372" s="9">
        <f>MAX(Exceptions!$H$167,0)</f>
        <v>264</v>
      </c>
      <c r="H372" s="9">
        <f>MAX(-Exceptions!$H$167,0)</f>
        <v>0</v>
      </c>
      <c r="I372" t="inlineStr"/>
      <c r="J372" t="inlineStr">
        <is>
          <t>AUD</t>
        </is>
      </c>
      <c r="K372" s="9">
        <f>ROUND(SUMIFS($G$5:$G$454,$A$5:$A$454,A372)-SUMIFS($H$5:$H$454,$A$5:$A$454,A372),2)</f>
        <v>0</v>
      </c>
    </row>
    <row r="373">
      <c r="A373" t="inlineStr">
        <is>
          <t>J163</t>
        </is>
      </c>
      <c r="B373" t="inlineStr">
        <is>
          <t>EX163</t>
        </is>
      </c>
      <c r="C373" s="5" t="n">
        <v>46290</v>
      </c>
      <c r="D373" t="inlineStr">
        <is>
          <t>OPS</t>
        </is>
      </c>
      <c r="E373" t="inlineStr">
        <is>
          <t>1200 Accounts receivable</t>
        </is>
      </c>
      <c r="F373" t="inlineStr">
        <is>
          <t>Coastline Health Fund (see Allocations)</t>
        </is>
      </c>
      <c r="G373" s="9">
        <f>MAX(-Exceptions!$H$167,0)</f>
        <v>0</v>
      </c>
      <c r="H373" s="9">
        <f>MAX(Exceptions!$H$167,0)</f>
        <v>264</v>
      </c>
      <c r="I373" t="inlineStr"/>
      <c r="J373" t="inlineStr">
        <is>
          <t>AUD</t>
        </is>
      </c>
      <c r="K373" s="9">
        <f>ROUND(SUMIFS($G$5:$G$454,$A$5:$A$454,A373)-SUMIFS($H$5:$H$454,$A$5:$A$454,A373),2)</f>
        <v>0</v>
      </c>
    </row>
    <row r="374">
      <c r="A374" t="inlineStr">
        <is>
          <t>J164</t>
        </is>
      </c>
      <c r="B374" t="inlineStr">
        <is>
          <t>EX164</t>
        </is>
      </c>
      <c r="C374" s="5" t="n">
        <v>46290</v>
      </c>
      <c r="D374" t="inlineStr">
        <is>
          <t>OPS</t>
        </is>
      </c>
      <c r="E374" t="inlineStr">
        <is>
          <t>1110 Bank - Operating</t>
        </is>
      </c>
      <c r="F374" t="inlineStr">
        <is>
          <t>Westmere Council Services</t>
        </is>
      </c>
      <c r="G374" s="9">
        <f>MAX(Exceptions!$H$168,0)</f>
        <v>16101.25</v>
      </c>
      <c r="H374" s="9">
        <f>MAX(-Exceptions!$H$168,0)</f>
        <v>0</v>
      </c>
      <c r="I374" t="inlineStr"/>
      <c r="J374" t="inlineStr">
        <is>
          <t>AUD</t>
        </is>
      </c>
      <c r="K374" s="9">
        <f>ROUND(SUMIFS($G$5:$G$454,$A$5:$A$454,A374)-SUMIFS($H$5:$H$454,$A$5:$A$454,A374),2)</f>
        <v>0</v>
      </c>
    </row>
    <row r="375">
      <c r="A375" t="inlineStr">
        <is>
          <t>J164</t>
        </is>
      </c>
      <c r="B375" t="inlineStr">
        <is>
          <t>EX164</t>
        </is>
      </c>
      <c r="C375" s="5" t="n">
        <v>46290</v>
      </c>
      <c r="D375" t="inlineStr">
        <is>
          <t>OPS</t>
        </is>
      </c>
      <c r="E375" t="inlineStr">
        <is>
          <t>1200 Accounts receivable</t>
        </is>
      </c>
      <c r="F375" t="inlineStr">
        <is>
          <t>Westmere Council Services (see Allocations)</t>
        </is>
      </c>
      <c r="G375" s="9">
        <f>MAX(-Exceptions!$H$168,0)</f>
        <v>0</v>
      </c>
      <c r="H375" s="9">
        <f>MAX(Exceptions!$H$168,0)</f>
        <v>16101.25</v>
      </c>
      <c r="I375" t="inlineStr"/>
      <c r="J375" t="inlineStr">
        <is>
          <t>AUD</t>
        </is>
      </c>
      <c r="K375" s="9">
        <f>ROUND(SUMIFS($G$5:$G$454,$A$5:$A$454,A375)-SUMIFS($H$5:$H$454,$A$5:$A$454,A375),2)</f>
        <v>0</v>
      </c>
    </row>
    <row r="376">
      <c r="A376" t="inlineStr">
        <is>
          <t>J165</t>
        </is>
      </c>
      <c r="B376" t="inlineStr">
        <is>
          <t>EX165</t>
        </is>
      </c>
      <c r="C376" s="5" t="n">
        <v>46290</v>
      </c>
      <c r="D376" t="inlineStr">
        <is>
          <t>OPS</t>
        </is>
      </c>
      <c r="E376" t="inlineStr">
        <is>
          <t>1110 Bank - Operating</t>
        </is>
      </c>
      <c r="F376" t="inlineStr">
        <is>
          <t>Mornane Electrical</t>
        </is>
      </c>
      <c r="G376" s="9">
        <f>MAX(Exceptions!$H$169,0)</f>
        <v>2722.5</v>
      </c>
      <c r="H376" s="9">
        <f>MAX(-Exceptions!$H$169,0)</f>
        <v>0</v>
      </c>
      <c r="I376" t="inlineStr"/>
      <c r="J376" t="inlineStr">
        <is>
          <t>AUD</t>
        </is>
      </c>
      <c r="K376" s="9">
        <f>ROUND(SUMIFS($G$5:$G$454,$A$5:$A$454,A376)-SUMIFS($H$5:$H$454,$A$5:$A$454,A376),2)</f>
        <v>0</v>
      </c>
    </row>
    <row r="377">
      <c r="A377" t="inlineStr">
        <is>
          <t>J165</t>
        </is>
      </c>
      <c r="B377" t="inlineStr">
        <is>
          <t>EX165</t>
        </is>
      </c>
      <c r="C377" s="5" t="n">
        <v>46290</v>
      </c>
      <c r="D377" t="inlineStr">
        <is>
          <t>OPS</t>
        </is>
      </c>
      <c r="E377" t="inlineStr">
        <is>
          <t>1200 Accounts receivable</t>
        </is>
      </c>
      <c r="F377" t="inlineStr">
        <is>
          <t>Mornane Electrical (see Allocations)</t>
        </is>
      </c>
      <c r="G377" s="9">
        <f>MAX(-Exceptions!$H$169,0)</f>
        <v>0</v>
      </c>
      <c r="H377" s="9">
        <f>MAX(Exceptions!$H$169,0)</f>
        <v>2722.5</v>
      </c>
      <c r="I377" t="inlineStr"/>
      <c r="J377" t="inlineStr">
        <is>
          <t>AUD</t>
        </is>
      </c>
      <c r="K377" s="9">
        <f>ROUND(SUMIFS($G$5:$G$454,$A$5:$A$454,A377)-SUMIFS($H$5:$H$454,$A$5:$A$454,A377),2)</f>
        <v>0</v>
      </c>
    </row>
    <row r="378">
      <c r="A378" t="inlineStr">
        <is>
          <t>J166</t>
        </is>
      </c>
      <c r="B378" t="inlineStr">
        <is>
          <t>EX166</t>
        </is>
      </c>
      <c r="C378" s="5" t="n">
        <v>46293</v>
      </c>
      <c r="D378" t="inlineStr">
        <is>
          <t>OPS</t>
        </is>
      </c>
      <c r="E378" t="inlineStr">
        <is>
          <t>1110 Bank - Operating</t>
        </is>
      </c>
      <c r="F378" t="inlineStr">
        <is>
          <t>Daintree Packaging</t>
        </is>
      </c>
      <c r="G378" s="9">
        <f>MAX(Exceptions!$H$170,0)</f>
        <v>2722.5</v>
      </c>
      <c r="H378" s="9">
        <f>MAX(-Exceptions!$H$170,0)</f>
        <v>0</v>
      </c>
      <c r="I378" t="inlineStr"/>
      <c r="J378" t="inlineStr">
        <is>
          <t>AUD</t>
        </is>
      </c>
      <c r="K378" s="9">
        <f>ROUND(SUMIFS($G$5:$G$454,$A$5:$A$454,A378)-SUMIFS($H$5:$H$454,$A$5:$A$454,A378),2)</f>
        <v>0</v>
      </c>
    </row>
    <row r="379">
      <c r="A379" t="inlineStr">
        <is>
          <t>J166</t>
        </is>
      </c>
      <c r="B379" t="inlineStr">
        <is>
          <t>EX166</t>
        </is>
      </c>
      <c r="C379" s="5" t="n">
        <v>46293</v>
      </c>
      <c r="D379" t="inlineStr">
        <is>
          <t>OPS</t>
        </is>
      </c>
      <c r="E379" t="inlineStr">
        <is>
          <t>1200 Accounts receivable</t>
        </is>
      </c>
      <c r="F379" t="inlineStr">
        <is>
          <t>Daintree Packaging (see Allocations)</t>
        </is>
      </c>
      <c r="G379" s="9">
        <f>MAX(-Exceptions!$H$170,0)</f>
        <v>0</v>
      </c>
      <c r="H379" s="9">
        <f>MAX(Exceptions!$H$170,0)</f>
        <v>2722.5</v>
      </c>
      <c r="I379" t="inlineStr"/>
      <c r="J379" t="inlineStr">
        <is>
          <t>AUD</t>
        </is>
      </c>
      <c r="K379" s="9">
        <f>ROUND(SUMIFS($G$5:$G$454,$A$5:$A$454,A379)-SUMIFS($H$5:$H$454,$A$5:$A$454,A379),2)</f>
        <v>0</v>
      </c>
    </row>
    <row r="380">
      <c r="A380" t="inlineStr">
        <is>
          <t>J167</t>
        </is>
      </c>
      <c r="B380" t="inlineStr">
        <is>
          <t>EX167</t>
        </is>
      </c>
      <c r="C380" s="5" t="n">
        <v>46234</v>
      </c>
      <c r="D380" t="inlineStr">
        <is>
          <t>OPS</t>
        </is>
      </c>
      <c r="E380" t="inlineStr">
        <is>
          <t>1110 Bank - Operating</t>
        </is>
      </c>
      <c r="F380" t="inlineStr">
        <is>
          <t>ACCOUNT KEEPING FEE</t>
        </is>
      </c>
      <c r="G380" s="9">
        <f>MAX(Exceptions!$H$171,0)</f>
        <v>0</v>
      </c>
      <c r="H380" s="9">
        <f>MAX(-Exceptions!$H$171,0)</f>
        <v>30</v>
      </c>
      <c r="I380" t="inlineStr"/>
      <c r="J380" t="inlineStr">
        <is>
          <t>AUD</t>
        </is>
      </c>
      <c r="K380" s="9">
        <f>ROUND(SUMIFS($G$5:$G$454,$A$5:$A$454,A380)-SUMIFS($H$5:$H$454,$A$5:$A$454,A380),2)</f>
        <v>0</v>
      </c>
    </row>
    <row r="381">
      <c r="A381" t="inlineStr">
        <is>
          <t>J167</t>
        </is>
      </c>
      <c r="B381" t="inlineStr">
        <is>
          <t>EX167</t>
        </is>
      </c>
      <c r="C381" s="5" t="n">
        <v>46234</v>
      </c>
      <c r="D381" t="inlineStr">
        <is>
          <t>OPS</t>
        </is>
      </c>
      <c r="E381" t="inlineStr">
        <is>
          <t>6110 Bank charges</t>
        </is>
      </c>
      <c r="F381" t="inlineStr">
        <is>
          <t>Input taxed</t>
        </is>
      </c>
      <c r="G381" s="9">
        <f>MAX(-Exceptions!$H$171,0)</f>
        <v>30</v>
      </c>
      <c r="H381" s="9">
        <f>MAX(Exceptions!$H$171,0)</f>
        <v>0</v>
      </c>
      <c r="I381" t="inlineStr">
        <is>
          <t>Input taxed</t>
        </is>
      </c>
      <c r="J381" t="inlineStr">
        <is>
          <t>AUD</t>
        </is>
      </c>
      <c r="K381" s="9">
        <f>ROUND(SUMIFS($G$5:$G$454,$A$5:$A$454,A381)-SUMIFS($H$5:$H$454,$A$5:$A$454,A381),2)</f>
        <v>0</v>
      </c>
    </row>
    <row r="382">
      <c r="A382" t="inlineStr">
        <is>
          <t>J168</t>
        </is>
      </c>
      <c r="B382" t="inlineStr">
        <is>
          <t>EX168</t>
        </is>
      </c>
      <c r="C382" s="5" t="n">
        <v>46234</v>
      </c>
      <c r="D382" t="inlineStr">
        <is>
          <t>OPS</t>
        </is>
      </c>
      <c r="E382" t="inlineStr">
        <is>
          <t>1110 Bank - Operating</t>
        </is>
      </c>
      <c r="F382" t="inlineStr">
        <is>
          <t>TRANSACTION FEES</t>
        </is>
      </c>
      <c r="G382" s="9">
        <f>MAX(Exceptions!$H$172,0)</f>
        <v>0</v>
      </c>
      <c r="H382" s="9">
        <f>MAX(-Exceptions!$H$172,0)</f>
        <v>54.15</v>
      </c>
      <c r="I382" t="inlineStr"/>
      <c r="J382" t="inlineStr">
        <is>
          <t>AUD</t>
        </is>
      </c>
      <c r="K382" s="9">
        <f>ROUND(SUMIFS($G$5:$G$454,$A$5:$A$454,A382)-SUMIFS($H$5:$H$454,$A$5:$A$454,A382),2)</f>
        <v>0</v>
      </c>
    </row>
    <row r="383">
      <c r="A383" t="inlineStr">
        <is>
          <t>J168</t>
        </is>
      </c>
      <c r="B383" t="inlineStr">
        <is>
          <t>EX168</t>
        </is>
      </c>
      <c r="C383" s="5" t="n">
        <v>46234</v>
      </c>
      <c r="D383" t="inlineStr">
        <is>
          <t>OPS</t>
        </is>
      </c>
      <c r="E383" t="inlineStr">
        <is>
          <t>6110 Bank charges</t>
        </is>
      </c>
      <c r="F383" t="inlineStr">
        <is>
          <t>Input taxed</t>
        </is>
      </c>
      <c r="G383" s="9">
        <f>MAX(-Exceptions!$H$172,0)</f>
        <v>54.15</v>
      </c>
      <c r="H383" s="9">
        <f>MAX(Exceptions!$H$172,0)</f>
        <v>0</v>
      </c>
      <c r="I383" t="inlineStr">
        <is>
          <t>Input taxed</t>
        </is>
      </c>
      <c r="J383" t="inlineStr">
        <is>
          <t>AUD</t>
        </is>
      </c>
      <c r="K383" s="9">
        <f>ROUND(SUMIFS($G$5:$G$454,$A$5:$A$454,A383)-SUMIFS($H$5:$H$454,$A$5:$A$454,A383),2)</f>
        <v>0</v>
      </c>
    </row>
    <row r="384">
      <c r="A384" t="inlineStr">
        <is>
          <t>J169</t>
        </is>
      </c>
      <c r="B384" t="inlineStr">
        <is>
          <t>EX169</t>
        </is>
      </c>
      <c r="C384" s="5" t="n">
        <v>46234</v>
      </c>
      <c r="D384" t="inlineStr">
        <is>
          <t>OPS</t>
        </is>
      </c>
      <c r="E384" t="inlineStr">
        <is>
          <t>1110 Bank - Operating</t>
        </is>
      </c>
      <c r="F384" t="inlineStr">
        <is>
          <t>INTEREST CREDIT</t>
        </is>
      </c>
      <c r="G384" s="9">
        <f>MAX(Exceptions!$H$173,0)</f>
        <v>383.96</v>
      </c>
      <c r="H384" s="9">
        <f>MAX(-Exceptions!$H$173,0)</f>
        <v>0</v>
      </c>
      <c r="I384" t="inlineStr"/>
      <c r="J384" t="inlineStr">
        <is>
          <t>AUD</t>
        </is>
      </c>
      <c r="K384" s="9">
        <f>ROUND(SUMIFS($G$5:$G$454,$A$5:$A$454,A384)-SUMIFS($H$5:$H$454,$A$5:$A$454,A384),2)</f>
        <v>0</v>
      </c>
    </row>
    <row r="385">
      <c r="A385" t="inlineStr">
        <is>
          <t>J169</t>
        </is>
      </c>
      <c r="B385" t="inlineStr">
        <is>
          <t>EX169</t>
        </is>
      </c>
      <c r="C385" s="5" t="n">
        <v>46234</v>
      </c>
      <c r="D385" t="inlineStr">
        <is>
          <t>OPS</t>
        </is>
      </c>
      <c r="E385" t="inlineStr">
        <is>
          <t>4900 Interest income</t>
        </is>
      </c>
      <c r="F385" t="inlineStr">
        <is>
          <t>Input taxed</t>
        </is>
      </c>
      <c r="G385" s="9">
        <f>MAX(-Exceptions!$H$173,0)</f>
        <v>0</v>
      </c>
      <c r="H385" s="9">
        <f>MAX(Exceptions!$H$173,0)</f>
        <v>383.96</v>
      </c>
      <c r="I385" t="inlineStr">
        <is>
          <t>Input taxed</t>
        </is>
      </c>
      <c r="J385" t="inlineStr">
        <is>
          <t>AUD</t>
        </is>
      </c>
      <c r="K385" s="9">
        <f>ROUND(SUMIFS($G$5:$G$454,$A$5:$A$454,A385)-SUMIFS($H$5:$H$454,$A$5:$A$454,A385),2)</f>
        <v>0</v>
      </c>
    </row>
    <row r="386">
      <c r="A386" t="inlineStr">
        <is>
          <t>J170</t>
        </is>
      </c>
      <c r="B386" t="inlineStr">
        <is>
          <t>EX170</t>
        </is>
      </c>
      <c r="C386" s="5" t="n">
        <v>46241</v>
      </c>
      <c r="D386" t="inlineStr">
        <is>
          <t>OPS</t>
        </is>
      </c>
      <c r="E386" t="inlineStr">
        <is>
          <t>1110 Bank - Operating</t>
        </is>
      </c>
      <c r="F386" t="inlineStr">
        <is>
          <t xml:space="preserve">Payment to Paperline Stationery Pty returned from ABA batch </t>
        </is>
      </c>
      <c r="G386" s="9">
        <f>MAX(Exceptions!$H$174,0)</f>
        <v>5952.1</v>
      </c>
      <c r="H386" s="9">
        <f>MAX(-Exceptions!$H$174,0)</f>
        <v>0</v>
      </c>
      <c r="I386" t="inlineStr"/>
      <c r="J386" t="inlineStr">
        <is>
          <t>AUD</t>
        </is>
      </c>
      <c r="K386" s="9">
        <f>ROUND(SUMIFS($G$5:$G$454,$A$5:$A$454,A386)-SUMIFS($H$5:$H$454,$A$5:$A$454,A386),2)</f>
        <v>0</v>
      </c>
    </row>
    <row r="387">
      <c r="A387" t="inlineStr">
        <is>
          <t>J170</t>
        </is>
      </c>
      <c r="B387" t="inlineStr">
        <is>
          <t>EX170</t>
        </is>
      </c>
      <c r="C387" s="5" t="n">
        <v>46241</v>
      </c>
      <c r="D387" t="inlineStr">
        <is>
          <t>OPS</t>
        </is>
      </c>
      <c r="E387" t="inlineStr">
        <is>
          <t>2100 Accounts payable</t>
        </is>
      </c>
      <c r="F387" t="inlineStr">
        <is>
          <t xml:space="preserve"> (bill reopened)</t>
        </is>
      </c>
      <c r="G387" s="9">
        <f>MAX(-Exceptions!$H$174,0)</f>
        <v>0</v>
      </c>
      <c r="H387" s="9">
        <f>MAX(Exceptions!$H$174,0)</f>
        <v>5952.1</v>
      </c>
      <c r="I387" t="inlineStr"/>
      <c r="J387" t="inlineStr">
        <is>
          <t>AUD</t>
        </is>
      </c>
      <c r="K387" s="9">
        <f>ROUND(SUMIFS($G$5:$G$454,$A$5:$A$454,A387)-SUMIFS($H$5:$H$454,$A$5:$A$454,A387),2)</f>
        <v>0</v>
      </c>
    </row>
    <row r="388">
      <c r="A388" t="inlineStr">
        <is>
          <t>J171</t>
        </is>
      </c>
      <c r="B388" t="inlineStr">
        <is>
          <t>EX171</t>
        </is>
      </c>
      <c r="C388" s="5" t="n">
        <v>46265</v>
      </c>
      <c r="D388" t="inlineStr">
        <is>
          <t>OPS</t>
        </is>
      </c>
      <c r="E388" t="inlineStr">
        <is>
          <t>1110 Bank - Operating</t>
        </is>
      </c>
      <c r="F388" t="inlineStr">
        <is>
          <t>ACCOUNT KEEPING FEE</t>
        </is>
      </c>
      <c r="G388" s="9">
        <f>MAX(Exceptions!$H$175,0)</f>
        <v>0</v>
      </c>
      <c r="H388" s="9">
        <f>MAX(-Exceptions!$H$175,0)</f>
        <v>30</v>
      </c>
      <c r="I388" t="inlineStr"/>
      <c r="J388" t="inlineStr">
        <is>
          <t>AUD</t>
        </is>
      </c>
      <c r="K388" s="9">
        <f>ROUND(SUMIFS($G$5:$G$454,$A$5:$A$454,A388)-SUMIFS($H$5:$H$454,$A$5:$A$454,A388),2)</f>
        <v>0</v>
      </c>
    </row>
    <row r="389">
      <c r="A389" t="inlineStr">
        <is>
          <t>J171</t>
        </is>
      </c>
      <c r="B389" t="inlineStr">
        <is>
          <t>EX171</t>
        </is>
      </c>
      <c r="C389" s="5" t="n">
        <v>46265</v>
      </c>
      <c r="D389" t="inlineStr">
        <is>
          <t>OPS</t>
        </is>
      </c>
      <c r="E389" t="inlineStr">
        <is>
          <t>6110 Bank charges</t>
        </is>
      </c>
      <c r="F389" t="inlineStr">
        <is>
          <t>Input taxed</t>
        </is>
      </c>
      <c r="G389" s="9">
        <f>MAX(-Exceptions!$H$175,0)</f>
        <v>30</v>
      </c>
      <c r="H389" s="9">
        <f>MAX(Exceptions!$H$175,0)</f>
        <v>0</v>
      </c>
      <c r="I389" t="inlineStr">
        <is>
          <t>Input taxed</t>
        </is>
      </c>
      <c r="J389" t="inlineStr">
        <is>
          <t>AUD</t>
        </is>
      </c>
      <c r="K389" s="9">
        <f>ROUND(SUMIFS($G$5:$G$454,$A$5:$A$454,A389)-SUMIFS($H$5:$H$454,$A$5:$A$454,A389),2)</f>
        <v>0</v>
      </c>
    </row>
    <row r="390">
      <c r="A390" t="inlineStr">
        <is>
          <t>J172</t>
        </is>
      </c>
      <c r="B390" t="inlineStr">
        <is>
          <t>EX172</t>
        </is>
      </c>
      <c r="C390" s="5" t="n">
        <v>46265</v>
      </c>
      <c r="D390" t="inlineStr">
        <is>
          <t>OPS</t>
        </is>
      </c>
      <c r="E390" t="inlineStr">
        <is>
          <t>1110 Bank - Operating</t>
        </is>
      </c>
      <c r="F390" t="inlineStr">
        <is>
          <t>TRANSACTION FEES</t>
        </is>
      </c>
      <c r="G390" s="9">
        <f>MAX(Exceptions!$H$176,0)</f>
        <v>0</v>
      </c>
      <c r="H390" s="9">
        <f>MAX(-Exceptions!$H$176,0)</f>
        <v>62.82</v>
      </c>
      <c r="I390" t="inlineStr"/>
      <c r="J390" t="inlineStr">
        <is>
          <t>AUD</t>
        </is>
      </c>
      <c r="K390" s="9">
        <f>ROUND(SUMIFS($G$5:$G$454,$A$5:$A$454,A390)-SUMIFS($H$5:$H$454,$A$5:$A$454,A390),2)</f>
        <v>0</v>
      </c>
    </row>
    <row r="391">
      <c r="A391" t="inlineStr">
        <is>
          <t>J172</t>
        </is>
      </c>
      <c r="B391" t="inlineStr">
        <is>
          <t>EX172</t>
        </is>
      </c>
      <c r="C391" s="5" t="n">
        <v>46265</v>
      </c>
      <c r="D391" t="inlineStr">
        <is>
          <t>OPS</t>
        </is>
      </c>
      <c r="E391" t="inlineStr">
        <is>
          <t>6110 Bank charges</t>
        </is>
      </c>
      <c r="F391" t="inlineStr">
        <is>
          <t>Input taxed</t>
        </is>
      </c>
      <c r="G391" s="9">
        <f>MAX(-Exceptions!$H$176,0)</f>
        <v>62.82</v>
      </c>
      <c r="H391" s="9">
        <f>MAX(Exceptions!$H$176,0)</f>
        <v>0</v>
      </c>
      <c r="I391" t="inlineStr">
        <is>
          <t>Input taxed</t>
        </is>
      </c>
      <c r="J391" t="inlineStr">
        <is>
          <t>AUD</t>
        </is>
      </c>
      <c r="K391" s="9">
        <f>ROUND(SUMIFS($G$5:$G$454,$A$5:$A$454,A391)-SUMIFS($H$5:$H$454,$A$5:$A$454,A391),2)</f>
        <v>0</v>
      </c>
    </row>
    <row r="392">
      <c r="A392" t="inlineStr">
        <is>
          <t>J173</t>
        </is>
      </c>
      <c r="B392" t="inlineStr">
        <is>
          <t>EX173</t>
        </is>
      </c>
      <c r="C392" s="5" t="n">
        <v>46265</v>
      </c>
      <c r="D392" t="inlineStr">
        <is>
          <t>OPS</t>
        </is>
      </c>
      <c r="E392" t="inlineStr">
        <is>
          <t>1110 Bank - Operating</t>
        </is>
      </c>
      <c r="F392" t="inlineStr">
        <is>
          <t>INTEREST CREDIT</t>
        </is>
      </c>
      <c r="G392" s="9">
        <f>MAX(Exceptions!$H$177,0)</f>
        <v>418.71</v>
      </c>
      <c r="H392" s="9">
        <f>MAX(-Exceptions!$H$177,0)</f>
        <v>0</v>
      </c>
      <c r="I392" t="inlineStr"/>
      <c r="J392" t="inlineStr">
        <is>
          <t>AUD</t>
        </is>
      </c>
      <c r="K392" s="9">
        <f>ROUND(SUMIFS($G$5:$G$454,$A$5:$A$454,A392)-SUMIFS($H$5:$H$454,$A$5:$A$454,A392),2)</f>
        <v>0</v>
      </c>
    </row>
    <row r="393">
      <c r="A393" t="inlineStr">
        <is>
          <t>J173</t>
        </is>
      </c>
      <c r="B393" t="inlineStr">
        <is>
          <t>EX173</t>
        </is>
      </c>
      <c r="C393" s="5" t="n">
        <v>46265</v>
      </c>
      <c r="D393" t="inlineStr">
        <is>
          <t>OPS</t>
        </is>
      </c>
      <c r="E393" t="inlineStr">
        <is>
          <t>4900 Interest income</t>
        </is>
      </c>
      <c r="F393" t="inlineStr">
        <is>
          <t>Input taxed</t>
        </is>
      </c>
      <c r="G393" s="9">
        <f>MAX(-Exceptions!$H$177,0)</f>
        <v>0</v>
      </c>
      <c r="H393" s="9">
        <f>MAX(Exceptions!$H$177,0)</f>
        <v>418.71</v>
      </c>
      <c r="I393" t="inlineStr">
        <is>
          <t>Input taxed</t>
        </is>
      </c>
      <c r="J393" t="inlineStr">
        <is>
          <t>AUD</t>
        </is>
      </c>
      <c r="K393" s="9">
        <f>ROUND(SUMIFS($G$5:$G$454,$A$5:$A$454,A393)-SUMIFS($H$5:$H$454,$A$5:$A$454,A393),2)</f>
        <v>0</v>
      </c>
    </row>
    <row r="394">
      <c r="A394" t="inlineStr">
        <is>
          <t>J174</t>
        </is>
      </c>
      <c r="B394" t="inlineStr">
        <is>
          <t>EX174</t>
        </is>
      </c>
      <c r="C394" s="5" t="n">
        <v>46295</v>
      </c>
      <c r="D394" t="inlineStr">
        <is>
          <t>OPS</t>
        </is>
      </c>
      <c r="E394" t="inlineStr">
        <is>
          <t>1110 Bank - Operating</t>
        </is>
      </c>
      <c r="F394" t="inlineStr">
        <is>
          <t>ACCOUNT KEEPING FEE</t>
        </is>
      </c>
      <c r="G394" s="9">
        <f>MAX(Exceptions!$H$178,0)</f>
        <v>0</v>
      </c>
      <c r="H394" s="9">
        <f>MAX(-Exceptions!$H$178,0)</f>
        <v>30</v>
      </c>
      <c r="I394" t="inlineStr"/>
      <c r="J394" t="inlineStr">
        <is>
          <t>AUD</t>
        </is>
      </c>
      <c r="K394" s="9">
        <f>ROUND(SUMIFS($G$5:$G$454,$A$5:$A$454,A394)-SUMIFS($H$5:$H$454,$A$5:$A$454,A394),2)</f>
        <v>0</v>
      </c>
    </row>
    <row r="395">
      <c r="A395" t="inlineStr">
        <is>
          <t>J174</t>
        </is>
      </c>
      <c r="B395" t="inlineStr">
        <is>
          <t>EX174</t>
        </is>
      </c>
      <c r="C395" s="5" t="n">
        <v>46295</v>
      </c>
      <c r="D395" t="inlineStr">
        <is>
          <t>OPS</t>
        </is>
      </c>
      <c r="E395" t="inlineStr">
        <is>
          <t>6110 Bank charges</t>
        </is>
      </c>
      <c r="F395" t="inlineStr">
        <is>
          <t>Input taxed</t>
        </is>
      </c>
      <c r="G395" s="9">
        <f>MAX(-Exceptions!$H$178,0)</f>
        <v>30</v>
      </c>
      <c r="H395" s="9">
        <f>MAX(Exceptions!$H$178,0)</f>
        <v>0</v>
      </c>
      <c r="I395" t="inlineStr">
        <is>
          <t>Input taxed</t>
        </is>
      </c>
      <c r="J395" t="inlineStr">
        <is>
          <t>AUD</t>
        </is>
      </c>
      <c r="K395" s="9">
        <f>ROUND(SUMIFS($G$5:$G$454,$A$5:$A$454,A395)-SUMIFS($H$5:$H$454,$A$5:$A$454,A395),2)</f>
        <v>0</v>
      </c>
    </row>
    <row r="396">
      <c r="A396" t="inlineStr">
        <is>
          <t>J175</t>
        </is>
      </c>
      <c r="B396" t="inlineStr">
        <is>
          <t>EX175</t>
        </is>
      </c>
      <c r="C396" s="5" t="n">
        <v>46295</v>
      </c>
      <c r="D396" t="inlineStr">
        <is>
          <t>OPS</t>
        </is>
      </c>
      <c r="E396" t="inlineStr">
        <is>
          <t>1110 Bank - Operating</t>
        </is>
      </c>
      <c r="F396" t="inlineStr">
        <is>
          <t>TRANSACTION FEES</t>
        </is>
      </c>
      <c r="G396" s="9">
        <f>MAX(Exceptions!$H$179,0)</f>
        <v>0</v>
      </c>
      <c r="H396" s="9">
        <f>MAX(-Exceptions!$H$179,0)</f>
        <v>45.29</v>
      </c>
      <c r="I396" t="inlineStr"/>
      <c r="J396" t="inlineStr">
        <is>
          <t>AUD</t>
        </is>
      </c>
      <c r="K396" s="9">
        <f>ROUND(SUMIFS($G$5:$G$454,$A$5:$A$454,A396)-SUMIFS($H$5:$H$454,$A$5:$A$454,A396),2)</f>
        <v>0</v>
      </c>
    </row>
    <row r="397">
      <c r="A397" t="inlineStr">
        <is>
          <t>J175</t>
        </is>
      </c>
      <c r="B397" t="inlineStr">
        <is>
          <t>EX175</t>
        </is>
      </c>
      <c r="C397" s="5" t="n">
        <v>46295</v>
      </c>
      <c r="D397" t="inlineStr">
        <is>
          <t>OPS</t>
        </is>
      </c>
      <c r="E397" t="inlineStr">
        <is>
          <t>6110 Bank charges</t>
        </is>
      </c>
      <c r="F397" t="inlineStr">
        <is>
          <t>Input taxed</t>
        </is>
      </c>
      <c r="G397" s="9">
        <f>MAX(-Exceptions!$H$179,0)</f>
        <v>45.29</v>
      </c>
      <c r="H397" s="9">
        <f>MAX(Exceptions!$H$179,0)</f>
        <v>0</v>
      </c>
      <c r="I397" t="inlineStr">
        <is>
          <t>Input taxed</t>
        </is>
      </c>
      <c r="J397" t="inlineStr">
        <is>
          <t>AUD</t>
        </is>
      </c>
      <c r="K397" s="9">
        <f>ROUND(SUMIFS($G$5:$G$454,$A$5:$A$454,A397)-SUMIFS($H$5:$H$454,$A$5:$A$454,A397),2)</f>
        <v>0</v>
      </c>
    </row>
    <row r="398">
      <c r="A398" t="inlineStr">
        <is>
          <t>J176</t>
        </is>
      </c>
      <c r="B398" t="inlineStr">
        <is>
          <t>EX176</t>
        </is>
      </c>
      <c r="C398" s="5" t="n">
        <v>46295</v>
      </c>
      <c r="D398" t="inlineStr">
        <is>
          <t>OPS</t>
        </is>
      </c>
      <c r="E398" t="inlineStr">
        <is>
          <t>1110 Bank - Operating</t>
        </is>
      </c>
      <c r="F398" t="inlineStr">
        <is>
          <t>INTEREST CREDIT</t>
        </is>
      </c>
      <c r="G398" s="9">
        <f>MAX(Exceptions!$H$180,0)</f>
        <v>379.93</v>
      </c>
      <c r="H398" s="9">
        <f>MAX(-Exceptions!$H$180,0)</f>
        <v>0</v>
      </c>
      <c r="I398" t="inlineStr"/>
      <c r="J398" t="inlineStr">
        <is>
          <t>AUD</t>
        </is>
      </c>
      <c r="K398" s="9">
        <f>ROUND(SUMIFS($G$5:$G$454,$A$5:$A$454,A398)-SUMIFS($H$5:$H$454,$A$5:$A$454,A398),2)</f>
        <v>0</v>
      </c>
    </row>
    <row r="399">
      <c r="A399" t="inlineStr">
        <is>
          <t>J176</t>
        </is>
      </c>
      <c r="B399" t="inlineStr">
        <is>
          <t>EX176</t>
        </is>
      </c>
      <c r="C399" s="5" t="n">
        <v>46295</v>
      </c>
      <c r="D399" t="inlineStr">
        <is>
          <t>OPS</t>
        </is>
      </c>
      <c r="E399" t="inlineStr">
        <is>
          <t>4900 Interest income</t>
        </is>
      </c>
      <c r="F399" t="inlineStr">
        <is>
          <t>Input taxed</t>
        </is>
      </c>
      <c r="G399" s="9">
        <f>MAX(-Exceptions!$H$180,0)</f>
        <v>0</v>
      </c>
      <c r="H399" s="9">
        <f>MAX(Exceptions!$H$180,0)</f>
        <v>379.93</v>
      </c>
      <c r="I399" t="inlineStr">
        <is>
          <t>Input taxed</t>
        </is>
      </c>
      <c r="J399" t="inlineStr">
        <is>
          <t>AUD</t>
        </is>
      </c>
      <c r="K399" s="9">
        <f>ROUND(SUMIFS($G$5:$G$454,$A$5:$A$454,A399)-SUMIFS($H$5:$H$454,$A$5:$A$454,A399),2)</f>
        <v>0</v>
      </c>
    </row>
    <row r="400">
      <c r="A400" t="inlineStr">
        <is>
          <t>J177</t>
        </is>
      </c>
      <c r="B400" t="inlineStr">
        <is>
          <t>EX177</t>
        </is>
      </c>
      <c r="C400" s="5" t="n">
        <v>46234</v>
      </c>
      <c r="D400" t="inlineStr">
        <is>
          <t>PAY</t>
        </is>
      </c>
      <c r="E400" t="inlineStr">
        <is>
          <t>1120 Bank - Payroll clearing</t>
        </is>
      </c>
      <c r="F400" t="inlineStr">
        <is>
          <t>ACCOUNT KEEPING FEE</t>
        </is>
      </c>
      <c r="G400" s="9">
        <f>MAX(Exceptions!$H$181,0)</f>
        <v>0</v>
      </c>
      <c r="H400" s="9">
        <f>MAX(-Exceptions!$H$181,0)</f>
        <v>10</v>
      </c>
      <c r="I400" t="inlineStr"/>
      <c r="J400" t="inlineStr">
        <is>
          <t>AUD</t>
        </is>
      </c>
      <c r="K400" s="9">
        <f>ROUND(SUMIFS($G$5:$G$454,$A$5:$A$454,A400)-SUMIFS($H$5:$H$454,$A$5:$A$454,A400),2)</f>
        <v>0</v>
      </c>
    </row>
    <row r="401">
      <c r="A401" t="inlineStr">
        <is>
          <t>J177</t>
        </is>
      </c>
      <c r="B401" t="inlineStr">
        <is>
          <t>EX177</t>
        </is>
      </c>
      <c r="C401" s="5" t="n">
        <v>46234</v>
      </c>
      <c r="D401" t="inlineStr">
        <is>
          <t>PAY</t>
        </is>
      </c>
      <c r="E401" t="inlineStr">
        <is>
          <t>6110 Bank charges</t>
        </is>
      </c>
      <c r="F401" t="inlineStr">
        <is>
          <t>Input taxed</t>
        </is>
      </c>
      <c r="G401" s="9">
        <f>MAX(-Exceptions!$H$181,0)</f>
        <v>10</v>
      </c>
      <c r="H401" s="9">
        <f>MAX(Exceptions!$H$181,0)</f>
        <v>0</v>
      </c>
      <c r="I401" t="inlineStr">
        <is>
          <t>Input taxed</t>
        </is>
      </c>
      <c r="J401" t="inlineStr">
        <is>
          <t>AUD</t>
        </is>
      </c>
      <c r="K401" s="9">
        <f>ROUND(SUMIFS($G$5:$G$454,$A$5:$A$454,A401)-SUMIFS($H$5:$H$454,$A$5:$A$454,A401),2)</f>
        <v>0</v>
      </c>
    </row>
    <row r="402">
      <c r="A402" t="inlineStr">
        <is>
          <t>J178</t>
        </is>
      </c>
      <c r="B402" t="inlineStr">
        <is>
          <t>EX178</t>
        </is>
      </c>
      <c r="C402" s="5" t="n">
        <v>46265</v>
      </c>
      <c r="D402" t="inlineStr">
        <is>
          <t>PAY</t>
        </is>
      </c>
      <c r="E402" t="inlineStr">
        <is>
          <t>1120 Bank - Payroll clearing</t>
        </is>
      </c>
      <c r="F402" t="inlineStr">
        <is>
          <t>ACCOUNT KEEPING FEE</t>
        </is>
      </c>
      <c r="G402" s="9">
        <f>MAX(Exceptions!$H$182,0)</f>
        <v>0</v>
      </c>
      <c r="H402" s="9">
        <f>MAX(-Exceptions!$H$182,0)</f>
        <v>10</v>
      </c>
      <c r="I402" t="inlineStr"/>
      <c r="J402" t="inlineStr">
        <is>
          <t>AUD</t>
        </is>
      </c>
      <c r="K402" s="9">
        <f>ROUND(SUMIFS($G$5:$G$454,$A$5:$A$454,A402)-SUMIFS($H$5:$H$454,$A$5:$A$454,A402),2)</f>
        <v>0</v>
      </c>
    </row>
    <row r="403">
      <c r="A403" t="inlineStr">
        <is>
          <t>J178</t>
        </is>
      </c>
      <c r="B403" t="inlineStr">
        <is>
          <t>EX178</t>
        </is>
      </c>
      <c r="C403" s="5" t="n">
        <v>46265</v>
      </c>
      <c r="D403" t="inlineStr">
        <is>
          <t>PAY</t>
        </is>
      </c>
      <c r="E403" t="inlineStr">
        <is>
          <t>6110 Bank charges</t>
        </is>
      </c>
      <c r="F403" t="inlineStr">
        <is>
          <t>Input taxed</t>
        </is>
      </c>
      <c r="G403" s="9">
        <f>MAX(-Exceptions!$H$182,0)</f>
        <v>10</v>
      </c>
      <c r="H403" s="9">
        <f>MAX(Exceptions!$H$182,0)</f>
        <v>0</v>
      </c>
      <c r="I403" t="inlineStr">
        <is>
          <t>Input taxed</t>
        </is>
      </c>
      <c r="J403" t="inlineStr">
        <is>
          <t>AUD</t>
        </is>
      </c>
      <c r="K403" s="9">
        <f>ROUND(SUMIFS($G$5:$G$454,$A$5:$A$454,A403)-SUMIFS($H$5:$H$454,$A$5:$A$454,A403),2)</f>
        <v>0</v>
      </c>
    </row>
    <row r="404">
      <c r="A404" t="inlineStr">
        <is>
          <t>J179</t>
        </is>
      </c>
      <c r="B404" t="inlineStr">
        <is>
          <t>EX179</t>
        </is>
      </c>
      <c r="C404" s="5" t="n">
        <v>46295</v>
      </c>
      <c r="D404" t="inlineStr">
        <is>
          <t>PAY</t>
        </is>
      </c>
      <c r="E404" t="inlineStr">
        <is>
          <t>1120 Bank - Payroll clearing</t>
        </is>
      </c>
      <c r="F404" t="inlineStr">
        <is>
          <t>ACCOUNT KEEPING FEE</t>
        </is>
      </c>
      <c r="G404" s="9">
        <f>MAX(Exceptions!$H$183,0)</f>
        <v>0</v>
      </c>
      <c r="H404" s="9">
        <f>MAX(-Exceptions!$H$183,0)</f>
        <v>10</v>
      </c>
      <c r="I404" t="inlineStr"/>
      <c r="J404" t="inlineStr">
        <is>
          <t>AUD</t>
        </is>
      </c>
      <c r="K404" s="9">
        <f>ROUND(SUMIFS($G$5:$G$454,$A$5:$A$454,A404)-SUMIFS($H$5:$H$454,$A$5:$A$454,A404),2)</f>
        <v>0</v>
      </c>
    </row>
    <row r="405">
      <c r="A405" t="inlineStr">
        <is>
          <t>J179</t>
        </is>
      </c>
      <c r="B405" t="inlineStr">
        <is>
          <t>EX179</t>
        </is>
      </c>
      <c r="C405" s="5" t="n">
        <v>46295</v>
      </c>
      <c r="D405" t="inlineStr">
        <is>
          <t>PAY</t>
        </is>
      </c>
      <c r="E405" t="inlineStr">
        <is>
          <t>6110 Bank charges</t>
        </is>
      </c>
      <c r="F405" t="inlineStr">
        <is>
          <t>Input taxed</t>
        </is>
      </c>
      <c r="G405" s="9">
        <f>MAX(-Exceptions!$H$183,0)</f>
        <v>10</v>
      </c>
      <c r="H405" s="9">
        <f>MAX(Exceptions!$H$183,0)</f>
        <v>0</v>
      </c>
      <c r="I405" t="inlineStr">
        <is>
          <t>Input taxed</t>
        </is>
      </c>
      <c r="J405" t="inlineStr">
        <is>
          <t>AUD</t>
        </is>
      </c>
      <c r="K405" s="9">
        <f>ROUND(SUMIFS($G$5:$G$454,$A$5:$A$454,A405)-SUMIFS($H$5:$H$454,$A$5:$A$454,A405),2)</f>
        <v>0</v>
      </c>
    </row>
    <row r="406">
      <c r="A406" t="inlineStr">
        <is>
          <t>J181</t>
        </is>
      </c>
      <c r="B406" t="inlineStr">
        <is>
          <t>EX181</t>
        </is>
      </c>
      <c r="C406" s="5" t="n">
        <v>46234</v>
      </c>
      <c r="D406" t="inlineStr">
        <is>
          <t>MER</t>
        </is>
      </c>
      <c r="E406" t="inlineStr">
        <is>
          <t>1130 Bank - Merchant settlement</t>
        </is>
      </c>
      <c r="F406" t="inlineStr">
        <is>
          <t>MERCHANT SERVICE FEE JUL26</t>
        </is>
      </c>
      <c r="G406" s="9">
        <f>MAX(Exceptions!$H$185,0)</f>
        <v>0</v>
      </c>
      <c r="H406" s="9">
        <f>MAX(-Exceptions!$H$185,0)</f>
        <v>2203.04</v>
      </c>
      <c r="I406" t="inlineStr"/>
      <c r="J406" t="inlineStr">
        <is>
          <t>AUD</t>
        </is>
      </c>
      <c r="K406" s="9">
        <f>ROUND(SUMIFS($G$5:$G$454,$A$5:$A$454,A406)-SUMIFS($H$5:$H$454,$A$5:$A$454,A406),2)</f>
        <v>0</v>
      </c>
    </row>
    <row r="407">
      <c r="A407" t="inlineStr">
        <is>
          <t>J181</t>
        </is>
      </c>
      <c r="B407" t="inlineStr">
        <is>
          <t>EX181</t>
        </is>
      </c>
      <c r="C407" s="5" t="n">
        <v>46234</v>
      </c>
      <c r="D407" t="inlineStr">
        <is>
          <t>MER</t>
        </is>
      </c>
      <c r="E407" t="inlineStr">
        <is>
          <t>6120 Merchant and payment fees</t>
        </is>
      </c>
      <c r="F407" t="inlineStr">
        <is>
          <t>Merchant statement</t>
        </is>
      </c>
      <c r="G407" s="9">
        <f>ROUND(-Exceptions!$H$185-Exceptions!$I$185,2)</f>
        <v>2002.76</v>
      </c>
      <c r="H407" s="9" t="n">
        <v>0</v>
      </c>
      <c r="I407" t="inlineStr">
        <is>
          <t>GST on purchases</t>
        </is>
      </c>
      <c r="J407" t="inlineStr">
        <is>
          <t>AUD</t>
        </is>
      </c>
      <c r="K407" s="9">
        <f>ROUND(SUMIFS($G$5:$G$454,$A$5:$A$454,A407)-SUMIFS($H$5:$H$454,$A$5:$A$454,A407),2)</f>
        <v>0</v>
      </c>
    </row>
    <row r="408">
      <c r="A408" t="inlineStr">
        <is>
          <t>J181</t>
        </is>
      </c>
      <c r="B408" t="inlineStr">
        <is>
          <t>EX181</t>
        </is>
      </c>
      <c r="C408" s="5" t="n">
        <v>46234</v>
      </c>
      <c r="D408" t="inlineStr">
        <is>
          <t>MER</t>
        </is>
      </c>
      <c r="E408" t="inlineStr">
        <is>
          <t>1300 GST paid (1B)</t>
        </is>
      </c>
      <c r="F408" t="inlineStr"/>
      <c r="G408" s="9">
        <f>Exceptions!$I$185</f>
        <v>200.28</v>
      </c>
      <c r="H408" s="9" t="n">
        <v>0</v>
      </c>
      <c r="I408" t="inlineStr">
        <is>
          <t>GST</t>
        </is>
      </c>
      <c r="J408" t="inlineStr">
        <is>
          <t>AUD</t>
        </is>
      </c>
      <c r="K408" s="9">
        <f>ROUND(SUMIFS($G$5:$G$454,$A$5:$A$454,A408)-SUMIFS($H$5:$H$454,$A$5:$A$454,A408),2)</f>
        <v>0</v>
      </c>
    </row>
    <row r="409">
      <c r="A409" t="inlineStr">
        <is>
          <t>J182</t>
        </is>
      </c>
      <c r="B409" t="inlineStr">
        <is>
          <t>EX182</t>
        </is>
      </c>
      <c r="C409" s="5" t="n">
        <v>46253</v>
      </c>
      <c r="D409" t="inlineStr">
        <is>
          <t>MER</t>
        </is>
      </c>
      <c r="E409" t="inlineStr">
        <is>
          <t>1130 Bank - Merchant settlement</t>
        </is>
      </c>
      <c r="F409" t="inlineStr">
        <is>
          <t>CHARGEBACK T402 REF 88104 CARD ****4417</t>
        </is>
      </c>
      <c r="G409" s="9">
        <f>MAX(Exceptions!$H$186,0)</f>
        <v>0</v>
      </c>
      <c r="H409" s="9">
        <f>MAX(-Exceptions!$H$186,0)</f>
        <v>340</v>
      </c>
      <c r="I409" t="inlineStr"/>
      <c r="J409" t="inlineStr">
        <is>
          <t>AUD</t>
        </is>
      </c>
      <c r="K409" s="9">
        <f>ROUND(SUMIFS($G$5:$G$454,$A$5:$A$454,A409)-SUMIFS($H$5:$H$454,$A$5:$A$454,A409),2)</f>
        <v>0</v>
      </c>
    </row>
    <row r="410">
      <c r="A410" t="inlineStr">
        <is>
          <t>J182</t>
        </is>
      </c>
      <c r="B410" t="inlineStr">
        <is>
          <t>EX182</t>
        </is>
      </c>
      <c r="C410" s="5" t="n">
        <v>46253</v>
      </c>
      <c r="D410" t="inlineStr">
        <is>
          <t>MER</t>
        </is>
      </c>
      <c r="E410" t="inlineStr">
        <is>
          <t>1250 Card disputes under review</t>
        </is>
      </c>
      <c r="F410" t="inlineStr">
        <is>
          <t>Terminal chargeback</t>
        </is>
      </c>
      <c r="G410" s="9">
        <f>MAX(-Exceptions!$H$186,0)</f>
        <v>340</v>
      </c>
      <c r="H410" s="9">
        <f>MAX(Exceptions!$H$186,0)</f>
        <v>0</v>
      </c>
      <c r="I410" t="inlineStr"/>
      <c r="J410" t="inlineStr">
        <is>
          <t>AUD</t>
        </is>
      </c>
      <c r="K410" s="9">
        <f>ROUND(SUMIFS($G$5:$G$454,$A$5:$A$454,A410)-SUMIFS($H$5:$H$454,$A$5:$A$454,A410),2)</f>
        <v>0</v>
      </c>
    </row>
    <row r="411">
      <c r="A411" t="inlineStr">
        <is>
          <t>J183</t>
        </is>
      </c>
      <c r="B411" t="inlineStr">
        <is>
          <t>EX183</t>
        </is>
      </c>
      <c r="C411" s="5" t="n">
        <v>46265</v>
      </c>
      <c r="D411" t="inlineStr">
        <is>
          <t>MER</t>
        </is>
      </c>
      <c r="E411" t="inlineStr">
        <is>
          <t>1130 Bank - Merchant settlement</t>
        </is>
      </c>
      <c r="F411" t="inlineStr">
        <is>
          <t>MERCHANT SERVICE FEE AUG26</t>
        </is>
      </c>
      <c r="G411" s="9">
        <f>MAX(Exceptions!$H$187,0)</f>
        <v>0</v>
      </c>
      <c r="H411" s="9">
        <f>MAX(-Exceptions!$H$187,0)</f>
        <v>2086.89</v>
      </c>
      <c r="I411" t="inlineStr"/>
      <c r="J411" t="inlineStr">
        <is>
          <t>AUD</t>
        </is>
      </c>
      <c r="K411" s="9">
        <f>ROUND(SUMIFS($G$5:$G$454,$A$5:$A$454,A411)-SUMIFS($H$5:$H$454,$A$5:$A$454,A411),2)</f>
        <v>0</v>
      </c>
    </row>
    <row r="412">
      <c r="A412" t="inlineStr">
        <is>
          <t>J183</t>
        </is>
      </c>
      <c r="B412" t="inlineStr">
        <is>
          <t>EX183</t>
        </is>
      </c>
      <c r="C412" s="5" t="n">
        <v>46265</v>
      </c>
      <c r="D412" t="inlineStr">
        <is>
          <t>MER</t>
        </is>
      </c>
      <c r="E412" t="inlineStr">
        <is>
          <t>6120 Merchant and payment fees</t>
        </is>
      </c>
      <c r="F412" t="inlineStr">
        <is>
          <t>Merchant statement</t>
        </is>
      </c>
      <c r="G412" s="9">
        <f>ROUND(-Exceptions!$H$187-Exceptions!$I$187,2)</f>
        <v>1897.17</v>
      </c>
      <c r="H412" s="9" t="n">
        <v>0</v>
      </c>
      <c r="I412" t="inlineStr">
        <is>
          <t>GST on purchases</t>
        </is>
      </c>
      <c r="J412" t="inlineStr">
        <is>
          <t>AUD</t>
        </is>
      </c>
      <c r="K412" s="9">
        <f>ROUND(SUMIFS($G$5:$G$454,$A$5:$A$454,A412)-SUMIFS($H$5:$H$454,$A$5:$A$454,A412),2)</f>
        <v>0</v>
      </c>
    </row>
    <row r="413">
      <c r="A413" t="inlineStr">
        <is>
          <t>J183</t>
        </is>
      </c>
      <c r="B413" t="inlineStr">
        <is>
          <t>EX183</t>
        </is>
      </c>
      <c r="C413" s="5" t="n">
        <v>46265</v>
      </c>
      <c r="D413" t="inlineStr">
        <is>
          <t>MER</t>
        </is>
      </c>
      <c r="E413" t="inlineStr">
        <is>
          <t>1300 GST paid (1B)</t>
        </is>
      </c>
      <c r="F413" t="inlineStr"/>
      <c r="G413" s="9">
        <f>Exceptions!$I$187</f>
        <v>189.72</v>
      </c>
      <c r="H413" s="9" t="n">
        <v>0</v>
      </c>
      <c r="I413" t="inlineStr">
        <is>
          <t>GST</t>
        </is>
      </c>
      <c r="J413" t="inlineStr">
        <is>
          <t>AUD</t>
        </is>
      </c>
      <c r="K413" s="9">
        <f>ROUND(SUMIFS($G$5:$G$454,$A$5:$A$454,A413)-SUMIFS($H$5:$H$454,$A$5:$A$454,A413),2)</f>
        <v>0</v>
      </c>
    </row>
    <row r="414">
      <c r="A414" t="inlineStr">
        <is>
          <t>J184</t>
        </is>
      </c>
      <c r="B414" t="inlineStr">
        <is>
          <t>EX184</t>
        </is>
      </c>
      <c r="C414" s="5" t="n">
        <v>46295</v>
      </c>
      <c r="D414" t="inlineStr">
        <is>
          <t>MER</t>
        </is>
      </c>
      <c r="E414" t="inlineStr">
        <is>
          <t>1130 Bank - Merchant settlement</t>
        </is>
      </c>
      <c r="F414" t="inlineStr">
        <is>
          <t>MERCHANT SERVICE FEE SEP26</t>
        </is>
      </c>
      <c r="G414" s="9">
        <f>MAX(Exceptions!$H$188,0)</f>
        <v>0</v>
      </c>
      <c r="H414" s="9">
        <f>MAX(-Exceptions!$H$188,0)</f>
        <v>2295.11</v>
      </c>
      <c r="I414" t="inlineStr"/>
      <c r="J414" t="inlineStr">
        <is>
          <t>AUD</t>
        </is>
      </c>
      <c r="K414" s="9">
        <f>ROUND(SUMIFS($G$5:$G$454,$A$5:$A$454,A414)-SUMIFS($H$5:$H$454,$A$5:$A$454,A414),2)</f>
        <v>0</v>
      </c>
    </row>
    <row r="415">
      <c r="A415" t="inlineStr">
        <is>
          <t>J184</t>
        </is>
      </c>
      <c r="B415" t="inlineStr">
        <is>
          <t>EX184</t>
        </is>
      </c>
      <c r="C415" s="5" t="n">
        <v>46295</v>
      </c>
      <c r="D415" t="inlineStr">
        <is>
          <t>MER</t>
        </is>
      </c>
      <c r="E415" t="inlineStr">
        <is>
          <t>6120 Merchant and payment fees</t>
        </is>
      </c>
      <c r="F415" t="inlineStr">
        <is>
          <t>Merchant statement</t>
        </is>
      </c>
      <c r="G415" s="9">
        <f>ROUND(-Exceptions!$H$188-Exceptions!$I$188,2)</f>
        <v>2086.46</v>
      </c>
      <c r="H415" s="9" t="n">
        <v>0</v>
      </c>
      <c r="I415" t="inlineStr">
        <is>
          <t>GST on purchases</t>
        </is>
      </c>
      <c r="J415" t="inlineStr">
        <is>
          <t>AUD</t>
        </is>
      </c>
      <c r="K415" s="9">
        <f>ROUND(SUMIFS($G$5:$G$454,$A$5:$A$454,A415)-SUMIFS($H$5:$H$454,$A$5:$A$454,A415),2)</f>
        <v>0</v>
      </c>
    </row>
    <row r="416">
      <c r="A416" t="inlineStr">
        <is>
          <t>J184</t>
        </is>
      </c>
      <c r="B416" t="inlineStr">
        <is>
          <t>EX184</t>
        </is>
      </c>
      <c r="C416" s="5" t="n">
        <v>46295</v>
      </c>
      <c r="D416" t="inlineStr">
        <is>
          <t>MER</t>
        </is>
      </c>
      <c r="E416" t="inlineStr">
        <is>
          <t>1300 GST paid (1B)</t>
        </is>
      </c>
      <c r="F416" t="inlineStr"/>
      <c r="G416" s="9">
        <f>Exceptions!$I$188</f>
        <v>208.65</v>
      </c>
      <c r="H416" s="9" t="n">
        <v>0</v>
      </c>
      <c r="I416" t="inlineStr">
        <is>
          <t>GST</t>
        </is>
      </c>
      <c r="J416" t="inlineStr">
        <is>
          <t>AUD</t>
        </is>
      </c>
      <c r="K416" s="9">
        <f>ROUND(SUMIFS($G$5:$G$454,$A$5:$A$454,A416)-SUMIFS($H$5:$H$454,$A$5:$A$454,A416),2)</f>
        <v>0</v>
      </c>
    </row>
    <row r="417">
      <c r="A417" t="inlineStr">
        <is>
          <t>J185</t>
        </is>
      </c>
      <c r="B417" t="inlineStr">
        <is>
          <t>EX185</t>
        </is>
      </c>
      <c r="C417" s="5" t="n">
        <v>46209</v>
      </c>
      <c r="D417" t="inlineStr">
        <is>
          <t>USD</t>
        </is>
      </c>
      <c r="E417" t="inlineStr">
        <is>
          <t>1140 Bank - USD</t>
        </is>
      </c>
      <c r="F417" t="inlineStr">
        <is>
          <t>INTL TRANSFER FEE</t>
        </is>
      </c>
      <c r="G417" s="9">
        <f>MAX(Exceptions!$H$189,0)</f>
        <v>0</v>
      </c>
      <c r="H417" s="9">
        <f>MAX(-Exceptions!$H$189,0)</f>
        <v>15</v>
      </c>
      <c r="I417" t="inlineStr"/>
      <c r="J417" t="inlineStr">
        <is>
          <t>USD</t>
        </is>
      </c>
      <c r="K417" s="9">
        <f>ROUND(SUMIFS($G$5:$G$454,$A$5:$A$454,A417)-SUMIFS($H$5:$H$454,$A$5:$A$454,A417),2)</f>
        <v>0</v>
      </c>
    </row>
    <row r="418">
      <c r="A418" t="inlineStr">
        <is>
          <t>J185</t>
        </is>
      </c>
      <c r="B418" t="inlineStr">
        <is>
          <t>EX185</t>
        </is>
      </c>
      <c r="C418" s="5" t="n">
        <v>46209</v>
      </c>
      <c r="D418" t="inlineStr">
        <is>
          <t>USD</t>
        </is>
      </c>
      <c r="E418" t="inlineStr">
        <is>
          <t>6110 Bank charges</t>
        </is>
      </c>
      <c r="F418" t="inlineStr">
        <is>
          <t>Input taxed</t>
        </is>
      </c>
      <c r="G418" s="9">
        <f>MAX(-Exceptions!$H$189,0)</f>
        <v>15</v>
      </c>
      <c r="H418" s="9">
        <f>MAX(Exceptions!$H$189,0)</f>
        <v>0</v>
      </c>
      <c r="I418" t="inlineStr">
        <is>
          <t>Input taxed</t>
        </is>
      </c>
      <c r="J418" t="inlineStr">
        <is>
          <t>USD</t>
        </is>
      </c>
      <c r="K418" s="9">
        <f>ROUND(SUMIFS($G$5:$G$454,$A$5:$A$454,A418)-SUMIFS($H$5:$H$454,$A$5:$A$454,A418),2)</f>
        <v>0</v>
      </c>
    </row>
    <row r="419">
      <c r="A419" t="inlineStr">
        <is>
          <t>J186</t>
        </is>
      </c>
      <c r="B419" t="inlineStr">
        <is>
          <t>EX186</t>
        </is>
      </c>
      <c r="C419" s="5" t="n">
        <v>46217</v>
      </c>
      <c r="D419" t="inlineStr">
        <is>
          <t>USD</t>
        </is>
      </c>
      <c r="E419" t="inlineStr">
        <is>
          <t>1140 Bank - USD</t>
        </is>
      </c>
      <c r="F419" t="inlineStr">
        <is>
          <t>INTL TRANSFER FEE</t>
        </is>
      </c>
      <c r="G419" s="9">
        <f>MAX(Exceptions!$H$190,0)</f>
        <v>0</v>
      </c>
      <c r="H419" s="9">
        <f>MAX(-Exceptions!$H$190,0)</f>
        <v>15</v>
      </c>
      <c r="I419" t="inlineStr"/>
      <c r="J419" t="inlineStr">
        <is>
          <t>USD</t>
        </is>
      </c>
      <c r="K419" s="9">
        <f>ROUND(SUMIFS($G$5:$G$454,$A$5:$A$454,A419)-SUMIFS($H$5:$H$454,$A$5:$A$454,A419),2)</f>
        <v>0</v>
      </c>
    </row>
    <row r="420">
      <c r="A420" t="inlineStr">
        <is>
          <t>J186</t>
        </is>
      </c>
      <c r="B420" t="inlineStr">
        <is>
          <t>EX186</t>
        </is>
      </c>
      <c r="C420" s="5" t="n">
        <v>46217</v>
      </c>
      <c r="D420" t="inlineStr">
        <is>
          <t>USD</t>
        </is>
      </c>
      <c r="E420" t="inlineStr">
        <is>
          <t>6110 Bank charges</t>
        </is>
      </c>
      <c r="F420" t="inlineStr">
        <is>
          <t>Input taxed</t>
        </is>
      </c>
      <c r="G420" s="9">
        <f>MAX(-Exceptions!$H$190,0)</f>
        <v>15</v>
      </c>
      <c r="H420" s="9">
        <f>MAX(Exceptions!$H$190,0)</f>
        <v>0</v>
      </c>
      <c r="I420" t="inlineStr">
        <is>
          <t>Input taxed</t>
        </is>
      </c>
      <c r="J420" t="inlineStr">
        <is>
          <t>USD</t>
        </is>
      </c>
      <c r="K420" s="9">
        <f>ROUND(SUMIFS($G$5:$G$454,$A$5:$A$454,A420)-SUMIFS($H$5:$H$454,$A$5:$A$454,A420),2)</f>
        <v>0</v>
      </c>
    </row>
    <row r="421">
      <c r="A421" t="inlineStr">
        <is>
          <t>J187</t>
        </is>
      </c>
      <c r="B421" t="inlineStr">
        <is>
          <t>EX187</t>
        </is>
      </c>
      <c r="C421" s="5" t="n">
        <v>46223</v>
      </c>
      <c r="D421" t="inlineStr">
        <is>
          <t>USD</t>
        </is>
      </c>
      <c r="E421" t="inlineStr">
        <is>
          <t>1140 Bank - USD</t>
        </is>
      </c>
      <c r="F421" t="inlineStr">
        <is>
          <t>INTL TRANSFER FEE</t>
        </is>
      </c>
      <c r="G421" s="9">
        <f>MAX(Exceptions!$H$191,0)</f>
        <v>0</v>
      </c>
      <c r="H421" s="9">
        <f>MAX(-Exceptions!$H$191,0)</f>
        <v>15</v>
      </c>
      <c r="I421" t="inlineStr"/>
      <c r="J421" t="inlineStr">
        <is>
          <t>USD</t>
        </is>
      </c>
      <c r="K421" s="9">
        <f>ROUND(SUMIFS($G$5:$G$454,$A$5:$A$454,A421)-SUMIFS($H$5:$H$454,$A$5:$A$454,A421),2)</f>
        <v>0</v>
      </c>
    </row>
    <row r="422">
      <c r="A422" t="inlineStr">
        <is>
          <t>J187</t>
        </is>
      </c>
      <c r="B422" t="inlineStr">
        <is>
          <t>EX187</t>
        </is>
      </c>
      <c r="C422" s="5" t="n">
        <v>46223</v>
      </c>
      <c r="D422" t="inlineStr">
        <is>
          <t>USD</t>
        </is>
      </c>
      <c r="E422" t="inlineStr">
        <is>
          <t>6110 Bank charges</t>
        </is>
      </c>
      <c r="F422" t="inlineStr">
        <is>
          <t>Input taxed</t>
        </is>
      </c>
      <c r="G422" s="9">
        <f>MAX(-Exceptions!$H$191,0)</f>
        <v>15</v>
      </c>
      <c r="H422" s="9">
        <f>MAX(Exceptions!$H$191,0)</f>
        <v>0</v>
      </c>
      <c r="I422" t="inlineStr">
        <is>
          <t>Input taxed</t>
        </is>
      </c>
      <c r="J422" t="inlineStr">
        <is>
          <t>USD</t>
        </is>
      </c>
      <c r="K422" s="9">
        <f>ROUND(SUMIFS($G$5:$G$454,$A$5:$A$454,A422)-SUMIFS($H$5:$H$454,$A$5:$A$454,A422),2)</f>
        <v>0</v>
      </c>
    </row>
    <row r="423">
      <c r="A423" t="inlineStr">
        <is>
          <t>J188</t>
        </is>
      </c>
      <c r="B423" t="inlineStr">
        <is>
          <t>EX188</t>
        </is>
      </c>
      <c r="C423" s="5" t="n">
        <v>46230</v>
      </c>
      <c r="D423" t="inlineStr">
        <is>
          <t>USD</t>
        </is>
      </c>
      <c r="E423" t="inlineStr">
        <is>
          <t>1140 Bank - USD</t>
        </is>
      </c>
      <c r="F423" t="inlineStr">
        <is>
          <t>INTL TRANSFER FEE</t>
        </is>
      </c>
      <c r="G423" s="9">
        <f>MAX(Exceptions!$H$192,0)</f>
        <v>0</v>
      </c>
      <c r="H423" s="9">
        <f>MAX(-Exceptions!$H$192,0)</f>
        <v>15</v>
      </c>
      <c r="I423" t="inlineStr"/>
      <c r="J423" t="inlineStr">
        <is>
          <t>USD</t>
        </is>
      </c>
      <c r="K423" s="9">
        <f>ROUND(SUMIFS($G$5:$G$454,$A$5:$A$454,A423)-SUMIFS($H$5:$H$454,$A$5:$A$454,A423),2)</f>
        <v>0</v>
      </c>
    </row>
    <row r="424">
      <c r="A424" t="inlineStr">
        <is>
          <t>J188</t>
        </is>
      </c>
      <c r="B424" t="inlineStr">
        <is>
          <t>EX188</t>
        </is>
      </c>
      <c r="C424" s="5" t="n">
        <v>46230</v>
      </c>
      <c r="D424" t="inlineStr">
        <is>
          <t>USD</t>
        </is>
      </c>
      <c r="E424" t="inlineStr">
        <is>
          <t>6110 Bank charges</t>
        </is>
      </c>
      <c r="F424" t="inlineStr">
        <is>
          <t>Input taxed</t>
        </is>
      </c>
      <c r="G424" s="9">
        <f>MAX(-Exceptions!$H$192,0)</f>
        <v>15</v>
      </c>
      <c r="H424" s="9">
        <f>MAX(Exceptions!$H$192,0)</f>
        <v>0</v>
      </c>
      <c r="I424" t="inlineStr">
        <is>
          <t>Input taxed</t>
        </is>
      </c>
      <c r="J424" t="inlineStr">
        <is>
          <t>USD</t>
        </is>
      </c>
      <c r="K424" s="9">
        <f>ROUND(SUMIFS($G$5:$G$454,$A$5:$A$454,A424)-SUMIFS($H$5:$H$454,$A$5:$A$454,A424),2)</f>
        <v>0</v>
      </c>
    </row>
    <row r="425">
      <c r="A425" t="inlineStr">
        <is>
          <t>J189</t>
        </is>
      </c>
      <c r="B425" t="inlineStr">
        <is>
          <t>EX189</t>
        </is>
      </c>
      <c r="C425" s="5" t="n">
        <v>46240</v>
      </c>
      <c r="D425" t="inlineStr">
        <is>
          <t>USD</t>
        </is>
      </c>
      <c r="E425" t="inlineStr">
        <is>
          <t>1140 Bank - USD</t>
        </is>
      </c>
      <c r="F425" t="inlineStr">
        <is>
          <t>INTL TRANSFER FEE</t>
        </is>
      </c>
      <c r="G425" s="9">
        <f>MAX(Exceptions!$H$193,0)</f>
        <v>0</v>
      </c>
      <c r="H425" s="9">
        <f>MAX(-Exceptions!$H$193,0)</f>
        <v>15</v>
      </c>
      <c r="I425" t="inlineStr"/>
      <c r="J425" t="inlineStr">
        <is>
          <t>USD</t>
        </is>
      </c>
      <c r="K425" s="9">
        <f>ROUND(SUMIFS($G$5:$G$454,$A$5:$A$454,A425)-SUMIFS($H$5:$H$454,$A$5:$A$454,A425),2)</f>
        <v>0</v>
      </c>
    </row>
    <row r="426">
      <c r="A426" t="inlineStr">
        <is>
          <t>J189</t>
        </is>
      </c>
      <c r="B426" t="inlineStr">
        <is>
          <t>EX189</t>
        </is>
      </c>
      <c r="C426" s="5" t="n">
        <v>46240</v>
      </c>
      <c r="D426" t="inlineStr">
        <is>
          <t>USD</t>
        </is>
      </c>
      <c r="E426" t="inlineStr">
        <is>
          <t>6110 Bank charges</t>
        </is>
      </c>
      <c r="F426" t="inlineStr">
        <is>
          <t>Input taxed</t>
        </is>
      </c>
      <c r="G426" s="9">
        <f>MAX(-Exceptions!$H$193,0)</f>
        <v>15</v>
      </c>
      <c r="H426" s="9">
        <f>MAX(Exceptions!$H$193,0)</f>
        <v>0</v>
      </c>
      <c r="I426" t="inlineStr">
        <is>
          <t>Input taxed</t>
        </is>
      </c>
      <c r="J426" t="inlineStr">
        <is>
          <t>USD</t>
        </is>
      </c>
      <c r="K426" s="9">
        <f>ROUND(SUMIFS($G$5:$G$454,$A$5:$A$454,A426)-SUMIFS($H$5:$H$454,$A$5:$A$454,A426),2)</f>
        <v>0</v>
      </c>
    </row>
    <row r="427">
      <c r="A427" t="inlineStr">
        <is>
          <t>J190</t>
        </is>
      </c>
      <c r="B427" t="inlineStr">
        <is>
          <t>EX190</t>
        </is>
      </c>
      <c r="C427" s="5" t="n">
        <v>46248</v>
      </c>
      <c r="D427" t="inlineStr">
        <is>
          <t>USD</t>
        </is>
      </c>
      <c r="E427" t="inlineStr">
        <is>
          <t>1140 Bank - USD</t>
        </is>
      </c>
      <c r="F427" t="inlineStr">
        <is>
          <t>INTL TRANSFER FEE</t>
        </is>
      </c>
      <c r="G427" s="9">
        <f>MAX(Exceptions!$H$194,0)</f>
        <v>0</v>
      </c>
      <c r="H427" s="9">
        <f>MAX(-Exceptions!$H$194,0)</f>
        <v>15</v>
      </c>
      <c r="I427" t="inlineStr"/>
      <c r="J427" t="inlineStr">
        <is>
          <t>USD</t>
        </is>
      </c>
      <c r="K427" s="9">
        <f>ROUND(SUMIFS($G$5:$G$454,$A$5:$A$454,A427)-SUMIFS($H$5:$H$454,$A$5:$A$454,A427),2)</f>
        <v>0</v>
      </c>
    </row>
    <row r="428">
      <c r="A428" t="inlineStr">
        <is>
          <t>J190</t>
        </is>
      </c>
      <c r="B428" t="inlineStr">
        <is>
          <t>EX190</t>
        </is>
      </c>
      <c r="C428" s="5" t="n">
        <v>46248</v>
      </c>
      <c r="D428" t="inlineStr">
        <is>
          <t>USD</t>
        </is>
      </c>
      <c r="E428" t="inlineStr">
        <is>
          <t>6110 Bank charges</t>
        </is>
      </c>
      <c r="F428" t="inlineStr">
        <is>
          <t>Input taxed</t>
        </is>
      </c>
      <c r="G428" s="9">
        <f>MAX(-Exceptions!$H$194,0)</f>
        <v>15</v>
      </c>
      <c r="H428" s="9">
        <f>MAX(Exceptions!$H$194,0)</f>
        <v>0</v>
      </c>
      <c r="I428" t="inlineStr">
        <is>
          <t>Input taxed</t>
        </is>
      </c>
      <c r="J428" t="inlineStr">
        <is>
          <t>USD</t>
        </is>
      </c>
      <c r="K428" s="9">
        <f>ROUND(SUMIFS($G$5:$G$454,$A$5:$A$454,A428)-SUMIFS($H$5:$H$454,$A$5:$A$454,A428),2)</f>
        <v>0</v>
      </c>
    </row>
    <row r="429">
      <c r="A429" t="inlineStr">
        <is>
          <t>J191</t>
        </is>
      </c>
      <c r="B429" t="inlineStr">
        <is>
          <t>EX191</t>
        </is>
      </c>
      <c r="C429" s="5" t="n">
        <v>46254</v>
      </c>
      <c r="D429" t="inlineStr">
        <is>
          <t>USD</t>
        </is>
      </c>
      <c r="E429" t="inlineStr">
        <is>
          <t>1140 Bank - USD</t>
        </is>
      </c>
      <c r="F429" t="inlineStr">
        <is>
          <t>INTL TRANSFER FEE</t>
        </is>
      </c>
      <c r="G429" s="9">
        <f>MAX(Exceptions!$H$195,0)</f>
        <v>0</v>
      </c>
      <c r="H429" s="9">
        <f>MAX(-Exceptions!$H$195,0)</f>
        <v>15</v>
      </c>
      <c r="I429" t="inlineStr"/>
      <c r="J429" t="inlineStr">
        <is>
          <t>USD</t>
        </is>
      </c>
      <c r="K429" s="9">
        <f>ROUND(SUMIFS($G$5:$G$454,$A$5:$A$454,A429)-SUMIFS($H$5:$H$454,$A$5:$A$454,A429),2)</f>
        <v>0</v>
      </c>
    </row>
    <row r="430">
      <c r="A430" t="inlineStr">
        <is>
          <t>J191</t>
        </is>
      </c>
      <c r="B430" t="inlineStr">
        <is>
          <t>EX191</t>
        </is>
      </c>
      <c r="C430" s="5" t="n">
        <v>46254</v>
      </c>
      <c r="D430" t="inlineStr">
        <is>
          <t>USD</t>
        </is>
      </c>
      <c r="E430" t="inlineStr">
        <is>
          <t>6110 Bank charges</t>
        </is>
      </c>
      <c r="F430" t="inlineStr">
        <is>
          <t>Input taxed</t>
        </is>
      </c>
      <c r="G430" s="9">
        <f>MAX(-Exceptions!$H$195,0)</f>
        <v>15</v>
      </c>
      <c r="H430" s="9">
        <f>MAX(Exceptions!$H$195,0)</f>
        <v>0</v>
      </c>
      <c r="I430" t="inlineStr">
        <is>
          <t>Input taxed</t>
        </is>
      </c>
      <c r="J430" t="inlineStr">
        <is>
          <t>USD</t>
        </is>
      </c>
      <c r="K430" s="9">
        <f>ROUND(SUMIFS($G$5:$G$454,$A$5:$A$454,A430)-SUMIFS($H$5:$H$454,$A$5:$A$454,A430),2)</f>
        <v>0</v>
      </c>
    </row>
    <row r="431">
      <c r="A431" t="inlineStr">
        <is>
          <t>J192</t>
        </is>
      </c>
      <c r="B431" t="inlineStr">
        <is>
          <t>EX192</t>
        </is>
      </c>
      <c r="C431" s="5" t="n">
        <v>46259</v>
      </c>
      <c r="D431" t="inlineStr">
        <is>
          <t>USD</t>
        </is>
      </c>
      <c r="E431" t="inlineStr">
        <is>
          <t>1140 Bank - USD</t>
        </is>
      </c>
      <c r="F431" t="inlineStr">
        <is>
          <t>INTL TRANSFER FEE</t>
        </is>
      </c>
      <c r="G431" s="9">
        <f>MAX(Exceptions!$H$196,0)</f>
        <v>0</v>
      </c>
      <c r="H431" s="9">
        <f>MAX(-Exceptions!$H$196,0)</f>
        <v>15</v>
      </c>
      <c r="I431" t="inlineStr"/>
      <c r="J431" t="inlineStr">
        <is>
          <t>USD</t>
        </is>
      </c>
      <c r="K431" s="9">
        <f>ROUND(SUMIFS($G$5:$G$454,$A$5:$A$454,A431)-SUMIFS($H$5:$H$454,$A$5:$A$454,A431),2)</f>
        <v>0</v>
      </c>
    </row>
    <row r="432">
      <c r="A432" t="inlineStr">
        <is>
          <t>J192</t>
        </is>
      </c>
      <c r="B432" t="inlineStr">
        <is>
          <t>EX192</t>
        </is>
      </c>
      <c r="C432" s="5" t="n">
        <v>46259</v>
      </c>
      <c r="D432" t="inlineStr">
        <is>
          <t>USD</t>
        </is>
      </c>
      <c r="E432" t="inlineStr">
        <is>
          <t>6110 Bank charges</t>
        </is>
      </c>
      <c r="F432" t="inlineStr">
        <is>
          <t>Input taxed</t>
        </is>
      </c>
      <c r="G432" s="9">
        <f>MAX(-Exceptions!$H$196,0)</f>
        <v>15</v>
      </c>
      <c r="H432" s="9">
        <f>MAX(Exceptions!$H$196,0)</f>
        <v>0</v>
      </c>
      <c r="I432" t="inlineStr">
        <is>
          <t>Input taxed</t>
        </is>
      </c>
      <c r="J432" t="inlineStr">
        <is>
          <t>USD</t>
        </is>
      </c>
      <c r="K432" s="9">
        <f>ROUND(SUMIFS($G$5:$G$454,$A$5:$A$454,A432)-SUMIFS($H$5:$H$454,$A$5:$A$454,A432),2)</f>
        <v>0</v>
      </c>
    </row>
    <row r="433">
      <c r="A433" t="inlineStr">
        <is>
          <t>J193</t>
        </is>
      </c>
      <c r="B433" t="inlineStr">
        <is>
          <t>EX193</t>
        </is>
      </c>
      <c r="C433" s="5" t="n">
        <v>46272</v>
      </c>
      <c r="D433" t="inlineStr">
        <is>
          <t>USD</t>
        </is>
      </c>
      <c r="E433" t="inlineStr">
        <is>
          <t>1140 Bank - USD</t>
        </is>
      </c>
      <c r="F433" t="inlineStr">
        <is>
          <t>INTL TRANSFER FEE</t>
        </is>
      </c>
      <c r="G433" s="9">
        <f>MAX(Exceptions!$H$197,0)</f>
        <v>0</v>
      </c>
      <c r="H433" s="9">
        <f>MAX(-Exceptions!$H$197,0)</f>
        <v>15</v>
      </c>
      <c r="I433" t="inlineStr"/>
      <c r="J433" t="inlineStr">
        <is>
          <t>USD</t>
        </is>
      </c>
      <c r="K433" s="9">
        <f>ROUND(SUMIFS($G$5:$G$454,$A$5:$A$454,A433)-SUMIFS($H$5:$H$454,$A$5:$A$454,A433),2)</f>
        <v>0</v>
      </c>
    </row>
    <row r="434">
      <c r="A434" t="inlineStr">
        <is>
          <t>J193</t>
        </is>
      </c>
      <c r="B434" t="inlineStr">
        <is>
          <t>EX193</t>
        </is>
      </c>
      <c r="C434" s="5" t="n">
        <v>46272</v>
      </c>
      <c r="D434" t="inlineStr">
        <is>
          <t>USD</t>
        </is>
      </c>
      <c r="E434" t="inlineStr">
        <is>
          <t>6110 Bank charges</t>
        </is>
      </c>
      <c r="F434" t="inlineStr">
        <is>
          <t>Input taxed</t>
        </is>
      </c>
      <c r="G434" s="9">
        <f>MAX(-Exceptions!$H$197,0)</f>
        <v>15</v>
      </c>
      <c r="H434" s="9">
        <f>MAX(Exceptions!$H$197,0)</f>
        <v>0</v>
      </c>
      <c r="I434" t="inlineStr">
        <is>
          <t>Input taxed</t>
        </is>
      </c>
      <c r="J434" t="inlineStr">
        <is>
          <t>USD</t>
        </is>
      </c>
      <c r="K434" s="9">
        <f>ROUND(SUMIFS($G$5:$G$454,$A$5:$A$454,A434)-SUMIFS($H$5:$H$454,$A$5:$A$454,A434),2)</f>
        <v>0</v>
      </c>
    </row>
    <row r="435">
      <c r="A435" t="inlineStr">
        <is>
          <t>J194</t>
        </is>
      </c>
      <c r="B435" t="inlineStr">
        <is>
          <t>EX194</t>
        </is>
      </c>
      <c r="C435" s="5" t="n">
        <v>46279</v>
      </c>
      <c r="D435" t="inlineStr">
        <is>
          <t>USD</t>
        </is>
      </c>
      <c r="E435" t="inlineStr">
        <is>
          <t>1140 Bank - USD</t>
        </is>
      </c>
      <c r="F435" t="inlineStr">
        <is>
          <t>INTL TRANSFER FEE</t>
        </is>
      </c>
      <c r="G435" s="9">
        <f>MAX(Exceptions!$H$198,0)</f>
        <v>0</v>
      </c>
      <c r="H435" s="9">
        <f>MAX(-Exceptions!$H$198,0)</f>
        <v>15</v>
      </c>
      <c r="I435" t="inlineStr"/>
      <c r="J435" t="inlineStr">
        <is>
          <t>USD</t>
        </is>
      </c>
      <c r="K435" s="9">
        <f>ROUND(SUMIFS($G$5:$G$454,$A$5:$A$454,A435)-SUMIFS($H$5:$H$454,$A$5:$A$454,A435),2)</f>
        <v>0</v>
      </c>
    </row>
    <row r="436">
      <c r="A436" t="inlineStr">
        <is>
          <t>J194</t>
        </is>
      </c>
      <c r="B436" t="inlineStr">
        <is>
          <t>EX194</t>
        </is>
      </c>
      <c r="C436" s="5" t="n">
        <v>46279</v>
      </c>
      <c r="D436" t="inlineStr">
        <is>
          <t>USD</t>
        </is>
      </c>
      <c r="E436" t="inlineStr">
        <is>
          <t>6110 Bank charges</t>
        </is>
      </c>
      <c r="F436" t="inlineStr">
        <is>
          <t>Input taxed</t>
        </is>
      </c>
      <c r="G436" s="9">
        <f>MAX(-Exceptions!$H$198,0)</f>
        <v>15</v>
      </c>
      <c r="H436" s="9">
        <f>MAX(Exceptions!$H$198,0)</f>
        <v>0</v>
      </c>
      <c r="I436" t="inlineStr">
        <is>
          <t>Input taxed</t>
        </is>
      </c>
      <c r="J436" t="inlineStr">
        <is>
          <t>USD</t>
        </is>
      </c>
      <c r="K436" s="9">
        <f>ROUND(SUMIFS($G$5:$G$454,$A$5:$A$454,A436)-SUMIFS($H$5:$H$454,$A$5:$A$454,A436),2)</f>
        <v>0</v>
      </c>
    </row>
    <row r="437">
      <c r="A437" t="inlineStr">
        <is>
          <t>J195</t>
        </is>
      </c>
      <c r="B437" t="inlineStr">
        <is>
          <t>EX195</t>
        </is>
      </c>
      <c r="C437" s="5" t="n">
        <v>46286</v>
      </c>
      <c r="D437" t="inlineStr">
        <is>
          <t>USD</t>
        </is>
      </c>
      <c r="E437" t="inlineStr">
        <is>
          <t>1140 Bank - USD</t>
        </is>
      </c>
      <c r="F437" t="inlineStr">
        <is>
          <t>INTL TRANSFER FEE</t>
        </is>
      </c>
      <c r="G437" s="9">
        <f>MAX(Exceptions!$H$199,0)</f>
        <v>0</v>
      </c>
      <c r="H437" s="9">
        <f>MAX(-Exceptions!$H$199,0)</f>
        <v>15</v>
      </c>
      <c r="I437" t="inlineStr"/>
      <c r="J437" t="inlineStr">
        <is>
          <t>USD</t>
        </is>
      </c>
      <c r="K437" s="9">
        <f>ROUND(SUMIFS($G$5:$G$454,$A$5:$A$454,A437)-SUMIFS($H$5:$H$454,$A$5:$A$454,A437),2)</f>
        <v>0</v>
      </c>
    </row>
    <row r="438">
      <c r="A438" t="inlineStr">
        <is>
          <t>J195</t>
        </is>
      </c>
      <c r="B438" t="inlineStr">
        <is>
          <t>EX195</t>
        </is>
      </c>
      <c r="C438" s="5" t="n">
        <v>46286</v>
      </c>
      <c r="D438" t="inlineStr">
        <is>
          <t>USD</t>
        </is>
      </c>
      <c r="E438" t="inlineStr">
        <is>
          <t>6110 Bank charges</t>
        </is>
      </c>
      <c r="F438" t="inlineStr">
        <is>
          <t>Input taxed</t>
        </is>
      </c>
      <c r="G438" s="9">
        <f>MAX(-Exceptions!$H$199,0)</f>
        <v>15</v>
      </c>
      <c r="H438" s="9">
        <f>MAX(Exceptions!$H$199,0)</f>
        <v>0</v>
      </c>
      <c r="I438" t="inlineStr">
        <is>
          <t>Input taxed</t>
        </is>
      </c>
      <c r="J438" t="inlineStr">
        <is>
          <t>USD</t>
        </is>
      </c>
      <c r="K438" s="9">
        <f>ROUND(SUMIFS($G$5:$G$454,$A$5:$A$454,A438)-SUMIFS($H$5:$H$454,$A$5:$A$454,A438),2)</f>
        <v>0</v>
      </c>
    </row>
    <row r="439">
      <c r="A439" t="inlineStr">
        <is>
          <t>J196</t>
        </is>
      </c>
      <c r="B439" t="inlineStr">
        <is>
          <t>EX196</t>
        </is>
      </c>
      <c r="C439" s="5" t="n">
        <v>46290</v>
      </c>
      <c r="D439" t="inlineStr">
        <is>
          <t>USD</t>
        </is>
      </c>
      <c r="E439" t="inlineStr">
        <is>
          <t>1140 Bank - USD</t>
        </is>
      </c>
      <c r="F439" t="inlineStr">
        <is>
          <t>INTL TRANSFER FEE</t>
        </is>
      </c>
      <c r="G439" s="9">
        <f>MAX(Exceptions!$H$200,0)</f>
        <v>0</v>
      </c>
      <c r="H439" s="9">
        <f>MAX(-Exceptions!$H$200,0)</f>
        <v>15</v>
      </c>
      <c r="I439" t="inlineStr"/>
      <c r="J439" t="inlineStr">
        <is>
          <t>USD</t>
        </is>
      </c>
      <c r="K439" s="9">
        <f>ROUND(SUMIFS($G$5:$G$454,$A$5:$A$454,A439)-SUMIFS($H$5:$H$454,$A$5:$A$454,A439),2)</f>
        <v>0</v>
      </c>
    </row>
    <row r="440">
      <c r="A440" t="inlineStr">
        <is>
          <t>J196</t>
        </is>
      </c>
      <c r="B440" t="inlineStr">
        <is>
          <t>EX196</t>
        </is>
      </c>
      <c r="C440" s="5" t="n">
        <v>46290</v>
      </c>
      <c r="D440" t="inlineStr">
        <is>
          <t>USD</t>
        </is>
      </c>
      <c r="E440" t="inlineStr">
        <is>
          <t>6110 Bank charges</t>
        </is>
      </c>
      <c r="F440" t="inlineStr">
        <is>
          <t>Input taxed</t>
        </is>
      </c>
      <c r="G440" s="9">
        <f>MAX(-Exceptions!$H$200,0)</f>
        <v>15</v>
      </c>
      <c r="H440" s="9">
        <f>MAX(Exceptions!$H$200,0)</f>
        <v>0</v>
      </c>
      <c r="I440" t="inlineStr">
        <is>
          <t>Input taxed</t>
        </is>
      </c>
      <c r="J440" t="inlineStr">
        <is>
          <t>USD</t>
        </is>
      </c>
      <c r="K440" s="9">
        <f>ROUND(SUMIFS($G$5:$G$454,$A$5:$A$454,A440)-SUMIFS($H$5:$H$454,$A$5:$A$454,A440),2)</f>
        <v>0</v>
      </c>
    </row>
    <row r="441">
      <c r="A441" t="inlineStr">
        <is>
          <t>J197</t>
        </is>
      </c>
      <c r="B441" t="inlineStr">
        <is>
          <t>EX197</t>
        </is>
      </c>
      <c r="C441" s="5" t="n">
        <v>46255</v>
      </c>
      <c r="D441" t="inlineStr">
        <is>
          <t>OPS</t>
        </is>
      </c>
      <c r="E441" t="inlineStr">
        <is>
          <t>1110 Bank - Operating</t>
        </is>
      </c>
      <c r="F441" t="inlineStr">
        <is>
          <t>No Odoo item, open invoice or known pattern. Escalated. | DE</t>
        </is>
      </c>
      <c r="G441" s="9">
        <f>MAX(Exceptions!$H$201,0)</f>
        <v>1850</v>
      </c>
      <c r="H441" s="9">
        <f>MAX(-Exceptions!$H$201,0)</f>
        <v>0</v>
      </c>
      <c r="I441" t="inlineStr"/>
      <c r="J441" t="inlineStr">
        <is>
          <t>AUD</t>
        </is>
      </c>
      <c r="K441" s="9">
        <f>ROUND(SUMIFS($G$5:$G$454,$A$5:$A$454,A441)-SUMIFS($H$5:$H$454,$A$5:$A$454,A441),2)</f>
        <v>0</v>
      </c>
    </row>
    <row r="442">
      <c r="A442" t="inlineStr">
        <is>
          <t>J197</t>
        </is>
      </c>
      <c r="B442" t="inlineStr">
        <is>
          <t>EX197</t>
        </is>
      </c>
      <c r="C442" s="5" t="n">
        <v>46255</v>
      </c>
      <c r="D442" t="inlineStr">
        <is>
          <t>OPS</t>
        </is>
      </c>
      <c r="E442" t="inlineStr">
        <is>
          <t>2990 Suspense (unexplained receipts and payments)</t>
        </is>
      </c>
      <c r="F442" t="inlineStr">
        <is>
          <t>Escalated: see register</t>
        </is>
      </c>
      <c r="G442" s="9">
        <f>MAX(-Exceptions!$H$201,0)</f>
        <v>0</v>
      </c>
      <c r="H442" s="9">
        <f>MAX(Exceptions!$H$201,0)</f>
        <v>1850</v>
      </c>
      <c r="I442" t="inlineStr"/>
      <c r="J442" t="inlineStr">
        <is>
          <t>AUD</t>
        </is>
      </c>
      <c r="K442" s="9">
        <f>ROUND(SUMIFS($G$5:$G$454,$A$5:$A$454,A442)-SUMIFS($H$5:$H$454,$A$5:$A$454,A442),2)</f>
        <v>0</v>
      </c>
    </row>
    <row r="443">
      <c r="A443" t="inlineStr">
        <is>
          <t>J198</t>
        </is>
      </c>
      <c r="B443" t="inlineStr">
        <is>
          <t>EX198</t>
        </is>
      </c>
      <c r="C443" s="5" t="n">
        <v>46274</v>
      </c>
      <c r="D443" t="inlineStr">
        <is>
          <t>OPS</t>
        </is>
      </c>
      <c r="E443" t="inlineStr">
        <is>
          <t>1110 Bank - Operating</t>
        </is>
      </c>
      <c r="F443" t="inlineStr">
        <is>
          <t>No Odoo item, open invoice or known pattern. Escalated. | VI</t>
        </is>
      </c>
      <c r="G443" s="9">
        <f>MAX(Exceptions!$H$202,0)</f>
        <v>0</v>
      </c>
      <c r="H443" s="9">
        <f>MAX(-Exceptions!$H$202,0)</f>
        <v>49.95</v>
      </c>
      <c r="I443" t="inlineStr"/>
      <c r="J443" t="inlineStr">
        <is>
          <t>AUD</t>
        </is>
      </c>
      <c r="K443" s="9">
        <f>ROUND(SUMIFS($G$5:$G$454,$A$5:$A$454,A443)-SUMIFS($H$5:$H$454,$A$5:$A$454,A443),2)</f>
        <v>0</v>
      </c>
    </row>
    <row r="444">
      <c r="A444" t="inlineStr">
        <is>
          <t>J198</t>
        </is>
      </c>
      <c r="B444" t="inlineStr">
        <is>
          <t>EX198</t>
        </is>
      </c>
      <c r="C444" s="5" t="n">
        <v>46274</v>
      </c>
      <c r="D444" t="inlineStr">
        <is>
          <t>OPS</t>
        </is>
      </c>
      <c r="E444" t="inlineStr">
        <is>
          <t>2990 Suspense (unexplained receipts and payments)</t>
        </is>
      </c>
      <c r="F444" t="inlineStr">
        <is>
          <t>Escalated: see register</t>
        </is>
      </c>
      <c r="G444" s="9">
        <f>MAX(-Exceptions!$H$202,0)</f>
        <v>49.95</v>
      </c>
      <c r="H444" s="9">
        <f>MAX(Exceptions!$H$202,0)</f>
        <v>0</v>
      </c>
      <c r="I444" t="inlineStr"/>
      <c r="J444" t="inlineStr">
        <is>
          <t>AUD</t>
        </is>
      </c>
      <c r="K444" s="9">
        <f>ROUND(SUMIFS($G$5:$G$454,$A$5:$A$454,A444)-SUMIFS($H$5:$H$454,$A$5:$A$454,A444),2)</f>
        <v>0</v>
      </c>
    </row>
    <row r="445">
      <c r="A445" t="inlineStr">
        <is>
          <t>J199</t>
        </is>
      </c>
      <c r="B445" t="inlineStr">
        <is>
          <t>EX199</t>
        </is>
      </c>
      <c r="C445" s="5" t="n">
        <v>46283</v>
      </c>
      <c r="D445" t="inlineStr">
        <is>
          <t>OPS</t>
        </is>
      </c>
      <c r="E445" t="inlineStr">
        <is>
          <t>1110 Bank - Operating</t>
        </is>
      </c>
      <c r="F445" t="inlineStr">
        <is>
          <t>No Odoo item, open invoice or known pattern. Escalated. | DI</t>
        </is>
      </c>
      <c r="G445" s="9">
        <f>MAX(Exceptions!$H$203,0)</f>
        <v>1320</v>
      </c>
      <c r="H445" s="9">
        <f>MAX(-Exceptions!$H$203,0)</f>
        <v>0</v>
      </c>
      <c r="I445" t="inlineStr"/>
      <c r="J445" t="inlineStr">
        <is>
          <t>AUD</t>
        </is>
      </c>
      <c r="K445" s="9">
        <f>ROUND(SUMIFS($G$5:$G$454,$A$5:$A$454,A445)-SUMIFS($H$5:$H$454,$A$5:$A$454,A445),2)</f>
        <v>0</v>
      </c>
    </row>
    <row r="446">
      <c r="A446" t="inlineStr">
        <is>
          <t>J199</t>
        </is>
      </c>
      <c r="B446" t="inlineStr">
        <is>
          <t>EX199</t>
        </is>
      </c>
      <c r="C446" s="5" t="n">
        <v>46283</v>
      </c>
      <c r="D446" t="inlineStr">
        <is>
          <t>OPS</t>
        </is>
      </c>
      <c r="E446" t="inlineStr">
        <is>
          <t>2990 Suspense (unexplained receipts and payments)</t>
        </is>
      </c>
      <c r="F446" t="inlineStr">
        <is>
          <t>Escalated: see register</t>
        </is>
      </c>
      <c r="G446" s="9">
        <f>MAX(-Exceptions!$H$203,0)</f>
        <v>0</v>
      </c>
      <c r="H446" s="9">
        <f>MAX(Exceptions!$H$203,0)</f>
        <v>1320</v>
      </c>
      <c r="I446" t="inlineStr"/>
      <c r="J446" t="inlineStr">
        <is>
          <t>AUD</t>
        </is>
      </c>
      <c r="K446" s="9">
        <f>ROUND(SUMIFS($G$5:$G$454,$A$5:$A$454,A446)-SUMIFS($H$5:$H$454,$A$5:$A$454,A446),2)</f>
        <v>0</v>
      </c>
    </row>
    <row r="447">
      <c r="A447" t="inlineStr">
        <is>
          <t>J201</t>
        </is>
      </c>
      <c r="B447" t="inlineStr">
        <is>
          <t>EX201</t>
        </is>
      </c>
      <c r="C447" s="5" t="n">
        <v>46238</v>
      </c>
      <c r="D447" t="inlineStr">
        <is>
          <t>OPS</t>
        </is>
      </c>
      <c r="E447" t="inlineStr">
        <is>
          <t>1110 Bank - Operating</t>
        </is>
      </c>
      <c r="F447" t="inlineStr">
        <is>
          <t>INV/2026/02428 shows a credit balance of 320.98: this paymen</t>
        </is>
      </c>
      <c r="G447" s="9">
        <f>MAX(Exceptions!$H$205,0)</f>
        <v>0</v>
      </c>
      <c r="H447" s="9">
        <f>MAX(-Exceptions!$H$205,0)</f>
        <v>320.98</v>
      </c>
      <c r="I447" t="inlineStr"/>
      <c r="J447" t="inlineStr">
        <is>
          <t>AUD</t>
        </is>
      </c>
      <c r="K447" s="9">
        <f>ROUND(SUMIFS($G$5:$G$454,$A$5:$A$454,A447)-SUMIFS($H$5:$H$454,$A$5:$A$454,A447),2)</f>
        <v>0</v>
      </c>
    </row>
    <row r="448">
      <c r="A448" t="inlineStr">
        <is>
          <t>J201</t>
        </is>
      </c>
      <c r="B448" t="inlineStr">
        <is>
          <t>EX201</t>
        </is>
      </c>
      <c r="C448" s="5" t="n">
        <v>46238</v>
      </c>
      <c r="D448" t="inlineStr">
        <is>
          <t>OPS</t>
        </is>
      </c>
      <c r="E448" t="inlineStr">
        <is>
          <t>1200 Accounts receivable</t>
        </is>
      </c>
      <c r="F448" t="inlineStr">
        <is>
          <t xml:space="preserve"> (duplicate payment cancelled)</t>
        </is>
      </c>
      <c r="G448" s="9">
        <f>MAX(-Exceptions!$H$205,0)</f>
        <v>320.98</v>
      </c>
      <c r="H448" s="9">
        <f>MAX(Exceptions!$H$205,0)</f>
        <v>0</v>
      </c>
      <c r="I448" t="inlineStr"/>
      <c r="J448" t="inlineStr">
        <is>
          <t>AUD</t>
        </is>
      </c>
      <c r="K448" s="9">
        <f>ROUND(SUMIFS($G$5:$G$454,$A$5:$A$454,A448)-SUMIFS($H$5:$H$454,$A$5:$A$454,A448),2)</f>
        <v>0</v>
      </c>
    </row>
    <row r="449">
      <c r="A449" t="inlineStr">
        <is>
          <t>J202</t>
        </is>
      </c>
      <c r="B449" t="inlineStr">
        <is>
          <t>EX202</t>
        </is>
      </c>
      <c r="C449" s="5" t="n">
        <v>46282</v>
      </c>
      <c r="D449" t="inlineStr">
        <is>
          <t>OPS</t>
        </is>
      </c>
      <c r="E449" t="inlineStr">
        <is>
          <t>1110 Bank - Operating</t>
        </is>
      </c>
      <c r="F449" t="inlineStr">
        <is>
          <t>INV/2026/03118 shows a credit balance of 155.19: this paymen</t>
        </is>
      </c>
      <c r="G449" s="9">
        <f>MAX(Exceptions!$H$206,0)</f>
        <v>0</v>
      </c>
      <c r="H449" s="9">
        <f>MAX(-Exceptions!$H$206,0)</f>
        <v>155.19</v>
      </c>
      <c r="I449" t="inlineStr"/>
      <c r="J449" t="inlineStr">
        <is>
          <t>AUD</t>
        </is>
      </c>
      <c r="K449" s="9">
        <f>ROUND(SUMIFS($G$5:$G$454,$A$5:$A$454,A449)-SUMIFS($H$5:$H$454,$A$5:$A$454,A449),2)</f>
        <v>0</v>
      </c>
    </row>
    <row r="450">
      <c r="A450" t="inlineStr">
        <is>
          <t>J202</t>
        </is>
      </c>
      <c r="B450" t="inlineStr">
        <is>
          <t>EX202</t>
        </is>
      </c>
      <c r="C450" s="5" t="n">
        <v>46282</v>
      </c>
      <c r="D450" t="inlineStr">
        <is>
          <t>OPS</t>
        </is>
      </c>
      <c r="E450" t="inlineStr">
        <is>
          <t>1200 Accounts receivable</t>
        </is>
      </c>
      <c r="F450" t="inlineStr">
        <is>
          <t xml:space="preserve"> (duplicate payment cancelled)</t>
        </is>
      </c>
      <c r="G450" s="9">
        <f>MAX(-Exceptions!$H$206,0)</f>
        <v>155.19</v>
      </c>
      <c r="H450" s="9">
        <f>MAX(Exceptions!$H$206,0)</f>
        <v>0</v>
      </c>
      <c r="I450" t="inlineStr"/>
      <c r="J450" t="inlineStr">
        <is>
          <t>AUD</t>
        </is>
      </c>
      <c r="K450" s="9">
        <f>ROUND(SUMIFS($G$5:$G$454,$A$5:$A$454,A450)-SUMIFS($H$5:$H$454,$A$5:$A$454,A450),2)</f>
        <v>0</v>
      </c>
    </row>
    <row r="451">
      <c r="A451" t="inlineStr">
        <is>
          <t>J203</t>
        </is>
      </c>
      <c r="B451" t="inlineStr">
        <is>
          <t>EX203</t>
        </is>
      </c>
      <c r="C451" s="5" t="n">
        <v>46268</v>
      </c>
      <c r="D451" t="inlineStr">
        <is>
          <t>MER</t>
        </is>
      </c>
      <c r="E451" t="inlineStr">
        <is>
          <t>1130 Bank - Merchant settlement</t>
        </is>
      </c>
      <c r="F451" t="inlineStr">
        <is>
          <t>No Odoo item, open invoice or known pattern. Escalated. | AD</t>
        </is>
      </c>
      <c r="G451" s="9">
        <f>MAX(Exceptions!$H$207,0)</f>
        <v>64.9</v>
      </c>
      <c r="H451" s="9">
        <f>MAX(-Exceptions!$H$207,0)</f>
        <v>0</v>
      </c>
      <c r="I451" t="inlineStr"/>
      <c r="J451" t="inlineStr">
        <is>
          <t>AUD</t>
        </is>
      </c>
      <c r="K451" s="9">
        <f>ROUND(SUMIFS($G$5:$G$454,$A$5:$A$454,A451)-SUMIFS($H$5:$H$454,$A$5:$A$454,A451),2)</f>
        <v>0</v>
      </c>
    </row>
    <row r="452">
      <c r="A452" t="inlineStr">
        <is>
          <t>J203</t>
        </is>
      </c>
      <c r="B452" t="inlineStr">
        <is>
          <t>EX203</t>
        </is>
      </c>
      <c r="C452" s="5" t="n">
        <v>46268</v>
      </c>
      <c r="D452" t="inlineStr">
        <is>
          <t>MER</t>
        </is>
      </c>
      <c r="E452" t="inlineStr">
        <is>
          <t>2990 Suspense (unexplained receipts and payments)</t>
        </is>
      </c>
      <c r="F452" t="inlineStr">
        <is>
          <t>Escalated: see register</t>
        </is>
      </c>
      <c r="G452" s="9">
        <f>MAX(-Exceptions!$H$207,0)</f>
        <v>0</v>
      </c>
      <c r="H452" s="9">
        <f>MAX(Exceptions!$H$207,0)</f>
        <v>64.9</v>
      </c>
      <c r="I452" t="inlineStr"/>
      <c r="J452" t="inlineStr">
        <is>
          <t>AUD</t>
        </is>
      </c>
      <c r="K452" s="9">
        <f>ROUND(SUMIFS($G$5:$G$454,$A$5:$A$454,A452)-SUMIFS($H$5:$H$454,$A$5:$A$454,A452),2)</f>
        <v>0</v>
      </c>
    </row>
    <row r="453">
      <c r="A453" t="inlineStr">
        <is>
          <t>J204</t>
        </is>
      </c>
      <c r="B453" t="inlineStr">
        <is>
          <t>EX204</t>
        </is>
      </c>
      <c r="C453" s="5" t="n">
        <v>46287</v>
      </c>
      <c r="D453" t="inlineStr">
        <is>
          <t>USD</t>
        </is>
      </c>
      <c r="E453" t="inlineStr">
        <is>
          <t>1140 Bank - USD</t>
        </is>
      </c>
      <c r="F453" t="inlineStr">
        <is>
          <t>No Odoo item, open invoice or known pattern. Escalated. | IN</t>
        </is>
      </c>
      <c r="G453" s="9">
        <f>MAX(Exceptions!$H$208,0)</f>
        <v>1200</v>
      </c>
      <c r="H453" s="9">
        <f>MAX(-Exceptions!$H$208,0)</f>
        <v>0</v>
      </c>
      <c r="I453" t="inlineStr"/>
      <c r="J453" t="inlineStr">
        <is>
          <t>USD</t>
        </is>
      </c>
      <c r="K453" s="9">
        <f>ROUND(SUMIFS($G$5:$G$454,$A$5:$A$454,A453)-SUMIFS($H$5:$H$454,$A$5:$A$454,A453),2)</f>
        <v>0</v>
      </c>
    </row>
    <row r="454">
      <c r="A454" t="inlineStr">
        <is>
          <t>J204</t>
        </is>
      </c>
      <c r="B454" t="inlineStr">
        <is>
          <t>EX204</t>
        </is>
      </c>
      <c r="C454" s="5" t="n">
        <v>46287</v>
      </c>
      <c r="D454" t="inlineStr">
        <is>
          <t>USD</t>
        </is>
      </c>
      <c r="E454" t="inlineStr">
        <is>
          <t>2990 Suspense (unexplained receipts and payments)</t>
        </is>
      </c>
      <c r="F454" t="inlineStr">
        <is>
          <t>Escalated: see register</t>
        </is>
      </c>
      <c r="G454" s="9">
        <f>MAX(-Exceptions!$H$208,0)</f>
        <v>0</v>
      </c>
      <c r="H454" s="9">
        <f>MAX(Exceptions!$H$208,0)</f>
        <v>1200</v>
      </c>
      <c r="I454" t="inlineStr"/>
      <c r="J454" t="inlineStr">
        <is>
          <t>USD</t>
        </is>
      </c>
      <c r="K454" s="9">
        <f>ROUND(SUMIFS($G$5:$G$454,$A$5:$A$454,A454)-SUMIFS($H$5:$H$454,$A$5:$A$454,A454),2)</f>
        <v>0</v>
      </c>
    </row>
  </sheetData>
  <autoFilter ref="A4:K454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6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1" customWidth="1" min="3" max="3"/>
    <col width="52" customWidth="1" min="4" max="4"/>
    <col width="13" customWidth="1" min="5" max="5"/>
    <col width="17" customWidth="1" min="6" max="6"/>
    <col width="9" customWidth="1" min="7" max="7"/>
    <col width="6" customWidth="1" min="8" max="8"/>
    <col width="12" customWidth="1" min="9" max="9"/>
    <col width="8" customWidth="1" min="10" max="10"/>
  </cols>
  <sheetData>
    <row r="1">
      <c r="A1" s="7" t="inlineStr">
        <is>
          <t>Bank statement lines (as imported into Odoo)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3" t="inlineStr">
        <is>
          <t>Sample build: realistic data, built to show how I'd handle this work. Not client data.</t>
        </is>
      </c>
    </row>
    <row r="4">
      <c r="A4" s="8" t="inlineStr">
        <is>
          <t>Line ID</t>
        </is>
      </c>
      <c r="B4" s="8" t="inlineStr">
        <is>
          <t>Account</t>
        </is>
      </c>
      <c r="C4" s="8" t="inlineStr">
        <is>
          <t>Date</t>
        </is>
      </c>
      <c r="D4" s="8" t="inlineStr">
        <is>
          <t>Description</t>
        </is>
      </c>
      <c r="E4" s="8" t="inlineStr">
        <is>
          <t>Amount</t>
        </is>
      </c>
      <c r="F4" s="8" t="inlineStr">
        <is>
          <t>Import file</t>
        </is>
      </c>
      <c r="G4" s="8" t="inlineStr">
        <is>
          <t>Group</t>
        </is>
      </c>
      <c r="H4" s="8" t="inlineStr">
        <is>
          <t>Rule</t>
        </is>
      </c>
      <c r="I4" s="8" t="inlineStr">
        <is>
          <t>Reason</t>
        </is>
      </c>
      <c r="J4" s="8" t="inlineStr">
        <is>
          <t>Counted</t>
        </is>
      </c>
    </row>
    <row r="5">
      <c r="A5" t="inlineStr">
        <is>
          <t>BL-01245</t>
        </is>
      </c>
      <c r="B5" t="inlineStr">
        <is>
          <t>MER</t>
        </is>
      </c>
      <c r="C5" s="5" t="n">
        <v>46204</v>
      </c>
      <c r="D5" t="inlineStr">
        <is>
          <t>SETTLEMENT T401 300626</t>
        </is>
      </c>
      <c r="E5" s="9" t="n">
        <v>2248.03</v>
      </c>
      <c r="F5" t="inlineStr">
        <is>
          <t>MER-20260701</t>
        </is>
      </c>
      <c r="G5" t="inlineStr">
        <is>
          <t>G00568</t>
        </is>
      </c>
      <c r="H5" t="str">
        <f>INDEX('Match Groups'!$C$5:$C$1326,MATCH(G5,'Match Groups'!$A$5:$A$1326,0))</f>
        <v>R08</v>
      </c>
      <c r="I5" t="str">
        <f>INDEX('Match Groups'!$D$5:$D$1326,MATCH(G5,'Match Groups'!$A$5:$A$1326,0))</f>
        <v>MATCH</v>
      </c>
      <c r="J5">
        <f>IF(I5="DUPIMP",0,1)</f>
        <v>1</v>
      </c>
    </row>
    <row r="6">
      <c r="A6" t="inlineStr">
        <is>
          <t>BL-01246</t>
        </is>
      </c>
      <c r="B6" t="inlineStr">
        <is>
          <t>MER</t>
        </is>
      </c>
      <c r="C6" s="5" t="n">
        <v>46204</v>
      </c>
      <c r="D6" t="inlineStr">
        <is>
          <t>SETTLEMENT T402 300626</t>
        </is>
      </c>
      <c r="E6" s="9" t="n">
        <v>1591.18</v>
      </c>
      <c r="F6" t="inlineStr">
        <is>
          <t>MER-20260701</t>
        </is>
      </c>
      <c r="G6" t="inlineStr">
        <is>
          <t>G00569</t>
        </is>
      </c>
      <c r="H6" t="str">
        <f>INDEX('Match Groups'!$C$5:$C$1326,MATCH(G6,'Match Groups'!$A$5:$A$1326,0))</f>
        <v>R08</v>
      </c>
      <c r="I6" t="str">
        <f>INDEX('Match Groups'!$D$5:$D$1326,MATCH(G6,'Match Groups'!$A$5:$A$1326,0))</f>
        <v>MATCH</v>
      </c>
      <c r="J6">
        <f>IF(I6="DUPIMP",0,1)</f>
        <v>1</v>
      </c>
    </row>
    <row r="7">
      <c r="A7" t="inlineStr">
        <is>
          <t>BL-01247</t>
        </is>
      </c>
      <c r="B7" t="inlineStr">
        <is>
          <t>MER</t>
        </is>
      </c>
      <c r="C7" s="5" t="n">
        <v>46204</v>
      </c>
      <c r="D7" t="inlineStr">
        <is>
          <t>SETTLEMENT T403 300626</t>
        </is>
      </c>
      <c r="E7" s="9" t="n">
        <v>2084.73</v>
      </c>
      <c r="F7" t="inlineStr">
        <is>
          <t>MER-20260701</t>
        </is>
      </c>
      <c r="G7" t="inlineStr">
        <is>
          <t>G00570</t>
        </is>
      </c>
      <c r="H7" t="str">
        <f>INDEX('Match Groups'!$C$5:$C$1326,MATCH(G7,'Match Groups'!$A$5:$A$1326,0))</f>
        <v>R08</v>
      </c>
      <c r="I7" t="str">
        <f>INDEX('Match Groups'!$D$5:$D$1326,MATCH(G7,'Match Groups'!$A$5:$A$1326,0))</f>
        <v>MATCH</v>
      </c>
      <c r="J7">
        <f>IF(I7="DUPIMP",0,1)</f>
        <v>1</v>
      </c>
    </row>
    <row r="8">
      <c r="A8" t="inlineStr">
        <is>
          <t>BL-01248</t>
        </is>
      </c>
      <c r="B8" t="inlineStr">
        <is>
          <t>MER</t>
        </is>
      </c>
      <c r="C8" s="5" t="n">
        <v>46204</v>
      </c>
      <c r="D8" t="inlineStr">
        <is>
          <t>SETTLEMENT T404 300626</t>
        </is>
      </c>
      <c r="E8" s="9" t="n">
        <v>1193.87</v>
      </c>
      <c r="F8" t="inlineStr">
        <is>
          <t>MER-20260701</t>
        </is>
      </c>
      <c r="G8" t="inlineStr">
        <is>
          <t>G00571</t>
        </is>
      </c>
      <c r="H8" t="str">
        <f>INDEX('Match Groups'!$C$5:$C$1326,MATCH(G8,'Match Groups'!$A$5:$A$1326,0))</f>
        <v>R08</v>
      </c>
      <c r="I8" t="str">
        <f>INDEX('Match Groups'!$D$5:$D$1326,MATCH(G8,'Match Groups'!$A$5:$A$1326,0))</f>
        <v>MATCH</v>
      </c>
      <c r="J8">
        <f>IF(I8="DUPIMP",0,1)</f>
        <v>1</v>
      </c>
    </row>
    <row r="9">
      <c r="A9" t="inlineStr">
        <is>
          <t>BL-01249</t>
        </is>
      </c>
      <c r="B9" t="inlineStr">
        <is>
          <t>MER</t>
        </is>
      </c>
      <c r="C9" s="5" t="n">
        <v>46205</v>
      </c>
      <c r="D9" t="inlineStr">
        <is>
          <t>SETTLEMENT T401 010726</t>
        </is>
      </c>
      <c r="E9" s="9" t="n">
        <v>3559.89</v>
      </c>
      <c r="F9" t="inlineStr">
        <is>
          <t>MER-20260702</t>
        </is>
      </c>
      <c r="G9" t="inlineStr">
        <is>
          <t>G00572</t>
        </is>
      </c>
      <c r="H9" t="str">
        <f>INDEX('Match Groups'!$C$5:$C$1326,MATCH(G9,'Match Groups'!$A$5:$A$1326,0))</f>
        <v>R08</v>
      </c>
      <c r="I9" t="str">
        <f>INDEX('Match Groups'!$D$5:$D$1326,MATCH(G9,'Match Groups'!$A$5:$A$1326,0))</f>
        <v>MATCH</v>
      </c>
      <c r="J9">
        <f>IF(I9="DUPIMP",0,1)</f>
        <v>1</v>
      </c>
    </row>
    <row r="10">
      <c r="A10" t="inlineStr">
        <is>
          <t>BL-01250</t>
        </is>
      </c>
      <c r="B10" t="inlineStr">
        <is>
          <t>MER</t>
        </is>
      </c>
      <c r="C10" s="5" t="n">
        <v>46205</v>
      </c>
      <c r="D10" t="inlineStr">
        <is>
          <t>SETTLEMENT T402 010726</t>
        </is>
      </c>
      <c r="E10" s="9" t="n">
        <v>2655.07</v>
      </c>
      <c r="F10" t="inlineStr">
        <is>
          <t>MER-20260702</t>
        </is>
      </c>
      <c r="G10" t="inlineStr">
        <is>
          <t>G00573</t>
        </is>
      </c>
      <c r="H10" t="str">
        <f>INDEX('Match Groups'!$C$5:$C$1326,MATCH(G10,'Match Groups'!$A$5:$A$1326,0))</f>
        <v>R08</v>
      </c>
      <c r="I10" t="str">
        <f>INDEX('Match Groups'!$D$5:$D$1326,MATCH(G10,'Match Groups'!$A$5:$A$1326,0))</f>
        <v>MATCH</v>
      </c>
      <c r="J10">
        <f>IF(I10="DUPIMP",0,1)</f>
        <v>1</v>
      </c>
    </row>
    <row r="11">
      <c r="A11" t="inlineStr">
        <is>
          <t>BL-01251</t>
        </is>
      </c>
      <c r="B11" t="inlineStr">
        <is>
          <t>MER</t>
        </is>
      </c>
      <c r="C11" s="5" t="n">
        <v>46205</v>
      </c>
      <c r="D11" t="inlineStr">
        <is>
          <t>SETTLEMENT T403 010726</t>
        </is>
      </c>
      <c r="E11" s="9" t="n">
        <v>2587.21</v>
      </c>
      <c r="F11" t="inlineStr">
        <is>
          <t>MER-20260702</t>
        </is>
      </c>
      <c r="G11" t="inlineStr">
        <is>
          <t>G00574</t>
        </is>
      </c>
      <c r="H11" t="str">
        <f>INDEX('Match Groups'!$C$5:$C$1326,MATCH(G11,'Match Groups'!$A$5:$A$1326,0))</f>
        <v>R08</v>
      </c>
      <c r="I11" t="str">
        <f>INDEX('Match Groups'!$D$5:$D$1326,MATCH(G11,'Match Groups'!$A$5:$A$1326,0))</f>
        <v>MATCH</v>
      </c>
      <c r="J11">
        <f>IF(I11="DUPIMP",0,1)</f>
        <v>1</v>
      </c>
    </row>
    <row r="12">
      <c r="A12" t="inlineStr">
        <is>
          <t>BL-01252</t>
        </is>
      </c>
      <c r="B12" t="inlineStr">
        <is>
          <t>MER</t>
        </is>
      </c>
      <c r="C12" s="5" t="n">
        <v>46205</v>
      </c>
      <c r="D12" t="inlineStr">
        <is>
          <t>SETTLEMENT T404 010726</t>
        </is>
      </c>
      <c r="E12" s="9" t="n">
        <v>3585.6</v>
      </c>
      <c r="F12" t="inlineStr">
        <is>
          <t>MER-20260702</t>
        </is>
      </c>
      <c r="G12" t="inlineStr">
        <is>
          <t>G00575</t>
        </is>
      </c>
      <c r="H12" t="str">
        <f>INDEX('Match Groups'!$C$5:$C$1326,MATCH(G12,'Match Groups'!$A$5:$A$1326,0))</f>
        <v>R08</v>
      </c>
      <c r="I12" t="str">
        <f>INDEX('Match Groups'!$D$5:$D$1326,MATCH(G12,'Match Groups'!$A$5:$A$1326,0))</f>
        <v>MATCH</v>
      </c>
      <c r="J12">
        <f>IF(I12="DUPIMP",0,1)</f>
        <v>1</v>
      </c>
    </row>
    <row r="13">
      <c r="A13" t="inlineStr">
        <is>
          <t>BL-01253</t>
        </is>
      </c>
      <c r="B13" t="inlineStr">
        <is>
          <t>MER</t>
        </is>
      </c>
      <c r="C13" s="5" t="n">
        <v>46206</v>
      </c>
      <c r="D13" t="inlineStr">
        <is>
          <t>SETTLEMENT T401 020726</t>
        </is>
      </c>
      <c r="E13" s="9" t="n">
        <v>1862.65</v>
      </c>
      <c r="F13" t="inlineStr">
        <is>
          <t>MER-20260703</t>
        </is>
      </c>
      <c r="G13" t="inlineStr">
        <is>
          <t>G00576</t>
        </is>
      </c>
      <c r="H13" t="str">
        <f>INDEX('Match Groups'!$C$5:$C$1326,MATCH(G13,'Match Groups'!$A$5:$A$1326,0))</f>
        <v>R08</v>
      </c>
      <c r="I13" t="str">
        <f>INDEX('Match Groups'!$D$5:$D$1326,MATCH(G13,'Match Groups'!$A$5:$A$1326,0))</f>
        <v>MATCH</v>
      </c>
      <c r="J13">
        <f>IF(I13="DUPIMP",0,1)</f>
        <v>1</v>
      </c>
    </row>
    <row r="14">
      <c r="A14" t="inlineStr">
        <is>
          <t>BL-01254</t>
        </is>
      </c>
      <c r="B14" t="inlineStr">
        <is>
          <t>MER</t>
        </is>
      </c>
      <c r="C14" s="5" t="n">
        <v>46206</v>
      </c>
      <c r="D14" t="inlineStr">
        <is>
          <t>SETTLEMENT T402 020726</t>
        </is>
      </c>
      <c r="E14" s="9" t="n">
        <v>2135.57</v>
      </c>
      <c r="F14" t="inlineStr">
        <is>
          <t>MER-20260703</t>
        </is>
      </c>
      <c r="G14" t="inlineStr">
        <is>
          <t>G00577</t>
        </is>
      </c>
      <c r="H14" t="str">
        <f>INDEX('Match Groups'!$C$5:$C$1326,MATCH(G14,'Match Groups'!$A$5:$A$1326,0))</f>
        <v>R08</v>
      </c>
      <c r="I14" t="str">
        <f>INDEX('Match Groups'!$D$5:$D$1326,MATCH(G14,'Match Groups'!$A$5:$A$1326,0))</f>
        <v>MATCH</v>
      </c>
      <c r="J14">
        <f>IF(I14="DUPIMP",0,1)</f>
        <v>1</v>
      </c>
    </row>
    <row r="15">
      <c r="A15" t="inlineStr">
        <is>
          <t>BL-01255</t>
        </is>
      </c>
      <c r="B15" t="inlineStr">
        <is>
          <t>MER</t>
        </is>
      </c>
      <c r="C15" s="5" t="n">
        <v>46206</v>
      </c>
      <c r="D15" t="inlineStr">
        <is>
          <t>SETTLEMENT T403 020726</t>
        </is>
      </c>
      <c r="E15" s="9" t="n">
        <v>2873.86</v>
      </c>
      <c r="F15" t="inlineStr">
        <is>
          <t>MER-20260703</t>
        </is>
      </c>
      <c r="G15" t="inlineStr">
        <is>
          <t>G00578</t>
        </is>
      </c>
      <c r="H15" t="str">
        <f>INDEX('Match Groups'!$C$5:$C$1326,MATCH(G15,'Match Groups'!$A$5:$A$1326,0))</f>
        <v>R08</v>
      </c>
      <c r="I15" t="str">
        <f>INDEX('Match Groups'!$D$5:$D$1326,MATCH(G15,'Match Groups'!$A$5:$A$1326,0))</f>
        <v>MATCH</v>
      </c>
      <c r="J15">
        <f>IF(I15="DUPIMP",0,1)</f>
        <v>1</v>
      </c>
    </row>
    <row r="16">
      <c r="A16" t="inlineStr">
        <is>
          <t>BL-01256</t>
        </is>
      </c>
      <c r="B16" t="inlineStr">
        <is>
          <t>MER</t>
        </is>
      </c>
      <c r="C16" s="5" t="n">
        <v>46206</v>
      </c>
      <c r="D16" t="inlineStr">
        <is>
          <t>SETTLEMENT T404 020726</t>
        </is>
      </c>
      <c r="E16" s="9" t="n">
        <v>1010.7</v>
      </c>
      <c r="F16" t="inlineStr">
        <is>
          <t>MER-20260703</t>
        </is>
      </c>
      <c r="G16" t="inlineStr">
        <is>
          <t>G00579</t>
        </is>
      </c>
      <c r="H16" t="str">
        <f>INDEX('Match Groups'!$C$5:$C$1326,MATCH(G16,'Match Groups'!$A$5:$A$1326,0))</f>
        <v>R08</v>
      </c>
      <c r="I16" t="str">
        <f>INDEX('Match Groups'!$D$5:$D$1326,MATCH(G16,'Match Groups'!$A$5:$A$1326,0))</f>
        <v>MATCH</v>
      </c>
      <c r="J16">
        <f>IF(I16="DUPIMP",0,1)</f>
        <v>1</v>
      </c>
    </row>
    <row r="17">
      <c r="A17" t="inlineStr">
        <is>
          <t>BL-01257</t>
        </is>
      </c>
      <c r="B17" t="inlineStr">
        <is>
          <t>MER</t>
        </is>
      </c>
      <c r="C17" s="5" t="n">
        <v>46209</v>
      </c>
      <c r="D17" t="inlineStr">
        <is>
          <t>SETTLEMENT T401 030726</t>
        </is>
      </c>
      <c r="E17" s="9" t="n">
        <v>3366.94</v>
      </c>
      <c r="F17" t="inlineStr">
        <is>
          <t>MER-20260706</t>
        </is>
      </c>
      <c r="G17" t="inlineStr">
        <is>
          <t>G00580</t>
        </is>
      </c>
      <c r="H17" t="str">
        <f>INDEX('Match Groups'!$C$5:$C$1326,MATCH(G17,'Match Groups'!$A$5:$A$1326,0))</f>
        <v>R08</v>
      </c>
      <c r="I17" t="str">
        <f>INDEX('Match Groups'!$D$5:$D$1326,MATCH(G17,'Match Groups'!$A$5:$A$1326,0))</f>
        <v>MATCH</v>
      </c>
      <c r="J17">
        <f>IF(I17="DUPIMP",0,1)</f>
        <v>1</v>
      </c>
    </row>
    <row r="18">
      <c r="A18" t="inlineStr">
        <is>
          <t>BL-01258</t>
        </is>
      </c>
      <c r="B18" t="inlineStr">
        <is>
          <t>MER</t>
        </is>
      </c>
      <c r="C18" s="5" t="n">
        <v>46209</v>
      </c>
      <c r="D18" t="inlineStr">
        <is>
          <t>SETTLEMENT T402 030726</t>
        </is>
      </c>
      <c r="E18" s="9" t="n">
        <v>1587.65</v>
      </c>
      <c r="F18" t="inlineStr">
        <is>
          <t>MER-20260706</t>
        </is>
      </c>
      <c r="G18" t="inlineStr">
        <is>
          <t>G00581</t>
        </is>
      </c>
      <c r="H18" t="str">
        <f>INDEX('Match Groups'!$C$5:$C$1326,MATCH(G18,'Match Groups'!$A$5:$A$1326,0))</f>
        <v>R08</v>
      </c>
      <c r="I18" t="str">
        <f>INDEX('Match Groups'!$D$5:$D$1326,MATCH(G18,'Match Groups'!$A$5:$A$1326,0))</f>
        <v>MATCH</v>
      </c>
      <c r="J18">
        <f>IF(I18="DUPIMP",0,1)</f>
        <v>1</v>
      </c>
    </row>
    <row r="19">
      <c r="A19" t="inlineStr">
        <is>
          <t>BL-01259</t>
        </is>
      </c>
      <c r="B19" t="inlineStr">
        <is>
          <t>MER</t>
        </is>
      </c>
      <c r="C19" s="5" t="n">
        <v>46209</v>
      </c>
      <c r="D19" t="inlineStr">
        <is>
          <t>SETTLEMENT T403 030726</t>
        </is>
      </c>
      <c r="E19" s="9" t="n">
        <v>1960.84</v>
      </c>
      <c r="F19" t="inlineStr">
        <is>
          <t>MER-20260706</t>
        </is>
      </c>
      <c r="G19" t="inlineStr">
        <is>
          <t>G00582</t>
        </is>
      </c>
      <c r="H19" t="str">
        <f>INDEX('Match Groups'!$C$5:$C$1326,MATCH(G19,'Match Groups'!$A$5:$A$1326,0))</f>
        <v>R08</v>
      </c>
      <c r="I19" t="str">
        <f>INDEX('Match Groups'!$D$5:$D$1326,MATCH(G19,'Match Groups'!$A$5:$A$1326,0))</f>
        <v>MATCH</v>
      </c>
      <c r="J19">
        <f>IF(I19="DUPIMP",0,1)</f>
        <v>1</v>
      </c>
    </row>
    <row r="20">
      <c r="A20" t="inlineStr">
        <is>
          <t>BL-01260</t>
        </is>
      </c>
      <c r="B20" t="inlineStr">
        <is>
          <t>MER</t>
        </is>
      </c>
      <c r="C20" s="5" t="n">
        <v>46209</v>
      </c>
      <c r="D20" t="inlineStr">
        <is>
          <t>SETTLEMENT T404 030726</t>
        </is>
      </c>
      <c r="E20" s="9" t="n">
        <v>1348.62</v>
      </c>
      <c r="F20" t="inlineStr">
        <is>
          <t>MER-20260706</t>
        </is>
      </c>
      <c r="G20" t="inlineStr">
        <is>
          <t>G00583</t>
        </is>
      </c>
      <c r="H20" t="str">
        <f>INDEX('Match Groups'!$C$5:$C$1326,MATCH(G20,'Match Groups'!$A$5:$A$1326,0))</f>
        <v>R08</v>
      </c>
      <c r="I20" t="str">
        <f>INDEX('Match Groups'!$D$5:$D$1326,MATCH(G20,'Match Groups'!$A$5:$A$1326,0))</f>
        <v>MATCH</v>
      </c>
      <c r="J20">
        <f>IF(I20="DUPIMP",0,1)</f>
        <v>1</v>
      </c>
    </row>
    <row r="21">
      <c r="A21" t="inlineStr">
        <is>
          <t>BL-01261</t>
        </is>
      </c>
      <c r="B21" t="inlineStr">
        <is>
          <t>MER</t>
        </is>
      </c>
      <c r="C21" s="5" t="n">
        <v>46209</v>
      </c>
      <c r="D21" t="inlineStr">
        <is>
          <t>SETTLEMENT T401 040726</t>
        </is>
      </c>
      <c r="E21" s="9" t="n">
        <v>1004.06</v>
      </c>
      <c r="F21" t="inlineStr">
        <is>
          <t>MER-20260706</t>
        </is>
      </c>
      <c r="G21" t="inlineStr">
        <is>
          <t>G00584</t>
        </is>
      </c>
      <c r="H21" t="str">
        <f>INDEX('Match Groups'!$C$5:$C$1326,MATCH(G21,'Match Groups'!$A$5:$A$1326,0))</f>
        <v>R08</v>
      </c>
      <c r="I21" t="str">
        <f>INDEX('Match Groups'!$D$5:$D$1326,MATCH(G21,'Match Groups'!$A$5:$A$1326,0))</f>
        <v>MATCH</v>
      </c>
      <c r="J21">
        <f>IF(I21="DUPIMP",0,1)</f>
        <v>1</v>
      </c>
    </row>
    <row r="22">
      <c r="A22" t="inlineStr">
        <is>
          <t>BL-01262</t>
        </is>
      </c>
      <c r="B22" t="inlineStr">
        <is>
          <t>MER</t>
        </is>
      </c>
      <c r="C22" s="5" t="n">
        <v>46209</v>
      </c>
      <c r="D22" t="inlineStr">
        <is>
          <t>SETTLEMENT T402 040726</t>
        </is>
      </c>
      <c r="E22" s="9" t="n">
        <v>720.09</v>
      </c>
      <c r="F22" t="inlineStr">
        <is>
          <t>MER-20260706</t>
        </is>
      </c>
      <c r="G22" t="inlineStr">
        <is>
          <t>G00585</t>
        </is>
      </c>
      <c r="H22" t="str">
        <f>INDEX('Match Groups'!$C$5:$C$1326,MATCH(G22,'Match Groups'!$A$5:$A$1326,0))</f>
        <v>R08</v>
      </c>
      <c r="I22" t="str">
        <f>INDEX('Match Groups'!$D$5:$D$1326,MATCH(G22,'Match Groups'!$A$5:$A$1326,0))</f>
        <v>MATCH</v>
      </c>
      <c r="J22">
        <f>IF(I22="DUPIMP",0,1)</f>
        <v>1</v>
      </c>
    </row>
    <row r="23">
      <c r="A23" t="inlineStr">
        <is>
          <t>BL-01263</t>
        </is>
      </c>
      <c r="B23" t="inlineStr">
        <is>
          <t>MER</t>
        </is>
      </c>
      <c r="C23" s="5" t="n">
        <v>46209</v>
      </c>
      <c r="D23" t="inlineStr">
        <is>
          <t>SETTLEMENT T403 040726</t>
        </is>
      </c>
      <c r="E23" s="9" t="n">
        <v>1220.49</v>
      </c>
      <c r="F23" t="inlineStr">
        <is>
          <t>MER-20260706</t>
        </is>
      </c>
      <c r="G23" t="inlineStr">
        <is>
          <t>G00586</t>
        </is>
      </c>
      <c r="H23" t="str">
        <f>INDEX('Match Groups'!$C$5:$C$1326,MATCH(G23,'Match Groups'!$A$5:$A$1326,0))</f>
        <v>R08</v>
      </c>
      <c r="I23" t="str">
        <f>INDEX('Match Groups'!$D$5:$D$1326,MATCH(G23,'Match Groups'!$A$5:$A$1326,0))</f>
        <v>MATCH</v>
      </c>
      <c r="J23">
        <f>IF(I23="DUPIMP",0,1)</f>
        <v>1</v>
      </c>
    </row>
    <row r="24">
      <c r="A24" t="inlineStr">
        <is>
          <t>BL-01264</t>
        </is>
      </c>
      <c r="B24" t="inlineStr">
        <is>
          <t>MER</t>
        </is>
      </c>
      <c r="C24" s="5" t="n">
        <v>46209</v>
      </c>
      <c r="D24" t="inlineStr">
        <is>
          <t>SETTLEMENT T404 040726</t>
        </is>
      </c>
      <c r="E24" s="9" t="n">
        <v>1295.82</v>
      </c>
      <c r="F24" t="inlineStr">
        <is>
          <t>MER-20260706</t>
        </is>
      </c>
      <c r="G24" t="inlineStr">
        <is>
          <t>G00587</t>
        </is>
      </c>
      <c r="H24" t="str">
        <f>INDEX('Match Groups'!$C$5:$C$1326,MATCH(G24,'Match Groups'!$A$5:$A$1326,0))</f>
        <v>R08</v>
      </c>
      <c r="I24" t="str">
        <f>INDEX('Match Groups'!$D$5:$D$1326,MATCH(G24,'Match Groups'!$A$5:$A$1326,0))</f>
        <v>MATCH</v>
      </c>
      <c r="J24">
        <f>IF(I24="DUPIMP",0,1)</f>
        <v>1</v>
      </c>
    </row>
    <row r="25">
      <c r="A25" t="inlineStr">
        <is>
          <t>BL-01561</t>
        </is>
      </c>
      <c r="B25" t="inlineStr">
        <is>
          <t>MER</t>
        </is>
      </c>
      <c r="C25" s="5" t="n">
        <v>46209</v>
      </c>
      <c r="D25" t="inlineStr">
        <is>
          <t>SWEEP TO OPERATING</t>
        </is>
      </c>
      <c r="E25" s="9" t="n">
        <v>-22000</v>
      </c>
      <c r="F25" t="inlineStr">
        <is>
          <t>MER-20260706</t>
        </is>
      </c>
      <c r="G25" t="inlineStr">
        <is>
          <t>G00588</t>
        </is>
      </c>
      <c r="H25" t="str">
        <f>INDEX('Match Groups'!$C$5:$C$1326,MATCH(G25,'Match Groups'!$A$5:$A$1326,0))</f>
        <v>R04</v>
      </c>
      <c r="I25" t="str">
        <f>INDEX('Match Groups'!$D$5:$D$1326,MATCH(G25,'Match Groups'!$A$5:$A$1326,0))</f>
        <v>MATCH</v>
      </c>
      <c r="J25">
        <f>IF(I25="DUPIMP",0,1)</f>
        <v>1</v>
      </c>
    </row>
    <row r="26">
      <c r="A26" t="inlineStr">
        <is>
          <t>BL-01265</t>
        </is>
      </c>
      <c r="B26" t="inlineStr">
        <is>
          <t>MER</t>
        </is>
      </c>
      <c r="C26" s="5" t="n">
        <v>46210</v>
      </c>
      <c r="D26" t="inlineStr">
        <is>
          <t>SETTLEMENT T401 060726</t>
        </is>
      </c>
      <c r="E26" s="9" t="n">
        <v>3599.12</v>
      </c>
      <c r="F26" t="inlineStr">
        <is>
          <t>MER-20260707</t>
        </is>
      </c>
      <c r="G26" t="inlineStr">
        <is>
          <t>G00589</t>
        </is>
      </c>
      <c r="H26" t="str">
        <f>INDEX('Match Groups'!$C$5:$C$1326,MATCH(G26,'Match Groups'!$A$5:$A$1326,0))</f>
        <v>R08</v>
      </c>
      <c r="I26" t="str">
        <f>INDEX('Match Groups'!$D$5:$D$1326,MATCH(G26,'Match Groups'!$A$5:$A$1326,0))</f>
        <v>MATCH</v>
      </c>
      <c r="J26">
        <f>IF(I26="DUPIMP",0,1)</f>
        <v>1</v>
      </c>
    </row>
    <row r="27">
      <c r="A27" t="inlineStr">
        <is>
          <t>BL-01266</t>
        </is>
      </c>
      <c r="B27" t="inlineStr">
        <is>
          <t>MER</t>
        </is>
      </c>
      <c r="C27" s="5" t="n">
        <v>46210</v>
      </c>
      <c r="D27" t="inlineStr">
        <is>
          <t>SETTLEMENT T402 060726</t>
        </is>
      </c>
      <c r="E27" s="9" t="n">
        <v>2932.56</v>
      </c>
      <c r="F27" t="inlineStr">
        <is>
          <t>MER-20260707</t>
        </is>
      </c>
      <c r="G27" t="inlineStr">
        <is>
          <t>G00590</t>
        </is>
      </c>
      <c r="H27" t="str">
        <f>INDEX('Match Groups'!$C$5:$C$1326,MATCH(G27,'Match Groups'!$A$5:$A$1326,0))</f>
        <v>R08</v>
      </c>
      <c r="I27" t="str">
        <f>INDEX('Match Groups'!$D$5:$D$1326,MATCH(G27,'Match Groups'!$A$5:$A$1326,0))</f>
        <v>MATCH</v>
      </c>
      <c r="J27">
        <f>IF(I27="DUPIMP",0,1)</f>
        <v>1</v>
      </c>
    </row>
    <row r="28">
      <c r="A28" t="inlineStr">
        <is>
          <t>BL-01267</t>
        </is>
      </c>
      <c r="B28" t="inlineStr">
        <is>
          <t>MER</t>
        </is>
      </c>
      <c r="C28" s="5" t="n">
        <v>46210</v>
      </c>
      <c r="D28" t="inlineStr">
        <is>
          <t>SETTLEMENT T403 060726</t>
        </is>
      </c>
      <c r="E28" s="9" t="n">
        <v>1995.18</v>
      </c>
      <c r="F28" t="inlineStr">
        <is>
          <t>MER-20260707</t>
        </is>
      </c>
      <c r="G28" t="inlineStr">
        <is>
          <t>G00591</t>
        </is>
      </c>
      <c r="H28" t="str">
        <f>INDEX('Match Groups'!$C$5:$C$1326,MATCH(G28,'Match Groups'!$A$5:$A$1326,0))</f>
        <v>R08</v>
      </c>
      <c r="I28" t="str">
        <f>INDEX('Match Groups'!$D$5:$D$1326,MATCH(G28,'Match Groups'!$A$5:$A$1326,0))</f>
        <v>MATCH</v>
      </c>
      <c r="J28">
        <f>IF(I28="DUPIMP",0,1)</f>
        <v>1</v>
      </c>
    </row>
    <row r="29">
      <c r="A29" t="inlineStr">
        <is>
          <t>BL-01268</t>
        </is>
      </c>
      <c r="B29" t="inlineStr">
        <is>
          <t>MER</t>
        </is>
      </c>
      <c r="C29" s="5" t="n">
        <v>46210</v>
      </c>
      <c r="D29" t="inlineStr">
        <is>
          <t>SETTLEMENT T404 060726</t>
        </is>
      </c>
      <c r="E29" s="9" t="n">
        <v>1286.69</v>
      </c>
      <c r="F29" t="inlineStr">
        <is>
          <t>MER-20260707</t>
        </is>
      </c>
      <c r="G29" t="inlineStr">
        <is>
          <t>G00592</t>
        </is>
      </c>
      <c r="H29" t="str">
        <f>INDEX('Match Groups'!$C$5:$C$1326,MATCH(G29,'Match Groups'!$A$5:$A$1326,0))</f>
        <v>R08</v>
      </c>
      <c r="I29" t="str">
        <f>INDEX('Match Groups'!$D$5:$D$1326,MATCH(G29,'Match Groups'!$A$5:$A$1326,0))</f>
        <v>MATCH</v>
      </c>
      <c r="J29">
        <f>IF(I29="DUPIMP",0,1)</f>
        <v>1</v>
      </c>
    </row>
    <row r="30">
      <c r="A30" t="inlineStr">
        <is>
          <t>BL-01269</t>
        </is>
      </c>
      <c r="B30" t="inlineStr">
        <is>
          <t>MER</t>
        </is>
      </c>
      <c r="C30" s="5" t="n">
        <v>46211</v>
      </c>
      <c r="D30" t="inlineStr">
        <is>
          <t>SETTLEMENT T401 070726</t>
        </is>
      </c>
      <c r="E30" s="9" t="n">
        <v>2589.9</v>
      </c>
      <c r="F30" t="inlineStr">
        <is>
          <t>MER-20260708</t>
        </is>
      </c>
      <c r="G30" t="inlineStr">
        <is>
          <t>G00593</t>
        </is>
      </c>
      <c r="H30" t="str">
        <f>INDEX('Match Groups'!$C$5:$C$1326,MATCH(G30,'Match Groups'!$A$5:$A$1326,0))</f>
        <v>R08</v>
      </c>
      <c r="I30" t="str">
        <f>INDEX('Match Groups'!$D$5:$D$1326,MATCH(G30,'Match Groups'!$A$5:$A$1326,0))</f>
        <v>MATCH</v>
      </c>
      <c r="J30">
        <f>IF(I30="DUPIMP",0,1)</f>
        <v>1</v>
      </c>
    </row>
    <row r="31">
      <c r="A31" t="inlineStr">
        <is>
          <t>BL-01270</t>
        </is>
      </c>
      <c r="B31" t="inlineStr">
        <is>
          <t>MER</t>
        </is>
      </c>
      <c r="C31" s="5" t="n">
        <v>46211</v>
      </c>
      <c r="D31" t="inlineStr">
        <is>
          <t>SETTLEMENT T402 070726</t>
        </is>
      </c>
      <c r="E31" s="9" t="n">
        <v>1249.37</v>
      </c>
      <c r="F31" t="inlineStr">
        <is>
          <t>MER-20260708</t>
        </is>
      </c>
      <c r="G31" t="inlineStr">
        <is>
          <t>G00594</t>
        </is>
      </c>
      <c r="H31" t="str">
        <f>INDEX('Match Groups'!$C$5:$C$1326,MATCH(G31,'Match Groups'!$A$5:$A$1326,0))</f>
        <v>R08</v>
      </c>
      <c r="I31" t="str">
        <f>INDEX('Match Groups'!$D$5:$D$1326,MATCH(G31,'Match Groups'!$A$5:$A$1326,0))</f>
        <v>MATCH</v>
      </c>
      <c r="J31">
        <f>IF(I31="DUPIMP",0,1)</f>
        <v>1</v>
      </c>
    </row>
    <row r="32">
      <c r="A32" t="inlineStr">
        <is>
          <t>BL-01271</t>
        </is>
      </c>
      <c r="B32" t="inlineStr">
        <is>
          <t>MER</t>
        </is>
      </c>
      <c r="C32" s="5" t="n">
        <v>46211</v>
      </c>
      <c r="D32" t="inlineStr">
        <is>
          <t>SETTLEMENT T403 070726</t>
        </is>
      </c>
      <c r="E32" s="9" t="n">
        <v>2290.78</v>
      </c>
      <c r="F32" t="inlineStr">
        <is>
          <t>MER-20260708</t>
        </is>
      </c>
      <c r="G32" t="inlineStr">
        <is>
          <t>G00595</t>
        </is>
      </c>
      <c r="H32" t="str">
        <f>INDEX('Match Groups'!$C$5:$C$1326,MATCH(G32,'Match Groups'!$A$5:$A$1326,0))</f>
        <v>R08</v>
      </c>
      <c r="I32" t="str">
        <f>INDEX('Match Groups'!$D$5:$D$1326,MATCH(G32,'Match Groups'!$A$5:$A$1326,0))</f>
        <v>MATCH</v>
      </c>
      <c r="J32">
        <f>IF(I32="DUPIMP",0,1)</f>
        <v>1</v>
      </c>
    </row>
    <row r="33">
      <c r="A33" t="inlineStr">
        <is>
          <t>BL-01272</t>
        </is>
      </c>
      <c r="B33" t="inlineStr">
        <is>
          <t>MER</t>
        </is>
      </c>
      <c r="C33" s="5" t="n">
        <v>46211</v>
      </c>
      <c r="D33" t="inlineStr">
        <is>
          <t>SETTLEMENT T404 070726</t>
        </is>
      </c>
      <c r="E33" s="9" t="n">
        <v>2382.13</v>
      </c>
      <c r="F33" t="inlineStr">
        <is>
          <t>MER-20260708</t>
        </is>
      </c>
      <c r="G33" t="inlineStr">
        <is>
          <t>G00596</t>
        </is>
      </c>
      <c r="H33" t="str">
        <f>INDEX('Match Groups'!$C$5:$C$1326,MATCH(G33,'Match Groups'!$A$5:$A$1326,0))</f>
        <v>R08</v>
      </c>
      <c r="I33" t="str">
        <f>INDEX('Match Groups'!$D$5:$D$1326,MATCH(G33,'Match Groups'!$A$5:$A$1326,0))</f>
        <v>MATCH</v>
      </c>
      <c r="J33">
        <f>IF(I33="DUPIMP",0,1)</f>
        <v>1</v>
      </c>
    </row>
    <row r="34">
      <c r="A34" t="inlineStr">
        <is>
          <t>BL-01273</t>
        </is>
      </c>
      <c r="B34" t="inlineStr">
        <is>
          <t>MER</t>
        </is>
      </c>
      <c r="C34" s="5" t="n">
        <v>46212</v>
      </c>
      <c r="D34" t="inlineStr">
        <is>
          <t>SETTLEMENT T401 080726</t>
        </is>
      </c>
      <c r="E34" s="9" t="n">
        <v>1549.86</v>
      </c>
      <c r="F34" t="inlineStr">
        <is>
          <t>MER-20260709</t>
        </is>
      </c>
      <c r="G34" t="inlineStr">
        <is>
          <t>G00597</t>
        </is>
      </c>
      <c r="H34" t="str">
        <f>INDEX('Match Groups'!$C$5:$C$1326,MATCH(G34,'Match Groups'!$A$5:$A$1326,0))</f>
        <v>R08</v>
      </c>
      <c r="I34" t="str">
        <f>INDEX('Match Groups'!$D$5:$D$1326,MATCH(G34,'Match Groups'!$A$5:$A$1326,0))</f>
        <v>MATCH</v>
      </c>
      <c r="J34">
        <f>IF(I34="DUPIMP",0,1)</f>
        <v>1</v>
      </c>
    </row>
    <row r="35">
      <c r="A35" t="inlineStr">
        <is>
          <t>BL-01274</t>
        </is>
      </c>
      <c r="B35" t="inlineStr">
        <is>
          <t>MER</t>
        </is>
      </c>
      <c r="C35" s="5" t="n">
        <v>46212</v>
      </c>
      <c r="D35" t="inlineStr">
        <is>
          <t>SETTLEMENT T402 080726</t>
        </is>
      </c>
      <c r="E35" s="9" t="n">
        <v>1808.04</v>
      </c>
      <c r="F35" t="inlineStr">
        <is>
          <t>MER-20260709</t>
        </is>
      </c>
      <c r="G35" t="inlineStr">
        <is>
          <t>G00598</t>
        </is>
      </c>
      <c r="H35" t="str">
        <f>INDEX('Match Groups'!$C$5:$C$1326,MATCH(G35,'Match Groups'!$A$5:$A$1326,0))</f>
        <v>R08</v>
      </c>
      <c r="I35" t="str">
        <f>INDEX('Match Groups'!$D$5:$D$1326,MATCH(G35,'Match Groups'!$A$5:$A$1326,0))</f>
        <v>MATCH</v>
      </c>
      <c r="J35">
        <f>IF(I35="DUPIMP",0,1)</f>
        <v>1</v>
      </c>
    </row>
    <row r="36">
      <c r="A36" t="inlineStr">
        <is>
          <t>BL-01275</t>
        </is>
      </c>
      <c r="B36" t="inlineStr">
        <is>
          <t>MER</t>
        </is>
      </c>
      <c r="C36" s="5" t="n">
        <v>46212</v>
      </c>
      <c r="D36" t="inlineStr">
        <is>
          <t>SETTLEMENT T403 080726</t>
        </is>
      </c>
      <c r="E36" s="9" t="n">
        <v>2694.35</v>
      </c>
      <c r="F36" t="inlineStr">
        <is>
          <t>MER-20260709</t>
        </is>
      </c>
      <c r="G36" t="inlineStr">
        <is>
          <t>G00599</t>
        </is>
      </c>
      <c r="H36" t="str">
        <f>INDEX('Match Groups'!$C$5:$C$1326,MATCH(G36,'Match Groups'!$A$5:$A$1326,0))</f>
        <v>R08</v>
      </c>
      <c r="I36" t="str">
        <f>INDEX('Match Groups'!$D$5:$D$1326,MATCH(G36,'Match Groups'!$A$5:$A$1326,0))</f>
        <v>MATCH</v>
      </c>
      <c r="J36">
        <f>IF(I36="DUPIMP",0,1)</f>
        <v>1</v>
      </c>
    </row>
    <row r="37">
      <c r="A37" t="inlineStr">
        <is>
          <t>BL-01276</t>
        </is>
      </c>
      <c r="B37" t="inlineStr">
        <is>
          <t>MER</t>
        </is>
      </c>
      <c r="C37" s="5" t="n">
        <v>46212</v>
      </c>
      <c r="D37" t="inlineStr">
        <is>
          <t>SETTLEMENT T404 080726</t>
        </is>
      </c>
      <c r="E37" s="9" t="n">
        <v>1471.53</v>
      </c>
      <c r="F37" t="inlineStr">
        <is>
          <t>MER-20260709</t>
        </is>
      </c>
      <c r="G37" t="inlineStr">
        <is>
          <t>G00600</t>
        </is>
      </c>
      <c r="H37" t="str">
        <f>INDEX('Match Groups'!$C$5:$C$1326,MATCH(G37,'Match Groups'!$A$5:$A$1326,0))</f>
        <v>R08</v>
      </c>
      <c r="I37" t="str">
        <f>INDEX('Match Groups'!$D$5:$D$1326,MATCH(G37,'Match Groups'!$A$5:$A$1326,0))</f>
        <v>MATCH</v>
      </c>
      <c r="J37">
        <f>IF(I37="DUPIMP",0,1)</f>
        <v>1</v>
      </c>
    </row>
    <row r="38">
      <c r="A38" t="inlineStr">
        <is>
          <t>BL-01277</t>
        </is>
      </c>
      <c r="B38" t="inlineStr">
        <is>
          <t>MER</t>
        </is>
      </c>
      <c r="C38" s="5" t="n">
        <v>46213</v>
      </c>
      <c r="D38" t="inlineStr">
        <is>
          <t>SETTLEMENT T401 090726</t>
        </is>
      </c>
      <c r="E38" s="9" t="n">
        <v>1296.69</v>
      </c>
      <c r="F38" t="inlineStr">
        <is>
          <t>MER-20260710</t>
        </is>
      </c>
      <c r="G38" t="inlineStr">
        <is>
          <t>G00601</t>
        </is>
      </c>
      <c r="H38" t="str">
        <f>INDEX('Match Groups'!$C$5:$C$1326,MATCH(G38,'Match Groups'!$A$5:$A$1326,0))</f>
        <v>R08</v>
      </c>
      <c r="I38" t="str">
        <f>INDEX('Match Groups'!$D$5:$D$1326,MATCH(G38,'Match Groups'!$A$5:$A$1326,0))</f>
        <v>MATCH</v>
      </c>
      <c r="J38">
        <f>IF(I38="DUPIMP",0,1)</f>
        <v>1</v>
      </c>
    </row>
    <row r="39">
      <c r="A39" t="inlineStr">
        <is>
          <t>BL-01278</t>
        </is>
      </c>
      <c r="B39" t="inlineStr">
        <is>
          <t>MER</t>
        </is>
      </c>
      <c r="C39" s="5" t="n">
        <v>46213</v>
      </c>
      <c r="D39" t="inlineStr">
        <is>
          <t>SETTLEMENT T402 090726</t>
        </is>
      </c>
      <c r="E39" s="9" t="n">
        <v>3331.23</v>
      </c>
      <c r="F39" t="inlineStr">
        <is>
          <t>MER-20260710</t>
        </is>
      </c>
      <c r="G39" t="inlineStr">
        <is>
          <t>G00602</t>
        </is>
      </c>
      <c r="H39" t="str">
        <f>INDEX('Match Groups'!$C$5:$C$1326,MATCH(G39,'Match Groups'!$A$5:$A$1326,0))</f>
        <v>R08</v>
      </c>
      <c r="I39" t="str">
        <f>INDEX('Match Groups'!$D$5:$D$1326,MATCH(G39,'Match Groups'!$A$5:$A$1326,0))</f>
        <v>MATCH</v>
      </c>
      <c r="J39">
        <f>IF(I39="DUPIMP",0,1)</f>
        <v>1</v>
      </c>
    </row>
    <row r="40">
      <c r="A40" t="inlineStr">
        <is>
          <t>BL-01279</t>
        </is>
      </c>
      <c r="B40" t="inlineStr">
        <is>
          <t>MER</t>
        </is>
      </c>
      <c r="C40" s="5" t="n">
        <v>46213</v>
      </c>
      <c r="D40" t="inlineStr">
        <is>
          <t>SETTLEMENT T403 090726</t>
        </is>
      </c>
      <c r="E40" s="9" t="n">
        <v>2486.28</v>
      </c>
      <c r="F40" t="inlineStr">
        <is>
          <t>MER-20260710</t>
        </is>
      </c>
      <c r="G40" t="inlineStr">
        <is>
          <t>G00603</t>
        </is>
      </c>
      <c r="H40" t="str">
        <f>INDEX('Match Groups'!$C$5:$C$1326,MATCH(G40,'Match Groups'!$A$5:$A$1326,0))</f>
        <v>R08</v>
      </c>
      <c r="I40" t="str">
        <f>INDEX('Match Groups'!$D$5:$D$1326,MATCH(G40,'Match Groups'!$A$5:$A$1326,0))</f>
        <v>MATCH</v>
      </c>
      <c r="J40">
        <f>IF(I40="DUPIMP",0,1)</f>
        <v>1</v>
      </c>
    </row>
    <row r="41">
      <c r="A41" t="inlineStr">
        <is>
          <t>BL-01280</t>
        </is>
      </c>
      <c r="B41" t="inlineStr">
        <is>
          <t>MER</t>
        </is>
      </c>
      <c r="C41" s="5" t="n">
        <v>46213</v>
      </c>
      <c r="D41" t="inlineStr">
        <is>
          <t>SETTLEMENT T404 090726</t>
        </is>
      </c>
      <c r="E41" s="9" t="n">
        <v>1391.59</v>
      </c>
      <c r="F41" t="inlineStr">
        <is>
          <t>MER-20260710</t>
        </is>
      </c>
      <c r="G41" t="inlineStr">
        <is>
          <t>G00604</t>
        </is>
      </c>
      <c r="H41" t="str">
        <f>INDEX('Match Groups'!$C$5:$C$1326,MATCH(G41,'Match Groups'!$A$5:$A$1326,0))</f>
        <v>R08</v>
      </c>
      <c r="I41" t="str">
        <f>INDEX('Match Groups'!$D$5:$D$1326,MATCH(G41,'Match Groups'!$A$5:$A$1326,0))</f>
        <v>MATCH</v>
      </c>
      <c r="J41">
        <f>IF(I41="DUPIMP",0,1)</f>
        <v>1</v>
      </c>
    </row>
    <row r="42">
      <c r="A42" t="inlineStr">
        <is>
          <t>BL-01281</t>
        </is>
      </c>
      <c r="B42" t="inlineStr">
        <is>
          <t>MER</t>
        </is>
      </c>
      <c r="C42" s="5" t="n">
        <v>46216</v>
      </c>
      <c r="D42" t="inlineStr">
        <is>
          <t>SETTLEMENT T401 100726</t>
        </is>
      </c>
      <c r="E42" s="9" t="n">
        <v>2210.29</v>
      </c>
      <c r="F42" t="inlineStr">
        <is>
          <t>MER-20260713</t>
        </is>
      </c>
      <c r="G42" t="inlineStr">
        <is>
          <t>G00605</t>
        </is>
      </c>
      <c r="H42" t="str">
        <f>INDEX('Match Groups'!$C$5:$C$1326,MATCH(G42,'Match Groups'!$A$5:$A$1326,0))</f>
        <v>R08</v>
      </c>
      <c r="I42" t="str">
        <f>INDEX('Match Groups'!$D$5:$D$1326,MATCH(G42,'Match Groups'!$A$5:$A$1326,0))</f>
        <v>MATCH</v>
      </c>
      <c r="J42">
        <f>IF(I42="DUPIMP",0,1)</f>
        <v>1</v>
      </c>
    </row>
    <row r="43">
      <c r="A43" t="inlineStr">
        <is>
          <t>BL-01282</t>
        </is>
      </c>
      <c r="B43" t="inlineStr">
        <is>
          <t>MER</t>
        </is>
      </c>
      <c r="C43" s="5" t="n">
        <v>46216</v>
      </c>
      <c r="D43" t="inlineStr">
        <is>
          <t>SETTLEMENT T402 100726</t>
        </is>
      </c>
      <c r="E43" s="9" t="n">
        <v>1631.84</v>
      </c>
      <c r="F43" t="inlineStr">
        <is>
          <t>MER-20260713</t>
        </is>
      </c>
      <c r="G43" t="inlineStr">
        <is>
          <t>G00606</t>
        </is>
      </c>
      <c r="H43" t="str">
        <f>INDEX('Match Groups'!$C$5:$C$1326,MATCH(G43,'Match Groups'!$A$5:$A$1326,0))</f>
        <v>R08</v>
      </c>
      <c r="I43" t="str">
        <f>INDEX('Match Groups'!$D$5:$D$1326,MATCH(G43,'Match Groups'!$A$5:$A$1326,0))</f>
        <v>MATCH</v>
      </c>
      <c r="J43">
        <f>IF(I43="DUPIMP",0,1)</f>
        <v>1</v>
      </c>
    </row>
    <row r="44">
      <c r="A44" t="inlineStr">
        <is>
          <t>BL-01283</t>
        </is>
      </c>
      <c r="B44" t="inlineStr">
        <is>
          <t>MER</t>
        </is>
      </c>
      <c r="C44" s="5" t="n">
        <v>46216</v>
      </c>
      <c r="D44" t="inlineStr">
        <is>
          <t>SETTLEMENT T403 100726</t>
        </is>
      </c>
      <c r="E44" s="9" t="n">
        <v>3219.28</v>
      </c>
      <c r="F44" t="inlineStr">
        <is>
          <t>MER-20260713</t>
        </is>
      </c>
      <c r="G44" t="inlineStr">
        <is>
          <t>G00607</t>
        </is>
      </c>
      <c r="H44" t="str">
        <f>INDEX('Match Groups'!$C$5:$C$1326,MATCH(G44,'Match Groups'!$A$5:$A$1326,0))</f>
        <v>R08</v>
      </c>
      <c r="I44" t="str">
        <f>INDEX('Match Groups'!$D$5:$D$1326,MATCH(G44,'Match Groups'!$A$5:$A$1326,0))</f>
        <v>MATCH</v>
      </c>
      <c r="J44">
        <f>IF(I44="DUPIMP",0,1)</f>
        <v>1</v>
      </c>
    </row>
    <row r="45">
      <c r="A45" t="inlineStr">
        <is>
          <t>BL-01284</t>
        </is>
      </c>
      <c r="B45" t="inlineStr">
        <is>
          <t>MER</t>
        </is>
      </c>
      <c r="C45" s="5" t="n">
        <v>46216</v>
      </c>
      <c r="D45" t="inlineStr">
        <is>
          <t>SETTLEMENT T404 100726</t>
        </is>
      </c>
      <c r="E45" s="9" t="n">
        <v>3112.88</v>
      </c>
      <c r="F45" t="inlineStr">
        <is>
          <t>MER-20260713</t>
        </is>
      </c>
      <c r="G45" t="inlineStr">
        <is>
          <t>G00608</t>
        </is>
      </c>
      <c r="H45" t="str">
        <f>INDEX('Match Groups'!$C$5:$C$1326,MATCH(G45,'Match Groups'!$A$5:$A$1326,0))</f>
        <v>R08</v>
      </c>
      <c r="I45" t="str">
        <f>INDEX('Match Groups'!$D$5:$D$1326,MATCH(G45,'Match Groups'!$A$5:$A$1326,0))</f>
        <v>MATCH</v>
      </c>
      <c r="J45">
        <f>IF(I45="DUPIMP",0,1)</f>
        <v>1</v>
      </c>
    </row>
    <row r="46">
      <c r="A46" t="inlineStr">
        <is>
          <t>BL-01285</t>
        </is>
      </c>
      <c r="B46" t="inlineStr">
        <is>
          <t>MER</t>
        </is>
      </c>
      <c r="C46" s="5" t="n">
        <v>46216</v>
      </c>
      <c r="D46" t="inlineStr">
        <is>
          <t>SETTLEMENT T401 110726</t>
        </is>
      </c>
      <c r="E46" s="9" t="n">
        <v>985.5599999999999</v>
      </c>
      <c r="F46" t="inlineStr">
        <is>
          <t>MER-20260713</t>
        </is>
      </c>
      <c r="G46" t="inlineStr">
        <is>
          <t>G00609</t>
        </is>
      </c>
      <c r="H46" t="str">
        <f>INDEX('Match Groups'!$C$5:$C$1326,MATCH(G46,'Match Groups'!$A$5:$A$1326,0))</f>
        <v>R08</v>
      </c>
      <c r="I46" t="str">
        <f>INDEX('Match Groups'!$D$5:$D$1326,MATCH(G46,'Match Groups'!$A$5:$A$1326,0))</f>
        <v>MATCH</v>
      </c>
      <c r="J46">
        <f>IF(I46="DUPIMP",0,1)</f>
        <v>1</v>
      </c>
    </row>
    <row r="47">
      <c r="A47" t="inlineStr">
        <is>
          <t>BL-01286</t>
        </is>
      </c>
      <c r="B47" t="inlineStr">
        <is>
          <t>MER</t>
        </is>
      </c>
      <c r="C47" s="5" t="n">
        <v>46216</v>
      </c>
      <c r="D47" t="inlineStr">
        <is>
          <t>SETTLEMENT T402 110726</t>
        </is>
      </c>
      <c r="E47" s="9" t="n">
        <v>968.99</v>
      </c>
      <c r="F47" t="inlineStr">
        <is>
          <t>MER-20260713</t>
        </is>
      </c>
      <c r="G47" t="inlineStr">
        <is>
          <t>G00610</t>
        </is>
      </c>
      <c r="H47" t="str">
        <f>INDEX('Match Groups'!$C$5:$C$1326,MATCH(G47,'Match Groups'!$A$5:$A$1326,0))</f>
        <v>R08</v>
      </c>
      <c r="I47" t="str">
        <f>INDEX('Match Groups'!$D$5:$D$1326,MATCH(G47,'Match Groups'!$A$5:$A$1326,0))</f>
        <v>MATCH</v>
      </c>
      <c r="J47">
        <f>IF(I47="DUPIMP",0,1)</f>
        <v>1</v>
      </c>
    </row>
    <row r="48">
      <c r="A48" t="inlineStr">
        <is>
          <t>BL-01287</t>
        </is>
      </c>
      <c r="B48" t="inlineStr">
        <is>
          <t>MER</t>
        </is>
      </c>
      <c r="C48" s="5" t="n">
        <v>46216</v>
      </c>
      <c r="D48" t="inlineStr">
        <is>
          <t>SETTLEMENT T403 110726</t>
        </is>
      </c>
      <c r="E48" s="9" t="n">
        <v>713.96</v>
      </c>
      <c r="F48" t="inlineStr">
        <is>
          <t>MER-20260713</t>
        </is>
      </c>
      <c r="G48" t="inlineStr">
        <is>
          <t>G00611</t>
        </is>
      </c>
      <c r="H48" t="str">
        <f>INDEX('Match Groups'!$C$5:$C$1326,MATCH(G48,'Match Groups'!$A$5:$A$1326,0))</f>
        <v>R08</v>
      </c>
      <c r="I48" t="str">
        <f>INDEX('Match Groups'!$D$5:$D$1326,MATCH(G48,'Match Groups'!$A$5:$A$1326,0))</f>
        <v>MATCH</v>
      </c>
      <c r="J48">
        <f>IF(I48="DUPIMP",0,1)</f>
        <v>1</v>
      </c>
    </row>
    <row r="49">
      <c r="A49" t="inlineStr">
        <is>
          <t>BL-01288</t>
        </is>
      </c>
      <c r="B49" t="inlineStr">
        <is>
          <t>MER</t>
        </is>
      </c>
      <c r="C49" s="5" t="n">
        <v>46216</v>
      </c>
      <c r="D49" t="inlineStr">
        <is>
          <t>SETTLEMENT T404 110726</t>
        </is>
      </c>
      <c r="E49" s="9" t="n">
        <v>1082.25</v>
      </c>
      <c r="F49" t="inlineStr">
        <is>
          <t>MER-20260713</t>
        </is>
      </c>
      <c r="G49" t="inlineStr">
        <is>
          <t>G00612</t>
        </is>
      </c>
      <c r="H49" t="str">
        <f>INDEX('Match Groups'!$C$5:$C$1326,MATCH(G49,'Match Groups'!$A$5:$A$1326,0))</f>
        <v>R08</v>
      </c>
      <c r="I49" t="str">
        <f>INDEX('Match Groups'!$D$5:$D$1326,MATCH(G49,'Match Groups'!$A$5:$A$1326,0))</f>
        <v>MATCH</v>
      </c>
      <c r="J49">
        <f>IF(I49="DUPIMP",0,1)</f>
        <v>1</v>
      </c>
    </row>
    <row r="50">
      <c r="A50" t="inlineStr">
        <is>
          <t>BL-01563</t>
        </is>
      </c>
      <c r="B50" t="inlineStr">
        <is>
          <t>MER</t>
        </is>
      </c>
      <c r="C50" s="5" t="n">
        <v>46216</v>
      </c>
      <c r="D50" t="inlineStr">
        <is>
          <t>SWEEP TO OPERATING</t>
        </is>
      </c>
      <c r="E50" s="9" t="n">
        <v>-34000</v>
      </c>
      <c r="F50" t="inlineStr">
        <is>
          <t>MER-20260713</t>
        </is>
      </c>
      <c r="G50" t="inlineStr">
        <is>
          <t>G00613</t>
        </is>
      </c>
      <c r="H50" t="str">
        <f>INDEX('Match Groups'!$C$5:$C$1326,MATCH(G50,'Match Groups'!$A$5:$A$1326,0))</f>
        <v>R04</v>
      </c>
      <c r="I50" t="str">
        <f>INDEX('Match Groups'!$D$5:$D$1326,MATCH(G50,'Match Groups'!$A$5:$A$1326,0))</f>
        <v>MATCH</v>
      </c>
      <c r="J50">
        <f>IF(I50="DUPIMP",0,1)</f>
        <v>1</v>
      </c>
    </row>
    <row r="51">
      <c r="A51" t="inlineStr">
        <is>
          <t>BL-01289</t>
        </is>
      </c>
      <c r="B51" t="inlineStr">
        <is>
          <t>MER</t>
        </is>
      </c>
      <c r="C51" s="5" t="n">
        <v>46217</v>
      </c>
      <c r="D51" t="inlineStr">
        <is>
          <t>SETTLEMENT T401 130726</t>
        </is>
      </c>
      <c r="E51" s="9" t="n">
        <v>2143.96</v>
      </c>
      <c r="F51" t="inlineStr">
        <is>
          <t>MER-20260714</t>
        </is>
      </c>
      <c r="G51" t="inlineStr">
        <is>
          <t>G00614</t>
        </is>
      </c>
      <c r="H51" t="str">
        <f>INDEX('Match Groups'!$C$5:$C$1326,MATCH(G51,'Match Groups'!$A$5:$A$1326,0))</f>
        <v>R08</v>
      </c>
      <c r="I51" t="str">
        <f>INDEX('Match Groups'!$D$5:$D$1326,MATCH(G51,'Match Groups'!$A$5:$A$1326,0))</f>
        <v>MATCH</v>
      </c>
      <c r="J51">
        <f>IF(I51="DUPIMP",0,1)</f>
        <v>1</v>
      </c>
    </row>
    <row r="52">
      <c r="A52" t="inlineStr">
        <is>
          <t>BL-01290</t>
        </is>
      </c>
      <c r="B52" t="inlineStr">
        <is>
          <t>MER</t>
        </is>
      </c>
      <c r="C52" s="5" t="n">
        <v>46217</v>
      </c>
      <c r="D52" t="inlineStr">
        <is>
          <t>SETTLEMENT T402 130726</t>
        </is>
      </c>
      <c r="E52" s="9" t="n">
        <v>2035.84</v>
      </c>
      <c r="F52" t="inlineStr">
        <is>
          <t>MER-20260714</t>
        </is>
      </c>
      <c r="G52" t="inlineStr">
        <is>
          <t>G00615</t>
        </is>
      </c>
      <c r="H52" t="str">
        <f>INDEX('Match Groups'!$C$5:$C$1326,MATCH(G52,'Match Groups'!$A$5:$A$1326,0))</f>
        <v>R08</v>
      </c>
      <c r="I52" t="str">
        <f>INDEX('Match Groups'!$D$5:$D$1326,MATCH(G52,'Match Groups'!$A$5:$A$1326,0))</f>
        <v>MATCH</v>
      </c>
      <c r="J52">
        <f>IF(I52="DUPIMP",0,1)</f>
        <v>1</v>
      </c>
    </row>
    <row r="53">
      <c r="A53" t="inlineStr">
        <is>
          <t>BL-01291</t>
        </is>
      </c>
      <c r="B53" t="inlineStr">
        <is>
          <t>MER</t>
        </is>
      </c>
      <c r="C53" s="5" t="n">
        <v>46217</v>
      </c>
      <c r="D53" t="inlineStr">
        <is>
          <t>SETTLEMENT T403 130726</t>
        </is>
      </c>
      <c r="E53" s="9" t="n">
        <v>2728.08</v>
      </c>
      <c r="F53" t="inlineStr">
        <is>
          <t>MER-20260714</t>
        </is>
      </c>
      <c r="G53" t="inlineStr">
        <is>
          <t>G00616</t>
        </is>
      </c>
      <c r="H53" t="str">
        <f>INDEX('Match Groups'!$C$5:$C$1326,MATCH(G53,'Match Groups'!$A$5:$A$1326,0))</f>
        <v>R08</v>
      </c>
      <c r="I53" t="str">
        <f>INDEX('Match Groups'!$D$5:$D$1326,MATCH(G53,'Match Groups'!$A$5:$A$1326,0))</f>
        <v>MATCH</v>
      </c>
      <c r="J53">
        <f>IF(I53="DUPIMP",0,1)</f>
        <v>1</v>
      </c>
    </row>
    <row r="54">
      <c r="A54" t="inlineStr">
        <is>
          <t>BL-01292</t>
        </is>
      </c>
      <c r="B54" t="inlineStr">
        <is>
          <t>MER</t>
        </is>
      </c>
      <c r="C54" s="5" t="n">
        <v>46217</v>
      </c>
      <c r="D54" t="inlineStr">
        <is>
          <t>SETTLEMENT T404 130726</t>
        </is>
      </c>
      <c r="E54" s="9" t="n">
        <v>3099.25</v>
      </c>
      <c r="F54" t="inlineStr">
        <is>
          <t>MER-20260714</t>
        </is>
      </c>
      <c r="G54" t="inlineStr">
        <is>
          <t>G00617</t>
        </is>
      </c>
      <c r="H54" t="str">
        <f>INDEX('Match Groups'!$C$5:$C$1326,MATCH(G54,'Match Groups'!$A$5:$A$1326,0))</f>
        <v>R08</v>
      </c>
      <c r="I54" t="str">
        <f>INDEX('Match Groups'!$D$5:$D$1326,MATCH(G54,'Match Groups'!$A$5:$A$1326,0))</f>
        <v>MATCH</v>
      </c>
      <c r="J54">
        <f>IF(I54="DUPIMP",0,1)</f>
        <v>1</v>
      </c>
    </row>
    <row r="55">
      <c r="A55" t="inlineStr">
        <is>
          <t>BL-01293</t>
        </is>
      </c>
      <c r="B55" t="inlineStr">
        <is>
          <t>MER</t>
        </is>
      </c>
      <c r="C55" s="5" t="n">
        <v>46218</v>
      </c>
      <c r="D55" t="inlineStr">
        <is>
          <t>SETTLEMENT T401 140726</t>
        </is>
      </c>
      <c r="E55" s="9" t="n">
        <v>1044.45</v>
      </c>
      <c r="F55" t="inlineStr">
        <is>
          <t>MER-20260715</t>
        </is>
      </c>
      <c r="G55" t="inlineStr">
        <is>
          <t>G00618</t>
        </is>
      </c>
      <c r="H55" t="str">
        <f>INDEX('Match Groups'!$C$5:$C$1326,MATCH(G55,'Match Groups'!$A$5:$A$1326,0))</f>
        <v>R08</v>
      </c>
      <c r="I55" t="str">
        <f>INDEX('Match Groups'!$D$5:$D$1326,MATCH(G55,'Match Groups'!$A$5:$A$1326,0))</f>
        <v>MATCH</v>
      </c>
      <c r="J55">
        <f>IF(I55="DUPIMP",0,1)</f>
        <v>1</v>
      </c>
    </row>
    <row r="56">
      <c r="A56" t="inlineStr">
        <is>
          <t>BL-01294</t>
        </is>
      </c>
      <c r="B56" t="inlineStr">
        <is>
          <t>MER</t>
        </is>
      </c>
      <c r="C56" s="5" t="n">
        <v>46218</v>
      </c>
      <c r="D56" t="inlineStr">
        <is>
          <t>SETTLEMENT T402 140726</t>
        </is>
      </c>
      <c r="E56" s="9" t="n">
        <v>3336.14</v>
      </c>
      <c r="F56" t="inlineStr">
        <is>
          <t>MER-20260715</t>
        </is>
      </c>
      <c r="G56" t="inlineStr">
        <is>
          <t>G00619</t>
        </is>
      </c>
      <c r="H56" t="str">
        <f>INDEX('Match Groups'!$C$5:$C$1326,MATCH(G56,'Match Groups'!$A$5:$A$1326,0))</f>
        <v>R08</v>
      </c>
      <c r="I56" t="str">
        <f>INDEX('Match Groups'!$D$5:$D$1326,MATCH(G56,'Match Groups'!$A$5:$A$1326,0))</f>
        <v>MATCH</v>
      </c>
      <c r="J56">
        <f>IF(I56="DUPIMP",0,1)</f>
        <v>1</v>
      </c>
    </row>
    <row r="57">
      <c r="A57" t="inlineStr">
        <is>
          <t>BL-01295</t>
        </is>
      </c>
      <c r="B57" t="inlineStr">
        <is>
          <t>MER</t>
        </is>
      </c>
      <c r="C57" s="5" t="n">
        <v>46218</v>
      </c>
      <c r="D57" t="inlineStr">
        <is>
          <t>SETTLEMENT T403 140726</t>
        </is>
      </c>
      <c r="E57" s="9" t="n">
        <v>2592.49</v>
      </c>
      <c r="F57" t="inlineStr">
        <is>
          <t>MER-20260715</t>
        </is>
      </c>
      <c r="G57" t="inlineStr">
        <is>
          <t>G00620</t>
        </is>
      </c>
      <c r="H57" t="str">
        <f>INDEX('Match Groups'!$C$5:$C$1326,MATCH(G57,'Match Groups'!$A$5:$A$1326,0))</f>
        <v>R08</v>
      </c>
      <c r="I57" t="str">
        <f>INDEX('Match Groups'!$D$5:$D$1326,MATCH(G57,'Match Groups'!$A$5:$A$1326,0))</f>
        <v>MATCH</v>
      </c>
      <c r="J57">
        <f>IF(I57="DUPIMP",0,1)</f>
        <v>1</v>
      </c>
    </row>
    <row r="58">
      <c r="A58" t="inlineStr">
        <is>
          <t>BL-01296</t>
        </is>
      </c>
      <c r="B58" t="inlineStr">
        <is>
          <t>MER</t>
        </is>
      </c>
      <c r="C58" s="5" t="n">
        <v>46218</v>
      </c>
      <c r="D58" t="inlineStr">
        <is>
          <t>SETTLEMENT T404 140726</t>
        </is>
      </c>
      <c r="E58" s="9" t="n">
        <v>2453.07</v>
      </c>
      <c r="F58" t="inlineStr">
        <is>
          <t>MER-20260715</t>
        </is>
      </c>
      <c r="G58" t="inlineStr">
        <is>
          <t>G00621</t>
        </is>
      </c>
      <c r="H58" t="str">
        <f>INDEX('Match Groups'!$C$5:$C$1326,MATCH(G58,'Match Groups'!$A$5:$A$1326,0))</f>
        <v>R08</v>
      </c>
      <c r="I58" t="str">
        <f>INDEX('Match Groups'!$D$5:$D$1326,MATCH(G58,'Match Groups'!$A$5:$A$1326,0))</f>
        <v>MATCH</v>
      </c>
      <c r="J58">
        <f>IF(I58="DUPIMP",0,1)</f>
        <v>1</v>
      </c>
    </row>
    <row r="59">
      <c r="A59" t="inlineStr">
        <is>
          <t>BL-01297</t>
        </is>
      </c>
      <c r="B59" t="inlineStr">
        <is>
          <t>MER</t>
        </is>
      </c>
      <c r="C59" s="5" t="n">
        <v>46219</v>
      </c>
      <c r="D59" t="inlineStr">
        <is>
          <t>SETTLEMENT T401 150726</t>
        </is>
      </c>
      <c r="E59" s="9" t="n">
        <v>2990.45</v>
      </c>
      <c r="F59" t="inlineStr">
        <is>
          <t>MER-20260716</t>
        </is>
      </c>
      <c r="G59" t="inlineStr">
        <is>
          <t>G00622</t>
        </is>
      </c>
      <c r="H59" t="str">
        <f>INDEX('Match Groups'!$C$5:$C$1326,MATCH(G59,'Match Groups'!$A$5:$A$1326,0))</f>
        <v>R08</v>
      </c>
      <c r="I59" t="str">
        <f>INDEX('Match Groups'!$D$5:$D$1326,MATCH(G59,'Match Groups'!$A$5:$A$1326,0))</f>
        <v>MATCH</v>
      </c>
      <c r="J59">
        <f>IF(I59="DUPIMP",0,1)</f>
        <v>1</v>
      </c>
    </row>
    <row r="60">
      <c r="A60" t="inlineStr">
        <is>
          <t>BL-01298</t>
        </is>
      </c>
      <c r="B60" t="inlineStr">
        <is>
          <t>MER</t>
        </is>
      </c>
      <c r="C60" s="5" t="n">
        <v>46219</v>
      </c>
      <c r="D60" t="inlineStr">
        <is>
          <t>SETTLEMENT T402 150726</t>
        </is>
      </c>
      <c r="E60" s="9" t="n">
        <v>1412.81</v>
      </c>
      <c r="F60" t="inlineStr">
        <is>
          <t>MER-20260716</t>
        </is>
      </c>
      <c r="G60" t="inlineStr">
        <is>
          <t>G00623</t>
        </is>
      </c>
      <c r="H60" t="str">
        <f>INDEX('Match Groups'!$C$5:$C$1326,MATCH(G60,'Match Groups'!$A$5:$A$1326,0))</f>
        <v>R08</v>
      </c>
      <c r="I60" t="str">
        <f>INDEX('Match Groups'!$D$5:$D$1326,MATCH(G60,'Match Groups'!$A$5:$A$1326,0))</f>
        <v>MATCH</v>
      </c>
      <c r="J60">
        <f>IF(I60="DUPIMP",0,1)</f>
        <v>1</v>
      </c>
    </row>
    <row r="61">
      <c r="A61" t="inlineStr">
        <is>
          <t>BL-01299</t>
        </is>
      </c>
      <c r="B61" t="inlineStr">
        <is>
          <t>MER</t>
        </is>
      </c>
      <c r="C61" s="5" t="n">
        <v>46219</v>
      </c>
      <c r="D61" t="inlineStr">
        <is>
          <t>SETTLEMENT T403 150726</t>
        </is>
      </c>
      <c r="E61" s="9" t="n">
        <v>2543.78</v>
      </c>
      <c r="F61" t="inlineStr">
        <is>
          <t>MER-20260716</t>
        </is>
      </c>
      <c r="G61" t="inlineStr">
        <is>
          <t>G00624</t>
        </is>
      </c>
      <c r="H61" t="str">
        <f>INDEX('Match Groups'!$C$5:$C$1326,MATCH(G61,'Match Groups'!$A$5:$A$1326,0))</f>
        <v>R08</v>
      </c>
      <c r="I61" t="str">
        <f>INDEX('Match Groups'!$D$5:$D$1326,MATCH(G61,'Match Groups'!$A$5:$A$1326,0))</f>
        <v>MATCH</v>
      </c>
      <c r="J61">
        <f>IF(I61="DUPIMP",0,1)</f>
        <v>1</v>
      </c>
    </row>
    <row r="62">
      <c r="A62" t="inlineStr">
        <is>
          <t>BL-01300</t>
        </is>
      </c>
      <c r="B62" t="inlineStr">
        <is>
          <t>MER</t>
        </is>
      </c>
      <c r="C62" s="5" t="n">
        <v>46219</v>
      </c>
      <c r="D62" t="inlineStr">
        <is>
          <t>SETTLEMENT T404 150726</t>
        </is>
      </c>
      <c r="E62" s="9" t="n">
        <v>2646.6</v>
      </c>
      <c r="F62" t="inlineStr">
        <is>
          <t>MER-20260716</t>
        </is>
      </c>
      <c r="G62" t="inlineStr">
        <is>
          <t>G00625</t>
        </is>
      </c>
      <c r="H62" t="str">
        <f>INDEX('Match Groups'!$C$5:$C$1326,MATCH(G62,'Match Groups'!$A$5:$A$1326,0))</f>
        <v>R08</v>
      </c>
      <c r="I62" t="str">
        <f>INDEX('Match Groups'!$D$5:$D$1326,MATCH(G62,'Match Groups'!$A$5:$A$1326,0))</f>
        <v>MATCH</v>
      </c>
      <c r="J62">
        <f>IF(I62="DUPIMP",0,1)</f>
        <v>1</v>
      </c>
    </row>
    <row r="63">
      <c r="A63" t="inlineStr">
        <is>
          <t>BL-01301</t>
        </is>
      </c>
      <c r="B63" t="inlineStr">
        <is>
          <t>MER</t>
        </is>
      </c>
      <c r="C63" s="5" t="n">
        <v>46220</v>
      </c>
      <c r="D63" t="inlineStr">
        <is>
          <t>SETTLEMENT T401 160726</t>
        </is>
      </c>
      <c r="E63" s="9" t="n">
        <v>3302.4</v>
      </c>
      <c r="F63" t="inlineStr">
        <is>
          <t>MER-20260717</t>
        </is>
      </c>
      <c r="G63" t="inlineStr">
        <is>
          <t>G00626</t>
        </is>
      </c>
      <c r="H63" t="str">
        <f>INDEX('Match Groups'!$C$5:$C$1326,MATCH(G63,'Match Groups'!$A$5:$A$1326,0))</f>
        <v>R08</v>
      </c>
      <c r="I63" t="str">
        <f>INDEX('Match Groups'!$D$5:$D$1326,MATCH(G63,'Match Groups'!$A$5:$A$1326,0))</f>
        <v>MATCH</v>
      </c>
      <c r="J63">
        <f>IF(I63="DUPIMP",0,1)</f>
        <v>1</v>
      </c>
    </row>
    <row r="64">
      <c r="A64" t="inlineStr">
        <is>
          <t>BL-01302</t>
        </is>
      </c>
      <c r="B64" t="inlineStr">
        <is>
          <t>MER</t>
        </is>
      </c>
      <c r="C64" s="5" t="n">
        <v>46220</v>
      </c>
      <c r="D64" t="inlineStr">
        <is>
          <t>SETTLEMENT T402 160726</t>
        </is>
      </c>
      <c r="E64" s="9" t="n">
        <v>3042.74</v>
      </c>
      <c r="F64" t="inlineStr">
        <is>
          <t>MER-20260717</t>
        </is>
      </c>
      <c r="G64" t="inlineStr">
        <is>
          <t>G00627</t>
        </is>
      </c>
      <c r="H64" t="str">
        <f>INDEX('Match Groups'!$C$5:$C$1326,MATCH(G64,'Match Groups'!$A$5:$A$1326,0))</f>
        <v>R08</v>
      </c>
      <c r="I64" t="str">
        <f>INDEX('Match Groups'!$D$5:$D$1326,MATCH(G64,'Match Groups'!$A$5:$A$1326,0))</f>
        <v>MATCH</v>
      </c>
      <c r="J64">
        <f>IF(I64="DUPIMP",0,1)</f>
        <v>1</v>
      </c>
    </row>
    <row r="65">
      <c r="A65" t="inlineStr">
        <is>
          <t>BL-01303</t>
        </is>
      </c>
      <c r="B65" t="inlineStr">
        <is>
          <t>MER</t>
        </is>
      </c>
      <c r="C65" s="5" t="n">
        <v>46220</v>
      </c>
      <c r="D65" t="inlineStr">
        <is>
          <t>SETTLEMENT T403 160726</t>
        </is>
      </c>
      <c r="E65" s="9" t="n">
        <v>2715.97</v>
      </c>
      <c r="F65" t="inlineStr">
        <is>
          <t>MER-20260717</t>
        </is>
      </c>
      <c r="G65" t="inlineStr">
        <is>
          <t>G00628</t>
        </is>
      </c>
      <c r="H65" t="str">
        <f>INDEX('Match Groups'!$C$5:$C$1326,MATCH(G65,'Match Groups'!$A$5:$A$1326,0))</f>
        <v>R08</v>
      </c>
      <c r="I65" t="str">
        <f>INDEX('Match Groups'!$D$5:$D$1326,MATCH(G65,'Match Groups'!$A$5:$A$1326,0))</f>
        <v>MATCH</v>
      </c>
      <c r="J65">
        <f>IF(I65="DUPIMP",0,1)</f>
        <v>1</v>
      </c>
    </row>
    <row r="66">
      <c r="A66" t="inlineStr">
        <is>
          <t>BL-01304</t>
        </is>
      </c>
      <c r="B66" t="inlineStr">
        <is>
          <t>MER</t>
        </is>
      </c>
      <c r="C66" s="5" t="n">
        <v>46220</v>
      </c>
      <c r="D66" t="inlineStr">
        <is>
          <t>SETTLEMENT T404 160726</t>
        </is>
      </c>
      <c r="E66" s="9" t="n">
        <v>1058.51</v>
      </c>
      <c r="F66" t="inlineStr">
        <is>
          <t>MER-20260717</t>
        </is>
      </c>
      <c r="G66" t="inlineStr">
        <is>
          <t>G00629</t>
        </is>
      </c>
      <c r="H66" t="str">
        <f>INDEX('Match Groups'!$C$5:$C$1326,MATCH(G66,'Match Groups'!$A$5:$A$1326,0))</f>
        <v>R08</v>
      </c>
      <c r="I66" t="str">
        <f>INDEX('Match Groups'!$D$5:$D$1326,MATCH(G66,'Match Groups'!$A$5:$A$1326,0))</f>
        <v>MATCH</v>
      </c>
      <c r="J66">
        <f>IF(I66="DUPIMP",0,1)</f>
        <v>1</v>
      </c>
    </row>
    <row r="67">
      <c r="A67" t="inlineStr">
        <is>
          <t>BL-01305</t>
        </is>
      </c>
      <c r="B67" t="inlineStr">
        <is>
          <t>MER</t>
        </is>
      </c>
      <c r="C67" s="5" t="n">
        <v>46223</v>
      </c>
      <c r="D67" t="inlineStr">
        <is>
          <t>SETTLEMENT T401 170726</t>
        </is>
      </c>
      <c r="E67" s="9" t="n">
        <v>3492.5</v>
      </c>
      <c r="F67" t="inlineStr">
        <is>
          <t>MER-20260720</t>
        </is>
      </c>
      <c r="G67" t="inlineStr">
        <is>
          <t>G00630</t>
        </is>
      </c>
      <c r="H67" t="str">
        <f>INDEX('Match Groups'!$C$5:$C$1326,MATCH(G67,'Match Groups'!$A$5:$A$1326,0))</f>
        <v>R08</v>
      </c>
      <c r="I67" t="str">
        <f>INDEX('Match Groups'!$D$5:$D$1326,MATCH(G67,'Match Groups'!$A$5:$A$1326,0))</f>
        <v>MATCH</v>
      </c>
      <c r="J67">
        <f>IF(I67="DUPIMP",0,1)</f>
        <v>1</v>
      </c>
    </row>
    <row r="68">
      <c r="A68" t="inlineStr">
        <is>
          <t>BL-01306</t>
        </is>
      </c>
      <c r="B68" t="inlineStr">
        <is>
          <t>MER</t>
        </is>
      </c>
      <c r="C68" s="5" t="n">
        <v>46223</v>
      </c>
      <c r="D68" t="inlineStr">
        <is>
          <t>SETTLEMENT T402 170726</t>
        </is>
      </c>
      <c r="E68" s="9" t="n">
        <v>2391.2</v>
      </c>
      <c r="F68" t="inlineStr">
        <is>
          <t>MER-20260720</t>
        </is>
      </c>
      <c r="G68" t="inlineStr">
        <is>
          <t>G00631</t>
        </is>
      </c>
      <c r="H68" t="str">
        <f>INDEX('Match Groups'!$C$5:$C$1326,MATCH(G68,'Match Groups'!$A$5:$A$1326,0))</f>
        <v>R08</v>
      </c>
      <c r="I68" t="str">
        <f>INDEX('Match Groups'!$D$5:$D$1326,MATCH(G68,'Match Groups'!$A$5:$A$1326,0))</f>
        <v>MATCH</v>
      </c>
      <c r="J68">
        <f>IF(I68="DUPIMP",0,1)</f>
        <v>1</v>
      </c>
    </row>
    <row r="69">
      <c r="A69" t="inlineStr">
        <is>
          <t>BL-01307</t>
        </is>
      </c>
      <c r="B69" t="inlineStr">
        <is>
          <t>MER</t>
        </is>
      </c>
      <c r="C69" s="5" t="n">
        <v>46223</v>
      </c>
      <c r="D69" t="inlineStr">
        <is>
          <t>SETTLEMENT T403 170726</t>
        </is>
      </c>
      <c r="E69" s="9" t="n">
        <v>3569.32</v>
      </c>
      <c r="F69" t="inlineStr">
        <is>
          <t>MER-20260720</t>
        </is>
      </c>
      <c r="G69" t="inlineStr">
        <is>
          <t>G00632</t>
        </is>
      </c>
      <c r="H69" t="str">
        <f>INDEX('Match Groups'!$C$5:$C$1326,MATCH(G69,'Match Groups'!$A$5:$A$1326,0))</f>
        <v>R08</v>
      </c>
      <c r="I69" t="str">
        <f>INDEX('Match Groups'!$D$5:$D$1326,MATCH(G69,'Match Groups'!$A$5:$A$1326,0))</f>
        <v>MATCH</v>
      </c>
      <c r="J69">
        <f>IF(I69="DUPIMP",0,1)</f>
        <v>1</v>
      </c>
    </row>
    <row r="70">
      <c r="A70" t="inlineStr">
        <is>
          <t>BL-01308</t>
        </is>
      </c>
      <c r="B70" t="inlineStr">
        <is>
          <t>MER</t>
        </is>
      </c>
      <c r="C70" s="5" t="n">
        <v>46223</v>
      </c>
      <c r="D70" t="inlineStr">
        <is>
          <t>SETTLEMENT T404 170726</t>
        </is>
      </c>
      <c r="E70" s="9" t="n">
        <v>2677.25</v>
      </c>
      <c r="F70" t="inlineStr">
        <is>
          <t>MER-20260720</t>
        </is>
      </c>
      <c r="G70" t="inlineStr">
        <is>
          <t>G00633</t>
        </is>
      </c>
      <c r="H70" t="str">
        <f>INDEX('Match Groups'!$C$5:$C$1326,MATCH(G70,'Match Groups'!$A$5:$A$1326,0))</f>
        <v>R08</v>
      </c>
      <c r="I70" t="str">
        <f>INDEX('Match Groups'!$D$5:$D$1326,MATCH(G70,'Match Groups'!$A$5:$A$1326,0))</f>
        <v>MATCH</v>
      </c>
      <c r="J70">
        <f>IF(I70="DUPIMP",0,1)</f>
        <v>1</v>
      </c>
    </row>
    <row r="71">
      <c r="A71" t="inlineStr">
        <is>
          <t>BL-01309</t>
        </is>
      </c>
      <c r="B71" t="inlineStr">
        <is>
          <t>MER</t>
        </is>
      </c>
      <c r="C71" s="5" t="n">
        <v>46223</v>
      </c>
      <c r="D71" t="inlineStr">
        <is>
          <t>SETTLEMENT T401 180726</t>
        </is>
      </c>
      <c r="E71" s="9" t="n">
        <v>433.71</v>
      </c>
      <c r="F71" t="inlineStr">
        <is>
          <t>MER-20260720</t>
        </is>
      </c>
      <c r="G71" t="inlineStr">
        <is>
          <t>G00634</t>
        </is>
      </c>
      <c r="H71" t="str">
        <f>INDEX('Match Groups'!$C$5:$C$1326,MATCH(G71,'Match Groups'!$A$5:$A$1326,0))</f>
        <v>R08</v>
      </c>
      <c r="I71" t="str">
        <f>INDEX('Match Groups'!$D$5:$D$1326,MATCH(G71,'Match Groups'!$A$5:$A$1326,0))</f>
        <v>MATCH</v>
      </c>
      <c r="J71">
        <f>IF(I71="DUPIMP",0,1)</f>
        <v>1</v>
      </c>
    </row>
    <row r="72">
      <c r="A72" t="inlineStr">
        <is>
          <t>BL-01310</t>
        </is>
      </c>
      <c r="B72" t="inlineStr">
        <is>
          <t>MER</t>
        </is>
      </c>
      <c r="C72" s="5" t="n">
        <v>46223</v>
      </c>
      <c r="D72" t="inlineStr">
        <is>
          <t>SETTLEMENT T402 180726</t>
        </is>
      </c>
      <c r="E72" s="9" t="n">
        <v>905.3099999999999</v>
      </c>
      <c r="F72" t="inlineStr">
        <is>
          <t>MER-20260720</t>
        </is>
      </c>
      <c r="G72" t="inlineStr">
        <is>
          <t>G00635</t>
        </is>
      </c>
      <c r="H72" t="str">
        <f>INDEX('Match Groups'!$C$5:$C$1326,MATCH(G72,'Match Groups'!$A$5:$A$1326,0))</f>
        <v>R08</v>
      </c>
      <c r="I72" t="str">
        <f>INDEX('Match Groups'!$D$5:$D$1326,MATCH(G72,'Match Groups'!$A$5:$A$1326,0))</f>
        <v>MATCH</v>
      </c>
      <c r="J72">
        <f>IF(I72="DUPIMP",0,1)</f>
        <v>1</v>
      </c>
    </row>
    <row r="73">
      <c r="A73" t="inlineStr">
        <is>
          <t>BL-01311</t>
        </is>
      </c>
      <c r="B73" t="inlineStr">
        <is>
          <t>MER</t>
        </is>
      </c>
      <c r="C73" s="5" t="n">
        <v>46223</v>
      </c>
      <c r="D73" t="inlineStr">
        <is>
          <t>SETTLEMENT T403 180726</t>
        </is>
      </c>
      <c r="E73" s="9" t="n">
        <v>1099.35</v>
      </c>
      <c r="F73" t="inlineStr">
        <is>
          <t>MER-20260720</t>
        </is>
      </c>
      <c r="G73" t="inlineStr">
        <is>
          <t>G00636</t>
        </is>
      </c>
      <c r="H73" t="str">
        <f>INDEX('Match Groups'!$C$5:$C$1326,MATCH(G73,'Match Groups'!$A$5:$A$1326,0))</f>
        <v>R08</v>
      </c>
      <c r="I73" t="str">
        <f>INDEX('Match Groups'!$D$5:$D$1326,MATCH(G73,'Match Groups'!$A$5:$A$1326,0))</f>
        <v>MATCH</v>
      </c>
      <c r="J73">
        <f>IF(I73="DUPIMP",0,1)</f>
        <v>1</v>
      </c>
    </row>
    <row r="74">
      <c r="A74" t="inlineStr">
        <is>
          <t>BL-01312</t>
        </is>
      </c>
      <c r="B74" t="inlineStr">
        <is>
          <t>MER</t>
        </is>
      </c>
      <c r="C74" s="5" t="n">
        <v>46223</v>
      </c>
      <c r="D74" t="inlineStr">
        <is>
          <t>SETTLEMENT T404 180726</t>
        </is>
      </c>
      <c r="E74" s="9" t="n">
        <v>1008.98</v>
      </c>
      <c r="F74" t="inlineStr">
        <is>
          <t>MER-20260720</t>
        </is>
      </c>
      <c r="G74" t="inlineStr">
        <is>
          <t>G00637</t>
        </is>
      </c>
      <c r="H74" t="str">
        <f>INDEX('Match Groups'!$C$5:$C$1326,MATCH(G74,'Match Groups'!$A$5:$A$1326,0))</f>
        <v>R08</v>
      </c>
      <c r="I74" t="str">
        <f>INDEX('Match Groups'!$D$5:$D$1326,MATCH(G74,'Match Groups'!$A$5:$A$1326,0))</f>
        <v>MATCH</v>
      </c>
      <c r="J74">
        <f>IF(I74="DUPIMP",0,1)</f>
        <v>1</v>
      </c>
    </row>
    <row r="75">
      <c r="A75" t="inlineStr">
        <is>
          <t>BL-01565</t>
        </is>
      </c>
      <c r="B75" t="inlineStr">
        <is>
          <t>MER</t>
        </is>
      </c>
      <c r="C75" s="5" t="n">
        <v>46223</v>
      </c>
      <c r="D75" t="inlineStr">
        <is>
          <t>SWEEP TO OPERATING</t>
        </is>
      </c>
      <c r="E75" s="9" t="n">
        <v>-22000</v>
      </c>
      <c r="F75" t="inlineStr">
        <is>
          <t>MER-20260720</t>
        </is>
      </c>
      <c r="G75" t="inlineStr">
        <is>
          <t>G00638</t>
        </is>
      </c>
      <c r="H75" t="str">
        <f>INDEX('Match Groups'!$C$5:$C$1326,MATCH(G75,'Match Groups'!$A$5:$A$1326,0))</f>
        <v>R04</v>
      </c>
      <c r="I75" t="str">
        <f>INDEX('Match Groups'!$D$5:$D$1326,MATCH(G75,'Match Groups'!$A$5:$A$1326,0))</f>
        <v>MATCH</v>
      </c>
      <c r="J75">
        <f>IF(I75="DUPIMP",0,1)</f>
        <v>1</v>
      </c>
    </row>
    <row r="76">
      <c r="A76" t="inlineStr">
        <is>
          <t>BL-01313</t>
        </is>
      </c>
      <c r="B76" t="inlineStr">
        <is>
          <t>MER</t>
        </is>
      </c>
      <c r="C76" s="5" t="n">
        <v>46224</v>
      </c>
      <c r="D76" t="inlineStr">
        <is>
          <t>SETTLEMENT T401 200726</t>
        </is>
      </c>
      <c r="E76" s="9" t="n">
        <v>920</v>
      </c>
      <c r="F76" t="inlineStr">
        <is>
          <t>MER-20260721</t>
        </is>
      </c>
      <c r="G76" t="inlineStr">
        <is>
          <t>G00639</t>
        </is>
      </c>
      <c r="H76" t="str">
        <f>INDEX('Match Groups'!$C$5:$C$1326,MATCH(G76,'Match Groups'!$A$5:$A$1326,0))</f>
        <v>R08</v>
      </c>
      <c r="I76" t="str">
        <f>INDEX('Match Groups'!$D$5:$D$1326,MATCH(G76,'Match Groups'!$A$5:$A$1326,0))</f>
        <v>MATCH</v>
      </c>
      <c r="J76">
        <f>IF(I76="DUPIMP",0,1)</f>
        <v>1</v>
      </c>
    </row>
    <row r="77">
      <c r="A77" t="inlineStr">
        <is>
          <t>BL-01314</t>
        </is>
      </c>
      <c r="B77" t="inlineStr">
        <is>
          <t>MER</t>
        </is>
      </c>
      <c r="C77" s="5" t="n">
        <v>46224</v>
      </c>
      <c r="D77" t="inlineStr">
        <is>
          <t>SETTLEMENT T402 200726</t>
        </is>
      </c>
      <c r="E77" s="9" t="n">
        <v>1219.8</v>
      </c>
      <c r="F77" t="inlineStr">
        <is>
          <t>MER-20260721</t>
        </is>
      </c>
      <c r="G77" t="inlineStr">
        <is>
          <t>G00640</t>
        </is>
      </c>
      <c r="H77" t="str">
        <f>INDEX('Match Groups'!$C$5:$C$1326,MATCH(G77,'Match Groups'!$A$5:$A$1326,0))</f>
        <v>R08</v>
      </c>
      <c r="I77" t="str">
        <f>INDEX('Match Groups'!$D$5:$D$1326,MATCH(G77,'Match Groups'!$A$5:$A$1326,0))</f>
        <v>MATCH</v>
      </c>
      <c r="J77">
        <f>IF(I77="DUPIMP",0,1)</f>
        <v>1</v>
      </c>
    </row>
    <row r="78">
      <c r="A78" t="inlineStr">
        <is>
          <t>BL-01315</t>
        </is>
      </c>
      <c r="B78" t="inlineStr">
        <is>
          <t>MER</t>
        </is>
      </c>
      <c r="C78" s="5" t="n">
        <v>46224</v>
      </c>
      <c r="D78" t="inlineStr">
        <is>
          <t>SETTLEMENT T403 200726</t>
        </is>
      </c>
      <c r="E78" s="9" t="n">
        <v>1711.27</v>
      </c>
      <c r="F78" t="inlineStr">
        <is>
          <t>MER-20260721</t>
        </is>
      </c>
      <c r="G78" t="inlineStr">
        <is>
          <t>G00641</t>
        </is>
      </c>
      <c r="H78" t="str">
        <f>INDEX('Match Groups'!$C$5:$C$1326,MATCH(G78,'Match Groups'!$A$5:$A$1326,0))</f>
        <v>R08</v>
      </c>
      <c r="I78" t="str">
        <f>INDEX('Match Groups'!$D$5:$D$1326,MATCH(G78,'Match Groups'!$A$5:$A$1326,0))</f>
        <v>MATCH</v>
      </c>
      <c r="J78">
        <f>IF(I78="DUPIMP",0,1)</f>
        <v>1</v>
      </c>
    </row>
    <row r="79">
      <c r="A79" t="inlineStr">
        <is>
          <t>BL-01316</t>
        </is>
      </c>
      <c r="B79" t="inlineStr">
        <is>
          <t>MER</t>
        </is>
      </c>
      <c r="C79" s="5" t="n">
        <v>46224</v>
      </c>
      <c r="D79" t="inlineStr">
        <is>
          <t>SETTLEMENT T404 200726</t>
        </is>
      </c>
      <c r="E79" s="9" t="n">
        <v>1905.79</v>
      </c>
      <c r="F79" t="inlineStr">
        <is>
          <t>MER-20260721</t>
        </is>
      </c>
      <c r="G79" t="inlineStr">
        <is>
          <t>G00642</t>
        </is>
      </c>
      <c r="H79" t="str">
        <f>INDEX('Match Groups'!$C$5:$C$1326,MATCH(G79,'Match Groups'!$A$5:$A$1326,0))</f>
        <v>R08</v>
      </c>
      <c r="I79" t="str">
        <f>INDEX('Match Groups'!$D$5:$D$1326,MATCH(G79,'Match Groups'!$A$5:$A$1326,0))</f>
        <v>MATCH</v>
      </c>
      <c r="J79">
        <f>IF(I79="DUPIMP",0,1)</f>
        <v>1</v>
      </c>
    </row>
    <row r="80">
      <c r="A80" t="inlineStr">
        <is>
          <t>BL-01317</t>
        </is>
      </c>
      <c r="B80" t="inlineStr">
        <is>
          <t>MER</t>
        </is>
      </c>
      <c r="C80" s="5" t="n">
        <v>46225</v>
      </c>
      <c r="D80" t="inlineStr">
        <is>
          <t>SETTLEMENT T401 210726</t>
        </is>
      </c>
      <c r="E80" s="9" t="n">
        <v>2362.6</v>
      </c>
      <c r="F80" t="inlineStr">
        <is>
          <t>MER-20260722</t>
        </is>
      </c>
      <c r="G80" t="inlineStr">
        <is>
          <t>G00643</t>
        </is>
      </c>
      <c r="H80" t="str">
        <f>INDEX('Match Groups'!$C$5:$C$1326,MATCH(G80,'Match Groups'!$A$5:$A$1326,0))</f>
        <v>R08</v>
      </c>
      <c r="I80" t="str">
        <f>INDEX('Match Groups'!$D$5:$D$1326,MATCH(G80,'Match Groups'!$A$5:$A$1326,0))</f>
        <v>MATCH</v>
      </c>
      <c r="J80">
        <f>IF(I80="DUPIMP",0,1)</f>
        <v>1</v>
      </c>
    </row>
    <row r="81">
      <c r="A81" t="inlineStr">
        <is>
          <t>BL-01318</t>
        </is>
      </c>
      <c r="B81" t="inlineStr">
        <is>
          <t>MER</t>
        </is>
      </c>
      <c r="C81" s="5" t="n">
        <v>46225</v>
      </c>
      <c r="D81" t="inlineStr">
        <is>
          <t>SETTLEMENT T402 210726</t>
        </is>
      </c>
      <c r="E81" s="9" t="n">
        <v>982.49</v>
      </c>
      <c r="F81" t="inlineStr">
        <is>
          <t>MER-20260722</t>
        </is>
      </c>
      <c r="G81" t="inlineStr">
        <is>
          <t>G00644</t>
        </is>
      </c>
      <c r="H81" t="str">
        <f>INDEX('Match Groups'!$C$5:$C$1326,MATCH(G81,'Match Groups'!$A$5:$A$1326,0))</f>
        <v>R08</v>
      </c>
      <c r="I81" t="str">
        <f>INDEX('Match Groups'!$D$5:$D$1326,MATCH(G81,'Match Groups'!$A$5:$A$1326,0))</f>
        <v>MATCH</v>
      </c>
      <c r="J81">
        <f>IF(I81="DUPIMP",0,1)</f>
        <v>1</v>
      </c>
    </row>
    <row r="82">
      <c r="A82" t="inlineStr">
        <is>
          <t>BL-01319</t>
        </is>
      </c>
      <c r="B82" t="inlineStr">
        <is>
          <t>MER</t>
        </is>
      </c>
      <c r="C82" s="5" t="n">
        <v>46225</v>
      </c>
      <c r="D82" t="inlineStr">
        <is>
          <t>SETTLEMENT T403 210726</t>
        </is>
      </c>
      <c r="E82" s="9" t="n">
        <v>1615.16</v>
      </c>
      <c r="F82" t="inlineStr">
        <is>
          <t>MER-20260722</t>
        </is>
      </c>
      <c r="G82" t="inlineStr">
        <is>
          <t>G00645</t>
        </is>
      </c>
      <c r="H82" t="str">
        <f>INDEX('Match Groups'!$C$5:$C$1326,MATCH(G82,'Match Groups'!$A$5:$A$1326,0))</f>
        <v>R08</v>
      </c>
      <c r="I82" t="str">
        <f>INDEX('Match Groups'!$D$5:$D$1326,MATCH(G82,'Match Groups'!$A$5:$A$1326,0))</f>
        <v>MATCH</v>
      </c>
      <c r="J82">
        <f>IF(I82="DUPIMP",0,1)</f>
        <v>1</v>
      </c>
    </row>
    <row r="83">
      <c r="A83" t="inlineStr">
        <is>
          <t>BL-01320</t>
        </is>
      </c>
      <c r="B83" t="inlineStr">
        <is>
          <t>MER</t>
        </is>
      </c>
      <c r="C83" s="5" t="n">
        <v>46225</v>
      </c>
      <c r="D83" t="inlineStr">
        <is>
          <t>SETTLEMENT T404 210726</t>
        </is>
      </c>
      <c r="E83" s="9" t="n">
        <v>2140.54</v>
      </c>
      <c r="F83" t="inlineStr">
        <is>
          <t>MER-20260722</t>
        </is>
      </c>
      <c r="G83" t="inlineStr">
        <is>
          <t>G00646</t>
        </is>
      </c>
      <c r="H83" t="str">
        <f>INDEX('Match Groups'!$C$5:$C$1326,MATCH(G83,'Match Groups'!$A$5:$A$1326,0))</f>
        <v>R08</v>
      </c>
      <c r="I83" t="str">
        <f>INDEX('Match Groups'!$D$5:$D$1326,MATCH(G83,'Match Groups'!$A$5:$A$1326,0))</f>
        <v>MATCH</v>
      </c>
      <c r="J83">
        <f>IF(I83="DUPIMP",0,1)</f>
        <v>1</v>
      </c>
    </row>
    <row r="84">
      <c r="A84" t="inlineStr">
        <is>
          <t>BL-01321</t>
        </is>
      </c>
      <c r="B84" t="inlineStr">
        <is>
          <t>MER</t>
        </is>
      </c>
      <c r="C84" s="5" t="n">
        <v>46226</v>
      </c>
      <c r="D84" t="inlineStr">
        <is>
          <t>SETTLEMENT T401 220726</t>
        </is>
      </c>
      <c r="E84" s="9" t="n">
        <v>1482.93</v>
      </c>
      <c r="F84" t="inlineStr">
        <is>
          <t>MER-20260723</t>
        </is>
      </c>
      <c r="G84" t="inlineStr">
        <is>
          <t>G00647</t>
        </is>
      </c>
      <c r="H84" t="str">
        <f>INDEX('Match Groups'!$C$5:$C$1326,MATCH(G84,'Match Groups'!$A$5:$A$1326,0))</f>
        <v>R08</v>
      </c>
      <c r="I84" t="str">
        <f>INDEX('Match Groups'!$D$5:$D$1326,MATCH(G84,'Match Groups'!$A$5:$A$1326,0))</f>
        <v>MATCH</v>
      </c>
      <c r="J84">
        <f>IF(I84="DUPIMP",0,1)</f>
        <v>1</v>
      </c>
    </row>
    <row r="85">
      <c r="A85" t="inlineStr">
        <is>
          <t>BL-01322</t>
        </is>
      </c>
      <c r="B85" t="inlineStr">
        <is>
          <t>MER</t>
        </is>
      </c>
      <c r="C85" s="5" t="n">
        <v>46226</v>
      </c>
      <c r="D85" t="inlineStr">
        <is>
          <t>SETTLEMENT T402 220726</t>
        </is>
      </c>
      <c r="E85" s="9" t="n">
        <v>1435.65</v>
      </c>
      <c r="F85" t="inlineStr">
        <is>
          <t>MER-20260723</t>
        </is>
      </c>
      <c r="G85" t="inlineStr">
        <is>
          <t>G00648</t>
        </is>
      </c>
      <c r="H85" t="str">
        <f>INDEX('Match Groups'!$C$5:$C$1326,MATCH(G85,'Match Groups'!$A$5:$A$1326,0))</f>
        <v>R08</v>
      </c>
      <c r="I85" t="str">
        <f>INDEX('Match Groups'!$D$5:$D$1326,MATCH(G85,'Match Groups'!$A$5:$A$1326,0))</f>
        <v>MATCH</v>
      </c>
      <c r="J85">
        <f>IF(I85="DUPIMP",0,1)</f>
        <v>1</v>
      </c>
    </row>
    <row r="86">
      <c r="A86" t="inlineStr">
        <is>
          <t>BL-01323</t>
        </is>
      </c>
      <c r="B86" t="inlineStr">
        <is>
          <t>MER</t>
        </is>
      </c>
      <c r="C86" s="5" t="n">
        <v>46226</v>
      </c>
      <c r="D86" t="inlineStr">
        <is>
          <t>SETTLEMENT T403 220726</t>
        </is>
      </c>
      <c r="E86" s="9" t="n">
        <v>2858.87</v>
      </c>
      <c r="F86" t="inlineStr">
        <is>
          <t>MER-20260723</t>
        </is>
      </c>
      <c r="G86" t="inlineStr">
        <is>
          <t>G00649</t>
        </is>
      </c>
      <c r="H86" t="str">
        <f>INDEX('Match Groups'!$C$5:$C$1326,MATCH(G86,'Match Groups'!$A$5:$A$1326,0))</f>
        <v>R08</v>
      </c>
      <c r="I86" t="str">
        <f>INDEX('Match Groups'!$D$5:$D$1326,MATCH(G86,'Match Groups'!$A$5:$A$1326,0))</f>
        <v>MATCH</v>
      </c>
      <c r="J86">
        <f>IF(I86="DUPIMP",0,1)</f>
        <v>1</v>
      </c>
    </row>
    <row r="87">
      <c r="A87" t="inlineStr">
        <is>
          <t>BL-01324</t>
        </is>
      </c>
      <c r="B87" t="inlineStr">
        <is>
          <t>MER</t>
        </is>
      </c>
      <c r="C87" s="5" t="n">
        <v>46226</v>
      </c>
      <c r="D87" t="inlineStr">
        <is>
          <t>SETTLEMENT T404 220726</t>
        </is>
      </c>
      <c r="E87" s="9" t="n">
        <v>3201.23</v>
      </c>
      <c r="F87" t="inlineStr">
        <is>
          <t>MER-20260723</t>
        </is>
      </c>
      <c r="G87" t="inlineStr">
        <is>
          <t>G00650</t>
        </is>
      </c>
      <c r="H87" t="str">
        <f>INDEX('Match Groups'!$C$5:$C$1326,MATCH(G87,'Match Groups'!$A$5:$A$1326,0))</f>
        <v>R08</v>
      </c>
      <c r="I87" t="str">
        <f>INDEX('Match Groups'!$D$5:$D$1326,MATCH(G87,'Match Groups'!$A$5:$A$1326,0))</f>
        <v>MATCH</v>
      </c>
      <c r="J87">
        <f>IF(I87="DUPIMP",0,1)</f>
        <v>1</v>
      </c>
    </row>
    <row r="88">
      <c r="A88" t="inlineStr">
        <is>
          <t>BL-01325</t>
        </is>
      </c>
      <c r="B88" t="inlineStr">
        <is>
          <t>MER</t>
        </is>
      </c>
      <c r="C88" s="5" t="n">
        <v>46227</v>
      </c>
      <c r="D88" t="inlineStr">
        <is>
          <t>SETTLEMENT T401 230726</t>
        </is>
      </c>
      <c r="E88" s="9" t="n">
        <v>1712.99</v>
      </c>
      <c r="F88" t="inlineStr">
        <is>
          <t>MER-20260724</t>
        </is>
      </c>
      <c r="G88" t="inlineStr">
        <is>
          <t>G00651</t>
        </is>
      </c>
      <c r="H88" t="str">
        <f>INDEX('Match Groups'!$C$5:$C$1326,MATCH(G88,'Match Groups'!$A$5:$A$1326,0))</f>
        <v>R08</v>
      </c>
      <c r="I88" t="str">
        <f>INDEX('Match Groups'!$D$5:$D$1326,MATCH(G88,'Match Groups'!$A$5:$A$1326,0))</f>
        <v>MATCH</v>
      </c>
      <c r="J88">
        <f>IF(I88="DUPIMP",0,1)</f>
        <v>1</v>
      </c>
    </row>
    <row r="89">
      <c r="A89" t="inlineStr">
        <is>
          <t>BL-01326</t>
        </is>
      </c>
      <c r="B89" t="inlineStr">
        <is>
          <t>MER</t>
        </is>
      </c>
      <c r="C89" s="5" t="n">
        <v>46227</v>
      </c>
      <c r="D89" t="inlineStr">
        <is>
          <t>SETTLEMENT T402 230726</t>
        </is>
      </c>
      <c r="E89" s="9" t="n">
        <v>3496.74</v>
      </c>
      <c r="F89" t="inlineStr">
        <is>
          <t>MER-20260724</t>
        </is>
      </c>
      <c r="G89" t="inlineStr">
        <is>
          <t>G00652</t>
        </is>
      </c>
      <c r="H89" t="str">
        <f>INDEX('Match Groups'!$C$5:$C$1326,MATCH(G89,'Match Groups'!$A$5:$A$1326,0))</f>
        <v>R08</v>
      </c>
      <c r="I89" t="str">
        <f>INDEX('Match Groups'!$D$5:$D$1326,MATCH(G89,'Match Groups'!$A$5:$A$1326,0))</f>
        <v>MATCH</v>
      </c>
      <c r="J89">
        <f>IF(I89="DUPIMP",0,1)</f>
        <v>1</v>
      </c>
    </row>
    <row r="90">
      <c r="A90" t="inlineStr">
        <is>
          <t>BL-01327</t>
        </is>
      </c>
      <c r="B90" t="inlineStr">
        <is>
          <t>MER</t>
        </is>
      </c>
      <c r="C90" s="5" t="n">
        <v>46227</v>
      </c>
      <c r="D90" t="inlineStr">
        <is>
          <t>SETTLEMENT T403 230726</t>
        </is>
      </c>
      <c r="E90" s="9" t="n">
        <v>3547.96</v>
      </c>
      <c r="F90" t="inlineStr">
        <is>
          <t>MER-20260724</t>
        </is>
      </c>
      <c r="G90" t="inlineStr">
        <is>
          <t>G00653</t>
        </is>
      </c>
      <c r="H90" t="str">
        <f>INDEX('Match Groups'!$C$5:$C$1326,MATCH(G90,'Match Groups'!$A$5:$A$1326,0))</f>
        <v>R08</v>
      </c>
      <c r="I90" t="str">
        <f>INDEX('Match Groups'!$D$5:$D$1326,MATCH(G90,'Match Groups'!$A$5:$A$1326,0))</f>
        <v>MATCH</v>
      </c>
      <c r="J90">
        <f>IF(I90="DUPIMP",0,1)</f>
        <v>1</v>
      </c>
    </row>
    <row r="91">
      <c r="A91" t="inlineStr">
        <is>
          <t>BL-01328</t>
        </is>
      </c>
      <c r="B91" t="inlineStr">
        <is>
          <t>MER</t>
        </is>
      </c>
      <c r="C91" s="5" t="n">
        <v>46227</v>
      </c>
      <c r="D91" t="inlineStr">
        <is>
          <t>SETTLEMENT T404 230726</t>
        </is>
      </c>
      <c r="E91" s="9" t="n">
        <v>2507.81</v>
      </c>
      <c r="F91" t="inlineStr">
        <is>
          <t>MER-20260724</t>
        </is>
      </c>
      <c r="G91" t="inlineStr">
        <is>
          <t>G00654</t>
        </is>
      </c>
      <c r="H91" t="str">
        <f>INDEX('Match Groups'!$C$5:$C$1326,MATCH(G91,'Match Groups'!$A$5:$A$1326,0))</f>
        <v>R08</v>
      </c>
      <c r="I91" t="str">
        <f>INDEX('Match Groups'!$D$5:$D$1326,MATCH(G91,'Match Groups'!$A$5:$A$1326,0))</f>
        <v>MATCH</v>
      </c>
      <c r="J91">
        <f>IF(I91="DUPIMP",0,1)</f>
        <v>1</v>
      </c>
    </row>
    <row r="92">
      <c r="A92" t="inlineStr">
        <is>
          <t>BL-01329</t>
        </is>
      </c>
      <c r="B92" t="inlineStr">
        <is>
          <t>MER</t>
        </is>
      </c>
      <c r="C92" s="5" t="n">
        <v>46230</v>
      </c>
      <c r="D92" t="inlineStr">
        <is>
          <t>SETTLEMENT T401 240726</t>
        </is>
      </c>
      <c r="E92" s="9" t="n">
        <v>3165.84</v>
      </c>
      <c r="F92" t="inlineStr">
        <is>
          <t>MER-20260727</t>
        </is>
      </c>
      <c r="G92" t="inlineStr">
        <is>
          <t>G00655</t>
        </is>
      </c>
      <c r="H92" t="str">
        <f>INDEX('Match Groups'!$C$5:$C$1326,MATCH(G92,'Match Groups'!$A$5:$A$1326,0))</f>
        <v>R08</v>
      </c>
      <c r="I92" t="str">
        <f>INDEX('Match Groups'!$D$5:$D$1326,MATCH(G92,'Match Groups'!$A$5:$A$1326,0))</f>
        <v>MATCH</v>
      </c>
      <c r="J92">
        <f>IF(I92="DUPIMP",0,1)</f>
        <v>1</v>
      </c>
    </row>
    <row r="93">
      <c r="A93" t="inlineStr">
        <is>
          <t>BL-01330</t>
        </is>
      </c>
      <c r="B93" t="inlineStr">
        <is>
          <t>MER</t>
        </is>
      </c>
      <c r="C93" s="5" t="n">
        <v>46230</v>
      </c>
      <c r="D93" t="inlineStr">
        <is>
          <t>SETTLEMENT T402 240726</t>
        </is>
      </c>
      <c r="E93" s="9" t="n">
        <v>2513.78</v>
      </c>
      <c r="F93" t="inlineStr">
        <is>
          <t>MER-20260727</t>
        </is>
      </c>
      <c r="G93" t="inlineStr">
        <is>
          <t>G00656</t>
        </is>
      </c>
      <c r="H93" t="str">
        <f>INDEX('Match Groups'!$C$5:$C$1326,MATCH(G93,'Match Groups'!$A$5:$A$1326,0))</f>
        <v>R08</v>
      </c>
      <c r="I93" t="str">
        <f>INDEX('Match Groups'!$D$5:$D$1326,MATCH(G93,'Match Groups'!$A$5:$A$1326,0))</f>
        <v>MATCH</v>
      </c>
      <c r="J93">
        <f>IF(I93="DUPIMP",0,1)</f>
        <v>1</v>
      </c>
    </row>
    <row r="94">
      <c r="A94" t="inlineStr">
        <is>
          <t>BL-01331</t>
        </is>
      </c>
      <c r="B94" t="inlineStr">
        <is>
          <t>MER</t>
        </is>
      </c>
      <c r="C94" s="5" t="n">
        <v>46230</v>
      </c>
      <c r="D94" t="inlineStr">
        <is>
          <t>SETTLEMENT T403 240726</t>
        </is>
      </c>
      <c r="E94" s="9" t="n">
        <v>1583.14</v>
      </c>
      <c r="F94" t="inlineStr">
        <is>
          <t>MER-20260727</t>
        </is>
      </c>
      <c r="G94" t="inlineStr">
        <is>
          <t>G00657</t>
        </is>
      </c>
      <c r="H94" t="str">
        <f>INDEX('Match Groups'!$C$5:$C$1326,MATCH(G94,'Match Groups'!$A$5:$A$1326,0))</f>
        <v>R08</v>
      </c>
      <c r="I94" t="str">
        <f>INDEX('Match Groups'!$D$5:$D$1326,MATCH(G94,'Match Groups'!$A$5:$A$1326,0))</f>
        <v>MATCH</v>
      </c>
      <c r="J94">
        <f>IF(I94="DUPIMP",0,1)</f>
        <v>1</v>
      </c>
    </row>
    <row r="95">
      <c r="A95" t="inlineStr">
        <is>
          <t>BL-01332</t>
        </is>
      </c>
      <c r="B95" t="inlineStr">
        <is>
          <t>MER</t>
        </is>
      </c>
      <c r="C95" s="5" t="n">
        <v>46230</v>
      </c>
      <c r="D95" t="inlineStr">
        <is>
          <t>SETTLEMENT T404 240726</t>
        </is>
      </c>
      <c r="E95" s="9" t="n">
        <v>1305.8</v>
      </c>
      <c r="F95" t="inlineStr">
        <is>
          <t>MER-20260727</t>
        </is>
      </c>
      <c r="G95" t="inlineStr">
        <is>
          <t>G00658</t>
        </is>
      </c>
      <c r="H95" t="str">
        <f>INDEX('Match Groups'!$C$5:$C$1326,MATCH(G95,'Match Groups'!$A$5:$A$1326,0))</f>
        <v>R08</v>
      </c>
      <c r="I95" t="str">
        <f>INDEX('Match Groups'!$D$5:$D$1326,MATCH(G95,'Match Groups'!$A$5:$A$1326,0))</f>
        <v>MATCH</v>
      </c>
      <c r="J95">
        <f>IF(I95="DUPIMP",0,1)</f>
        <v>1</v>
      </c>
    </row>
    <row r="96">
      <c r="A96" t="inlineStr">
        <is>
          <t>BL-01333</t>
        </is>
      </c>
      <c r="B96" t="inlineStr">
        <is>
          <t>MER</t>
        </is>
      </c>
      <c r="C96" s="5" t="n">
        <v>46230</v>
      </c>
      <c r="D96" t="inlineStr">
        <is>
          <t>SETTLEMENT T401 250726</t>
        </is>
      </c>
      <c r="E96" s="9" t="n">
        <v>525.47</v>
      </c>
      <c r="F96" t="inlineStr">
        <is>
          <t>MER-20260727</t>
        </is>
      </c>
      <c r="G96" t="inlineStr">
        <is>
          <t>G00659</t>
        </is>
      </c>
      <c r="H96" t="str">
        <f>INDEX('Match Groups'!$C$5:$C$1326,MATCH(G96,'Match Groups'!$A$5:$A$1326,0))</f>
        <v>R08</v>
      </c>
      <c r="I96" t="str">
        <f>INDEX('Match Groups'!$D$5:$D$1326,MATCH(G96,'Match Groups'!$A$5:$A$1326,0))</f>
        <v>MATCH</v>
      </c>
      <c r="J96">
        <f>IF(I96="DUPIMP",0,1)</f>
        <v>1</v>
      </c>
    </row>
    <row r="97">
      <c r="A97" t="inlineStr">
        <is>
          <t>BL-01334</t>
        </is>
      </c>
      <c r="B97" t="inlineStr">
        <is>
          <t>MER</t>
        </is>
      </c>
      <c r="C97" s="5" t="n">
        <v>46230</v>
      </c>
      <c r="D97" t="inlineStr">
        <is>
          <t>SETTLEMENT T402 250726</t>
        </is>
      </c>
      <c r="E97" s="9" t="n">
        <v>606.76</v>
      </c>
      <c r="F97" t="inlineStr">
        <is>
          <t>MER-20260727</t>
        </is>
      </c>
      <c r="G97" t="inlineStr">
        <is>
          <t>G00660</t>
        </is>
      </c>
      <c r="H97" t="str">
        <f>INDEX('Match Groups'!$C$5:$C$1326,MATCH(G97,'Match Groups'!$A$5:$A$1326,0))</f>
        <v>R08</v>
      </c>
      <c r="I97" t="str">
        <f>INDEX('Match Groups'!$D$5:$D$1326,MATCH(G97,'Match Groups'!$A$5:$A$1326,0))</f>
        <v>MATCH</v>
      </c>
      <c r="J97">
        <f>IF(I97="DUPIMP",0,1)</f>
        <v>1</v>
      </c>
    </row>
    <row r="98">
      <c r="A98" t="inlineStr">
        <is>
          <t>BL-01335</t>
        </is>
      </c>
      <c r="B98" t="inlineStr">
        <is>
          <t>MER</t>
        </is>
      </c>
      <c r="C98" s="5" t="n">
        <v>46230</v>
      </c>
      <c r="D98" t="inlineStr">
        <is>
          <t>SETTLEMENT T403 250726</t>
        </is>
      </c>
      <c r="E98" s="9" t="n">
        <v>837.33</v>
      </c>
      <c r="F98" t="inlineStr">
        <is>
          <t>MER-20260727</t>
        </is>
      </c>
      <c r="G98" t="inlineStr">
        <is>
          <t>G00661</t>
        </is>
      </c>
      <c r="H98" t="str">
        <f>INDEX('Match Groups'!$C$5:$C$1326,MATCH(G98,'Match Groups'!$A$5:$A$1326,0))</f>
        <v>R08</v>
      </c>
      <c r="I98" t="str">
        <f>INDEX('Match Groups'!$D$5:$D$1326,MATCH(G98,'Match Groups'!$A$5:$A$1326,0))</f>
        <v>MATCH</v>
      </c>
      <c r="J98">
        <f>IF(I98="DUPIMP",0,1)</f>
        <v>1</v>
      </c>
    </row>
    <row r="99">
      <c r="A99" t="inlineStr">
        <is>
          <t>BL-01336</t>
        </is>
      </c>
      <c r="B99" t="inlineStr">
        <is>
          <t>MER</t>
        </is>
      </c>
      <c r="C99" s="5" t="n">
        <v>46230</v>
      </c>
      <c r="D99" t="inlineStr">
        <is>
          <t>SETTLEMENT T404 250726</t>
        </is>
      </c>
      <c r="E99" s="9" t="n">
        <v>444.16</v>
      </c>
      <c r="F99" t="inlineStr">
        <is>
          <t>MER-20260727</t>
        </is>
      </c>
      <c r="G99" t="inlineStr">
        <is>
          <t>G00662</t>
        </is>
      </c>
      <c r="H99" t="str">
        <f>INDEX('Match Groups'!$C$5:$C$1326,MATCH(G99,'Match Groups'!$A$5:$A$1326,0))</f>
        <v>R08</v>
      </c>
      <c r="I99" t="str">
        <f>INDEX('Match Groups'!$D$5:$D$1326,MATCH(G99,'Match Groups'!$A$5:$A$1326,0))</f>
        <v>MATCH</v>
      </c>
      <c r="J99">
        <f>IF(I99="DUPIMP",0,1)</f>
        <v>1</v>
      </c>
    </row>
    <row r="100">
      <c r="A100" t="inlineStr">
        <is>
          <t>BL-01567</t>
        </is>
      </c>
      <c r="B100" t="inlineStr">
        <is>
          <t>MER</t>
        </is>
      </c>
      <c r="C100" s="5" t="n">
        <v>46230</v>
      </c>
      <c r="D100" t="inlineStr">
        <is>
          <t>SWEEP TO OPERATING</t>
        </is>
      </c>
      <c r="E100" s="9" t="n">
        <v>-34000</v>
      </c>
      <c r="F100" t="inlineStr">
        <is>
          <t>MER-20260727</t>
        </is>
      </c>
      <c r="G100" t="inlineStr">
        <is>
          <t>G00663</t>
        </is>
      </c>
      <c r="H100" t="str">
        <f>INDEX('Match Groups'!$C$5:$C$1326,MATCH(G100,'Match Groups'!$A$5:$A$1326,0))</f>
        <v>R04</v>
      </c>
      <c r="I100" t="str">
        <f>INDEX('Match Groups'!$D$5:$D$1326,MATCH(G100,'Match Groups'!$A$5:$A$1326,0))</f>
        <v>MATCH</v>
      </c>
      <c r="J100">
        <f>IF(I100="DUPIMP",0,1)</f>
        <v>1</v>
      </c>
    </row>
    <row r="101">
      <c r="A101" t="inlineStr">
        <is>
          <t>BL-01337</t>
        </is>
      </c>
      <c r="B101" t="inlineStr">
        <is>
          <t>MER</t>
        </is>
      </c>
      <c r="C101" s="5" t="n">
        <v>46231</v>
      </c>
      <c r="D101" t="inlineStr">
        <is>
          <t>SETTLEMENT T401 270726</t>
        </is>
      </c>
      <c r="E101" s="9" t="n">
        <v>1671.44</v>
      </c>
      <c r="F101" t="inlineStr">
        <is>
          <t>MER-20260728</t>
        </is>
      </c>
      <c r="G101" t="inlineStr">
        <is>
          <t>G00664</t>
        </is>
      </c>
      <c r="H101" t="str">
        <f>INDEX('Match Groups'!$C$5:$C$1326,MATCH(G101,'Match Groups'!$A$5:$A$1326,0))</f>
        <v>R08</v>
      </c>
      <c r="I101" t="str">
        <f>INDEX('Match Groups'!$D$5:$D$1326,MATCH(G101,'Match Groups'!$A$5:$A$1326,0))</f>
        <v>MATCH</v>
      </c>
      <c r="J101">
        <f>IF(I101="DUPIMP",0,1)</f>
        <v>1</v>
      </c>
    </row>
    <row r="102">
      <c r="A102" t="inlineStr">
        <is>
          <t>BL-01338</t>
        </is>
      </c>
      <c r="B102" t="inlineStr">
        <is>
          <t>MER</t>
        </is>
      </c>
      <c r="C102" s="5" t="n">
        <v>46231</v>
      </c>
      <c r="D102" t="inlineStr">
        <is>
          <t>SETTLEMENT T402 270726</t>
        </is>
      </c>
      <c r="E102" s="9" t="n">
        <v>2722.21</v>
      </c>
      <c r="F102" t="inlineStr">
        <is>
          <t>MER-20260728</t>
        </is>
      </c>
      <c r="G102" t="inlineStr">
        <is>
          <t>G00665</t>
        </is>
      </c>
      <c r="H102" t="str">
        <f>INDEX('Match Groups'!$C$5:$C$1326,MATCH(G102,'Match Groups'!$A$5:$A$1326,0))</f>
        <v>R08</v>
      </c>
      <c r="I102" t="str">
        <f>INDEX('Match Groups'!$D$5:$D$1326,MATCH(G102,'Match Groups'!$A$5:$A$1326,0))</f>
        <v>MATCH</v>
      </c>
      <c r="J102">
        <f>IF(I102="DUPIMP",0,1)</f>
        <v>1</v>
      </c>
    </row>
    <row r="103">
      <c r="A103" t="inlineStr">
        <is>
          <t>BL-01339</t>
        </is>
      </c>
      <c r="B103" t="inlineStr">
        <is>
          <t>MER</t>
        </is>
      </c>
      <c r="C103" s="5" t="n">
        <v>46231</v>
      </c>
      <c r="D103" t="inlineStr">
        <is>
          <t>SETTLEMENT T403 270726</t>
        </is>
      </c>
      <c r="E103" s="9" t="n">
        <v>1678.29</v>
      </c>
      <c r="F103" t="inlineStr">
        <is>
          <t>MER-20260728</t>
        </is>
      </c>
      <c r="G103" t="inlineStr">
        <is>
          <t>G00666</t>
        </is>
      </c>
      <c r="H103" t="str">
        <f>INDEX('Match Groups'!$C$5:$C$1326,MATCH(G103,'Match Groups'!$A$5:$A$1326,0))</f>
        <v>R08</v>
      </c>
      <c r="I103" t="str">
        <f>INDEX('Match Groups'!$D$5:$D$1326,MATCH(G103,'Match Groups'!$A$5:$A$1326,0))</f>
        <v>MATCH</v>
      </c>
      <c r="J103">
        <f>IF(I103="DUPIMP",0,1)</f>
        <v>1</v>
      </c>
    </row>
    <row r="104">
      <c r="A104" t="inlineStr">
        <is>
          <t>BL-01340</t>
        </is>
      </c>
      <c r="B104" t="inlineStr">
        <is>
          <t>MER</t>
        </is>
      </c>
      <c r="C104" s="5" t="n">
        <v>46231</v>
      </c>
      <c r="D104" t="inlineStr">
        <is>
          <t>SETTLEMENT T404 270726</t>
        </is>
      </c>
      <c r="E104" s="9" t="n">
        <v>3412.55</v>
      </c>
      <c r="F104" t="inlineStr">
        <is>
          <t>MER-20260728</t>
        </is>
      </c>
      <c r="G104" t="inlineStr">
        <is>
          <t>G00667</t>
        </is>
      </c>
      <c r="H104" t="str">
        <f>INDEX('Match Groups'!$C$5:$C$1326,MATCH(G104,'Match Groups'!$A$5:$A$1326,0))</f>
        <v>R08</v>
      </c>
      <c r="I104" t="str">
        <f>INDEX('Match Groups'!$D$5:$D$1326,MATCH(G104,'Match Groups'!$A$5:$A$1326,0))</f>
        <v>MATCH</v>
      </c>
      <c r="J104">
        <f>IF(I104="DUPIMP",0,1)</f>
        <v>1</v>
      </c>
    </row>
    <row r="105">
      <c r="A105" t="inlineStr">
        <is>
          <t>BL-01341</t>
        </is>
      </c>
      <c r="B105" t="inlineStr">
        <is>
          <t>MER</t>
        </is>
      </c>
      <c r="C105" s="5" t="n">
        <v>46232</v>
      </c>
      <c r="D105" t="inlineStr">
        <is>
          <t>SETTLEMENT T401 280726</t>
        </is>
      </c>
      <c r="E105" s="9" t="n">
        <v>1715.32</v>
      </c>
      <c r="F105" t="inlineStr">
        <is>
          <t>MER-20260729</t>
        </is>
      </c>
      <c r="G105" t="inlineStr">
        <is>
          <t>G00668</t>
        </is>
      </c>
      <c r="H105" t="str">
        <f>INDEX('Match Groups'!$C$5:$C$1326,MATCH(G105,'Match Groups'!$A$5:$A$1326,0))</f>
        <v>R08</v>
      </c>
      <c r="I105" t="str">
        <f>INDEX('Match Groups'!$D$5:$D$1326,MATCH(G105,'Match Groups'!$A$5:$A$1326,0))</f>
        <v>MATCH</v>
      </c>
      <c r="J105">
        <f>IF(I105="DUPIMP",0,1)</f>
        <v>1</v>
      </c>
    </row>
    <row r="106">
      <c r="A106" t="inlineStr">
        <is>
          <t>BL-01342</t>
        </is>
      </c>
      <c r="B106" t="inlineStr">
        <is>
          <t>MER</t>
        </is>
      </c>
      <c r="C106" s="5" t="n">
        <v>46232</v>
      </c>
      <c r="D106" t="inlineStr">
        <is>
          <t>SETTLEMENT T402 280726</t>
        </is>
      </c>
      <c r="E106" s="9" t="n">
        <v>2856.12</v>
      </c>
      <c r="F106" t="inlineStr">
        <is>
          <t>MER-20260729</t>
        </is>
      </c>
      <c r="G106" t="inlineStr">
        <is>
          <t>G00669</t>
        </is>
      </c>
      <c r="H106" t="str">
        <f>INDEX('Match Groups'!$C$5:$C$1326,MATCH(G106,'Match Groups'!$A$5:$A$1326,0))</f>
        <v>R08</v>
      </c>
      <c r="I106" t="str">
        <f>INDEX('Match Groups'!$D$5:$D$1326,MATCH(G106,'Match Groups'!$A$5:$A$1326,0))</f>
        <v>MATCH</v>
      </c>
      <c r="J106">
        <f>IF(I106="DUPIMP",0,1)</f>
        <v>1</v>
      </c>
    </row>
    <row r="107">
      <c r="A107" t="inlineStr">
        <is>
          <t>BL-01343</t>
        </is>
      </c>
      <c r="B107" t="inlineStr">
        <is>
          <t>MER</t>
        </is>
      </c>
      <c r="C107" s="5" t="n">
        <v>46232</v>
      </c>
      <c r="D107" t="inlineStr">
        <is>
          <t>SETTLEMENT T403 280726</t>
        </is>
      </c>
      <c r="E107" s="9" t="n">
        <v>1023.38</v>
      </c>
      <c r="F107" t="inlineStr">
        <is>
          <t>MER-20260729</t>
        </is>
      </c>
      <c r="G107" t="inlineStr">
        <is>
          <t>G00670</t>
        </is>
      </c>
      <c r="H107" t="str">
        <f>INDEX('Match Groups'!$C$5:$C$1326,MATCH(G107,'Match Groups'!$A$5:$A$1326,0))</f>
        <v>R08</v>
      </c>
      <c r="I107" t="str">
        <f>INDEX('Match Groups'!$D$5:$D$1326,MATCH(G107,'Match Groups'!$A$5:$A$1326,0))</f>
        <v>MATCH</v>
      </c>
      <c r="J107">
        <f>IF(I107="DUPIMP",0,1)</f>
        <v>1</v>
      </c>
    </row>
    <row r="108">
      <c r="A108" t="inlineStr">
        <is>
          <t>BL-01344</t>
        </is>
      </c>
      <c r="B108" t="inlineStr">
        <is>
          <t>MER</t>
        </is>
      </c>
      <c r="C108" s="5" t="n">
        <v>46232</v>
      </c>
      <c r="D108" t="inlineStr">
        <is>
          <t>SETTLEMENT T404 280726</t>
        </is>
      </c>
      <c r="E108" s="9" t="n">
        <v>2730.12</v>
      </c>
      <c r="F108" t="inlineStr">
        <is>
          <t>MER-20260729</t>
        </is>
      </c>
      <c r="G108" t="inlineStr">
        <is>
          <t>G00671</t>
        </is>
      </c>
      <c r="H108" t="str">
        <f>INDEX('Match Groups'!$C$5:$C$1326,MATCH(G108,'Match Groups'!$A$5:$A$1326,0))</f>
        <v>R08</v>
      </c>
      <c r="I108" t="str">
        <f>INDEX('Match Groups'!$D$5:$D$1326,MATCH(G108,'Match Groups'!$A$5:$A$1326,0))</f>
        <v>MATCH</v>
      </c>
      <c r="J108">
        <f>IF(I108="DUPIMP",0,1)</f>
        <v>1</v>
      </c>
    </row>
    <row r="109">
      <c r="A109" t="inlineStr">
        <is>
          <t>BL-01345</t>
        </is>
      </c>
      <c r="B109" t="inlineStr">
        <is>
          <t>MER</t>
        </is>
      </c>
      <c r="C109" s="5" t="n">
        <v>46233</v>
      </c>
      <c r="D109" t="inlineStr">
        <is>
          <t>SETTLEMENT T401 290726</t>
        </is>
      </c>
      <c r="E109" s="9" t="n">
        <v>1547.87</v>
      </c>
      <c r="F109" t="inlineStr">
        <is>
          <t>MER-20260730</t>
        </is>
      </c>
      <c r="G109" t="inlineStr">
        <is>
          <t>G00672</t>
        </is>
      </c>
      <c r="H109" t="str">
        <f>INDEX('Match Groups'!$C$5:$C$1326,MATCH(G109,'Match Groups'!$A$5:$A$1326,0))</f>
        <v>R08</v>
      </c>
      <c r="I109" t="str">
        <f>INDEX('Match Groups'!$D$5:$D$1326,MATCH(G109,'Match Groups'!$A$5:$A$1326,0))</f>
        <v>MATCH</v>
      </c>
      <c r="J109">
        <f>IF(I109="DUPIMP",0,1)</f>
        <v>1</v>
      </c>
    </row>
    <row r="110">
      <c r="A110" t="inlineStr">
        <is>
          <t>BL-01346</t>
        </is>
      </c>
      <c r="B110" t="inlineStr">
        <is>
          <t>MER</t>
        </is>
      </c>
      <c r="C110" s="5" t="n">
        <v>46233</v>
      </c>
      <c r="D110" t="inlineStr">
        <is>
          <t>SETTLEMENT T402 290726</t>
        </is>
      </c>
      <c r="E110" s="9" t="n">
        <v>2742.9</v>
      </c>
      <c r="F110" t="inlineStr">
        <is>
          <t>MER-20260730</t>
        </is>
      </c>
      <c r="G110" t="inlineStr">
        <is>
          <t>G00673</t>
        </is>
      </c>
      <c r="H110" t="str">
        <f>INDEX('Match Groups'!$C$5:$C$1326,MATCH(G110,'Match Groups'!$A$5:$A$1326,0))</f>
        <v>R08</v>
      </c>
      <c r="I110" t="str">
        <f>INDEX('Match Groups'!$D$5:$D$1326,MATCH(G110,'Match Groups'!$A$5:$A$1326,0))</f>
        <v>MATCH</v>
      </c>
      <c r="J110">
        <f>IF(I110="DUPIMP",0,1)</f>
        <v>1</v>
      </c>
    </row>
    <row r="111">
      <c r="A111" t="inlineStr">
        <is>
          <t>BL-01347</t>
        </is>
      </c>
      <c r="B111" t="inlineStr">
        <is>
          <t>MER</t>
        </is>
      </c>
      <c r="C111" s="5" t="n">
        <v>46233</v>
      </c>
      <c r="D111" t="inlineStr">
        <is>
          <t>SETTLEMENT T403 290726</t>
        </is>
      </c>
      <c r="E111" s="9" t="n">
        <v>2446.62</v>
      </c>
      <c r="F111" t="inlineStr">
        <is>
          <t>MER-20260730</t>
        </is>
      </c>
      <c r="G111" t="inlineStr">
        <is>
          <t>G00674</t>
        </is>
      </c>
      <c r="H111" t="str">
        <f>INDEX('Match Groups'!$C$5:$C$1326,MATCH(G111,'Match Groups'!$A$5:$A$1326,0))</f>
        <v>R08</v>
      </c>
      <c r="I111" t="str">
        <f>INDEX('Match Groups'!$D$5:$D$1326,MATCH(G111,'Match Groups'!$A$5:$A$1326,0))</f>
        <v>MATCH</v>
      </c>
      <c r="J111">
        <f>IF(I111="DUPIMP",0,1)</f>
        <v>1</v>
      </c>
    </row>
    <row r="112">
      <c r="A112" t="inlineStr">
        <is>
          <t>BL-01348</t>
        </is>
      </c>
      <c r="B112" t="inlineStr">
        <is>
          <t>MER</t>
        </is>
      </c>
      <c r="C112" s="5" t="n">
        <v>46233</v>
      </c>
      <c r="D112" t="inlineStr">
        <is>
          <t>SETTLEMENT T404 290726</t>
        </is>
      </c>
      <c r="E112" s="9" t="n">
        <v>2798.45</v>
      </c>
      <c r="F112" t="inlineStr">
        <is>
          <t>MER-20260730</t>
        </is>
      </c>
      <c r="G112" t="inlineStr">
        <is>
          <t>G00675</t>
        </is>
      </c>
      <c r="H112" t="str">
        <f>INDEX('Match Groups'!$C$5:$C$1326,MATCH(G112,'Match Groups'!$A$5:$A$1326,0))</f>
        <v>R08</v>
      </c>
      <c r="I112" t="str">
        <f>INDEX('Match Groups'!$D$5:$D$1326,MATCH(G112,'Match Groups'!$A$5:$A$1326,0))</f>
        <v>MATCH</v>
      </c>
      <c r="J112">
        <f>IF(I112="DUPIMP",0,1)</f>
        <v>1</v>
      </c>
    </row>
    <row r="113">
      <c r="A113" t="inlineStr">
        <is>
          <t>BL-01349</t>
        </is>
      </c>
      <c r="B113" t="inlineStr">
        <is>
          <t>MER</t>
        </is>
      </c>
      <c r="C113" s="5" t="n">
        <v>46234</v>
      </c>
      <c r="D113" t="inlineStr">
        <is>
          <t>SETTLEMENT T401 300726</t>
        </is>
      </c>
      <c r="E113" s="9" t="n">
        <v>3367.47</v>
      </c>
      <c r="F113" t="inlineStr">
        <is>
          <t>MER-20260731</t>
        </is>
      </c>
      <c r="G113" t="inlineStr">
        <is>
          <t>G00676</t>
        </is>
      </c>
      <c r="H113" t="str">
        <f>INDEX('Match Groups'!$C$5:$C$1326,MATCH(G113,'Match Groups'!$A$5:$A$1326,0))</f>
        <v>R08</v>
      </c>
      <c r="I113" t="str">
        <f>INDEX('Match Groups'!$D$5:$D$1326,MATCH(G113,'Match Groups'!$A$5:$A$1326,0))</f>
        <v>MATCH</v>
      </c>
      <c r="J113">
        <f>IF(I113="DUPIMP",0,1)</f>
        <v>1</v>
      </c>
    </row>
    <row r="114">
      <c r="A114" t="inlineStr">
        <is>
          <t>BL-01350</t>
        </is>
      </c>
      <c r="B114" t="inlineStr">
        <is>
          <t>MER</t>
        </is>
      </c>
      <c r="C114" s="5" t="n">
        <v>46234</v>
      </c>
      <c r="D114" t="inlineStr">
        <is>
          <t>SETTLEMENT T402 300726</t>
        </is>
      </c>
      <c r="E114" s="9" t="n">
        <v>1809.73</v>
      </c>
      <c r="F114" t="inlineStr">
        <is>
          <t>MER-20260731</t>
        </is>
      </c>
      <c r="G114" t="inlineStr">
        <is>
          <t>G00677</t>
        </is>
      </c>
      <c r="H114" t="str">
        <f>INDEX('Match Groups'!$C$5:$C$1326,MATCH(G114,'Match Groups'!$A$5:$A$1326,0))</f>
        <v>R08</v>
      </c>
      <c r="I114" t="str">
        <f>INDEX('Match Groups'!$D$5:$D$1326,MATCH(G114,'Match Groups'!$A$5:$A$1326,0))</f>
        <v>MATCH</v>
      </c>
      <c r="J114">
        <f>IF(I114="DUPIMP",0,1)</f>
        <v>1</v>
      </c>
    </row>
    <row r="115">
      <c r="A115" t="inlineStr">
        <is>
          <t>BL-01351</t>
        </is>
      </c>
      <c r="B115" t="inlineStr">
        <is>
          <t>MER</t>
        </is>
      </c>
      <c r="C115" s="5" t="n">
        <v>46234</v>
      </c>
      <c r="D115" t="inlineStr">
        <is>
          <t>SETTLEMENT T403 300726</t>
        </is>
      </c>
      <c r="E115" s="9" t="n">
        <v>3522.4</v>
      </c>
      <c r="F115" t="inlineStr">
        <is>
          <t>MER-20260731</t>
        </is>
      </c>
      <c r="G115" t="inlineStr">
        <is>
          <t>G00678</t>
        </is>
      </c>
      <c r="H115" t="str">
        <f>INDEX('Match Groups'!$C$5:$C$1326,MATCH(G115,'Match Groups'!$A$5:$A$1326,0))</f>
        <v>R08</v>
      </c>
      <c r="I115" t="str">
        <f>INDEX('Match Groups'!$D$5:$D$1326,MATCH(G115,'Match Groups'!$A$5:$A$1326,0))</f>
        <v>MATCH</v>
      </c>
      <c r="J115">
        <f>IF(I115="DUPIMP",0,1)</f>
        <v>1</v>
      </c>
    </row>
    <row r="116">
      <c r="A116" t="inlineStr">
        <is>
          <t>BL-01352</t>
        </is>
      </c>
      <c r="B116" t="inlineStr">
        <is>
          <t>MER</t>
        </is>
      </c>
      <c r="C116" s="5" t="n">
        <v>46234</v>
      </c>
      <c r="D116" t="inlineStr">
        <is>
          <t>SETTLEMENT T404 300726</t>
        </is>
      </c>
      <c r="E116" s="9" t="n">
        <v>2980.98</v>
      </c>
      <c r="F116" t="inlineStr">
        <is>
          <t>MER-20260731</t>
        </is>
      </c>
      <c r="G116" t="inlineStr">
        <is>
          <t>G00679</t>
        </is>
      </c>
      <c r="H116" t="str">
        <f>INDEX('Match Groups'!$C$5:$C$1326,MATCH(G116,'Match Groups'!$A$5:$A$1326,0))</f>
        <v>R08</v>
      </c>
      <c r="I116" t="str">
        <f>INDEX('Match Groups'!$D$5:$D$1326,MATCH(G116,'Match Groups'!$A$5:$A$1326,0))</f>
        <v>MATCH</v>
      </c>
      <c r="J116">
        <f>IF(I116="DUPIMP",0,1)</f>
        <v>1</v>
      </c>
    </row>
    <row r="117">
      <c r="A117" t="inlineStr">
        <is>
          <t>BL-01587</t>
        </is>
      </c>
      <c r="B117" t="inlineStr">
        <is>
          <t>MER</t>
        </is>
      </c>
      <c r="C117" s="5" t="n">
        <v>46234</v>
      </c>
      <c r="D117" t="inlineStr">
        <is>
          <t>MERCHANT SERVICE FEE JUL26</t>
        </is>
      </c>
      <c r="E117" s="9" t="n">
        <v>-2203.04</v>
      </c>
      <c r="F117" t="inlineStr">
        <is>
          <t>MER-20260731</t>
        </is>
      </c>
      <c r="G117" t="inlineStr">
        <is>
          <t>G01223</t>
        </is>
      </c>
      <c r="H117" t="str">
        <f>INDEX('Match Groups'!$C$5:$C$1326,MATCH(G117,'Match Groups'!$A$5:$A$1326,0))</f>
        <v>R12</v>
      </c>
      <c r="I117" t="str">
        <f>INDEX('Match Groups'!$D$5:$D$1326,MATCH(G117,'Match Groups'!$A$5:$A$1326,0))</f>
        <v>MERCH</v>
      </c>
      <c r="J117">
        <f>IF(I117="DUPIMP",0,1)</f>
        <v>1</v>
      </c>
    </row>
    <row r="118">
      <c r="A118" t="inlineStr">
        <is>
          <t>BL-01353</t>
        </is>
      </c>
      <c r="B118" t="inlineStr">
        <is>
          <t>MER</t>
        </is>
      </c>
      <c r="C118" s="5" t="n">
        <v>46237</v>
      </c>
      <c r="D118" t="inlineStr">
        <is>
          <t>SETTLEMENT T401 310726</t>
        </is>
      </c>
      <c r="E118" s="9" t="n">
        <v>1287.81</v>
      </c>
      <c r="F118" t="inlineStr">
        <is>
          <t>MER-20260803</t>
        </is>
      </c>
      <c r="G118" t="inlineStr">
        <is>
          <t>G00680</t>
        </is>
      </c>
      <c r="H118" t="str">
        <f>INDEX('Match Groups'!$C$5:$C$1326,MATCH(G118,'Match Groups'!$A$5:$A$1326,0))</f>
        <v>R08</v>
      </c>
      <c r="I118" t="str">
        <f>INDEX('Match Groups'!$D$5:$D$1326,MATCH(G118,'Match Groups'!$A$5:$A$1326,0))</f>
        <v>MATCH</v>
      </c>
      <c r="J118">
        <f>IF(I118="DUPIMP",0,1)</f>
        <v>1</v>
      </c>
    </row>
    <row r="119">
      <c r="A119" t="inlineStr">
        <is>
          <t>BL-01354</t>
        </is>
      </c>
      <c r="B119" t="inlineStr">
        <is>
          <t>MER</t>
        </is>
      </c>
      <c r="C119" s="5" t="n">
        <v>46237</v>
      </c>
      <c r="D119" t="inlineStr">
        <is>
          <t>SETTLEMENT T402 310726</t>
        </is>
      </c>
      <c r="E119" s="9" t="n">
        <v>2132.09</v>
      </c>
      <c r="F119" t="inlineStr">
        <is>
          <t>MER-20260803</t>
        </is>
      </c>
      <c r="G119" t="inlineStr">
        <is>
          <t>G00681</t>
        </is>
      </c>
      <c r="H119" t="str">
        <f>INDEX('Match Groups'!$C$5:$C$1326,MATCH(G119,'Match Groups'!$A$5:$A$1326,0))</f>
        <v>R08</v>
      </c>
      <c r="I119" t="str">
        <f>INDEX('Match Groups'!$D$5:$D$1326,MATCH(G119,'Match Groups'!$A$5:$A$1326,0))</f>
        <v>MATCH</v>
      </c>
      <c r="J119">
        <f>IF(I119="DUPIMP",0,1)</f>
        <v>1</v>
      </c>
    </row>
    <row r="120">
      <c r="A120" t="inlineStr">
        <is>
          <t>BL-01355</t>
        </is>
      </c>
      <c r="B120" t="inlineStr">
        <is>
          <t>MER</t>
        </is>
      </c>
      <c r="C120" s="5" t="n">
        <v>46237</v>
      </c>
      <c r="D120" t="inlineStr">
        <is>
          <t>SETTLEMENT T403 310726</t>
        </is>
      </c>
      <c r="E120" s="9" t="n">
        <v>1449.98</v>
      </c>
      <c r="F120" t="inlineStr">
        <is>
          <t>MER-20260803</t>
        </is>
      </c>
      <c r="G120" t="inlineStr">
        <is>
          <t>G00682</t>
        </is>
      </c>
      <c r="H120" t="str">
        <f>INDEX('Match Groups'!$C$5:$C$1326,MATCH(G120,'Match Groups'!$A$5:$A$1326,0))</f>
        <v>R08</v>
      </c>
      <c r="I120" t="str">
        <f>INDEX('Match Groups'!$D$5:$D$1326,MATCH(G120,'Match Groups'!$A$5:$A$1326,0))</f>
        <v>MATCH</v>
      </c>
      <c r="J120">
        <f>IF(I120="DUPIMP",0,1)</f>
        <v>1</v>
      </c>
    </row>
    <row r="121">
      <c r="A121" t="inlineStr">
        <is>
          <t>BL-01356</t>
        </is>
      </c>
      <c r="B121" t="inlineStr">
        <is>
          <t>MER</t>
        </is>
      </c>
      <c r="C121" s="5" t="n">
        <v>46237</v>
      </c>
      <c r="D121" t="inlineStr">
        <is>
          <t>SETTLEMENT T404 310726</t>
        </is>
      </c>
      <c r="E121" s="9" t="n">
        <v>1040.44</v>
      </c>
      <c r="F121" t="inlineStr">
        <is>
          <t>MER-20260803</t>
        </is>
      </c>
      <c r="G121" t="inlineStr">
        <is>
          <t>G00683</t>
        </is>
      </c>
      <c r="H121" t="str">
        <f>INDEX('Match Groups'!$C$5:$C$1326,MATCH(G121,'Match Groups'!$A$5:$A$1326,0))</f>
        <v>R08</v>
      </c>
      <c r="I121" t="str">
        <f>INDEX('Match Groups'!$D$5:$D$1326,MATCH(G121,'Match Groups'!$A$5:$A$1326,0))</f>
        <v>MATCH</v>
      </c>
      <c r="J121">
        <f>IF(I121="DUPIMP",0,1)</f>
        <v>1</v>
      </c>
    </row>
    <row r="122">
      <c r="A122" t="inlineStr">
        <is>
          <t>BL-01357</t>
        </is>
      </c>
      <c r="B122" t="inlineStr">
        <is>
          <t>MER</t>
        </is>
      </c>
      <c r="C122" s="5" t="n">
        <v>46237</v>
      </c>
      <c r="D122" t="inlineStr">
        <is>
          <t>SETTLEMENT T401 010826</t>
        </is>
      </c>
      <c r="E122" s="9" t="n">
        <v>908.59</v>
      </c>
      <c r="F122" t="inlineStr">
        <is>
          <t>MER-20260803</t>
        </is>
      </c>
      <c r="G122" t="inlineStr">
        <is>
          <t>G00684</t>
        </is>
      </c>
      <c r="H122" t="str">
        <f>INDEX('Match Groups'!$C$5:$C$1326,MATCH(G122,'Match Groups'!$A$5:$A$1326,0))</f>
        <v>R08</v>
      </c>
      <c r="I122" t="str">
        <f>INDEX('Match Groups'!$D$5:$D$1326,MATCH(G122,'Match Groups'!$A$5:$A$1326,0))</f>
        <v>MATCH</v>
      </c>
      <c r="J122">
        <f>IF(I122="DUPIMP",0,1)</f>
        <v>1</v>
      </c>
    </row>
    <row r="123">
      <c r="A123" t="inlineStr">
        <is>
          <t>BL-01358</t>
        </is>
      </c>
      <c r="B123" t="inlineStr">
        <is>
          <t>MER</t>
        </is>
      </c>
      <c r="C123" s="5" t="n">
        <v>46237</v>
      </c>
      <c r="D123" t="inlineStr">
        <is>
          <t>SETTLEMENT T402 010826</t>
        </is>
      </c>
      <c r="E123" s="9" t="n">
        <v>1039.01</v>
      </c>
      <c r="F123" t="inlineStr">
        <is>
          <t>MER-20260803</t>
        </is>
      </c>
      <c r="G123" t="inlineStr">
        <is>
          <t>G00685</t>
        </is>
      </c>
      <c r="H123" t="str">
        <f>INDEX('Match Groups'!$C$5:$C$1326,MATCH(G123,'Match Groups'!$A$5:$A$1326,0))</f>
        <v>R08</v>
      </c>
      <c r="I123" t="str">
        <f>INDEX('Match Groups'!$D$5:$D$1326,MATCH(G123,'Match Groups'!$A$5:$A$1326,0))</f>
        <v>MATCH</v>
      </c>
      <c r="J123">
        <f>IF(I123="DUPIMP",0,1)</f>
        <v>1</v>
      </c>
    </row>
    <row r="124">
      <c r="A124" t="inlineStr">
        <is>
          <t>BL-01359</t>
        </is>
      </c>
      <c r="B124" t="inlineStr">
        <is>
          <t>MER</t>
        </is>
      </c>
      <c r="C124" s="5" t="n">
        <v>46237</v>
      </c>
      <c r="D124" t="inlineStr">
        <is>
          <t>SETTLEMENT T403 010826</t>
        </is>
      </c>
      <c r="E124" s="9" t="n">
        <v>1187.92</v>
      </c>
      <c r="F124" t="inlineStr">
        <is>
          <t>MER-20260803</t>
        </is>
      </c>
      <c r="G124" t="inlineStr">
        <is>
          <t>G00686</t>
        </is>
      </c>
      <c r="H124" t="str">
        <f>INDEX('Match Groups'!$C$5:$C$1326,MATCH(G124,'Match Groups'!$A$5:$A$1326,0))</f>
        <v>R08</v>
      </c>
      <c r="I124" t="str">
        <f>INDEX('Match Groups'!$D$5:$D$1326,MATCH(G124,'Match Groups'!$A$5:$A$1326,0))</f>
        <v>MATCH</v>
      </c>
      <c r="J124">
        <f>IF(I124="DUPIMP",0,1)</f>
        <v>1</v>
      </c>
    </row>
    <row r="125">
      <c r="A125" t="inlineStr">
        <is>
          <t>BL-01360</t>
        </is>
      </c>
      <c r="B125" t="inlineStr">
        <is>
          <t>MER</t>
        </is>
      </c>
      <c r="C125" s="5" t="n">
        <v>46237</v>
      </c>
      <c r="D125" t="inlineStr">
        <is>
          <t>SETTLEMENT T404 010826</t>
        </is>
      </c>
      <c r="E125" s="9" t="n">
        <v>480.81</v>
      </c>
      <c r="F125" t="inlineStr">
        <is>
          <t>MER-20260803</t>
        </is>
      </c>
      <c r="G125" t="inlineStr">
        <is>
          <t>G00687</t>
        </is>
      </c>
      <c r="H125" t="str">
        <f>INDEX('Match Groups'!$C$5:$C$1326,MATCH(G125,'Match Groups'!$A$5:$A$1326,0))</f>
        <v>R08</v>
      </c>
      <c r="I125" t="str">
        <f>INDEX('Match Groups'!$D$5:$D$1326,MATCH(G125,'Match Groups'!$A$5:$A$1326,0))</f>
        <v>MATCH</v>
      </c>
      <c r="J125">
        <f>IF(I125="DUPIMP",0,1)</f>
        <v>1</v>
      </c>
    </row>
    <row r="126">
      <c r="A126" t="inlineStr">
        <is>
          <t>BL-01569</t>
        </is>
      </c>
      <c r="B126" t="inlineStr">
        <is>
          <t>MER</t>
        </is>
      </c>
      <c r="C126" s="5" t="n">
        <v>46237</v>
      </c>
      <c r="D126" t="inlineStr">
        <is>
          <t>SWEEP TO OPERATING</t>
        </is>
      </c>
      <c r="E126" s="9" t="n">
        <v>-22000</v>
      </c>
      <c r="F126" t="inlineStr">
        <is>
          <t>MER-20260803</t>
        </is>
      </c>
      <c r="G126" t="inlineStr">
        <is>
          <t>G00688</t>
        </is>
      </c>
      <c r="H126" t="str">
        <f>INDEX('Match Groups'!$C$5:$C$1326,MATCH(G126,'Match Groups'!$A$5:$A$1326,0))</f>
        <v>R04</v>
      </c>
      <c r="I126" t="str">
        <f>INDEX('Match Groups'!$D$5:$D$1326,MATCH(G126,'Match Groups'!$A$5:$A$1326,0))</f>
        <v>MATCH</v>
      </c>
      <c r="J126">
        <f>IF(I126="DUPIMP",0,1)</f>
        <v>1</v>
      </c>
    </row>
    <row r="127">
      <c r="A127" t="inlineStr">
        <is>
          <t>BL-01361</t>
        </is>
      </c>
      <c r="B127" t="inlineStr">
        <is>
          <t>MER</t>
        </is>
      </c>
      <c r="C127" s="5" t="n">
        <v>46238</v>
      </c>
      <c r="D127" t="inlineStr">
        <is>
          <t>SETTLEMENT T401 030826</t>
        </is>
      </c>
      <c r="E127" s="9" t="n">
        <v>2070.06</v>
      </c>
      <c r="F127" t="inlineStr">
        <is>
          <t>MER-20260804</t>
        </is>
      </c>
      <c r="G127" t="inlineStr">
        <is>
          <t>G00689</t>
        </is>
      </c>
      <c r="H127" t="str">
        <f>INDEX('Match Groups'!$C$5:$C$1326,MATCH(G127,'Match Groups'!$A$5:$A$1326,0))</f>
        <v>R08</v>
      </c>
      <c r="I127" t="str">
        <f>INDEX('Match Groups'!$D$5:$D$1326,MATCH(G127,'Match Groups'!$A$5:$A$1326,0))</f>
        <v>MATCH</v>
      </c>
      <c r="J127">
        <f>IF(I127="DUPIMP",0,1)</f>
        <v>1</v>
      </c>
    </row>
    <row r="128">
      <c r="A128" t="inlineStr">
        <is>
          <t>BL-01362</t>
        </is>
      </c>
      <c r="B128" t="inlineStr">
        <is>
          <t>MER</t>
        </is>
      </c>
      <c r="C128" s="5" t="n">
        <v>46238</v>
      </c>
      <c r="D128" t="inlineStr">
        <is>
          <t>SETTLEMENT T402 030826</t>
        </is>
      </c>
      <c r="E128" s="9" t="n">
        <v>1449.26</v>
      </c>
      <c r="F128" t="inlineStr">
        <is>
          <t>MER-20260804</t>
        </is>
      </c>
      <c r="G128" t="inlineStr">
        <is>
          <t>G00690</t>
        </is>
      </c>
      <c r="H128" t="str">
        <f>INDEX('Match Groups'!$C$5:$C$1326,MATCH(G128,'Match Groups'!$A$5:$A$1326,0))</f>
        <v>R08</v>
      </c>
      <c r="I128" t="str">
        <f>INDEX('Match Groups'!$D$5:$D$1326,MATCH(G128,'Match Groups'!$A$5:$A$1326,0))</f>
        <v>MATCH</v>
      </c>
      <c r="J128">
        <f>IF(I128="DUPIMP",0,1)</f>
        <v>1</v>
      </c>
    </row>
    <row r="129">
      <c r="A129" t="inlineStr">
        <is>
          <t>BL-01363</t>
        </is>
      </c>
      <c r="B129" t="inlineStr">
        <is>
          <t>MER</t>
        </is>
      </c>
      <c r="C129" s="5" t="n">
        <v>46238</v>
      </c>
      <c r="D129" t="inlineStr">
        <is>
          <t>SETTLEMENT T403 030826</t>
        </is>
      </c>
      <c r="E129" s="9" t="n">
        <v>1337.09</v>
      </c>
      <c r="F129" t="inlineStr">
        <is>
          <t>MER-20260804</t>
        </is>
      </c>
      <c r="G129" t="inlineStr">
        <is>
          <t>G00691</t>
        </is>
      </c>
      <c r="H129" t="str">
        <f>INDEX('Match Groups'!$C$5:$C$1326,MATCH(G129,'Match Groups'!$A$5:$A$1326,0))</f>
        <v>R08</v>
      </c>
      <c r="I129" t="str">
        <f>INDEX('Match Groups'!$D$5:$D$1326,MATCH(G129,'Match Groups'!$A$5:$A$1326,0))</f>
        <v>MATCH</v>
      </c>
      <c r="J129">
        <f>IF(I129="DUPIMP",0,1)</f>
        <v>1</v>
      </c>
    </row>
    <row r="130">
      <c r="A130" t="inlineStr">
        <is>
          <t>BL-01364</t>
        </is>
      </c>
      <c r="B130" t="inlineStr">
        <is>
          <t>MER</t>
        </is>
      </c>
      <c r="C130" s="5" t="n">
        <v>46238</v>
      </c>
      <c r="D130" t="inlineStr">
        <is>
          <t>SETTLEMENT T404 030826</t>
        </is>
      </c>
      <c r="E130" s="9" t="n">
        <v>1108.16</v>
      </c>
      <c r="F130" t="inlineStr">
        <is>
          <t>MER-20260804</t>
        </is>
      </c>
      <c r="G130" t="inlineStr">
        <is>
          <t>G00692</t>
        </is>
      </c>
      <c r="H130" t="str">
        <f>INDEX('Match Groups'!$C$5:$C$1326,MATCH(G130,'Match Groups'!$A$5:$A$1326,0))</f>
        <v>R08</v>
      </c>
      <c r="I130" t="str">
        <f>INDEX('Match Groups'!$D$5:$D$1326,MATCH(G130,'Match Groups'!$A$5:$A$1326,0))</f>
        <v>MATCH</v>
      </c>
      <c r="J130">
        <f>IF(I130="DUPIMP",0,1)</f>
        <v>1</v>
      </c>
    </row>
    <row r="131">
      <c r="A131" t="inlineStr">
        <is>
          <t>BL-01365</t>
        </is>
      </c>
      <c r="B131" t="inlineStr">
        <is>
          <t>MER</t>
        </is>
      </c>
      <c r="C131" s="5" t="n">
        <v>46239</v>
      </c>
      <c r="D131" t="inlineStr">
        <is>
          <t>SETTLEMENT T401 040826</t>
        </is>
      </c>
      <c r="E131" s="9" t="n">
        <v>1777.85</v>
      </c>
      <c r="F131" t="inlineStr">
        <is>
          <t>MER-20260805</t>
        </is>
      </c>
      <c r="G131" t="inlineStr">
        <is>
          <t>G00693</t>
        </is>
      </c>
      <c r="H131" t="str">
        <f>INDEX('Match Groups'!$C$5:$C$1326,MATCH(G131,'Match Groups'!$A$5:$A$1326,0))</f>
        <v>R08</v>
      </c>
      <c r="I131" t="str">
        <f>INDEX('Match Groups'!$D$5:$D$1326,MATCH(G131,'Match Groups'!$A$5:$A$1326,0))</f>
        <v>MATCH</v>
      </c>
      <c r="J131">
        <f>IF(I131="DUPIMP",0,1)</f>
        <v>1</v>
      </c>
    </row>
    <row r="132">
      <c r="A132" t="inlineStr">
        <is>
          <t>BL-01366</t>
        </is>
      </c>
      <c r="B132" t="inlineStr">
        <is>
          <t>MER</t>
        </is>
      </c>
      <c r="C132" s="5" t="n">
        <v>46239</v>
      </c>
      <c r="D132" t="inlineStr">
        <is>
          <t>SETTLEMENT T402 040826</t>
        </is>
      </c>
      <c r="E132" s="9" t="n">
        <v>3584.43</v>
      </c>
      <c r="F132" t="inlineStr">
        <is>
          <t>MER-20260805</t>
        </is>
      </c>
      <c r="G132" t="inlineStr">
        <is>
          <t>G00694</t>
        </is>
      </c>
      <c r="H132" t="str">
        <f>INDEX('Match Groups'!$C$5:$C$1326,MATCH(G132,'Match Groups'!$A$5:$A$1326,0))</f>
        <v>R08</v>
      </c>
      <c r="I132" t="str">
        <f>INDEX('Match Groups'!$D$5:$D$1326,MATCH(G132,'Match Groups'!$A$5:$A$1326,0))</f>
        <v>MATCH</v>
      </c>
      <c r="J132">
        <f>IF(I132="DUPIMP",0,1)</f>
        <v>1</v>
      </c>
    </row>
    <row r="133">
      <c r="A133" t="inlineStr">
        <is>
          <t>BL-01367</t>
        </is>
      </c>
      <c r="B133" t="inlineStr">
        <is>
          <t>MER</t>
        </is>
      </c>
      <c r="C133" s="5" t="n">
        <v>46239</v>
      </c>
      <c r="D133" t="inlineStr">
        <is>
          <t>SETTLEMENT T403 040826</t>
        </is>
      </c>
      <c r="E133" s="9" t="n">
        <v>1949.17</v>
      </c>
      <c r="F133" t="inlineStr">
        <is>
          <t>MER-20260805</t>
        </is>
      </c>
      <c r="G133" t="inlineStr">
        <is>
          <t>G00695</t>
        </is>
      </c>
      <c r="H133" t="str">
        <f>INDEX('Match Groups'!$C$5:$C$1326,MATCH(G133,'Match Groups'!$A$5:$A$1326,0))</f>
        <v>R08</v>
      </c>
      <c r="I133" t="str">
        <f>INDEX('Match Groups'!$D$5:$D$1326,MATCH(G133,'Match Groups'!$A$5:$A$1326,0))</f>
        <v>MATCH</v>
      </c>
      <c r="J133">
        <f>IF(I133="DUPIMP",0,1)</f>
        <v>1</v>
      </c>
    </row>
    <row r="134">
      <c r="A134" t="inlineStr">
        <is>
          <t>BL-01368</t>
        </is>
      </c>
      <c r="B134" t="inlineStr">
        <is>
          <t>MER</t>
        </is>
      </c>
      <c r="C134" s="5" t="n">
        <v>46239</v>
      </c>
      <c r="D134" t="inlineStr">
        <is>
          <t>SETTLEMENT T404 040826</t>
        </is>
      </c>
      <c r="E134" s="9" t="n">
        <v>2419.78</v>
      </c>
      <c r="F134" t="inlineStr">
        <is>
          <t>MER-20260805</t>
        </is>
      </c>
      <c r="G134" t="inlineStr">
        <is>
          <t>G00696</t>
        </is>
      </c>
      <c r="H134" t="str">
        <f>INDEX('Match Groups'!$C$5:$C$1326,MATCH(G134,'Match Groups'!$A$5:$A$1326,0))</f>
        <v>R08</v>
      </c>
      <c r="I134" t="str">
        <f>INDEX('Match Groups'!$D$5:$D$1326,MATCH(G134,'Match Groups'!$A$5:$A$1326,0))</f>
        <v>MATCH</v>
      </c>
      <c r="J134">
        <f>IF(I134="DUPIMP",0,1)</f>
        <v>1</v>
      </c>
    </row>
    <row r="135">
      <c r="A135" t="inlineStr">
        <is>
          <t>BL-01369</t>
        </is>
      </c>
      <c r="B135" t="inlineStr">
        <is>
          <t>MER</t>
        </is>
      </c>
      <c r="C135" s="5" t="n">
        <v>46240</v>
      </c>
      <c r="D135" t="inlineStr">
        <is>
          <t>SETTLEMENT T401 050826</t>
        </is>
      </c>
      <c r="E135" s="9" t="n">
        <v>2406.89</v>
      </c>
      <c r="F135" t="inlineStr">
        <is>
          <t>MER-20260806</t>
        </is>
      </c>
      <c r="G135" t="inlineStr">
        <is>
          <t>G00697</t>
        </is>
      </c>
      <c r="H135" t="str">
        <f>INDEX('Match Groups'!$C$5:$C$1326,MATCH(G135,'Match Groups'!$A$5:$A$1326,0))</f>
        <v>R08</v>
      </c>
      <c r="I135" t="str">
        <f>INDEX('Match Groups'!$D$5:$D$1326,MATCH(G135,'Match Groups'!$A$5:$A$1326,0))</f>
        <v>MATCH</v>
      </c>
      <c r="J135">
        <f>IF(I135="DUPIMP",0,1)</f>
        <v>1</v>
      </c>
    </row>
    <row r="136">
      <c r="A136" t="inlineStr">
        <is>
          <t>BL-01370</t>
        </is>
      </c>
      <c r="B136" t="inlineStr">
        <is>
          <t>MER</t>
        </is>
      </c>
      <c r="C136" s="5" t="n">
        <v>46240</v>
      </c>
      <c r="D136" t="inlineStr">
        <is>
          <t>SETTLEMENT T402 050826</t>
        </is>
      </c>
      <c r="E136" s="9" t="n">
        <v>2114.09</v>
      </c>
      <c r="F136" t="inlineStr">
        <is>
          <t>MER-20260806</t>
        </is>
      </c>
      <c r="G136" t="inlineStr">
        <is>
          <t>G00698</t>
        </is>
      </c>
      <c r="H136" t="str">
        <f>INDEX('Match Groups'!$C$5:$C$1326,MATCH(G136,'Match Groups'!$A$5:$A$1326,0))</f>
        <v>R08</v>
      </c>
      <c r="I136" t="str">
        <f>INDEX('Match Groups'!$D$5:$D$1326,MATCH(G136,'Match Groups'!$A$5:$A$1326,0))</f>
        <v>MATCH</v>
      </c>
      <c r="J136">
        <f>IF(I136="DUPIMP",0,1)</f>
        <v>1</v>
      </c>
    </row>
    <row r="137">
      <c r="A137" t="inlineStr">
        <is>
          <t>BL-01371</t>
        </is>
      </c>
      <c r="B137" t="inlineStr">
        <is>
          <t>MER</t>
        </is>
      </c>
      <c r="C137" s="5" t="n">
        <v>46240</v>
      </c>
      <c r="D137" t="inlineStr">
        <is>
          <t>SETTLEMENT T403 050826</t>
        </is>
      </c>
      <c r="E137" s="9" t="n">
        <v>1340.92</v>
      </c>
      <c r="F137" t="inlineStr">
        <is>
          <t>MER-20260806</t>
        </is>
      </c>
      <c r="G137" t="inlineStr">
        <is>
          <t>G00699</t>
        </is>
      </c>
      <c r="H137" t="str">
        <f>INDEX('Match Groups'!$C$5:$C$1326,MATCH(G137,'Match Groups'!$A$5:$A$1326,0))</f>
        <v>R08</v>
      </c>
      <c r="I137" t="str">
        <f>INDEX('Match Groups'!$D$5:$D$1326,MATCH(G137,'Match Groups'!$A$5:$A$1326,0))</f>
        <v>MATCH</v>
      </c>
      <c r="J137">
        <f>IF(I137="DUPIMP",0,1)</f>
        <v>1</v>
      </c>
    </row>
    <row r="138">
      <c r="A138" t="inlineStr">
        <is>
          <t>BL-01372</t>
        </is>
      </c>
      <c r="B138" t="inlineStr">
        <is>
          <t>MER</t>
        </is>
      </c>
      <c r="C138" s="5" t="n">
        <v>46240</v>
      </c>
      <c r="D138" t="inlineStr">
        <is>
          <t>SETTLEMENT T404 050826</t>
        </is>
      </c>
      <c r="E138" s="9" t="n">
        <v>2246.94</v>
      </c>
      <c r="F138" t="inlineStr">
        <is>
          <t>MER-20260806</t>
        </is>
      </c>
      <c r="G138" t="inlineStr">
        <is>
          <t>G00700</t>
        </is>
      </c>
      <c r="H138" t="str">
        <f>INDEX('Match Groups'!$C$5:$C$1326,MATCH(G138,'Match Groups'!$A$5:$A$1326,0))</f>
        <v>R08</v>
      </c>
      <c r="I138" t="str">
        <f>INDEX('Match Groups'!$D$5:$D$1326,MATCH(G138,'Match Groups'!$A$5:$A$1326,0))</f>
        <v>MATCH</v>
      </c>
      <c r="J138">
        <f>IF(I138="DUPIMP",0,1)</f>
        <v>1</v>
      </c>
    </row>
    <row r="139">
      <c r="A139" t="inlineStr">
        <is>
          <t>BL-01373</t>
        </is>
      </c>
      <c r="B139" t="inlineStr">
        <is>
          <t>MER</t>
        </is>
      </c>
      <c r="C139" s="5" t="n">
        <v>46241</v>
      </c>
      <c r="D139" t="inlineStr">
        <is>
          <t>SETTLEMENT T401 060826</t>
        </is>
      </c>
      <c r="E139" s="9" t="n">
        <v>3408.34</v>
      </c>
      <c r="F139" t="inlineStr">
        <is>
          <t>MER-20260807</t>
        </is>
      </c>
      <c r="G139" t="inlineStr">
        <is>
          <t>G00701</t>
        </is>
      </c>
      <c r="H139" t="str">
        <f>INDEX('Match Groups'!$C$5:$C$1326,MATCH(G139,'Match Groups'!$A$5:$A$1326,0))</f>
        <v>R08</v>
      </c>
      <c r="I139" t="str">
        <f>INDEX('Match Groups'!$D$5:$D$1326,MATCH(G139,'Match Groups'!$A$5:$A$1326,0))</f>
        <v>MATCH</v>
      </c>
      <c r="J139">
        <f>IF(I139="DUPIMP",0,1)</f>
        <v>1</v>
      </c>
    </row>
    <row r="140">
      <c r="A140" t="inlineStr">
        <is>
          <t>BL-01374</t>
        </is>
      </c>
      <c r="B140" t="inlineStr">
        <is>
          <t>MER</t>
        </is>
      </c>
      <c r="C140" s="5" t="n">
        <v>46241</v>
      </c>
      <c r="D140" t="inlineStr">
        <is>
          <t>SETTLEMENT T402 060826</t>
        </is>
      </c>
      <c r="E140" s="9" t="n">
        <v>1974.79</v>
      </c>
      <c r="F140" t="inlineStr">
        <is>
          <t>MER-20260807</t>
        </is>
      </c>
      <c r="G140" t="inlineStr">
        <is>
          <t>G00702</t>
        </is>
      </c>
      <c r="H140" t="str">
        <f>INDEX('Match Groups'!$C$5:$C$1326,MATCH(G140,'Match Groups'!$A$5:$A$1326,0))</f>
        <v>R08</v>
      </c>
      <c r="I140" t="str">
        <f>INDEX('Match Groups'!$D$5:$D$1326,MATCH(G140,'Match Groups'!$A$5:$A$1326,0))</f>
        <v>MATCH</v>
      </c>
      <c r="J140">
        <f>IF(I140="DUPIMP",0,1)</f>
        <v>1</v>
      </c>
    </row>
    <row r="141">
      <c r="A141" t="inlineStr">
        <is>
          <t>BL-01375</t>
        </is>
      </c>
      <c r="B141" t="inlineStr">
        <is>
          <t>MER</t>
        </is>
      </c>
      <c r="C141" s="5" t="n">
        <v>46241</v>
      </c>
      <c r="D141" t="inlineStr">
        <is>
          <t>SETTLEMENT T403 060826</t>
        </is>
      </c>
      <c r="E141" s="9" t="n">
        <v>2958.33</v>
      </c>
      <c r="F141" t="inlineStr">
        <is>
          <t>MER-20260807</t>
        </is>
      </c>
      <c r="G141" t="inlineStr">
        <is>
          <t>G00703</t>
        </is>
      </c>
      <c r="H141" t="str">
        <f>INDEX('Match Groups'!$C$5:$C$1326,MATCH(G141,'Match Groups'!$A$5:$A$1326,0))</f>
        <v>R08</v>
      </c>
      <c r="I141" t="str">
        <f>INDEX('Match Groups'!$D$5:$D$1326,MATCH(G141,'Match Groups'!$A$5:$A$1326,0))</f>
        <v>REFUND-GAP</v>
      </c>
      <c r="J141">
        <f>IF(I141="DUPIMP",0,1)</f>
        <v>1</v>
      </c>
    </row>
    <row r="142">
      <c r="A142" t="inlineStr">
        <is>
          <t>BL-01376</t>
        </is>
      </c>
      <c r="B142" t="inlineStr">
        <is>
          <t>MER</t>
        </is>
      </c>
      <c r="C142" s="5" t="n">
        <v>46241</v>
      </c>
      <c r="D142" t="inlineStr">
        <is>
          <t>SETTLEMENT T404 060826</t>
        </is>
      </c>
      <c r="E142" s="9" t="n">
        <v>1884.68</v>
      </c>
      <c r="F142" t="inlineStr">
        <is>
          <t>MER-20260807</t>
        </is>
      </c>
      <c r="G142" t="inlineStr">
        <is>
          <t>G00704</t>
        </is>
      </c>
      <c r="H142" t="str">
        <f>INDEX('Match Groups'!$C$5:$C$1326,MATCH(G142,'Match Groups'!$A$5:$A$1326,0))</f>
        <v>R08</v>
      </c>
      <c r="I142" t="str">
        <f>INDEX('Match Groups'!$D$5:$D$1326,MATCH(G142,'Match Groups'!$A$5:$A$1326,0))</f>
        <v>MATCH</v>
      </c>
      <c r="J142">
        <f>IF(I142="DUPIMP",0,1)</f>
        <v>1</v>
      </c>
    </row>
    <row r="143">
      <c r="A143" t="inlineStr">
        <is>
          <t>BL-01377</t>
        </is>
      </c>
      <c r="B143" t="inlineStr">
        <is>
          <t>MER</t>
        </is>
      </c>
      <c r="C143" s="5" t="n">
        <v>46244</v>
      </c>
      <c r="D143" t="inlineStr">
        <is>
          <t>SETTLEMENT T401 070826</t>
        </is>
      </c>
      <c r="E143" s="9" t="n">
        <v>2354.52</v>
      </c>
      <c r="F143" t="inlineStr">
        <is>
          <t>MER-20260810</t>
        </is>
      </c>
      <c r="G143" t="inlineStr">
        <is>
          <t>G00705</t>
        </is>
      </c>
      <c r="H143" t="str">
        <f>INDEX('Match Groups'!$C$5:$C$1326,MATCH(G143,'Match Groups'!$A$5:$A$1326,0))</f>
        <v>R08</v>
      </c>
      <c r="I143" t="str">
        <f>INDEX('Match Groups'!$D$5:$D$1326,MATCH(G143,'Match Groups'!$A$5:$A$1326,0))</f>
        <v>MATCH</v>
      </c>
      <c r="J143">
        <f>IF(I143="DUPIMP",0,1)</f>
        <v>1</v>
      </c>
    </row>
    <row r="144">
      <c r="A144" t="inlineStr">
        <is>
          <t>BL-01378</t>
        </is>
      </c>
      <c r="B144" t="inlineStr">
        <is>
          <t>MER</t>
        </is>
      </c>
      <c r="C144" s="5" t="n">
        <v>46244</v>
      </c>
      <c r="D144" t="inlineStr">
        <is>
          <t>SETTLEMENT T402 070826</t>
        </is>
      </c>
      <c r="E144" s="9" t="n">
        <v>997.76</v>
      </c>
      <c r="F144" t="inlineStr">
        <is>
          <t>MER-20260810</t>
        </is>
      </c>
      <c r="G144" t="inlineStr">
        <is>
          <t>G00706</t>
        </is>
      </c>
      <c r="H144" t="str">
        <f>INDEX('Match Groups'!$C$5:$C$1326,MATCH(G144,'Match Groups'!$A$5:$A$1326,0))</f>
        <v>R08</v>
      </c>
      <c r="I144" t="str">
        <f>INDEX('Match Groups'!$D$5:$D$1326,MATCH(G144,'Match Groups'!$A$5:$A$1326,0))</f>
        <v>MATCH</v>
      </c>
      <c r="J144">
        <f>IF(I144="DUPIMP",0,1)</f>
        <v>1</v>
      </c>
    </row>
    <row r="145">
      <c r="A145" t="inlineStr">
        <is>
          <t>BL-01379</t>
        </is>
      </c>
      <c r="B145" t="inlineStr">
        <is>
          <t>MER</t>
        </is>
      </c>
      <c r="C145" s="5" t="n">
        <v>46244</v>
      </c>
      <c r="D145" t="inlineStr">
        <is>
          <t>SETTLEMENT T403 070826</t>
        </is>
      </c>
      <c r="E145" s="9" t="n">
        <v>2573.63</v>
      </c>
      <c r="F145" t="inlineStr">
        <is>
          <t>MER-20260810</t>
        </is>
      </c>
      <c r="G145" t="inlineStr">
        <is>
          <t>G00707</t>
        </is>
      </c>
      <c r="H145" t="str">
        <f>INDEX('Match Groups'!$C$5:$C$1326,MATCH(G145,'Match Groups'!$A$5:$A$1326,0))</f>
        <v>R08</v>
      </c>
      <c r="I145" t="str">
        <f>INDEX('Match Groups'!$D$5:$D$1326,MATCH(G145,'Match Groups'!$A$5:$A$1326,0))</f>
        <v>MATCH</v>
      </c>
      <c r="J145">
        <f>IF(I145="DUPIMP",0,1)</f>
        <v>1</v>
      </c>
    </row>
    <row r="146">
      <c r="A146" t="inlineStr">
        <is>
          <t>BL-01380</t>
        </is>
      </c>
      <c r="B146" t="inlineStr">
        <is>
          <t>MER</t>
        </is>
      </c>
      <c r="C146" s="5" t="n">
        <v>46244</v>
      </c>
      <c r="D146" t="inlineStr">
        <is>
          <t>SETTLEMENT T404 070826</t>
        </is>
      </c>
      <c r="E146" s="9" t="n">
        <v>2834.43</v>
      </c>
      <c r="F146" t="inlineStr">
        <is>
          <t>MER-20260810</t>
        </is>
      </c>
      <c r="G146" t="inlineStr">
        <is>
          <t>G00708</t>
        </is>
      </c>
      <c r="H146" t="str">
        <f>INDEX('Match Groups'!$C$5:$C$1326,MATCH(G146,'Match Groups'!$A$5:$A$1326,0))</f>
        <v>R08</v>
      </c>
      <c r="I146" t="str">
        <f>INDEX('Match Groups'!$D$5:$D$1326,MATCH(G146,'Match Groups'!$A$5:$A$1326,0))</f>
        <v>MATCH</v>
      </c>
      <c r="J146">
        <f>IF(I146="DUPIMP",0,1)</f>
        <v>1</v>
      </c>
    </row>
    <row r="147">
      <c r="A147" t="inlineStr">
        <is>
          <t>BL-01381</t>
        </is>
      </c>
      <c r="B147" t="inlineStr">
        <is>
          <t>MER</t>
        </is>
      </c>
      <c r="C147" s="5" t="n">
        <v>46244</v>
      </c>
      <c r="D147" t="inlineStr">
        <is>
          <t>SETTLEMENT T401 080826</t>
        </is>
      </c>
      <c r="E147" s="9" t="n">
        <v>1085.42</v>
      </c>
      <c r="F147" t="inlineStr">
        <is>
          <t>MER-20260810</t>
        </is>
      </c>
      <c r="G147" t="inlineStr">
        <is>
          <t>G00709</t>
        </is>
      </c>
      <c r="H147" t="str">
        <f>INDEX('Match Groups'!$C$5:$C$1326,MATCH(G147,'Match Groups'!$A$5:$A$1326,0))</f>
        <v>R08</v>
      </c>
      <c r="I147" t="str">
        <f>INDEX('Match Groups'!$D$5:$D$1326,MATCH(G147,'Match Groups'!$A$5:$A$1326,0))</f>
        <v>MATCH</v>
      </c>
      <c r="J147">
        <f>IF(I147="DUPIMP",0,1)</f>
        <v>1</v>
      </c>
    </row>
    <row r="148">
      <c r="A148" t="inlineStr">
        <is>
          <t>BL-01382</t>
        </is>
      </c>
      <c r="B148" t="inlineStr">
        <is>
          <t>MER</t>
        </is>
      </c>
      <c r="C148" s="5" t="n">
        <v>46244</v>
      </c>
      <c r="D148" t="inlineStr">
        <is>
          <t>SETTLEMENT T402 080826</t>
        </is>
      </c>
      <c r="E148" s="9" t="n">
        <v>957.34</v>
      </c>
      <c r="F148" t="inlineStr">
        <is>
          <t>MER-20260810</t>
        </is>
      </c>
      <c r="G148" t="inlineStr">
        <is>
          <t>G00710</t>
        </is>
      </c>
      <c r="H148" t="str">
        <f>INDEX('Match Groups'!$C$5:$C$1326,MATCH(G148,'Match Groups'!$A$5:$A$1326,0))</f>
        <v>R08</v>
      </c>
      <c r="I148" t="str">
        <f>INDEX('Match Groups'!$D$5:$D$1326,MATCH(G148,'Match Groups'!$A$5:$A$1326,0))</f>
        <v>MATCH</v>
      </c>
      <c r="J148">
        <f>IF(I148="DUPIMP",0,1)</f>
        <v>1</v>
      </c>
    </row>
    <row r="149">
      <c r="A149" t="inlineStr">
        <is>
          <t>BL-01383</t>
        </is>
      </c>
      <c r="B149" t="inlineStr">
        <is>
          <t>MER</t>
        </is>
      </c>
      <c r="C149" s="5" t="n">
        <v>46244</v>
      </c>
      <c r="D149" t="inlineStr">
        <is>
          <t>SETTLEMENT T403 080826</t>
        </is>
      </c>
      <c r="E149" s="9" t="n">
        <v>1024.53</v>
      </c>
      <c r="F149" t="inlineStr">
        <is>
          <t>MER-20260810</t>
        </is>
      </c>
      <c r="G149" t="inlineStr">
        <is>
          <t>G00711</t>
        </is>
      </c>
      <c r="H149" t="str">
        <f>INDEX('Match Groups'!$C$5:$C$1326,MATCH(G149,'Match Groups'!$A$5:$A$1326,0))</f>
        <v>R08</v>
      </c>
      <c r="I149" t="str">
        <f>INDEX('Match Groups'!$D$5:$D$1326,MATCH(G149,'Match Groups'!$A$5:$A$1326,0))</f>
        <v>MATCH</v>
      </c>
      <c r="J149">
        <f>IF(I149="DUPIMP",0,1)</f>
        <v>1</v>
      </c>
    </row>
    <row r="150">
      <c r="A150" t="inlineStr">
        <is>
          <t>BL-01384</t>
        </is>
      </c>
      <c r="B150" t="inlineStr">
        <is>
          <t>MER</t>
        </is>
      </c>
      <c r="C150" s="5" t="n">
        <v>46244</v>
      </c>
      <c r="D150" t="inlineStr">
        <is>
          <t>SETTLEMENT T404 080826</t>
        </is>
      </c>
      <c r="E150" s="9" t="n">
        <v>505.25</v>
      </c>
      <c r="F150" t="inlineStr">
        <is>
          <t>MER-20260810</t>
        </is>
      </c>
      <c r="G150" t="inlineStr">
        <is>
          <t>G00712</t>
        </is>
      </c>
      <c r="H150" t="str">
        <f>INDEX('Match Groups'!$C$5:$C$1326,MATCH(G150,'Match Groups'!$A$5:$A$1326,0))</f>
        <v>R08</v>
      </c>
      <c r="I150" t="str">
        <f>INDEX('Match Groups'!$D$5:$D$1326,MATCH(G150,'Match Groups'!$A$5:$A$1326,0))</f>
        <v>MATCH</v>
      </c>
      <c r="J150">
        <f>IF(I150="DUPIMP",0,1)</f>
        <v>1</v>
      </c>
    </row>
    <row r="151">
      <c r="A151" t="inlineStr">
        <is>
          <t>BL-01571</t>
        </is>
      </c>
      <c r="B151" t="inlineStr">
        <is>
          <t>MER</t>
        </is>
      </c>
      <c r="C151" s="5" t="n">
        <v>46244</v>
      </c>
      <c r="D151" t="inlineStr">
        <is>
          <t>SWEEP TO OPERATING</t>
        </is>
      </c>
      <c r="E151" s="9" t="n">
        <v>-22000</v>
      </c>
      <c r="F151" t="inlineStr">
        <is>
          <t>MER-20260810</t>
        </is>
      </c>
      <c r="G151" t="inlineStr">
        <is>
          <t>G00713</t>
        </is>
      </c>
      <c r="H151" t="str">
        <f>INDEX('Match Groups'!$C$5:$C$1326,MATCH(G151,'Match Groups'!$A$5:$A$1326,0))</f>
        <v>R04</v>
      </c>
      <c r="I151" t="str">
        <f>INDEX('Match Groups'!$D$5:$D$1326,MATCH(G151,'Match Groups'!$A$5:$A$1326,0))</f>
        <v>MATCH</v>
      </c>
      <c r="J151">
        <f>IF(I151="DUPIMP",0,1)</f>
        <v>1</v>
      </c>
    </row>
    <row r="152">
      <c r="A152" t="inlineStr">
        <is>
          <t>BL-01385</t>
        </is>
      </c>
      <c r="B152" t="inlineStr">
        <is>
          <t>MER</t>
        </is>
      </c>
      <c r="C152" s="5" t="n">
        <v>46245</v>
      </c>
      <c r="D152" t="inlineStr">
        <is>
          <t>SETTLEMENT T401 100826</t>
        </is>
      </c>
      <c r="E152" s="9" t="n">
        <v>1939.41</v>
      </c>
      <c r="F152" t="inlineStr">
        <is>
          <t>MER-20260811</t>
        </is>
      </c>
      <c r="G152" t="inlineStr">
        <is>
          <t>G00714</t>
        </is>
      </c>
      <c r="H152" t="str">
        <f>INDEX('Match Groups'!$C$5:$C$1326,MATCH(G152,'Match Groups'!$A$5:$A$1326,0))</f>
        <v>R08</v>
      </c>
      <c r="I152" t="str">
        <f>INDEX('Match Groups'!$D$5:$D$1326,MATCH(G152,'Match Groups'!$A$5:$A$1326,0))</f>
        <v>MATCH</v>
      </c>
      <c r="J152">
        <f>IF(I152="DUPIMP",0,1)</f>
        <v>1</v>
      </c>
    </row>
    <row r="153">
      <c r="A153" t="inlineStr">
        <is>
          <t>BL-01386</t>
        </is>
      </c>
      <c r="B153" t="inlineStr">
        <is>
          <t>MER</t>
        </is>
      </c>
      <c r="C153" s="5" t="n">
        <v>46245</v>
      </c>
      <c r="D153" t="inlineStr">
        <is>
          <t>SETTLEMENT T402 100826</t>
        </is>
      </c>
      <c r="E153" s="9" t="n">
        <v>945.04</v>
      </c>
      <c r="F153" t="inlineStr">
        <is>
          <t>MER-20260811</t>
        </is>
      </c>
      <c r="G153" t="inlineStr">
        <is>
          <t>G00715</t>
        </is>
      </c>
      <c r="H153" t="str">
        <f>INDEX('Match Groups'!$C$5:$C$1326,MATCH(G153,'Match Groups'!$A$5:$A$1326,0))</f>
        <v>R08</v>
      </c>
      <c r="I153" t="str">
        <f>INDEX('Match Groups'!$D$5:$D$1326,MATCH(G153,'Match Groups'!$A$5:$A$1326,0))</f>
        <v>MATCH</v>
      </c>
      <c r="J153">
        <f>IF(I153="DUPIMP",0,1)</f>
        <v>1</v>
      </c>
    </row>
    <row r="154">
      <c r="A154" t="inlineStr">
        <is>
          <t>BL-01387</t>
        </is>
      </c>
      <c r="B154" t="inlineStr">
        <is>
          <t>MER</t>
        </is>
      </c>
      <c r="C154" s="5" t="n">
        <v>46245</v>
      </c>
      <c r="D154" t="inlineStr">
        <is>
          <t>SETTLEMENT T403 100826</t>
        </is>
      </c>
      <c r="E154" s="9" t="n">
        <v>2160.17</v>
      </c>
      <c r="F154" t="inlineStr">
        <is>
          <t>MER-20260811</t>
        </is>
      </c>
      <c r="G154" t="inlineStr">
        <is>
          <t>G00716</t>
        </is>
      </c>
      <c r="H154" t="str">
        <f>INDEX('Match Groups'!$C$5:$C$1326,MATCH(G154,'Match Groups'!$A$5:$A$1326,0))</f>
        <v>R08</v>
      </c>
      <c r="I154" t="str">
        <f>INDEX('Match Groups'!$D$5:$D$1326,MATCH(G154,'Match Groups'!$A$5:$A$1326,0))</f>
        <v>MATCH</v>
      </c>
      <c r="J154">
        <f>IF(I154="DUPIMP",0,1)</f>
        <v>1</v>
      </c>
    </row>
    <row r="155">
      <c r="A155" t="inlineStr">
        <is>
          <t>BL-01388</t>
        </is>
      </c>
      <c r="B155" t="inlineStr">
        <is>
          <t>MER</t>
        </is>
      </c>
      <c r="C155" s="5" t="n">
        <v>46245</v>
      </c>
      <c r="D155" t="inlineStr">
        <is>
          <t>SETTLEMENT T404 100826</t>
        </is>
      </c>
      <c r="E155" s="9" t="n">
        <v>3595.27</v>
      </c>
      <c r="F155" t="inlineStr">
        <is>
          <t>MER-20260811</t>
        </is>
      </c>
      <c r="G155" t="inlineStr">
        <is>
          <t>G00717</t>
        </is>
      </c>
      <c r="H155" t="str">
        <f>INDEX('Match Groups'!$C$5:$C$1326,MATCH(G155,'Match Groups'!$A$5:$A$1326,0))</f>
        <v>R08</v>
      </c>
      <c r="I155" t="str">
        <f>INDEX('Match Groups'!$D$5:$D$1326,MATCH(G155,'Match Groups'!$A$5:$A$1326,0))</f>
        <v>MATCH</v>
      </c>
      <c r="J155">
        <f>IF(I155="DUPIMP",0,1)</f>
        <v>1</v>
      </c>
    </row>
    <row r="156">
      <c r="A156" t="inlineStr">
        <is>
          <t>BL-01389</t>
        </is>
      </c>
      <c r="B156" t="inlineStr">
        <is>
          <t>MER</t>
        </is>
      </c>
      <c r="C156" s="5" t="n">
        <v>46246</v>
      </c>
      <c r="D156" t="inlineStr">
        <is>
          <t>SETTLEMENT T401 110826</t>
        </is>
      </c>
      <c r="E156" s="9" t="n">
        <v>1703.4</v>
      </c>
      <c r="F156" t="inlineStr">
        <is>
          <t>MER-20260812</t>
        </is>
      </c>
      <c r="G156" t="inlineStr">
        <is>
          <t>G00718</t>
        </is>
      </c>
      <c r="H156" t="str">
        <f>INDEX('Match Groups'!$C$5:$C$1326,MATCH(G156,'Match Groups'!$A$5:$A$1326,0))</f>
        <v>R08</v>
      </c>
      <c r="I156" t="str">
        <f>INDEX('Match Groups'!$D$5:$D$1326,MATCH(G156,'Match Groups'!$A$5:$A$1326,0))</f>
        <v>MATCH</v>
      </c>
      <c r="J156">
        <f>IF(I156="DUPIMP",0,1)</f>
        <v>1</v>
      </c>
    </row>
    <row r="157">
      <c r="A157" t="inlineStr">
        <is>
          <t>BL-01390</t>
        </is>
      </c>
      <c r="B157" t="inlineStr">
        <is>
          <t>MER</t>
        </is>
      </c>
      <c r="C157" s="5" t="n">
        <v>46246</v>
      </c>
      <c r="D157" t="inlineStr">
        <is>
          <t>SETTLEMENT T402 110826</t>
        </is>
      </c>
      <c r="E157" s="9" t="n">
        <v>3242.89</v>
      </c>
      <c r="F157" t="inlineStr">
        <is>
          <t>MER-20260812</t>
        </is>
      </c>
      <c r="G157" t="inlineStr">
        <is>
          <t>G00719</t>
        </is>
      </c>
      <c r="H157" t="str">
        <f>INDEX('Match Groups'!$C$5:$C$1326,MATCH(G157,'Match Groups'!$A$5:$A$1326,0))</f>
        <v>R08</v>
      </c>
      <c r="I157" t="str">
        <f>INDEX('Match Groups'!$D$5:$D$1326,MATCH(G157,'Match Groups'!$A$5:$A$1326,0))</f>
        <v>MATCH</v>
      </c>
      <c r="J157">
        <f>IF(I157="DUPIMP",0,1)</f>
        <v>1</v>
      </c>
    </row>
    <row r="158">
      <c r="A158" t="inlineStr">
        <is>
          <t>BL-01391</t>
        </is>
      </c>
      <c r="B158" t="inlineStr">
        <is>
          <t>MER</t>
        </is>
      </c>
      <c r="C158" s="5" t="n">
        <v>46246</v>
      </c>
      <c r="D158" t="inlineStr">
        <is>
          <t>SETTLEMENT T403 110826</t>
        </is>
      </c>
      <c r="E158" s="9" t="n">
        <v>3522.59</v>
      </c>
      <c r="F158" t="inlineStr">
        <is>
          <t>MER-20260812</t>
        </is>
      </c>
      <c r="G158" t="inlineStr">
        <is>
          <t>G00720</t>
        </is>
      </c>
      <c r="H158" t="str">
        <f>INDEX('Match Groups'!$C$5:$C$1326,MATCH(G158,'Match Groups'!$A$5:$A$1326,0))</f>
        <v>R08</v>
      </c>
      <c r="I158" t="str">
        <f>INDEX('Match Groups'!$D$5:$D$1326,MATCH(G158,'Match Groups'!$A$5:$A$1326,0))</f>
        <v>MATCH</v>
      </c>
      <c r="J158">
        <f>IF(I158="DUPIMP",0,1)</f>
        <v>1</v>
      </c>
    </row>
    <row r="159">
      <c r="A159" t="inlineStr">
        <is>
          <t>BL-01392</t>
        </is>
      </c>
      <c r="B159" t="inlineStr">
        <is>
          <t>MER</t>
        </is>
      </c>
      <c r="C159" s="5" t="n">
        <v>46246</v>
      </c>
      <c r="D159" t="inlineStr">
        <is>
          <t>SETTLEMENT T404 110826</t>
        </is>
      </c>
      <c r="E159" s="9" t="n">
        <v>1060.29</v>
      </c>
      <c r="F159" t="inlineStr">
        <is>
          <t>MER-20260812</t>
        </is>
      </c>
      <c r="G159" t="inlineStr">
        <is>
          <t>G00721</t>
        </is>
      </c>
      <c r="H159" t="str">
        <f>INDEX('Match Groups'!$C$5:$C$1326,MATCH(G159,'Match Groups'!$A$5:$A$1326,0))</f>
        <v>R08</v>
      </c>
      <c r="I159" t="str">
        <f>INDEX('Match Groups'!$D$5:$D$1326,MATCH(G159,'Match Groups'!$A$5:$A$1326,0))</f>
        <v>MATCH</v>
      </c>
      <c r="J159">
        <f>IF(I159="DUPIMP",0,1)</f>
        <v>1</v>
      </c>
    </row>
    <row r="160">
      <c r="A160" t="inlineStr">
        <is>
          <t>BL-01393</t>
        </is>
      </c>
      <c r="B160" t="inlineStr">
        <is>
          <t>MER</t>
        </is>
      </c>
      <c r="C160" s="5" t="n">
        <v>46247</v>
      </c>
      <c r="D160" t="inlineStr">
        <is>
          <t>SETTLEMENT T401 120826</t>
        </is>
      </c>
      <c r="E160" s="9" t="n">
        <v>3389.03</v>
      </c>
      <c r="F160" t="inlineStr">
        <is>
          <t>MER-20260813</t>
        </is>
      </c>
      <c r="G160" t="inlineStr">
        <is>
          <t>G00722</t>
        </is>
      </c>
      <c r="H160" t="str">
        <f>INDEX('Match Groups'!$C$5:$C$1326,MATCH(G160,'Match Groups'!$A$5:$A$1326,0))</f>
        <v>R08</v>
      </c>
      <c r="I160" t="str">
        <f>INDEX('Match Groups'!$D$5:$D$1326,MATCH(G160,'Match Groups'!$A$5:$A$1326,0))</f>
        <v>MATCH</v>
      </c>
      <c r="J160">
        <f>IF(I160="DUPIMP",0,1)</f>
        <v>1</v>
      </c>
    </row>
    <row r="161">
      <c r="A161" t="inlineStr">
        <is>
          <t>BL-01394</t>
        </is>
      </c>
      <c r="B161" t="inlineStr">
        <is>
          <t>MER</t>
        </is>
      </c>
      <c r="C161" s="5" t="n">
        <v>46247</v>
      </c>
      <c r="D161" t="inlineStr">
        <is>
          <t>SETTLEMENT T402 120826</t>
        </is>
      </c>
      <c r="E161" s="9" t="n">
        <v>2739.56</v>
      </c>
      <c r="F161" t="inlineStr">
        <is>
          <t>MER-20260813</t>
        </is>
      </c>
      <c r="G161" t="inlineStr">
        <is>
          <t>G00723</t>
        </is>
      </c>
      <c r="H161" t="str">
        <f>INDEX('Match Groups'!$C$5:$C$1326,MATCH(G161,'Match Groups'!$A$5:$A$1326,0))</f>
        <v>R08</v>
      </c>
      <c r="I161" t="str">
        <f>INDEX('Match Groups'!$D$5:$D$1326,MATCH(G161,'Match Groups'!$A$5:$A$1326,0))</f>
        <v>MATCH</v>
      </c>
      <c r="J161">
        <f>IF(I161="DUPIMP",0,1)</f>
        <v>1</v>
      </c>
    </row>
    <row r="162">
      <c r="A162" t="inlineStr">
        <is>
          <t>BL-01395</t>
        </is>
      </c>
      <c r="B162" t="inlineStr">
        <is>
          <t>MER</t>
        </is>
      </c>
      <c r="C162" s="5" t="n">
        <v>46247</v>
      </c>
      <c r="D162" t="inlineStr">
        <is>
          <t>SETTLEMENT T403 120826</t>
        </is>
      </c>
      <c r="E162" s="9" t="n">
        <v>2461.41</v>
      </c>
      <c r="F162" t="inlineStr">
        <is>
          <t>MER-20260813</t>
        </is>
      </c>
      <c r="G162" t="inlineStr">
        <is>
          <t>G00724</t>
        </is>
      </c>
      <c r="H162" t="str">
        <f>INDEX('Match Groups'!$C$5:$C$1326,MATCH(G162,'Match Groups'!$A$5:$A$1326,0))</f>
        <v>R08</v>
      </c>
      <c r="I162" t="str">
        <f>INDEX('Match Groups'!$D$5:$D$1326,MATCH(G162,'Match Groups'!$A$5:$A$1326,0))</f>
        <v>MATCH</v>
      </c>
      <c r="J162">
        <f>IF(I162="DUPIMP",0,1)</f>
        <v>1</v>
      </c>
    </row>
    <row r="163">
      <c r="A163" t="inlineStr">
        <is>
          <t>BL-01396</t>
        </is>
      </c>
      <c r="B163" t="inlineStr">
        <is>
          <t>MER</t>
        </is>
      </c>
      <c r="C163" s="5" t="n">
        <v>46247</v>
      </c>
      <c r="D163" t="inlineStr">
        <is>
          <t>SETTLEMENT T404 120826</t>
        </is>
      </c>
      <c r="E163" s="9" t="n">
        <v>2038.59</v>
      </c>
      <c r="F163" t="inlineStr">
        <is>
          <t>MER-20260813</t>
        </is>
      </c>
      <c r="G163" t="inlineStr">
        <is>
          <t>G00725</t>
        </is>
      </c>
      <c r="H163" t="str">
        <f>INDEX('Match Groups'!$C$5:$C$1326,MATCH(G163,'Match Groups'!$A$5:$A$1326,0))</f>
        <v>R08</v>
      </c>
      <c r="I163" t="str">
        <f>INDEX('Match Groups'!$D$5:$D$1326,MATCH(G163,'Match Groups'!$A$5:$A$1326,0))</f>
        <v>MATCH</v>
      </c>
      <c r="J163">
        <f>IF(I163="DUPIMP",0,1)</f>
        <v>1</v>
      </c>
    </row>
    <row r="164">
      <c r="A164" t="inlineStr">
        <is>
          <t>BL-01397</t>
        </is>
      </c>
      <c r="B164" t="inlineStr">
        <is>
          <t>MER</t>
        </is>
      </c>
      <c r="C164" s="5" t="n">
        <v>46248</v>
      </c>
      <c r="D164" t="inlineStr">
        <is>
          <t>SETTLEMENT T401 130826</t>
        </is>
      </c>
      <c r="E164" s="9" t="n">
        <v>2146.74</v>
      </c>
      <c r="F164" t="inlineStr">
        <is>
          <t>MER-20260814</t>
        </is>
      </c>
      <c r="G164" t="inlineStr">
        <is>
          <t>G00726</t>
        </is>
      </c>
      <c r="H164" t="str">
        <f>INDEX('Match Groups'!$C$5:$C$1326,MATCH(G164,'Match Groups'!$A$5:$A$1326,0))</f>
        <v>R08</v>
      </c>
      <c r="I164" t="str">
        <f>INDEX('Match Groups'!$D$5:$D$1326,MATCH(G164,'Match Groups'!$A$5:$A$1326,0))</f>
        <v>MATCH</v>
      </c>
      <c r="J164">
        <f>IF(I164="DUPIMP",0,1)</f>
        <v>1</v>
      </c>
    </row>
    <row r="165">
      <c r="A165" t="inlineStr">
        <is>
          <t>BL-01398</t>
        </is>
      </c>
      <c r="B165" t="inlineStr">
        <is>
          <t>MER</t>
        </is>
      </c>
      <c r="C165" s="5" t="n">
        <v>46248</v>
      </c>
      <c r="D165" t="inlineStr">
        <is>
          <t>SETTLEMENT T402 130826</t>
        </is>
      </c>
      <c r="E165" s="9" t="n">
        <v>2357.95</v>
      </c>
      <c r="F165" t="inlineStr">
        <is>
          <t>MER-20260814</t>
        </is>
      </c>
      <c r="G165" t="inlineStr">
        <is>
          <t>G00727</t>
        </is>
      </c>
      <c r="H165" t="str">
        <f>INDEX('Match Groups'!$C$5:$C$1326,MATCH(G165,'Match Groups'!$A$5:$A$1326,0))</f>
        <v>R08</v>
      </c>
      <c r="I165" t="str">
        <f>INDEX('Match Groups'!$D$5:$D$1326,MATCH(G165,'Match Groups'!$A$5:$A$1326,0))</f>
        <v>MATCH</v>
      </c>
      <c r="J165">
        <f>IF(I165="DUPIMP",0,1)</f>
        <v>1</v>
      </c>
    </row>
    <row r="166">
      <c r="A166" t="inlineStr">
        <is>
          <t>BL-01399</t>
        </is>
      </c>
      <c r="B166" t="inlineStr">
        <is>
          <t>MER</t>
        </is>
      </c>
      <c r="C166" s="5" t="n">
        <v>46248</v>
      </c>
      <c r="D166" t="inlineStr">
        <is>
          <t>SETTLEMENT T403 130826</t>
        </is>
      </c>
      <c r="E166" s="9" t="n">
        <v>1644.55</v>
      </c>
      <c r="F166" t="inlineStr">
        <is>
          <t>MER-20260814</t>
        </is>
      </c>
      <c r="G166" t="inlineStr">
        <is>
          <t>G00728</t>
        </is>
      </c>
      <c r="H166" t="str">
        <f>INDEX('Match Groups'!$C$5:$C$1326,MATCH(G166,'Match Groups'!$A$5:$A$1326,0))</f>
        <v>R08</v>
      </c>
      <c r="I166" t="str">
        <f>INDEX('Match Groups'!$D$5:$D$1326,MATCH(G166,'Match Groups'!$A$5:$A$1326,0))</f>
        <v>MATCH</v>
      </c>
      <c r="J166">
        <f>IF(I166="DUPIMP",0,1)</f>
        <v>1</v>
      </c>
    </row>
    <row r="167">
      <c r="A167" t="inlineStr">
        <is>
          <t>BL-01400</t>
        </is>
      </c>
      <c r="B167" t="inlineStr">
        <is>
          <t>MER</t>
        </is>
      </c>
      <c r="C167" s="5" t="n">
        <v>46248</v>
      </c>
      <c r="D167" t="inlineStr">
        <is>
          <t>SETTLEMENT T404 130826</t>
        </is>
      </c>
      <c r="E167" s="9" t="n">
        <v>2123.19</v>
      </c>
      <c r="F167" t="inlineStr">
        <is>
          <t>MER-20260814</t>
        </is>
      </c>
      <c r="G167" t="inlineStr">
        <is>
          <t>G00729</t>
        </is>
      </c>
      <c r="H167" t="str">
        <f>INDEX('Match Groups'!$C$5:$C$1326,MATCH(G167,'Match Groups'!$A$5:$A$1326,0))</f>
        <v>R08</v>
      </c>
      <c r="I167" t="str">
        <f>INDEX('Match Groups'!$D$5:$D$1326,MATCH(G167,'Match Groups'!$A$5:$A$1326,0))</f>
        <v>MATCH</v>
      </c>
      <c r="J167">
        <f>IF(I167="DUPIMP",0,1)</f>
        <v>1</v>
      </c>
    </row>
    <row r="168">
      <c r="A168" t="inlineStr">
        <is>
          <t>BL-01401</t>
        </is>
      </c>
      <c r="B168" t="inlineStr">
        <is>
          <t>MER</t>
        </is>
      </c>
      <c r="C168" s="5" t="n">
        <v>46251</v>
      </c>
      <c r="D168" t="inlineStr">
        <is>
          <t>SETTLEMENT T401 140826</t>
        </is>
      </c>
      <c r="E168" s="9" t="n">
        <v>1992.08</v>
      </c>
      <c r="F168" t="inlineStr">
        <is>
          <t>MER-20260817</t>
        </is>
      </c>
      <c r="G168" t="inlineStr">
        <is>
          <t>G00730</t>
        </is>
      </c>
      <c r="H168" t="str">
        <f>INDEX('Match Groups'!$C$5:$C$1326,MATCH(G168,'Match Groups'!$A$5:$A$1326,0))</f>
        <v>R08</v>
      </c>
      <c r="I168" t="str">
        <f>INDEX('Match Groups'!$D$5:$D$1326,MATCH(G168,'Match Groups'!$A$5:$A$1326,0))</f>
        <v>MATCH</v>
      </c>
      <c r="J168">
        <f>IF(I168="DUPIMP",0,1)</f>
        <v>1</v>
      </c>
    </row>
    <row r="169">
      <c r="A169" t="inlineStr">
        <is>
          <t>BL-01402</t>
        </is>
      </c>
      <c r="B169" t="inlineStr">
        <is>
          <t>MER</t>
        </is>
      </c>
      <c r="C169" s="5" t="n">
        <v>46251</v>
      </c>
      <c r="D169" t="inlineStr">
        <is>
          <t>SETTLEMENT T402 140826</t>
        </is>
      </c>
      <c r="E169" s="9" t="n">
        <v>2475.5</v>
      </c>
      <c r="F169" t="inlineStr">
        <is>
          <t>MER-20260817</t>
        </is>
      </c>
      <c r="G169" t="inlineStr">
        <is>
          <t>G00731</t>
        </is>
      </c>
      <c r="H169" t="str">
        <f>INDEX('Match Groups'!$C$5:$C$1326,MATCH(G169,'Match Groups'!$A$5:$A$1326,0))</f>
        <v>R08</v>
      </c>
      <c r="I169" t="str">
        <f>INDEX('Match Groups'!$D$5:$D$1326,MATCH(G169,'Match Groups'!$A$5:$A$1326,0))</f>
        <v>MATCH</v>
      </c>
      <c r="J169">
        <f>IF(I169="DUPIMP",0,1)</f>
        <v>1</v>
      </c>
    </row>
    <row r="170">
      <c r="A170" t="inlineStr">
        <is>
          <t>BL-01403</t>
        </is>
      </c>
      <c r="B170" t="inlineStr">
        <is>
          <t>MER</t>
        </is>
      </c>
      <c r="C170" s="5" t="n">
        <v>46251</v>
      </c>
      <c r="D170" t="inlineStr">
        <is>
          <t>SETTLEMENT T403 140826</t>
        </is>
      </c>
      <c r="E170" s="9" t="n">
        <v>2151.12</v>
      </c>
      <c r="F170" t="inlineStr">
        <is>
          <t>MER-20260817</t>
        </is>
      </c>
      <c r="G170" t="inlineStr">
        <is>
          <t>G00732</t>
        </is>
      </c>
      <c r="H170" t="str">
        <f>INDEX('Match Groups'!$C$5:$C$1326,MATCH(G170,'Match Groups'!$A$5:$A$1326,0))</f>
        <v>R08</v>
      </c>
      <c r="I170" t="str">
        <f>INDEX('Match Groups'!$D$5:$D$1326,MATCH(G170,'Match Groups'!$A$5:$A$1326,0))</f>
        <v>MATCH</v>
      </c>
      <c r="J170">
        <f>IF(I170="DUPIMP",0,1)</f>
        <v>1</v>
      </c>
    </row>
    <row r="171">
      <c r="A171" t="inlineStr">
        <is>
          <t>BL-01404</t>
        </is>
      </c>
      <c r="B171" t="inlineStr">
        <is>
          <t>MER</t>
        </is>
      </c>
      <c r="C171" s="5" t="n">
        <v>46251</v>
      </c>
      <c r="D171" t="inlineStr">
        <is>
          <t>SETTLEMENT T404 140826</t>
        </is>
      </c>
      <c r="E171" s="9" t="n">
        <v>1933.6</v>
      </c>
      <c r="F171" t="inlineStr">
        <is>
          <t>MER-20260817</t>
        </is>
      </c>
      <c r="G171" t="inlineStr">
        <is>
          <t>G00733</t>
        </is>
      </c>
      <c r="H171" t="str">
        <f>INDEX('Match Groups'!$C$5:$C$1326,MATCH(G171,'Match Groups'!$A$5:$A$1326,0))</f>
        <v>R08</v>
      </c>
      <c r="I171" t="str">
        <f>INDEX('Match Groups'!$D$5:$D$1326,MATCH(G171,'Match Groups'!$A$5:$A$1326,0))</f>
        <v>MATCH</v>
      </c>
      <c r="J171">
        <f>IF(I171="DUPIMP",0,1)</f>
        <v>1</v>
      </c>
    </row>
    <row r="172">
      <c r="A172" t="inlineStr">
        <is>
          <t>BL-01405</t>
        </is>
      </c>
      <c r="B172" t="inlineStr">
        <is>
          <t>MER</t>
        </is>
      </c>
      <c r="C172" s="5" t="n">
        <v>46251</v>
      </c>
      <c r="D172" t="inlineStr">
        <is>
          <t>SETTLEMENT T401 150826</t>
        </is>
      </c>
      <c r="E172" s="9" t="n">
        <v>675.4400000000001</v>
      </c>
      <c r="F172" t="inlineStr">
        <is>
          <t>MER-20260817</t>
        </is>
      </c>
      <c r="G172" t="inlineStr">
        <is>
          <t>G00734</t>
        </is>
      </c>
      <c r="H172" t="str">
        <f>INDEX('Match Groups'!$C$5:$C$1326,MATCH(G172,'Match Groups'!$A$5:$A$1326,0))</f>
        <v>R08</v>
      </c>
      <c r="I172" t="str">
        <f>INDEX('Match Groups'!$D$5:$D$1326,MATCH(G172,'Match Groups'!$A$5:$A$1326,0))</f>
        <v>MATCH</v>
      </c>
      <c r="J172">
        <f>IF(I172="DUPIMP",0,1)</f>
        <v>1</v>
      </c>
    </row>
    <row r="173">
      <c r="A173" t="inlineStr">
        <is>
          <t>BL-01406</t>
        </is>
      </c>
      <c r="B173" t="inlineStr">
        <is>
          <t>MER</t>
        </is>
      </c>
      <c r="C173" s="5" t="n">
        <v>46251</v>
      </c>
      <c r="D173" t="inlineStr">
        <is>
          <t>SETTLEMENT T402 150826</t>
        </is>
      </c>
      <c r="E173" s="9" t="n">
        <v>750.39</v>
      </c>
      <c r="F173" t="inlineStr">
        <is>
          <t>MER-20260817</t>
        </is>
      </c>
      <c r="G173" t="inlineStr">
        <is>
          <t>G00735</t>
        </is>
      </c>
      <c r="H173" t="str">
        <f>INDEX('Match Groups'!$C$5:$C$1326,MATCH(G173,'Match Groups'!$A$5:$A$1326,0))</f>
        <v>R08</v>
      </c>
      <c r="I173" t="str">
        <f>INDEX('Match Groups'!$D$5:$D$1326,MATCH(G173,'Match Groups'!$A$5:$A$1326,0))</f>
        <v>MATCH</v>
      </c>
      <c r="J173">
        <f>IF(I173="DUPIMP",0,1)</f>
        <v>1</v>
      </c>
    </row>
    <row r="174">
      <c r="A174" t="inlineStr">
        <is>
          <t>BL-01407</t>
        </is>
      </c>
      <c r="B174" t="inlineStr">
        <is>
          <t>MER</t>
        </is>
      </c>
      <c r="C174" s="5" t="n">
        <v>46251</v>
      </c>
      <c r="D174" t="inlineStr">
        <is>
          <t>SETTLEMENT T403 150826</t>
        </is>
      </c>
      <c r="E174" s="9" t="n">
        <v>722.33</v>
      </c>
      <c r="F174" t="inlineStr">
        <is>
          <t>MER-20260817</t>
        </is>
      </c>
      <c r="G174" t="inlineStr">
        <is>
          <t>G00736</t>
        </is>
      </c>
      <c r="H174" t="str">
        <f>INDEX('Match Groups'!$C$5:$C$1326,MATCH(G174,'Match Groups'!$A$5:$A$1326,0))</f>
        <v>R08</v>
      </c>
      <c r="I174" t="str">
        <f>INDEX('Match Groups'!$D$5:$D$1326,MATCH(G174,'Match Groups'!$A$5:$A$1326,0))</f>
        <v>MATCH</v>
      </c>
      <c r="J174">
        <f>IF(I174="DUPIMP",0,1)</f>
        <v>1</v>
      </c>
    </row>
    <row r="175">
      <c r="A175" t="inlineStr">
        <is>
          <t>BL-01408</t>
        </is>
      </c>
      <c r="B175" t="inlineStr">
        <is>
          <t>MER</t>
        </is>
      </c>
      <c r="C175" s="5" t="n">
        <v>46251</v>
      </c>
      <c r="D175" t="inlineStr">
        <is>
          <t>SETTLEMENT T404 150826</t>
        </is>
      </c>
      <c r="E175" s="9" t="n">
        <v>769.8099999999999</v>
      </c>
      <c r="F175" t="inlineStr">
        <is>
          <t>MER-20260817</t>
        </is>
      </c>
      <c r="G175" t="inlineStr">
        <is>
          <t>G00737</t>
        </is>
      </c>
      <c r="H175" t="str">
        <f>INDEX('Match Groups'!$C$5:$C$1326,MATCH(G175,'Match Groups'!$A$5:$A$1326,0))</f>
        <v>R08</v>
      </c>
      <c r="I175" t="str">
        <f>INDEX('Match Groups'!$D$5:$D$1326,MATCH(G175,'Match Groups'!$A$5:$A$1326,0))</f>
        <v>MATCH</v>
      </c>
      <c r="J175">
        <f>IF(I175="DUPIMP",0,1)</f>
        <v>1</v>
      </c>
    </row>
    <row r="176">
      <c r="A176" t="inlineStr">
        <is>
          <t>BL-01573</t>
        </is>
      </c>
      <c r="B176" t="inlineStr">
        <is>
          <t>MER</t>
        </is>
      </c>
      <c r="C176" s="5" t="n">
        <v>46251</v>
      </c>
      <c r="D176" t="inlineStr">
        <is>
          <t>SWEEP TO OPERATING</t>
        </is>
      </c>
      <c r="E176" s="9" t="n">
        <v>-30000</v>
      </c>
      <c r="F176" t="inlineStr">
        <is>
          <t>MER-20260817</t>
        </is>
      </c>
      <c r="G176" t="inlineStr">
        <is>
          <t>G00738</t>
        </is>
      </c>
      <c r="H176" t="str">
        <f>INDEX('Match Groups'!$C$5:$C$1326,MATCH(G176,'Match Groups'!$A$5:$A$1326,0))</f>
        <v>R04</v>
      </c>
      <c r="I176" t="str">
        <f>INDEX('Match Groups'!$D$5:$D$1326,MATCH(G176,'Match Groups'!$A$5:$A$1326,0))</f>
        <v>MATCH</v>
      </c>
      <c r="J176">
        <f>IF(I176="DUPIMP",0,1)</f>
        <v>1</v>
      </c>
    </row>
    <row r="177">
      <c r="A177" t="inlineStr">
        <is>
          <t>BL-01409</t>
        </is>
      </c>
      <c r="B177" t="inlineStr">
        <is>
          <t>MER</t>
        </is>
      </c>
      <c r="C177" s="5" t="n">
        <v>46252</v>
      </c>
      <c r="D177" t="inlineStr">
        <is>
          <t>SETTLEMENT T401 170826</t>
        </is>
      </c>
      <c r="E177" s="9" t="n">
        <v>2948.92</v>
      </c>
      <c r="F177" t="inlineStr">
        <is>
          <t>MER-20260818</t>
        </is>
      </c>
      <c r="G177" t="inlineStr">
        <is>
          <t>G00739</t>
        </is>
      </c>
      <c r="H177" t="str">
        <f>INDEX('Match Groups'!$C$5:$C$1326,MATCH(G177,'Match Groups'!$A$5:$A$1326,0))</f>
        <v>R08</v>
      </c>
      <c r="I177" t="str">
        <f>INDEX('Match Groups'!$D$5:$D$1326,MATCH(G177,'Match Groups'!$A$5:$A$1326,0))</f>
        <v>MATCH</v>
      </c>
      <c r="J177">
        <f>IF(I177="DUPIMP",0,1)</f>
        <v>1</v>
      </c>
    </row>
    <row r="178">
      <c r="A178" t="inlineStr">
        <is>
          <t>BL-01410</t>
        </is>
      </c>
      <c r="B178" t="inlineStr">
        <is>
          <t>MER</t>
        </is>
      </c>
      <c r="C178" s="5" t="n">
        <v>46252</v>
      </c>
      <c r="D178" t="inlineStr">
        <is>
          <t>SETTLEMENT T402 170826</t>
        </is>
      </c>
      <c r="E178" s="9" t="n">
        <v>3123.45</v>
      </c>
      <c r="F178" t="inlineStr">
        <is>
          <t>MER-20260818</t>
        </is>
      </c>
      <c r="G178" t="inlineStr">
        <is>
          <t>G00740</t>
        </is>
      </c>
      <c r="H178" t="str">
        <f>INDEX('Match Groups'!$C$5:$C$1326,MATCH(G178,'Match Groups'!$A$5:$A$1326,0))</f>
        <v>R08</v>
      </c>
      <c r="I178" t="str">
        <f>INDEX('Match Groups'!$D$5:$D$1326,MATCH(G178,'Match Groups'!$A$5:$A$1326,0))</f>
        <v>MATCH</v>
      </c>
      <c r="J178">
        <f>IF(I178="DUPIMP",0,1)</f>
        <v>1</v>
      </c>
    </row>
    <row r="179">
      <c r="A179" t="inlineStr">
        <is>
          <t>BL-01411</t>
        </is>
      </c>
      <c r="B179" t="inlineStr">
        <is>
          <t>MER</t>
        </is>
      </c>
      <c r="C179" s="5" t="n">
        <v>46252</v>
      </c>
      <c r="D179" t="inlineStr">
        <is>
          <t>SETTLEMENT T403 170826</t>
        </is>
      </c>
      <c r="E179" s="9" t="n">
        <v>1623.14</v>
      </c>
      <c r="F179" t="inlineStr">
        <is>
          <t>MER-20260818</t>
        </is>
      </c>
      <c r="G179" t="inlineStr">
        <is>
          <t>G00741</t>
        </is>
      </c>
      <c r="H179" t="str">
        <f>INDEX('Match Groups'!$C$5:$C$1326,MATCH(G179,'Match Groups'!$A$5:$A$1326,0))</f>
        <v>R08</v>
      </c>
      <c r="I179" t="str">
        <f>INDEX('Match Groups'!$D$5:$D$1326,MATCH(G179,'Match Groups'!$A$5:$A$1326,0))</f>
        <v>MATCH</v>
      </c>
      <c r="J179">
        <f>IF(I179="DUPIMP",0,1)</f>
        <v>1</v>
      </c>
    </row>
    <row r="180">
      <c r="A180" t="inlineStr">
        <is>
          <t>BL-01412</t>
        </is>
      </c>
      <c r="B180" t="inlineStr">
        <is>
          <t>MER</t>
        </is>
      </c>
      <c r="C180" s="5" t="n">
        <v>46252</v>
      </c>
      <c r="D180" t="inlineStr">
        <is>
          <t>SETTLEMENT T404 170826</t>
        </is>
      </c>
      <c r="E180" s="9" t="n">
        <v>1754.28</v>
      </c>
      <c r="F180" t="inlineStr">
        <is>
          <t>MER-20260818</t>
        </is>
      </c>
      <c r="G180" t="inlineStr">
        <is>
          <t>G00742</t>
        </is>
      </c>
      <c r="H180" t="str">
        <f>INDEX('Match Groups'!$C$5:$C$1326,MATCH(G180,'Match Groups'!$A$5:$A$1326,0))</f>
        <v>R08</v>
      </c>
      <c r="I180" t="str">
        <f>INDEX('Match Groups'!$D$5:$D$1326,MATCH(G180,'Match Groups'!$A$5:$A$1326,0))</f>
        <v>MATCH</v>
      </c>
      <c r="J180">
        <f>IF(I180="DUPIMP",0,1)</f>
        <v>1</v>
      </c>
    </row>
    <row r="181">
      <c r="A181" t="inlineStr">
        <is>
          <t>BL-01413</t>
        </is>
      </c>
      <c r="B181" t="inlineStr">
        <is>
          <t>MER</t>
        </is>
      </c>
      <c r="C181" s="5" t="n">
        <v>46253</v>
      </c>
      <c r="D181" t="inlineStr">
        <is>
          <t>SETTLEMENT T401 180826</t>
        </is>
      </c>
      <c r="E181" s="9" t="n">
        <v>3581.86</v>
      </c>
      <c r="F181" t="inlineStr">
        <is>
          <t>MER-20260819</t>
        </is>
      </c>
      <c r="G181" t="inlineStr">
        <is>
          <t>G00743</t>
        </is>
      </c>
      <c r="H181" t="str">
        <f>INDEX('Match Groups'!$C$5:$C$1326,MATCH(G181,'Match Groups'!$A$5:$A$1326,0))</f>
        <v>R08</v>
      </c>
      <c r="I181" t="str">
        <f>INDEX('Match Groups'!$D$5:$D$1326,MATCH(G181,'Match Groups'!$A$5:$A$1326,0))</f>
        <v>MATCH</v>
      </c>
      <c r="J181">
        <f>IF(I181="DUPIMP",0,1)</f>
        <v>1</v>
      </c>
    </row>
    <row r="182">
      <c r="A182" t="inlineStr">
        <is>
          <t>BL-01414</t>
        </is>
      </c>
      <c r="B182" t="inlineStr">
        <is>
          <t>MER</t>
        </is>
      </c>
      <c r="C182" s="5" t="n">
        <v>46253</v>
      </c>
      <c r="D182" t="inlineStr">
        <is>
          <t>SETTLEMENT T402 180826</t>
        </is>
      </c>
      <c r="E182" s="9" t="n">
        <v>3214.33</v>
      </c>
      <c r="F182" t="inlineStr">
        <is>
          <t>MER-20260819</t>
        </is>
      </c>
      <c r="G182" t="inlineStr">
        <is>
          <t>G00744</t>
        </is>
      </c>
      <c r="H182" t="str">
        <f>INDEX('Match Groups'!$C$5:$C$1326,MATCH(G182,'Match Groups'!$A$5:$A$1326,0))</f>
        <v>R08</v>
      </c>
      <c r="I182" t="str">
        <f>INDEX('Match Groups'!$D$5:$D$1326,MATCH(G182,'Match Groups'!$A$5:$A$1326,0))</f>
        <v>MATCH</v>
      </c>
      <c r="J182">
        <f>IF(I182="DUPIMP",0,1)</f>
        <v>1</v>
      </c>
    </row>
    <row r="183">
      <c r="A183" t="inlineStr">
        <is>
          <t>BL-01415</t>
        </is>
      </c>
      <c r="B183" t="inlineStr">
        <is>
          <t>MER</t>
        </is>
      </c>
      <c r="C183" s="5" t="n">
        <v>46253</v>
      </c>
      <c r="D183" t="inlineStr">
        <is>
          <t>SETTLEMENT T403 180826</t>
        </is>
      </c>
      <c r="E183" s="9" t="n">
        <v>2430.35</v>
      </c>
      <c r="F183" t="inlineStr">
        <is>
          <t>MER-20260819</t>
        </is>
      </c>
      <c r="G183" t="inlineStr">
        <is>
          <t>G00745</t>
        </is>
      </c>
      <c r="H183" t="str">
        <f>INDEX('Match Groups'!$C$5:$C$1326,MATCH(G183,'Match Groups'!$A$5:$A$1326,0))</f>
        <v>R08</v>
      </c>
      <c r="I183" t="str">
        <f>INDEX('Match Groups'!$D$5:$D$1326,MATCH(G183,'Match Groups'!$A$5:$A$1326,0))</f>
        <v>MATCH</v>
      </c>
      <c r="J183">
        <f>IF(I183="DUPIMP",0,1)</f>
        <v>1</v>
      </c>
    </row>
    <row r="184">
      <c r="A184" t="inlineStr">
        <is>
          <t>BL-01416</t>
        </is>
      </c>
      <c r="B184" t="inlineStr">
        <is>
          <t>MER</t>
        </is>
      </c>
      <c r="C184" s="5" t="n">
        <v>46253</v>
      </c>
      <c r="D184" t="inlineStr">
        <is>
          <t>SETTLEMENT T404 180826</t>
        </is>
      </c>
      <c r="E184" s="9" t="n">
        <v>2329.59</v>
      </c>
      <c r="F184" t="inlineStr">
        <is>
          <t>MER-20260819</t>
        </is>
      </c>
      <c r="G184" t="inlineStr">
        <is>
          <t>G00746</t>
        </is>
      </c>
      <c r="H184" t="str">
        <f>INDEX('Match Groups'!$C$5:$C$1326,MATCH(G184,'Match Groups'!$A$5:$A$1326,0))</f>
        <v>R08</v>
      </c>
      <c r="I184" t="str">
        <f>INDEX('Match Groups'!$D$5:$D$1326,MATCH(G184,'Match Groups'!$A$5:$A$1326,0))</f>
        <v>MATCH</v>
      </c>
      <c r="J184">
        <f>IF(I184="DUPIMP",0,1)</f>
        <v>1</v>
      </c>
    </row>
    <row r="185">
      <c r="A185" t="inlineStr">
        <is>
          <t>BL-01590</t>
        </is>
      </c>
      <c r="B185" t="inlineStr">
        <is>
          <t>MER</t>
        </is>
      </c>
      <c r="C185" s="5" t="n">
        <v>46253</v>
      </c>
      <c r="D185" t="inlineStr">
        <is>
          <t>CHARGEBACK T402 REF 88104 CARD ****4417</t>
        </is>
      </c>
      <c r="E185" s="9" t="n">
        <v>-340</v>
      </c>
      <c r="F185" t="inlineStr">
        <is>
          <t>MER-20260819</t>
        </is>
      </c>
      <c r="G185" t="inlineStr">
        <is>
          <t>G01224</t>
        </is>
      </c>
      <c r="H185" t="str">
        <f>INDEX('Match Groups'!$C$5:$C$1326,MATCH(G185,'Match Groups'!$A$5:$A$1326,0))</f>
        <v>R12</v>
      </c>
      <c r="I185" t="str">
        <f>INDEX('Match Groups'!$D$5:$D$1326,MATCH(G185,'Match Groups'!$A$5:$A$1326,0))</f>
        <v>CHGBK</v>
      </c>
      <c r="J185">
        <f>IF(I185="DUPIMP",0,1)</f>
        <v>1</v>
      </c>
    </row>
    <row r="186">
      <c r="A186" t="inlineStr">
        <is>
          <t>BL-01417</t>
        </is>
      </c>
      <c r="B186" t="inlineStr">
        <is>
          <t>MER</t>
        </is>
      </c>
      <c r="C186" s="5" t="n">
        <v>46254</v>
      </c>
      <c r="D186" t="inlineStr">
        <is>
          <t>SETTLEMENT T401 190826</t>
        </is>
      </c>
      <c r="E186" s="9" t="n">
        <v>3130.18</v>
      </c>
      <c r="F186" t="inlineStr">
        <is>
          <t>MER-20260820</t>
        </is>
      </c>
      <c r="G186" t="inlineStr">
        <is>
          <t>G00747</t>
        </is>
      </c>
      <c r="H186" t="str">
        <f>INDEX('Match Groups'!$C$5:$C$1326,MATCH(G186,'Match Groups'!$A$5:$A$1326,0))</f>
        <v>R08</v>
      </c>
      <c r="I186" t="str">
        <f>INDEX('Match Groups'!$D$5:$D$1326,MATCH(G186,'Match Groups'!$A$5:$A$1326,0))</f>
        <v>MATCH</v>
      </c>
      <c r="J186">
        <f>IF(I186="DUPIMP",0,1)</f>
        <v>1</v>
      </c>
    </row>
    <row r="187">
      <c r="A187" t="inlineStr">
        <is>
          <t>BL-01418</t>
        </is>
      </c>
      <c r="B187" t="inlineStr">
        <is>
          <t>MER</t>
        </is>
      </c>
      <c r="C187" s="5" t="n">
        <v>46254</v>
      </c>
      <c r="D187" t="inlineStr">
        <is>
          <t>SETTLEMENT T402 190826</t>
        </is>
      </c>
      <c r="E187" s="9" t="n">
        <v>3596.75</v>
      </c>
      <c r="F187" t="inlineStr">
        <is>
          <t>MER-20260820</t>
        </is>
      </c>
      <c r="G187" t="inlineStr">
        <is>
          <t>G00748</t>
        </is>
      </c>
      <c r="H187" t="str">
        <f>INDEX('Match Groups'!$C$5:$C$1326,MATCH(G187,'Match Groups'!$A$5:$A$1326,0))</f>
        <v>R08</v>
      </c>
      <c r="I187" t="str">
        <f>INDEX('Match Groups'!$D$5:$D$1326,MATCH(G187,'Match Groups'!$A$5:$A$1326,0))</f>
        <v>MATCH</v>
      </c>
      <c r="J187">
        <f>IF(I187="DUPIMP",0,1)</f>
        <v>1</v>
      </c>
    </row>
    <row r="188">
      <c r="A188" t="inlineStr">
        <is>
          <t>BL-01419</t>
        </is>
      </c>
      <c r="B188" t="inlineStr">
        <is>
          <t>MER</t>
        </is>
      </c>
      <c r="C188" s="5" t="n">
        <v>46254</v>
      </c>
      <c r="D188" t="inlineStr">
        <is>
          <t>SETTLEMENT T403 190826</t>
        </is>
      </c>
      <c r="E188" s="9" t="n">
        <v>1846.54</v>
      </c>
      <c r="F188" t="inlineStr">
        <is>
          <t>MER-20260820</t>
        </is>
      </c>
      <c r="G188" t="inlineStr">
        <is>
          <t>G00749</t>
        </is>
      </c>
      <c r="H188" t="str">
        <f>INDEX('Match Groups'!$C$5:$C$1326,MATCH(G188,'Match Groups'!$A$5:$A$1326,0))</f>
        <v>R08</v>
      </c>
      <c r="I188" t="str">
        <f>INDEX('Match Groups'!$D$5:$D$1326,MATCH(G188,'Match Groups'!$A$5:$A$1326,0))</f>
        <v>MATCH</v>
      </c>
      <c r="J188">
        <f>IF(I188="DUPIMP",0,1)</f>
        <v>1</v>
      </c>
    </row>
    <row r="189">
      <c r="A189" t="inlineStr">
        <is>
          <t>BL-01420</t>
        </is>
      </c>
      <c r="B189" t="inlineStr">
        <is>
          <t>MER</t>
        </is>
      </c>
      <c r="C189" s="5" t="n">
        <v>46254</v>
      </c>
      <c r="D189" t="inlineStr">
        <is>
          <t>SETTLEMENT T404 190826</t>
        </is>
      </c>
      <c r="E189" s="9" t="n">
        <v>1043.67</v>
      </c>
      <c r="F189" t="inlineStr">
        <is>
          <t>MER-20260820</t>
        </is>
      </c>
      <c r="G189" t="inlineStr">
        <is>
          <t>G00750</t>
        </is>
      </c>
      <c r="H189" t="str">
        <f>INDEX('Match Groups'!$C$5:$C$1326,MATCH(G189,'Match Groups'!$A$5:$A$1326,0))</f>
        <v>R08</v>
      </c>
      <c r="I189" t="str">
        <f>INDEX('Match Groups'!$D$5:$D$1326,MATCH(G189,'Match Groups'!$A$5:$A$1326,0))</f>
        <v>MATCH</v>
      </c>
      <c r="J189">
        <f>IF(I189="DUPIMP",0,1)</f>
        <v>1</v>
      </c>
    </row>
    <row r="190">
      <c r="A190" t="inlineStr">
        <is>
          <t>BL-01421</t>
        </is>
      </c>
      <c r="B190" t="inlineStr">
        <is>
          <t>MER</t>
        </is>
      </c>
      <c r="C190" s="5" t="n">
        <v>46255</v>
      </c>
      <c r="D190" t="inlineStr">
        <is>
          <t>SETTLEMENT T401 200826</t>
        </is>
      </c>
      <c r="E190" s="9" t="n">
        <v>2363.52</v>
      </c>
      <c r="F190" t="inlineStr">
        <is>
          <t>MER-20260821</t>
        </is>
      </c>
      <c r="G190" t="inlineStr">
        <is>
          <t>G00751</t>
        </is>
      </c>
      <c r="H190" t="str">
        <f>INDEX('Match Groups'!$C$5:$C$1326,MATCH(G190,'Match Groups'!$A$5:$A$1326,0))</f>
        <v>R08</v>
      </c>
      <c r="I190" t="str">
        <f>INDEX('Match Groups'!$D$5:$D$1326,MATCH(G190,'Match Groups'!$A$5:$A$1326,0))</f>
        <v>MATCH</v>
      </c>
      <c r="J190">
        <f>IF(I190="DUPIMP",0,1)</f>
        <v>1</v>
      </c>
    </row>
    <row r="191">
      <c r="A191" t="inlineStr">
        <is>
          <t>BL-01422</t>
        </is>
      </c>
      <c r="B191" t="inlineStr">
        <is>
          <t>MER</t>
        </is>
      </c>
      <c r="C191" s="5" t="n">
        <v>46255</v>
      </c>
      <c r="D191" t="inlineStr">
        <is>
          <t>SETTLEMENT T402 200826</t>
        </is>
      </c>
      <c r="E191" s="9" t="n">
        <v>1602.45</v>
      </c>
      <c r="F191" t="inlineStr">
        <is>
          <t>MER-20260821</t>
        </is>
      </c>
      <c r="G191" t="inlineStr">
        <is>
          <t>G00752</t>
        </is>
      </c>
      <c r="H191" t="str">
        <f>INDEX('Match Groups'!$C$5:$C$1326,MATCH(G191,'Match Groups'!$A$5:$A$1326,0))</f>
        <v>R08</v>
      </c>
      <c r="I191" t="str">
        <f>INDEX('Match Groups'!$D$5:$D$1326,MATCH(G191,'Match Groups'!$A$5:$A$1326,0))</f>
        <v>MATCH</v>
      </c>
      <c r="J191">
        <f>IF(I191="DUPIMP",0,1)</f>
        <v>1</v>
      </c>
    </row>
    <row r="192">
      <c r="A192" t="inlineStr">
        <is>
          <t>BL-01423</t>
        </is>
      </c>
      <c r="B192" t="inlineStr">
        <is>
          <t>MER</t>
        </is>
      </c>
      <c r="C192" s="5" t="n">
        <v>46255</v>
      </c>
      <c r="D192" t="inlineStr">
        <is>
          <t>SETTLEMENT T403 200826</t>
        </is>
      </c>
      <c r="E192" s="9" t="n">
        <v>2371.32</v>
      </c>
      <c r="F192" t="inlineStr">
        <is>
          <t>MER-20260821</t>
        </is>
      </c>
      <c r="G192" t="inlineStr">
        <is>
          <t>G00753</t>
        </is>
      </c>
      <c r="H192" t="str">
        <f>INDEX('Match Groups'!$C$5:$C$1326,MATCH(G192,'Match Groups'!$A$5:$A$1326,0))</f>
        <v>R08</v>
      </c>
      <c r="I192" t="str">
        <f>INDEX('Match Groups'!$D$5:$D$1326,MATCH(G192,'Match Groups'!$A$5:$A$1326,0))</f>
        <v>MATCH</v>
      </c>
      <c r="J192">
        <f>IF(I192="DUPIMP",0,1)</f>
        <v>1</v>
      </c>
    </row>
    <row r="193">
      <c r="A193" t="inlineStr">
        <is>
          <t>BL-01424</t>
        </is>
      </c>
      <c r="B193" t="inlineStr">
        <is>
          <t>MER</t>
        </is>
      </c>
      <c r="C193" s="5" t="n">
        <v>46255</v>
      </c>
      <c r="D193" t="inlineStr">
        <is>
          <t>SETTLEMENT T404 200826</t>
        </is>
      </c>
      <c r="E193" s="9" t="n">
        <v>2941.92</v>
      </c>
      <c r="F193" t="inlineStr">
        <is>
          <t>MER-20260821</t>
        </is>
      </c>
      <c r="G193" t="inlineStr">
        <is>
          <t>G00754</t>
        </is>
      </c>
      <c r="H193" t="str">
        <f>INDEX('Match Groups'!$C$5:$C$1326,MATCH(G193,'Match Groups'!$A$5:$A$1326,0))</f>
        <v>R08</v>
      </c>
      <c r="I193" t="str">
        <f>INDEX('Match Groups'!$D$5:$D$1326,MATCH(G193,'Match Groups'!$A$5:$A$1326,0))</f>
        <v>MATCH</v>
      </c>
      <c r="J193">
        <f>IF(I193="DUPIMP",0,1)</f>
        <v>1</v>
      </c>
    </row>
    <row r="194">
      <c r="A194" t="inlineStr">
        <is>
          <t>BL-01425</t>
        </is>
      </c>
      <c r="B194" t="inlineStr">
        <is>
          <t>MER</t>
        </is>
      </c>
      <c r="C194" s="5" t="n">
        <v>46258</v>
      </c>
      <c r="D194" t="inlineStr">
        <is>
          <t>SETTLEMENT T401 210826</t>
        </is>
      </c>
      <c r="E194" s="9" t="n">
        <v>3356.9</v>
      </c>
      <c r="F194" t="inlineStr">
        <is>
          <t>MER-20260824</t>
        </is>
      </c>
      <c r="G194" t="inlineStr">
        <is>
          <t>G00755</t>
        </is>
      </c>
      <c r="H194" t="str">
        <f>INDEX('Match Groups'!$C$5:$C$1326,MATCH(G194,'Match Groups'!$A$5:$A$1326,0))</f>
        <v>R08</v>
      </c>
      <c r="I194" t="str">
        <f>INDEX('Match Groups'!$D$5:$D$1326,MATCH(G194,'Match Groups'!$A$5:$A$1326,0))</f>
        <v>MATCH</v>
      </c>
      <c r="J194">
        <f>IF(I194="DUPIMP",0,1)</f>
        <v>1</v>
      </c>
    </row>
    <row r="195">
      <c r="A195" t="inlineStr">
        <is>
          <t>BL-01426</t>
        </is>
      </c>
      <c r="B195" t="inlineStr">
        <is>
          <t>MER</t>
        </is>
      </c>
      <c r="C195" s="5" t="n">
        <v>46258</v>
      </c>
      <c r="D195" t="inlineStr">
        <is>
          <t>SETTLEMENT T402 210826</t>
        </is>
      </c>
      <c r="E195" s="9" t="n">
        <v>901.64</v>
      </c>
      <c r="F195" t="inlineStr">
        <is>
          <t>MER-20260824</t>
        </is>
      </c>
      <c r="G195" t="inlineStr">
        <is>
          <t>G00756</t>
        </is>
      </c>
      <c r="H195" t="str">
        <f>INDEX('Match Groups'!$C$5:$C$1326,MATCH(G195,'Match Groups'!$A$5:$A$1326,0))</f>
        <v>R08</v>
      </c>
      <c r="I195" t="str">
        <f>INDEX('Match Groups'!$D$5:$D$1326,MATCH(G195,'Match Groups'!$A$5:$A$1326,0))</f>
        <v>MATCH</v>
      </c>
      <c r="J195">
        <f>IF(I195="DUPIMP",0,1)</f>
        <v>1</v>
      </c>
    </row>
    <row r="196">
      <c r="A196" t="inlineStr">
        <is>
          <t>BL-01427</t>
        </is>
      </c>
      <c r="B196" t="inlineStr">
        <is>
          <t>MER</t>
        </is>
      </c>
      <c r="C196" s="5" t="n">
        <v>46258</v>
      </c>
      <c r="D196" t="inlineStr">
        <is>
          <t>SETTLEMENT T403 210826</t>
        </is>
      </c>
      <c r="E196" s="9" t="n">
        <v>2823.68</v>
      </c>
      <c r="F196" t="inlineStr">
        <is>
          <t>MER-20260824</t>
        </is>
      </c>
      <c r="G196" t="inlineStr">
        <is>
          <t>G00757</t>
        </is>
      </c>
      <c r="H196" t="str">
        <f>INDEX('Match Groups'!$C$5:$C$1326,MATCH(G196,'Match Groups'!$A$5:$A$1326,0))</f>
        <v>R08</v>
      </c>
      <c r="I196" t="str">
        <f>INDEX('Match Groups'!$D$5:$D$1326,MATCH(G196,'Match Groups'!$A$5:$A$1326,0))</f>
        <v>MATCH</v>
      </c>
      <c r="J196">
        <f>IF(I196="DUPIMP",0,1)</f>
        <v>1</v>
      </c>
    </row>
    <row r="197">
      <c r="A197" t="inlineStr">
        <is>
          <t>BL-01428</t>
        </is>
      </c>
      <c r="B197" t="inlineStr">
        <is>
          <t>MER</t>
        </is>
      </c>
      <c r="C197" s="5" t="n">
        <v>46258</v>
      </c>
      <c r="D197" t="inlineStr">
        <is>
          <t>SETTLEMENT T404 210826</t>
        </is>
      </c>
      <c r="E197" s="9" t="n">
        <v>3417.18</v>
      </c>
      <c r="F197" t="inlineStr">
        <is>
          <t>MER-20260824</t>
        </is>
      </c>
      <c r="G197" t="inlineStr">
        <is>
          <t>G00758</t>
        </is>
      </c>
      <c r="H197" t="str">
        <f>INDEX('Match Groups'!$C$5:$C$1326,MATCH(G197,'Match Groups'!$A$5:$A$1326,0))</f>
        <v>R08</v>
      </c>
      <c r="I197" t="str">
        <f>INDEX('Match Groups'!$D$5:$D$1326,MATCH(G197,'Match Groups'!$A$5:$A$1326,0))</f>
        <v>MATCH</v>
      </c>
      <c r="J197">
        <f>IF(I197="DUPIMP",0,1)</f>
        <v>1</v>
      </c>
    </row>
    <row r="198">
      <c r="A198" t="inlineStr">
        <is>
          <t>BL-01429</t>
        </is>
      </c>
      <c r="B198" t="inlineStr">
        <is>
          <t>MER</t>
        </is>
      </c>
      <c r="C198" s="5" t="n">
        <v>46258</v>
      </c>
      <c r="D198" t="inlineStr">
        <is>
          <t>SETTLEMENT T401 220826</t>
        </is>
      </c>
      <c r="E198" s="9" t="n">
        <v>1176.51</v>
      </c>
      <c r="F198" t="inlineStr">
        <is>
          <t>MER-20260824</t>
        </is>
      </c>
      <c r="G198" t="inlineStr">
        <is>
          <t>G00759</t>
        </is>
      </c>
      <c r="H198" t="str">
        <f>INDEX('Match Groups'!$C$5:$C$1326,MATCH(G198,'Match Groups'!$A$5:$A$1326,0))</f>
        <v>R08</v>
      </c>
      <c r="I198" t="str">
        <f>INDEX('Match Groups'!$D$5:$D$1326,MATCH(G198,'Match Groups'!$A$5:$A$1326,0))</f>
        <v>MATCH</v>
      </c>
      <c r="J198">
        <f>IF(I198="DUPIMP",0,1)</f>
        <v>1</v>
      </c>
    </row>
    <row r="199">
      <c r="A199" t="inlineStr">
        <is>
          <t>BL-01430</t>
        </is>
      </c>
      <c r="B199" t="inlineStr">
        <is>
          <t>MER</t>
        </is>
      </c>
      <c r="C199" s="5" t="n">
        <v>46258</v>
      </c>
      <c r="D199" t="inlineStr">
        <is>
          <t>SETTLEMENT T402 220826</t>
        </is>
      </c>
      <c r="E199" s="9" t="n">
        <v>1078.15</v>
      </c>
      <c r="F199" t="inlineStr">
        <is>
          <t>MER-20260824</t>
        </is>
      </c>
      <c r="G199" t="inlineStr">
        <is>
          <t>G00760</t>
        </is>
      </c>
      <c r="H199" t="str">
        <f>INDEX('Match Groups'!$C$5:$C$1326,MATCH(G199,'Match Groups'!$A$5:$A$1326,0))</f>
        <v>R08</v>
      </c>
      <c r="I199" t="str">
        <f>INDEX('Match Groups'!$D$5:$D$1326,MATCH(G199,'Match Groups'!$A$5:$A$1326,0))</f>
        <v>MATCH</v>
      </c>
      <c r="J199">
        <f>IF(I199="DUPIMP",0,1)</f>
        <v>1</v>
      </c>
    </row>
    <row r="200">
      <c r="A200" t="inlineStr">
        <is>
          <t>BL-01431</t>
        </is>
      </c>
      <c r="B200" t="inlineStr">
        <is>
          <t>MER</t>
        </is>
      </c>
      <c r="C200" s="5" t="n">
        <v>46258</v>
      </c>
      <c r="D200" t="inlineStr">
        <is>
          <t>SETTLEMENT T403 220826</t>
        </is>
      </c>
      <c r="E200" s="9" t="n">
        <v>980.45</v>
      </c>
      <c r="F200" t="inlineStr">
        <is>
          <t>MER-20260824</t>
        </is>
      </c>
      <c r="G200" t="inlineStr">
        <is>
          <t>G00761</t>
        </is>
      </c>
      <c r="H200" t="str">
        <f>INDEX('Match Groups'!$C$5:$C$1326,MATCH(G200,'Match Groups'!$A$5:$A$1326,0))</f>
        <v>R08</v>
      </c>
      <c r="I200" t="str">
        <f>INDEX('Match Groups'!$D$5:$D$1326,MATCH(G200,'Match Groups'!$A$5:$A$1326,0))</f>
        <v>MATCH</v>
      </c>
      <c r="J200">
        <f>IF(I200="DUPIMP",0,1)</f>
        <v>1</v>
      </c>
    </row>
    <row r="201">
      <c r="A201" t="inlineStr">
        <is>
          <t>BL-01432</t>
        </is>
      </c>
      <c r="B201" t="inlineStr">
        <is>
          <t>MER</t>
        </is>
      </c>
      <c r="C201" s="5" t="n">
        <v>46258</v>
      </c>
      <c r="D201" t="inlineStr">
        <is>
          <t>SETTLEMENT T404 220826</t>
        </is>
      </c>
      <c r="E201" s="9" t="n">
        <v>1239.16</v>
      </c>
      <c r="F201" t="inlineStr">
        <is>
          <t>MER-20260824</t>
        </is>
      </c>
      <c r="G201" t="inlineStr">
        <is>
          <t>G00762</t>
        </is>
      </c>
      <c r="H201" t="str">
        <f>INDEX('Match Groups'!$C$5:$C$1326,MATCH(G201,'Match Groups'!$A$5:$A$1326,0))</f>
        <v>R08</v>
      </c>
      <c r="I201" t="str">
        <f>INDEX('Match Groups'!$D$5:$D$1326,MATCH(G201,'Match Groups'!$A$5:$A$1326,0))</f>
        <v>MATCH</v>
      </c>
      <c r="J201">
        <f>IF(I201="DUPIMP",0,1)</f>
        <v>1</v>
      </c>
    </row>
    <row r="202">
      <c r="A202" t="inlineStr">
        <is>
          <t>BL-01575</t>
        </is>
      </c>
      <c r="B202" t="inlineStr">
        <is>
          <t>MER</t>
        </is>
      </c>
      <c r="C202" s="5" t="n">
        <v>46258</v>
      </c>
      <c r="D202" t="inlineStr">
        <is>
          <t>SWEEP TO OPERATING</t>
        </is>
      </c>
      <c r="E202" s="9" t="n">
        <v>-34000</v>
      </c>
      <c r="F202" t="inlineStr">
        <is>
          <t>MER-20260824</t>
        </is>
      </c>
      <c r="G202" t="inlineStr">
        <is>
          <t>G00763</t>
        </is>
      </c>
      <c r="H202" t="str">
        <f>INDEX('Match Groups'!$C$5:$C$1326,MATCH(G202,'Match Groups'!$A$5:$A$1326,0))</f>
        <v>R04</v>
      </c>
      <c r="I202" t="str">
        <f>INDEX('Match Groups'!$D$5:$D$1326,MATCH(G202,'Match Groups'!$A$5:$A$1326,0))</f>
        <v>MATCH</v>
      </c>
      <c r="J202">
        <f>IF(I202="DUPIMP",0,1)</f>
        <v>1</v>
      </c>
    </row>
    <row r="203">
      <c r="A203" t="inlineStr">
        <is>
          <t>BL-01433</t>
        </is>
      </c>
      <c r="B203" t="inlineStr">
        <is>
          <t>MER</t>
        </is>
      </c>
      <c r="C203" s="5" t="n">
        <v>46259</v>
      </c>
      <c r="D203" t="inlineStr">
        <is>
          <t>SETTLEMENT T401 240826</t>
        </is>
      </c>
      <c r="E203" s="9" t="n">
        <v>2914.25</v>
      </c>
      <c r="F203" t="inlineStr">
        <is>
          <t>MER-20260825</t>
        </is>
      </c>
      <c r="G203" t="inlineStr">
        <is>
          <t>G00764</t>
        </is>
      </c>
      <c r="H203" t="str">
        <f>INDEX('Match Groups'!$C$5:$C$1326,MATCH(G203,'Match Groups'!$A$5:$A$1326,0))</f>
        <v>R08</v>
      </c>
      <c r="I203" t="str">
        <f>INDEX('Match Groups'!$D$5:$D$1326,MATCH(G203,'Match Groups'!$A$5:$A$1326,0))</f>
        <v>MATCH</v>
      </c>
      <c r="J203">
        <f>IF(I203="DUPIMP",0,1)</f>
        <v>1</v>
      </c>
    </row>
    <row r="204">
      <c r="A204" t="inlineStr">
        <is>
          <t>BL-01434</t>
        </is>
      </c>
      <c r="B204" t="inlineStr">
        <is>
          <t>MER</t>
        </is>
      </c>
      <c r="C204" s="5" t="n">
        <v>46259</v>
      </c>
      <c r="D204" t="inlineStr">
        <is>
          <t>SETTLEMENT T402 240826</t>
        </is>
      </c>
      <c r="E204" s="9" t="n">
        <v>3278.09</v>
      </c>
      <c r="F204" t="inlineStr">
        <is>
          <t>MER-20260825</t>
        </is>
      </c>
      <c r="G204" t="inlineStr">
        <is>
          <t>G00765</t>
        </is>
      </c>
      <c r="H204" t="str">
        <f>INDEX('Match Groups'!$C$5:$C$1326,MATCH(G204,'Match Groups'!$A$5:$A$1326,0))</f>
        <v>R08</v>
      </c>
      <c r="I204" t="str">
        <f>INDEX('Match Groups'!$D$5:$D$1326,MATCH(G204,'Match Groups'!$A$5:$A$1326,0))</f>
        <v>MATCH</v>
      </c>
      <c r="J204">
        <f>IF(I204="DUPIMP",0,1)</f>
        <v>1</v>
      </c>
    </row>
    <row r="205">
      <c r="A205" t="inlineStr">
        <is>
          <t>BL-01435</t>
        </is>
      </c>
      <c r="B205" t="inlineStr">
        <is>
          <t>MER</t>
        </is>
      </c>
      <c r="C205" s="5" t="n">
        <v>46259</v>
      </c>
      <c r="D205" t="inlineStr">
        <is>
          <t>SETTLEMENT T403 240826</t>
        </is>
      </c>
      <c r="E205" s="9" t="n">
        <v>2185.24</v>
      </c>
      <c r="F205" t="inlineStr">
        <is>
          <t>MER-20260825</t>
        </is>
      </c>
      <c r="G205" t="inlineStr">
        <is>
          <t>G00766</t>
        </is>
      </c>
      <c r="H205" t="str">
        <f>INDEX('Match Groups'!$C$5:$C$1326,MATCH(G205,'Match Groups'!$A$5:$A$1326,0))</f>
        <v>R08</v>
      </c>
      <c r="I205" t="str">
        <f>INDEX('Match Groups'!$D$5:$D$1326,MATCH(G205,'Match Groups'!$A$5:$A$1326,0))</f>
        <v>MATCH</v>
      </c>
      <c r="J205">
        <f>IF(I205="DUPIMP",0,1)</f>
        <v>1</v>
      </c>
    </row>
    <row r="206">
      <c r="A206" t="inlineStr">
        <is>
          <t>BL-01436</t>
        </is>
      </c>
      <c r="B206" t="inlineStr">
        <is>
          <t>MER</t>
        </is>
      </c>
      <c r="C206" s="5" t="n">
        <v>46259</v>
      </c>
      <c r="D206" t="inlineStr">
        <is>
          <t>SETTLEMENT T404 240826</t>
        </is>
      </c>
      <c r="E206" s="9" t="n">
        <v>3116.43</v>
      </c>
      <c r="F206" t="inlineStr">
        <is>
          <t>MER-20260825</t>
        </is>
      </c>
      <c r="G206" t="inlineStr">
        <is>
          <t>G00767</t>
        </is>
      </c>
      <c r="H206" t="str">
        <f>INDEX('Match Groups'!$C$5:$C$1326,MATCH(G206,'Match Groups'!$A$5:$A$1326,0))</f>
        <v>R08</v>
      </c>
      <c r="I206" t="str">
        <f>INDEX('Match Groups'!$D$5:$D$1326,MATCH(G206,'Match Groups'!$A$5:$A$1326,0))</f>
        <v>MATCH</v>
      </c>
      <c r="J206">
        <f>IF(I206="DUPIMP",0,1)</f>
        <v>1</v>
      </c>
    </row>
    <row r="207">
      <c r="A207" t="inlineStr">
        <is>
          <t>BL-01437</t>
        </is>
      </c>
      <c r="B207" t="inlineStr">
        <is>
          <t>MER</t>
        </is>
      </c>
      <c r="C207" s="5" t="n">
        <v>46260</v>
      </c>
      <c r="D207" t="inlineStr">
        <is>
          <t>SETTLEMENT T401 250826</t>
        </is>
      </c>
      <c r="E207" s="9" t="n">
        <v>1951.34</v>
      </c>
      <c r="F207" t="inlineStr">
        <is>
          <t>MER-20260826</t>
        </is>
      </c>
      <c r="G207" t="inlineStr">
        <is>
          <t>G00768</t>
        </is>
      </c>
      <c r="H207" t="str">
        <f>INDEX('Match Groups'!$C$5:$C$1326,MATCH(G207,'Match Groups'!$A$5:$A$1326,0))</f>
        <v>R08</v>
      </c>
      <c r="I207" t="str">
        <f>INDEX('Match Groups'!$D$5:$D$1326,MATCH(G207,'Match Groups'!$A$5:$A$1326,0))</f>
        <v>MATCH</v>
      </c>
      <c r="J207">
        <f>IF(I207="DUPIMP",0,1)</f>
        <v>1</v>
      </c>
    </row>
    <row r="208">
      <c r="A208" t="inlineStr">
        <is>
          <t>BL-01438</t>
        </is>
      </c>
      <c r="B208" t="inlineStr">
        <is>
          <t>MER</t>
        </is>
      </c>
      <c r="C208" s="5" t="n">
        <v>46260</v>
      </c>
      <c r="D208" t="inlineStr">
        <is>
          <t>SETTLEMENT T402 250826</t>
        </is>
      </c>
      <c r="E208" s="9" t="n">
        <v>2320.37</v>
      </c>
      <c r="F208" t="inlineStr">
        <is>
          <t>MER-20260826</t>
        </is>
      </c>
      <c r="G208" t="inlineStr">
        <is>
          <t>G00769</t>
        </is>
      </c>
      <c r="H208" t="str">
        <f>INDEX('Match Groups'!$C$5:$C$1326,MATCH(G208,'Match Groups'!$A$5:$A$1326,0))</f>
        <v>R08</v>
      </c>
      <c r="I208" t="str">
        <f>INDEX('Match Groups'!$D$5:$D$1326,MATCH(G208,'Match Groups'!$A$5:$A$1326,0))</f>
        <v>MATCH</v>
      </c>
      <c r="J208">
        <f>IF(I208="DUPIMP",0,1)</f>
        <v>1</v>
      </c>
    </row>
    <row r="209">
      <c r="A209" t="inlineStr">
        <is>
          <t>BL-01439</t>
        </is>
      </c>
      <c r="B209" t="inlineStr">
        <is>
          <t>MER</t>
        </is>
      </c>
      <c r="C209" s="5" t="n">
        <v>46260</v>
      </c>
      <c r="D209" t="inlineStr">
        <is>
          <t>SETTLEMENT T403 250826</t>
        </is>
      </c>
      <c r="E209" s="9" t="n">
        <v>1845.94</v>
      </c>
      <c r="F209" t="inlineStr">
        <is>
          <t>MER-20260826</t>
        </is>
      </c>
      <c r="G209" t="inlineStr">
        <is>
          <t>G00770</t>
        </is>
      </c>
      <c r="H209" t="str">
        <f>INDEX('Match Groups'!$C$5:$C$1326,MATCH(G209,'Match Groups'!$A$5:$A$1326,0))</f>
        <v>R08</v>
      </c>
      <c r="I209" t="str">
        <f>INDEX('Match Groups'!$D$5:$D$1326,MATCH(G209,'Match Groups'!$A$5:$A$1326,0))</f>
        <v>MATCH</v>
      </c>
      <c r="J209">
        <f>IF(I209="DUPIMP",0,1)</f>
        <v>1</v>
      </c>
    </row>
    <row r="210">
      <c r="A210" t="inlineStr">
        <is>
          <t>BL-01440</t>
        </is>
      </c>
      <c r="B210" t="inlineStr">
        <is>
          <t>MER</t>
        </is>
      </c>
      <c r="C210" s="5" t="n">
        <v>46260</v>
      </c>
      <c r="D210" t="inlineStr">
        <is>
          <t>SETTLEMENT T404 250826</t>
        </is>
      </c>
      <c r="E210" s="9" t="n">
        <v>3486.21</v>
      </c>
      <c r="F210" t="inlineStr">
        <is>
          <t>MER-20260826</t>
        </is>
      </c>
      <c r="G210" t="inlineStr">
        <is>
          <t>G00771</t>
        </is>
      </c>
      <c r="H210" t="str">
        <f>INDEX('Match Groups'!$C$5:$C$1326,MATCH(G210,'Match Groups'!$A$5:$A$1326,0))</f>
        <v>R08</v>
      </c>
      <c r="I210" t="str">
        <f>INDEX('Match Groups'!$D$5:$D$1326,MATCH(G210,'Match Groups'!$A$5:$A$1326,0))</f>
        <v>MATCH</v>
      </c>
      <c r="J210">
        <f>IF(I210="DUPIMP",0,1)</f>
        <v>1</v>
      </c>
    </row>
    <row r="211">
      <c r="A211" t="inlineStr">
        <is>
          <t>BL-01441</t>
        </is>
      </c>
      <c r="B211" t="inlineStr">
        <is>
          <t>MER</t>
        </is>
      </c>
      <c r="C211" s="5" t="n">
        <v>46261</v>
      </c>
      <c r="D211" t="inlineStr">
        <is>
          <t>SETTLEMENT T401 260826</t>
        </is>
      </c>
      <c r="E211" s="9" t="n">
        <v>1013.54</v>
      </c>
      <c r="F211" t="inlineStr">
        <is>
          <t>MER-20260827</t>
        </is>
      </c>
      <c r="G211" t="inlineStr">
        <is>
          <t>G00772</t>
        </is>
      </c>
      <c r="H211" t="str">
        <f>INDEX('Match Groups'!$C$5:$C$1326,MATCH(G211,'Match Groups'!$A$5:$A$1326,0))</f>
        <v>R08</v>
      </c>
      <c r="I211" t="str">
        <f>INDEX('Match Groups'!$D$5:$D$1326,MATCH(G211,'Match Groups'!$A$5:$A$1326,0))</f>
        <v>MATCH</v>
      </c>
      <c r="J211">
        <f>IF(I211="DUPIMP",0,1)</f>
        <v>1</v>
      </c>
    </row>
    <row r="212">
      <c r="A212" t="inlineStr">
        <is>
          <t>BL-01442</t>
        </is>
      </c>
      <c r="B212" t="inlineStr">
        <is>
          <t>MER</t>
        </is>
      </c>
      <c r="C212" s="5" t="n">
        <v>46261</v>
      </c>
      <c r="D212" t="inlineStr">
        <is>
          <t>SETTLEMENT T402 260826</t>
        </is>
      </c>
      <c r="E212" s="9" t="n">
        <v>1756.48</v>
      </c>
      <c r="F212" t="inlineStr">
        <is>
          <t>MER-20260827</t>
        </is>
      </c>
      <c r="G212" t="inlineStr">
        <is>
          <t>G00773</t>
        </is>
      </c>
      <c r="H212" t="str">
        <f>INDEX('Match Groups'!$C$5:$C$1326,MATCH(G212,'Match Groups'!$A$5:$A$1326,0))</f>
        <v>R08</v>
      </c>
      <c r="I212" t="str">
        <f>INDEX('Match Groups'!$D$5:$D$1326,MATCH(G212,'Match Groups'!$A$5:$A$1326,0))</f>
        <v>MATCH</v>
      </c>
      <c r="J212">
        <f>IF(I212="DUPIMP",0,1)</f>
        <v>1</v>
      </c>
    </row>
    <row r="213">
      <c r="A213" t="inlineStr">
        <is>
          <t>BL-01443</t>
        </is>
      </c>
      <c r="B213" t="inlineStr">
        <is>
          <t>MER</t>
        </is>
      </c>
      <c r="C213" s="5" t="n">
        <v>46261</v>
      </c>
      <c r="D213" t="inlineStr">
        <is>
          <t>SETTLEMENT T403 260826</t>
        </is>
      </c>
      <c r="E213" s="9" t="n">
        <v>2265.32</v>
      </c>
      <c r="F213" t="inlineStr">
        <is>
          <t>MER-20260827</t>
        </is>
      </c>
      <c r="G213" t="inlineStr">
        <is>
          <t>G00774</t>
        </is>
      </c>
      <c r="H213" t="str">
        <f>INDEX('Match Groups'!$C$5:$C$1326,MATCH(G213,'Match Groups'!$A$5:$A$1326,0))</f>
        <v>R08</v>
      </c>
      <c r="I213" t="str">
        <f>INDEX('Match Groups'!$D$5:$D$1326,MATCH(G213,'Match Groups'!$A$5:$A$1326,0))</f>
        <v>MATCH</v>
      </c>
      <c r="J213">
        <f>IF(I213="DUPIMP",0,1)</f>
        <v>1</v>
      </c>
    </row>
    <row r="214">
      <c r="A214" t="inlineStr">
        <is>
          <t>BL-01444</t>
        </is>
      </c>
      <c r="B214" t="inlineStr">
        <is>
          <t>MER</t>
        </is>
      </c>
      <c r="C214" s="5" t="n">
        <v>46261</v>
      </c>
      <c r="D214" t="inlineStr">
        <is>
          <t>SETTLEMENT T404 260826</t>
        </is>
      </c>
      <c r="E214" s="9" t="n">
        <v>3057.39</v>
      </c>
      <c r="F214" t="inlineStr">
        <is>
          <t>MER-20260827</t>
        </is>
      </c>
      <c r="G214" t="inlineStr">
        <is>
          <t>G00775</t>
        </is>
      </c>
      <c r="H214" t="str">
        <f>INDEX('Match Groups'!$C$5:$C$1326,MATCH(G214,'Match Groups'!$A$5:$A$1326,0))</f>
        <v>R08</v>
      </c>
      <c r="I214" t="str">
        <f>INDEX('Match Groups'!$D$5:$D$1326,MATCH(G214,'Match Groups'!$A$5:$A$1326,0))</f>
        <v>MATCH</v>
      </c>
      <c r="J214">
        <f>IF(I214="DUPIMP",0,1)</f>
        <v>1</v>
      </c>
    </row>
    <row r="215">
      <c r="A215" t="inlineStr">
        <is>
          <t>BL-01445</t>
        </is>
      </c>
      <c r="B215" t="inlineStr">
        <is>
          <t>MER</t>
        </is>
      </c>
      <c r="C215" s="5" t="n">
        <v>46262</v>
      </c>
      <c r="D215" t="inlineStr">
        <is>
          <t>SETTLEMENT T401 270826</t>
        </is>
      </c>
      <c r="E215" s="9" t="n">
        <v>1520.87</v>
      </c>
      <c r="F215" t="inlineStr">
        <is>
          <t>MER-20260828</t>
        </is>
      </c>
      <c r="G215" t="inlineStr">
        <is>
          <t>G00776</t>
        </is>
      </c>
      <c r="H215" t="str">
        <f>INDEX('Match Groups'!$C$5:$C$1326,MATCH(G215,'Match Groups'!$A$5:$A$1326,0))</f>
        <v>R08</v>
      </c>
      <c r="I215" t="str">
        <f>INDEX('Match Groups'!$D$5:$D$1326,MATCH(G215,'Match Groups'!$A$5:$A$1326,0))</f>
        <v>MATCH</v>
      </c>
      <c r="J215">
        <f>IF(I215="DUPIMP",0,1)</f>
        <v>1</v>
      </c>
    </row>
    <row r="216">
      <c r="A216" t="inlineStr">
        <is>
          <t>BL-01446</t>
        </is>
      </c>
      <c r="B216" t="inlineStr">
        <is>
          <t>MER</t>
        </is>
      </c>
      <c r="C216" s="5" t="n">
        <v>46262</v>
      </c>
      <c r="D216" t="inlineStr">
        <is>
          <t>SETTLEMENT T402 270826</t>
        </is>
      </c>
      <c r="E216" s="9" t="n">
        <v>2121.36</v>
      </c>
      <c r="F216" t="inlineStr">
        <is>
          <t>MER-20260828</t>
        </is>
      </c>
      <c r="G216" t="inlineStr">
        <is>
          <t>G00777</t>
        </is>
      </c>
      <c r="H216" t="str">
        <f>INDEX('Match Groups'!$C$5:$C$1326,MATCH(G216,'Match Groups'!$A$5:$A$1326,0))</f>
        <v>R08</v>
      </c>
      <c r="I216" t="str">
        <f>INDEX('Match Groups'!$D$5:$D$1326,MATCH(G216,'Match Groups'!$A$5:$A$1326,0))</f>
        <v>MATCH</v>
      </c>
      <c r="J216">
        <f>IF(I216="DUPIMP",0,1)</f>
        <v>1</v>
      </c>
    </row>
    <row r="217">
      <c r="A217" t="inlineStr">
        <is>
          <t>BL-01447</t>
        </is>
      </c>
      <c r="B217" t="inlineStr">
        <is>
          <t>MER</t>
        </is>
      </c>
      <c r="C217" s="5" t="n">
        <v>46262</v>
      </c>
      <c r="D217" t="inlineStr">
        <is>
          <t>SETTLEMENT T403 270826</t>
        </is>
      </c>
      <c r="E217" s="9" t="n">
        <v>2942.02</v>
      </c>
      <c r="F217" t="inlineStr">
        <is>
          <t>MER-20260828</t>
        </is>
      </c>
      <c r="G217" t="inlineStr">
        <is>
          <t>G00778</t>
        </is>
      </c>
      <c r="H217" t="str">
        <f>INDEX('Match Groups'!$C$5:$C$1326,MATCH(G217,'Match Groups'!$A$5:$A$1326,0))</f>
        <v>R08</v>
      </c>
      <c r="I217" t="str">
        <f>INDEX('Match Groups'!$D$5:$D$1326,MATCH(G217,'Match Groups'!$A$5:$A$1326,0))</f>
        <v>MATCH</v>
      </c>
      <c r="J217">
        <f>IF(I217="DUPIMP",0,1)</f>
        <v>1</v>
      </c>
    </row>
    <row r="218">
      <c r="A218" t="inlineStr">
        <is>
          <t>BL-01448</t>
        </is>
      </c>
      <c r="B218" t="inlineStr">
        <is>
          <t>MER</t>
        </is>
      </c>
      <c r="C218" s="5" t="n">
        <v>46262</v>
      </c>
      <c r="D218" t="inlineStr">
        <is>
          <t>SETTLEMENT T404 270826</t>
        </is>
      </c>
      <c r="E218" s="9" t="n">
        <v>3297.65</v>
      </c>
      <c r="F218" t="inlineStr">
        <is>
          <t>MER-20260828</t>
        </is>
      </c>
      <c r="G218" t="inlineStr">
        <is>
          <t>G00779</t>
        </is>
      </c>
      <c r="H218" t="str">
        <f>INDEX('Match Groups'!$C$5:$C$1326,MATCH(G218,'Match Groups'!$A$5:$A$1326,0))</f>
        <v>R08</v>
      </c>
      <c r="I218" t="str">
        <f>INDEX('Match Groups'!$D$5:$D$1326,MATCH(G218,'Match Groups'!$A$5:$A$1326,0))</f>
        <v>MATCH</v>
      </c>
      <c r="J218">
        <f>IF(I218="DUPIMP",0,1)</f>
        <v>1</v>
      </c>
    </row>
    <row r="219">
      <c r="A219" t="inlineStr">
        <is>
          <t>BL-01449</t>
        </is>
      </c>
      <c r="B219" t="inlineStr">
        <is>
          <t>MER</t>
        </is>
      </c>
      <c r="C219" s="5" t="n">
        <v>46265</v>
      </c>
      <c r="D219" t="inlineStr">
        <is>
          <t>SETTLEMENT T401 280826</t>
        </is>
      </c>
      <c r="E219" s="9" t="n">
        <v>2847.44</v>
      </c>
      <c r="F219" t="inlineStr">
        <is>
          <t>MER-20260831</t>
        </is>
      </c>
      <c r="G219" t="inlineStr">
        <is>
          <t>G00780</t>
        </is>
      </c>
      <c r="H219" t="str">
        <f>INDEX('Match Groups'!$C$5:$C$1326,MATCH(G219,'Match Groups'!$A$5:$A$1326,0))</f>
        <v>R08</v>
      </c>
      <c r="I219" t="str">
        <f>INDEX('Match Groups'!$D$5:$D$1326,MATCH(G219,'Match Groups'!$A$5:$A$1326,0))</f>
        <v>MATCH</v>
      </c>
      <c r="J219">
        <f>IF(I219="DUPIMP",0,1)</f>
        <v>1</v>
      </c>
    </row>
    <row r="220">
      <c r="A220" t="inlineStr">
        <is>
          <t>BL-01450</t>
        </is>
      </c>
      <c r="B220" t="inlineStr">
        <is>
          <t>MER</t>
        </is>
      </c>
      <c r="C220" s="5" t="n">
        <v>46265</v>
      </c>
      <c r="D220" t="inlineStr">
        <is>
          <t>SETTLEMENT T402 280826</t>
        </is>
      </c>
      <c r="E220" s="9" t="n">
        <v>2967.71</v>
      </c>
      <c r="F220" t="inlineStr">
        <is>
          <t>MER-20260831</t>
        </is>
      </c>
      <c r="G220" t="inlineStr">
        <is>
          <t>G00781</t>
        </is>
      </c>
      <c r="H220" t="str">
        <f>INDEX('Match Groups'!$C$5:$C$1326,MATCH(G220,'Match Groups'!$A$5:$A$1326,0))</f>
        <v>R08</v>
      </c>
      <c r="I220" t="str">
        <f>INDEX('Match Groups'!$D$5:$D$1326,MATCH(G220,'Match Groups'!$A$5:$A$1326,0))</f>
        <v>MATCH</v>
      </c>
      <c r="J220">
        <f>IF(I220="DUPIMP",0,1)</f>
        <v>1</v>
      </c>
    </row>
    <row r="221">
      <c r="A221" t="inlineStr">
        <is>
          <t>BL-01451</t>
        </is>
      </c>
      <c r="B221" t="inlineStr">
        <is>
          <t>MER</t>
        </is>
      </c>
      <c r="C221" s="5" t="n">
        <v>46265</v>
      </c>
      <c r="D221" t="inlineStr">
        <is>
          <t>SETTLEMENT T403 280826</t>
        </is>
      </c>
      <c r="E221" s="9" t="n">
        <v>2059.58</v>
      </c>
      <c r="F221" t="inlineStr">
        <is>
          <t>MER-20260831</t>
        </is>
      </c>
      <c r="G221" t="inlineStr">
        <is>
          <t>G00782</t>
        </is>
      </c>
      <c r="H221" t="str">
        <f>INDEX('Match Groups'!$C$5:$C$1326,MATCH(G221,'Match Groups'!$A$5:$A$1326,0))</f>
        <v>R08</v>
      </c>
      <c r="I221" t="str">
        <f>INDEX('Match Groups'!$D$5:$D$1326,MATCH(G221,'Match Groups'!$A$5:$A$1326,0))</f>
        <v>MATCH</v>
      </c>
      <c r="J221">
        <f>IF(I221="DUPIMP",0,1)</f>
        <v>1</v>
      </c>
    </row>
    <row r="222">
      <c r="A222" t="inlineStr">
        <is>
          <t>BL-01452</t>
        </is>
      </c>
      <c r="B222" t="inlineStr">
        <is>
          <t>MER</t>
        </is>
      </c>
      <c r="C222" s="5" t="n">
        <v>46265</v>
      </c>
      <c r="D222" t="inlineStr">
        <is>
          <t>SETTLEMENT T404 280826</t>
        </is>
      </c>
      <c r="E222" s="9" t="n">
        <v>965.84</v>
      </c>
      <c r="F222" t="inlineStr">
        <is>
          <t>MER-20260831</t>
        </is>
      </c>
      <c r="G222" t="inlineStr">
        <is>
          <t>G00783</t>
        </is>
      </c>
      <c r="H222" t="str">
        <f>INDEX('Match Groups'!$C$5:$C$1326,MATCH(G222,'Match Groups'!$A$5:$A$1326,0))</f>
        <v>R08</v>
      </c>
      <c r="I222" t="str">
        <f>INDEX('Match Groups'!$D$5:$D$1326,MATCH(G222,'Match Groups'!$A$5:$A$1326,0))</f>
        <v>MATCH</v>
      </c>
      <c r="J222">
        <f>IF(I222="DUPIMP",0,1)</f>
        <v>1</v>
      </c>
    </row>
    <row r="223">
      <c r="A223" t="inlineStr">
        <is>
          <t>BL-01453</t>
        </is>
      </c>
      <c r="B223" t="inlineStr">
        <is>
          <t>MER</t>
        </is>
      </c>
      <c r="C223" s="5" t="n">
        <v>46265</v>
      </c>
      <c r="D223" t="inlineStr">
        <is>
          <t>SETTLEMENT T401 290826</t>
        </is>
      </c>
      <c r="E223" s="9" t="n">
        <v>618.6799999999999</v>
      </c>
      <c r="F223" t="inlineStr">
        <is>
          <t>MER-20260831</t>
        </is>
      </c>
      <c r="G223" t="inlineStr">
        <is>
          <t>G00784</t>
        </is>
      </c>
      <c r="H223" t="str">
        <f>INDEX('Match Groups'!$C$5:$C$1326,MATCH(G223,'Match Groups'!$A$5:$A$1326,0))</f>
        <v>R08</v>
      </c>
      <c r="I223" t="str">
        <f>INDEX('Match Groups'!$D$5:$D$1326,MATCH(G223,'Match Groups'!$A$5:$A$1326,0))</f>
        <v>MATCH</v>
      </c>
      <c r="J223">
        <f>IF(I223="DUPIMP",0,1)</f>
        <v>1</v>
      </c>
    </row>
    <row r="224">
      <c r="A224" t="inlineStr">
        <is>
          <t>BL-01454</t>
        </is>
      </c>
      <c r="B224" t="inlineStr">
        <is>
          <t>MER</t>
        </is>
      </c>
      <c r="C224" s="5" t="n">
        <v>46265</v>
      </c>
      <c r="D224" t="inlineStr">
        <is>
          <t>SETTLEMENT T402 290826</t>
        </is>
      </c>
      <c r="E224" s="9" t="n">
        <v>1230.35</v>
      </c>
      <c r="F224" t="inlineStr">
        <is>
          <t>MER-20260831</t>
        </is>
      </c>
      <c r="G224" t="inlineStr">
        <is>
          <t>G00785</t>
        </is>
      </c>
      <c r="H224" t="str">
        <f>INDEX('Match Groups'!$C$5:$C$1326,MATCH(G224,'Match Groups'!$A$5:$A$1326,0))</f>
        <v>R08</v>
      </c>
      <c r="I224" t="str">
        <f>INDEX('Match Groups'!$D$5:$D$1326,MATCH(G224,'Match Groups'!$A$5:$A$1326,0))</f>
        <v>MATCH</v>
      </c>
      <c r="J224">
        <f>IF(I224="DUPIMP",0,1)</f>
        <v>1</v>
      </c>
    </row>
    <row r="225">
      <c r="A225" t="inlineStr">
        <is>
          <t>BL-01455</t>
        </is>
      </c>
      <c r="B225" t="inlineStr">
        <is>
          <t>MER</t>
        </is>
      </c>
      <c r="C225" s="5" t="n">
        <v>46265</v>
      </c>
      <c r="D225" t="inlineStr">
        <is>
          <t>SETTLEMENT T403 290826</t>
        </is>
      </c>
      <c r="E225" s="9" t="n">
        <v>888.41</v>
      </c>
      <c r="F225" t="inlineStr">
        <is>
          <t>MER-20260831</t>
        </is>
      </c>
      <c r="G225" t="inlineStr">
        <is>
          <t>G00786</t>
        </is>
      </c>
      <c r="H225" t="str">
        <f>INDEX('Match Groups'!$C$5:$C$1326,MATCH(G225,'Match Groups'!$A$5:$A$1326,0))</f>
        <v>R08</v>
      </c>
      <c r="I225" t="str">
        <f>INDEX('Match Groups'!$D$5:$D$1326,MATCH(G225,'Match Groups'!$A$5:$A$1326,0))</f>
        <v>MATCH</v>
      </c>
      <c r="J225">
        <f>IF(I225="DUPIMP",0,1)</f>
        <v>1</v>
      </c>
    </row>
    <row r="226">
      <c r="A226" t="inlineStr">
        <is>
          <t>BL-01456</t>
        </is>
      </c>
      <c r="B226" t="inlineStr">
        <is>
          <t>MER</t>
        </is>
      </c>
      <c r="C226" s="5" t="n">
        <v>46265</v>
      </c>
      <c r="D226" t="inlineStr">
        <is>
          <t>SETTLEMENT T404 290826</t>
        </is>
      </c>
      <c r="E226" s="9" t="n">
        <v>761.37</v>
      </c>
      <c r="F226" t="inlineStr">
        <is>
          <t>MER-20260831</t>
        </is>
      </c>
      <c r="G226" t="inlineStr">
        <is>
          <t>G00787</t>
        </is>
      </c>
      <c r="H226" t="str">
        <f>INDEX('Match Groups'!$C$5:$C$1326,MATCH(G226,'Match Groups'!$A$5:$A$1326,0))</f>
        <v>R08</v>
      </c>
      <c r="I226" t="str">
        <f>INDEX('Match Groups'!$D$5:$D$1326,MATCH(G226,'Match Groups'!$A$5:$A$1326,0))</f>
        <v>MATCH</v>
      </c>
      <c r="J226">
        <f>IF(I226="DUPIMP",0,1)</f>
        <v>1</v>
      </c>
    </row>
    <row r="227">
      <c r="A227" t="inlineStr">
        <is>
          <t>BL-01577</t>
        </is>
      </c>
      <c r="B227" t="inlineStr">
        <is>
          <t>MER</t>
        </is>
      </c>
      <c r="C227" s="5" t="n">
        <v>46265</v>
      </c>
      <c r="D227" t="inlineStr">
        <is>
          <t>SWEEP TO OPERATING</t>
        </is>
      </c>
      <c r="E227" s="9" t="n">
        <v>-34000</v>
      </c>
      <c r="F227" t="inlineStr">
        <is>
          <t>MER-20260831</t>
        </is>
      </c>
      <c r="G227" t="inlineStr">
        <is>
          <t>G00788</t>
        </is>
      </c>
      <c r="H227" t="str">
        <f>INDEX('Match Groups'!$C$5:$C$1326,MATCH(G227,'Match Groups'!$A$5:$A$1326,0))</f>
        <v>R04</v>
      </c>
      <c r="I227" t="str">
        <f>INDEX('Match Groups'!$D$5:$D$1326,MATCH(G227,'Match Groups'!$A$5:$A$1326,0))</f>
        <v>MATCH</v>
      </c>
      <c r="J227">
        <f>IF(I227="DUPIMP",0,1)</f>
        <v>1</v>
      </c>
    </row>
    <row r="228">
      <c r="A228" t="inlineStr">
        <is>
          <t>BL-01588</t>
        </is>
      </c>
      <c r="B228" t="inlineStr">
        <is>
          <t>MER</t>
        </is>
      </c>
      <c r="C228" s="5" t="n">
        <v>46265</v>
      </c>
      <c r="D228" t="inlineStr">
        <is>
          <t>MERCHANT SERVICE FEE AUG26</t>
        </is>
      </c>
      <c r="E228" s="9" t="n">
        <v>-2086.89</v>
      </c>
      <c r="F228" t="inlineStr">
        <is>
          <t>MER-20260831</t>
        </is>
      </c>
      <c r="G228" t="inlineStr">
        <is>
          <t>G01225</t>
        </is>
      </c>
      <c r="H228" t="str">
        <f>INDEX('Match Groups'!$C$5:$C$1326,MATCH(G228,'Match Groups'!$A$5:$A$1326,0))</f>
        <v>R12</v>
      </c>
      <c r="I228" t="str">
        <f>INDEX('Match Groups'!$D$5:$D$1326,MATCH(G228,'Match Groups'!$A$5:$A$1326,0))</f>
        <v>MERCH</v>
      </c>
      <c r="J228">
        <f>IF(I228="DUPIMP",0,1)</f>
        <v>1</v>
      </c>
    </row>
    <row r="229">
      <c r="A229" t="inlineStr">
        <is>
          <t>BL-01457</t>
        </is>
      </c>
      <c r="B229" t="inlineStr">
        <is>
          <t>MER</t>
        </is>
      </c>
      <c r="C229" s="5" t="n">
        <v>46266</v>
      </c>
      <c r="D229" t="inlineStr">
        <is>
          <t>SETTLEMENT T401 310826</t>
        </is>
      </c>
      <c r="E229" s="9" t="n">
        <v>1842.76</v>
      </c>
      <c r="F229" t="inlineStr">
        <is>
          <t>MER-20260901</t>
        </is>
      </c>
      <c r="G229" t="inlineStr">
        <is>
          <t>G00789</t>
        </is>
      </c>
      <c r="H229" t="str">
        <f>INDEX('Match Groups'!$C$5:$C$1326,MATCH(G229,'Match Groups'!$A$5:$A$1326,0))</f>
        <v>R08</v>
      </c>
      <c r="I229" t="str">
        <f>INDEX('Match Groups'!$D$5:$D$1326,MATCH(G229,'Match Groups'!$A$5:$A$1326,0))</f>
        <v>MATCH</v>
      </c>
      <c r="J229">
        <f>IF(I229="DUPIMP",0,1)</f>
        <v>1</v>
      </c>
    </row>
    <row r="230">
      <c r="A230" t="inlineStr">
        <is>
          <t>BL-01458</t>
        </is>
      </c>
      <c r="B230" t="inlineStr">
        <is>
          <t>MER</t>
        </is>
      </c>
      <c r="C230" s="5" t="n">
        <v>46266</v>
      </c>
      <c r="D230" t="inlineStr">
        <is>
          <t>SETTLEMENT T402 310826</t>
        </is>
      </c>
      <c r="E230" s="9" t="n">
        <v>2750.41</v>
      </c>
      <c r="F230" t="inlineStr">
        <is>
          <t>MER-20260901</t>
        </is>
      </c>
      <c r="G230" t="inlineStr">
        <is>
          <t>G00790</t>
        </is>
      </c>
      <c r="H230" t="str">
        <f>INDEX('Match Groups'!$C$5:$C$1326,MATCH(G230,'Match Groups'!$A$5:$A$1326,0))</f>
        <v>R08</v>
      </c>
      <c r="I230" t="str">
        <f>INDEX('Match Groups'!$D$5:$D$1326,MATCH(G230,'Match Groups'!$A$5:$A$1326,0))</f>
        <v>MATCH</v>
      </c>
      <c r="J230">
        <f>IF(I230="DUPIMP",0,1)</f>
        <v>1</v>
      </c>
    </row>
    <row r="231">
      <c r="A231" t="inlineStr">
        <is>
          <t>BL-01459</t>
        </is>
      </c>
      <c r="B231" t="inlineStr">
        <is>
          <t>MER</t>
        </is>
      </c>
      <c r="C231" s="5" t="n">
        <v>46266</v>
      </c>
      <c r="D231" t="inlineStr">
        <is>
          <t>SETTLEMENT T403 310826</t>
        </is>
      </c>
      <c r="E231" s="9" t="n">
        <v>1533.04</v>
      </c>
      <c r="F231" t="inlineStr">
        <is>
          <t>MER-20260901</t>
        </is>
      </c>
      <c r="G231" t="inlineStr">
        <is>
          <t>G00791</t>
        </is>
      </c>
      <c r="H231" t="str">
        <f>INDEX('Match Groups'!$C$5:$C$1326,MATCH(G231,'Match Groups'!$A$5:$A$1326,0))</f>
        <v>R08</v>
      </c>
      <c r="I231" t="str">
        <f>INDEX('Match Groups'!$D$5:$D$1326,MATCH(G231,'Match Groups'!$A$5:$A$1326,0))</f>
        <v>MATCH</v>
      </c>
      <c r="J231">
        <f>IF(I231="DUPIMP",0,1)</f>
        <v>1</v>
      </c>
    </row>
    <row r="232">
      <c r="A232" t="inlineStr">
        <is>
          <t>BL-01460</t>
        </is>
      </c>
      <c r="B232" t="inlineStr">
        <is>
          <t>MER</t>
        </is>
      </c>
      <c r="C232" s="5" t="n">
        <v>46266</v>
      </c>
      <c r="D232" t="inlineStr">
        <is>
          <t>SETTLEMENT T404 310826</t>
        </is>
      </c>
      <c r="E232" s="9" t="n">
        <v>1893.23</v>
      </c>
      <c r="F232" t="inlineStr">
        <is>
          <t>MER-20260901</t>
        </is>
      </c>
      <c r="G232" t="inlineStr">
        <is>
          <t>G00792</t>
        </is>
      </c>
      <c r="H232" t="str">
        <f>INDEX('Match Groups'!$C$5:$C$1326,MATCH(G232,'Match Groups'!$A$5:$A$1326,0))</f>
        <v>R08</v>
      </c>
      <c r="I232" t="str">
        <f>INDEX('Match Groups'!$D$5:$D$1326,MATCH(G232,'Match Groups'!$A$5:$A$1326,0))</f>
        <v>MATCH</v>
      </c>
      <c r="J232">
        <f>IF(I232="DUPIMP",0,1)</f>
        <v>1</v>
      </c>
    </row>
    <row r="233">
      <c r="A233" t="inlineStr">
        <is>
          <t>BL-01461</t>
        </is>
      </c>
      <c r="B233" t="inlineStr">
        <is>
          <t>MER</t>
        </is>
      </c>
      <c r="C233" s="5" t="n">
        <v>46267</v>
      </c>
      <c r="D233" t="inlineStr">
        <is>
          <t>SETTLEMENT T401 010926</t>
        </is>
      </c>
      <c r="E233" s="9" t="n">
        <v>1964.83</v>
      </c>
      <c r="F233" t="inlineStr">
        <is>
          <t>MER-20260902</t>
        </is>
      </c>
      <c r="G233" t="inlineStr">
        <is>
          <t>G00793</t>
        </is>
      </c>
      <c r="H233" t="str">
        <f>INDEX('Match Groups'!$C$5:$C$1326,MATCH(G233,'Match Groups'!$A$5:$A$1326,0))</f>
        <v>R08</v>
      </c>
      <c r="I233" t="str">
        <f>INDEX('Match Groups'!$D$5:$D$1326,MATCH(G233,'Match Groups'!$A$5:$A$1326,0))</f>
        <v>MATCH</v>
      </c>
      <c r="J233">
        <f>IF(I233="DUPIMP",0,1)</f>
        <v>1</v>
      </c>
    </row>
    <row r="234">
      <c r="A234" t="inlineStr">
        <is>
          <t>BL-01462</t>
        </is>
      </c>
      <c r="B234" t="inlineStr">
        <is>
          <t>MER</t>
        </is>
      </c>
      <c r="C234" s="5" t="n">
        <v>46267</v>
      </c>
      <c r="D234" t="inlineStr">
        <is>
          <t>SETTLEMENT T402 010926</t>
        </is>
      </c>
      <c r="E234" s="9" t="n">
        <v>2541.52</v>
      </c>
      <c r="F234" t="inlineStr">
        <is>
          <t>MER-20260902</t>
        </is>
      </c>
      <c r="G234" t="inlineStr">
        <is>
          <t>G00794</t>
        </is>
      </c>
      <c r="H234" t="str">
        <f>INDEX('Match Groups'!$C$5:$C$1326,MATCH(G234,'Match Groups'!$A$5:$A$1326,0))</f>
        <v>R08</v>
      </c>
      <c r="I234" t="str">
        <f>INDEX('Match Groups'!$D$5:$D$1326,MATCH(G234,'Match Groups'!$A$5:$A$1326,0))</f>
        <v>MATCH</v>
      </c>
      <c r="J234">
        <f>IF(I234="DUPIMP",0,1)</f>
        <v>1</v>
      </c>
    </row>
    <row r="235">
      <c r="A235" t="inlineStr">
        <is>
          <t>BL-01463</t>
        </is>
      </c>
      <c r="B235" t="inlineStr">
        <is>
          <t>MER</t>
        </is>
      </c>
      <c r="C235" s="5" t="n">
        <v>46267</v>
      </c>
      <c r="D235" t="inlineStr">
        <is>
          <t>SETTLEMENT T403 010926</t>
        </is>
      </c>
      <c r="E235" s="9" t="n">
        <v>2405.91</v>
      </c>
      <c r="F235" t="inlineStr">
        <is>
          <t>MER-20260902</t>
        </is>
      </c>
      <c r="G235" t="inlineStr">
        <is>
          <t>G00795</t>
        </is>
      </c>
      <c r="H235" t="str">
        <f>INDEX('Match Groups'!$C$5:$C$1326,MATCH(G235,'Match Groups'!$A$5:$A$1326,0))</f>
        <v>R08</v>
      </c>
      <c r="I235" t="str">
        <f>INDEX('Match Groups'!$D$5:$D$1326,MATCH(G235,'Match Groups'!$A$5:$A$1326,0))</f>
        <v>MATCH</v>
      </c>
      <c r="J235">
        <f>IF(I235="DUPIMP",0,1)</f>
        <v>1</v>
      </c>
    </row>
    <row r="236">
      <c r="A236" t="inlineStr">
        <is>
          <t>BL-01464</t>
        </is>
      </c>
      <c r="B236" t="inlineStr">
        <is>
          <t>MER</t>
        </is>
      </c>
      <c r="C236" s="5" t="n">
        <v>46267</v>
      </c>
      <c r="D236" t="inlineStr">
        <is>
          <t>SETTLEMENT T404 010926</t>
        </is>
      </c>
      <c r="E236" s="9" t="n">
        <v>2938.79</v>
      </c>
      <c r="F236" t="inlineStr">
        <is>
          <t>MER-20260902</t>
        </is>
      </c>
      <c r="G236" t="inlineStr">
        <is>
          <t>G00796</t>
        </is>
      </c>
      <c r="H236" t="str">
        <f>INDEX('Match Groups'!$C$5:$C$1326,MATCH(G236,'Match Groups'!$A$5:$A$1326,0))</f>
        <v>R08</v>
      </c>
      <c r="I236" t="str">
        <f>INDEX('Match Groups'!$D$5:$D$1326,MATCH(G236,'Match Groups'!$A$5:$A$1326,0))</f>
        <v>MATCH</v>
      </c>
      <c r="J236">
        <f>IF(I236="DUPIMP",0,1)</f>
        <v>1</v>
      </c>
    </row>
    <row r="237">
      <c r="A237" t="inlineStr">
        <is>
          <t>BL-01465</t>
        </is>
      </c>
      <c r="B237" t="inlineStr">
        <is>
          <t>MER</t>
        </is>
      </c>
      <c r="C237" s="5" t="n">
        <v>46268</v>
      </c>
      <c r="D237" t="inlineStr">
        <is>
          <t>SETTLEMENT T401 020926</t>
        </is>
      </c>
      <c r="E237" s="9" t="n">
        <v>3294.98</v>
      </c>
      <c r="F237" t="inlineStr">
        <is>
          <t>MER-20260903</t>
        </is>
      </c>
      <c r="G237" t="inlineStr">
        <is>
          <t>G00797</t>
        </is>
      </c>
      <c r="H237" t="str">
        <f>INDEX('Match Groups'!$C$5:$C$1326,MATCH(G237,'Match Groups'!$A$5:$A$1326,0))</f>
        <v>R08</v>
      </c>
      <c r="I237" t="str">
        <f>INDEX('Match Groups'!$D$5:$D$1326,MATCH(G237,'Match Groups'!$A$5:$A$1326,0))</f>
        <v>MATCH</v>
      </c>
      <c r="J237">
        <f>IF(I237="DUPIMP",0,1)</f>
        <v>1</v>
      </c>
    </row>
    <row r="238">
      <c r="A238" t="inlineStr">
        <is>
          <t>BL-01466</t>
        </is>
      </c>
      <c r="B238" t="inlineStr">
        <is>
          <t>MER</t>
        </is>
      </c>
      <c r="C238" s="5" t="n">
        <v>46268</v>
      </c>
      <c r="D238" t="inlineStr">
        <is>
          <t>SETTLEMENT T402 020926</t>
        </is>
      </c>
      <c r="E238" s="9" t="n">
        <v>2902.09</v>
      </c>
      <c r="F238" t="inlineStr">
        <is>
          <t>MER-20260903</t>
        </is>
      </c>
      <c r="G238" t="inlineStr">
        <is>
          <t>G00798</t>
        </is>
      </c>
      <c r="H238" t="str">
        <f>INDEX('Match Groups'!$C$5:$C$1326,MATCH(G238,'Match Groups'!$A$5:$A$1326,0))</f>
        <v>R08</v>
      </c>
      <c r="I238" t="str">
        <f>INDEX('Match Groups'!$D$5:$D$1326,MATCH(G238,'Match Groups'!$A$5:$A$1326,0))</f>
        <v>MATCH</v>
      </c>
      <c r="J238">
        <f>IF(I238="DUPIMP",0,1)</f>
        <v>1</v>
      </c>
    </row>
    <row r="239">
      <c r="A239" t="inlineStr">
        <is>
          <t>BL-01467</t>
        </is>
      </c>
      <c r="B239" t="inlineStr">
        <is>
          <t>MER</t>
        </is>
      </c>
      <c r="C239" s="5" t="n">
        <v>46268</v>
      </c>
      <c r="D239" t="inlineStr">
        <is>
          <t>SETTLEMENT T403 020926</t>
        </is>
      </c>
      <c r="E239" s="9" t="n">
        <v>1242.76</v>
      </c>
      <c r="F239" t="inlineStr">
        <is>
          <t>MER-20260903</t>
        </is>
      </c>
      <c r="G239" t="inlineStr">
        <is>
          <t>G00799</t>
        </is>
      </c>
      <c r="H239" t="str">
        <f>INDEX('Match Groups'!$C$5:$C$1326,MATCH(G239,'Match Groups'!$A$5:$A$1326,0))</f>
        <v>R08</v>
      </c>
      <c r="I239" t="str">
        <f>INDEX('Match Groups'!$D$5:$D$1326,MATCH(G239,'Match Groups'!$A$5:$A$1326,0))</f>
        <v>MATCH</v>
      </c>
      <c r="J239">
        <f>IF(I239="DUPIMP",0,1)</f>
        <v>1</v>
      </c>
    </row>
    <row r="240">
      <c r="A240" t="inlineStr">
        <is>
          <t>BL-01468</t>
        </is>
      </c>
      <c r="B240" t="inlineStr">
        <is>
          <t>MER</t>
        </is>
      </c>
      <c r="C240" s="5" t="n">
        <v>46268</v>
      </c>
      <c r="D240" t="inlineStr">
        <is>
          <t>SETTLEMENT T404 020926</t>
        </is>
      </c>
      <c r="E240" s="9" t="n">
        <v>1104.46</v>
      </c>
      <c r="F240" t="inlineStr">
        <is>
          <t>MER-20260903</t>
        </is>
      </c>
      <c r="G240" t="inlineStr">
        <is>
          <t>G00800</t>
        </is>
      </c>
      <c r="H240" t="str">
        <f>INDEX('Match Groups'!$C$5:$C$1326,MATCH(G240,'Match Groups'!$A$5:$A$1326,0))</f>
        <v>R08</v>
      </c>
      <c r="I240" t="str">
        <f>INDEX('Match Groups'!$D$5:$D$1326,MATCH(G240,'Match Groups'!$A$5:$A$1326,0))</f>
        <v>MATCH</v>
      </c>
      <c r="J240">
        <f>IF(I240="DUPIMP",0,1)</f>
        <v>1</v>
      </c>
    </row>
    <row r="241">
      <c r="A241" t="inlineStr">
        <is>
          <t>BL-01591</t>
        </is>
      </c>
      <c r="B241" t="inlineStr">
        <is>
          <t>MER</t>
        </is>
      </c>
      <c r="C241" s="5" t="n">
        <v>46268</v>
      </c>
      <c r="D241" t="inlineStr">
        <is>
          <t>ADJUSTMENT CR</t>
        </is>
      </c>
      <c r="E241" s="9" t="n">
        <v>64.90000000000001</v>
      </c>
      <c r="F241" t="inlineStr">
        <is>
          <t>MER-20260903</t>
        </is>
      </c>
      <c r="G241" t="inlineStr">
        <is>
          <t>G01316</t>
        </is>
      </c>
      <c r="H241" t="str">
        <f>INDEX('Match Groups'!$C$5:$C$1326,MATCH(G241,'Match Groups'!$A$5:$A$1326,0))</f>
        <v>R99</v>
      </c>
      <c r="I241" t="str">
        <f>INDEX('Match Groups'!$D$5:$D$1326,MATCH(G241,'Match Groups'!$A$5:$A$1326,0))</f>
        <v>UNEXP</v>
      </c>
      <c r="J241">
        <f>IF(I241="DUPIMP",0,1)</f>
        <v>1</v>
      </c>
    </row>
    <row r="242">
      <c r="A242" t="inlineStr">
        <is>
          <t>BL-01469</t>
        </is>
      </c>
      <c r="B242" t="inlineStr">
        <is>
          <t>MER</t>
        </is>
      </c>
      <c r="C242" s="5" t="n">
        <v>46269</v>
      </c>
      <c r="D242" t="inlineStr">
        <is>
          <t>SETTLEMENT T401 030926</t>
        </is>
      </c>
      <c r="E242" s="9" t="n">
        <v>1002.01</v>
      </c>
      <c r="F242" t="inlineStr">
        <is>
          <t>MER-20260904</t>
        </is>
      </c>
      <c r="G242" t="inlineStr">
        <is>
          <t>G00801</t>
        </is>
      </c>
      <c r="H242" t="str">
        <f>INDEX('Match Groups'!$C$5:$C$1326,MATCH(G242,'Match Groups'!$A$5:$A$1326,0))</f>
        <v>R08</v>
      </c>
      <c r="I242" t="str">
        <f>INDEX('Match Groups'!$D$5:$D$1326,MATCH(G242,'Match Groups'!$A$5:$A$1326,0))</f>
        <v>MATCH</v>
      </c>
      <c r="J242">
        <f>IF(I242="DUPIMP",0,1)</f>
        <v>1</v>
      </c>
    </row>
    <row r="243">
      <c r="A243" t="inlineStr">
        <is>
          <t>BL-01470</t>
        </is>
      </c>
      <c r="B243" t="inlineStr">
        <is>
          <t>MER</t>
        </is>
      </c>
      <c r="C243" s="5" t="n">
        <v>46269</v>
      </c>
      <c r="D243" t="inlineStr">
        <is>
          <t>SETTLEMENT T402 030926</t>
        </is>
      </c>
      <c r="E243" s="9" t="n">
        <v>2689.72</v>
      </c>
      <c r="F243" t="inlineStr">
        <is>
          <t>MER-20260904</t>
        </is>
      </c>
      <c r="G243" t="inlineStr">
        <is>
          <t>G00802</t>
        </is>
      </c>
      <c r="H243" t="str">
        <f>INDEX('Match Groups'!$C$5:$C$1326,MATCH(G243,'Match Groups'!$A$5:$A$1326,0))</f>
        <v>R08</v>
      </c>
      <c r="I243" t="str">
        <f>INDEX('Match Groups'!$D$5:$D$1326,MATCH(G243,'Match Groups'!$A$5:$A$1326,0))</f>
        <v>MATCH</v>
      </c>
      <c r="J243">
        <f>IF(I243="DUPIMP",0,1)</f>
        <v>1</v>
      </c>
    </row>
    <row r="244">
      <c r="A244" t="inlineStr">
        <is>
          <t>BL-01471</t>
        </is>
      </c>
      <c r="B244" t="inlineStr">
        <is>
          <t>MER</t>
        </is>
      </c>
      <c r="C244" s="5" t="n">
        <v>46269</v>
      </c>
      <c r="D244" t="inlineStr">
        <is>
          <t>SETTLEMENT T403 030926</t>
        </is>
      </c>
      <c r="E244" s="9" t="n">
        <v>2353.84</v>
      </c>
      <c r="F244" t="inlineStr">
        <is>
          <t>MER-20260904</t>
        </is>
      </c>
      <c r="G244" t="inlineStr">
        <is>
          <t>G00803</t>
        </is>
      </c>
      <c r="H244" t="str">
        <f>INDEX('Match Groups'!$C$5:$C$1326,MATCH(G244,'Match Groups'!$A$5:$A$1326,0))</f>
        <v>R08</v>
      </c>
      <c r="I244" t="str">
        <f>INDEX('Match Groups'!$D$5:$D$1326,MATCH(G244,'Match Groups'!$A$5:$A$1326,0))</f>
        <v>MATCH</v>
      </c>
      <c r="J244">
        <f>IF(I244="DUPIMP",0,1)</f>
        <v>1</v>
      </c>
    </row>
    <row r="245">
      <c r="A245" t="inlineStr">
        <is>
          <t>BL-01472</t>
        </is>
      </c>
      <c r="B245" t="inlineStr">
        <is>
          <t>MER</t>
        </is>
      </c>
      <c r="C245" s="5" t="n">
        <v>46269</v>
      </c>
      <c r="D245" t="inlineStr">
        <is>
          <t>SETTLEMENT T404 030926</t>
        </is>
      </c>
      <c r="E245" s="9" t="n">
        <v>3249.06</v>
      </c>
      <c r="F245" t="inlineStr">
        <is>
          <t>MER-20260904</t>
        </is>
      </c>
      <c r="G245" t="inlineStr">
        <is>
          <t>G00804</t>
        </is>
      </c>
      <c r="H245" t="str">
        <f>INDEX('Match Groups'!$C$5:$C$1326,MATCH(G245,'Match Groups'!$A$5:$A$1326,0))</f>
        <v>R08</v>
      </c>
      <c r="I245" t="str">
        <f>INDEX('Match Groups'!$D$5:$D$1326,MATCH(G245,'Match Groups'!$A$5:$A$1326,0))</f>
        <v>MATCH</v>
      </c>
      <c r="J245">
        <f>IF(I245="DUPIMP",0,1)</f>
        <v>1</v>
      </c>
    </row>
    <row r="246">
      <c r="A246" t="inlineStr">
        <is>
          <t>BL-01473</t>
        </is>
      </c>
      <c r="B246" t="inlineStr">
        <is>
          <t>MER</t>
        </is>
      </c>
      <c r="C246" s="5" t="n">
        <v>46272</v>
      </c>
      <c r="D246" t="inlineStr">
        <is>
          <t>SETTLEMENT T401 040926</t>
        </is>
      </c>
      <c r="E246" s="9" t="n">
        <v>2190.67</v>
      </c>
      <c r="F246" t="inlineStr">
        <is>
          <t>MER-20260907</t>
        </is>
      </c>
      <c r="G246" t="inlineStr">
        <is>
          <t>G00805</t>
        </is>
      </c>
      <c r="H246" t="str">
        <f>INDEX('Match Groups'!$C$5:$C$1326,MATCH(G246,'Match Groups'!$A$5:$A$1326,0))</f>
        <v>R08</v>
      </c>
      <c r="I246" t="str">
        <f>INDEX('Match Groups'!$D$5:$D$1326,MATCH(G246,'Match Groups'!$A$5:$A$1326,0))</f>
        <v>MATCH</v>
      </c>
      <c r="J246">
        <f>IF(I246="DUPIMP",0,1)</f>
        <v>1</v>
      </c>
    </row>
    <row r="247">
      <c r="A247" t="inlineStr">
        <is>
          <t>BL-01474</t>
        </is>
      </c>
      <c r="B247" t="inlineStr">
        <is>
          <t>MER</t>
        </is>
      </c>
      <c r="C247" s="5" t="n">
        <v>46272</v>
      </c>
      <c r="D247" t="inlineStr">
        <is>
          <t>SETTLEMENT T402 040926</t>
        </is>
      </c>
      <c r="E247" s="9" t="n">
        <v>2376.6</v>
      </c>
      <c r="F247" t="inlineStr">
        <is>
          <t>MER-20260907</t>
        </is>
      </c>
      <c r="G247" t="inlineStr">
        <is>
          <t>G00806</t>
        </is>
      </c>
      <c r="H247" t="str">
        <f>INDEX('Match Groups'!$C$5:$C$1326,MATCH(G247,'Match Groups'!$A$5:$A$1326,0))</f>
        <v>R08</v>
      </c>
      <c r="I247" t="str">
        <f>INDEX('Match Groups'!$D$5:$D$1326,MATCH(G247,'Match Groups'!$A$5:$A$1326,0))</f>
        <v>MATCH</v>
      </c>
      <c r="J247">
        <f>IF(I247="DUPIMP",0,1)</f>
        <v>1</v>
      </c>
    </row>
    <row r="248">
      <c r="A248" t="inlineStr">
        <is>
          <t>BL-01475</t>
        </is>
      </c>
      <c r="B248" t="inlineStr">
        <is>
          <t>MER</t>
        </is>
      </c>
      <c r="C248" s="5" t="n">
        <v>46272</v>
      </c>
      <c r="D248" t="inlineStr">
        <is>
          <t>SETTLEMENT T403 040926</t>
        </is>
      </c>
      <c r="E248" s="9" t="n">
        <v>2594.28</v>
      </c>
      <c r="F248" t="inlineStr">
        <is>
          <t>MER-20260907</t>
        </is>
      </c>
      <c r="G248" t="inlineStr">
        <is>
          <t>G00807</t>
        </is>
      </c>
      <c r="H248" t="str">
        <f>INDEX('Match Groups'!$C$5:$C$1326,MATCH(G248,'Match Groups'!$A$5:$A$1326,0))</f>
        <v>R08</v>
      </c>
      <c r="I248" t="str">
        <f>INDEX('Match Groups'!$D$5:$D$1326,MATCH(G248,'Match Groups'!$A$5:$A$1326,0))</f>
        <v>MATCH</v>
      </c>
      <c r="J248">
        <f>IF(I248="DUPIMP",0,1)</f>
        <v>1</v>
      </c>
    </row>
    <row r="249">
      <c r="A249" t="inlineStr">
        <is>
          <t>BL-01476</t>
        </is>
      </c>
      <c r="B249" t="inlineStr">
        <is>
          <t>MER</t>
        </is>
      </c>
      <c r="C249" s="5" t="n">
        <v>46272</v>
      </c>
      <c r="D249" t="inlineStr">
        <is>
          <t>SETTLEMENT T404 040926</t>
        </is>
      </c>
      <c r="E249" s="9" t="n">
        <v>1962.87</v>
      </c>
      <c r="F249" t="inlineStr">
        <is>
          <t>MER-20260907</t>
        </is>
      </c>
      <c r="G249" t="inlineStr">
        <is>
          <t>G00808</t>
        </is>
      </c>
      <c r="H249" t="str">
        <f>INDEX('Match Groups'!$C$5:$C$1326,MATCH(G249,'Match Groups'!$A$5:$A$1326,0))</f>
        <v>R08</v>
      </c>
      <c r="I249" t="str">
        <f>INDEX('Match Groups'!$D$5:$D$1326,MATCH(G249,'Match Groups'!$A$5:$A$1326,0))</f>
        <v>MATCH</v>
      </c>
      <c r="J249">
        <f>IF(I249="DUPIMP",0,1)</f>
        <v>1</v>
      </c>
    </row>
    <row r="250">
      <c r="A250" t="inlineStr">
        <is>
          <t>BL-01477</t>
        </is>
      </c>
      <c r="B250" t="inlineStr">
        <is>
          <t>MER</t>
        </is>
      </c>
      <c r="C250" s="5" t="n">
        <v>46272</v>
      </c>
      <c r="D250" t="inlineStr">
        <is>
          <t>SETTLEMENT T401 050926</t>
        </is>
      </c>
      <c r="E250" s="9" t="n">
        <v>1227.4</v>
      </c>
      <c r="F250" t="inlineStr">
        <is>
          <t>MER-20260907</t>
        </is>
      </c>
      <c r="G250" t="inlineStr">
        <is>
          <t>G00809</t>
        </is>
      </c>
      <c r="H250" t="str">
        <f>INDEX('Match Groups'!$C$5:$C$1326,MATCH(G250,'Match Groups'!$A$5:$A$1326,0))</f>
        <v>R08</v>
      </c>
      <c r="I250" t="str">
        <f>INDEX('Match Groups'!$D$5:$D$1326,MATCH(G250,'Match Groups'!$A$5:$A$1326,0))</f>
        <v>MATCH</v>
      </c>
      <c r="J250">
        <f>IF(I250="DUPIMP",0,1)</f>
        <v>1</v>
      </c>
    </row>
    <row r="251">
      <c r="A251" t="inlineStr">
        <is>
          <t>BL-01478</t>
        </is>
      </c>
      <c r="B251" t="inlineStr">
        <is>
          <t>MER</t>
        </is>
      </c>
      <c r="C251" s="5" t="n">
        <v>46272</v>
      </c>
      <c r="D251" t="inlineStr">
        <is>
          <t>SETTLEMENT T402 050926</t>
        </is>
      </c>
      <c r="E251" s="9" t="n">
        <v>1132.06</v>
      </c>
      <c r="F251" t="inlineStr">
        <is>
          <t>MER-20260907</t>
        </is>
      </c>
      <c r="G251" t="inlineStr">
        <is>
          <t>G00810</t>
        </is>
      </c>
      <c r="H251" t="str">
        <f>INDEX('Match Groups'!$C$5:$C$1326,MATCH(G251,'Match Groups'!$A$5:$A$1326,0))</f>
        <v>R08</v>
      </c>
      <c r="I251" t="str">
        <f>INDEX('Match Groups'!$D$5:$D$1326,MATCH(G251,'Match Groups'!$A$5:$A$1326,0))</f>
        <v>MATCH</v>
      </c>
      <c r="J251">
        <f>IF(I251="DUPIMP",0,1)</f>
        <v>1</v>
      </c>
    </row>
    <row r="252">
      <c r="A252" t="inlineStr">
        <is>
          <t>BL-01479</t>
        </is>
      </c>
      <c r="B252" t="inlineStr">
        <is>
          <t>MER</t>
        </is>
      </c>
      <c r="C252" s="5" t="n">
        <v>46272</v>
      </c>
      <c r="D252" t="inlineStr">
        <is>
          <t>SETTLEMENT T403 050926</t>
        </is>
      </c>
      <c r="E252" s="9" t="n">
        <v>1124.12</v>
      </c>
      <c r="F252" t="inlineStr">
        <is>
          <t>MER-20260907</t>
        </is>
      </c>
      <c r="G252" t="inlineStr">
        <is>
          <t>G00811</t>
        </is>
      </c>
      <c r="H252" t="str">
        <f>INDEX('Match Groups'!$C$5:$C$1326,MATCH(G252,'Match Groups'!$A$5:$A$1326,0))</f>
        <v>R08</v>
      </c>
      <c r="I252" t="str">
        <f>INDEX('Match Groups'!$D$5:$D$1326,MATCH(G252,'Match Groups'!$A$5:$A$1326,0))</f>
        <v>MATCH</v>
      </c>
      <c r="J252">
        <f>IF(I252="DUPIMP",0,1)</f>
        <v>1</v>
      </c>
    </row>
    <row r="253">
      <c r="A253" t="inlineStr">
        <is>
          <t>BL-01480</t>
        </is>
      </c>
      <c r="B253" t="inlineStr">
        <is>
          <t>MER</t>
        </is>
      </c>
      <c r="C253" s="5" t="n">
        <v>46272</v>
      </c>
      <c r="D253" t="inlineStr">
        <is>
          <t>SETTLEMENT T404 050926</t>
        </is>
      </c>
      <c r="E253" s="9" t="n">
        <v>770.76</v>
      </c>
      <c r="F253" t="inlineStr">
        <is>
          <t>MER-20260907</t>
        </is>
      </c>
      <c r="G253" t="inlineStr">
        <is>
          <t>G00812</t>
        </is>
      </c>
      <c r="H253" t="str">
        <f>INDEX('Match Groups'!$C$5:$C$1326,MATCH(G253,'Match Groups'!$A$5:$A$1326,0))</f>
        <v>R08</v>
      </c>
      <c r="I253" t="str">
        <f>INDEX('Match Groups'!$D$5:$D$1326,MATCH(G253,'Match Groups'!$A$5:$A$1326,0))</f>
        <v>MATCH</v>
      </c>
      <c r="J253">
        <f>IF(I253="DUPIMP",0,1)</f>
        <v>1</v>
      </c>
    </row>
    <row r="254">
      <c r="A254" t="inlineStr">
        <is>
          <t>BL-01579</t>
        </is>
      </c>
      <c r="B254" t="inlineStr">
        <is>
          <t>MER</t>
        </is>
      </c>
      <c r="C254" s="5" t="n">
        <v>46272</v>
      </c>
      <c r="D254" t="inlineStr">
        <is>
          <t>SWEEP TO OPERATING</t>
        </is>
      </c>
      <c r="E254" s="9" t="n">
        <v>-22000</v>
      </c>
      <c r="F254" t="inlineStr">
        <is>
          <t>MER-20260907</t>
        </is>
      </c>
      <c r="G254" t="inlineStr">
        <is>
          <t>G00813</t>
        </is>
      </c>
      <c r="H254" t="str">
        <f>INDEX('Match Groups'!$C$5:$C$1326,MATCH(G254,'Match Groups'!$A$5:$A$1326,0))</f>
        <v>R04</v>
      </c>
      <c r="I254" t="str">
        <f>INDEX('Match Groups'!$D$5:$D$1326,MATCH(G254,'Match Groups'!$A$5:$A$1326,0))</f>
        <v>MATCH</v>
      </c>
      <c r="J254">
        <f>IF(I254="DUPIMP",0,1)</f>
        <v>1</v>
      </c>
    </row>
    <row r="255">
      <c r="A255" t="inlineStr">
        <is>
          <t>BL-01481</t>
        </is>
      </c>
      <c r="B255" t="inlineStr">
        <is>
          <t>MER</t>
        </is>
      </c>
      <c r="C255" s="5" t="n">
        <v>46273</v>
      </c>
      <c r="D255" t="inlineStr">
        <is>
          <t>SETTLEMENT T401 070926</t>
        </is>
      </c>
      <c r="E255" s="9" t="n">
        <v>1975.12</v>
      </c>
      <c r="F255" t="inlineStr">
        <is>
          <t>MER-20260908</t>
        </is>
      </c>
      <c r="G255" t="inlineStr">
        <is>
          <t>G00814</t>
        </is>
      </c>
      <c r="H255" t="str">
        <f>INDEX('Match Groups'!$C$5:$C$1326,MATCH(G255,'Match Groups'!$A$5:$A$1326,0))</f>
        <v>R08</v>
      </c>
      <c r="I255" t="str">
        <f>INDEX('Match Groups'!$D$5:$D$1326,MATCH(G255,'Match Groups'!$A$5:$A$1326,0))</f>
        <v>MATCH</v>
      </c>
      <c r="J255">
        <f>IF(I255="DUPIMP",0,1)</f>
        <v>1</v>
      </c>
    </row>
    <row r="256">
      <c r="A256" t="inlineStr">
        <is>
          <t>BL-01482</t>
        </is>
      </c>
      <c r="B256" t="inlineStr">
        <is>
          <t>MER</t>
        </is>
      </c>
      <c r="C256" s="5" t="n">
        <v>46273</v>
      </c>
      <c r="D256" t="inlineStr">
        <is>
          <t>SETTLEMENT T402 070926</t>
        </is>
      </c>
      <c r="E256" s="9" t="n">
        <v>3427.46</v>
      </c>
      <c r="F256" t="inlineStr">
        <is>
          <t>MER-20260908</t>
        </is>
      </c>
      <c r="G256" t="inlineStr">
        <is>
          <t>G00815</t>
        </is>
      </c>
      <c r="H256" t="str">
        <f>INDEX('Match Groups'!$C$5:$C$1326,MATCH(G256,'Match Groups'!$A$5:$A$1326,0))</f>
        <v>R08</v>
      </c>
      <c r="I256" t="str">
        <f>INDEX('Match Groups'!$D$5:$D$1326,MATCH(G256,'Match Groups'!$A$5:$A$1326,0))</f>
        <v>MATCH</v>
      </c>
      <c r="J256">
        <f>IF(I256="DUPIMP",0,1)</f>
        <v>1</v>
      </c>
    </row>
    <row r="257">
      <c r="A257" t="inlineStr">
        <is>
          <t>BL-01483</t>
        </is>
      </c>
      <c r="B257" t="inlineStr">
        <is>
          <t>MER</t>
        </is>
      </c>
      <c r="C257" s="5" t="n">
        <v>46273</v>
      </c>
      <c r="D257" t="inlineStr">
        <is>
          <t>SETTLEMENT T403 070926</t>
        </is>
      </c>
      <c r="E257" s="9" t="n">
        <v>3073.35</v>
      </c>
      <c r="F257" t="inlineStr">
        <is>
          <t>MER-20260908</t>
        </is>
      </c>
      <c r="G257" t="inlineStr">
        <is>
          <t>G00816</t>
        </is>
      </c>
      <c r="H257" t="str">
        <f>INDEX('Match Groups'!$C$5:$C$1326,MATCH(G257,'Match Groups'!$A$5:$A$1326,0))</f>
        <v>R08</v>
      </c>
      <c r="I257" t="str">
        <f>INDEX('Match Groups'!$D$5:$D$1326,MATCH(G257,'Match Groups'!$A$5:$A$1326,0))</f>
        <v>MATCH</v>
      </c>
      <c r="J257">
        <f>IF(I257="DUPIMP",0,1)</f>
        <v>1</v>
      </c>
    </row>
    <row r="258">
      <c r="A258" t="inlineStr">
        <is>
          <t>BL-01484</t>
        </is>
      </c>
      <c r="B258" t="inlineStr">
        <is>
          <t>MER</t>
        </is>
      </c>
      <c r="C258" s="5" t="n">
        <v>46273</v>
      </c>
      <c r="D258" t="inlineStr">
        <is>
          <t>SETTLEMENT T404 070926</t>
        </is>
      </c>
      <c r="E258" s="9" t="n">
        <v>3514.85</v>
      </c>
      <c r="F258" t="inlineStr">
        <is>
          <t>MER-20260908</t>
        </is>
      </c>
      <c r="G258" t="inlineStr">
        <is>
          <t>G00817</t>
        </is>
      </c>
      <c r="H258" t="str">
        <f>INDEX('Match Groups'!$C$5:$C$1326,MATCH(G258,'Match Groups'!$A$5:$A$1326,0))</f>
        <v>R08</v>
      </c>
      <c r="I258" t="str">
        <f>INDEX('Match Groups'!$D$5:$D$1326,MATCH(G258,'Match Groups'!$A$5:$A$1326,0))</f>
        <v>MATCH</v>
      </c>
      <c r="J258">
        <f>IF(I258="DUPIMP",0,1)</f>
        <v>1</v>
      </c>
    </row>
    <row r="259">
      <c r="A259" t="inlineStr">
        <is>
          <t>BL-01485</t>
        </is>
      </c>
      <c r="B259" t="inlineStr">
        <is>
          <t>MER</t>
        </is>
      </c>
      <c r="C259" s="5" t="n">
        <v>46274</v>
      </c>
      <c r="D259" t="inlineStr">
        <is>
          <t>SETTLEMENT T401 080926</t>
        </is>
      </c>
      <c r="E259" s="9" t="n">
        <v>1311.16</v>
      </c>
      <c r="F259" t="inlineStr">
        <is>
          <t>MER-20260909</t>
        </is>
      </c>
      <c r="G259" t="inlineStr">
        <is>
          <t>G00818</t>
        </is>
      </c>
      <c r="H259" t="str">
        <f>INDEX('Match Groups'!$C$5:$C$1326,MATCH(G259,'Match Groups'!$A$5:$A$1326,0))</f>
        <v>R08</v>
      </c>
      <c r="I259" t="str">
        <f>INDEX('Match Groups'!$D$5:$D$1326,MATCH(G259,'Match Groups'!$A$5:$A$1326,0))</f>
        <v>MATCH</v>
      </c>
      <c r="J259">
        <f>IF(I259="DUPIMP",0,1)</f>
        <v>1</v>
      </c>
    </row>
    <row r="260">
      <c r="A260" t="inlineStr">
        <is>
          <t>BL-01486</t>
        </is>
      </c>
      <c r="B260" t="inlineStr">
        <is>
          <t>MER</t>
        </is>
      </c>
      <c r="C260" s="5" t="n">
        <v>46274</v>
      </c>
      <c r="D260" t="inlineStr">
        <is>
          <t>SETTLEMENT T402 080926</t>
        </is>
      </c>
      <c r="E260" s="9" t="n">
        <v>2193.51</v>
      </c>
      <c r="F260" t="inlineStr">
        <is>
          <t>MER-20260909</t>
        </is>
      </c>
      <c r="G260" t="inlineStr">
        <is>
          <t>G00819</t>
        </is>
      </c>
      <c r="H260" t="str">
        <f>INDEX('Match Groups'!$C$5:$C$1326,MATCH(G260,'Match Groups'!$A$5:$A$1326,0))</f>
        <v>R08</v>
      </c>
      <c r="I260" t="str">
        <f>INDEX('Match Groups'!$D$5:$D$1326,MATCH(G260,'Match Groups'!$A$5:$A$1326,0))</f>
        <v>MATCH</v>
      </c>
      <c r="J260">
        <f>IF(I260="DUPIMP",0,1)</f>
        <v>1</v>
      </c>
    </row>
    <row r="261">
      <c r="A261" t="inlineStr">
        <is>
          <t>BL-01487</t>
        </is>
      </c>
      <c r="B261" t="inlineStr">
        <is>
          <t>MER</t>
        </is>
      </c>
      <c r="C261" s="5" t="n">
        <v>46274</v>
      </c>
      <c r="D261" t="inlineStr">
        <is>
          <t>SETTLEMENT T403 080926</t>
        </is>
      </c>
      <c r="E261" s="9" t="n">
        <v>3269.37</v>
      </c>
      <c r="F261" t="inlineStr">
        <is>
          <t>MER-20260909</t>
        </is>
      </c>
      <c r="G261" t="inlineStr">
        <is>
          <t>G00820</t>
        </is>
      </c>
      <c r="H261" t="str">
        <f>INDEX('Match Groups'!$C$5:$C$1326,MATCH(G261,'Match Groups'!$A$5:$A$1326,0))</f>
        <v>R08</v>
      </c>
      <c r="I261" t="str">
        <f>INDEX('Match Groups'!$D$5:$D$1326,MATCH(G261,'Match Groups'!$A$5:$A$1326,0))</f>
        <v>MATCH</v>
      </c>
      <c r="J261">
        <f>IF(I261="DUPIMP",0,1)</f>
        <v>1</v>
      </c>
    </row>
    <row r="262">
      <c r="A262" t="inlineStr">
        <is>
          <t>BL-01488</t>
        </is>
      </c>
      <c r="B262" t="inlineStr">
        <is>
          <t>MER</t>
        </is>
      </c>
      <c r="C262" s="5" t="n">
        <v>46274</v>
      </c>
      <c r="D262" t="inlineStr">
        <is>
          <t>SETTLEMENT T404 080926</t>
        </is>
      </c>
      <c r="E262" s="9" t="n">
        <v>1995.11</v>
      </c>
      <c r="F262" t="inlineStr">
        <is>
          <t>MER-20260909</t>
        </is>
      </c>
      <c r="G262" t="inlineStr">
        <is>
          <t>G00821</t>
        </is>
      </c>
      <c r="H262" t="str">
        <f>INDEX('Match Groups'!$C$5:$C$1326,MATCH(G262,'Match Groups'!$A$5:$A$1326,0))</f>
        <v>R08</v>
      </c>
      <c r="I262" t="str">
        <f>INDEX('Match Groups'!$D$5:$D$1326,MATCH(G262,'Match Groups'!$A$5:$A$1326,0))</f>
        <v>MATCH</v>
      </c>
      <c r="J262">
        <f>IF(I262="DUPIMP",0,1)</f>
        <v>1</v>
      </c>
    </row>
    <row r="263">
      <c r="A263" t="inlineStr">
        <is>
          <t>BL-01489</t>
        </is>
      </c>
      <c r="B263" t="inlineStr">
        <is>
          <t>MER</t>
        </is>
      </c>
      <c r="C263" s="5" t="n">
        <v>46275</v>
      </c>
      <c r="D263" t="inlineStr">
        <is>
          <t>SETTLEMENT T401 090926</t>
        </is>
      </c>
      <c r="E263" s="9" t="n">
        <v>1271.06</v>
      </c>
      <c r="F263" t="inlineStr">
        <is>
          <t>MER-20260910</t>
        </is>
      </c>
      <c r="G263" t="inlineStr">
        <is>
          <t>G00822</t>
        </is>
      </c>
      <c r="H263" t="str">
        <f>INDEX('Match Groups'!$C$5:$C$1326,MATCH(G263,'Match Groups'!$A$5:$A$1326,0))</f>
        <v>R08</v>
      </c>
      <c r="I263" t="str">
        <f>INDEX('Match Groups'!$D$5:$D$1326,MATCH(G263,'Match Groups'!$A$5:$A$1326,0))</f>
        <v>MATCH</v>
      </c>
      <c r="J263">
        <f>IF(I263="DUPIMP",0,1)</f>
        <v>1</v>
      </c>
    </row>
    <row r="264">
      <c r="A264" t="inlineStr">
        <is>
          <t>BL-01490</t>
        </is>
      </c>
      <c r="B264" t="inlineStr">
        <is>
          <t>MER</t>
        </is>
      </c>
      <c r="C264" s="5" t="n">
        <v>46275</v>
      </c>
      <c r="D264" t="inlineStr">
        <is>
          <t>SETTLEMENT T402 090926</t>
        </is>
      </c>
      <c r="E264" s="9" t="n">
        <v>2537.92</v>
      </c>
      <c r="F264" t="inlineStr">
        <is>
          <t>MER-20260910</t>
        </is>
      </c>
      <c r="G264" t="inlineStr">
        <is>
          <t>G00823</t>
        </is>
      </c>
      <c r="H264" t="str">
        <f>INDEX('Match Groups'!$C$5:$C$1326,MATCH(G264,'Match Groups'!$A$5:$A$1326,0))</f>
        <v>R08</v>
      </c>
      <c r="I264" t="str">
        <f>INDEX('Match Groups'!$D$5:$D$1326,MATCH(G264,'Match Groups'!$A$5:$A$1326,0))</f>
        <v>MATCH</v>
      </c>
      <c r="J264">
        <f>IF(I264="DUPIMP",0,1)</f>
        <v>1</v>
      </c>
    </row>
    <row r="265">
      <c r="A265" t="inlineStr">
        <is>
          <t>BL-01491</t>
        </is>
      </c>
      <c r="B265" t="inlineStr">
        <is>
          <t>MER</t>
        </is>
      </c>
      <c r="C265" s="5" t="n">
        <v>46275</v>
      </c>
      <c r="D265" t="inlineStr">
        <is>
          <t>SETTLEMENT T403 090926</t>
        </is>
      </c>
      <c r="E265" s="9" t="n">
        <v>1819.69</v>
      </c>
      <c r="F265" t="inlineStr">
        <is>
          <t>MER-20260910</t>
        </is>
      </c>
      <c r="G265" t="inlineStr">
        <is>
          <t>G00824</t>
        </is>
      </c>
      <c r="H265" t="str">
        <f>INDEX('Match Groups'!$C$5:$C$1326,MATCH(G265,'Match Groups'!$A$5:$A$1326,0))</f>
        <v>R08</v>
      </c>
      <c r="I265" t="str">
        <f>INDEX('Match Groups'!$D$5:$D$1326,MATCH(G265,'Match Groups'!$A$5:$A$1326,0))</f>
        <v>MATCH</v>
      </c>
      <c r="J265">
        <f>IF(I265="DUPIMP",0,1)</f>
        <v>1</v>
      </c>
    </row>
    <row r="266">
      <c r="A266" t="inlineStr">
        <is>
          <t>BL-01492</t>
        </is>
      </c>
      <c r="B266" t="inlineStr">
        <is>
          <t>MER</t>
        </is>
      </c>
      <c r="C266" s="5" t="n">
        <v>46275</v>
      </c>
      <c r="D266" t="inlineStr">
        <is>
          <t>SETTLEMENT T404 090926</t>
        </is>
      </c>
      <c r="E266" s="9" t="n">
        <v>1936.42</v>
      </c>
      <c r="F266" t="inlineStr">
        <is>
          <t>MER-20260910</t>
        </is>
      </c>
      <c r="G266" t="inlineStr">
        <is>
          <t>G00825</t>
        </is>
      </c>
      <c r="H266" t="str">
        <f>INDEX('Match Groups'!$C$5:$C$1326,MATCH(G266,'Match Groups'!$A$5:$A$1326,0))</f>
        <v>R08</v>
      </c>
      <c r="I266" t="str">
        <f>INDEX('Match Groups'!$D$5:$D$1326,MATCH(G266,'Match Groups'!$A$5:$A$1326,0))</f>
        <v>MATCH</v>
      </c>
      <c r="J266">
        <f>IF(I266="DUPIMP",0,1)</f>
        <v>1</v>
      </c>
    </row>
    <row r="267">
      <c r="A267" t="inlineStr">
        <is>
          <t>BL-01493</t>
        </is>
      </c>
      <c r="B267" t="inlineStr">
        <is>
          <t>MER</t>
        </is>
      </c>
      <c r="C267" s="5" t="n">
        <v>46276</v>
      </c>
      <c r="D267" t="inlineStr">
        <is>
          <t>SETTLEMENT T401 100926</t>
        </is>
      </c>
      <c r="E267" s="9" t="n">
        <v>1807.11</v>
      </c>
      <c r="F267" t="inlineStr">
        <is>
          <t>MER-20260911</t>
        </is>
      </c>
      <c r="G267" t="inlineStr">
        <is>
          <t>G00826</t>
        </is>
      </c>
      <c r="H267" t="str">
        <f>INDEX('Match Groups'!$C$5:$C$1326,MATCH(G267,'Match Groups'!$A$5:$A$1326,0))</f>
        <v>R08</v>
      </c>
      <c r="I267" t="str">
        <f>INDEX('Match Groups'!$D$5:$D$1326,MATCH(G267,'Match Groups'!$A$5:$A$1326,0))</f>
        <v>MATCH</v>
      </c>
      <c r="J267">
        <f>IF(I267="DUPIMP",0,1)</f>
        <v>1</v>
      </c>
    </row>
    <row r="268">
      <c r="A268" t="inlineStr">
        <is>
          <t>BL-01494</t>
        </is>
      </c>
      <c r="B268" t="inlineStr">
        <is>
          <t>MER</t>
        </is>
      </c>
      <c r="C268" s="5" t="n">
        <v>46276</v>
      </c>
      <c r="D268" t="inlineStr">
        <is>
          <t>SETTLEMENT T402 100926</t>
        </is>
      </c>
      <c r="E268" s="9" t="n">
        <v>3591.46</v>
      </c>
      <c r="F268" t="inlineStr">
        <is>
          <t>MER-20260911</t>
        </is>
      </c>
      <c r="G268" t="inlineStr">
        <is>
          <t>G00827</t>
        </is>
      </c>
      <c r="H268" t="str">
        <f>INDEX('Match Groups'!$C$5:$C$1326,MATCH(G268,'Match Groups'!$A$5:$A$1326,0))</f>
        <v>R08</v>
      </c>
      <c r="I268" t="str">
        <f>INDEX('Match Groups'!$D$5:$D$1326,MATCH(G268,'Match Groups'!$A$5:$A$1326,0))</f>
        <v>MATCH</v>
      </c>
      <c r="J268">
        <f>IF(I268="DUPIMP",0,1)</f>
        <v>1</v>
      </c>
    </row>
    <row r="269">
      <c r="A269" t="inlineStr">
        <is>
          <t>BL-01495</t>
        </is>
      </c>
      <c r="B269" t="inlineStr">
        <is>
          <t>MER</t>
        </is>
      </c>
      <c r="C269" s="5" t="n">
        <v>46276</v>
      </c>
      <c r="D269" t="inlineStr">
        <is>
          <t>SETTLEMENT T403 100926</t>
        </is>
      </c>
      <c r="E269" s="9" t="n">
        <v>2327.53</v>
      </c>
      <c r="F269" t="inlineStr">
        <is>
          <t>MER-20260911</t>
        </is>
      </c>
      <c r="G269" t="inlineStr">
        <is>
          <t>G00828</t>
        </is>
      </c>
      <c r="H269" t="str">
        <f>INDEX('Match Groups'!$C$5:$C$1326,MATCH(G269,'Match Groups'!$A$5:$A$1326,0))</f>
        <v>R08</v>
      </c>
      <c r="I269" t="str">
        <f>INDEX('Match Groups'!$D$5:$D$1326,MATCH(G269,'Match Groups'!$A$5:$A$1326,0))</f>
        <v>MATCH</v>
      </c>
      <c r="J269">
        <f>IF(I269="DUPIMP",0,1)</f>
        <v>1</v>
      </c>
    </row>
    <row r="270">
      <c r="A270" t="inlineStr">
        <is>
          <t>BL-01496</t>
        </is>
      </c>
      <c r="B270" t="inlineStr">
        <is>
          <t>MER</t>
        </is>
      </c>
      <c r="C270" s="5" t="n">
        <v>46276</v>
      </c>
      <c r="D270" t="inlineStr">
        <is>
          <t>SETTLEMENT T404 100926</t>
        </is>
      </c>
      <c r="E270" s="9" t="n">
        <v>2802.42</v>
      </c>
      <c r="F270" t="inlineStr">
        <is>
          <t>MER-20260911</t>
        </is>
      </c>
      <c r="G270" t="inlineStr">
        <is>
          <t>G00829</t>
        </is>
      </c>
      <c r="H270" t="str">
        <f>INDEX('Match Groups'!$C$5:$C$1326,MATCH(G270,'Match Groups'!$A$5:$A$1326,0))</f>
        <v>R08</v>
      </c>
      <c r="I270" t="str">
        <f>INDEX('Match Groups'!$D$5:$D$1326,MATCH(G270,'Match Groups'!$A$5:$A$1326,0))</f>
        <v>MATCH</v>
      </c>
      <c r="J270">
        <f>IF(I270="DUPIMP",0,1)</f>
        <v>1</v>
      </c>
    </row>
    <row r="271">
      <c r="A271" t="inlineStr">
        <is>
          <t>BL-01497</t>
        </is>
      </c>
      <c r="B271" t="inlineStr">
        <is>
          <t>MER</t>
        </is>
      </c>
      <c r="C271" s="5" t="n">
        <v>46279</v>
      </c>
      <c r="D271" t="inlineStr">
        <is>
          <t>SETTLEMENT T401 110926</t>
        </is>
      </c>
      <c r="E271" s="9" t="n">
        <v>2140.35</v>
      </c>
      <c r="F271" t="inlineStr">
        <is>
          <t>MER-20260914</t>
        </is>
      </c>
      <c r="G271" t="inlineStr">
        <is>
          <t>G00830</t>
        </is>
      </c>
      <c r="H271" t="str">
        <f>INDEX('Match Groups'!$C$5:$C$1326,MATCH(G271,'Match Groups'!$A$5:$A$1326,0))</f>
        <v>R08</v>
      </c>
      <c r="I271" t="str">
        <f>INDEX('Match Groups'!$D$5:$D$1326,MATCH(G271,'Match Groups'!$A$5:$A$1326,0))</f>
        <v>MATCH</v>
      </c>
      <c r="J271">
        <f>IF(I271="DUPIMP",0,1)</f>
        <v>1</v>
      </c>
    </row>
    <row r="272">
      <c r="A272" t="inlineStr">
        <is>
          <t>BL-01498</t>
        </is>
      </c>
      <c r="B272" t="inlineStr">
        <is>
          <t>MER</t>
        </is>
      </c>
      <c r="C272" s="5" t="n">
        <v>46279</v>
      </c>
      <c r="D272" t="inlineStr">
        <is>
          <t>SETTLEMENT T402 110926</t>
        </is>
      </c>
      <c r="E272" s="9" t="n">
        <v>2754.28</v>
      </c>
      <c r="F272" t="inlineStr">
        <is>
          <t>MER-20260914</t>
        </is>
      </c>
      <c r="G272" t="inlineStr">
        <is>
          <t>G00831</t>
        </is>
      </c>
      <c r="H272" t="str">
        <f>INDEX('Match Groups'!$C$5:$C$1326,MATCH(G272,'Match Groups'!$A$5:$A$1326,0))</f>
        <v>R08</v>
      </c>
      <c r="I272" t="str">
        <f>INDEX('Match Groups'!$D$5:$D$1326,MATCH(G272,'Match Groups'!$A$5:$A$1326,0))</f>
        <v>MATCH</v>
      </c>
      <c r="J272">
        <f>IF(I272="DUPIMP",0,1)</f>
        <v>1</v>
      </c>
    </row>
    <row r="273">
      <c r="A273" t="inlineStr">
        <is>
          <t>BL-01499</t>
        </is>
      </c>
      <c r="B273" t="inlineStr">
        <is>
          <t>MER</t>
        </is>
      </c>
      <c r="C273" s="5" t="n">
        <v>46279</v>
      </c>
      <c r="D273" t="inlineStr">
        <is>
          <t>SETTLEMENT T403 110926</t>
        </is>
      </c>
      <c r="E273" s="9" t="n">
        <v>3283.03</v>
      </c>
      <c r="F273" t="inlineStr">
        <is>
          <t>MER-20260914</t>
        </is>
      </c>
      <c r="G273" t="inlineStr">
        <is>
          <t>G00832</t>
        </is>
      </c>
      <c r="H273" t="str">
        <f>INDEX('Match Groups'!$C$5:$C$1326,MATCH(G273,'Match Groups'!$A$5:$A$1326,0))</f>
        <v>R08</v>
      </c>
      <c r="I273" t="str">
        <f>INDEX('Match Groups'!$D$5:$D$1326,MATCH(G273,'Match Groups'!$A$5:$A$1326,0))</f>
        <v>MATCH</v>
      </c>
      <c r="J273">
        <f>IF(I273="DUPIMP",0,1)</f>
        <v>1</v>
      </c>
    </row>
    <row r="274">
      <c r="A274" t="inlineStr">
        <is>
          <t>BL-01500</t>
        </is>
      </c>
      <c r="B274" t="inlineStr">
        <is>
          <t>MER</t>
        </is>
      </c>
      <c r="C274" s="5" t="n">
        <v>46279</v>
      </c>
      <c r="D274" t="inlineStr">
        <is>
          <t>SETTLEMENT T404 110926</t>
        </is>
      </c>
      <c r="E274" s="9" t="n">
        <v>1324.91</v>
      </c>
      <c r="F274" t="inlineStr">
        <is>
          <t>MER-20260914</t>
        </is>
      </c>
      <c r="G274" t="inlineStr">
        <is>
          <t>G00833</t>
        </is>
      </c>
      <c r="H274" t="str">
        <f>INDEX('Match Groups'!$C$5:$C$1326,MATCH(G274,'Match Groups'!$A$5:$A$1326,0))</f>
        <v>R08</v>
      </c>
      <c r="I274" t="str">
        <f>INDEX('Match Groups'!$D$5:$D$1326,MATCH(G274,'Match Groups'!$A$5:$A$1326,0))</f>
        <v>MATCH</v>
      </c>
      <c r="J274">
        <f>IF(I274="DUPIMP",0,1)</f>
        <v>1</v>
      </c>
    </row>
    <row r="275">
      <c r="A275" t="inlineStr">
        <is>
          <t>BL-01501</t>
        </is>
      </c>
      <c r="B275" t="inlineStr">
        <is>
          <t>MER</t>
        </is>
      </c>
      <c r="C275" s="5" t="n">
        <v>46279</v>
      </c>
      <c r="D275" t="inlineStr">
        <is>
          <t>SETTLEMENT T401 120926</t>
        </is>
      </c>
      <c r="E275" s="9" t="n">
        <v>1235.66</v>
      </c>
      <c r="F275" t="inlineStr">
        <is>
          <t>MER-20260914</t>
        </is>
      </c>
      <c r="G275" t="inlineStr">
        <is>
          <t>G00834</t>
        </is>
      </c>
      <c r="H275" t="str">
        <f>INDEX('Match Groups'!$C$5:$C$1326,MATCH(G275,'Match Groups'!$A$5:$A$1326,0))</f>
        <v>R08</v>
      </c>
      <c r="I275" t="str">
        <f>INDEX('Match Groups'!$D$5:$D$1326,MATCH(G275,'Match Groups'!$A$5:$A$1326,0))</f>
        <v>MATCH</v>
      </c>
      <c r="J275">
        <f>IF(I275="DUPIMP",0,1)</f>
        <v>1</v>
      </c>
    </row>
    <row r="276">
      <c r="A276" t="inlineStr">
        <is>
          <t>BL-01502</t>
        </is>
      </c>
      <c r="B276" t="inlineStr">
        <is>
          <t>MER</t>
        </is>
      </c>
      <c r="C276" s="5" t="n">
        <v>46279</v>
      </c>
      <c r="D276" t="inlineStr">
        <is>
          <t>SETTLEMENT T402 120926</t>
        </is>
      </c>
      <c r="E276" s="9" t="n">
        <v>611.74</v>
      </c>
      <c r="F276" t="inlineStr">
        <is>
          <t>MER-20260914</t>
        </is>
      </c>
      <c r="G276" t="inlineStr">
        <is>
          <t>G00835</t>
        </is>
      </c>
      <c r="H276" t="str">
        <f>INDEX('Match Groups'!$C$5:$C$1326,MATCH(G276,'Match Groups'!$A$5:$A$1326,0))</f>
        <v>R08</v>
      </c>
      <c r="I276" t="str">
        <f>INDEX('Match Groups'!$D$5:$D$1326,MATCH(G276,'Match Groups'!$A$5:$A$1326,0))</f>
        <v>MATCH</v>
      </c>
      <c r="J276">
        <f>IF(I276="DUPIMP",0,1)</f>
        <v>1</v>
      </c>
    </row>
    <row r="277">
      <c r="A277" t="inlineStr">
        <is>
          <t>BL-01503</t>
        </is>
      </c>
      <c r="B277" t="inlineStr">
        <is>
          <t>MER</t>
        </is>
      </c>
      <c r="C277" s="5" t="n">
        <v>46279</v>
      </c>
      <c r="D277" t="inlineStr">
        <is>
          <t>SETTLEMENT T403 120926</t>
        </is>
      </c>
      <c r="E277" s="9" t="n">
        <v>668.3</v>
      </c>
      <c r="F277" t="inlineStr">
        <is>
          <t>MER-20260914</t>
        </is>
      </c>
      <c r="G277" t="inlineStr">
        <is>
          <t>G00836</t>
        </is>
      </c>
      <c r="H277" t="str">
        <f>INDEX('Match Groups'!$C$5:$C$1326,MATCH(G277,'Match Groups'!$A$5:$A$1326,0))</f>
        <v>R08</v>
      </c>
      <c r="I277" t="str">
        <f>INDEX('Match Groups'!$D$5:$D$1326,MATCH(G277,'Match Groups'!$A$5:$A$1326,0))</f>
        <v>MATCH</v>
      </c>
      <c r="J277">
        <f>IF(I277="DUPIMP",0,1)</f>
        <v>1</v>
      </c>
    </row>
    <row r="278">
      <c r="A278" t="inlineStr">
        <is>
          <t>BL-01504</t>
        </is>
      </c>
      <c r="B278" t="inlineStr">
        <is>
          <t>MER</t>
        </is>
      </c>
      <c r="C278" s="5" t="n">
        <v>46279</v>
      </c>
      <c r="D278" t="inlineStr">
        <is>
          <t>SETTLEMENT T404 120926</t>
        </is>
      </c>
      <c r="E278" s="9" t="n">
        <v>771.92</v>
      </c>
      <c r="F278" t="inlineStr">
        <is>
          <t>MER-20260914</t>
        </is>
      </c>
      <c r="G278" t="inlineStr">
        <is>
          <t>G00837</t>
        </is>
      </c>
      <c r="H278" t="str">
        <f>INDEX('Match Groups'!$C$5:$C$1326,MATCH(G278,'Match Groups'!$A$5:$A$1326,0))</f>
        <v>R08</v>
      </c>
      <c r="I278" t="str">
        <f>INDEX('Match Groups'!$D$5:$D$1326,MATCH(G278,'Match Groups'!$A$5:$A$1326,0))</f>
        <v>MATCH</v>
      </c>
      <c r="J278">
        <f>IF(I278="DUPIMP",0,1)</f>
        <v>1</v>
      </c>
    </row>
    <row r="279">
      <c r="A279" t="inlineStr">
        <is>
          <t>BL-01581</t>
        </is>
      </c>
      <c r="B279" t="inlineStr">
        <is>
          <t>MER</t>
        </is>
      </c>
      <c r="C279" s="5" t="n">
        <v>46279</v>
      </c>
      <c r="D279" t="inlineStr">
        <is>
          <t>SWEEP TO OPERATING</t>
        </is>
      </c>
      <c r="E279" s="9" t="n">
        <v>-22000</v>
      </c>
      <c r="F279" t="inlineStr">
        <is>
          <t>MER-20260914</t>
        </is>
      </c>
      <c r="G279" t="inlineStr">
        <is>
          <t>G00838</t>
        </is>
      </c>
      <c r="H279" t="str">
        <f>INDEX('Match Groups'!$C$5:$C$1326,MATCH(G279,'Match Groups'!$A$5:$A$1326,0))</f>
        <v>R04</v>
      </c>
      <c r="I279" t="str">
        <f>INDEX('Match Groups'!$D$5:$D$1326,MATCH(G279,'Match Groups'!$A$5:$A$1326,0))</f>
        <v>MATCH</v>
      </c>
      <c r="J279">
        <f>IF(I279="DUPIMP",0,1)</f>
        <v>1</v>
      </c>
    </row>
    <row r="280">
      <c r="A280" t="inlineStr">
        <is>
          <t>BL-01505</t>
        </is>
      </c>
      <c r="B280" t="inlineStr">
        <is>
          <t>MER</t>
        </is>
      </c>
      <c r="C280" s="5" t="n">
        <v>46280</v>
      </c>
      <c r="D280" t="inlineStr">
        <is>
          <t>SETTLEMENT T401 140926</t>
        </is>
      </c>
      <c r="E280" s="9" t="n">
        <v>2373.76</v>
      </c>
      <c r="F280" t="inlineStr">
        <is>
          <t>MER-20260915</t>
        </is>
      </c>
      <c r="G280" t="inlineStr">
        <is>
          <t>G00839</t>
        </is>
      </c>
      <c r="H280" t="str">
        <f>INDEX('Match Groups'!$C$5:$C$1326,MATCH(G280,'Match Groups'!$A$5:$A$1326,0))</f>
        <v>R08</v>
      </c>
      <c r="I280" t="str">
        <f>INDEX('Match Groups'!$D$5:$D$1326,MATCH(G280,'Match Groups'!$A$5:$A$1326,0))</f>
        <v>MATCH</v>
      </c>
      <c r="J280">
        <f>IF(I280="DUPIMP",0,1)</f>
        <v>1</v>
      </c>
    </row>
    <row r="281">
      <c r="A281" t="inlineStr">
        <is>
          <t>BL-01506</t>
        </is>
      </c>
      <c r="B281" t="inlineStr">
        <is>
          <t>MER</t>
        </is>
      </c>
      <c r="C281" s="5" t="n">
        <v>46280</v>
      </c>
      <c r="D281" t="inlineStr">
        <is>
          <t>SETTLEMENT T402 140926</t>
        </is>
      </c>
      <c r="E281" s="9" t="n">
        <v>3311.3</v>
      </c>
      <c r="F281" t="inlineStr">
        <is>
          <t>MER-20260915</t>
        </is>
      </c>
      <c r="G281" t="inlineStr">
        <is>
          <t>G00840</t>
        </is>
      </c>
      <c r="H281" t="str">
        <f>INDEX('Match Groups'!$C$5:$C$1326,MATCH(G281,'Match Groups'!$A$5:$A$1326,0))</f>
        <v>R08</v>
      </c>
      <c r="I281" t="str">
        <f>INDEX('Match Groups'!$D$5:$D$1326,MATCH(G281,'Match Groups'!$A$5:$A$1326,0))</f>
        <v>MATCH</v>
      </c>
      <c r="J281">
        <f>IF(I281="DUPIMP",0,1)</f>
        <v>1</v>
      </c>
    </row>
    <row r="282">
      <c r="A282" t="inlineStr">
        <is>
          <t>BL-01507</t>
        </is>
      </c>
      <c r="B282" t="inlineStr">
        <is>
          <t>MER</t>
        </is>
      </c>
      <c r="C282" s="5" t="n">
        <v>46280</v>
      </c>
      <c r="D282" t="inlineStr">
        <is>
          <t>SETTLEMENT T403 140926</t>
        </is>
      </c>
      <c r="E282" s="9" t="n">
        <v>1968.7</v>
      </c>
      <c r="F282" t="inlineStr">
        <is>
          <t>MER-20260915</t>
        </is>
      </c>
      <c r="G282" t="inlineStr">
        <is>
          <t>G00841</t>
        </is>
      </c>
      <c r="H282" t="str">
        <f>INDEX('Match Groups'!$C$5:$C$1326,MATCH(G282,'Match Groups'!$A$5:$A$1326,0))</f>
        <v>R08</v>
      </c>
      <c r="I282" t="str">
        <f>INDEX('Match Groups'!$D$5:$D$1326,MATCH(G282,'Match Groups'!$A$5:$A$1326,0))</f>
        <v>MATCH</v>
      </c>
      <c r="J282">
        <f>IF(I282="DUPIMP",0,1)</f>
        <v>1</v>
      </c>
    </row>
    <row r="283">
      <c r="A283" t="inlineStr">
        <is>
          <t>BL-01508</t>
        </is>
      </c>
      <c r="B283" t="inlineStr">
        <is>
          <t>MER</t>
        </is>
      </c>
      <c r="C283" s="5" t="n">
        <v>46280</v>
      </c>
      <c r="D283" t="inlineStr">
        <is>
          <t>SETTLEMENT T404 140926</t>
        </is>
      </c>
      <c r="E283" s="9" t="n">
        <v>3399.74</v>
      </c>
      <c r="F283" t="inlineStr">
        <is>
          <t>MER-20260915</t>
        </is>
      </c>
      <c r="G283" t="inlineStr">
        <is>
          <t>G00842</t>
        </is>
      </c>
      <c r="H283" t="str">
        <f>INDEX('Match Groups'!$C$5:$C$1326,MATCH(G283,'Match Groups'!$A$5:$A$1326,0))</f>
        <v>R08</v>
      </c>
      <c r="I283" t="str">
        <f>INDEX('Match Groups'!$D$5:$D$1326,MATCH(G283,'Match Groups'!$A$5:$A$1326,0))</f>
        <v>MATCH</v>
      </c>
      <c r="J283">
        <f>IF(I283="DUPIMP",0,1)</f>
        <v>1</v>
      </c>
    </row>
    <row r="284">
      <c r="A284" t="inlineStr">
        <is>
          <t>BL-01509</t>
        </is>
      </c>
      <c r="B284" t="inlineStr">
        <is>
          <t>MER</t>
        </is>
      </c>
      <c r="C284" s="5" t="n">
        <v>46281</v>
      </c>
      <c r="D284" t="inlineStr">
        <is>
          <t>SETTLEMENT T401 150926</t>
        </is>
      </c>
      <c r="E284" s="9" t="n">
        <v>2279</v>
      </c>
      <c r="F284" t="inlineStr">
        <is>
          <t>MER-20260916</t>
        </is>
      </c>
      <c r="G284" t="inlineStr">
        <is>
          <t>G00843</t>
        </is>
      </c>
      <c r="H284" t="str">
        <f>INDEX('Match Groups'!$C$5:$C$1326,MATCH(G284,'Match Groups'!$A$5:$A$1326,0))</f>
        <v>R08</v>
      </c>
      <c r="I284" t="str">
        <f>INDEX('Match Groups'!$D$5:$D$1326,MATCH(G284,'Match Groups'!$A$5:$A$1326,0))</f>
        <v>MATCH</v>
      </c>
      <c r="J284">
        <f>IF(I284="DUPIMP",0,1)</f>
        <v>1</v>
      </c>
    </row>
    <row r="285">
      <c r="A285" t="inlineStr">
        <is>
          <t>BL-01510</t>
        </is>
      </c>
      <c r="B285" t="inlineStr">
        <is>
          <t>MER</t>
        </is>
      </c>
      <c r="C285" s="5" t="n">
        <v>46281</v>
      </c>
      <c r="D285" t="inlineStr">
        <is>
          <t>SETTLEMENT T402 150926</t>
        </is>
      </c>
      <c r="E285" s="9" t="n">
        <v>3310.02</v>
      </c>
      <c r="F285" t="inlineStr">
        <is>
          <t>MER-20260916</t>
        </is>
      </c>
      <c r="G285" t="inlineStr">
        <is>
          <t>G00844</t>
        </is>
      </c>
      <c r="H285" t="str">
        <f>INDEX('Match Groups'!$C$5:$C$1326,MATCH(G285,'Match Groups'!$A$5:$A$1326,0))</f>
        <v>R08</v>
      </c>
      <c r="I285" t="str">
        <f>INDEX('Match Groups'!$D$5:$D$1326,MATCH(G285,'Match Groups'!$A$5:$A$1326,0))</f>
        <v>MATCH</v>
      </c>
      <c r="J285">
        <f>IF(I285="DUPIMP",0,1)</f>
        <v>1</v>
      </c>
    </row>
    <row r="286">
      <c r="A286" t="inlineStr">
        <is>
          <t>BL-01511</t>
        </is>
      </c>
      <c r="B286" t="inlineStr">
        <is>
          <t>MER</t>
        </is>
      </c>
      <c r="C286" s="5" t="n">
        <v>46281</v>
      </c>
      <c r="D286" t="inlineStr">
        <is>
          <t>SETTLEMENT T403 150926</t>
        </is>
      </c>
      <c r="E286" s="9" t="n">
        <v>2512.11</v>
      </c>
      <c r="F286" t="inlineStr">
        <is>
          <t>MER-20260916</t>
        </is>
      </c>
      <c r="G286" t="inlineStr">
        <is>
          <t>G00845</t>
        </is>
      </c>
      <c r="H286" t="str">
        <f>INDEX('Match Groups'!$C$5:$C$1326,MATCH(G286,'Match Groups'!$A$5:$A$1326,0))</f>
        <v>R08</v>
      </c>
      <c r="I286" t="str">
        <f>INDEX('Match Groups'!$D$5:$D$1326,MATCH(G286,'Match Groups'!$A$5:$A$1326,0))</f>
        <v>REFUND-GAP</v>
      </c>
      <c r="J286">
        <f>IF(I286="DUPIMP",0,1)</f>
        <v>1</v>
      </c>
    </row>
    <row r="287">
      <c r="A287" t="inlineStr">
        <is>
          <t>BL-01512</t>
        </is>
      </c>
      <c r="B287" t="inlineStr">
        <is>
          <t>MER</t>
        </is>
      </c>
      <c r="C287" s="5" t="n">
        <v>46281</v>
      </c>
      <c r="D287" t="inlineStr">
        <is>
          <t>SETTLEMENT T404 150926</t>
        </is>
      </c>
      <c r="E287" s="9" t="n">
        <v>2793.04</v>
      </c>
      <c r="F287" t="inlineStr">
        <is>
          <t>MER-20260916</t>
        </is>
      </c>
      <c r="G287" t="inlineStr">
        <is>
          <t>G00846</t>
        </is>
      </c>
      <c r="H287" t="str">
        <f>INDEX('Match Groups'!$C$5:$C$1326,MATCH(G287,'Match Groups'!$A$5:$A$1326,0))</f>
        <v>R08</v>
      </c>
      <c r="I287" t="str">
        <f>INDEX('Match Groups'!$D$5:$D$1326,MATCH(G287,'Match Groups'!$A$5:$A$1326,0))</f>
        <v>MATCH</v>
      </c>
      <c r="J287">
        <f>IF(I287="DUPIMP",0,1)</f>
        <v>1</v>
      </c>
    </row>
    <row r="288">
      <c r="A288" t="inlineStr">
        <is>
          <t>BL-01513</t>
        </is>
      </c>
      <c r="B288" t="inlineStr">
        <is>
          <t>MER</t>
        </is>
      </c>
      <c r="C288" s="5" t="n">
        <v>46282</v>
      </c>
      <c r="D288" t="inlineStr">
        <is>
          <t>SETTLEMENT T401 160926</t>
        </is>
      </c>
      <c r="E288" s="9" t="n">
        <v>2773.93</v>
      </c>
      <c r="F288" t="inlineStr">
        <is>
          <t>MER-20260917</t>
        </is>
      </c>
      <c r="G288" t="inlineStr">
        <is>
          <t>G00847</t>
        </is>
      </c>
      <c r="H288" t="str">
        <f>INDEX('Match Groups'!$C$5:$C$1326,MATCH(G288,'Match Groups'!$A$5:$A$1326,0))</f>
        <v>R08</v>
      </c>
      <c r="I288" t="str">
        <f>INDEX('Match Groups'!$D$5:$D$1326,MATCH(G288,'Match Groups'!$A$5:$A$1326,0))</f>
        <v>MATCH</v>
      </c>
      <c r="J288">
        <f>IF(I288="DUPIMP",0,1)</f>
        <v>1</v>
      </c>
    </row>
    <row r="289">
      <c r="A289" t="inlineStr">
        <is>
          <t>BL-01514</t>
        </is>
      </c>
      <c r="B289" t="inlineStr">
        <is>
          <t>MER</t>
        </is>
      </c>
      <c r="C289" s="5" t="n">
        <v>46282</v>
      </c>
      <c r="D289" t="inlineStr">
        <is>
          <t>SETTLEMENT T402 160926</t>
        </is>
      </c>
      <c r="E289" s="9" t="n">
        <v>2304.01</v>
      </c>
      <c r="F289" t="inlineStr">
        <is>
          <t>MER-20260917</t>
        </is>
      </c>
      <c r="G289" t="inlineStr">
        <is>
          <t>G00848</t>
        </is>
      </c>
      <c r="H289" t="str">
        <f>INDEX('Match Groups'!$C$5:$C$1326,MATCH(G289,'Match Groups'!$A$5:$A$1326,0))</f>
        <v>R08</v>
      </c>
      <c r="I289" t="str">
        <f>INDEX('Match Groups'!$D$5:$D$1326,MATCH(G289,'Match Groups'!$A$5:$A$1326,0))</f>
        <v>MATCH</v>
      </c>
      <c r="J289">
        <f>IF(I289="DUPIMP",0,1)</f>
        <v>1</v>
      </c>
    </row>
    <row r="290">
      <c r="A290" t="inlineStr">
        <is>
          <t>BL-01515</t>
        </is>
      </c>
      <c r="B290" t="inlineStr">
        <is>
          <t>MER</t>
        </is>
      </c>
      <c r="C290" s="5" t="n">
        <v>46282</v>
      </c>
      <c r="D290" t="inlineStr">
        <is>
          <t>SETTLEMENT T403 160926</t>
        </is>
      </c>
      <c r="E290" s="9" t="n">
        <v>1370.69</v>
      </c>
      <c r="F290" t="inlineStr">
        <is>
          <t>MER-20260917</t>
        </is>
      </c>
      <c r="G290" t="inlineStr">
        <is>
          <t>G00849</t>
        </is>
      </c>
      <c r="H290" t="str">
        <f>INDEX('Match Groups'!$C$5:$C$1326,MATCH(G290,'Match Groups'!$A$5:$A$1326,0))</f>
        <v>R08</v>
      </c>
      <c r="I290" t="str">
        <f>INDEX('Match Groups'!$D$5:$D$1326,MATCH(G290,'Match Groups'!$A$5:$A$1326,0))</f>
        <v>MATCH</v>
      </c>
      <c r="J290">
        <f>IF(I290="DUPIMP",0,1)</f>
        <v>1</v>
      </c>
    </row>
    <row r="291">
      <c r="A291" t="inlineStr">
        <is>
          <t>BL-01516</t>
        </is>
      </c>
      <c r="B291" t="inlineStr">
        <is>
          <t>MER</t>
        </is>
      </c>
      <c r="C291" s="5" t="n">
        <v>46282</v>
      </c>
      <c r="D291" t="inlineStr">
        <is>
          <t>SETTLEMENT T404 160926</t>
        </is>
      </c>
      <c r="E291" s="9" t="n">
        <v>1241.51</v>
      </c>
      <c r="F291" t="inlineStr">
        <is>
          <t>MER-20260917</t>
        </is>
      </c>
      <c r="G291" t="inlineStr">
        <is>
          <t>G00850</t>
        </is>
      </c>
      <c r="H291" t="str">
        <f>INDEX('Match Groups'!$C$5:$C$1326,MATCH(G291,'Match Groups'!$A$5:$A$1326,0))</f>
        <v>R08</v>
      </c>
      <c r="I291" t="str">
        <f>INDEX('Match Groups'!$D$5:$D$1326,MATCH(G291,'Match Groups'!$A$5:$A$1326,0))</f>
        <v>MATCH</v>
      </c>
      <c r="J291">
        <f>IF(I291="DUPIMP",0,1)</f>
        <v>1</v>
      </c>
    </row>
    <row r="292">
      <c r="A292" t="inlineStr">
        <is>
          <t>BL-01517</t>
        </is>
      </c>
      <c r="B292" t="inlineStr">
        <is>
          <t>MER</t>
        </is>
      </c>
      <c r="C292" s="5" t="n">
        <v>46283</v>
      </c>
      <c r="D292" t="inlineStr">
        <is>
          <t>SETTLEMENT T401 170926</t>
        </is>
      </c>
      <c r="E292" s="9" t="n">
        <v>1876.69</v>
      </c>
      <c r="F292" t="inlineStr">
        <is>
          <t>MER-20260918</t>
        </is>
      </c>
      <c r="G292" t="inlineStr">
        <is>
          <t>G00851</t>
        </is>
      </c>
      <c r="H292" t="str">
        <f>INDEX('Match Groups'!$C$5:$C$1326,MATCH(G292,'Match Groups'!$A$5:$A$1326,0))</f>
        <v>R08</v>
      </c>
      <c r="I292" t="str">
        <f>INDEX('Match Groups'!$D$5:$D$1326,MATCH(G292,'Match Groups'!$A$5:$A$1326,0))</f>
        <v>MATCH</v>
      </c>
      <c r="J292">
        <f>IF(I292="DUPIMP",0,1)</f>
        <v>1</v>
      </c>
    </row>
    <row r="293">
      <c r="A293" t="inlineStr">
        <is>
          <t>BL-01518</t>
        </is>
      </c>
      <c r="B293" t="inlineStr">
        <is>
          <t>MER</t>
        </is>
      </c>
      <c r="C293" s="5" t="n">
        <v>46283</v>
      </c>
      <c r="D293" t="inlineStr">
        <is>
          <t>SETTLEMENT T402 170926</t>
        </is>
      </c>
      <c r="E293" s="9" t="n">
        <v>2976.13</v>
      </c>
      <c r="F293" t="inlineStr">
        <is>
          <t>MER-20260918</t>
        </is>
      </c>
      <c r="G293" t="inlineStr">
        <is>
          <t>G00852</t>
        </is>
      </c>
      <c r="H293" t="str">
        <f>INDEX('Match Groups'!$C$5:$C$1326,MATCH(G293,'Match Groups'!$A$5:$A$1326,0))</f>
        <v>R08</v>
      </c>
      <c r="I293" t="str">
        <f>INDEX('Match Groups'!$D$5:$D$1326,MATCH(G293,'Match Groups'!$A$5:$A$1326,0))</f>
        <v>MATCH</v>
      </c>
      <c r="J293">
        <f>IF(I293="DUPIMP",0,1)</f>
        <v>1</v>
      </c>
    </row>
    <row r="294">
      <c r="A294" t="inlineStr">
        <is>
          <t>BL-01519</t>
        </is>
      </c>
      <c r="B294" t="inlineStr">
        <is>
          <t>MER</t>
        </is>
      </c>
      <c r="C294" s="5" t="n">
        <v>46283</v>
      </c>
      <c r="D294" t="inlineStr">
        <is>
          <t>SETTLEMENT T403 170926</t>
        </is>
      </c>
      <c r="E294" s="9" t="n">
        <v>3289.54</v>
      </c>
      <c r="F294" t="inlineStr">
        <is>
          <t>MER-20260918</t>
        </is>
      </c>
      <c r="G294" t="inlineStr">
        <is>
          <t>G00853</t>
        </is>
      </c>
      <c r="H294" t="str">
        <f>INDEX('Match Groups'!$C$5:$C$1326,MATCH(G294,'Match Groups'!$A$5:$A$1326,0))</f>
        <v>R08</v>
      </c>
      <c r="I294" t="str">
        <f>INDEX('Match Groups'!$D$5:$D$1326,MATCH(G294,'Match Groups'!$A$5:$A$1326,0))</f>
        <v>MATCH</v>
      </c>
      <c r="J294">
        <f>IF(I294="DUPIMP",0,1)</f>
        <v>1</v>
      </c>
    </row>
    <row r="295">
      <c r="A295" t="inlineStr">
        <is>
          <t>BL-01520</t>
        </is>
      </c>
      <c r="B295" t="inlineStr">
        <is>
          <t>MER</t>
        </is>
      </c>
      <c r="C295" s="5" t="n">
        <v>46283</v>
      </c>
      <c r="D295" t="inlineStr">
        <is>
          <t>SETTLEMENT T404 170926</t>
        </is>
      </c>
      <c r="E295" s="9" t="n">
        <v>3368.6</v>
      </c>
      <c r="F295" t="inlineStr">
        <is>
          <t>MER-20260918</t>
        </is>
      </c>
      <c r="G295" t="inlineStr">
        <is>
          <t>G00854</t>
        </is>
      </c>
      <c r="H295" t="str">
        <f>INDEX('Match Groups'!$C$5:$C$1326,MATCH(G295,'Match Groups'!$A$5:$A$1326,0))</f>
        <v>R08</v>
      </c>
      <c r="I295" t="str">
        <f>INDEX('Match Groups'!$D$5:$D$1326,MATCH(G295,'Match Groups'!$A$5:$A$1326,0))</f>
        <v>MATCH</v>
      </c>
      <c r="J295">
        <f>IF(I295="DUPIMP",0,1)</f>
        <v>1</v>
      </c>
    </row>
    <row r="296">
      <c r="A296" t="inlineStr">
        <is>
          <t>BL-01521</t>
        </is>
      </c>
      <c r="B296" t="inlineStr">
        <is>
          <t>MER</t>
        </is>
      </c>
      <c r="C296" s="5" t="n">
        <v>46286</v>
      </c>
      <c r="D296" t="inlineStr">
        <is>
          <t>SETTLEMENT T401 180926</t>
        </is>
      </c>
      <c r="E296" s="9" t="n">
        <v>3184.77</v>
      </c>
      <c r="F296" t="inlineStr">
        <is>
          <t>MER-20260921</t>
        </is>
      </c>
      <c r="G296" t="inlineStr">
        <is>
          <t>G00855</t>
        </is>
      </c>
      <c r="H296" t="str">
        <f>INDEX('Match Groups'!$C$5:$C$1326,MATCH(G296,'Match Groups'!$A$5:$A$1326,0))</f>
        <v>R08</v>
      </c>
      <c r="I296" t="str">
        <f>INDEX('Match Groups'!$D$5:$D$1326,MATCH(G296,'Match Groups'!$A$5:$A$1326,0))</f>
        <v>MATCH</v>
      </c>
      <c r="J296">
        <f>IF(I296="DUPIMP",0,1)</f>
        <v>1</v>
      </c>
    </row>
    <row r="297">
      <c r="A297" t="inlineStr">
        <is>
          <t>BL-01522</t>
        </is>
      </c>
      <c r="B297" t="inlineStr">
        <is>
          <t>MER</t>
        </is>
      </c>
      <c r="C297" s="5" t="n">
        <v>46286</v>
      </c>
      <c r="D297" t="inlineStr">
        <is>
          <t>SETTLEMENT T402 180926</t>
        </is>
      </c>
      <c r="E297" s="9" t="n">
        <v>2229.7</v>
      </c>
      <c r="F297" t="inlineStr">
        <is>
          <t>MER-20260921</t>
        </is>
      </c>
      <c r="G297" t="inlineStr">
        <is>
          <t>G00856</t>
        </is>
      </c>
      <c r="H297" t="str">
        <f>INDEX('Match Groups'!$C$5:$C$1326,MATCH(G297,'Match Groups'!$A$5:$A$1326,0))</f>
        <v>R08</v>
      </c>
      <c r="I297" t="str">
        <f>INDEX('Match Groups'!$D$5:$D$1326,MATCH(G297,'Match Groups'!$A$5:$A$1326,0))</f>
        <v>MATCH</v>
      </c>
      <c r="J297">
        <f>IF(I297="DUPIMP",0,1)</f>
        <v>1</v>
      </c>
    </row>
    <row r="298">
      <c r="A298" t="inlineStr">
        <is>
          <t>BL-01523</t>
        </is>
      </c>
      <c r="B298" t="inlineStr">
        <is>
          <t>MER</t>
        </is>
      </c>
      <c r="C298" s="5" t="n">
        <v>46286</v>
      </c>
      <c r="D298" t="inlineStr">
        <is>
          <t>SETTLEMENT T403 180926</t>
        </is>
      </c>
      <c r="E298" s="9" t="n">
        <v>1690.21</v>
      </c>
      <c r="F298" t="inlineStr">
        <is>
          <t>MER-20260921</t>
        </is>
      </c>
      <c r="G298" t="inlineStr">
        <is>
          <t>G00857</t>
        </is>
      </c>
      <c r="H298" t="str">
        <f>INDEX('Match Groups'!$C$5:$C$1326,MATCH(G298,'Match Groups'!$A$5:$A$1326,0))</f>
        <v>R08</v>
      </c>
      <c r="I298" t="str">
        <f>INDEX('Match Groups'!$D$5:$D$1326,MATCH(G298,'Match Groups'!$A$5:$A$1326,0))</f>
        <v>MATCH</v>
      </c>
      <c r="J298">
        <f>IF(I298="DUPIMP",0,1)</f>
        <v>1</v>
      </c>
    </row>
    <row r="299">
      <c r="A299" t="inlineStr">
        <is>
          <t>BL-01524</t>
        </is>
      </c>
      <c r="B299" t="inlineStr">
        <is>
          <t>MER</t>
        </is>
      </c>
      <c r="C299" s="5" t="n">
        <v>46286</v>
      </c>
      <c r="D299" t="inlineStr">
        <is>
          <t>SETTLEMENT T404 180926</t>
        </is>
      </c>
      <c r="E299" s="9" t="n">
        <v>2362.72</v>
      </c>
      <c r="F299" t="inlineStr">
        <is>
          <t>MER-20260921</t>
        </is>
      </c>
      <c r="G299" t="inlineStr">
        <is>
          <t>G00858</t>
        </is>
      </c>
      <c r="H299" t="str">
        <f>INDEX('Match Groups'!$C$5:$C$1326,MATCH(G299,'Match Groups'!$A$5:$A$1326,0))</f>
        <v>R08</v>
      </c>
      <c r="I299" t="str">
        <f>INDEX('Match Groups'!$D$5:$D$1326,MATCH(G299,'Match Groups'!$A$5:$A$1326,0))</f>
        <v>MATCH</v>
      </c>
      <c r="J299">
        <f>IF(I299="DUPIMP",0,1)</f>
        <v>1</v>
      </c>
    </row>
    <row r="300">
      <c r="A300" t="inlineStr">
        <is>
          <t>BL-01525</t>
        </is>
      </c>
      <c r="B300" t="inlineStr">
        <is>
          <t>MER</t>
        </is>
      </c>
      <c r="C300" s="5" t="n">
        <v>46286</v>
      </c>
      <c r="D300" t="inlineStr">
        <is>
          <t>SETTLEMENT T401 190926</t>
        </is>
      </c>
      <c r="E300" s="9" t="n">
        <v>781.59</v>
      </c>
      <c r="F300" t="inlineStr">
        <is>
          <t>MER-20260921</t>
        </is>
      </c>
      <c r="G300" t="inlineStr">
        <is>
          <t>G00859</t>
        </is>
      </c>
      <c r="H300" t="str">
        <f>INDEX('Match Groups'!$C$5:$C$1326,MATCH(G300,'Match Groups'!$A$5:$A$1326,0))</f>
        <v>R08</v>
      </c>
      <c r="I300" t="str">
        <f>INDEX('Match Groups'!$D$5:$D$1326,MATCH(G300,'Match Groups'!$A$5:$A$1326,0))</f>
        <v>MATCH</v>
      </c>
      <c r="J300">
        <f>IF(I300="DUPIMP",0,1)</f>
        <v>1</v>
      </c>
    </row>
    <row r="301">
      <c r="A301" t="inlineStr">
        <is>
          <t>BL-01526</t>
        </is>
      </c>
      <c r="B301" t="inlineStr">
        <is>
          <t>MER</t>
        </is>
      </c>
      <c r="C301" s="5" t="n">
        <v>46286</v>
      </c>
      <c r="D301" t="inlineStr">
        <is>
          <t>SETTLEMENT T402 190926</t>
        </is>
      </c>
      <c r="E301" s="9" t="n">
        <v>1033.48</v>
      </c>
      <c r="F301" t="inlineStr">
        <is>
          <t>MER-20260921</t>
        </is>
      </c>
      <c r="G301" t="inlineStr">
        <is>
          <t>G00860</t>
        </is>
      </c>
      <c r="H301" t="str">
        <f>INDEX('Match Groups'!$C$5:$C$1326,MATCH(G301,'Match Groups'!$A$5:$A$1326,0))</f>
        <v>R08</v>
      </c>
      <c r="I301" t="str">
        <f>INDEX('Match Groups'!$D$5:$D$1326,MATCH(G301,'Match Groups'!$A$5:$A$1326,0))</f>
        <v>MATCH</v>
      </c>
      <c r="J301">
        <f>IF(I301="DUPIMP",0,1)</f>
        <v>1</v>
      </c>
    </row>
    <row r="302">
      <c r="A302" t="inlineStr">
        <is>
          <t>BL-01527</t>
        </is>
      </c>
      <c r="B302" t="inlineStr">
        <is>
          <t>MER</t>
        </is>
      </c>
      <c r="C302" s="5" t="n">
        <v>46286</v>
      </c>
      <c r="D302" t="inlineStr">
        <is>
          <t>SETTLEMENT T403 190926</t>
        </is>
      </c>
      <c r="E302" s="9" t="n">
        <v>1244.97</v>
      </c>
      <c r="F302" t="inlineStr">
        <is>
          <t>MER-20260921</t>
        </is>
      </c>
      <c r="G302" t="inlineStr">
        <is>
          <t>G00861</t>
        </is>
      </c>
      <c r="H302" t="str">
        <f>INDEX('Match Groups'!$C$5:$C$1326,MATCH(G302,'Match Groups'!$A$5:$A$1326,0))</f>
        <v>R08</v>
      </c>
      <c r="I302" t="str">
        <f>INDEX('Match Groups'!$D$5:$D$1326,MATCH(G302,'Match Groups'!$A$5:$A$1326,0))</f>
        <v>MATCH</v>
      </c>
      <c r="J302">
        <f>IF(I302="DUPIMP",0,1)</f>
        <v>1</v>
      </c>
    </row>
    <row r="303">
      <c r="A303" t="inlineStr">
        <is>
          <t>BL-01528</t>
        </is>
      </c>
      <c r="B303" t="inlineStr">
        <is>
          <t>MER</t>
        </is>
      </c>
      <c r="C303" s="5" t="n">
        <v>46286</v>
      </c>
      <c r="D303" t="inlineStr">
        <is>
          <t>SETTLEMENT T404 190926</t>
        </is>
      </c>
      <c r="E303" s="9" t="n">
        <v>900.3200000000001</v>
      </c>
      <c r="F303" t="inlineStr">
        <is>
          <t>MER-20260921</t>
        </is>
      </c>
      <c r="G303" t="inlineStr">
        <is>
          <t>G00862</t>
        </is>
      </c>
      <c r="H303" t="str">
        <f>INDEX('Match Groups'!$C$5:$C$1326,MATCH(G303,'Match Groups'!$A$5:$A$1326,0))</f>
        <v>R08</v>
      </c>
      <c r="I303" t="str">
        <f>INDEX('Match Groups'!$D$5:$D$1326,MATCH(G303,'Match Groups'!$A$5:$A$1326,0))</f>
        <v>MATCH</v>
      </c>
      <c r="J303">
        <f>IF(I303="DUPIMP",0,1)</f>
        <v>1</v>
      </c>
    </row>
    <row r="304">
      <c r="A304" t="inlineStr">
        <is>
          <t>BL-01583</t>
        </is>
      </c>
      <c r="B304" t="inlineStr">
        <is>
          <t>MER</t>
        </is>
      </c>
      <c r="C304" s="5" t="n">
        <v>46286</v>
      </c>
      <c r="D304" t="inlineStr">
        <is>
          <t>SWEEP TO OPERATING</t>
        </is>
      </c>
      <c r="E304" s="9" t="n">
        <v>-22000</v>
      </c>
      <c r="F304" t="inlineStr">
        <is>
          <t>MER-20260921</t>
        </is>
      </c>
      <c r="G304" t="inlineStr">
        <is>
          <t>G00863</t>
        </is>
      </c>
      <c r="H304" t="str">
        <f>INDEX('Match Groups'!$C$5:$C$1326,MATCH(G304,'Match Groups'!$A$5:$A$1326,0))</f>
        <v>R04</v>
      </c>
      <c r="I304" t="str">
        <f>INDEX('Match Groups'!$D$5:$D$1326,MATCH(G304,'Match Groups'!$A$5:$A$1326,0))</f>
        <v>MATCH</v>
      </c>
      <c r="J304">
        <f>IF(I304="DUPIMP",0,1)</f>
        <v>1</v>
      </c>
    </row>
    <row r="305">
      <c r="A305" t="inlineStr">
        <is>
          <t>BL-01529</t>
        </is>
      </c>
      <c r="B305" t="inlineStr">
        <is>
          <t>MER</t>
        </is>
      </c>
      <c r="C305" s="5" t="n">
        <v>46287</v>
      </c>
      <c r="D305" t="inlineStr">
        <is>
          <t>SETTLEMENT T401 210926</t>
        </is>
      </c>
      <c r="E305" s="9" t="n">
        <v>2701.47</v>
      </c>
      <c r="F305" t="inlineStr">
        <is>
          <t>MER-20260922</t>
        </is>
      </c>
      <c r="G305" t="inlineStr">
        <is>
          <t>G00864</t>
        </is>
      </c>
      <c r="H305" t="str">
        <f>INDEX('Match Groups'!$C$5:$C$1326,MATCH(G305,'Match Groups'!$A$5:$A$1326,0))</f>
        <v>R08</v>
      </c>
      <c r="I305" t="str">
        <f>INDEX('Match Groups'!$D$5:$D$1326,MATCH(G305,'Match Groups'!$A$5:$A$1326,0))</f>
        <v>MATCH</v>
      </c>
      <c r="J305">
        <f>IF(I305="DUPIMP",0,1)</f>
        <v>1</v>
      </c>
    </row>
    <row r="306">
      <c r="A306" t="inlineStr">
        <is>
          <t>BL-01530</t>
        </is>
      </c>
      <c r="B306" t="inlineStr">
        <is>
          <t>MER</t>
        </is>
      </c>
      <c r="C306" s="5" t="n">
        <v>46287</v>
      </c>
      <c r="D306" t="inlineStr">
        <is>
          <t>SETTLEMENT T402 210926</t>
        </is>
      </c>
      <c r="E306" s="9" t="n">
        <v>2828.62</v>
      </c>
      <c r="F306" t="inlineStr">
        <is>
          <t>MER-20260922</t>
        </is>
      </c>
      <c r="G306" t="inlineStr">
        <is>
          <t>G00865</t>
        </is>
      </c>
      <c r="H306" t="str">
        <f>INDEX('Match Groups'!$C$5:$C$1326,MATCH(G306,'Match Groups'!$A$5:$A$1326,0))</f>
        <v>R08</v>
      </c>
      <c r="I306" t="str">
        <f>INDEX('Match Groups'!$D$5:$D$1326,MATCH(G306,'Match Groups'!$A$5:$A$1326,0))</f>
        <v>MATCH</v>
      </c>
      <c r="J306">
        <f>IF(I306="DUPIMP",0,1)</f>
        <v>1</v>
      </c>
    </row>
    <row r="307">
      <c r="A307" t="inlineStr">
        <is>
          <t>BL-01531</t>
        </is>
      </c>
      <c r="B307" t="inlineStr">
        <is>
          <t>MER</t>
        </is>
      </c>
      <c r="C307" s="5" t="n">
        <v>46287</v>
      </c>
      <c r="D307" t="inlineStr">
        <is>
          <t>SETTLEMENT T403 210926</t>
        </is>
      </c>
      <c r="E307" s="9" t="n">
        <v>3199.86</v>
      </c>
      <c r="F307" t="inlineStr">
        <is>
          <t>MER-20260922</t>
        </is>
      </c>
      <c r="G307" t="inlineStr">
        <is>
          <t>G00866</t>
        </is>
      </c>
      <c r="H307" t="str">
        <f>INDEX('Match Groups'!$C$5:$C$1326,MATCH(G307,'Match Groups'!$A$5:$A$1326,0))</f>
        <v>R08</v>
      </c>
      <c r="I307" t="str">
        <f>INDEX('Match Groups'!$D$5:$D$1326,MATCH(G307,'Match Groups'!$A$5:$A$1326,0))</f>
        <v>MATCH</v>
      </c>
      <c r="J307">
        <f>IF(I307="DUPIMP",0,1)</f>
        <v>1</v>
      </c>
    </row>
    <row r="308">
      <c r="A308" t="inlineStr">
        <is>
          <t>BL-01532</t>
        </is>
      </c>
      <c r="B308" t="inlineStr">
        <is>
          <t>MER</t>
        </is>
      </c>
      <c r="C308" s="5" t="n">
        <v>46287</v>
      </c>
      <c r="D308" t="inlineStr">
        <is>
          <t>SETTLEMENT T404 210926</t>
        </is>
      </c>
      <c r="E308" s="9" t="n">
        <v>3493.87</v>
      </c>
      <c r="F308" t="inlineStr">
        <is>
          <t>MER-20260922</t>
        </is>
      </c>
      <c r="G308" t="inlineStr">
        <is>
          <t>G00867</t>
        </is>
      </c>
      <c r="H308" t="str">
        <f>INDEX('Match Groups'!$C$5:$C$1326,MATCH(G308,'Match Groups'!$A$5:$A$1326,0))</f>
        <v>R08</v>
      </c>
      <c r="I308" t="str">
        <f>INDEX('Match Groups'!$D$5:$D$1326,MATCH(G308,'Match Groups'!$A$5:$A$1326,0))</f>
        <v>MATCH</v>
      </c>
      <c r="J308">
        <f>IF(I308="DUPIMP",0,1)</f>
        <v>1</v>
      </c>
    </row>
    <row r="309">
      <c r="A309" t="inlineStr">
        <is>
          <t>BL-01533</t>
        </is>
      </c>
      <c r="B309" t="inlineStr">
        <is>
          <t>MER</t>
        </is>
      </c>
      <c r="C309" s="5" t="n">
        <v>46288</v>
      </c>
      <c r="D309" t="inlineStr">
        <is>
          <t>SETTLEMENT T401 220926</t>
        </is>
      </c>
      <c r="E309" s="9" t="n">
        <v>2151.71</v>
      </c>
      <c r="F309" t="inlineStr">
        <is>
          <t>MER-20260923</t>
        </is>
      </c>
      <c r="G309" t="inlineStr">
        <is>
          <t>G00868</t>
        </is>
      </c>
      <c r="H309" t="str">
        <f>INDEX('Match Groups'!$C$5:$C$1326,MATCH(G309,'Match Groups'!$A$5:$A$1326,0))</f>
        <v>R08</v>
      </c>
      <c r="I309" t="str">
        <f>INDEX('Match Groups'!$D$5:$D$1326,MATCH(G309,'Match Groups'!$A$5:$A$1326,0))</f>
        <v>MATCH</v>
      </c>
      <c r="J309">
        <f>IF(I309="DUPIMP",0,1)</f>
        <v>1</v>
      </c>
    </row>
    <row r="310">
      <c r="A310" t="inlineStr">
        <is>
          <t>BL-01534</t>
        </is>
      </c>
      <c r="B310" t="inlineStr">
        <is>
          <t>MER</t>
        </is>
      </c>
      <c r="C310" s="5" t="n">
        <v>46288</v>
      </c>
      <c r="D310" t="inlineStr">
        <is>
          <t>SETTLEMENT T402 220926</t>
        </is>
      </c>
      <c r="E310" s="9" t="n">
        <v>3519.25</v>
      </c>
      <c r="F310" t="inlineStr">
        <is>
          <t>MER-20260923</t>
        </is>
      </c>
      <c r="G310" t="inlineStr">
        <is>
          <t>G00869</t>
        </is>
      </c>
      <c r="H310" t="str">
        <f>INDEX('Match Groups'!$C$5:$C$1326,MATCH(G310,'Match Groups'!$A$5:$A$1326,0))</f>
        <v>R08</v>
      </c>
      <c r="I310" t="str">
        <f>INDEX('Match Groups'!$D$5:$D$1326,MATCH(G310,'Match Groups'!$A$5:$A$1326,0))</f>
        <v>MATCH</v>
      </c>
      <c r="J310">
        <f>IF(I310="DUPIMP",0,1)</f>
        <v>1</v>
      </c>
    </row>
    <row r="311">
      <c r="A311" t="inlineStr">
        <is>
          <t>BL-01535</t>
        </is>
      </c>
      <c r="B311" t="inlineStr">
        <is>
          <t>MER</t>
        </is>
      </c>
      <c r="C311" s="5" t="n">
        <v>46288</v>
      </c>
      <c r="D311" t="inlineStr">
        <is>
          <t>SETTLEMENT T403 220926</t>
        </is>
      </c>
      <c r="E311" s="9" t="n">
        <v>3495.79</v>
      </c>
      <c r="F311" t="inlineStr">
        <is>
          <t>MER-20260923</t>
        </is>
      </c>
      <c r="G311" t="inlineStr">
        <is>
          <t>G00870</t>
        </is>
      </c>
      <c r="H311" t="str">
        <f>INDEX('Match Groups'!$C$5:$C$1326,MATCH(G311,'Match Groups'!$A$5:$A$1326,0))</f>
        <v>R08</v>
      </c>
      <c r="I311" t="str">
        <f>INDEX('Match Groups'!$D$5:$D$1326,MATCH(G311,'Match Groups'!$A$5:$A$1326,0))</f>
        <v>MATCH</v>
      </c>
      <c r="J311">
        <f>IF(I311="DUPIMP",0,1)</f>
        <v>1</v>
      </c>
    </row>
    <row r="312">
      <c r="A312" t="inlineStr">
        <is>
          <t>BL-01536</t>
        </is>
      </c>
      <c r="B312" t="inlineStr">
        <is>
          <t>MER</t>
        </is>
      </c>
      <c r="C312" s="5" t="n">
        <v>46288</v>
      </c>
      <c r="D312" t="inlineStr">
        <is>
          <t>SETTLEMENT T404 220926</t>
        </is>
      </c>
      <c r="E312" s="9" t="n">
        <v>1223.62</v>
      </c>
      <c r="F312" t="inlineStr">
        <is>
          <t>MER-20260923</t>
        </is>
      </c>
      <c r="G312" t="inlineStr">
        <is>
          <t>G00871</t>
        </is>
      </c>
      <c r="H312" t="str">
        <f>INDEX('Match Groups'!$C$5:$C$1326,MATCH(G312,'Match Groups'!$A$5:$A$1326,0))</f>
        <v>R08</v>
      </c>
      <c r="I312" t="str">
        <f>INDEX('Match Groups'!$D$5:$D$1326,MATCH(G312,'Match Groups'!$A$5:$A$1326,0))</f>
        <v>MATCH</v>
      </c>
      <c r="J312">
        <f>IF(I312="DUPIMP",0,1)</f>
        <v>1</v>
      </c>
    </row>
    <row r="313">
      <c r="A313" t="inlineStr">
        <is>
          <t>BL-01537</t>
        </is>
      </c>
      <c r="B313" t="inlineStr">
        <is>
          <t>MER</t>
        </is>
      </c>
      <c r="C313" s="5" t="n">
        <v>46289</v>
      </c>
      <c r="D313" t="inlineStr">
        <is>
          <t>SETTLEMENT T401 230926</t>
        </is>
      </c>
      <c r="E313" s="9" t="n">
        <v>2755.46</v>
      </c>
      <c r="F313" t="inlineStr">
        <is>
          <t>MER-20260924</t>
        </is>
      </c>
      <c r="G313" t="inlineStr">
        <is>
          <t>G00872</t>
        </is>
      </c>
      <c r="H313" t="str">
        <f>INDEX('Match Groups'!$C$5:$C$1326,MATCH(G313,'Match Groups'!$A$5:$A$1326,0))</f>
        <v>R08</v>
      </c>
      <c r="I313" t="str">
        <f>INDEX('Match Groups'!$D$5:$D$1326,MATCH(G313,'Match Groups'!$A$5:$A$1326,0))</f>
        <v>MATCH</v>
      </c>
      <c r="J313">
        <f>IF(I313="DUPIMP",0,1)</f>
        <v>1</v>
      </c>
    </row>
    <row r="314">
      <c r="A314" t="inlineStr">
        <is>
          <t>BL-01538</t>
        </is>
      </c>
      <c r="B314" t="inlineStr">
        <is>
          <t>MER</t>
        </is>
      </c>
      <c r="C314" s="5" t="n">
        <v>46289</v>
      </c>
      <c r="D314" t="inlineStr">
        <is>
          <t>SETTLEMENT T402 230926</t>
        </is>
      </c>
      <c r="E314" s="9" t="n">
        <v>2923.81</v>
      </c>
      <c r="F314" t="inlineStr">
        <is>
          <t>MER-20260924</t>
        </is>
      </c>
      <c r="G314" t="inlineStr">
        <is>
          <t>G00873</t>
        </is>
      </c>
      <c r="H314" t="str">
        <f>INDEX('Match Groups'!$C$5:$C$1326,MATCH(G314,'Match Groups'!$A$5:$A$1326,0))</f>
        <v>R08</v>
      </c>
      <c r="I314" t="str">
        <f>INDEX('Match Groups'!$D$5:$D$1326,MATCH(G314,'Match Groups'!$A$5:$A$1326,0))</f>
        <v>MATCH</v>
      </c>
      <c r="J314">
        <f>IF(I314="DUPIMP",0,1)</f>
        <v>1</v>
      </c>
    </row>
    <row r="315">
      <c r="A315" t="inlineStr">
        <is>
          <t>BL-01539</t>
        </is>
      </c>
      <c r="B315" t="inlineStr">
        <is>
          <t>MER</t>
        </is>
      </c>
      <c r="C315" s="5" t="n">
        <v>46289</v>
      </c>
      <c r="D315" t="inlineStr">
        <is>
          <t>SETTLEMENT T403 230926</t>
        </is>
      </c>
      <c r="E315" s="9" t="n">
        <v>2859.66</v>
      </c>
      <c r="F315" t="inlineStr">
        <is>
          <t>MER-20260924</t>
        </is>
      </c>
      <c r="G315" t="inlineStr">
        <is>
          <t>G00874</t>
        </is>
      </c>
      <c r="H315" t="str">
        <f>INDEX('Match Groups'!$C$5:$C$1326,MATCH(G315,'Match Groups'!$A$5:$A$1326,0))</f>
        <v>R08</v>
      </c>
      <c r="I315" t="str">
        <f>INDEX('Match Groups'!$D$5:$D$1326,MATCH(G315,'Match Groups'!$A$5:$A$1326,0))</f>
        <v>MATCH</v>
      </c>
      <c r="J315">
        <f>IF(I315="DUPIMP",0,1)</f>
        <v>1</v>
      </c>
    </row>
    <row r="316">
      <c r="A316" t="inlineStr">
        <is>
          <t>BL-01540</t>
        </is>
      </c>
      <c r="B316" t="inlineStr">
        <is>
          <t>MER</t>
        </is>
      </c>
      <c r="C316" s="5" t="n">
        <v>46289</v>
      </c>
      <c r="D316" t="inlineStr">
        <is>
          <t>SETTLEMENT T404 230926</t>
        </is>
      </c>
      <c r="E316" s="9" t="n">
        <v>2219.3</v>
      </c>
      <c r="F316" t="inlineStr">
        <is>
          <t>MER-20260924</t>
        </is>
      </c>
      <c r="G316" t="inlineStr">
        <is>
          <t>G00875</t>
        </is>
      </c>
      <c r="H316" t="str">
        <f>INDEX('Match Groups'!$C$5:$C$1326,MATCH(G316,'Match Groups'!$A$5:$A$1326,0))</f>
        <v>R08</v>
      </c>
      <c r="I316" t="str">
        <f>INDEX('Match Groups'!$D$5:$D$1326,MATCH(G316,'Match Groups'!$A$5:$A$1326,0))</f>
        <v>MATCH</v>
      </c>
      <c r="J316">
        <f>IF(I316="DUPIMP",0,1)</f>
        <v>1</v>
      </c>
    </row>
    <row r="317">
      <c r="A317" t="inlineStr">
        <is>
          <t>BL-01541</t>
        </is>
      </c>
      <c r="B317" t="inlineStr">
        <is>
          <t>MER</t>
        </is>
      </c>
      <c r="C317" s="5" t="n">
        <v>46290</v>
      </c>
      <c r="D317" t="inlineStr">
        <is>
          <t>SETTLEMENT T401 240926</t>
        </is>
      </c>
      <c r="E317" s="9" t="n">
        <v>3351.73</v>
      </c>
      <c r="F317" t="inlineStr">
        <is>
          <t>MER-20260925</t>
        </is>
      </c>
      <c r="G317" t="inlineStr">
        <is>
          <t>G00876</t>
        </is>
      </c>
      <c r="H317" t="str">
        <f>INDEX('Match Groups'!$C$5:$C$1326,MATCH(G317,'Match Groups'!$A$5:$A$1326,0))</f>
        <v>R08</v>
      </c>
      <c r="I317" t="str">
        <f>INDEX('Match Groups'!$D$5:$D$1326,MATCH(G317,'Match Groups'!$A$5:$A$1326,0))</f>
        <v>MATCH</v>
      </c>
      <c r="J317">
        <f>IF(I317="DUPIMP",0,1)</f>
        <v>1</v>
      </c>
    </row>
    <row r="318">
      <c r="A318" t="inlineStr">
        <is>
          <t>BL-01542</t>
        </is>
      </c>
      <c r="B318" t="inlineStr">
        <is>
          <t>MER</t>
        </is>
      </c>
      <c r="C318" s="5" t="n">
        <v>46290</v>
      </c>
      <c r="D318" t="inlineStr">
        <is>
          <t>SETTLEMENT T402 240926</t>
        </is>
      </c>
      <c r="E318" s="9" t="n">
        <v>2223.87</v>
      </c>
      <c r="F318" t="inlineStr">
        <is>
          <t>MER-20260925</t>
        </is>
      </c>
      <c r="G318" t="inlineStr">
        <is>
          <t>G00877</t>
        </is>
      </c>
      <c r="H318" t="str">
        <f>INDEX('Match Groups'!$C$5:$C$1326,MATCH(G318,'Match Groups'!$A$5:$A$1326,0))</f>
        <v>R08</v>
      </c>
      <c r="I318" t="str">
        <f>INDEX('Match Groups'!$D$5:$D$1326,MATCH(G318,'Match Groups'!$A$5:$A$1326,0))</f>
        <v>MATCH</v>
      </c>
      <c r="J318">
        <f>IF(I318="DUPIMP",0,1)</f>
        <v>1</v>
      </c>
    </row>
    <row r="319">
      <c r="A319" t="inlineStr">
        <is>
          <t>BL-01543</t>
        </is>
      </c>
      <c r="B319" t="inlineStr">
        <is>
          <t>MER</t>
        </is>
      </c>
      <c r="C319" s="5" t="n">
        <v>46290</v>
      </c>
      <c r="D319" t="inlineStr">
        <is>
          <t>SETTLEMENT T403 240926</t>
        </is>
      </c>
      <c r="E319" s="9" t="n">
        <v>1397.51</v>
      </c>
      <c r="F319" t="inlineStr">
        <is>
          <t>MER-20260925</t>
        </is>
      </c>
      <c r="G319" t="inlineStr">
        <is>
          <t>G00878</t>
        </is>
      </c>
      <c r="H319" t="str">
        <f>INDEX('Match Groups'!$C$5:$C$1326,MATCH(G319,'Match Groups'!$A$5:$A$1326,0))</f>
        <v>R08</v>
      </c>
      <c r="I319" t="str">
        <f>INDEX('Match Groups'!$D$5:$D$1326,MATCH(G319,'Match Groups'!$A$5:$A$1326,0))</f>
        <v>MATCH</v>
      </c>
      <c r="J319">
        <f>IF(I319="DUPIMP",0,1)</f>
        <v>1</v>
      </c>
    </row>
    <row r="320">
      <c r="A320" t="inlineStr">
        <is>
          <t>BL-01544</t>
        </is>
      </c>
      <c r="B320" t="inlineStr">
        <is>
          <t>MER</t>
        </is>
      </c>
      <c r="C320" s="5" t="n">
        <v>46290</v>
      </c>
      <c r="D320" t="inlineStr">
        <is>
          <t>SETTLEMENT T404 240926</t>
        </is>
      </c>
      <c r="E320" s="9" t="n">
        <v>1867.63</v>
      </c>
      <c r="F320" t="inlineStr">
        <is>
          <t>MER-20260925</t>
        </is>
      </c>
      <c r="G320" t="inlineStr">
        <is>
          <t>G00879</t>
        </is>
      </c>
      <c r="H320" t="str">
        <f>INDEX('Match Groups'!$C$5:$C$1326,MATCH(G320,'Match Groups'!$A$5:$A$1326,0))</f>
        <v>R08</v>
      </c>
      <c r="I320" t="str">
        <f>INDEX('Match Groups'!$D$5:$D$1326,MATCH(G320,'Match Groups'!$A$5:$A$1326,0))</f>
        <v>MATCH</v>
      </c>
      <c r="J320">
        <f>IF(I320="DUPIMP",0,1)</f>
        <v>1</v>
      </c>
    </row>
    <row r="321">
      <c r="A321" t="inlineStr">
        <is>
          <t>BL-01545</t>
        </is>
      </c>
      <c r="B321" t="inlineStr">
        <is>
          <t>MER</t>
        </is>
      </c>
      <c r="C321" s="5" t="n">
        <v>46293</v>
      </c>
      <c r="D321" t="inlineStr">
        <is>
          <t>SETTLEMENT T401 250926</t>
        </is>
      </c>
      <c r="E321" s="9" t="n">
        <v>2888.48</v>
      </c>
      <c r="F321" t="inlineStr">
        <is>
          <t>MER-20260928</t>
        </is>
      </c>
      <c r="G321" t="inlineStr">
        <is>
          <t>G00880</t>
        </is>
      </c>
      <c r="H321" t="str">
        <f>INDEX('Match Groups'!$C$5:$C$1326,MATCH(G321,'Match Groups'!$A$5:$A$1326,0))</f>
        <v>R08</v>
      </c>
      <c r="I321" t="str">
        <f>INDEX('Match Groups'!$D$5:$D$1326,MATCH(G321,'Match Groups'!$A$5:$A$1326,0))</f>
        <v>MATCH</v>
      </c>
      <c r="J321">
        <f>IF(I321="DUPIMP",0,1)</f>
        <v>1</v>
      </c>
    </row>
    <row r="322">
      <c r="A322" t="inlineStr">
        <is>
          <t>BL-01546</t>
        </is>
      </c>
      <c r="B322" t="inlineStr">
        <is>
          <t>MER</t>
        </is>
      </c>
      <c r="C322" s="5" t="n">
        <v>46293</v>
      </c>
      <c r="D322" t="inlineStr">
        <is>
          <t>SETTLEMENT T402 250926</t>
        </is>
      </c>
      <c r="E322" s="9" t="n">
        <v>2497.41</v>
      </c>
      <c r="F322" t="inlineStr">
        <is>
          <t>MER-20260928</t>
        </is>
      </c>
      <c r="G322" t="inlineStr">
        <is>
          <t>G00881</t>
        </is>
      </c>
      <c r="H322" t="str">
        <f>INDEX('Match Groups'!$C$5:$C$1326,MATCH(G322,'Match Groups'!$A$5:$A$1326,0))</f>
        <v>R08</v>
      </c>
      <c r="I322" t="str">
        <f>INDEX('Match Groups'!$D$5:$D$1326,MATCH(G322,'Match Groups'!$A$5:$A$1326,0))</f>
        <v>MATCH</v>
      </c>
      <c r="J322">
        <f>IF(I322="DUPIMP",0,1)</f>
        <v>1</v>
      </c>
    </row>
    <row r="323">
      <c r="A323" t="inlineStr">
        <is>
          <t>BL-01547</t>
        </is>
      </c>
      <c r="B323" t="inlineStr">
        <is>
          <t>MER</t>
        </is>
      </c>
      <c r="C323" s="5" t="n">
        <v>46293</v>
      </c>
      <c r="D323" t="inlineStr">
        <is>
          <t>SETTLEMENT T403 250926</t>
        </is>
      </c>
      <c r="E323" s="9" t="n">
        <v>2758.33</v>
      </c>
      <c r="F323" t="inlineStr">
        <is>
          <t>MER-20260928</t>
        </is>
      </c>
      <c r="G323" t="inlineStr">
        <is>
          <t>G00882</t>
        </is>
      </c>
      <c r="H323" t="str">
        <f>INDEX('Match Groups'!$C$5:$C$1326,MATCH(G323,'Match Groups'!$A$5:$A$1326,0))</f>
        <v>R08</v>
      </c>
      <c r="I323" t="str">
        <f>INDEX('Match Groups'!$D$5:$D$1326,MATCH(G323,'Match Groups'!$A$5:$A$1326,0))</f>
        <v>MATCH</v>
      </c>
      <c r="J323">
        <f>IF(I323="DUPIMP",0,1)</f>
        <v>1</v>
      </c>
    </row>
    <row r="324">
      <c r="A324" t="inlineStr">
        <is>
          <t>BL-01548</t>
        </is>
      </c>
      <c r="B324" t="inlineStr">
        <is>
          <t>MER</t>
        </is>
      </c>
      <c r="C324" s="5" t="n">
        <v>46293</v>
      </c>
      <c r="D324" t="inlineStr">
        <is>
          <t>SETTLEMENT T404 250926</t>
        </is>
      </c>
      <c r="E324" s="9" t="n">
        <v>3384.53</v>
      </c>
      <c r="F324" t="inlineStr">
        <is>
          <t>MER-20260928</t>
        </is>
      </c>
      <c r="G324" t="inlineStr">
        <is>
          <t>G00883</t>
        </is>
      </c>
      <c r="H324" t="str">
        <f>INDEX('Match Groups'!$C$5:$C$1326,MATCH(G324,'Match Groups'!$A$5:$A$1326,0))</f>
        <v>R08</v>
      </c>
      <c r="I324" t="str">
        <f>INDEX('Match Groups'!$D$5:$D$1326,MATCH(G324,'Match Groups'!$A$5:$A$1326,0))</f>
        <v>MATCH</v>
      </c>
      <c r="J324">
        <f>IF(I324="DUPIMP",0,1)</f>
        <v>1</v>
      </c>
    </row>
    <row r="325">
      <c r="A325" t="inlineStr">
        <is>
          <t>BL-01549</t>
        </is>
      </c>
      <c r="B325" t="inlineStr">
        <is>
          <t>MER</t>
        </is>
      </c>
      <c r="C325" s="5" t="n">
        <v>46293</v>
      </c>
      <c r="D325" t="inlineStr">
        <is>
          <t>SETTLEMENT T401 260926</t>
        </is>
      </c>
      <c r="E325" s="9" t="n">
        <v>988.91</v>
      </c>
      <c r="F325" t="inlineStr">
        <is>
          <t>MER-20260928</t>
        </is>
      </c>
      <c r="G325" t="inlineStr">
        <is>
          <t>G00884</t>
        </is>
      </c>
      <c r="H325" t="str">
        <f>INDEX('Match Groups'!$C$5:$C$1326,MATCH(G325,'Match Groups'!$A$5:$A$1326,0))</f>
        <v>R08</v>
      </c>
      <c r="I325" t="str">
        <f>INDEX('Match Groups'!$D$5:$D$1326,MATCH(G325,'Match Groups'!$A$5:$A$1326,0))</f>
        <v>MATCH</v>
      </c>
      <c r="J325">
        <f>IF(I325="DUPIMP",0,1)</f>
        <v>1</v>
      </c>
    </row>
    <row r="326">
      <c r="A326" t="inlineStr">
        <is>
          <t>BL-01550</t>
        </is>
      </c>
      <c r="B326" t="inlineStr">
        <is>
          <t>MER</t>
        </is>
      </c>
      <c r="C326" s="5" t="n">
        <v>46293</v>
      </c>
      <c r="D326" t="inlineStr">
        <is>
          <t>SETTLEMENT T402 260926</t>
        </is>
      </c>
      <c r="E326" s="9" t="n">
        <v>1010.05</v>
      </c>
      <c r="F326" t="inlineStr">
        <is>
          <t>MER-20260928</t>
        </is>
      </c>
      <c r="G326" t="inlineStr">
        <is>
          <t>G00885</t>
        </is>
      </c>
      <c r="H326" t="str">
        <f>INDEX('Match Groups'!$C$5:$C$1326,MATCH(G326,'Match Groups'!$A$5:$A$1326,0))</f>
        <v>R08</v>
      </c>
      <c r="I326" t="str">
        <f>INDEX('Match Groups'!$D$5:$D$1326,MATCH(G326,'Match Groups'!$A$5:$A$1326,0))</f>
        <v>MATCH</v>
      </c>
      <c r="J326">
        <f>IF(I326="DUPIMP",0,1)</f>
        <v>1</v>
      </c>
    </row>
    <row r="327">
      <c r="A327" t="inlineStr">
        <is>
          <t>BL-01551</t>
        </is>
      </c>
      <c r="B327" t="inlineStr">
        <is>
          <t>MER</t>
        </is>
      </c>
      <c r="C327" s="5" t="n">
        <v>46293</v>
      </c>
      <c r="D327" t="inlineStr">
        <is>
          <t>SETTLEMENT T403 260926</t>
        </is>
      </c>
      <c r="E327" s="9" t="n">
        <v>750.4299999999999</v>
      </c>
      <c r="F327" t="inlineStr">
        <is>
          <t>MER-20260928</t>
        </is>
      </c>
      <c r="G327" t="inlineStr">
        <is>
          <t>G00886</t>
        </is>
      </c>
      <c r="H327" t="str">
        <f>INDEX('Match Groups'!$C$5:$C$1326,MATCH(G327,'Match Groups'!$A$5:$A$1326,0))</f>
        <v>R08</v>
      </c>
      <c r="I327" t="str">
        <f>INDEX('Match Groups'!$D$5:$D$1326,MATCH(G327,'Match Groups'!$A$5:$A$1326,0))</f>
        <v>MATCH</v>
      </c>
      <c r="J327">
        <f>IF(I327="DUPIMP",0,1)</f>
        <v>1</v>
      </c>
    </row>
    <row r="328">
      <c r="A328" t="inlineStr">
        <is>
          <t>BL-01552</t>
        </is>
      </c>
      <c r="B328" t="inlineStr">
        <is>
          <t>MER</t>
        </is>
      </c>
      <c r="C328" s="5" t="n">
        <v>46293</v>
      </c>
      <c r="D328" t="inlineStr">
        <is>
          <t>SETTLEMENT T404 260926</t>
        </is>
      </c>
      <c r="E328" s="9" t="n">
        <v>687.51</v>
      </c>
      <c r="F328" t="inlineStr">
        <is>
          <t>MER-20260928</t>
        </is>
      </c>
      <c r="G328" t="inlineStr">
        <is>
          <t>G00887</t>
        </is>
      </c>
      <c r="H328" t="str">
        <f>INDEX('Match Groups'!$C$5:$C$1326,MATCH(G328,'Match Groups'!$A$5:$A$1326,0))</f>
        <v>R08</v>
      </c>
      <c r="I328" t="str">
        <f>INDEX('Match Groups'!$D$5:$D$1326,MATCH(G328,'Match Groups'!$A$5:$A$1326,0))</f>
        <v>MATCH</v>
      </c>
      <c r="J328">
        <f>IF(I328="DUPIMP",0,1)</f>
        <v>1</v>
      </c>
    </row>
    <row r="329">
      <c r="A329" t="inlineStr">
        <is>
          <t>BL-01585</t>
        </is>
      </c>
      <c r="B329" t="inlineStr">
        <is>
          <t>MER</t>
        </is>
      </c>
      <c r="C329" s="5" t="n">
        <v>46293</v>
      </c>
      <c r="D329" t="inlineStr">
        <is>
          <t>SWEEP TO OPERATING</t>
        </is>
      </c>
      <c r="E329" s="9" t="n">
        <v>-34000</v>
      </c>
      <c r="F329" t="inlineStr">
        <is>
          <t>MER-20260928</t>
        </is>
      </c>
      <c r="G329" t="inlineStr">
        <is>
          <t>G00888</t>
        </is>
      </c>
      <c r="H329" t="str">
        <f>INDEX('Match Groups'!$C$5:$C$1326,MATCH(G329,'Match Groups'!$A$5:$A$1326,0))</f>
        <v>R04</v>
      </c>
      <c r="I329" t="str">
        <f>INDEX('Match Groups'!$D$5:$D$1326,MATCH(G329,'Match Groups'!$A$5:$A$1326,0))</f>
        <v>MATCH</v>
      </c>
      <c r="J329">
        <f>IF(I329="DUPIMP",0,1)</f>
        <v>1</v>
      </c>
    </row>
    <row r="330">
      <c r="A330" t="inlineStr">
        <is>
          <t>BL-01553</t>
        </is>
      </c>
      <c r="B330" t="inlineStr">
        <is>
          <t>MER</t>
        </is>
      </c>
      <c r="C330" s="5" t="n">
        <v>46294</v>
      </c>
      <c r="D330" t="inlineStr">
        <is>
          <t>SETTLEMENT T401 280926</t>
        </is>
      </c>
      <c r="E330" s="9" t="n">
        <v>2816.08</v>
      </c>
      <c r="F330" t="inlineStr">
        <is>
          <t>MER-20260929</t>
        </is>
      </c>
      <c r="G330" t="inlineStr">
        <is>
          <t>G00889</t>
        </is>
      </c>
      <c r="H330" t="str">
        <f>INDEX('Match Groups'!$C$5:$C$1326,MATCH(G330,'Match Groups'!$A$5:$A$1326,0))</f>
        <v>R08</v>
      </c>
      <c r="I330" t="str">
        <f>INDEX('Match Groups'!$D$5:$D$1326,MATCH(G330,'Match Groups'!$A$5:$A$1326,0))</f>
        <v>MATCH</v>
      </c>
      <c r="J330">
        <f>IF(I330="DUPIMP",0,1)</f>
        <v>1</v>
      </c>
    </row>
    <row r="331">
      <c r="A331" t="inlineStr">
        <is>
          <t>BL-01554</t>
        </is>
      </c>
      <c r="B331" t="inlineStr">
        <is>
          <t>MER</t>
        </is>
      </c>
      <c r="C331" s="5" t="n">
        <v>46294</v>
      </c>
      <c r="D331" t="inlineStr">
        <is>
          <t>SETTLEMENT T402 280926</t>
        </is>
      </c>
      <c r="E331" s="9" t="n">
        <v>2813.81</v>
      </c>
      <c r="F331" t="inlineStr">
        <is>
          <t>MER-20260929</t>
        </is>
      </c>
      <c r="G331" t="inlineStr">
        <is>
          <t>G00890</t>
        </is>
      </c>
      <c r="H331" t="str">
        <f>INDEX('Match Groups'!$C$5:$C$1326,MATCH(G331,'Match Groups'!$A$5:$A$1326,0))</f>
        <v>R08</v>
      </c>
      <c r="I331" t="str">
        <f>INDEX('Match Groups'!$D$5:$D$1326,MATCH(G331,'Match Groups'!$A$5:$A$1326,0))</f>
        <v>MATCH</v>
      </c>
      <c r="J331">
        <f>IF(I331="DUPIMP",0,1)</f>
        <v>1</v>
      </c>
    </row>
    <row r="332">
      <c r="A332" t="inlineStr">
        <is>
          <t>BL-01555</t>
        </is>
      </c>
      <c r="B332" t="inlineStr">
        <is>
          <t>MER</t>
        </is>
      </c>
      <c r="C332" s="5" t="n">
        <v>46294</v>
      </c>
      <c r="D332" t="inlineStr">
        <is>
          <t>SETTLEMENT T403 280926</t>
        </is>
      </c>
      <c r="E332" s="9" t="n">
        <v>2085.46</v>
      </c>
      <c r="F332" t="inlineStr">
        <is>
          <t>MER-20260929</t>
        </is>
      </c>
      <c r="G332" t="inlineStr">
        <is>
          <t>G00891</t>
        </is>
      </c>
      <c r="H332" t="str">
        <f>INDEX('Match Groups'!$C$5:$C$1326,MATCH(G332,'Match Groups'!$A$5:$A$1326,0))</f>
        <v>R08</v>
      </c>
      <c r="I332" t="str">
        <f>INDEX('Match Groups'!$D$5:$D$1326,MATCH(G332,'Match Groups'!$A$5:$A$1326,0))</f>
        <v>MATCH</v>
      </c>
      <c r="J332">
        <f>IF(I332="DUPIMP",0,1)</f>
        <v>1</v>
      </c>
    </row>
    <row r="333">
      <c r="A333" t="inlineStr">
        <is>
          <t>BL-01556</t>
        </is>
      </c>
      <c r="B333" t="inlineStr">
        <is>
          <t>MER</t>
        </is>
      </c>
      <c r="C333" s="5" t="n">
        <v>46294</v>
      </c>
      <c r="D333" t="inlineStr">
        <is>
          <t>SETTLEMENT T404 280926</t>
        </is>
      </c>
      <c r="E333" s="9" t="n">
        <v>3246.85</v>
      </c>
      <c r="F333" t="inlineStr">
        <is>
          <t>MER-20260929</t>
        </is>
      </c>
      <c r="G333" t="inlineStr">
        <is>
          <t>G00892</t>
        </is>
      </c>
      <c r="H333" t="str">
        <f>INDEX('Match Groups'!$C$5:$C$1326,MATCH(G333,'Match Groups'!$A$5:$A$1326,0))</f>
        <v>R08</v>
      </c>
      <c r="I333" t="str">
        <f>INDEX('Match Groups'!$D$5:$D$1326,MATCH(G333,'Match Groups'!$A$5:$A$1326,0))</f>
        <v>MATCH</v>
      </c>
      <c r="J333">
        <f>IF(I333="DUPIMP",0,1)</f>
        <v>1</v>
      </c>
    </row>
    <row r="334">
      <c r="A334" t="inlineStr">
        <is>
          <t>BL-01557</t>
        </is>
      </c>
      <c r="B334" t="inlineStr">
        <is>
          <t>MER</t>
        </is>
      </c>
      <c r="C334" s="5" t="n">
        <v>46295</v>
      </c>
      <c r="D334" t="inlineStr">
        <is>
          <t>SETTLEMENT T401 290926</t>
        </is>
      </c>
      <c r="E334" s="9" t="n">
        <v>3167.28</v>
      </c>
      <c r="F334" t="inlineStr">
        <is>
          <t>MER-20260930</t>
        </is>
      </c>
      <c r="G334" t="inlineStr">
        <is>
          <t>G00893</t>
        </is>
      </c>
      <c r="H334" t="str">
        <f>INDEX('Match Groups'!$C$5:$C$1326,MATCH(G334,'Match Groups'!$A$5:$A$1326,0))</f>
        <v>R08</v>
      </c>
      <c r="I334" t="str">
        <f>INDEX('Match Groups'!$D$5:$D$1326,MATCH(G334,'Match Groups'!$A$5:$A$1326,0))</f>
        <v>MATCH</v>
      </c>
      <c r="J334">
        <f>IF(I334="DUPIMP",0,1)</f>
        <v>1</v>
      </c>
    </row>
    <row r="335">
      <c r="A335" t="inlineStr">
        <is>
          <t>BL-01558</t>
        </is>
      </c>
      <c r="B335" t="inlineStr">
        <is>
          <t>MER</t>
        </is>
      </c>
      <c r="C335" s="5" t="n">
        <v>46295</v>
      </c>
      <c r="D335" t="inlineStr">
        <is>
          <t>SETTLEMENT T402 290926</t>
        </is>
      </c>
      <c r="E335" s="9" t="n">
        <v>1541.19</v>
      </c>
      <c r="F335" t="inlineStr">
        <is>
          <t>MER-20260930</t>
        </is>
      </c>
      <c r="G335" t="inlineStr">
        <is>
          <t>G00894</t>
        </is>
      </c>
      <c r="H335" t="str">
        <f>INDEX('Match Groups'!$C$5:$C$1326,MATCH(G335,'Match Groups'!$A$5:$A$1326,0))</f>
        <v>R08</v>
      </c>
      <c r="I335" t="str">
        <f>INDEX('Match Groups'!$D$5:$D$1326,MATCH(G335,'Match Groups'!$A$5:$A$1326,0))</f>
        <v>MATCH</v>
      </c>
      <c r="J335">
        <f>IF(I335="DUPIMP",0,1)</f>
        <v>1</v>
      </c>
    </row>
    <row r="336">
      <c r="A336" t="inlineStr">
        <is>
          <t>BL-01559</t>
        </is>
      </c>
      <c r="B336" t="inlineStr">
        <is>
          <t>MER</t>
        </is>
      </c>
      <c r="C336" s="5" t="n">
        <v>46295</v>
      </c>
      <c r="D336" t="inlineStr">
        <is>
          <t>SETTLEMENT T403 290926</t>
        </is>
      </c>
      <c r="E336" s="9" t="n">
        <v>1692.56</v>
      </c>
      <c r="F336" t="inlineStr">
        <is>
          <t>MER-20260930</t>
        </is>
      </c>
      <c r="G336" t="inlineStr">
        <is>
          <t>G00895</t>
        </is>
      </c>
      <c r="H336" t="str">
        <f>INDEX('Match Groups'!$C$5:$C$1326,MATCH(G336,'Match Groups'!$A$5:$A$1326,0))</f>
        <v>R08</v>
      </c>
      <c r="I336" t="str">
        <f>INDEX('Match Groups'!$D$5:$D$1326,MATCH(G336,'Match Groups'!$A$5:$A$1326,0))</f>
        <v>MATCH</v>
      </c>
      <c r="J336">
        <f>IF(I336="DUPIMP",0,1)</f>
        <v>1</v>
      </c>
    </row>
    <row r="337">
      <c r="A337" t="inlineStr">
        <is>
          <t>BL-01560</t>
        </is>
      </c>
      <c r="B337" t="inlineStr">
        <is>
          <t>MER</t>
        </is>
      </c>
      <c r="C337" s="5" t="n">
        <v>46295</v>
      </c>
      <c r="D337" t="inlineStr">
        <is>
          <t>SETTLEMENT T404 290926</t>
        </is>
      </c>
      <c r="E337" s="9" t="n">
        <v>3070.44</v>
      </c>
      <c r="F337" t="inlineStr">
        <is>
          <t>MER-20260930</t>
        </is>
      </c>
      <c r="G337" t="inlineStr">
        <is>
          <t>G00896</t>
        </is>
      </c>
      <c r="H337" t="str">
        <f>INDEX('Match Groups'!$C$5:$C$1326,MATCH(G337,'Match Groups'!$A$5:$A$1326,0))</f>
        <v>R08</v>
      </c>
      <c r="I337" t="str">
        <f>INDEX('Match Groups'!$D$5:$D$1326,MATCH(G337,'Match Groups'!$A$5:$A$1326,0))</f>
        <v>MATCH</v>
      </c>
      <c r="J337">
        <f>IF(I337="DUPIMP",0,1)</f>
        <v>1</v>
      </c>
    </row>
    <row r="338">
      <c r="A338" t="inlineStr">
        <is>
          <t>BL-01589</t>
        </is>
      </c>
      <c r="B338" t="inlineStr">
        <is>
          <t>MER</t>
        </is>
      </c>
      <c r="C338" s="5" t="n">
        <v>46295</v>
      </c>
      <c r="D338" t="inlineStr">
        <is>
          <t>MERCHANT SERVICE FEE SEP26</t>
        </is>
      </c>
      <c r="E338" s="9" t="n">
        <v>-2295.11</v>
      </c>
      <c r="F338" t="inlineStr">
        <is>
          <t>MER-20260930</t>
        </is>
      </c>
      <c r="G338" t="inlineStr">
        <is>
          <t>G01226</t>
        </is>
      </c>
      <c r="H338" t="str">
        <f>INDEX('Match Groups'!$C$5:$C$1326,MATCH(G338,'Match Groups'!$A$5:$A$1326,0))</f>
        <v>R12</v>
      </c>
      <c r="I338" t="str">
        <f>INDEX('Match Groups'!$D$5:$D$1326,MATCH(G338,'Match Groups'!$A$5:$A$1326,0))</f>
        <v>MERCH</v>
      </c>
      <c r="J338">
        <f>IF(I338="DUPIMP",0,1)</f>
        <v>1</v>
      </c>
    </row>
    <row r="339">
      <c r="A339" t="inlineStr">
        <is>
          <t>BL-00003</t>
        </is>
      </c>
      <c r="B339" t="inlineStr">
        <is>
          <t>OPS</t>
        </is>
      </c>
      <c r="C339" s="5" t="n">
        <v>46204</v>
      </c>
      <c r="D339" t="inlineStr">
        <is>
          <t>DIRECT CREDIT HARBOUR MUTUAL HEALTH INV 1388</t>
        </is>
      </c>
      <c r="E339" s="9" t="n">
        <v>2364</v>
      </c>
      <c r="F339" t="inlineStr">
        <is>
          <t>OPS-20260701</t>
        </is>
      </c>
      <c r="G339" t="inlineStr">
        <is>
          <t>G00900</t>
        </is>
      </c>
      <c r="H339" t="str">
        <f>INDEX('Match Groups'!$C$5:$C$1326,MATCH(G339,'Match Groups'!$A$5:$A$1326,0))</f>
        <v>R09</v>
      </c>
      <c r="I339" t="str">
        <f>INDEX('Match Groups'!$D$5:$D$1326,MATCH(G339,'Match Groups'!$A$5:$A$1326,0))</f>
        <v>MATCH</v>
      </c>
      <c r="J339">
        <f>IF(I339="DUPIMP",0,1)</f>
        <v>1</v>
      </c>
    </row>
    <row r="340">
      <c r="A340" t="inlineStr">
        <is>
          <t>BL-00004</t>
        </is>
      </c>
      <c r="B340" t="inlineStr">
        <is>
          <t>OPS</t>
        </is>
      </c>
      <c r="C340" s="5" t="n">
        <v>46204</v>
      </c>
      <c r="D340" t="inlineStr">
        <is>
          <t>DIRECT CREDIT RIVERBEND PLAN PARTN RA44801</t>
        </is>
      </c>
      <c r="E340" s="9" t="n">
        <v>1140.59</v>
      </c>
      <c r="F340" t="inlineStr">
        <is>
          <t>OPS-20260701</t>
        </is>
      </c>
      <c r="G340" t="inlineStr">
        <is>
          <t>G00080</t>
        </is>
      </c>
      <c r="H340" t="str">
        <f>INDEX('Match Groups'!$C$5:$C$1326,MATCH(G340,'Match Groups'!$A$5:$A$1326,0))</f>
        <v>R03</v>
      </c>
      <c r="I340" t="str">
        <f>INDEX('Match Groups'!$D$5:$D$1326,MATCH(G340,'Match Groups'!$A$5:$A$1326,0))</f>
        <v>SHORT</v>
      </c>
      <c r="J340">
        <f>IF(I340="DUPIMP",0,1)</f>
        <v>1</v>
      </c>
    </row>
    <row r="341">
      <c r="A341" t="inlineStr">
        <is>
          <t>BL-00005</t>
        </is>
      </c>
      <c r="B341" t="inlineStr">
        <is>
          <t>OPS</t>
        </is>
      </c>
      <c r="C341" s="5" t="n">
        <v>46204</v>
      </c>
      <c r="D341" t="inlineStr">
        <is>
          <t>DIRECT CREDIT BANKSIA PLAN CO RA44802</t>
        </is>
      </c>
      <c r="E341" s="9" t="n">
        <v>1445.23</v>
      </c>
      <c r="F341" t="inlineStr">
        <is>
          <t>OPS-20260701</t>
        </is>
      </c>
      <c r="G341" t="inlineStr">
        <is>
          <t>G00081</t>
        </is>
      </c>
      <c r="H341" t="str">
        <f>INDEX('Match Groups'!$C$5:$C$1326,MATCH(G341,'Match Groups'!$A$5:$A$1326,0))</f>
        <v>R03</v>
      </c>
      <c r="I341" t="str">
        <f>INDEX('Match Groups'!$D$5:$D$1326,MATCH(G341,'Match Groups'!$A$5:$A$1326,0))</f>
        <v>MATCH</v>
      </c>
      <c r="J341">
        <f>IF(I341="DUPIMP",0,1)</f>
        <v>1</v>
      </c>
    </row>
    <row r="342">
      <c r="A342" t="inlineStr">
        <is>
          <t>BL-00006</t>
        </is>
      </c>
      <c r="B342" t="inlineStr">
        <is>
          <t>OPS</t>
        </is>
      </c>
      <c r="C342" s="5" t="n">
        <v>46204</v>
      </c>
      <c r="D342" t="inlineStr">
        <is>
          <t>DIRECT CREDIT IRONBARK PLAN MANA RA44803</t>
        </is>
      </c>
      <c r="E342" s="9" t="n">
        <v>2892.24</v>
      </c>
      <c r="F342" t="inlineStr">
        <is>
          <t>OPS-20260701</t>
        </is>
      </c>
      <c r="G342" t="inlineStr">
        <is>
          <t>G00082</t>
        </is>
      </c>
      <c r="H342" t="str">
        <f>INDEX('Match Groups'!$C$5:$C$1326,MATCH(G342,'Match Groups'!$A$5:$A$1326,0))</f>
        <v>R03</v>
      </c>
      <c r="I342" t="str">
        <f>INDEX('Match Groups'!$D$5:$D$1326,MATCH(G342,'Match Groups'!$A$5:$A$1326,0))</f>
        <v>MATCH</v>
      </c>
      <c r="J342">
        <f>IF(I342="DUPIMP",0,1)</f>
        <v>1</v>
      </c>
    </row>
    <row r="343">
      <c r="A343" t="inlineStr">
        <is>
          <t>BL-00007</t>
        </is>
      </c>
      <c r="B343" t="inlineStr">
        <is>
          <t>OPS</t>
        </is>
      </c>
      <c r="C343" s="5" t="n">
        <v>46204</v>
      </c>
      <c r="D343" t="inlineStr">
        <is>
          <t>DIRECT CREDIT TALLOWWOOD PLANS RA44804</t>
        </is>
      </c>
      <c r="E343" s="9" t="n">
        <v>379.18</v>
      </c>
      <c r="F343" t="inlineStr">
        <is>
          <t>OPS-20260701</t>
        </is>
      </c>
      <c r="G343" t="inlineStr">
        <is>
          <t>G00083</t>
        </is>
      </c>
      <c r="H343" t="str">
        <f>INDEX('Match Groups'!$C$5:$C$1326,MATCH(G343,'Match Groups'!$A$5:$A$1326,0))</f>
        <v>R03</v>
      </c>
      <c r="I343" t="str">
        <f>INDEX('Match Groups'!$D$5:$D$1326,MATCH(G343,'Match Groups'!$A$5:$A$1326,0))</f>
        <v>MATCH</v>
      </c>
      <c r="J343">
        <f>IF(I343="DUPIMP",0,1)</f>
        <v>1</v>
      </c>
    </row>
    <row r="344">
      <c r="A344" t="inlineStr">
        <is>
          <t>BL-00008</t>
        </is>
      </c>
      <c r="B344" t="inlineStr">
        <is>
          <t>OPS</t>
        </is>
      </c>
      <c r="C344" s="5" t="n">
        <v>46204</v>
      </c>
      <c r="D344" t="inlineStr">
        <is>
          <t>DIRECT CREDIT ACACIA PLAN PARTNE RA44805</t>
        </is>
      </c>
      <c r="E344" s="9" t="n">
        <v>969.9299999999999</v>
      </c>
      <c r="F344" t="inlineStr">
        <is>
          <t>OPS-20260701</t>
        </is>
      </c>
      <c r="G344" t="inlineStr">
        <is>
          <t>G00084</t>
        </is>
      </c>
      <c r="H344" t="str">
        <f>INDEX('Match Groups'!$C$5:$C$1326,MATCH(G344,'Match Groups'!$A$5:$A$1326,0))</f>
        <v>R03</v>
      </c>
      <c r="I344" t="str">
        <f>INDEX('Match Groups'!$D$5:$D$1326,MATCH(G344,'Match Groups'!$A$5:$A$1326,0))</f>
        <v>REG</v>
      </c>
      <c r="J344">
        <f>IF(I344="DUPIMP",0,1)</f>
        <v>1</v>
      </c>
    </row>
    <row r="345">
      <c r="A345" t="inlineStr">
        <is>
          <t>BL-00009</t>
        </is>
      </c>
      <c r="B345" t="inlineStr">
        <is>
          <t>OPS</t>
        </is>
      </c>
      <c r="C345" s="5" t="n">
        <v>46204</v>
      </c>
      <c r="D345" t="inlineStr">
        <is>
          <t>DIRECT CREDIT MALLEEPLANSERVIC RA44806</t>
        </is>
      </c>
      <c r="E345" s="9" t="n">
        <v>300.68</v>
      </c>
      <c r="F345" t="inlineStr">
        <is>
          <t>OPS-20260701</t>
        </is>
      </c>
      <c r="G345" t="inlineStr">
        <is>
          <t>G00085</t>
        </is>
      </c>
      <c r="H345" t="str">
        <f>INDEX('Match Groups'!$C$5:$C$1326,MATCH(G345,'Match Groups'!$A$5:$A$1326,0))</f>
        <v>R03</v>
      </c>
      <c r="I345" t="str">
        <f>INDEX('Match Groups'!$D$5:$D$1326,MATCH(G345,'Match Groups'!$A$5:$A$1326,0))</f>
        <v>MATCH</v>
      </c>
      <c r="J345">
        <f>IF(I345="DUPIMP",0,1)</f>
        <v>1</v>
      </c>
    </row>
    <row r="346">
      <c r="A346" t="inlineStr">
        <is>
          <t>BL-00449</t>
        </is>
      </c>
      <c r="B346" t="inlineStr">
        <is>
          <t>OPS</t>
        </is>
      </c>
      <c r="C346" s="5" t="n">
        <v>46204</v>
      </c>
      <c r="D346" t="inlineStr">
        <is>
          <t>DIRECT CREDIT COASTLINE HEALTH F CLM5843803 INV01728</t>
        </is>
      </c>
      <c r="E346" s="9" t="n">
        <v>132</v>
      </c>
      <c r="F346" t="inlineStr">
        <is>
          <t>OPS-20260701</t>
        </is>
      </c>
      <c r="G346" t="inlineStr">
        <is>
          <t>G00901</t>
        </is>
      </c>
      <c r="H346" t="str">
        <f>INDEX('Match Groups'!$C$5:$C$1326,MATCH(G346,'Match Groups'!$A$5:$A$1326,0))</f>
        <v>R09</v>
      </c>
      <c r="I346" t="str">
        <f>INDEX('Match Groups'!$D$5:$D$1326,MATCH(G346,'Match Groups'!$A$5:$A$1326,0))</f>
        <v>MATCH</v>
      </c>
      <c r="J346">
        <f>IF(I346="DUPIMP",0,1)</f>
        <v>1</v>
      </c>
    </row>
    <row r="347">
      <c r="A347" t="inlineStr">
        <is>
          <t>BL-00464</t>
        </is>
      </c>
      <c r="B347" t="inlineStr">
        <is>
          <t>OPS</t>
        </is>
      </c>
      <c r="C347" s="5" t="n">
        <v>46204</v>
      </c>
      <c r="D347" t="inlineStr">
        <is>
          <t>DIRECT CREDIT UNITY WORKCOVER AGENTS CLM5746362 INV 1635</t>
        </is>
      </c>
      <c r="E347" s="9" t="n">
        <v>264</v>
      </c>
      <c r="F347" t="inlineStr">
        <is>
          <t>OPS-20260701</t>
        </is>
      </c>
      <c r="G347" t="inlineStr">
        <is>
          <t>G00902</t>
        </is>
      </c>
      <c r="H347" t="str">
        <f>INDEX('Match Groups'!$C$5:$C$1326,MATCH(G347,'Match Groups'!$A$5:$A$1326,0))</f>
        <v>R09</v>
      </c>
      <c r="I347" t="str">
        <f>INDEX('Match Groups'!$D$5:$D$1326,MATCH(G347,'Match Groups'!$A$5:$A$1326,0))</f>
        <v>MATCH</v>
      </c>
      <c r="J347">
        <f>IF(I347="DUPIMP",0,1)</f>
        <v>1</v>
      </c>
    </row>
    <row r="348">
      <c r="A348" t="inlineStr">
        <is>
          <t>BL-00487</t>
        </is>
      </c>
      <c r="B348" t="inlineStr">
        <is>
          <t>OPS</t>
        </is>
      </c>
      <c r="C348" s="5" t="n">
        <v>46204</v>
      </c>
      <c r="D348" t="inlineStr">
        <is>
          <t>DIRECT CREDIT PINNACLECLAIMSSE CLM5923534 INV/2026/01660</t>
        </is>
      </c>
      <c r="E348" s="9" t="n">
        <v>132</v>
      </c>
      <c r="F348" t="inlineStr">
        <is>
          <t>OPS-20260701</t>
        </is>
      </c>
      <c r="G348" t="inlineStr">
        <is>
          <t>G00903</t>
        </is>
      </c>
      <c r="H348" t="str">
        <f>INDEX('Match Groups'!$C$5:$C$1326,MATCH(G348,'Match Groups'!$A$5:$A$1326,0))</f>
        <v>R09</v>
      </c>
      <c r="I348" t="str">
        <f>INDEX('Match Groups'!$D$5:$D$1326,MATCH(G348,'Match Groups'!$A$5:$A$1326,0))</f>
        <v>MATCH</v>
      </c>
      <c r="J348">
        <f>IF(I348="DUPIMP",0,1)</f>
        <v>1</v>
      </c>
    </row>
    <row r="349">
      <c r="A349" t="inlineStr">
        <is>
          <t>BL-00659</t>
        </is>
      </c>
      <c r="B349" t="inlineStr">
        <is>
          <t>OPS</t>
        </is>
      </c>
      <c r="C349" s="5" t="n">
        <v>46204</v>
      </c>
      <c r="D349" t="inlineStr">
        <is>
          <t>DIRECT CREDIT MORNANE ELECTRICAL PTY INV 3452</t>
        </is>
      </c>
      <c r="E349" s="9" t="n">
        <v>1320</v>
      </c>
      <c r="F349" t="inlineStr">
        <is>
          <t>OPS-20260701</t>
        </is>
      </c>
      <c r="G349" t="inlineStr">
        <is>
          <t>G01170</t>
        </is>
      </c>
      <c r="H349" t="str">
        <f>INDEX('Match Groups'!$C$5:$C$1326,MATCH(G349,'Match Groups'!$A$5:$A$1326,0))</f>
        <v>R11</v>
      </c>
      <c r="I349" t="str">
        <f>INDEX('Match Groups'!$D$5:$D$1326,MATCH(G349,'Match Groups'!$A$5:$A$1326,0))</f>
        <v>REG</v>
      </c>
      <c r="J349">
        <f>IF(I349="DUPIMP",0,1)</f>
        <v>1</v>
      </c>
    </row>
    <row r="350">
      <c r="A350" t="inlineStr">
        <is>
          <t>BL-00680</t>
        </is>
      </c>
      <c r="B350" t="inlineStr">
        <is>
          <t>OPS</t>
        </is>
      </c>
      <c r="C350" s="5" t="n">
        <v>46204</v>
      </c>
      <c r="D350" t="inlineStr">
        <is>
          <t>DIRECT CREDIT THORNBURY TEXTILES PTY INV/2026/03462</t>
        </is>
      </c>
      <c r="E350" s="9" t="n">
        <v>15950</v>
      </c>
      <c r="F350" t="inlineStr">
        <is>
          <t>OPS-20260701</t>
        </is>
      </c>
      <c r="G350" t="inlineStr">
        <is>
          <t>G00904</t>
        </is>
      </c>
      <c r="H350" t="str">
        <f>INDEX('Match Groups'!$C$5:$C$1326,MATCH(G350,'Match Groups'!$A$5:$A$1326,0))</f>
        <v>R09</v>
      </c>
      <c r="I350" t="str">
        <f>INDEX('Match Groups'!$D$5:$D$1326,MATCH(G350,'Match Groups'!$A$5:$A$1326,0))</f>
        <v>MATCH</v>
      </c>
      <c r="J350">
        <f>IF(I350="DUPIMP",0,1)</f>
        <v>1</v>
      </c>
    </row>
    <row r="351">
      <c r="A351" t="inlineStr">
        <is>
          <t>BL-00687</t>
        </is>
      </c>
      <c r="B351" t="inlineStr">
        <is>
          <t>OPS</t>
        </is>
      </c>
      <c r="C351" s="5" t="n">
        <v>46204</v>
      </c>
      <c r="D351" t="inlineStr">
        <is>
          <t>STRIPE PAYOUT STRIPE po_1Q0001KX</t>
        </is>
      </c>
      <c r="E351" s="9" t="n">
        <v>3851.91</v>
      </c>
      <c r="F351" t="inlineStr">
        <is>
          <t>OPS-20260701</t>
        </is>
      </c>
      <c r="G351" t="inlineStr">
        <is>
          <t>G00014</t>
        </is>
      </c>
      <c r="H351" t="str">
        <f>INDEX('Match Groups'!$C$5:$C$1326,MATCH(G351,'Match Groups'!$A$5:$A$1326,0))</f>
        <v>R02</v>
      </c>
      <c r="I351" t="str">
        <f>INDEX('Match Groups'!$D$5:$D$1326,MATCH(G351,'Match Groups'!$A$5:$A$1326,0))</f>
        <v>STRIPE-FEE</v>
      </c>
      <c r="J351">
        <f>IF(I351="DUPIMP",0,1)</f>
        <v>1</v>
      </c>
    </row>
    <row r="352">
      <c r="A352" t="inlineStr">
        <is>
          <t>BL-00753</t>
        </is>
      </c>
      <c r="B352" t="inlineStr">
        <is>
          <t>OPS</t>
        </is>
      </c>
      <c r="C352" s="5" t="n">
        <v>46204</v>
      </c>
      <c r="D352" t="inlineStr">
        <is>
          <t>ABA PAYMENT FILE 0411 13 PAYMENTS</t>
        </is>
      </c>
      <c r="E352" s="9" t="n">
        <v>-16258</v>
      </c>
      <c r="F352" t="inlineStr">
        <is>
          <t>OPS-20260701</t>
        </is>
      </c>
      <c r="G352" t="inlineStr">
        <is>
          <t>G00502</t>
        </is>
      </c>
      <c r="H352" t="str">
        <f>INDEX('Match Groups'!$C$5:$C$1326,MATCH(G352,'Match Groups'!$A$5:$A$1326,0))</f>
        <v>R06</v>
      </c>
      <c r="I352" t="str">
        <f>INDEX('Match Groups'!$D$5:$D$1326,MATCH(G352,'Match Groups'!$A$5:$A$1326,0))</f>
        <v>MATCH</v>
      </c>
      <c r="J352">
        <f>IF(I352="DUPIMP",0,1)</f>
        <v>1</v>
      </c>
    </row>
    <row r="353">
      <c r="A353" t="inlineStr">
        <is>
          <t>BL-00768</t>
        </is>
      </c>
      <c r="B353" t="inlineStr">
        <is>
          <t>OPS</t>
        </is>
      </c>
      <c r="C353" s="5" t="n">
        <v>46204</v>
      </c>
      <c r="D353" t="inlineStr">
        <is>
          <t>DIRECT DEBIT COLLINSSTPROPERT 518604</t>
        </is>
      </c>
      <c r="E353" s="9" t="n">
        <v>-14850</v>
      </c>
      <c r="F353" t="inlineStr">
        <is>
          <t>OPS-20260701</t>
        </is>
      </c>
      <c r="G353" t="inlineStr">
        <is>
          <t>G01114</t>
        </is>
      </c>
      <c r="H353" t="str">
        <f>INDEX('Match Groups'!$C$5:$C$1326,MATCH(G353,'Match Groups'!$A$5:$A$1326,0))</f>
        <v>R10</v>
      </c>
      <c r="I353" t="str">
        <f>INDEX('Match Groups'!$D$5:$D$1326,MATCH(G353,'Match Groups'!$A$5:$A$1326,0))</f>
        <v>MATCH</v>
      </c>
      <c r="J353">
        <f>IF(I353="DUPIMP",0,1)</f>
        <v>1</v>
      </c>
    </row>
    <row r="354">
      <c r="A354" t="inlineStr">
        <is>
          <t>BL-00769</t>
        </is>
      </c>
      <c r="B354" t="inlineStr">
        <is>
          <t>OPS</t>
        </is>
      </c>
      <c r="C354" s="5" t="n">
        <v>46204</v>
      </c>
      <c r="D354" t="inlineStr">
        <is>
          <t>DIRECT DEBIT NORTHCOTE RETAIL HOLDI 469586</t>
        </is>
      </c>
      <c r="E354" s="9" t="n">
        <v>-9680</v>
      </c>
      <c r="F354" t="inlineStr">
        <is>
          <t>OPS-20260701</t>
        </is>
      </c>
      <c r="G354" t="inlineStr">
        <is>
          <t>G01115</t>
        </is>
      </c>
      <c r="H354" t="str">
        <f>INDEX('Match Groups'!$C$5:$C$1326,MATCH(G354,'Match Groups'!$A$5:$A$1326,0))</f>
        <v>R10</v>
      </c>
      <c r="I354" t="str">
        <f>INDEX('Match Groups'!$D$5:$D$1326,MATCH(G354,'Match Groups'!$A$5:$A$1326,0))</f>
        <v>MATCH</v>
      </c>
      <c r="J354">
        <f>IF(I354="DUPIMP",0,1)</f>
        <v>1</v>
      </c>
    </row>
    <row r="355">
      <c r="A355" t="inlineStr">
        <is>
          <t>BL-00770</t>
        </is>
      </c>
      <c r="B355" t="inlineStr">
        <is>
          <t>OPS</t>
        </is>
      </c>
      <c r="C355" s="5" t="n">
        <v>46204</v>
      </c>
      <c r="D355" t="inlineStr">
        <is>
          <t>DIRECT DEBIT BAYVIEWCOMMERCIA 945494</t>
        </is>
      </c>
      <c r="E355" s="9" t="n">
        <v>-8250</v>
      </c>
      <c r="F355" t="inlineStr">
        <is>
          <t>OPS-20260701</t>
        </is>
      </c>
      <c r="G355" t="inlineStr">
        <is>
          <t>G01116</t>
        </is>
      </c>
      <c r="H355" t="str">
        <f>INDEX('Match Groups'!$C$5:$C$1326,MATCH(G355,'Match Groups'!$A$5:$A$1326,0))</f>
        <v>R10</v>
      </c>
      <c r="I355" t="str">
        <f>INDEX('Match Groups'!$D$5:$D$1326,MATCH(G355,'Match Groups'!$A$5:$A$1326,0))</f>
        <v>MATCH</v>
      </c>
      <c r="J355">
        <f>IF(I355="DUPIMP",0,1)</f>
        <v>1</v>
      </c>
    </row>
    <row r="356">
      <c r="A356" t="inlineStr">
        <is>
          <t>BL-00771</t>
        </is>
      </c>
      <c r="B356" t="inlineStr">
        <is>
          <t>OPS</t>
        </is>
      </c>
      <c r="C356" s="5" t="n">
        <v>46204</v>
      </c>
      <c r="D356" t="inlineStr">
        <is>
          <t>DIRECT DEBIT MOORABBINOFFICEP 461844</t>
        </is>
      </c>
      <c r="E356" s="9" t="n">
        <v>-7425</v>
      </c>
      <c r="F356" t="inlineStr">
        <is>
          <t>OPS-20260701</t>
        </is>
      </c>
      <c r="G356" t="inlineStr">
        <is>
          <t>G01117</t>
        </is>
      </c>
      <c r="H356" t="str">
        <f>INDEX('Match Groups'!$C$5:$C$1326,MATCH(G356,'Match Groups'!$A$5:$A$1326,0))</f>
        <v>R10</v>
      </c>
      <c r="I356" t="str">
        <f>INDEX('Match Groups'!$D$5:$D$1326,MATCH(G356,'Match Groups'!$A$5:$A$1326,0))</f>
        <v>MATCH</v>
      </c>
      <c r="J356">
        <f>IF(I356="DUPIMP",0,1)</f>
        <v>1</v>
      </c>
    </row>
    <row r="357">
      <c r="A357" t="inlineStr">
        <is>
          <t>BL-00825</t>
        </is>
      </c>
      <c r="B357" t="inlineStr">
        <is>
          <t>OPS</t>
        </is>
      </c>
      <c r="C357" s="5" t="n">
        <v>46204</v>
      </c>
      <c r="D357" t="inlineStr">
        <is>
          <t>TFR TO PAYROLL CLEARING PR260702</t>
        </is>
      </c>
      <c r="E357" s="9" t="n">
        <v>-167671.63</v>
      </c>
      <c r="F357" t="inlineStr">
        <is>
          <t>OPS-20260701</t>
        </is>
      </c>
      <c r="G357" t="inlineStr">
        <is>
          <t>G00503</t>
        </is>
      </c>
      <c r="H357" t="str">
        <f>INDEX('Match Groups'!$C$5:$C$1326,MATCH(G357,'Match Groups'!$A$5:$A$1326,0))</f>
        <v>R04</v>
      </c>
      <c r="I357" t="str">
        <f>INDEX('Match Groups'!$D$5:$D$1326,MATCH(G357,'Match Groups'!$A$5:$A$1326,0))</f>
        <v>MATCH</v>
      </c>
      <c r="J357">
        <f>IF(I357="DUPIMP",0,1)</f>
        <v>1</v>
      </c>
    </row>
    <row r="358">
      <c r="A358" t="inlineStr">
        <is>
          <t>BL-00010</t>
        </is>
      </c>
      <c r="B358" t="inlineStr">
        <is>
          <t>OPS</t>
        </is>
      </c>
      <c r="C358" s="5" t="n">
        <v>46205</v>
      </c>
      <c r="D358" t="inlineStr">
        <is>
          <t>DIRECT CREDIT CLEARPATH NDIS PLA RA44807</t>
        </is>
      </c>
      <c r="E358" s="9" t="n">
        <v>504.38</v>
      </c>
      <c r="F358" t="inlineStr">
        <is>
          <t>OPS-20260702</t>
        </is>
      </c>
      <c r="G358" t="inlineStr">
        <is>
          <t>G00086</t>
        </is>
      </c>
      <c r="H358" t="str">
        <f>INDEX('Match Groups'!$C$5:$C$1326,MATCH(G358,'Match Groups'!$A$5:$A$1326,0))</f>
        <v>R03</v>
      </c>
      <c r="I358" t="str">
        <f>INDEX('Match Groups'!$D$5:$D$1326,MATCH(G358,'Match Groups'!$A$5:$A$1326,0))</f>
        <v>MATCH</v>
      </c>
      <c r="J358">
        <f>IF(I358="DUPIMP",0,1)</f>
        <v>1</v>
      </c>
    </row>
    <row r="359">
      <c r="A359" t="inlineStr">
        <is>
          <t>BL-00011</t>
        </is>
      </c>
      <c r="B359" t="inlineStr">
        <is>
          <t>OPS</t>
        </is>
      </c>
      <c r="C359" s="5" t="n">
        <v>46205</v>
      </c>
      <c r="D359" t="inlineStr">
        <is>
          <t>DIRECT CREDIT WATTLE PLAN SERVIC RA44808</t>
        </is>
      </c>
      <c r="E359" s="9" t="n">
        <v>1349.12</v>
      </c>
      <c r="F359" t="inlineStr">
        <is>
          <t>OPS-20260702</t>
        </is>
      </c>
      <c r="G359" t="inlineStr">
        <is>
          <t>G00087</t>
        </is>
      </c>
      <c r="H359" t="str">
        <f>INDEX('Match Groups'!$C$5:$C$1326,MATCH(G359,'Match Groups'!$A$5:$A$1326,0))</f>
        <v>R03</v>
      </c>
      <c r="I359" t="str">
        <f>INDEX('Match Groups'!$D$5:$D$1326,MATCH(G359,'Match Groups'!$A$5:$A$1326,0))</f>
        <v>MATCH</v>
      </c>
      <c r="J359">
        <f>IF(I359="DUPIMP",0,1)</f>
        <v>1</v>
      </c>
    </row>
    <row r="360">
      <c r="A360" t="inlineStr">
        <is>
          <t>BL-00012</t>
        </is>
      </c>
      <c r="B360" t="inlineStr">
        <is>
          <t>OPS</t>
        </is>
      </c>
      <c r="C360" s="5" t="n">
        <v>46205</v>
      </c>
      <c r="D360" t="inlineStr">
        <is>
          <t>DIRECT CREDIT BANKSIA PLAN CO RA44809</t>
        </is>
      </c>
      <c r="E360" s="9" t="n">
        <v>290.98</v>
      </c>
      <c r="F360" t="inlineStr">
        <is>
          <t>OPS-20260702</t>
        </is>
      </c>
      <c r="G360" t="inlineStr">
        <is>
          <t>G00088</t>
        </is>
      </c>
      <c r="H360" t="str">
        <f>INDEX('Match Groups'!$C$5:$C$1326,MATCH(G360,'Match Groups'!$A$5:$A$1326,0))</f>
        <v>R03</v>
      </c>
      <c r="I360" t="str">
        <f>INDEX('Match Groups'!$D$5:$D$1326,MATCH(G360,'Match Groups'!$A$5:$A$1326,0))</f>
        <v>REG</v>
      </c>
      <c r="J360">
        <f>IF(I360="DUPIMP",0,1)</f>
        <v>1</v>
      </c>
    </row>
    <row r="361">
      <c r="A361" t="inlineStr">
        <is>
          <t>BL-00013</t>
        </is>
      </c>
      <c r="B361" t="inlineStr">
        <is>
          <t>OPS</t>
        </is>
      </c>
      <c r="C361" s="5" t="n">
        <v>46205</v>
      </c>
      <c r="D361" t="inlineStr">
        <is>
          <t>DIRECT CREDIT LYREBIRD PLAN MANAGEME RA44810</t>
        </is>
      </c>
      <c r="E361" s="9" t="n">
        <v>193.98</v>
      </c>
      <c r="F361" t="inlineStr">
        <is>
          <t>OPS-20260702</t>
        </is>
      </c>
      <c r="G361" t="inlineStr">
        <is>
          <t>G00089</t>
        </is>
      </c>
      <c r="H361" t="str">
        <f>INDEX('Match Groups'!$C$5:$C$1326,MATCH(G361,'Match Groups'!$A$5:$A$1326,0))</f>
        <v>R03</v>
      </c>
      <c r="I361" t="str">
        <f>INDEX('Match Groups'!$D$5:$D$1326,MATCH(G361,'Match Groups'!$A$5:$A$1326,0))</f>
        <v>REG</v>
      </c>
      <c r="J361">
        <f>IF(I361="DUPIMP",0,1)</f>
        <v>1</v>
      </c>
    </row>
    <row r="362">
      <c r="A362" t="inlineStr">
        <is>
          <t>BL-00014</t>
        </is>
      </c>
      <c r="B362" t="inlineStr">
        <is>
          <t>OPS</t>
        </is>
      </c>
      <c r="C362" s="5" t="n">
        <v>46205</v>
      </c>
      <c r="D362" t="inlineStr">
        <is>
          <t>DIRECT CREDIT TALLOWWOOD PLANS RA44811</t>
        </is>
      </c>
      <c r="E362" s="9" t="n">
        <v>641.97</v>
      </c>
      <c r="F362" t="inlineStr">
        <is>
          <t>OPS-20260702</t>
        </is>
      </c>
      <c r="G362" t="inlineStr">
        <is>
          <t>G00090</t>
        </is>
      </c>
      <c r="H362" t="str">
        <f>INDEX('Match Groups'!$C$5:$C$1326,MATCH(G362,'Match Groups'!$A$5:$A$1326,0))</f>
        <v>R03</v>
      </c>
      <c r="I362" t="str">
        <f>INDEX('Match Groups'!$D$5:$D$1326,MATCH(G362,'Match Groups'!$A$5:$A$1326,0))</f>
        <v>MATCH</v>
      </c>
      <c r="J362">
        <f>IF(I362="DUPIMP",0,1)</f>
        <v>1</v>
      </c>
    </row>
    <row r="363">
      <c r="A363" t="inlineStr">
        <is>
          <t>BL-00015</t>
        </is>
      </c>
      <c r="B363" t="inlineStr">
        <is>
          <t>OPS</t>
        </is>
      </c>
      <c r="C363" s="5" t="n">
        <v>46205</v>
      </c>
      <c r="D363" t="inlineStr">
        <is>
          <t>DIRECT CREDIT ACACIA PLAN PARTNERS RA44812</t>
        </is>
      </c>
      <c r="E363" s="9" t="n">
        <v>1009.65</v>
      </c>
      <c r="F363" t="inlineStr">
        <is>
          <t>OPS-20260702</t>
        </is>
      </c>
      <c r="G363" t="inlineStr">
        <is>
          <t>G00091</t>
        </is>
      </c>
      <c r="H363" t="str">
        <f>INDEX('Match Groups'!$C$5:$C$1326,MATCH(G363,'Match Groups'!$A$5:$A$1326,0))</f>
        <v>R03</v>
      </c>
      <c r="I363" t="str">
        <f>INDEX('Match Groups'!$D$5:$D$1326,MATCH(G363,'Match Groups'!$A$5:$A$1326,0))</f>
        <v>MATCH</v>
      </c>
      <c r="J363">
        <f>IF(I363="DUPIMP",0,1)</f>
        <v>1</v>
      </c>
    </row>
    <row r="364">
      <c r="A364" t="inlineStr">
        <is>
          <t>BL-00016</t>
        </is>
      </c>
      <c r="B364" t="inlineStr">
        <is>
          <t>OPS</t>
        </is>
      </c>
      <c r="C364" s="5" t="n">
        <v>46205</v>
      </c>
      <c r="D364" t="inlineStr">
        <is>
          <t>DIRECT CREDIT MALLEE PLAN SERVICES RA44813</t>
        </is>
      </c>
      <c r="E364" s="9" t="n">
        <v>921.45</v>
      </c>
      <c r="F364" t="inlineStr">
        <is>
          <t>OPS-20260702</t>
        </is>
      </c>
      <c r="G364" t="inlineStr">
        <is>
          <t>G00092</t>
        </is>
      </c>
      <c r="H364" t="str">
        <f>INDEX('Match Groups'!$C$5:$C$1326,MATCH(G364,'Match Groups'!$A$5:$A$1326,0))</f>
        <v>R03</v>
      </c>
      <c r="I364" t="str">
        <f>INDEX('Match Groups'!$D$5:$D$1326,MATCH(G364,'Match Groups'!$A$5:$A$1326,0))</f>
        <v>MATCH</v>
      </c>
      <c r="J364">
        <f>IF(I364="DUPIMP",0,1)</f>
        <v>1</v>
      </c>
    </row>
    <row r="365">
      <c r="A365" t="inlineStr">
        <is>
          <t>BL-00489</t>
        </is>
      </c>
      <c r="B365" t="inlineStr">
        <is>
          <t>OPS</t>
        </is>
      </c>
      <c r="C365" s="5" t="n">
        <v>46205</v>
      </c>
      <c r="D365" t="inlineStr">
        <is>
          <t>DIRECT CREDIT PINNACLE CLAIMS SERV CLM5467015 RE INV 2026 01842</t>
        </is>
      </c>
      <c r="E365" s="9" t="n">
        <v>412.5</v>
      </c>
      <c r="F365" t="inlineStr">
        <is>
          <t>OPS-20260702</t>
        </is>
      </c>
      <c r="G365" t="inlineStr">
        <is>
          <t>G00905</t>
        </is>
      </c>
      <c r="H365" t="str">
        <f>INDEX('Match Groups'!$C$5:$C$1326,MATCH(G365,'Match Groups'!$A$5:$A$1326,0))</f>
        <v>R09</v>
      </c>
      <c r="I365" t="str">
        <f>INDEX('Match Groups'!$D$5:$D$1326,MATCH(G365,'Match Groups'!$A$5:$A$1326,0))</f>
        <v>MATCH</v>
      </c>
      <c r="J365">
        <f>IF(I365="DUPIMP",0,1)</f>
        <v>1</v>
      </c>
    </row>
    <row r="366">
      <c r="A366" t="inlineStr">
        <is>
          <t>BL-00508</t>
        </is>
      </c>
      <c r="B366" t="inlineStr">
        <is>
          <t>OPS</t>
        </is>
      </c>
      <c r="C366" s="5" t="n">
        <v>46205</v>
      </c>
      <c r="D366" t="inlineStr">
        <is>
          <t>DIRECT CREDIT MERIDIAN HEALTH COVER CLM5513517 01581</t>
        </is>
      </c>
      <c r="E366" s="9" t="n">
        <v>132</v>
      </c>
      <c r="F366" t="inlineStr">
        <is>
          <t>OPS-20260702</t>
        </is>
      </c>
      <c r="G366" t="inlineStr">
        <is>
          <t>G00906</t>
        </is>
      </c>
      <c r="H366" t="str">
        <f>INDEX('Match Groups'!$C$5:$C$1326,MATCH(G366,'Match Groups'!$A$5:$A$1326,0))</f>
        <v>R09</v>
      </c>
      <c r="I366" t="str">
        <f>INDEX('Match Groups'!$D$5:$D$1326,MATCH(G366,'Match Groups'!$A$5:$A$1326,0))</f>
        <v>MATCH</v>
      </c>
      <c r="J366">
        <f>IF(I366="DUPIMP",0,1)</f>
        <v>1</v>
      </c>
    </row>
    <row r="367">
      <c r="A367" t="inlineStr">
        <is>
          <t>BL-00509</t>
        </is>
      </c>
      <c r="B367" t="inlineStr">
        <is>
          <t>OPS</t>
        </is>
      </c>
      <c r="C367" s="5" t="n">
        <v>46205</v>
      </c>
      <c r="D367" t="inlineStr">
        <is>
          <t>DIRECT CREDIT MERIDIANHEALTHCO CLM5218976 INV/2026/01637</t>
        </is>
      </c>
      <c r="E367" s="9" t="n">
        <v>176</v>
      </c>
      <c r="F367" t="inlineStr">
        <is>
          <t>OPS-20260702</t>
        </is>
      </c>
      <c r="G367" t="inlineStr">
        <is>
          <t>G00907</t>
        </is>
      </c>
      <c r="H367" t="str">
        <f>INDEX('Match Groups'!$C$5:$C$1326,MATCH(G367,'Match Groups'!$A$5:$A$1326,0))</f>
        <v>R09</v>
      </c>
      <c r="I367" t="str">
        <f>INDEX('Match Groups'!$D$5:$D$1326,MATCH(G367,'Match Groups'!$A$5:$A$1326,0))</f>
        <v>MATCH</v>
      </c>
      <c r="J367">
        <f>IF(I367="DUPIMP",0,1)</f>
        <v>1</v>
      </c>
    </row>
    <row r="368">
      <c r="A368" t="inlineStr">
        <is>
          <t>BL-00510</t>
        </is>
      </c>
      <c r="B368" t="inlineStr">
        <is>
          <t>OPS</t>
        </is>
      </c>
      <c r="C368" s="5" t="n">
        <v>46205</v>
      </c>
      <c r="D368" t="inlineStr">
        <is>
          <t>DIRECT CREDIT MERIDIAN HEALTH COVER CLM5584361 RE INV 2026 01704</t>
        </is>
      </c>
      <c r="E368" s="9" t="n">
        <v>264</v>
      </c>
      <c r="F368" t="inlineStr">
        <is>
          <t>OPS-20260702</t>
        </is>
      </c>
      <c r="G368" t="inlineStr">
        <is>
          <t>G00908</t>
        </is>
      </c>
      <c r="H368" t="str">
        <f>INDEX('Match Groups'!$C$5:$C$1326,MATCH(G368,'Match Groups'!$A$5:$A$1326,0))</f>
        <v>R09</v>
      </c>
      <c r="I368" t="str">
        <f>INDEX('Match Groups'!$D$5:$D$1326,MATCH(G368,'Match Groups'!$A$5:$A$1326,0))</f>
        <v>MATCH</v>
      </c>
      <c r="J368">
        <f>IF(I368="DUPIMP",0,1)</f>
        <v>1</v>
      </c>
    </row>
    <row r="369">
      <c r="A369" t="inlineStr">
        <is>
          <t>BL-00533</t>
        </is>
      </c>
      <c r="B369" t="inlineStr">
        <is>
          <t>OPS</t>
        </is>
      </c>
      <c r="C369" s="5" t="n">
        <v>46205</v>
      </c>
      <c r="D369" t="inlineStr">
        <is>
          <t>DIRECT CREDIT NORTHLINE INJURY CLAIM CLM5999218 RE INV 2026 01705</t>
        </is>
      </c>
      <c r="E369" s="9" t="n">
        <v>132</v>
      </c>
      <c r="F369" t="inlineStr">
        <is>
          <t>OPS-20260702</t>
        </is>
      </c>
      <c r="G369" t="inlineStr">
        <is>
          <t>G01171</t>
        </is>
      </c>
      <c r="H369" t="str">
        <f>INDEX('Match Groups'!$C$5:$C$1326,MATCH(G369,'Match Groups'!$A$5:$A$1326,0))</f>
        <v>R11</v>
      </c>
      <c r="I369" t="str">
        <f>INDEX('Match Groups'!$D$5:$D$1326,MATCH(G369,'Match Groups'!$A$5:$A$1326,0))</f>
        <v>REG</v>
      </c>
      <c r="J369">
        <f>IF(I369="DUPIMP",0,1)</f>
        <v>1</v>
      </c>
    </row>
    <row r="370">
      <c r="A370" t="inlineStr">
        <is>
          <t>BL-00688</t>
        </is>
      </c>
      <c r="B370" t="inlineStr">
        <is>
          <t>OPS</t>
        </is>
      </c>
      <c r="C370" s="5" t="n">
        <v>46205</v>
      </c>
      <c r="D370" t="inlineStr">
        <is>
          <t>STRIPE PAYOUT STRIPE po_1Q0002KX</t>
        </is>
      </c>
      <c r="E370" s="9" t="n">
        <v>2621.85</v>
      </c>
      <c r="F370" t="inlineStr">
        <is>
          <t>OPS-20260702</t>
        </is>
      </c>
      <c r="G370" t="inlineStr">
        <is>
          <t>G00015</t>
        </is>
      </c>
      <c r="H370" t="str">
        <f>INDEX('Match Groups'!$C$5:$C$1326,MATCH(G370,'Match Groups'!$A$5:$A$1326,0))</f>
        <v>R02</v>
      </c>
      <c r="I370" t="str">
        <f>INDEX('Match Groups'!$D$5:$D$1326,MATCH(G370,'Match Groups'!$A$5:$A$1326,0))</f>
        <v>STRIPE-FEE</v>
      </c>
      <c r="J370">
        <f>IF(I370="DUPIMP",0,1)</f>
        <v>1</v>
      </c>
    </row>
    <row r="371">
      <c r="A371" t="inlineStr">
        <is>
          <t>BL-00017</t>
        </is>
      </c>
      <c r="B371" t="inlineStr">
        <is>
          <t>OPS</t>
        </is>
      </c>
      <c r="C371" s="5" t="n">
        <v>46206</v>
      </c>
      <c r="D371" t="inlineStr">
        <is>
          <t>DIRECT CREDIT BLUEGUM PLAN MANAGE RA44814</t>
        </is>
      </c>
      <c r="E371" s="9" t="n">
        <v>1853.51</v>
      </c>
      <c r="F371" t="inlineStr">
        <is>
          <t>OPS-20260703</t>
        </is>
      </c>
      <c r="G371" t="inlineStr">
        <is>
          <t>G00093</t>
        </is>
      </c>
      <c r="H371" t="str">
        <f>INDEX('Match Groups'!$C$5:$C$1326,MATCH(G371,'Match Groups'!$A$5:$A$1326,0))</f>
        <v>R03</v>
      </c>
      <c r="I371" t="str">
        <f>INDEX('Match Groups'!$D$5:$D$1326,MATCH(G371,'Match Groups'!$A$5:$A$1326,0))</f>
        <v>SHORT</v>
      </c>
      <c r="J371">
        <f>IF(I371="DUPIMP",0,1)</f>
        <v>1</v>
      </c>
    </row>
    <row r="372">
      <c r="A372" t="inlineStr">
        <is>
          <t>BL-00018</t>
        </is>
      </c>
      <c r="B372" t="inlineStr">
        <is>
          <t>OPS</t>
        </is>
      </c>
      <c r="C372" s="5" t="n">
        <v>46206</v>
      </c>
      <c r="D372" t="inlineStr">
        <is>
          <t>DIRECT CREDIT RIVERBEND PLAN PARTNER RA44815</t>
        </is>
      </c>
      <c r="E372" s="9" t="n">
        <v>581.97</v>
      </c>
      <c r="F372" t="inlineStr">
        <is>
          <t>OPS-20260703</t>
        </is>
      </c>
      <c r="G372" t="inlineStr">
        <is>
          <t>G00094</t>
        </is>
      </c>
      <c r="H372" t="str">
        <f>INDEX('Match Groups'!$C$5:$C$1326,MATCH(G372,'Match Groups'!$A$5:$A$1326,0))</f>
        <v>R03</v>
      </c>
      <c r="I372" t="str">
        <f>INDEX('Match Groups'!$D$5:$D$1326,MATCH(G372,'Match Groups'!$A$5:$A$1326,0))</f>
        <v>MATCH</v>
      </c>
      <c r="J372">
        <f>IF(I372="DUPIMP",0,1)</f>
        <v>1</v>
      </c>
    </row>
    <row r="373">
      <c r="A373" t="inlineStr">
        <is>
          <t>BL-00019</t>
        </is>
      </c>
      <c r="B373" t="inlineStr">
        <is>
          <t>OPS</t>
        </is>
      </c>
      <c r="C373" s="5" t="n">
        <v>46206</v>
      </c>
      <c r="D373" t="inlineStr">
        <is>
          <t>DIRECT CREDIT WATTLE PLAN SERVICES RA44816</t>
        </is>
      </c>
      <c r="E373" s="9" t="n">
        <v>494.67</v>
      </c>
      <c r="F373" t="inlineStr">
        <is>
          <t>OPS-20260703</t>
        </is>
      </c>
      <c r="G373" t="inlineStr">
        <is>
          <t>G00095</t>
        </is>
      </c>
      <c r="H373" t="str">
        <f>INDEX('Match Groups'!$C$5:$C$1326,MATCH(G373,'Match Groups'!$A$5:$A$1326,0))</f>
        <v>R03</v>
      </c>
      <c r="I373" t="str">
        <f>INDEX('Match Groups'!$D$5:$D$1326,MATCH(G373,'Match Groups'!$A$5:$A$1326,0))</f>
        <v>REG</v>
      </c>
      <c r="J373">
        <f>IF(I373="DUPIMP",0,1)</f>
        <v>1</v>
      </c>
    </row>
    <row r="374">
      <c r="A374" t="inlineStr">
        <is>
          <t>BL-00020</t>
        </is>
      </c>
      <c r="B374" t="inlineStr">
        <is>
          <t>OPS</t>
        </is>
      </c>
      <c r="C374" s="5" t="n">
        <v>46206</v>
      </c>
      <c r="D374" t="inlineStr">
        <is>
          <t>DIRECT CREDIT SALTBUSHPLANMANA RA44817</t>
        </is>
      </c>
      <c r="E374" s="9" t="n">
        <v>369.48</v>
      </c>
      <c r="F374" t="inlineStr">
        <is>
          <t>OPS-20260703</t>
        </is>
      </c>
      <c r="G374" t="inlineStr">
        <is>
          <t>G00096</t>
        </is>
      </c>
      <c r="H374" t="str">
        <f>INDEX('Match Groups'!$C$5:$C$1326,MATCH(G374,'Match Groups'!$A$5:$A$1326,0))</f>
        <v>R03</v>
      </c>
      <c r="I374" t="str">
        <f>INDEX('Match Groups'!$D$5:$D$1326,MATCH(G374,'Match Groups'!$A$5:$A$1326,0))</f>
        <v>MATCH</v>
      </c>
      <c r="J374">
        <f>IF(I374="DUPIMP",0,1)</f>
        <v>1</v>
      </c>
    </row>
    <row r="375">
      <c r="A375" t="inlineStr">
        <is>
          <t>BL-00021</t>
        </is>
      </c>
      <c r="B375" t="inlineStr">
        <is>
          <t>OPS</t>
        </is>
      </c>
      <c r="C375" s="5" t="n">
        <v>46206</v>
      </c>
      <c r="D375" t="inlineStr">
        <is>
          <t>DIRECT CREDIT REDGUM PLAN ADMIN PTY RA44818</t>
        </is>
      </c>
      <c r="E375" s="9" t="n">
        <v>436.47</v>
      </c>
      <c r="F375" t="inlineStr">
        <is>
          <t>OPS-20260703</t>
        </is>
      </c>
      <c r="G375" t="inlineStr">
        <is>
          <t>G00097</t>
        </is>
      </c>
      <c r="H375" t="str">
        <f>INDEX('Match Groups'!$C$5:$C$1326,MATCH(G375,'Match Groups'!$A$5:$A$1326,0))</f>
        <v>R03</v>
      </c>
      <c r="I375" t="str">
        <f>INDEX('Match Groups'!$D$5:$D$1326,MATCH(G375,'Match Groups'!$A$5:$A$1326,0))</f>
        <v>MATCH</v>
      </c>
      <c r="J375">
        <f>IF(I375="DUPIMP",0,1)</f>
        <v>1</v>
      </c>
    </row>
    <row r="376">
      <c r="A376" t="inlineStr">
        <is>
          <t>BL-00022</t>
        </is>
      </c>
      <c r="B376" t="inlineStr">
        <is>
          <t>OPS</t>
        </is>
      </c>
      <c r="C376" s="5" t="n">
        <v>46206</v>
      </c>
      <c r="D376" t="inlineStr">
        <is>
          <t>DIRECT CREDIT TALLOWWOODPLANS RA44819</t>
        </is>
      </c>
      <c r="E376" s="9" t="n">
        <v>3194.73</v>
      </c>
      <c r="F376" t="inlineStr">
        <is>
          <t>OPS-20260703</t>
        </is>
      </c>
      <c r="G376" t="inlineStr">
        <is>
          <t>G00098</t>
        </is>
      </c>
      <c r="H376" t="str">
        <f>INDEX('Match Groups'!$C$5:$C$1326,MATCH(G376,'Match Groups'!$A$5:$A$1326,0))</f>
        <v>R03</v>
      </c>
      <c r="I376" t="str">
        <f>INDEX('Match Groups'!$D$5:$D$1326,MATCH(G376,'Match Groups'!$A$5:$A$1326,0))</f>
        <v>MATCH</v>
      </c>
      <c r="J376">
        <f>IF(I376="DUPIMP",0,1)</f>
        <v>1</v>
      </c>
    </row>
    <row r="377">
      <c r="A377" t="inlineStr">
        <is>
          <t>BL-00023</t>
        </is>
      </c>
      <c r="B377" t="inlineStr">
        <is>
          <t>OPS</t>
        </is>
      </c>
      <c r="C377" s="5" t="n">
        <v>46206</v>
      </c>
      <c r="D377" t="inlineStr">
        <is>
          <t>DIRECT CREDIT ACACIAPLANPARTNE RA44820</t>
        </is>
      </c>
      <c r="E377" s="9" t="n">
        <v>1920.5</v>
      </c>
      <c r="F377" t="inlineStr">
        <is>
          <t>OPS-20260703</t>
        </is>
      </c>
      <c r="G377" t="inlineStr">
        <is>
          <t>G00099</t>
        </is>
      </c>
      <c r="H377" t="str">
        <f>INDEX('Match Groups'!$C$5:$C$1326,MATCH(G377,'Match Groups'!$A$5:$A$1326,0))</f>
        <v>R03</v>
      </c>
      <c r="I377" t="str">
        <f>INDEX('Match Groups'!$D$5:$D$1326,MATCH(G377,'Match Groups'!$A$5:$A$1326,0))</f>
        <v>MATCH</v>
      </c>
      <c r="J377">
        <f>IF(I377="DUPIMP",0,1)</f>
        <v>1</v>
      </c>
    </row>
    <row r="378">
      <c r="A378" t="inlineStr">
        <is>
          <t>BL-00447</t>
        </is>
      </c>
      <c r="B378" t="inlineStr">
        <is>
          <t>OPS</t>
        </is>
      </c>
      <c r="C378" s="5" t="n">
        <v>46206</v>
      </c>
      <c r="D378" t="inlineStr">
        <is>
          <t>DIRECT CREDIT COASTLINEHEALTHF CLM5571214 INV 1608</t>
        </is>
      </c>
      <c r="E378" s="9" t="n">
        <v>990</v>
      </c>
      <c r="F378" t="inlineStr">
        <is>
          <t>OPS-20260703</t>
        </is>
      </c>
      <c r="G378" t="inlineStr">
        <is>
          <t>G00909</t>
        </is>
      </c>
      <c r="H378" t="str">
        <f>INDEX('Match Groups'!$C$5:$C$1326,MATCH(G378,'Match Groups'!$A$5:$A$1326,0))</f>
        <v>R09</v>
      </c>
      <c r="I378" t="str">
        <f>INDEX('Match Groups'!$D$5:$D$1326,MATCH(G378,'Match Groups'!$A$5:$A$1326,0))</f>
        <v>MATCH</v>
      </c>
      <c r="J378">
        <f>IF(I378="DUPIMP",0,1)</f>
        <v>1</v>
      </c>
    </row>
    <row r="379">
      <c r="A379" t="inlineStr">
        <is>
          <t>BL-00512</t>
        </is>
      </c>
      <c r="B379" t="inlineStr">
        <is>
          <t>OPS</t>
        </is>
      </c>
      <c r="C379" s="5" t="n">
        <v>46206</v>
      </c>
      <c r="D379" t="inlineStr">
        <is>
          <t>DIRECT CREDIT MERIDIAN HEALTH COVE CLM5719118 INV01825</t>
        </is>
      </c>
      <c r="E379" s="9" t="n">
        <v>990</v>
      </c>
      <c r="F379" t="inlineStr">
        <is>
          <t>OPS-20260703</t>
        </is>
      </c>
      <c r="G379" t="inlineStr">
        <is>
          <t>G00910</t>
        </is>
      </c>
      <c r="H379" t="str">
        <f>INDEX('Match Groups'!$C$5:$C$1326,MATCH(G379,'Match Groups'!$A$5:$A$1326,0))</f>
        <v>R09</v>
      </c>
      <c r="I379" t="str">
        <f>INDEX('Match Groups'!$D$5:$D$1326,MATCH(G379,'Match Groups'!$A$5:$A$1326,0))</f>
        <v>MATCH</v>
      </c>
      <c r="J379">
        <f>IF(I379="DUPIMP",0,1)</f>
        <v>1</v>
      </c>
    </row>
    <row r="380">
      <c r="A380" t="inlineStr">
        <is>
          <t>BL-00582</t>
        </is>
      </c>
      <c r="B380" t="inlineStr">
        <is>
          <t>OPS</t>
        </is>
      </c>
      <c r="C380" s="5" t="n">
        <v>46206</v>
      </c>
      <c r="D380" t="inlineStr">
        <is>
          <t>DIRECT CREDIT FERNHILLAGEDCARE 03424</t>
        </is>
      </c>
      <c r="E380" s="9" t="n">
        <v>10807.5</v>
      </c>
      <c r="F380" t="inlineStr">
        <is>
          <t>OPS-20260703</t>
        </is>
      </c>
      <c r="G380" t="inlineStr">
        <is>
          <t>G00911</t>
        </is>
      </c>
      <c r="H380" t="str">
        <f>INDEX('Match Groups'!$C$5:$C$1326,MATCH(G380,'Match Groups'!$A$5:$A$1326,0))</f>
        <v>R09</v>
      </c>
      <c r="I380" t="str">
        <f>INDEX('Match Groups'!$D$5:$D$1326,MATCH(G380,'Match Groups'!$A$5:$A$1326,0))</f>
        <v>MATCH</v>
      </c>
      <c r="J380">
        <f>IF(I380="DUPIMP",0,1)</f>
        <v>1</v>
      </c>
    </row>
    <row r="381">
      <c r="A381" t="inlineStr">
        <is>
          <t>BL-00615</t>
        </is>
      </c>
      <c r="B381" t="inlineStr">
        <is>
          <t>OPS</t>
        </is>
      </c>
      <c r="C381" s="5" t="n">
        <v>46206</v>
      </c>
      <c r="D381" t="inlineStr">
        <is>
          <t>DIRECT CREDIT LINFIELD DAIRY CO INV/2026/03436</t>
        </is>
      </c>
      <c r="E381" s="9" t="n">
        <v>5362.5</v>
      </c>
      <c r="F381" t="inlineStr">
        <is>
          <t>OPS-20260703</t>
        </is>
      </c>
      <c r="G381" t="inlineStr">
        <is>
          <t>G00912</t>
        </is>
      </c>
      <c r="H381" t="str">
        <f>INDEX('Match Groups'!$C$5:$C$1326,MATCH(G381,'Match Groups'!$A$5:$A$1326,0))</f>
        <v>R09</v>
      </c>
      <c r="I381" t="str">
        <f>INDEX('Match Groups'!$D$5:$D$1326,MATCH(G381,'Match Groups'!$A$5:$A$1326,0))</f>
        <v>MATCH</v>
      </c>
      <c r="J381">
        <f>IF(I381="DUPIMP",0,1)</f>
        <v>1</v>
      </c>
    </row>
    <row r="382">
      <c r="A382" t="inlineStr">
        <is>
          <t>BL-00689</t>
        </is>
      </c>
      <c r="B382" t="inlineStr">
        <is>
          <t>OPS</t>
        </is>
      </c>
      <c r="C382" s="5" t="n">
        <v>46206</v>
      </c>
      <c r="D382" t="inlineStr">
        <is>
          <t>STRIPE PAYOUT STRIPE po_1Q0003KX</t>
        </is>
      </c>
      <c r="E382" s="9" t="n">
        <v>3659.99</v>
      </c>
      <c r="F382" t="inlineStr">
        <is>
          <t>OPS-20260703</t>
        </is>
      </c>
      <c r="G382" t="inlineStr">
        <is>
          <t>G00016</t>
        </is>
      </c>
      <c r="H382" t="str">
        <f>INDEX('Match Groups'!$C$5:$C$1326,MATCH(G382,'Match Groups'!$A$5:$A$1326,0))</f>
        <v>R02</v>
      </c>
      <c r="I382" t="str">
        <f>INDEX('Match Groups'!$D$5:$D$1326,MATCH(G382,'Match Groups'!$A$5:$A$1326,0))</f>
        <v>STRIPE-FEE</v>
      </c>
      <c r="J382">
        <f>IF(I382="DUPIMP",0,1)</f>
        <v>1</v>
      </c>
    </row>
    <row r="383">
      <c r="A383" t="inlineStr">
        <is>
          <t>BL-00777</t>
        </is>
      </c>
      <c r="B383" t="inlineStr">
        <is>
          <t>OPS</t>
        </is>
      </c>
      <c r="C383" s="5" t="n">
        <v>46206</v>
      </c>
      <c r="D383" t="inlineStr">
        <is>
          <t>DIRECT DEBIT CLINIC PRACTICE SO 631874</t>
        </is>
      </c>
      <c r="E383" s="9" t="n">
        <v>-1870</v>
      </c>
      <c r="F383" t="inlineStr">
        <is>
          <t>OPS-20260703</t>
        </is>
      </c>
      <c r="G383" t="inlineStr">
        <is>
          <t>G01118</t>
        </is>
      </c>
      <c r="H383" t="str">
        <f>INDEX('Match Groups'!$C$5:$C$1326,MATCH(G383,'Match Groups'!$A$5:$A$1326,0))</f>
        <v>R10</v>
      </c>
      <c r="I383" t="str">
        <f>INDEX('Match Groups'!$D$5:$D$1326,MATCH(G383,'Match Groups'!$A$5:$A$1326,0))</f>
        <v>MATCH</v>
      </c>
      <c r="J383">
        <f>IF(I383="DUPIMP",0,1)</f>
        <v>1</v>
      </c>
    </row>
    <row r="384">
      <c r="A384" t="inlineStr">
        <is>
          <t>BL-00001</t>
        </is>
      </c>
      <c r="B384" t="inlineStr">
        <is>
          <t>OPS</t>
        </is>
      </c>
      <c r="C384" s="5" t="n">
        <v>46209</v>
      </c>
      <c r="D384" t="inlineStr">
        <is>
          <t>CHEQUE 000398</t>
        </is>
      </c>
      <c r="E384" s="9" t="n">
        <v>-418</v>
      </c>
      <c r="F384" t="inlineStr">
        <is>
          <t>OPS-20260706</t>
        </is>
      </c>
      <c r="G384" t="inlineStr">
        <is>
          <t>G00504</t>
        </is>
      </c>
      <c r="H384" t="str">
        <f>INDEX('Match Groups'!$C$5:$C$1326,MATCH(G384,'Match Groups'!$A$5:$A$1326,0))</f>
        <v>R07</v>
      </c>
      <c r="I384" t="str">
        <f>INDEX('Match Groups'!$D$5:$D$1326,MATCH(G384,'Match Groups'!$A$5:$A$1326,0))</f>
        <v>MATCH</v>
      </c>
      <c r="J384">
        <f>IF(I384="DUPIMP",0,1)</f>
        <v>1</v>
      </c>
    </row>
    <row r="385">
      <c r="A385" t="inlineStr">
        <is>
          <t>BL-00024</t>
        </is>
      </c>
      <c r="B385" t="inlineStr">
        <is>
          <t>OPS</t>
        </is>
      </c>
      <c r="C385" s="5" t="n">
        <v>46209</v>
      </c>
      <c r="D385" t="inlineStr">
        <is>
          <t>DIRECT CREDIT RIVERBEND PLAN PARTN RA44821</t>
        </is>
      </c>
      <c r="E385" s="9" t="n">
        <v>2154.19</v>
      </c>
      <c r="F385" t="inlineStr">
        <is>
          <t>OPS-20260706</t>
        </is>
      </c>
      <c r="G385" t="inlineStr">
        <is>
          <t>G00100</t>
        </is>
      </c>
      <c r="H385" t="str">
        <f>INDEX('Match Groups'!$C$5:$C$1326,MATCH(G385,'Match Groups'!$A$5:$A$1326,0))</f>
        <v>R03</v>
      </c>
      <c r="I385" t="str">
        <f>INDEX('Match Groups'!$D$5:$D$1326,MATCH(G385,'Match Groups'!$A$5:$A$1326,0))</f>
        <v>MATCH</v>
      </c>
      <c r="J385">
        <f>IF(I385="DUPIMP",0,1)</f>
        <v>1</v>
      </c>
    </row>
    <row r="386">
      <c r="A386" t="inlineStr">
        <is>
          <t>BL-00025</t>
        </is>
      </c>
      <c r="B386" t="inlineStr">
        <is>
          <t>OPS</t>
        </is>
      </c>
      <c r="C386" s="5" t="n">
        <v>46209</v>
      </c>
      <c r="D386" t="inlineStr">
        <is>
          <t>DIRECT CREDIT CLEARPATH NDIS PLANS RA44822</t>
        </is>
      </c>
      <c r="E386" s="9" t="n">
        <v>1543.11</v>
      </c>
      <c r="F386" t="inlineStr">
        <is>
          <t>OPS-20260706</t>
        </is>
      </c>
      <c r="G386" t="inlineStr">
        <is>
          <t>G00101</t>
        </is>
      </c>
      <c r="H386" t="str">
        <f>INDEX('Match Groups'!$C$5:$C$1326,MATCH(G386,'Match Groups'!$A$5:$A$1326,0))</f>
        <v>R03</v>
      </c>
      <c r="I386" t="str">
        <f>INDEX('Match Groups'!$D$5:$D$1326,MATCH(G386,'Match Groups'!$A$5:$A$1326,0))</f>
        <v>MATCH</v>
      </c>
      <c r="J386">
        <f>IF(I386="DUPIMP",0,1)</f>
        <v>1</v>
      </c>
    </row>
    <row r="387">
      <c r="A387" t="inlineStr">
        <is>
          <t>BL-00026</t>
        </is>
      </c>
      <c r="B387" t="inlineStr">
        <is>
          <t>OPS</t>
        </is>
      </c>
      <c r="C387" s="5" t="n">
        <v>46209</v>
      </c>
      <c r="D387" t="inlineStr">
        <is>
          <t>DIRECT CREDIT WATTLE PLAN SERVICES P RA44823</t>
        </is>
      </c>
      <c r="E387" s="9" t="n">
        <v>1629.53</v>
      </c>
      <c r="F387" t="inlineStr">
        <is>
          <t>OPS-20260706</t>
        </is>
      </c>
      <c r="G387" t="inlineStr">
        <is>
          <t>G00102</t>
        </is>
      </c>
      <c r="H387" t="str">
        <f>INDEX('Match Groups'!$C$5:$C$1326,MATCH(G387,'Match Groups'!$A$5:$A$1326,0))</f>
        <v>R03</v>
      </c>
      <c r="I387" t="str">
        <f>INDEX('Match Groups'!$D$5:$D$1326,MATCH(G387,'Match Groups'!$A$5:$A$1326,0))</f>
        <v>MATCH</v>
      </c>
      <c r="J387">
        <f>IF(I387="DUPIMP",0,1)</f>
        <v>1</v>
      </c>
    </row>
    <row r="388">
      <c r="A388" t="inlineStr">
        <is>
          <t>BL-00027</t>
        </is>
      </c>
      <c r="B388" t="inlineStr">
        <is>
          <t>OPS</t>
        </is>
      </c>
      <c r="C388" s="5" t="n">
        <v>46209</v>
      </c>
      <c r="D388" t="inlineStr">
        <is>
          <t>DIRECT CREDIT SALTBUSH PLAN MANAGE RA44824</t>
        </is>
      </c>
      <c r="E388" s="9" t="n">
        <v>640.16</v>
      </c>
      <c r="F388" t="inlineStr">
        <is>
          <t>OPS-20260706</t>
        </is>
      </c>
      <c r="G388" t="inlineStr">
        <is>
          <t>G00103</t>
        </is>
      </c>
      <c r="H388" t="str">
        <f>INDEX('Match Groups'!$C$5:$C$1326,MATCH(G388,'Match Groups'!$A$5:$A$1326,0))</f>
        <v>R03</v>
      </c>
      <c r="I388" t="str">
        <f>INDEX('Match Groups'!$D$5:$D$1326,MATCH(G388,'Match Groups'!$A$5:$A$1326,0))</f>
        <v>MATCH</v>
      </c>
      <c r="J388">
        <f>IF(I388="DUPIMP",0,1)</f>
        <v>1</v>
      </c>
    </row>
    <row r="389">
      <c r="A389" t="inlineStr">
        <is>
          <t>BL-00028</t>
        </is>
      </c>
      <c r="B389" t="inlineStr">
        <is>
          <t>OPS</t>
        </is>
      </c>
      <c r="C389" s="5" t="n">
        <v>46209</v>
      </c>
      <c r="D389" t="inlineStr">
        <is>
          <t>DIRECT CREDIT REDGUM PLAN ADMIN RA44825</t>
        </is>
      </c>
      <c r="E389" s="9" t="n">
        <v>1514.89</v>
      </c>
      <c r="F389" t="inlineStr">
        <is>
          <t>OPS-20260706</t>
        </is>
      </c>
      <c r="G389" t="inlineStr">
        <is>
          <t>G00104</t>
        </is>
      </c>
      <c r="H389" t="str">
        <f>INDEX('Match Groups'!$C$5:$C$1326,MATCH(G389,'Match Groups'!$A$5:$A$1326,0))</f>
        <v>R03</v>
      </c>
      <c r="I389" t="str">
        <f>INDEX('Match Groups'!$D$5:$D$1326,MATCH(G389,'Match Groups'!$A$5:$A$1326,0))</f>
        <v>MATCH</v>
      </c>
      <c r="J389">
        <f>IF(I389="DUPIMP",0,1)</f>
        <v>1</v>
      </c>
    </row>
    <row r="390">
      <c r="A390" t="inlineStr">
        <is>
          <t>BL-00029</t>
        </is>
      </c>
      <c r="B390" t="inlineStr">
        <is>
          <t>OPS</t>
        </is>
      </c>
      <c r="C390" s="5" t="n">
        <v>46209</v>
      </c>
      <c r="D390" t="inlineStr">
        <is>
          <t>DIRECT CREDIT SOUTHERN CROSS PLA RA44826</t>
        </is>
      </c>
      <c r="E390" s="9" t="n">
        <v>193.98</v>
      </c>
      <c r="F390" t="inlineStr">
        <is>
          <t>OPS-20260706</t>
        </is>
      </c>
      <c r="G390" t="inlineStr">
        <is>
          <t>G00105</t>
        </is>
      </c>
      <c r="H390" t="str">
        <f>INDEX('Match Groups'!$C$5:$C$1326,MATCH(G390,'Match Groups'!$A$5:$A$1326,0))</f>
        <v>R03</v>
      </c>
      <c r="I390" t="str">
        <f>INDEX('Match Groups'!$D$5:$D$1326,MATCH(G390,'Match Groups'!$A$5:$A$1326,0))</f>
        <v>MATCH</v>
      </c>
      <c r="J390">
        <f>IF(I390="DUPIMP",0,1)</f>
        <v>1</v>
      </c>
    </row>
    <row r="391">
      <c r="A391" t="inlineStr">
        <is>
          <t>BL-00030</t>
        </is>
      </c>
      <c r="B391" t="inlineStr">
        <is>
          <t>OPS</t>
        </is>
      </c>
      <c r="C391" s="5" t="n">
        <v>46209</v>
      </c>
      <c r="D391" t="inlineStr">
        <is>
          <t>DIRECT CREDIT LYREBIRD PLAN MGMT RA44827</t>
        </is>
      </c>
      <c r="E391" s="9" t="n">
        <v>524.67</v>
      </c>
      <c r="F391" t="inlineStr">
        <is>
          <t>OPS-20260706</t>
        </is>
      </c>
      <c r="G391" t="inlineStr">
        <is>
          <t>G00106</t>
        </is>
      </c>
      <c r="H391" t="str">
        <f>INDEX('Match Groups'!$C$5:$C$1326,MATCH(G391,'Match Groups'!$A$5:$A$1326,0))</f>
        <v>R03</v>
      </c>
      <c r="I391" t="str">
        <f>INDEX('Match Groups'!$D$5:$D$1326,MATCH(G391,'Match Groups'!$A$5:$A$1326,0))</f>
        <v>MATCH</v>
      </c>
      <c r="J391">
        <f>IF(I391="DUPIMP",0,1)</f>
        <v>1</v>
      </c>
    </row>
    <row r="392">
      <c r="A392" t="inlineStr">
        <is>
          <t>BL-00031</t>
        </is>
      </c>
      <c r="B392" t="inlineStr">
        <is>
          <t>OPS</t>
        </is>
      </c>
      <c r="C392" s="5" t="n">
        <v>46209</v>
      </c>
      <c r="D392" t="inlineStr">
        <is>
          <t>DIRECT CREDIT ACACIAPLANPARTNE RA44828</t>
        </is>
      </c>
      <c r="E392" s="9" t="n">
        <v>1193.94</v>
      </c>
      <c r="F392" t="inlineStr">
        <is>
          <t>OPS-20260706</t>
        </is>
      </c>
      <c r="G392" t="inlineStr">
        <is>
          <t>G00107</t>
        </is>
      </c>
      <c r="H392" t="str">
        <f>INDEX('Match Groups'!$C$5:$C$1326,MATCH(G392,'Match Groups'!$A$5:$A$1326,0))</f>
        <v>R03</v>
      </c>
      <c r="I392" t="str">
        <f>INDEX('Match Groups'!$D$5:$D$1326,MATCH(G392,'Match Groups'!$A$5:$A$1326,0))</f>
        <v>REG</v>
      </c>
      <c r="J392">
        <f>IF(I392="DUPIMP",0,1)</f>
        <v>1</v>
      </c>
    </row>
    <row r="393">
      <c r="A393" t="inlineStr">
        <is>
          <t>BL-00448</t>
        </is>
      </c>
      <c r="B393" t="inlineStr">
        <is>
          <t>OPS</t>
        </is>
      </c>
      <c r="C393" s="5" t="n">
        <v>46209</v>
      </c>
      <c r="D393" t="inlineStr">
        <is>
          <t>DIRECT CREDIT COASTLINE HEALTH F CLM5268260 RE INV 2026 01634</t>
        </is>
      </c>
      <c r="E393" s="9" t="n">
        <v>88</v>
      </c>
      <c r="F393" t="inlineStr">
        <is>
          <t>OPS-20260706</t>
        </is>
      </c>
      <c r="G393" t="inlineStr">
        <is>
          <t>G00913</t>
        </is>
      </c>
      <c r="H393" t="str">
        <f>INDEX('Match Groups'!$C$5:$C$1326,MATCH(G393,'Match Groups'!$A$5:$A$1326,0))</f>
        <v>R09</v>
      </c>
      <c r="I393" t="str">
        <f>INDEX('Match Groups'!$D$5:$D$1326,MATCH(G393,'Match Groups'!$A$5:$A$1326,0))</f>
        <v>MATCH</v>
      </c>
      <c r="J393">
        <f>IF(I393="DUPIMP",0,1)</f>
        <v>1</v>
      </c>
    </row>
    <row r="394">
      <c r="A394" t="inlineStr">
        <is>
          <t>BL-00584</t>
        </is>
      </c>
      <c r="B394" t="inlineStr">
        <is>
          <t>OPS</t>
        </is>
      </c>
      <c r="C394" s="5" t="n">
        <v>46209</v>
      </c>
      <c r="D394" t="inlineStr">
        <is>
          <t>DIRECT CREDIT MARLOWE PRINT AND INV 3426</t>
        </is>
      </c>
      <c r="E394" s="9" t="n">
        <v>16101.25</v>
      </c>
      <c r="F394" t="inlineStr">
        <is>
          <t>OPS-20260706</t>
        </is>
      </c>
      <c r="G394" t="inlineStr">
        <is>
          <t>G00914</t>
        </is>
      </c>
      <c r="H394" t="str">
        <f>INDEX('Match Groups'!$C$5:$C$1326,MATCH(G394,'Match Groups'!$A$5:$A$1326,0))</f>
        <v>R09</v>
      </c>
      <c r="I394" t="str">
        <f>INDEX('Match Groups'!$D$5:$D$1326,MATCH(G394,'Match Groups'!$A$5:$A$1326,0))</f>
        <v>MATCH</v>
      </c>
      <c r="J394">
        <f>IF(I394="DUPIMP",0,1)</f>
        <v>1</v>
      </c>
    </row>
    <row r="395">
      <c r="A395" t="inlineStr">
        <is>
          <t>BL-00608</t>
        </is>
      </c>
      <c r="B395" t="inlineStr">
        <is>
          <t>OPS</t>
        </is>
      </c>
      <c r="C395" s="5" t="n">
        <v>46209</v>
      </c>
      <c r="D395" t="inlineStr">
        <is>
          <t>DIRECT CREDIT SORRENTO BAY HOTELS 03433</t>
        </is>
      </c>
      <c r="E395" s="9" t="n">
        <v>10725</v>
      </c>
      <c r="F395" t="inlineStr">
        <is>
          <t>OPS-20260706</t>
        </is>
      </c>
      <c r="G395" t="inlineStr">
        <is>
          <t>G00915</t>
        </is>
      </c>
      <c r="H395" t="str">
        <f>INDEX('Match Groups'!$C$5:$C$1326,MATCH(G395,'Match Groups'!$A$5:$A$1326,0))</f>
        <v>R09</v>
      </c>
      <c r="I395" t="str">
        <f>INDEX('Match Groups'!$D$5:$D$1326,MATCH(G395,'Match Groups'!$A$5:$A$1326,0))</f>
        <v>MATCH</v>
      </c>
      <c r="J395">
        <f>IF(I395="DUPIMP",0,1)</f>
        <v>1</v>
      </c>
    </row>
    <row r="396">
      <c r="A396" t="inlineStr">
        <is>
          <t>BL-00617</t>
        </is>
      </c>
      <c r="B396" t="inlineStr">
        <is>
          <t>OPS</t>
        </is>
      </c>
      <c r="C396" s="5" t="n">
        <v>46209</v>
      </c>
      <c r="D396" t="inlineStr">
        <is>
          <t>DIRECT CREDIT ASHGROVE ACCOUNTING INV/2026/03437</t>
        </is>
      </c>
      <c r="E396" s="9" t="n">
        <v>15950</v>
      </c>
      <c r="F396" t="inlineStr">
        <is>
          <t>OPS-20260706</t>
        </is>
      </c>
      <c r="G396" t="inlineStr">
        <is>
          <t>G00916</t>
        </is>
      </c>
      <c r="H396" t="str">
        <f>INDEX('Match Groups'!$C$5:$C$1326,MATCH(G396,'Match Groups'!$A$5:$A$1326,0))</f>
        <v>R09</v>
      </c>
      <c r="I396" t="str">
        <f>INDEX('Match Groups'!$D$5:$D$1326,MATCH(G396,'Match Groups'!$A$5:$A$1326,0))</f>
        <v>MATCH</v>
      </c>
      <c r="J396">
        <f>IF(I396="DUPIMP",0,1)</f>
        <v>1</v>
      </c>
    </row>
    <row r="397">
      <c r="A397" t="inlineStr">
        <is>
          <t>BL-00621</t>
        </is>
      </c>
      <c r="B397" t="inlineStr">
        <is>
          <t>OPS</t>
        </is>
      </c>
      <c r="C397" s="5" t="n">
        <v>46209</v>
      </c>
      <c r="D397" t="inlineStr">
        <is>
          <t>DIRECT CREDIT PEREGRINE SECURITY</t>
        </is>
      </c>
      <c r="E397" s="9" t="n">
        <v>10725</v>
      </c>
      <c r="F397" t="inlineStr">
        <is>
          <t>OPS-20260706</t>
        </is>
      </c>
      <c r="G397" t="inlineStr">
        <is>
          <t>G01119</t>
        </is>
      </c>
      <c r="H397" t="str">
        <f>INDEX('Match Groups'!$C$5:$C$1326,MATCH(G397,'Match Groups'!$A$5:$A$1326,0))</f>
        <v>R10</v>
      </c>
      <c r="I397" t="str">
        <f>INDEX('Match Groups'!$D$5:$D$1326,MATCH(G397,'Match Groups'!$A$5:$A$1326,0))</f>
        <v>MATCH</v>
      </c>
      <c r="J397">
        <f>IF(I397="DUPIMP",0,1)</f>
        <v>1</v>
      </c>
    </row>
    <row r="398">
      <c r="A398" t="inlineStr">
        <is>
          <t>BL-00672</t>
        </is>
      </c>
      <c r="B398" t="inlineStr">
        <is>
          <t>OPS</t>
        </is>
      </c>
      <c r="C398" s="5" t="n">
        <v>46209</v>
      </c>
      <c r="D398" t="inlineStr">
        <is>
          <t>DIRECT CREDIT ROSEDALE NURSERIES</t>
        </is>
      </c>
      <c r="E398" s="9" t="n">
        <v>3465</v>
      </c>
      <c r="F398" t="inlineStr">
        <is>
          <t>OPS-20260706</t>
        </is>
      </c>
      <c r="G398" t="inlineStr">
        <is>
          <t>G01120</t>
        </is>
      </c>
      <c r="H398" t="str">
        <f>INDEX('Match Groups'!$C$5:$C$1326,MATCH(G398,'Match Groups'!$A$5:$A$1326,0))</f>
        <v>R10</v>
      </c>
      <c r="I398" t="str">
        <f>INDEX('Match Groups'!$D$5:$D$1326,MATCH(G398,'Match Groups'!$A$5:$A$1326,0))</f>
        <v>MATCH</v>
      </c>
      <c r="J398">
        <f>IF(I398="DUPIMP",0,1)</f>
        <v>1</v>
      </c>
    </row>
    <row r="399">
      <c r="A399" t="inlineStr">
        <is>
          <t>BL-00690</t>
        </is>
      </c>
      <c r="B399" t="inlineStr">
        <is>
          <t>OPS</t>
        </is>
      </c>
      <c r="C399" s="5" t="n">
        <v>46209</v>
      </c>
      <c r="D399" t="inlineStr">
        <is>
          <t>STRIPE PAYOUT STRIPE po_1Q0004KX</t>
        </is>
      </c>
      <c r="E399" s="9" t="n">
        <v>3121.73</v>
      </c>
      <c r="F399" t="inlineStr">
        <is>
          <t>OPS-20260706</t>
        </is>
      </c>
      <c r="G399" t="inlineStr">
        <is>
          <t>G00017</t>
        </is>
      </c>
      <c r="H399" t="str">
        <f>INDEX('Match Groups'!$C$5:$C$1326,MATCH(G399,'Match Groups'!$A$5:$A$1326,0))</f>
        <v>R02</v>
      </c>
      <c r="I399" t="str">
        <f>INDEX('Match Groups'!$D$5:$D$1326,MATCH(G399,'Match Groups'!$A$5:$A$1326,0))</f>
        <v>STRIPE-FEE</v>
      </c>
      <c r="J399">
        <f>IF(I399="DUPIMP",0,1)</f>
        <v>1</v>
      </c>
    </row>
    <row r="400">
      <c r="A400" t="inlineStr">
        <is>
          <t>BL-00779</t>
        </is>
      </c>
      <c r="B400" t="inlineStr">
        <is>
          <t>OPS</t>
        </is>
      </c>
      <c r="C400" s="5" t="n">
        <v>46209</v>
      </c>
      <c r="D400" t="inlineStr">
        <is>
          <t>DIRECT DEBIT CLOUD PAYROLL 343406</t>
        </is>
      </c>
      <c r="E400" s="9" t="n">
        <v>-495</v>
      </c>
      <c r="F400" t="inlineStr">
        <is>
          <t>OPS-20260706</t>
        </is>
      </c>
      <c r="G400" t="inlineStr">
        <is>
          <t>G01121</t>
        </is>
      </c>
      <c r="H400" t="str">
        <f>INDEX('Match Groups'!$C$5:$C$1326,MATCH(G400,'Match Groups'!$A$5:$A$1326,0))</f>
        <v>R10</v>
      </c>
      <c r="I400" t="str">
        <f>INDEX('Match Groups'!$D$5:$D$1326,MATCH(G400,'Match Groups'!$A$5:$A$1326,0))</f>
        <v>MATCH</v>
      </c>
      <c r="J400">
        <f>IF(I400="DUPIMP",0,1)</f>
        <v>1</v>
      </c>
    </row>
    <row r="401">
      <c r="A401" t="inlineStr">
        <is>
          <t>BL-01562</t>
        </is>
      </c>
      <c r="B401" t="inlineStr">
        <is>
          <t>OPS</t>
        </is>
      </c>
      <c r="C401" s="5" t="n">
        <v>46209</v>
      </c>
      <c r="D401" t="inlineStr">
        <is>
          <t>SWEEP FROM MERCHANT ACCT</t>
        </is>
      </c>
      <c r="E401" s="9" t="n">
        <v>22000</v>
      </c>
      <c r="F401" t="inlineStr">
        <is>
          <t>OPS-20260706</t>
        </is>
      </c>
      <c r="G401" t="inlineStr">
        <is>
          <t>G00505</t>
        </is>
      </c>
      <c r="H401" t="str">
        <f>INDEX('Match Groups'!$C$5:$C$1326,MATCH(G401,'Match Groups'!$A$5:$A$1326,0))</f>
        <v>R04</v>
      </c>
      <c r="I401" t="str">
        <f>INDEX('Match Groups'!$D$5:$D$1326,MATCH(G401,'Match Groups'!$A$5:$A$1326,0))</f>
        <v>MATCH</v>
      </c>
      <c r="J401">
        <f>IF(I401="DUPIMP",0,1)</f>
        <v>1</v>
      </c>
    </row>
    <row r="402">
      <c r="A402" t="inlineStr">
        <is>
          <t>BL-00032</t>
        </is>
      </c>
      <c r="B402" t="inlineStr">
        <is>
          <t>OPS</t>
        </is>
      </c>
      <c r="C402" s="5" t="n">
        <v>46210</v>
      </c>
      <c r="D402" t="inlineStr">
        <is>
          <t>DIRECT CREDIT BLUEGUM PLAN MGMT RA44829</t>
        </is>
      </c>
      <c r="E402" s="9" t="n">
        <v>447.98</v>
      </c>
      <c r="F402" t="inlineStr">
        <is>
          <t>OPS-20260707</t>
        </is>
      </c>
      <c r="G402" t="inlineStr">
        <is>
          <t>G00108</t>
        </is>
      </c>
      <c r="H402" t="str">
        <f>INDEX('Match Groups'!$C$5:$C$1326,MATCH(G402,'Match Groups'!$A$5:$A$1326,0))</f>
        <v>R03</v>
      </c>
      <c r="I402" t="str">
        <f>INDEX('Match Groups'!$D$5:$D$1326,MATCH(G402,'Match Groups'!$A$5:$A$1326,0))</f>
        <v>MATCH</v>
      </c>
      <c r="J402">
        <f>IF(I402="DUPIMP",0,1)</f>
        <v>1</v>
      </c>
    </row>
    <row r="403">
      <c r="A403" t="inlineStr">
        <is>
          <t>BL-00033</t>
        </is>
      </c>
      <c r="B403" t="inlineStr">
        <is>
          <t>OPS</t>
        </is>
      </c>
      <c r="C403" s="5" t="n">
        <v>46210</v>
      </c>
      <c r="D403" t="inlineStr">
        <is>
          <t>DIRECT CREDIT CLEARPATH NDIS PLA RA44830</t>
        </is>
      </c>
      <c r="E403" s="9" t="n">
        <v>2494.54</v>
      </c>
      <c r="F403" t="inlineStr">
        <is>
          <t>OPS-20260707</t>
        </is>
      </c>
      <c r="G403" t="inlineStr">
        <is>
          <t>G00109</t>
        </is>
      </c>
      <c r="H403" t="str">
        <f>INDEX('Match Groups'!$C$5:$C$1326,MATCH(G403,'Match Groups'!$A$5:$A$1326,0))</f>
        <v>R03</v>
      </c>
      <c r="I403" t="str">
        <f>INDEX('Match Groups'!$D$5:$D$1326,MATCH(G403,'Match Groups'!$A$5:$A$1326,0))</f>
        <v>MATCH</v>
      </c>
      <c r="J403">
        <f>IF(I403="DUPIMP",0,1)</f>
        <v>1</v>
      </c>
    </row>
    <row r="404">
      <c r="A404" t="inlineStr">
        <is>
          <t>BL-00034</t>
        </is>
      </c>
      <c r="B404" t="inlineStr">
        <is>
          <t>OPS</t>
        </is>
      </c>
      <c r="C404" s="5" t="n">
        <v>46210</v>
      </c>
      <c r="D404" t="inlineStr">
        <is>
          <t>DIRECT CREDIT WATTLE PLAN SERVICES P RA44831</t>
        </is>
      </c>
      <c r="E404" s="9" t="n">
        <v>884.45</v>
      </c>
      <c r="F404" t="inlineStr">
        <is>
          <t>OPS-20260707</t>
        </is>
      </c>
      <c r="G404" t="inlineStr">
        <is>
          <t>G00110</t>
        </is>
      </c>
      <c r="H404" t="str">
        <f>INDEX('Match Groups'!$C$5:$C$1326,MATCH(G404,'Match Groups'!$A$5:$A$1326,0))</f>
        <v>R03</v>
      </c>
      <c r="I404" t="str">
        <f>INDEX('Match Groups'!$D$5:$D$1326,MATCH(G404,'Match Groups'!$A$5:$A$1326,0))</f>
        <v>REG</v>
      </c>
      <c r="J404">
        <f>IF(I404="DUPIMP",0,1)</f>
        <v>1</v>
      </c>
    </row>
    <row r="405">
      <c r="A405" t="inlineStr">
        <is>
          <t>BL-00035</t>
        </is>
      </c>
      <c r="B405" t="inlineStr">
        <is>
          <t>OPS</t>
        </is>
      </c>
      <c r="C405" s="5" t="n">
        <v>46210</v>
      </c>
      <c r="D405" t="inlineStr">
        <is>
          <t>DIRECT CREDIT BANKSIA PLAN CO RA44832</t>
        </is>
      </c>
      <c r="E405" s="9" t="n">
        <v>1077.54</v>
      </c>
      <c r="F405" t="inlineStr">
        <is>
          <t>OPS-20260707</t>
        </is>
      </c>
      <c r="G405" t="inlineStr">
        <is>
          <t>G00111</t>
        </is>
      </c>
      <c r="H405" t="str">
        <f>INDEX('Match Groups'!$C$5:$C$1326,MATCH(G405,'Match Groups'!$A$5:$A$1326,0))</f>
        <v>R03</v>
      </c>
      <c r="I405" t="str">
        <f>INDEX('Match Groups'!$D$5:$D$1326,MATCH(G405,'Match Groups'!$A$5:$A$1326,0))</f>
        <v>MATCH</v>
      </c>
      <c r="J405">
        <f>IF(I405="DUPIMP",0,1)</f>
        <v>1</v>
      </c>
    </row>
    <row r="406">
      <c r="A406" t="inlineStr">
        <is>
          <t>BL-00036</t>
        </is>
      </c>
      <c r="B406" t="inlineStr">
        <is>
          <t>OPS</t>
        </is>
      </c>
      <c r="C406" s="5" t="n">
        <v>46210</v>
      </c>
      <c r="D406" t="inlineStr">
        <is>
          <t>DIRECT CREDIT IRONBARKPLANMANA RA44833</t>
        </is>
      </c>
      <c r="E406" s="9" t="n">
        <v>640.17</v>
      </c>
      <c r="F406" t="inlineStr">
        <is>
          <t>OPS-20260707</t>
        </is>
      </c>
      <c r="G406" t="inlineStr">
        <is>
          <t>G00112</t>
        </is>
      </c>
      <c r="H406" t="str">
        <f>INDEX('Match Groups'!$C$5:$C$1326,MATCH(G406,'Match Groups'!$A$5:$A$1326,0))</f>
        <v>R03</v>
      </c>
      <c r="I406" t="str">
        <f>INDEX('Match Groups'!$D$5:$D$1326,MATCH(G406,'Match Groups'!$A$5:$A$1326,0))</f>
        <v>MATCH</v>
      </c>
      <c r="J406">
        <f>IF(I406="DUPIMP",0,1)</f>
        <v>1</v>
      </c>
    </row>
    <row r="407">
      <c r="A407" t="inlineStr">
        <is>
          <t>BL-00037</t>
        </is>
      </c>
      <c r="B407" t="inlineStr">
        <is>
          <t>OPS</t>
        </is>
      </c>
      <c r="C407" s="5" t="n">
        <v>46210</v>
      </c>
      <c r="D407" t="inlineStr">
        <is>
          <t>DIRECT CREDIT KOOKABURRA PLAN SU RA44834</t>
        </is>
      </c>
      <c r="E407" s="9" t="n">
        <v>1203.64</v>
      </c>
      <c r="F407" t="inlineStr">
        <is>
          <t>OPS-20260707</t>
        </is>
      </c>
      <c r="G407" t="inlineStr">
        <is>
          <t>G00113</t>
        </is>
      </c>
      <c r="H407" t="str">
        <f>INDEX('Match Groups'!$C$5:$C$1326,MATCH(G407,'Match Groups'!$A$5:$A$1326,0))</f>
        <v>R03</v>
      </c>
      <c r="I407" t="str">
        <f>INDEX('Match Groups'!$D$5:$D$1326,MATCH(G407,'Match Groups'!$A$5:$A$1326,0))</f>
        <v>MATCH</v>
      </c>
      <c r="J407">
        <f>IF(I407="DUPIMP",0,1)</f>
        <v>1</v>
      </c>
    </row>
    <row r="408">
      <c r="A408" t="inlineStr">
        <is>
          <t>BL-00038</t>
        </is>
      </c>
      <c r="B408" t="inlineStr">
        <is>
          <t>OPS</t>
        </is>
      </c>
      <c r="C408" s="5" t="n">
        <v>46210</v>
      </c>
      <c r="D408" t="inlineStr">
        <is>
          <t>DIRECT CREDIT REDGUM PLAN ADMIN RA44835</t>
        </is>
      </c>
      <c r="E408" s="9" t="n">
        <v>2086.26</v>
      </c>
      <c r="F408" t="inlineStr">
        <is>
          <t>OPS-20260707</t>
        </is>
      </c>
      <c r="G408" t="inlineStr">
        <is>
          <t>G00114</t>
        </is>
      </c>
      <c r="H408" t="str">
        <f>INDEX('Match Groups'!$C$5:$C$1326,MATCH(G408,'Match Groups'!$A$5:$A$1326,0))</f>
        <v>R03</v>
      </c>
      <c r="I408" t="str">
        <f>INDEX('Match Groups'!$D$5:$D$1326,MATCH(G408,'Match Groups'!$A$5:$A$1326,0))</f>
        <v>MATCH</v>
      </c>
      <c r="J408">
        <f>IF(I408="DUPIMP",0,1)</f>
        <v>1</v>
      </c>
    </row>
    <row r="409">
      <c r="A409" t="inlineStr">
        <is>
          <t>BL-00039</t>
        </is>
      </c>
      <c r="B409" t="inlineStr">
        <is>
          <t>OPS</t>
        </is>
      </c>
      <c r="C409" s="5" t="n">
        <v>46210</v>
      </c>
      <c r="D409" t="inlineStr">
        <is>
          <t>DIRECT CREDIT TALLOWWOOD PLANS PTY L RA44836</t>
        </is>
      </c>
      <c r="E409" s="9" t="n">
        <v>1193.93</v>
      </c>
      <c r="F409" t="inlineStr">
        <is>
          <t>OPS-20260707</t>
        </is>
      </c>
      <c r="G409" t="inlineStr">
        <is>
          <t>G00115</t>
        </is>
      </c>
      <c r="H409" t="str">
        <f>INDEX('Match Groups'!$C$5:$C$1326,MATCH(G409,'Match Groups'!$A$5:$A$1326,0))</f>
        <v>R03</v>
      </c>
      <c r="I409" t="str">
        <f>INDEX('Match Groups'!$D$5:$D$1326,MATCH(G409,'Match Groups'!$A$5:$A$1326,0))</f>
        <v>MATCH</v>
      </c>
      <c r="J409">
        <f>IF(I409="DUPIMP",0,1)</f>
        <v>1</v>
      </c>
    </row>
    <row r="410">
      <c r="A410" t="inlineStr">
        <is>
          <t>BL-00040</t>
        </is>
      </c>
      <c r="B410" t="inlineStr">
        <is>
          <t>OPS</t>
        </is>
      </c>
      <c r="C410" s="5" t="n">
        <v>46210</v>
      </c>
      <c r="D410" t="inlineStr">
        <is>
          <t>DIRECT CREDIT MALLEE PLAN SERVICES RA44837</t>
        </is>
      </c>
      <c r="E410" s="9" t="n">
        <v>242.48</v>
      </c>
      <c r="F410" t="inlineStr">
        <is>
          <t>OPS-20260707</t>
        </is>
      </c>
      <c r="G410" t="inlineStr">
        <is>
          <t>G00116</t>
        </is>
      </c>
      <c r="H410" t="str">
        <f>INDEX('Match Groups'!$C$5:$C$1326,MATCH(G410,'Match Groups'!$A$5:$A$1326,0))</f>
        <v>R03</v>
      </c>
      <c r="I410" t="str">
        <f>INDEX('Match Groups'!$D$5:$D$1326,MATCH(G410,'Match Groups'!$A$5:$A$1326,0))</f>
        <v>MATCH</v>
      </c>
      <c r="J410">
        <f>IF(I410="DUPIMP",0,1)</f>
        <v>1</v>
      </c>
    </row>
    <row r="411">
      <c r="A411" t="inlineStr">
        <is>
          <t>BL-00426</t>
        </is>
      </c>
      <c r="B411" t="inlineStr">
        <is>
          <t>OPS</t>
        </is>
      </c>
      <c r="C411" s="5" t="n">
        <v>46210</v>
      </c>
      <c r="D411" t="inlineStr">
        <is>
          <t>DIRECT CREDIT HARBOURMUTUALHEA CLM5177490 RE INV 2026 01841</t>
        </is>
      </c>
      <c r="E411" s="9" t="n">
        <v>412.5</v>
      </c>
      <c r="F411" t="inlineStr">
        <is>
          <t>OPS-20260707</t>
        </is>
      </c>
      <c r="G411" t="inlineStr">
        <is>
          <t>G00917</t>
        </is>
      </c>
      <c r="H411" t="str">
        <f>INDEX('Match Groups'!$C$5:$C$1326,MATCH(G411,'Match Groups'!$A$5:$A$1326,0))</f>
        <v>R09</v>
      </c>
      <c r="I411" t="str">
        <f>INDEX('Match Groups'!$D$5:$D$1326,MATCH(G411,'Match Groups'!$A$5:$A$1326,0))</f>
        <v>MATCH</v>
      </c>
      <c r="J411">
        <f>IF(I411="DUPIMP",0,1)</f>
        <v>1</v>
      </c>
    </row>
    <row r="412">
      <c r="A412" t="inlineStr">
        <is>
          <t>BL-00451</t>
        </is>
      </c>
      <c r="B412" t="inlineStr">
        <is>
          <t>OPS</t>
        </is>
      </c>
      <c r="C412" s="5" t="n">
        <v>46210</v>
      </c>
      <c r="D412" t="inlineStr">
        <is>
          <t>DIRECT CREDIT COASTLINE HEALTH FUND CLM5452863 RE INV 2026 01823</t>
        </is>
      </c>
      <c r="E412" s="9" t="n">
        <v>132</v>
      </c>
      <c r="F412" t="inlineStr">
        <is>
          <t>OPS-20260707</t>
        </is>
      </c>
      <c r="G412" t="inlineStr">
        <is>
          <t>G00918</t>
        </is>
      </c>
      <c r="H412" t="str">
        <f>INDEX('Match Groups'!$C$5:$C$1326,MATCH(G412,'Match Groups'!$A$5:$A$1326,0))</f>
        <v>R09</v>
      </c>
      <c r="I412" t="str">
        <f>INDEX('Match Groups'!$D$5:$D$1326,MATCH(G412,'Match Groups'!$A$5:$A$1326,0))</f>
        <v>MATCH</v>
      </c>
      <c r="J412">
        <f>IF(I412="DUPIMP",0,1)</f>
        <v>1</v>
      </c>
    </row>
    <row r="413">
      <c r="A413" t="inlineStr">
        <is>
          <t>BL-00467</t>
        </is>
      </c>
      <c r="B413" t="inlineStr">
        <is>
          <t>OPS</t>
        </is>
      </c>
      <c r="C413" s="5" t="n">
        <v>46210</v>
      </c>
      <c r="D413" t="inlineStr">
        <is>
          <t>DIRECT CREDIT UNITY WORKCOVER AG CLM5587080 INV01913</t>
        </is>
      </c>
      <c r="E413" s="9" t="n">
        <v>412.5</v>
      </c>
      <c r="F413" t="inlineStr">
        <is>
          <t>OPS-20260707</t>
        </is>
      </c>
      <c r="G413" t="inlineStr">
        <is>
          <t>G00919</t>
        </is>
      </c>
      <c r="H413" t="str">
        <f>INDEX('Match Groups'!$C$5:$C$1326,MATCH(G413,'Match Groups'!$A$5:$A$1326,0))</f>
        <v>R09</v>
      </c>
      <c r="I413" t="str">
        <f>INDEX('Match Groups'!$D$5:$D$1326,MATCH(G413,'Match Groups'!$A$5:$A$1326,0))</f>
        <v>MATCH</v>
      </c>
      <c r="J413">
        <f>IF(I413="DUPIMP",0,1)</f>
        <v>1</v>
      </c>
    </row>
    <row r="414">
      <c r="A414" t="inlineStr">
        <is>
          <t>BL-00511</t>
        </is>
      </c>
      <c r="B414" t="inlineStr">
        <is>
          <t>OPS</t>
        </is>
      </c>
      <c r="C414" s="5" t="n">
        <v>46210</v>
      </c>
      <c r="D414" t="inlineStr">
        <is>
          <t>DIRECT CREDIT MERIDIANHEALTHCO CLM5686287 INV 1794</t>
        </is>
      </c>
      <c r="E414" s="9" t="n">
        <v>88</v>
      </c>
      <c r="F414" t="inlineStr">
        <is>
          <t>OPS-20260707</t>
        </is>
      </c>
      <c r="G414" t="inlineStr">
        <is>
          <t>G00920</t>
        </is>
      </c>
      <c r="H414" t="str">
        <f>INDEX('Match Groups'!$C$5:$C$1326,MATCH(G414,'Match Groups'!$A$5:$A$1326,0))</f>
        <v>R09</v>
      </c>
      <c r="I414" t="str">
        <f>INDEX('Match Groups'!$D$5:$D$1326,MATCH(G414,'Match Groups'!$A$5:$A$1326,0))</f>
        <v>MATCH</v>
      </c>
      <c r="J414">
        <f>IF(I414="DUPIMP",0,1)</f>
        <v>1</v>
      </c>
    </row>
    <row r="415">
      <c r="A415" t="inlineStr">
        <is>
          <t>BL-00691</t>
        </is>
      </c>
      <c r="B415" t="inlineStr">
        <is>
          <t>OPS</t>
        </is>
      </c>
      <c r="C415" s="5" t="n">
        <v>46210</v>
      </c>
      <c r="D415" t="inlineStr">
        <is>
          <t>STRIPE PAYOUT STRIPE po_1Q0005KX</t>
        </is>
      </c>
      <c r="E415" s="9" t="n">
        <v>5195.81</v>
      </c>
      <c r="F415" t="inlineStr">
        <is>
          <t>OPS-20260707</t>
        </is>
      </c>
      <c r="G415" t="inlineStr">
        <is>
          <t>G00018</t>
        </is>
      </c>
      <c r="H415" t="str">
        <f>INDEX('Match Groups'!$C$5:$C$1326,MATCH(G415,'Match Groups'!$A$5:$A$1326,0))</f>
        <v>R02</v>
      </c>
      <c r="I415" t="str">
        <f>INDEX('Match Groups'!$D$5:$D$1326,MATCH(G415,'Match Groups'!$A$5:$A$1326,0))</f>
        <v>STRIPE-FEE</v>
      </c>
      <c r="J415">
        <f>IF(I415="DUPIMP",0,1)</f>
        <v>1</v>
      </c>
    </row>
    <row r="416">
      <c r="A416" t="inlineStr">
        <is>
          <t>BL-00041</t>
        </is>
      </c>
      <c r="B416" t="inlineStr">
        <is>
          <t>OPS</t>
        </is>
      </c>
      <c r="C416" s="5" t="n">
        <v>46211</v>
      </c>
      <c r="D416" t="inlineStr">
        <is>
          <t>DIRECT CREDIT CLEARPATH NDIS PLANS RA44838</t>
        </is>
      </c>
      <c r="E416" s="9" t="n">
        <v>737.16</v>
      </c>
      <c r="F416" t="inlineStr">
        <is>
          <t>OPS-20260708</t>
        </is>
      </c>
      <c r="G416" t="inlineStr">
        <is>
          <t>G00117</t>
        </is>
      </c>
      <c r="H416" t="str">
        <f>INDEX('Match Groups'!$C$5:$C$1326,MATCH(G416,'Match Groups'!$A$5:$A$1326,0))</f>
        <v>R03</v>
      </c>
      <c r="I416" t="str">
        <f>INDEX('Match Groups'!$D$5:$D$1326,MATCH(G416,'Match Groups'!$A$5:$A$1326,0))</f>
        <v>MATCH</v>
      </c>
      <c r="J416">
        <f>IF(I416="DUPIMP",0,1)</f>
        <v>1</v>
      </c>
    </row>
    <row r="417">
      <c r="A417" t="inlineStr">
        <is>
          <t>BL-00042</t>
        </is>
      </c>
      <c r="B417" t="inlineStr">
        <is>
          <t>OPS</t>
        </is>
      </c>
      <c r="C417" s="5" t="n">
        <v>46211</v>
      </c>
      <c r="D417" t="inlineStr">
        <is>
          <t>DIRECT CREDIT SALTBUSH PLAN MANA RA44839</t>
        </is>
      </c>
      <c r="E417" s="9" t="n">
        <v>1115.44</v>
      </c>
      <c r="F417" t="inlineStr">
        <is>
          <t>OPS-20260708</t>
        </is>
      </c>
      <c r="G417" t="inlineStr">
        <is>
          <t>G00118</t>
        </is>
      </c>
      <c r="H417" t="str">
        <f>INDEX('Match Groups'!$C$5:$C$1326,MATCH(G417,'Match Groups'!$A$5:$A$1326,0))</f>
        <v>R03</v>
      </c>
      <c r="I417" t="str">
        <f>INDEX('Match Groups'!$D$5:$D$1326,MATCH(G417,'Match Groups'!$A$5:$A$1326,0))</f>
        <v>MATCH</v>
      </c>
      <c r="J417">
        <f>IF(I417="DUPIMP",0,1)</f>
        <v>1</v>
      </c>
    </row>
    <row r="418">
      <c r="A418" t="inlineStr">
        <is>
          <t>BL-00043</t>
        </is>
      </c>
      <c r="B418" t="inlineStr">
        <is>
          <t>OPS</t>
        </is>
      </c>
      <c r="C418" s="5" t="n">
        <v>46211</v>
      </c>
      <c r="D418" t="inlineStr">
        <is>
          <t>DIRECT CREDIT REDGUM PLAN ADMIN PTY RA44840</t>
        </is>
      </c>
      <c r="E418" s="9" t="n">
        <v>1959.29</v>
      </c>
      <c r="F418" t="inlineStr">
        <is>
          <t>OPS-20260708</t>
        </is>
      </c>
      <c r="G418" t="inlineStr">
        <is>
          <t>G00119</t>
        </is>
      </c>
      <c r="H418" t="str">
        <f>INDEX('Match Groups'!$C$5:$C$1326,MATCH(G418,'Match Groups'!$A$5:$A$1326,0))</f>
        <v>R03</v>
      </c>
      <c r="I418" t="str">
        <f>INDEX('Match Groups'!$D$5:$D$1326,MATCH(G418,'Match Groups'!$A$5:$A$1326,0))</f>
        <v>MATCH</v>
      </c>
      <c r="J418">
        <f>IF(I418="DUPIMP",0,1)</f>
        <v>1</v>
      </c>
    </row>
    <row r="419">
      <c r="A419" t="inlineStr">
        <is>
          <t>BL-00044</t>
        </is>
      </c>
      <c r="B419" t="inlineStr">
        <is>
          <t>OPS</t>
        </is>
      </c>
      <c r="C419" s="5" t="n">
        <v>46211</v>
      </c>
      <c r="D419" t="inlineStr">
        <is>
          <t>DIRECT CREDIT LYREBIRD PLAN MGMT RA44841</t>
        </is>
      </c>
      <c r="E419" s="9" t="n">
        <v>670.17</v>
      </c>
      <c r="F419" t="inlineStr">
        <is>
          <t>OPS-20260708</t>
        </is>
      </c>
      <c r="G419" t="inlineStr">
        <is>
          <t>G00120</t>
        </is>
      </c>
      <c r="H419" t="str">
        <f>INDEX('Match Groups'!$C$5:$C$1326,MATCH(G419,'Match Groups'!$A$5:$A$1326,0))</f>
        <v>R03</v>
      </c>
      <c r="I419" t="str">
        <f>INDEX('Match Groups'!$D$5:$D$1326,MATCH(G419,'Match Groups'!$A$5:$A$1326,0))</f>
        <v>MATCH</v>
      </c>
      <c r="J419">
        <f>IF(I419="DUPIMP",0,1)</f>
        <v>1</v>
      </c>
    </row>
    <row r="420">
      <c r="A420" t="inlineStr">
        <is>
          <t>BL-00045</t>
        </is>
      </c>
      <c r="B420" t="inlineStr">
        <is>
          <t>OPS</t>
        </is>
      </c>
      <c r="C420" s="5" t="n">
        <v>46211</v>
      </c>
      <c r="D420" t="inlineStr">
        <is>
          <t>DIRECT CREDIT MALLEE PLAN SERVICES RA44842</t>
        </is>
      </c>
      <c r="E420" s="9" t="n">
        <v>2368.49</v>
      </c>
      <c r="F420" t="inlineStr">
        <is>
          <t>OPS-20260708</t>
        </is>
      </c>
      <c r="G420" t="inlineStr">
        <is>
          <t>G00121</t>
        </is>
      </c>
      <c r="H420" t="str">
        <f>INDEX('Match Groups'!$C$5:$C$1326,MATCH(G420,'Match Groups'!$A$5:$A$1326,0))</f>
        <v>R03</v>
      </c>
      <c r="I420" t="str">
        <f>INDEX('Match Groups'!$D$5:$D$1326,MATCH(G420,'Match Groups'!$A$5:$A$1326,0))</f>
        <v>MATCH</v>
      </c>
      <c r="J420">
        <f>IF(I420="DUPIMP",0,1)</f>
        <v>1</v>
      </c>
    </row>
    <row r="421">
      <c r="A421" t="inlineStr">
        <is>
          <t>BL-00532</t>
        </is>
      </c>
      <c r="B421" t="inlineStr">
        <is>
          <t>OPS</t>
        </is>
      </c>
      <c r="C421" s="5" t="n">
        <v>46211</v>
      </c>
      <c r="D421" t="inlineStr">
        <is>
          <t>DIRECT CREDIT NORTHLINE INJURY C CLM5899165 INV/2026/01684</t>
        </is>
      </c>
      <c r="E421" s="9" t="n">
        <v>990</v>
      </c>
      <c r="F421" t="inlineStr">
        <is>
          <t>OPS-20260708</t>
        </is>
      </c>
      <c r="G421" t="inlineStr">
        <is>
          <t>G00921</t>
        </is>
      </c>
      <c r="H421" t="str">
        <f>INDEX('Match Groups'!$C$5:$C$1326,MATCH(G421,'Match Groups'!$A$5:$A$1326,0))</f>
        <v>R09</v>
      </c>
      <c r="I421" t="str">
        <f>INDEX('Match Groups'!$D$5:$D$1326,MATCH(G421,'Match Groups'!$A$5:$A$1326,0))</f>
        <v>MATCH</v>
      </c>
      <c r="J421">
        <f>IF(I421="DUPIMP",0,1)</f>
        <v>1</v>
      </c>
    </row>
    <row r="422">
      <c r="A422" t="inlineStr">
        <is>
          <t>BL-00692</t>
        </is>
      </c>
      <c r="B422" t="inlineStr">
        <is>
          <t>OPS</t>
        </is>
      </c>
      <c r="C422" s="5" t="n">
        <v>46211</v>
      </c>
      <c r="D422" t="inlineStr">
        <is>
          <t>STRIPE PAYOUT STRIPE po_1Q0006KX</t>
        </is>
      </c>
      <c r="E422" s="9" t="n">
        <v>2288.41</v>
      </c>
      <c r="F422" t="inlineStr">
        <is>
          <t>OPS-20260708</t>
        </is>
      </c>
      <c r="G422" t="inlineStr">
        <is>
          <t>G00019</t>
        </is>
      </c>
      <c r="H422" t="str">
        <f>INDEX('Match Groups'!$C$5:$C$1326,MATCH(G422,'Match Groups'!$A$5:$A$1326,0))</f>
        <v>R02</v>
      </c>
      <c r="I422" t="str">
        <f>INDEX('Match Groups'!$D$5:$D$1326,MATCH(G422,'Match Groups'!$A$5:$A$1326,0))</f>
        <v>STRIPE-FEE</v>
      </c>
      <c r="J422">
        <f>IF(I422="DUPIMP",0,1)</f>
        <v>1</v>
      </c>
    </row>
    <row r="423">
      <c r="A423" t="inlineStr">
        <is>
          <t>BL-00754</t>
        </is>
      </c>
      <c r="B423" t="inlineStr">
        <is>
          <t>OPS</t>
        </is>
      </c>
      <c r="C423" s="5" t="n">
        <v>46211</v>
      </c>
      <c r="D423" t="inlineStr">
        <is>
          <t>ABA PAYMENT FILE 0412 22 PAYMENTS</t>
        </is>
      </c>
      <c r="E423" s="9" t="n">
        <v>-41995.8</v>
      </c>
      <c r="F423" t="inlineStr">
        <is>
          <t>OPS-20260708</t>
        </is>
      </c>
      <c r="G423" t="inlineStr">
        <is>
          <t>G00506</t>
        </is>
      </c>
      <c r="H423" t="str">
        <f>INDEX('Match Groups'!$C$5:$C$1326,MATCH(G423,'Match Groups'!$A$5:$A$1326,0))</f>
        <v>R06</v>
      </c>
      <c r="I423" t="str">
        <f>INDEX('Match Groups'!$D$5:$D$1326,MATCH(G423,'Match Groups'!$A$5:$A$1326,0))</f>
        <v>MATCH</v>
      </c>
      <c r="J423">
        <f>IF(I423="DUPIMP",0,1)</f>
        <v>1</v>
      </c>
    </row>
    <row r="424">
      <c r="A424" t="inlineStr">
        <is>
          <t>BL-00775</t>
        </is>
      </c>
      <c r="B424" t="inlineStr">
        <is>
          <t>OPS</t>
        </is>
      </c>
      <c r="C424" s="5" t="n">
        <v>46211</v>
      </c>
      <c r="D424" t="inlineStr">
        <is>
          <t>DIRECT DEBIT FIBREWIRE NETWORKS 914647</t>
        </is>
      </c>
      <c r="E424" s="9" t="n">
        <v>-649</v>
      </c>
      <c r="F424" t="inlineStr">
        <is>
          <t>OPS-20260708</t>
        </is>
      </c>
      <c r="G424" t="inlineStr">
        <is>
          <t>G01172</t>
        </is>
      </c>
      <c r="H424" t="str">
        <f>INDEX('Match Groups'!$C$5:$C$1326,MATCH(G424,'Match Groups'!$A$5:$A$1326,0))</f>
        <v>R11</v>
      </c>
      <c r="I424" t="str">
        <f>INDEX('Match Groups'!$D$5:$D$1326,MATCH(G424,'Match Groups'!$A$5:$A$1326,0))</f>
        <v>REGBILL</v>
      </c>
      <c r="J424">
        <f>IF(I424="DUPIMP",0,1)</f>
        <v>1</v>
      </c>
    </row>
    <row r="425">
      <c r="A425" t="inlineStr">
        <is>
          <t>BL-00002</t>
        </is>
      </c>
      <c r="B425" t="inlineStr">
        <is>
          <t>OPS</t>
        </is>
      </c>
      <c r="C425" s="5" t="n">
        <v>46212</v>
      </c>
      <c r="D425" t="inlineStr">
        <is>
          <t>CHEQUE 000402</t>
        </is>
      </c>
      <c r="E425" s="9" t="n">
        <v>-165</v>
      </c>
      <c r="F425" t="inlineStr">
        <is>
          <t>OPS-20260709</t>
        </is>
      </c>
      <c r="G425" t="inlineStr">
        <is>
          <t>G00507</t>
        </is>
      </c>
      <c r="H425" t="str">
        <f>INDEX('Match Groups'!$C$5:$C$1326,MATCH(G425,'Match Groups'!$A$5:$A$1326,0))</f>
        <v>R07</v>
      </c>
      <c r="I425" t="str">
        <f>INDEX('Match Groups'!$D$5:$D$1326,MATCH(G425,'Match Groups'!$A$5:$A$1326,0))</f>
        <v>MATCH</v>
      </c>
      <c r="J425">
        <f>IF(I425="DUPIMP",0,1)</f>
        <v>1</v>
      </c>
    </row>
    <row r="426">
      <c r="A426" t="inlineStr">
        <is>
          <t>BL-00046</t>
        </is>
      </c>
      <c r="B426" t="inlineStr">
        <is>
          <t>OPS</t>
        </is>
      </c>
      <c r="C426" s="5" t="n">
        <v>46212</v>
      </c>
      <c r="D426" t="inlineStr">
        <is>
          <t>DIRECT CREDIT BLUEGUM PM PTY LTD RA44843</t>
        </is>
      </c>
      <c r="E426" s="9" t="n">
        <v>892.36</v>
      </c>
      <c r="F426" t="inlineStr">
        <is>
          <t>OPS-20260709</t>
        </is>
      </c>
      <c r="G426" t="inlineStr">
        <is>
          <t>G00122</t>
        </is>
      </c>
      <c r="H426" t="str">
        <f>INDEX('Match Groups'!$C$5:$C$1326,MATCH(G426,'Match Groups'!$A$5:$A$1326,0))</f>
        <v>R03</v>
      </c>
      <c r="I426" t="str">
        <f>INDEX('Match Groups'!$D$5:$D$1326,MATCH(G426,'Match Groups'!$A$5:$A$1326,0))</f>
        <v>MATCH</v>
      </c>
      <c r="J426">
        <f>IF(I426="DUPIMP",0,1)</f>
        <v>1</v>
      </c>
    </row>
    <row r="427">
      <c r="A427" t="inlineStr">
        <is>
          <t>BL-00047</t>
        </is>
      </c>
      <c r="B427" t="inlineStr">
        <is>
          <t>OPS</t>
        </is>
      </c>
      <c r="C427" s="5" t="n">
        <v>46212</v>
      </c>
      <c r="D427" t="inlineStr">
        <is>
          <t>DIRECT CREDIT CLEARPATH NDIS PLANS P RA44844</t>
        </is>
      </c>
      <c r="E427" s="9" t="n">
        <v>364.62</v>
      </c>
      <c r="F427" t="inlineStr">
        <is>
          <t>OPS-20260709</t>
        </is>
      </c>
      <c r="G427" t="inlineStr">
        <is>
          <t>G00123</t>
        </is>
      </c>
      <c r="H427" t="str">
        <f>INDEX('Match Groups'!$C$5:$C$1326,MATCH(G427,'Match Groups'!$A$5:$A$1326,0))</f>
        <v>R03</v>
      </c>
      <c r="I427" t="str">
        <f>INDEX('Match Groups'!$D$5:$D$1326,MATCH(G427,'Match Groups'!$A$5:$A$1326,0))</f>
        <v>SHORT</v>
      </c>
      <c r="J427">
        <f>IF(I427="DUPIMP",0,1)</f>
        <v>1</v>
      </c>
    </row>
    <row r="428">
      <c r="A428" t="inlineStr">
        <is>
          <t>BL-00048</t>
        </is>
      </c>
      <c r="B428" t="inlineStr">
        <is>
          <t>OPS</t>
        </is>
      </c>
      <c r="C428" s="5" t="n">
        <v>46212</v>
      </c>
      <c r="D428" t="inlineStr">
        <is>
          <t>DIRECT CREDIT REDGUMPLANADMIN RA44845</t>
        </is>
      </c>
      <c r="E428" s="9" t="n">
        <v>805.96</v>
      </c>
      <c r="F428" t="inlineStr">
        <is>
          <t>OPS-20260709</t>
        </is>
      </c>
      <c r="G428" t="inlineStr">
        <is>
          <t>G00124</t>
        </is>
      </c>
      <c r="H428" t="str">
        <f>INDEX('Match Groups'!$C$5:$C$1326,MATCH(G428,'Match Groups'!$A$5:$A$1326,0))</f>
        <v>R03</v>
      </c>
      <c r="I428" t="str">
        <f>INDEX('Match Groups'!$D$5:$D$1326,MATCH(G428,'Match Groups'!$A$5:$A$1326,0))</f>
        <v>MATCH</v>
      </c>
      <c r="J428">
        <f>IF(I428="DUPIMP",0,1)</f>
        <v>1</v>
      </c>
    </row>
    <row r="429">
      <c r="A429" t="inlineStr">
        <is>
          <t>BL-00049</t>
        </is>
      </c>
      <c r="B429" t="inlineStr">
        <is>
          <t>OPS</t>
        </is>
      </c>
      <c r="C429" s="5" t="n">
        <v>46212</v>
      </c>
      <c r="D429" t="inlineStr">
        <is>
          <t>DIRECT CREDIT SOUTHERN CROSS PLA RA44846</t>
        </is>
      </c>
      <c r="E429" s="9" t="n">
        <v>601.37</v>
      </c>
      <c r="F429" t="inlineStr">
        <is>
          <t>OPS-20260709</t>
        </is>
      </c>
      <c r="G429" t="inlineStr">
        <is>
          <t>G00125</t>
        </is>
      </c>
      <c r="H429" t="str">
        <f>INDEX('Match Groups'!$C$5:$C$1326,MATCH(G429,'Match Groups'!$A$5:$A$1326,0))</f>
        <v>R03</v>
      </c>
      <c r="I429" t="str">
        <f>INDEX('Match Groups'!$D$5:$D$1326,MATCH(G429,'Match Groups'!$A$5:$A$1326,0))</f>
        <v>MATCH</v>
      </c>
      <c r="J429">
        <f>IF(I429="DUPIMP",0,1)</f>
        <v>1</v>
      </c>
    </row>
    <row r="430">
      <c r="A430" t="inlineStr">
        <is>
          <t>BL-00050</t>
        </is>
      </c>
      <c r="B430" t="inlineStr">
        <is>
          <t>OPS</t>
        </is>
      </c>
      <c r="C430" s="5" t="n">
        <v>46212</v>
      </c>
      <c r="D430" t="inlineStr">
        <is>
          <t>DIRECT CREDIT LYREBIRD PLAN MANAGEME RA44847</t>
        </is>
      </c>
      <c r="E430" s="9" t="n">
        <v>1998.09</v>
      </c>
      <c r="F430" t="inlineStr">
        <is>
          <t>OPS-20260709</t>
        </is>
      </c>
      <c r="G430" t="inlineStr">
        <is>
          <t>G00126</t>
        </is>
      </c>
      <c r="H430" t="str">
        <f>INDEX('Match Groups'!$C$5:$C$1326,MATCH(G430,'Match Groups'!$A$5:$A$1326,0))</f>
        <v>R03</v>
      </c>
      <c r="I430" t="str">
        <f>INDEX('Match Groups'!$D$5:$D$1326,MATCH(G430,'Match Groups'!$A$5:$A$1326,0))</f>
        <v>MATCH</v>
      </c>
      <c r="J430">
        <f>IF(I430="DUPIMP",0,1)</f>
        <v>1</v>
      </c>
    </row>
    <row r="431">
      <c r="A431" t="inlineStr">
        <is>
          <t>BL-00051</t>
        </is>
      </c>
      <c r="B431" t="inlineStr">
        <is>
          <t>OPS</t>
        </is>
      </c>
      <c r="C431" s="5" t="n">
        <v>46212</v>
      </c>
      <c r="D431" t="inlineStr">
        <is>
          <t>DIRECT CREDIT MALLEEPLANSERVIC RA44848</t>
        </is>
      </c>
      <c r="E431" s="9" t="n">
        <v>1678.03</v>
      </c>
      <c r="F431" t="inlineStr">
        <is>
          <t>OPS-20260709</t>
        </is>
      </c>
      <c r="G431" t="inlineStr">
        <is>
          <t>G00127</t>
        </is>
      </c>
      <c r="H431" t="str">
        <f>INDEX('Match Groups'!$C$5:$C$1326,MATCH(G431,'Match Groups'!$A$5:$A$1326,0))</f>
        <v>R03</v>
      </c>
      <c r="I431" t="str">
        <f>INDEX('Match Groups'!$D$5:$D$1326,MATCH(G431,'Match Groups'!$A$5:$A$1326,0))</f>
        <v>MATCH</v>
      </c>
      <c r="J431">
        <f>IF(I431="DUPIMP",0,1)</f>
        <v>1</v>
      </c>
    </row>
    <row r="432">
      <c r="A432" t="inlineStr">
        <is>
          <t>BL-00568</t>
        </is>
      </c>
      <c r="B432" t="inlineStr">
        <is>
          <t>OPS</t>
        </is>
      </c>
      <c r="C432" s="5" t="n">
        <v>46212</v>
      </c>
      <c r="D432" t="inlineStr">
        <is>
          <t>DIRECT CREDIT CALDER FREIGHT GRO INV 3417</t>
        </is>
      </c>
      <c r="E432" s="9" t="n">
        <v>10725</v>
      </c>
      <c r="F432" t="inlineStr">
        <is>
          <t>OPS-20260709</t>
        </is>
      </c>
      <c r="G432" t="inlineStr">
        <is>
          <t>G00922</t>
        </is>
      </c>
      <c r="H432" t="str">
        <f>INDEX('Match Groups'!$C$5:$C$1326,MATCH(G432,'Match Groups'!$A$5:$A$1326,0))</f>
        <v>R09</v>
      </c>
      <c r="I432" t="str">
        <f>INDEX('Match Groups'!$D$5:$D$1326,MATCH(G432,'Match Groups'!$A$5:$A$1326,0))</f>
        <v>MATCH</v>
      </c>
      <c r="J432">
        <f>IF(I432="DUPIMP",0,1)</f>
        <v>1</v>
      </c>
    </row>
    <row r="433">
      <c r="A433" t="inlineStr">
        <is>
          <t>BL-00693</t>
        </is>
      </c>
      <c r="B433" t="inlineStr">
        <is>
          <t>OPS</t>
        </is>
      </c>
      <c r="C433" s="5" t="n">
        <v>46212</v>
      </c>
      <c r="D433" t="inlineStr">
        <is>
          <t>STRIPE PAYOUT STRIPE po_1Q0007KX</t>
        </is>
      </c>
      <c r="E433" s="9" t="n">
        <v>3370.16</v>
      </c>
      <c r="F433" t="inlineStr">
        <is>
          <t>OPS-20260709</t>
        </is>
      </c>
      <c r="G433" t="inlineStr">
        <is>
          <t>G00020</t>
        </is>
      </c>
      <c r="H433" t="str">
        <f>INDEX('Match Groups'!$C$5:$C$1326,MATCH(G433,'Match Groups'!$A$5:$A$1326,0))</f>
        <v>R02</v>
      </c>
      <c r="I433" t="str">
        <f>INDEX('Match Groups'!$D$5:$D$1326,MATCH(G433,'Match Groups'!$A$5:$A$1326,0))</f>
        <v>STRIPE-FEE</v>
      </c>
      <c r="J433">
        <f>IF(I433="DUPIMP",0,1)</f>
        <v>1</v>
      </c>
    </row>
    <row r="434">
      <c r="A434" t="inlineStr">
        <is>
          <t>BL-00052</t>
        </is>
      </c>
      <c r="B434" t="inlineStr">
        <is>
          <t>OPS</t>
        </is>
      </c>
      <c r="C434" s="5" t="n">
        <v>46213</v>
      </c>
      <c r="D434" t="inlineStr">
        <is>
          <t>DIRECT CREDIT BLUEGUM PLAN MGMT RA44849</t>
        </is>
      </c>
      <c r="E434" s="9" t="n">
        <v>581.97</v>
      </c>
      <c r="F434" t="inlineStr">
        <is>
          <t>OPS-20260710</t>
        </is>
      </c>
      <c r="G434" t="inlineStr">
        <is>
          <t>G00128</t>
        </is>
      </c>
      <c r="H434" t="str">
        <f>INDEX('Match Groups'!$C$5:$C$1326,MATCH(G434,'Match Groups'!$A$5:$A$1326,0))</f>
        <v>R03</v>
      </c>
      <c r="I434" t="str">
        <f>INDEX('Match Groups'!$D$5:$D$1326,MATCH(G434,'Match Groups'!$A$5:$A$1326,0))</f>
        <v>REG</v>
      </c>
      <c r="J434">
        <f>IF(I434="DUPIMP",0,1)</f>
        <v>1</v>
      </c>
    </row>
    <row r="435">
      <c r="A435" t="inlineStr">
        <is>
          <t>BL-00053</t>
        </is>
      </c>
      <c r="B435" t="inlineStr">
        <is>
          <t>OPS</t>
        </is>
      </c>
      <c r="C435" s="5" t="n">
        <v>46213</v>
      </c>
      <c r="D435" t="inlineStr">
        <is>
          <t>DIRECT CREDIT WATTLE PLAN SERVICES RA44850</t>
        </is>
      </c>
      <c r="E435" s="9" t="n">
        <v>272.48</v>
      </c>
      <c r="F435" t="inlineStr">
        <is>
          <t>OPS-20260710</t>
        </is>
      </c>
      <c r="G435" t="inlineStr">
        <is>
          <t>G00129</t>
        </is>
      </c>
      <c r="H435" t="str">
        <f>INDEX('Match Groups'!$C$5:$C$1326,MATCH(G435,'Match Groups'!$A$5:$A$1326,0))</f>
        <v>R03</v>
      </c>
      <c r="I435" t="str">
        <f>INDEX('Match Groups'!$D$5:$D$1326,MATCH(G435,'Match Groups'!$A$5:$A$1326,0))</f>
        <v>MATCH</v>
      </c>
      <c r="J435">
        <f>IF(I435="DUPIMP",0,1)</f>
        <v>1</v>
      </c>
    </row>
    <row r="436">
      <c r="A436" t="inlineStr">
        <is>
          <t>BL-00054</t>
        </is>
      </c>
      <c r="B436" t="inlineStr">
        <is>
          <t>OPS</t>
        </is>
      </c>
      <c r="C436" s="5" t="n">
        <v>46213</v>
      </c>
      <c r="D436" t="inlineStr">
        <is>
          <t>DIRECT CREDIT BANKSIA PLAN CO RA44851</t>
        </is>
      </c>
      <c r="E436" s="9" t="n">
        <v>3210.52</v>
      </c>
      <c r="F436" t="inlineStr">
        <is>
          <t>OPS-20260710</t>
        </is>
      </c>
      <c r="G436" t="inlineStr">
        <is>
          <t>G00130</t>
        </is>
      </c>
      <c r="H436" t="str">
        <f>INDEX('Match Groups'!$C$5:$C$1326,MATCH(G436,'Match Groups'!$A$5:$A$1326,0))</f>
        <v>R03</v>
      </c>
      <c r="I436" t="str">
        <f>INDEX('Match Groups'!$D$5:$D$1326,MATCH(G436,'Match Groups'!$A$5:$A$1326,0))</f>
        <v>MATCH</v>
      </c>
      <c r="J436">
        <f>IF(I436="DUPIMP",0,1)</f>
        <v>1</v>
      </c>
    </row>
    <row r="437">
      <c r="A437" t="inlineStr">
        <is>
          <t>BL-00055</t>
        </is>
      </c>
      <c r="B437" t="inlineStr">
        <is>
          <t>OPS</t>
        </is>
      </c>
      <c r="C437" s="5" t="n">
        <v>46213</v>
      </c>
      <c r="D437" t="inlineStr">
        <is>
          <t>DIRECT CREDIT KOOKABURRAPLANSU RA44852</t>
        </is>
      </c>
      <c r="E437" s="9" t="n">
        <v>815.66</v>
      </c>
      <c r="F437" t="inlineStr">
        <is>
          <t>OPS-20260710</t>
        </is>
      </c>
      <c r="G437" t="inlineStr">
        <is>
          <t>G00131</t>
        </is>
      </c>
      <c r="H437" t="str">
        <f>INDEX('Match Groups'!$C$5:$C$1326,MATCH(G437,'Match Groups'!$A$5:$A$1326,0))</f>
        <v>R03</v>
      </c>
      <c r="I437" t="str">
        <f>INDEX('Match Groups'!$D$5:$D$1326,MATCH(G437,'Match Groups'!$A$5:$A$1326,0))</f>
        <v>MATCH</v>
      </c>
      <c r="J437">
        <f>IF(I437="DUPIMP",0,1)</f>
        <v>1</v>
      </c>
    </row>
    <row r="438">
      <c r="A438" t="inlineStr">
        <is>
          <t>BL-00056</t>
        </is>
      </c>
      <c r="B438" t="inlineStr">
        <is>
          <t>OPS</t>
        </is>
      </c>
      <c r="C438" s="5" t="n">
        <v>46213</v>
      </c>
      <c r="D438" t="inlineStr">
        <is>
          <t>DIRECT CREDIT REDGUMPLANADMIN RA44853</t>
        </is>
      </c>
      <c r="E438" s="9" t="n">
        <v>1940.8</v>
      </c>
      <c r="F438" t="inlineStr">
        <is>
          <t>OPS-20260710</t>
        </is>
      </c>
      <c r="G438" t="inlineStr">
        <is>
          <t>G00132</t>
        </is>
      </c>
      <c r="H438" t="str">
        <f>INDEX('Match Groups'!$C$5:$C$1326,MATCH(G438,'Match Groups'!$A$5:$A$1326,0))</f>
        <v>R03</v>
      </c>
      <c r="I438" t="str">
        <f>INDEX('Match Groups'!$D$5:$D$1326,MATCH(G438,'Match Groups'!$A$5:$A$1326,0))</f>
        <v>MATCH</v>
      </c>
      <c r="J438">
        <f>IF(I438="DUPIMP",0,1)</f>
        <v>1</v>
      </c>
    </row>
    <row r="439">
      <c r="A439" t="inlineStr">
        <is>
          <t>BL-00057</t>
        </is>
      </c>
      <c r="B439" t="inlineStr">
        <is>
          <t>OPS</t>
        </is>
      </c>
      <c r="C439" s="5" t="n">
        <v>46213</v>
      </c>
      <c r="D439" t="inlineStr">
        <is>
          <t>DIRECT CREDIT LYREBIRD PLAN MANAGEME RA44854</t>
        </is>
      </c>
      <c r="E439" s="9" t="n">
        <v>1223.04</v>
      </c>
      <c r="F439" t="inlineStr">
        <is>
          <t>OPS-20260710</t>
        </is>
      </c>
      <c r="G439" t="inlineStr">
        <is>
          <t>G00133</t>
        </is>
      </c>
      <c r="H439" t="str">
        <f>INDEX('Match Groups'!$C$5:$C$1326,MATCH(G439,'Match Groups'!$A$5:$A$1326,0))</f>
        <v>R03</v>
      </c>
      <c r="I439" t="str">
        <f>INDEX('Match Groups'!$D$5:$D$1326,MATCH(G439,'Match Groups'!$A$5:$A$1326,0))</f>
        <v>MATCH</v>
      </c>
      <c r="J439">
        <f>IF(I439="DUPIMP",0,1)</f>
        <v>1</v>
      </c>
    </row>
    <row r="440">
      <c r="A440" t="inlineStr">
        <is>
          <t>BL-00058</t>
        </is>
      </c>
      <c r="B440" t="inlineStr">
        <is>
          <t>OPS</t>
        </is>
      </c>
      <c r="C440" s="5" t="n">
        <v>46213</v>
      </c>
      <c r="D440" t="inlineStr">
        <is>
          <t>DIRECT CREDIT TALLOWWOOD PLANS PTY L RA44855</t>
        </is>
      </c>
      <c r="E440" s="9" t="n">
        <v>2591.55</v>
      </c>
      <c r="F440" t="inlineStr">
        <is>
          <t>OPS-20260710</t>
        </is>
      </c>
      <c r="G440" t="inlineStr">
        <is>
          <t>G00134</t>
        </is>
      </c>
      <c r="H440" t="str">
        <f>INDEX('Match Groups'!$C$5:$C$1326,MATCH(G440,'Match Groups'!$A$5:$A$1326,0))</f>
        <v>R03</v>
      </c>
      <c r="I440" t="str">
        <f>INDEX('Match Groups'!$D$5:$D$1326,MATCH(G440,'Match Groups'!$A$5:$A$1326,0))</f>
        <v>MATCH</v>
      </c>
      <c r="J440">
        <f>IF(I440="DUPIMP",0,1)</f>
        <v>1</v>
      </c>
    </row>
    <row r="441">
      <c r="A441" t="inlineStr">
        <is>
          <t>BL-00428</t>
        </is>
      </c>
      <c r="B441" t="inlineStr">
        <is>
          <t>OPS</t>
        </is>
      </c>
      <c r="C441" s="5" t="n">
        <v>46213</v>
      </c>
      <c r="D441" t="inlineStr">
        <is>
          <t>DIRECT CREDIT HARBOURMUTUALHEA CLM5749297 INV01912</t>
        </is>
      </c>
      <c r="E441" s="9" t="n">
        <v>176</v>
      </c>
      <c r="F441" t="inlineStr">
        <is>
          <t>OPS-20260710</t>
        </is>
      </c>
      <c r="G441" t="inlineStr">
        <is>
          <t>G00923</t>
        </is>
      </c>
      <c r="H441" t="str">
        <f>INDEX('Match Groups'!$C$5:$C$1326,MATCH(G441,'Match Groups'!$A$5:$A$1326,0))</f>
        <v>R09</v>
      </c>
      <c r="I441" t="str">
        <f>INDEX('Match Groups'!$D$5:$D$1326,MATCH(G441,'Match Groups'!$A$5:$A$1326,0))</f>
        <v>MATCH</v>
      </c>
      <c r="J441">
        <f>IF(I441="DUPIMP",0,1)</f>
        <v>1</v>
      </c>
    </row>
    <row r="442">
      <c r="A442" t="inlineStr">
        <is>
          <t>BL-00450</t>
        </is>
      </c>
      <c r="B442" t="inlineStr">
        <is>
          <t>OPS</t>
        </is>
      </c>
      <c r="C442" s="5" t="n">
        <v>46213</v>
      </c>
      <c r="D442" t="inlineStr">
        <is>
          <t>DIRECT CREDIT COASTLINE HEALTH F CLM5792325 INV 1773</t>
        </is>
      </c>
      <c r="E442" s="9" t="n">
        <v>412.5</v>
      </c>
      <c r="F442" t="inlineStr">
        <is>
          <t>OPS-20260710</t>
        </is>
      </c>
      <c r="G442" t="inlineStr">
        <is>
          <t>G00924</t>
        </is>
      </c>
      <c r="H442" t="str">
        <f>INDEX('Match Groups'!$C$5:$C$1326,MATCH(G442,'Match Groups'!$A$5:$A$1326,0))</f>
        <v>R09</v>
      </c>
      <c r="I442" t="str">
        <f>INDEX('Match Groups'!$D$5:$D$1326,MATCH(G442,'Match Groups'!$A$5:$A$1326,0))</f>
        <v>MATCH</v>
      </c>
      <c r="J442">
        <f>IF(I442="DUPIMP",0,1)</f>
        <v>1</v>
      </c>
    </row>
    <row r="443">
      <c r="A443" t="inlineStr">
        <is>
          <t>BL-00452</t>
        </is>
      </c>
      <c r="B443" t="inlineStr">
        <is>
          <t>OPS</t>
        </is>
      </c>
      <c r="C443" s="5" t="n">
        <v>46213</v>
      </c>
      <c r="D443" t="inlineStr">
        <is>
          <t>DIRECT CREDIT COASTLINE HEALTH FUND CLM5136488 INV 1870</t>
        </is>
      </c>
      <c r="E443" s="9" t="n">
        <v>990</v>
      </c>
      <c r="F443" t="inlineStr">
        <is>
          <t>OPS-20260710</t>
        </is>
      </c>
      <c r="G443" t="inlineStr">
        <is>
          <t>G00925</t>
        </is>
      </c>
      <c r="H443" t="str">
        <f>INDEX('Match Groups'!$C$5:$C$1326,MATCH(G443,'Match Groups'!$A$5:$A$1326,0))</f>
        <v>R09</v>
      </c>
      <c r="I443" t="str">
        <f>INDEX('Match Groups'!$D$5:$D$1326,MATCH(G443,'Match Groups'!$A$5:$A$1326,0))</f>
        <v>MATCH</v>
      </c>
      <c r="J443">
        <f>IF(I443="DUPIMP",0,1)</f>
        <v>1</v>
      </c>
    </row>
    <row r="444">
      <c r="A444" t="inlineStr">
        <is>
          <t>BL-00454</t>
        </is>
      </c>
      <c r="B444" t="inlineStr">
        <is>
          <t>OPS</t>
        </is>
      </c>
      <c r="C444" s="5" t="n">
        <v>46213</v>
      </c>
      <c r="D444" t="inlineStr">
        <is>
          <t>DIRECT CREDIT COASTLINE HEALTH FUND CLM5498011 RE INV 2026 01967</t>
        </is>
      </c>
      <c r="E444" s="9" t="n">
        <v>264</v>
      </c>
      <c r="F444" t="inlineStr">
        <is>
          <t>OPS-20260710</t>
        </is>
      </c>
      <c r="G444" t="inlineStr">
        <is>
          <t>G00926</t>
        </is>
      </c>
      <c r="H444" t="str">
        <f>INDEX('Match Groups'!$C$5:$C$1326,MATCH(G444,'Match Groups'!$A$5:$A$1326,0))</f>
        <v>R09</v>
      </c>
      <c r="I444" t="str">
        <f>INDEX('Match Groups'!$D$5:$D$1326,MATCH(G444,'Match Groups'!$A$5:$A$1326,0))</f>
        <v>MATCH</v>
      </c>
      <c r="J444">
        <f>IF(I444="DUPIMP",0,1)</f>
        <v>1</v>
      </c>
    </row>
    <row r="445">
      <c r="A445" t="inlineStr">
        <is>
          <t>BL-00488</t>
        </is>
      </c>
      <c r="B445" t="inlineStr">
        <is>
          <t>OPS</t>
        </is>
      </c>
      <c r="C445" s="5" t="n">
        <v>46213</v>
      </c>
      <c r="D445" t="inlineStr">
        <is>
          <t>DIRECT CREDIT PINNACLECLAIMSSE CLM5808693 INV/2026/01746</t>
        </is>
      </c>
      <c r="E445" s="9" t="n">
        <v>990</v>
      </c>
      <c r="F445" t="inlineStr">
        <is>
          <t>OPS-20260710</t>
        </is>
      </c>
      <c r="G445" t="inlineStr">
        <is>
          <t>G00927</t>
        </is>
      </c>
      <c r="H445" t="str">
        <f>INDEX('Match Groups'!$C$5:$C$1326,MATCH(G445,'Match Groups'!$A$5:$A$1326,0))</f>
        <v>R09</v>
      </c>
      <c r="I445" t="str">
        <f>INDEX('Match Groups'!$D$5:$D$1326,MATCH(G445,'Match Groups'!$A$5:$A$1326,0))</f>
        <v>MATCH</v>
      </c>
      <c r="J445">
        <f>IF(I445="DUPIMP",0,1)</f>
        <v>1</v>
      </c>
    </row>
    <row r="446">
      <c r="A446" t="inlineStr">
        <is>
          <t>BL-00491</t>
        </is>
      </c>
      <c r="B446" t="inlineStr">
        <is>
          <t>OPS</t>
        </is>
      </c>
      <c r="C446" s="5" t="n">
        <v>46213</v>
      </c>
      <c r="D446" t="inlineStr">
        <is>
          <t>DIRECT CREDIT PINNACLECLAIMSSE CLM5553661 INV/2026/01968</t>
        </is>
      </c>
      <c r="E446" s="9" t="n">
        <v>412.5</v>
      </c>
      <c r="F446" t="inlineStr">
        <is>
          <t>OPS-20260710</t>
        </is>
      </c>
      <c r="G446" t="inlineStr">
        <is>
          <t>G00928</t>
        </is>
      </c>
      <c r="H446" t="str">
        <f>INDEX('Match Groups'!$C$5:$C$1326,MATCH(G446,'Match Groups'!$A$5:$A$1326,0))</f>
        <v>R09</v>
      </c>
      <c r="I446" t="str">
        <f>INDEX('Match Groups'!$D$5:$D$1326,MATCH(G446,'Match Groups'!$A$5:$A$1326,0))</f>
        <v>MATCH</v>
      </c>
      <c r="J446">
        <f>IF(I446="DUPIMP",0,1)</f>
        <v>1</v>
      </c>
    </row>
    <row r="447">
      <c r="A447" t="inlineStr">
        <is>
          <t>BL-00492</t>
        </is>
      </c>
      <c r="B447" t="inlineStr">
        <is>
          <t>OPS</t>
        </is>
      </c>
      <c r="C447" s="5" t="n">
        <v>46213</v>
      </c>
      <c r="D447" t="inlineStr">
        <is>
          <t>DIRECT CREDIT PINNACLE CLAIMS SERV CLM5929363 INV 1991</t>
        </is>
      </c>
      <c r="E447" s="9" t="n">
        <v>132</v>
      </c>
      <c r="F447" t="inlineStr">
        <is>
          <t>OPS-20260710</t>
        </is>
      </c>
      <c r="G447" t="inlineStr">
        <is>
          <t>G00929</t>
        </is>
      </c>
      <c r="H447" t="str">
        <f>INDEX('Match Groups'!$C$5:$C$1326,MATCH(G447,'Match Groups'!$A$5:$A$1326,0))</f>
        <v>R09</v>
      </c>
      <c r="I447" t="str">
        <f>INDEX('Match Groups'!$D$5:$D$1326,MATCH(G447,'Match Groups'!$A$5:$A$1326,0))</f>
        <v>MATCH</v>
      </c>
      <c r="J447">
        <f>IF(I447="DUPIMP",0,1)</f>
        <v>1</v>
      </c>
    </row>
    <row r="448">
      <c r="A448" t="inlineStr">
        <is>
          <t>BL-00513</t>
        </is>
      </c>
      <c r="B448" t="inlineStr">
        <is>
          <t>OPS</t>
        </is>
      </c>
      <c r="C448" s="5" t="n">
        <v>46213</v>
      </c>
      <c r="D448" t="inlineStr">
        <is>
          <t>DIRECT CREDIT MERIDIAN HEALTH COVER CLM5782888 INV/2026/01942</t>
        </is>
      </c>
      <c r="E448" s="9" t="n">
        <v>990</v>
      </c>
      <c r="F448" t="inlineStr">
        <is>
          <t>OPS-20260710</t>
        </is>
      </c>
      <c r="G448" t="inlineStr">
        <is>
          <t>G00930</t>
        </is>
      </c>
      <c r="H448" t="str">
        <f>INDEX('Match Groups'!$C$5:$C$1326,MATCH(G448,'Match Groups'!$A$5:$A$1326,0))</f>
        <v>R09</v>
      </c>
      <c r="I448" t="str">
        <f>INDEX('Match Groups'!$D$5:$D$1326,MATCH(G448,'Match Groups'!$A$5:$A$1326,0))</f>
        <v>MATCH</v>
      </c>
      <c r="J448">
        <f>IF(I448="DUPIMP",0,1)</f>
        <v>1</v>
      </c>
    </row>
    <row r="449">
      <c r="A449" t="inlineStr">
        <is>
          <t>BL-00561</t>
        </is>
      </c>
      <c r="B449" t="inlineStr">
        <is>
          <t>OPS</t>
        </is>
      </c>
      <c r="C449" s="5" t="n">
        <v>46213</v>
      </c>
      <c r="D449" t="inlineStr">
        <is>
          <t>DIRECT CREDIT BRIGHTWATER CIVIL PTY</t>
        </is>
      </c>
      <c r="E449" s="9" t="n">
        <v>3465</v>
      </c>
      <c r="F449" t="inlineStr">
        <is>
          <t>OPS-20260710</t>
        </is>
      </c>
      <c r="G449" t="inlineStr">
        <is>
          <t>G01122</t>
        </is>
      </c>
      <c r="H449" t="str">
        <f>INDEX('Match Groups'!$C$5:$C$1326,MATCH(G449,'Match Groups'!$A$5:$A$1326,0))</f>
        <v>R10</v>
      </c>
      <c r="I449" t="str">
        <f>INDEX('Match Groups'!$D$5:$D$1326,MATCH(G449,'Match Groups'!$A$5:$A$1326,0))</f>
        <v>MATCH</v>
      </c>
      <c r="J449">
        <f>IF(I449="DUPIMP",0,1)</f>
        <v>1</v>
      </c>
    </row>
    <row r="450">
      <c r="A450" t="inlineStr">
        <is>
          <t>BL-00602</t>
        </is>
      </c>
      <c r="B450" t="inlineStr">
        <is>
          <t>OPS</t>
        </is>
      </c>
      <c r="C450" s="5" t="n">
        <v>46213</v>
      </c>
      <c r="D450" t="inlineStr">
        <is>
          <t>DIRECT CREDIT WESTMERECOUNCILS INV03431</t>
        </is>
      </c>
      <c r="E450" s="9" t="n">
        <v>10807.5</v>
      </c>
      <c r="F450" t="inlineStr">
        <is>
          <t>OPS-20260710</t>
        </is>
      </c>
      <c r="G450" t="inlineStr">
        <is>
          <t>G01173</t>
        </is>
      </c>
      <c r="H450" t="str">
        <f>INDEX('Match Groups'!$C$5:$C$1326,MATCH(G450,'Match Groups'!$A$5:$A$1326,0))</f>
        <v>R11</v>
      </c>
      <c r="I450" t="str">
        <f>INDEX('Match Groups'!$D$5:$D$1326,MATCH(G450,'Match Groups'!$A$5:$A$1326,0))</f>
        <v>REG</v>
      </c>
      <c r="J450">
        <f>IF(I450="DUPIMP",0,1)</f>
        <v>1</v>
      </c>
    </row>
    <row r="451">
      <c r="A451" t="inlineStr">
        <is>
          <t>BL-00669</t>
        </is>
      </c>
      <c r="B451" t="inlineStr">
        <is>
          <t>OPS</t>
        </is>
      </c>
      <c r="C451" s="5" t="n">
        <v>46213</v>
      </c>
      <c r="D451" t="inlineStr">
        <is>
          <t>DIRECT CREDIT QUARRY LANE CONCRETE INV03457</t>
        </is>
      </c>
      <c r="E451" s="9" t="n">
        <v>6971.25</v>
      </c>
      <c r="F451" t="inlineStr">
        <is>
          <t>OPS-20260710</t>
        </is>
      </c>
      <c r="G451" t="inlineStr">
        <is>
          <t>G00931</t>
        </is>
      </c>
      <c r="H451" t="str">
        <f>INDEX('Match Groups'!$C$5:$C$1326,MATCH(G451,'Match Groups'!$A$5:$A$1326,0))</f>
        <v>R09</v>
      </c>
      <c r="I451" t="str">
        <f>INDEX('Match Groups'!$D$5:$D$1326,MATCH(G451,'Match Groups'!$A$5:$A$1326,0))</f>
        <v>MATCH</v>
      </c>
      <c r="J451">
        <f>IF(I451="DUPIMP",0,1)</f>
        <v>1</v>
      </c>
    </row>
    <row r="452">
      <c r="A452" t="inlineStr">
        <is>
          <t>BL-00694</t>
        </is>
      </c>
      <c r="B452" t="inlineStr">
        <is>
          <t>OPS</t>
        </is>
      </c>
      <c r="C452" s="5" t="n">
        <v>46213</v>
      </c>
      <c r="D452" t="inlineStr">
        <is>
          <t>STRIPE PAYOUT STRIPE po_1Q0008KX</t>
        </is>
      </c>
      <c r="E452" s="9" t="n">
        <v>3764.37</v>
      </c>
      <c r="F452" t="inlineStr">
        <is>
          <t>OPS-20260710</t>
        </is>
      </c>
      <c r="G452" t="inlineStr">
        <is>
          <t>G00021</t>
        </is>
      </c>
      <c r="H452" t="str">
        <f>INDEX('Match Groups'!$C$5:$C$1326,MATCH(G452,'Match Groups'!$A$5:$A$1326,0))</f>
        <v>R02</v>
      </c>
      <c r="I452" t="str">
        <f>INDEX('Match Groups'!$D$5:$D$1326,MATCH(G452,'Match Groups'!$A$5:$A$1326,0))</f>
        <v>STRIPE-FEE</v>
      </c>
      <c r="J452">
        <f>IF(I452="DUPIMP",0,1)</f>
        <v>1</v>
      </c>
    </row>
    <row r="453">
      <c r="A453" t="inlineStr">
        <is>
          <t>BL-00804</t>
        </is>
      </c>
      <c r="B453" t="inlineStr">
        <is>
          <t>OPS</t>
        </is>
      </c>
      <c r="C453" s="5" t="n">
        <v>46213</v>
      </c>
      <c r="D453" t="inlineStr">
        <is>
          <t>CHEQUE 000403</t>
        </is>
      </c>
      <c r="E453" s="9" t="n">
        <v>-418</v>
      </c>
      <c r="F453" t="inlineStr">
        <is>
          <t>OPS-20260710</t>
        </is>
      </c>
      <c r="G453" t="inlineStr">
        <is>
          <t>G00508</t>
        </is>
      </c>
      <c r="H453" t="str">
        <f>INDEX('Match Groups'!$C$5:$C$1326,MATCH(G453,'Match Groups'!$A$5:$A$1326,0))</f>
        <v>R07</v>
      </c>
      <c r="I453" t="str">
        <f>INDEX('Match Groups'!$D$5:$D$1326,MATCH(G453,'Match Groups'!$A$5:$A$1326,0))</f>
        <v>MATCH</v>
      </c>
      <c r="J453">
        <f>IF(I453="DUPIMP",0,1)</f>
        <v>1</v>
      </c>
    </row>
    <row r="454">
      <c r="A454" t="inlineStr">
        <is>
          <t>BL-01592</t>
        </is>
      </c>
      <c r="B454" t="inlineStr">
        <is>
          <t>OPS</t>
        </is>
      </c>
      <c r="C454" s="5" t="n">
        <v>46213</v>
      </c>
      <c r="D454" t="inlineStr">
        <is>
          <t>FX CONVERSION AUD TO USD FX0710</t>
        </is>
      </c>
      <c r="E454" s="9" t="n">
        <v>-13684.05</v>
      </c>
      <c r="F454" t="inlineStr">
        <is>
          <t>OPS-20260710</t>
        </is>
      </c>
      <c r="G454" t="inlineStr">
        <is>
          <t>G00509</t>
        </is>
      </c>
      <c r="H454" t="str">
        <f>INDEX('Match Groups'!$C$5:$C$1326,MATCH(G454,'Match Groups'!$A$5:$A$1326,0))</f>
        <v>R04</v>
      </c>
      <c r="I454" t="str">
        <f>INDEX('Match Groups'!$D$5:$D$1326,MATCH(G454,'Match Groups'!$A$5:$A$1326,0))</f>
        <v>FXR</v>
      </c>
      <c r="J454">
        <f>IF(I454="DUPIMP",0,1)</f>
        <v>1</v>
      </c>
    </row>
    <row r="455">
      <c r="A455" t="inlineStr">
        <is>
          <t>BL-00059</t>
        </is>
      </c>
      <c r="B455" t="inlineStr">
        <is>
          <t>OPS</t>
        </is>
      </c>
      <c r="C455" s="5" t="n">
        <v>46216</v>
      </c>
      <c r="D455" t="inlineStr">
        <is>
          <t>DIRECT CREDIT RIVERBEND PLAN PAR RA44856</t>
        </is>
      </c>
      <c r="E455" s="9" t="n">
        <v>1566.12</v>
      </c>
      <c r="F455" t="inlineStr">
        <is>
          <t>OPS-20260713</t>
        </is>
      </c>
      <c r="G455" t="inlineStr">
        <is>
          <t>G00135</t>
        </is>
      </c>
      <c r="H455" t="str">
        <f>INDEX('Match Groups'!$C$5:$C$1326,MATCH(G455,'Match Groups'!$A$5:$A$1326,0))</f>
        <v>R03</v>
      </c>
      <c r="I455" t="str">
        <f>INDEX('Match Groups'!$D$5:$D$1326,MATCH(G455,'Match Groups'!$A$5:$A$1326,0))</f>
        <v>MATCH</v>
      </c>
      <c r="J455">
        <f>IF(I455="DUPIMP",0,1)</f>
        <v>1</v>
      </c>
    </row>
    <row r="456">
      <c r="A456" t="inlineStr">
        <is>
          <t>BL-00060</t>
        </is>
      </c>
      <c r="B456" t="inlineStr">
        <is>
          <t>OPS</t>
        </is>
      </c>
      <c r="C456" s="5" t="n">
        <v>46216</v>
      </c>
      <c r="D456" t="inlineStr">
        <is>
          <t>DIRECT CREDIT IRONBARKPLANMANA RA44857</t>
        </is>
      </c>
      <c r="E456" s="9" t="n">
        <v>436.48</v>
      </c>
      <c r="F456" t="inlineStr">
        <is>
          <t>OPS-20260713</t>
        </is>
      </c>
      <c r="G456" t="inlineStr">
        <is>
          <t>G00136</t>
        </is>
      </c>
      <c r="H456" t="str">
        <f>INDEX('Match Groups'!$C$5:$C$1326,MATCH(G456,'Match Groups'!$A$5:$A$1326,0))</f>
        <v>R03</v>
      </c>
      <c r="I456" t="str">
        <f>INDEX('Match Groups'!$D$5:$D$1326,MATCH(G456,'Match Groups'!$A$5:$A$1326,0))</f>
        <v>MATCH</v>
      </c>
      <c r="J456">
        <f>IF(I456="DUPIMP",0,1)</f>
        <v>1</v>
      </c>
    </row>
    <row r="457">
      <c r="A457" t="inlineStr">
        <is>
          <t>BL-00061</t>
        </is>
      </c>
      <c r="B457" t="inlineStr">
        <is>
          <t>OPS</t>
        </is>
      </c>
      <c r="C457" s="5" t="n">
        <v>46216</v>
      </c>
      <c r="D457" t="inlineStr">
        <is>
          <t>DIRECT CREDIT KOOKABURRAPLANSU RA44858</t>
        </is>
      </c>
      <c r="E457" s="9" t="n">
        <v>1058.13</v>
      </c>
      <c r="F457" t="inlineStr">
        <is>
          <t>OPS-20260713</t>
        </is>
      </c>
      <c r="G457" t="inlineStr">
        <is>
          <t>G00137</t>
        </is>
      </c>
      <c r="H457" t="str">
        <f>INDEX('Match Groups'!$C$5:$C$1326,MATCH(G457,'Match Groups'!$A$5:$A$1326,0))</f>
        <v>R03</v>
      </c>
      <c r="I457" t="str">
        <f>INDEX('Match Groups'!$D$5:$D$1326,MATCH(G457,'Match Groups'!$A$5:$A$1326,0))</f>
        <v>REG</v>
      </c>
      <c r="J457">
        <f>IF(I457="DUPIMP",0,1)</f>
        <v>1</v>
      </c>
    </row>
    <row r="458">
      <c r="A458" t="inlineStr">
        <is>
          <t>BL-00062</t>
        </is>
      </c>
      <c r="B458" t="inlineStr">
        <is>
          <t>OPS</t>
        </is>
      </c>
      <c r="C458" s="5" t="n">
        <v>46216</v>
      </c>
      <c r="D458" t="inlineStr">
        <is>
          <t>DIRECT CREDIT SALTBUSH PLAN MANAGERS RA44859</t>
        </is>
      </c>
      <c r="E458" s="9" t="n">
        <v>815.65</v>
      </c>
      <c r="F458" t="inlineStr">
        <is>
          <t>OPS-20260713</t>
        </is>
      </c>
      <c r="G458" t="inlineStr">
        <is>
          <t>G00138</t>
        </is>
      </c>
      <c r="H458" t="str">
        <f>INDEX('Match Groups'!$C$5:$C$1326,MATCH(G458,'Match Groups'!$A$5:$A$1326,0))</f>
        <v>R03</v>
      </c>
      <c r="I458" t="str">
        <f>INDEX('Match Groups'!$D$5:$D$1326,MATCH(G458,'Match Groups'!$A$5:$A$1326,0))</f>
        <v>REG</v>
      </c>
      <c r="J458">
        <f>IF(I458="DUPIMP",0,1)</f>
        <v>1</v>
      </c>
    </row>
    <row r="459">
      <c r="A459" t="inlineStr">
        <is>
          <t>BL-00063</t>
        </is>
      </c>
      <c r="B459" t="inlineStr">
        <is>
          <t>OPS</t>
        </is>
      </c>
      <c r="C459" s="5" t="n">
        <v>46216</v>
      </c>
      <c r="D459" t="inlineStr">
        <is>
          <t>DIRECT CREDIT REDGUM PLAN ADMIN RA44860</t>
        </is>
      </c>
      <c r="E459" s="9" t="n">
        <v>660.47</v>
      </c>
      <c r="F459" t="inlineStr">
        <is>
          <t>OPS-20260713</t>
        </is>
      </c>
      <c r="G459" t="inlineStr">
        <is>
          <t>G00139</t>
        </is>
      </c>
      <c r="H459" t="str">
        <f>INDEX('Match Groups'!$C$5:$C$1326,MATCH(G459,'Match Groups'!$A$5:$A$1326,0))</f>
        <v>R03</v>
      </c>
      <c r="I459" t="str">
        <f>INDEX('Match Groups'!$D$5:$D$1326,MATCH(G459,'Match Groups'!$A$5:$A$1326,0))</f>
        <v>MATCH</v>
      </c>
      <c r="J459">
        <f>IF(I459="DUPIMP",0,1)</f>
        <v>1</v>
      </c>
    </row>
    <row r="460">
      <c r="A460" t="inlineStr">
        <is>
          <t>BL-00064</t>
        </is>
      </c>
      <c r="B460" t="inlineStr">
        <is>
          <t>OPS</t>
        </is>
      </c>
      <c r="C460" s="5" t="n">
        <v>46216</v>
      </c>
      <c r="D460" t="inlineStr">
        <is>
          <t>DIRECT CREDIT LYREBIRDPLANMANA RA44861</t>
        </is>
      </c>
      <c r="E460" s="9" t="n">
        <v>1709.81</v>
      </c>
      <c r="F460" t="inlineStr">
        <is>
          <t>OPS-20260713</t>
        </is>
      </c>
      <c r="G460" t="inlineStr">
        <is>
          <t>G00140</t>
        </is>
      </c>
      <c r="H460" t="str">
        <f>INDEX('Match Groups'!$C$5:$C$1326,MATCH(G460,'Match Groups'!$A$5:$A$1326,0))</f>
        <v>R03</v>
      </c>
      <c r="I460" t="str">
        <f>INDEX('Match Groups'!$D$5:$D$1326,MATCH(G460,'Match Groups'!$A$5:$A$1326,0))</f>
        <v>MATCH</v>
      </c>
      <c r="J460">
        <f>IF(I460="DUPIMP",0,1)</f>
        <v>1</v>
      </c>
    </row>
    <row r="461">
      <c r="A461" t="inlineStr">
        <is>
          <t>BL-00065</t>
        </is>
      </c>
      <c r="B461" t="inlineStr">
        <is>
          <t>OPS</t>
        </is>
      </c>
      <c r="C461" s="5" t="n">
        <v>46216</v>
      </c>
      <c r="D461" t="inlineStr">
        <is>
          <t>DIRECT CREDIT ACACIA PLAN PARTNE RA44862</t>
        </is>
      </c>
      <c r="E461" s="9" t="n">
        <v>2046.6</v>
      </c>
      <c r="F461" t="inlineStr">
        <is>
          <t>OPS-20260713</t>
        </is>
      </c>
      <c r="G461" t="inlineStr">
        <is>
          <t>G00141</t>
        </is>
      </c>
      <c r="H461" t="str">
        <f>INDEX('Match Groups'!$C$5:$C$1326,MATCH(G461,'Match Groups'!$A$5:$A$1326,0))</f>
        <v>R03</v>
      </c>
      <c r="I461" t="str">
        <f>INDEX('Match Groups'!$D$5:$D$1326,MATCH(G461,'Match Groups'!$A$5:$A$1326,0))</f>
        <v>MATCH</v>
      </c>
      <c r="J461">
        <f>IF(I461="DUPIMP",0,1)</f>
        <v>1</v>
      </c>
    </row>
    <row r="462">
      <c r="A462" t="inlineStr">
        <is>
          <t>BL-00534</t>
        </is>
      </c>
      <c r="B462" t="inlineStr">
        <is>
          <t>OPS</t>
        </is>
      </c>
      <c r="C462" s="5" t="n">
        <v>46216</v>
      </c>
      <c r="D462" t="inlineStr">
        <is>
          <t>DIRECT CREDIT NORTHLINEINJURYC CLM5475647 RE INV 2026 01943</t>
        </is>
      </c>
      <c r="E462" s="9" t="n">
        <v>264</v>
      </c>
      <c r="F462" t="inlineStr">
        <is>
          <t>OPS-20260713</t>
        </is>
      </c>
      <c r="G462" t="inlineStr">
        <is>
          <t>G00932</t>
        </is>
      </c>
      <c r="H462" t="str">
        <f>INDEX('Match Groups'!$C$5:$C$1326,MATCH(G462,'Match Groups'!$A$5:$A$1326,0))</f>
        <v>R09</v>
      </c>
      <c r="I462" t="str">
        <f>INDEX('Match Groups'!$D$5:$D$1326,MATCH(G462,'Match Groups'!$A$5:$A$1326,0))</f>
        <v>MATCH</v>
      </c>
      <c r="J462">
        <f>IF(I462="DUPIMP",0,1)</f>
        <v>1</v>
      </c>
    </row>
    <row r="463">
      <c r="A463" t="inlineStr">
        <is>
          <t>BL-00554</t>
        </is>
      </c>
      <c r="B463" t="inlineStr">
        <is>
          <t>OPS</t>
        </is>
      </c>
      <c r="C463" s="5" t="n">
        <v>46216</v>
      </c>
      <c r="D463" t="inlineStr">
        <is>
          <t>DIRECT CREDIT VARGA AND HOLT LOGISTI INV 3411</t>
        </is>
      </c>
      <c r="E463" s="9" t="n">
        <v>2640</v>
      </c>
      <c r="F463" t="inlineStr">
        <is>
          <t>OPS-20260713</t>
        </is>
      </c>
      <c r="G463" t="inlineStr">
        <is>
          <t>G00933</t>
        </is>
      </c>
      <c r="H463" t="str">
        <f>INDEX('Match Groups'!$C$5:$C$1326,MATCH(G463,'Match Groups'!$A$5:$A$1326,0))</f>
        <v>R09</v>
      </c>
      <c r="I463" t="str">
        <f>INDEX('Match Groups'!$D$5:$D$1326,MATCH(G463,'Match Groups'!$A$5:$A$1326,0))</f>
        <v>MATCH</v>
      </c>
      <c r="J463">
        <f>IF(I463="DUPIMP",0,1)</f>
        <v>1</v>
      </c>
    </row>
    <row r="464">
      <c r="A464" t="inlineStr">
        <is>
          <t>BL-00557</t>
        </is>
      </c>
      <c r="B464" t="inlineStr">
        <is>
          <t>OPS</t>
        </is>
      </c>
      <c r="C464" s="5" t="n">
        <v>46216</v>
      </c>
      <c r="D464" t="inlineStr">
        <is>
          <t>DIRECT CREDIT KESTRELLANEFOODS INV 3412</t>
        </is>
      </c>
      <c r="E464" s="9" t="n">
        <v>5280</v>
      </c>
      <c r="F464" t="inlineStr">
        <is>
          <t>OPS-20260713</t>
        </is>
      </c>
      <c r="G464" t="inlineStr">
        <is>
          <t>G00934</t>
        </is>
      </c>
      <c r="H464" t="str">
        <f>INDEX('Match Groups'!$C$5:$C$1326,MATCH(G464,'Match Groups'!$A$5:$A$1326,0))</f>
        <v>R09</v>
      </c>
      <c r="I464" t="str">
        <f>INDEX('Match Groups'!$D$5:$D$1326,MATCH(G464,'Match Groups'!$A$5:$A$1326,0))</f>
        <v>MATCH</v>
      </c>
      <c r="J464">
        <f>IF(I464="DUPIMP",0,1)</f>
        <v>1</v>
      </c>
    </row>
    <row r="465">
      <c r="A465" t="inlineStr">
        <is>
          <t>BL-00569</t>
        </is>
      </c>
      <c r="B465" t="inlineStr">
        <is>
          <t>OPS</t>
        </is>
      </c>
      <c r="C465" s="5" t="n">
        <v>46216</v>
      </c>
      <c r="D465" t="inlineStr">
        <is>
          <t>DIRECT CREDIT CALDER FREIGHT GROUP P INV/2026/03416</t>
        </is>
      </c>
      <c r="E465" s="9" t="n">
        <v>3465</v>
      </c>
      <c r="F465" t="inlineStr">
        <is>
          <t>OPS-20260713</t>
        </is>
      </c>
      <c r="G465" t="inlineStr">
        <is>
          <t>G00935</t>
        </is>
      </c>
      <c r="H465" t="str">
        <f>INDEX('Match Groups'!$C$5:$C$1326,MATCH(G465,'Match Groups'!$A$5:$A$1326,0))</f>
        <v>R09</v>
      </c>
      <c r="I465" t="str">
        <f>INDEX('Match Groups'!$D$5:$D$1326,MATCH(G465,'Match Groups'!$A$5:$A$1326,0))</f>
        <v>MATCH</v>
      </c>
      <c r="J465">
        <f>IF(I465="DUPIMP",0,1)</f>
        <v>1</v>
      </c>
    </row>
    <row r="466">
      <c r="A466" t="inlineStr">
        <is>
          <t>BL-00590</t>
        </is>
      </c>
      <c r="B466" t="inlineStr">
        <is>
          <t>OPS</t>
        </is>
      </c>
      <c r="C466" s="5" t="n">
        <v>46216</v>
      </c>
      <c r="D466" t="inlineStr">
        <is>
          <t>DIRECT CREDIT QUILLON ENGINEERIN</t>
        </is>
      </c>
      <c r="E466" s="9" t="n">
        <v>2035</v>
      </c>
      <c r="F466" t="inlineStr">
        <is>
          <t>OPS-20260713</t>
        </is>
      </c>
      <c r="G466" t="inlineStr">
        <is>
          <t>G01123</t>
        </is>
      </c>
      <c r="H466" t="str">
        <f>INDEX('Match Groups'!$C$5:$C$1326,MATCH(G466,'Match Groups'!$A$5:$A$1326,0))</f>
        <v>R10</v>
      </c>
      <c r="I466" t="str">
        <f>INDEX('Match Groups'!$D$5:$D$1326,MATCH(G466,'Match Groups'!$A$5:$A$1326,0))</f>
        <v>MATCH</v>
      </c>
      <c r="J466">
        <f>IF(I466="DUPIMP",0,1)</f>
        <v>1</v>
      </c>
    </row>
    <row r="467">
      <c r="A467" t="inlineStr">
        <is>
          <t>BL-00663</t>
        </is>
      </c>
      <c r="B467" t="inlineStr">
        <is>
          <t>OPS</t>
        </is>
      </c>
      <c r="C467" s="5" t="n">
        <v>46216</v>
      </c>
      <c r="D467" t="inlineStr">
        <is>
          <t>DIRECT CREDIT NETTLEFOLDJOINER INV/2026/03453</t>
        </is>
      </c>
      <c r="E467" s="9" t="n">
        <v>15950</v>
      </c>
      <c r="F467" t="inlineStr">
        <is>
          <t>OPS-20260713</t>
        </is>
      </c>
      <c r="G467" t="inlineStr">
        <is>
          <t>G00936</t>
        </is>
      </c>
      <c r="H467" t="str">
        <f>INDEX('Match Groups'!$C$5:$C$1326,MATCH(G467,'Match Groups'!$A$5:$A$1326,0))</f>
        <v>R09</v>
      </c>
      <c r="I467" t="str">
        <f>INDEX('Match Groups'!$D$5:$D$1326,MATCH(G467,'Match Groups'!$A$5:$A$1326,0))</f>
        <v>MATCH</v>
      </c>
      <c r="J467">
        <f>IF(I467="DUPIMP",0,1)</f>
        <v>1</v>
      </c>
    </row>
    <row r="468">
      <c r="A468" t="inlineStr">
        <is>
          <t>BL-00666</t>
        </is>
      </c>
      <c r="B468" t="inlineStr">
        <is>
          <t>OPS</t>
        </is>
      </c>
      <c r="C468" s="5" t="n">
        <v>46216</v>
      </c>
      <c r="D468" t="inlineStr">
        <is>
          <t>DIRECT CREDIT OAKBANK RECYCLING INV/2026/03454</t>
        </is>
      </c>
      <c r="E468" s="9" t="n">
        <v>2640</v>
      </c>
      <c r="F468" t="inlineStr">
        <is>
          <t>OPS-20260713</t>
        </is>
      </c>
      <c r="G468" t="inlineStr">
        <is>
          <t>G00937</t>
        </is>
      </c>
      <c r="H468" t="str">
        <f>INDEX('Match Groups'!$C$5:$C$1326,MATCH(G468,'Match Groups'!$A$5:$A$1326,0))</f>
        <v>R09</v>
      </c>
      <c r="I468" t="str">
        <f>INDEX('Match Groups'!$D$5:$D$1326,MATCH(G468,'Match Groups'!$A$5:$A$1326,0))</f>
        <v>MATCH</v>
      </c>
      <c r="J468">
        <f>IF(I468="DUPIMP",0,1)</f>
        <v>1</v>
      </c>
    </row>
    <row r="469">
      <c r="A469" t="inlineStr">
        <is>
          <t>BL-00675</t>
        </is>
      </c>
      <c r="B469" t="inlineStr">
        <is>
          <t>OPS</t>
        </is>
      </c>
      <c r="C469" s="5" t="n">
        <v>46216</v>
      </c>
      <c r="D469" t="inlineStr">
        <is>
          <t>DIRECT CREDIT STANHOPE TRUCKING PTY INV03460</t>
        </is>
      </c>
      <c r="E469" s="9" t="n">
        <v>16032.5</v>
      </c>
      <c r="F469" t="inlineStr">
        <is>
          <t>OPS-20260713</t>
        </is>
      </c>
      <c r="G469" t="inlineStr">
        <is>
          <t>G00938</t>
        </is>
      </c>
      <c r="H469" t="str">
        <f>INDEX('Match Groups'!$C$5:$C$1326,MATCH(G469,'Match Groups'!$A$5:$A$1326,0))</f>
        <v>R09</v>
      </c>
      <c r="I469" t="str">
        <f>INDEX('Match Groups'!$D$5:$D$1326,MATCH(G469,'Match Groups'!$A$5:$A$1326,0))</f>
        <v>MATCH</v>
      </c>
      <c r="J469">
        <f>IF(I469="DUPIMP",0,1)</f>
        <v>1</v>
      </c>
    </row>
    <row r="470">
      <c r="A470" t="inlineStr">
        <is>
          <t>BL-00695</t>
        </is>
      </c>
      <c r="B470" t="inlineStr">
        <is>
          <t>OPS</t>
        </is>
      </c>
      <c r="C470" s="5" t="n">
        <v>46216</v>
      </c>
      <c r="D470" t="inlineStr">
        <is>
          <t>STRIPE PAYOUT STRIPE po_1Q0009KX</t>
        </is>
      </c>
      <c r="E470" s="9" t="n">
        <v>2563.21</v>
      </c>
      <c r="F470" t="inlineStr">
        <is>
          <t>OPS-20260713</t>
        </is>
      </c>
      <c r="G470" t="inlineStr">
        <is>
          <t>G00022</t>
        </is>
      </c>
      <c r="H470" t="str">
        <f>INDEX('Match Groups'!$C$5:$C$1326,MATCH(G470,'Match Groups'!$A$5:$A$1326,0))</f>
        <v>R02</v>
      </c>
      <c r="I470" t="str">
        <f>INDEX('Match Groups'!$D$5:$D$1326,MATCH(G470,'Match Groups'!$A$5:$A$1326,0))</f>
        <v>STRIPE-FEE</v>
      </c>
      <c r="J470">
        <f>IF(I470="DUPIMP",0,1)</f>
        <v>1</v>
      </c>
    </row>
    <row r="471">
      <c r="A471" t="inlineStr">
        <is>
          <t>BL-00774</t>
        </is>
      </c>
      <c r="B471" t="inlineStr">
        <is>
          <t>OPS</t>
        </is>
      </c>
      <c r="C471" s="5" t="n">
        <v>46216</v>
      </c>
      <c r="D471" t="inlineStr">
        <is>
          <t>DIRECT DEBIT TELWAVE BUSINESS MOB 232164</t>
        </is>
      </c>
      <c r="E471" s="9" t="n">
        <v>-1204.76</v>
      </c>
      <c r="F471" t="inlineStr">
        <is>
          <t>OPS-20260713</t>
        </is>
      </c>
      <c r="G471" t="inlineStr">
        <is>
          <t>G01124</t>
        </is>
      </c>
      <c r="H471" t="str">
        <f>INDEX('Match Groups'!$C$5:$C$1326,MATCH(G471,'Match Groups'!$A$5:$A$1326,0))</f>
        <v>R10</v>
      </c>
      <c r="I471" t="str">
        <f>INDEX('Match Groups'!$D$5:$D$1326,MATCH(G471,'Match Groups'!$A$5:$A$1326,0))</f>
        <v>MATCH</v>
      </c>
      <c r="J471">
        <f>IF(I471="DUPIMP",0,1)</f>
        <v>1</v>
      </c>
    </row>
    <row r="472">
      <c r="A472" t="inlineStr">
        <is>
          <t>BL-01564</t>
        </is>
      </c>
      <c r="B472" t="inlineStr">
        <is>
          <t>OPS</t>
        </is>
      </c>
      <c r="C472" s="5" t="n">
        <v>46216</v>
      </c>
      <c r="D472" t="inlineStr">
        <is>
          <t>SWEEP FROM MERCHANT ACCT</t>
        </is>
      </c>
      <c r="E472" s="9" t="n">
        <v>34000</v>
      </c>
      <c r="F472" t="inlineStr">
        <is>
          <t>OPS-20260713</t>
        </is>
      </c>
      <c r="G472" t="inlineStr">
        <is>
          <t>G00510</t>
        </is>
      </c>
      <c r="H472" t="str">
        <f>INDEX('Match Groups'!$C$5:$C$1326,MATCH(G472,'Match Groups'!$A$5:$A$1326,0))</f>
        <v>R04</v>
      </c>
      <c r="I472" t="str">
        <f>INDEX('Match Groups'!$D$5:$D$1326,MATCH(G472,'Match Groups'!$A$5:$A$1326,0))</f>
        <v>MATCH</v>
      </c>
      <c r="J472">
        <f>IF(I472="DUPIMP",0,1)</f>
        <v>1</v>
      </c>
    </row>
    <row r="473">
      <c r="A473" t="inlineStr">
        <is>
          <t>BL-00066</t>
        </is>
      </c>
      <c r="B473" t="inlineStr">
        <is>
          <t>OPS</t>
        </is>
      </c>
      <c r="C473" s="5" t="n">
        <v>46217</v>
      </c>
      <c r="D473" t="inlineStr">
        <is>
          <t>DIRECT CREDIT BLUEGUM PLAN MGMT RA44863</t>
        </is>
      </c>
      <c r="E473" s="9" t="n">
        <v>708.96</v>
      </c>
      <c r="F473" t="inlineStr">
        <is>
          <t>OPS-20260714</t>
        </is>
      </c>
      <c r="G473" t="inlineStr">
        <is>
          <t>G00142</t>
        </is>
      </c>
      <c r="H473" t="str">
        <f>INDEX('Match Groups'!$C$5:$C$1326,MATCH(G473,'Match Groups'!$A$5:$A$1326,0))</f>
        <v>R03</v>
      </c>
      <c r="I473" t="str">
        <f>INDEX('Match Groups'!$D$5:$D$1326,MATCH(G473,'Match Groups'!$A$5:$A$1326,0))</f>
        <v>MATCH</v>
      </c>
      <c r="J473">
        <f>IF(I473="DUPIMP",0,1)</f>
        <v>1</v>
      </c>
    </row>
    <row r="474">
      <c r="A474" t="inlineStr">
        <is>
          <t>BL-00067</t>
        </is>
      </c>
      <c r="B474" t="inlineStr">
        <is>
          <t>OPS</t>
        </is>
      </c>
      <c r="C474" s="5" t="n">
        <v>46217</v>
      </c>
      <c r="D474" t="inlineStr">
        <is>
          <t>DIRECT CREDIT BANKSIA PLAN CO PTY LT RA44864</t>
        </is>
      </c>
      <c r="E474" s="9" t="n">
        <v>573.17</v>
      </c>
      <c r="F474" t="inlineStr">
        <is>
          <t>OPS-20260714</t>
        </is>
      </c>
      <c r="G474" t="inlineStr">
        <is>
          <t>G00143</t>
        </is>
      </c>
      <c r="H474" t="str">
        <f>INDEX('Match Groups'!$C$5:$C$1326,MATCH(G474,'Match Groups'!$A$5:$A$1326,0))</f>
        <v>R03</v>
      </c>
      <c r="I474" t="str">
        <f>INDEX('Match Groups'!$D$5:$D$1326,MATCH(G474,'Match Groups'!$A$5:$A$1326,0))</f>
        <v>MATCH</v>
      </c>
      <c r="J474">
        <f>IF(I474="DUPIMP",0,1)</f>
        <v>1</v>
      </c>
    </row>
    <row r="475">
      <c r="A475" t="inlineStr">
        <is>
          <t>BL-00068</t>
        </is>
      </c>
      <c r="B475" t="inlineStr">
        <is>
          <t>OPS</t>
        </is>
      </c>
      <c r="C475" s="5" t="n">
        <v>46217</v>
      </c>
      <c r="D475" t="inlineStr">
        <is>
          <t>DIRECT CREDIT IRONBARK PLAN MGMT RA44865</t>
        </is>
      </c>
      <c r="E475" s="9" t="n">
        <v>3358.73</v>
      </c>
      <c r="F475" t="inlineStr">
        <is>
          <t>OPS-20260714</t>
        </is>
      </c>
      <c r="G475" t="inlineStr">
        <is>
          <t>G00144</t>
        </is>
      </c>
      <c r="H475" t="str">
        <f>INDEX('Match Groups'!$C$5:$C$1326,MATCH(G475,'Match Groups'!$A$5:$A$1326,0))</f>
        <v>R03</v>
      </c>
      <c r="I475" t="str">
        <f>INDEX('Match Groups'!$D$5:$D$1326,MATCH(G475,'Match Groups'!$A$5:$A$1326,0))</f>
        <v>MATCH</v>
      </c>
      <c r="J475">
        <f>IF(I475="DUPIMP",0,1)</f>
        <v>1</v>
      </c>
    </row>
    <row r="476">
      <c r="A476" t="inlineStr">
        <is>
          <t>BL-00069</t>
        </is>
      </c>
      <c r="B476" t="inlineStr">
        <is>
          <t>OPS</t>
        </is>
      </c>
      <c r="C476" s="5" t="n">
        <v>46217</v>
      </c>
      <c r="D476" t="inlineStr">
        <is>
          <t>DIRECT CREDIT KOOKABURRA PLAN SUPPOR RA44866</t>
        </is>
      </c>
      <c r="E476" s="9" t="n">
        <v>1319.13</v>
      </c>
      <c r="F476" t="inlineStr">
        <is>
          <t>OPS-20260714</t>
        </is>
      </c>
      <c r="G476" t="inlineStr">
        <is>
          <t>G00145</t>
        </is>
      </c>
      <c r="H476" t="str">
        <f>INDEX('Match Groups'!$C$5:$C$1326,MATCH(G476,'Match Groups'!$A$5:$A$1326,0))</f>
        <v>R03</v>
      </c>
      <c r="I476" t="str">
        <f>INDEX('Match Groups'!$D$5:$D$1326,MATCH(G476,'Match Groups'!$A$5:$A$1326,0))</f>
        <v>MATCH</v>
      </c>
      <c r="J476">
        <f>IF(I476="DUPIMP",0,1)</f>
        <v>1</v>
      </c>
    </row>
    <row r="477">
      <c r="A477" t="inlineStr">
        <is>
          <t>BL-00070</t>
        </is>
      </c>
      <c r="B477" t="inlineStr">
        <is>
          <t>OPS</t>
        </is>
      </c>
      <c r="C477" s="5" t="n">
        <v>46217</v>
      </c>
      <c r="D477" t="inlineStr">
        <is>
          <t>DIRECT CREDIT SALTBUSH PLAN MANA RA44867</t>
        </is>
      </c>
      <c r="E477" s="9" t="n">
        <v>3173.52</v>
      </c>
      <c r="F477" t="inlineStr">
        <is>
          <t>OPS-20260714</t>
        </is>
      </c>
      <c r="G477" t="inlineStr">
        <is>
          <t>G00146</t>
        </is>
      </c>
      <c r="H477" t="str">
        <f>INDEX('Match Groups'!$C$5:$C$1326,MATCH(G477,'Match Groups'!$A$5:$A$1326,0))</f>
        <v>R03</v>
      </c>
      <c r="I477" t="str">
        <f>INDEX('Match Groups'!$D$5:$D$1326,MATCH(G477,'Match Groups'!$A$5:$A$1326,0))</f>
        <v>MATCH</v>
      </c>
      <c r="J477">
        <f>IF(I477="DUPIMP",0,1)</f>
        <v>1</v>
      </c>
    </row>
    <row r="478">
      <c r="A478" t="inlineStr">
        <is>
          <t>BL-00071</t>
        </is>
      </c>
      <c r="B478" t="inlineStr">
        <is>
          <t>OPS</t>
        </is>
      </c>
      <c r="C478" s="5" t="n">
        <v>46217</v>
      </c>
      <c r="D478" t="inlineStr">
        <is>
          <t>DIRECT CREDIT LYREBIRD PLAN MANAGEME RA44868</t>
        </is>
      </c>
      <c r="E478" s="9" t="n">
        <v>805.96</v>
      </c>
      <c r="F478" t="inlineStr">
        <is>
          <t>OPS-20260714</t>
        </is>
      </c>
      <c r="G478" t="inlineStr">
        <is>
          <t>G00147</t>
        </is>
      </c>
      <c r="H478" t="str">
        <f>INDEX('Match Groups'!$C$5:$C$1326,MATCH(G478,'Match Groups'!$A$5:$A$1326,0))</f>
        <v>R03</v>
      </c>
      <c r="I478" t="str">
        <f>INDEX('Match Groups'!$D$5:$D$1326,MATCH(G478,'Match Groups'!$A$5:$A$1326,0))</f>
        <v>MATCH</v>
      </c>
      <c r="J478">
        <f>IF(I478="DUPIMP",0,1)</f>
        <v>1</v>
      </c>
    </row>
    <row r="479">
      <c r="A479" t="inlineStr">
        <is>
          <t>BL-00465</t>
        </is>
      </c>
      <c r="B479" t="inlineStr">
        <is>
          <t>OPS</t>
        </is>
      </c>
      <c r="C479" s="5" t="n">
        <v>46217</v>
      </c>
      <c r="D479" t="inlineStr">
        <is>
          <t>DIRECT CREDIT UNITY WORKCOVER AG CLM5833636 INV/2026/01793</t>
        </is>
      </c>
      <c r="E479" s="9" t="n">
        <v>412.5</v>
      </c>
      <c r="F479" t="inlineStr">
        <is>
          <t>OPS-20260714</t>
        </is>
      </c>
      <c r="G479" t="inlineStr">
        <is>
          <t>G00939</t>
        </is>
      </c>
      <c r="H479" t="str">
        <f>INDEX('Match Groups'!$C$5:$C$1326,MATCH(G479,'Match Groups'!$A$5:$A$1326,0))</f>
        <v>R09</v>
      </c>
      <c r="I479" t="str">
        <f>INDEX('Match Groups'!$D$5:$D$1326,MATCH(G479,'Match Groups'!$A$5:$A$1326,0))</f>
        <v>MATCH</v>
      </c>
      <c r="J479">
        <f>IF(I479="DUPIMP",0,1)</f>
        <v>1</v>
      </c>
    </row>
    <row r="480">
      <c r="A480" t="inlineStr">
        <is>
          <t>BL-00468</t>
        </is>
      </c>
      <c r="B480" t="inlineStr">
        <is>
          <t>OPS</t>
        </is>
      </c>
      <c r="C480" s="5" t="n">
        <v>46217</v>
      </c>
      <c r="D480" t="inlineStr">
        <is>
          <t>DIRECT CREDIT UNITY WORKCOVER AGENTS CLM5522546 INV01990</t>
        </is>
      </c>
      <c r="E480" s="9" t="n">
        <v>88</v>
      </c>
      <c r="F480" t="inlineStr">
        <is>
          <t>OPS-20260714</t>
        </is>
      </c>
      <c r="G480" t="inlineStr">
        <is>
          <t>G01174</t>
        </is>
      </c>
      <c r="H480" t="str">
        <f>INDEX('Match Groups'!$C$5:$C$1326,MATCH(G480,'Match Groups'!$A$5:$A$1326,0))</f>
        <v>R11</v>
      </c>
      <c r="I480" t="str">
        <f>INDEX('Match Groups'!$D$5:$D$1326,MATCH(G480,'Match Groups'!$A$5:$A$1326,0))</f>
        <v>REG</v>
      </c>
      <c r="J480">
        <f>IF(I480="DUPIMP",0,1)</f>
        <v>1</v>
      </c>
    </row>
    <row r="481">
      <c r="A481" t="inlineStr">
        <is>
          <t>BL-00566</t>
        </is>
      </c>
      <c r="B481" t="inlineStr">
        <is>
          <t>OPS</t>
        </is>
      </c>
      <c r="C481" s="5" t="n">
        <v>46217</v>
      </c>
      <c r="D481" t="inlineStr">
        <is>
          <t>DIRECT CREDIT ORCHARDSTREETLEG INV/2026/03414</t>
        </is>
      </c>
      <c r="E481" s="9" t="n">
        <v>3547.5</v>
      </c>
      <c r="F481" t="inlineStr">
        <is>
          <t>OPS-20260714</t>
        </is>
      </c>
      <c r="G481" t="inlineStr">
        <is>
          <t>G00940</t>
        </is>
      </c>
      <c r="H481" t="str">
        <f>INDEX('Match Groups'!$C$5:$C$1326,MATCH(G481,'Match Groups'!$A$5:$A$1326,0))</f>
        <v>R09</v>
      </c>
      <c r="I481" t="str">
        <f>INDEX('Match Groups'!$D$5:$D$1326,MATCH(G481,'Match Groups'!$A$5:$A$1326,0))</f>
        <v>MATCH</v>
      </c>
      <c r="J481">
        <f>IF(I481="DUPIMP",0,1)</f>
        <v>1</v>
      </c>
    </row>
    <row r="482">
      <c r="A482" t="inlineStr">
        <is>
          <t>BL-00589</t>
        </is>
      </c>
      <c r="B482" t="inlineStr">
        <is>
          <t>OPS</t>
        </is>
      </c>
      <c r="C482" s="5" t="n">
        <v>46217</v>
      </c>
      <c r="D482" t="inlineStr">
        <is>
          <t>DIRECT CREDIT QUILLON ENGINEERIN INV/2026/03428</t>
        </is>
      </c>
      <c r="E482" s="9" t="n">
        <v>5280</v>
      </c>
      <c r="F482" t="inlineStr">
        <is>
          <t>OPS-20260714</t>
        </is>
      </c>
      <c r="G482" t="inlineStr">
        <is>
          <t>G00941</t>
        </is>
      </c>
      <c r="H482" t="str">
        <f>INDEX('Match Groups'!$C$5:$C$1326,MATCH(G482,'Match Groups'!$A$5:$A$1326,0))</f>
        <v>R09</v>
      </c>
      <c r="I482" t="str">
        <f>INDEX('Match Groups'!$D$5:$D$1326,MATCH(G482,'Match Groups'!$A$5:$A$1326,0))</f>
        <v>MATCH</v>
      </c>
      <c r="J482">
        <f>IF(I482="DUPIMP",0,1)</f>
        <v>1</v>
      </c>
    </row>
    <row r="483">
      <c r="A483" t="inlineStr">
        <is>
          <t>BL-00610</t>
        </is>
      </c>
      <c r="B483" t="inlineStr">
        <is>
          <t>OPS</t>
        </is>
      </c>
      <c r="C483" s="5" t="n">
        <v>46217</v>
      </c>
      <c r="D483" t="inlineStr">
        <is>
          <t>DIRECT CREDIT TALISKER MINING SERV INV 3434</t>
        </is>
      </c>
      <c r="E483" s="9" t="n">
        <v>1471.25</v>
      </c>
      <c r="F483" t="inlineStr">
        <is>
          <t>OPS-20260714</t>
        </is>
      </c>
      <c r="G483" t="inlineStr">
        <is>
          <t>G00942</t>
        </is>
      </c>
      <c r="H483" t="str">
        <f>INDEX('Match Groups'!$C$5:$C$1326,MATCH(G483,'Match Groups'!$A$5:$A$1326,0))</f>
        <v>R09</v>
      </c>
      <c r="I483" t="str">
        <f>INDEX('Match Groups'!$D$5:$D$1326,MATCH(G483,'Match Groups'!$A$5:$A$1326,0))</f>
        <v>MATCH</v>
      </c>
      <c r="J483">
        <f>IF(I483="DUPIMP",0,1)</f>
        <v>1</v>
      </c>
    </row>
    <row r="484">
      <c r="A484" t="inlineStr">
        <is>
          <t>BL-00653</t>
        </is>
      </c>
      <c r="B484" t="inlineStr">
        <is>
          <t>OPS</t>
        </is>
      </c>
      <c r="C484" s="5" t="n">
        <v>46217</v>
      </c>
      <c r="D484" t="inlineStr">
        <is>
          <t>DIRECT CREDIT LOCKHART GLASS PTY LTD</t>
        </is>
      </c>
      <c r="E484" s="9" t="n">
        <v>5280</v>
      </c>
      <c r="F484" t="inlineStr">
        <is>
          <t>OPS-20260714</t>
        </is>
      </c>
      <c r="G484" t="inlineStr">
        <is>
          <t>G01125</t>
        </is>
      </c>
      <c r="H484" t="str">
        <f>INDEX('Match Groups'!$C$5:$C$1326,MATCH(G484,'Match Groups'!$A$5:$A$1326,0))</f>
        <v>R10</v>
      </c>
      <c r="I484" t="str">
        <f>INDEX('Match Groups'!$D$5:$D$1326,MATCH(G484,'Match Groups'!$A$5:$A$1326,0))</f>
        <v>MATCH</v>
      </c>
      <c r="J484">
        <f>IF(I484="DUPIMP",0,1)</f>
        <v>1</v>
      </c>
    </row>
    <row r="485">
      <c r="A485" t="inlineStr">
        <is>
          <t>BL-00696</t>
        </is>
      </c>
      <c r="B485" t="inlineStr">
        <is>
          <t>OPS</t>
        </is>
      </c>
      <c r="C485" s="5" t="n">
        <v>46217</v>
      </c>
      <c r="D485" t="inlineStr">
        <is>
          <t>STRIPE PAYOUT STRIPE po_1Q0010KX</t>
        </is>
      </c>
      <c r="E485" s="9" t="n">
        <v>4871.28</v>
      </c>
      <c r="F485" t="inlineStr">
        <is>
          <t>OPS-20260714</t>
        </is>
      </c>
      <c r="G485" t="inlineStr">
        <is>
          <t>G00023</t>
        </is>
      </c>
      <c r="H485" t="str">
        <f>INDEX('Match Groups'!$C$5:$C$1326,MATCH(G485,'Match Groups'!$A$5:$A$1326,0))</f>
        <v>R02</v>
      </c>
      <c r="I485" t="str">
        <f>INDEX('Match Groups'!$D$5:$D$1326,MATCH(G485,'Match Groups'!$A$5:$A$1326,0))</f>
        <v>STRIPE-FEE</v>
      </c>
      <c r="J485">
        <f>IF(I485="DUPIMP",0,1)</f>
        <v>1</v>
      </c>
    </row>
    <row r="486">
      <c r="A486" t="inlineStr">
        <is>
          <t>BL-00072</t>
        </is>
      </c>
      <c r="B486" t="inlineStr">
        <is>
          <t>OPS</t>
        </is>
      </c>
      <c r="C486" s="5" t="n">
        <v>46218</v>
      </c>
      <c r="D486" t="inlineStr">
        <is>
          <t>DIRECT CREDIT BLUEGUM PLAN MGMT RA44869</t>
        </is>
      </c>
      <c r="E486" s="9" t="n">
        <v>466.47</v>
      </c>
      <c r="F486" t="inlineStr">
        <is>
          <t>OPS-20260715</t>
        </is>
      </c>
      <c r="G486" t="inlineStr">
        <is>
          <t>G00148</t>
        </is>
      </c>
      <c r="H486" t="str">
        <f>INDEX('Match Groups'!$C$5:$C$1326,MATCH(G486,'Match Groups'!$A$5:$A$1326,0))</f>
        <v>R03</v>
      </c>
      <c r="I486" t="str">
        <f>INDEX('Match Groups'!$D$5:$D$1326,MATCH(G486,'Match Groups'!$A$5:$A$1326,0))</f>
        <v>MATCH</v>
      </c>
      <c r="J486">
        <f>IF(I486="DUPIMP",0,1)</f>
        <v>1</v>
      </c>
    </row>
    <row r="487">
      <c r="A487" t="inlineStr">
        <is>
          <t>BL-00073</t>
        </is>
      </c>
      <c r="B487" t="inlineStr">
        <is>
          <t>OPS</t>
        </is>
      </c>
      <c r="C487" s="5" t="n">
        <v>46218</v>
      </c>
      <c r="D487" t="inlineStr">
        <is>
          <t>DIRECT CREDIT RIVERBEND PLAN PAR RA44870</t>
        </is>
      </c>
      <c r="E487" s="9" t="n">
        <v>611.97</v>
      </c>
      <c r="F487" t="inlineStr">
        <is>
          <t>OPS-20260715</t>
        </is>
      </c>
      <c r="G487" t="inlineStr">
        <is>
          <t>G00149</t>
        </is>
      </c>
      <c r="H487" t="str">
        <f>INDEX('Match Groups'!$C$5:$C$1326,MATCH(G487,'Match Groups'!$A$5:$A$1326,0))</f>
        <v>R03</v>
      </c>
      <c r="I487" t="str">
        <f>INDEX('Match Groups'!$D$5:$D$1326,MATCH(G487,'Match Groups'!$A$5:$A$1326,0))</f>
        <v>MATCH</v>
      </c>
      <c r="J487">
        <f>IF(I487="DUPIMP",0,1)</f>
        <v>1</v>
      </c>
    </row>
    <row r="488">
      <c r="A488" t="inlineStr">
        <is>
          <t>BL-00074</t>
        </is>
      </c>
      <c r="B488" t="inlineStr">
        <is>
          <t>OPS</t>
        </is>
      </c>
      <c r="C488" s="5" t="n">
        <v>46218</v>
      </c>
      <c r="D488" t="inlineStr">
        <is>
          <t>DIRECT CREDIT KOOKABURRA PLAN SUPPOR RA44871</t>
        </is>
      </c>
      <c r="E488" s="9" t="n">
        <v>854.45</v>
      </c>
      <c r="F488" t="inlineStr">
        <is>
          <t>OPS-20260715</t>
        </is>
      </c>
      <c r="G488" t="inlineStr">
        <is>
          <t>G00150</t>
        </is>
      </c>
      <c r="H488" t="str">
        <f>INDEX('Match Groups'!$C$5:$C$1326,MATCH(G488,'Match Groups'!$A$5:$A$1326,0))</f>
        <v>R03</v>
      </c>
      <c r="I488" t="str">
        <f>INDEX('Match Groups'!$D$5:$D$1326,MATCH(G488,'Match Groups'!$A$5:$A$1326,0))</f>
        <v>MATCH</v>
      </c>
      <c r="J488">
        <f>IF(I488="DUPIMP",0,1)</f>
        <v>1</v>
      </c>
    </row>
    <row r="489">
      <c r="A489" t="inlineStr">
        <is>
          <t>BL-00075</t>
        </is>
      </c>
      <c r="B489" t="inlineStr">
        <is>
          <t>OPS</t>
        </is>
      </c>
      <c r="C489" s="5" t="n">
        <v>46218</v>
      </c>
      <c r="D489" t="inlineStr">
        <is>
          <t>DIRECT CREDIT REDGUMPLANADMIN RA44872</t>
        </is>
      </c>
      <c r="E489" s="9" t="n">
        <v>203.69</v>
      </c>
      <c r="F489" t="inlineStr">
        <is>
          <t>OPS-20260715</t>
        </is>
      </c>
      <c r="G489" t="inlineStr">
        <is>
          <t>G00151</t>
        </is>
      </c>
      <c r="H489" t="str">
        <f>INDEX('Match Groups'!$C$5:$C$1326,MATCH(G489,'Match Groups'!$A$5:$A$1326,0))</f>
        <v>R03</v>
      </c>
      <c r="I489" t="str">
        <f>INDEX('Match Groups'!$D$5:$D$1326,MATCH(G489,'Match Groups'!$A$5:$A$1326,0))</f>
        <v>MATCH</v>
      </c>
      <c r="J489">
        <f>IF(I489="DUPIMP",0,1)</f>
        <v>1</v>
      </c>
    </row>
    <row r="490">
      <c r="A490" t="inlineStr">
        <is>
          <t>BL-00076</t>
        </is>
      </c>
      <c r="B490" t="inlineStr">
        <is>
          <t>OPS</t>
        </is>
      </c>
      <c r="C490" s="5" t="n">
        <v>46218</v>
      </c>
      <c r="D490" t="inlineStr">
        <is>
          <t>DIRECT CREDIT MALLEEPLANSERVIC RA44873</t>
        </is>
      </c>
      <c r="E490" s="9" t="n">
        <v>1746.8</v>
      </c>
      <c r="F490" t="inlineStr">
        <is>
          <t>OPS-20260715</t>
        </is>
      </c>
      <c r="G490" t="inlineStr">
        <is>
          <t>G00152</t>
        </is>
      </c>
      <c r="H490" t="str">
        <f>INDEX('Match Groups'!$C$5:$C$1326,MATCH(G490,'Match Groups'!$A$5:$A$1326,0))</f>
        <v>R03</v>
      </c>
      <c r="I490" t="str">
        <f>INDEX('Match Groups'!$D$5:$D$1326,MATCH(G490,'Match Groups'!$A$5:$A$1326,0))</f>
        <v>MATCH</v>
      </c>
      <c r="J490">
        <f>IF(I490="DUPIMP",0,1)</f>
        <v>1</v>
      </c>
    </row>
    <row r="491">
      <c r="A491" t="inlineStr">
        <is>
          <t>BL-00573</t>
        </is>
      </c>
      <c r="B491" t="inlineStr">
        <is>
          <t>OPS</t>
        </is>
      </c>
      <c r="C491" s="5" t="n">
        <v>46218</v>
      </c>
      <c r="D491" t="inlineStr">
        <is>
          <t>DIRECT CREDIT OSTRANDERMANUFAC 03419</t>
        </is>
      </c>
      <c r="E491" s="9" t="n">
        <v>6820</v>
      </c>
      <c r="F491" t="inlineStr">
        <is>
          <t>OPS-20260715</t>
        </is>
      </c>
      <c r="G491" t="inlineStr">
        <is>
          <t>G00943</t>
        </is>
      </c>
      <c r="H491" t="str">
        <f>INDEX('Match Groups'!$C$5:$C$1326,MATCH(G491,'Match Groups'!$A$5:$A$1326,0))</f>
        <v>R09</v>
      </c>
      <c r="I491" t="str">
        <f>INDEX('Match Groups'!$D$5:$D$1326,MATCH(G491,'Match Groups'!$A$5:$A$1326,0))</f>
        <v>MATCH</v>
      </c>
      <c r="J491">
        <f>IF(I491="DUPIMP",0,1)</f>
        <v>1</v>
      </c>
    </row>
    <row r="492">
      <c r="A492" t="inlineStr">
        <is>
          <t>BL-00627</t>
        </is>
      </c>
      <c r="B492" t="inlineStr">
        <is>
          <t>OPS</t>
        </is>
      </c>
      <c r="C492" s="5" t="n">
        <v>46218</v>
      </c>
      <c r="D492" t="inlineStr">
        <is>
          <t>DIRECT CREDIT DAINTREE PACKAGING PTY INV/2026/03441</t>
        </is>
      </c>
      <c r="E492" s="9" t="n">
        <v>5431.25</v>
      </c>
      <c r="F492" t="inlineStr">
        <is>
          <t>OPS-20260715</t>
        </is>
      </c>
      <c r="G492" t="inlineStr">
        <is>
          <t>G00944</t>
        </is>
      </c>
      <c r="H492" t="str">
        <f>INDEX('Match Groups'!$C$5:$C$1326,MATCH(G492,'Match Groups'!$A$5:$A$1326,0))</f>
        <v>R09</v>
      </c>
      <c r="I492" t="str">
        <f>INDEX('Match Groups'!$D$5:$D$1326,MATCH(G492,'Match Groups'!$A$5:$A$1326,0))</f>
        <v>MATCH</v>
      </c>
      <c r="J492">
        <f>IF(I492="DUPIMP",0,1)</f>
        <v>1</v>
      </c>
    </row>
    <row r="493">
      <c r="A493" t="inlineStr">
        <is>
          <t>BL-00697</t>
        </is>
      </c>
      <c r="B493" t="inlineStr">
        <is>
          <t>OPS</t>
        </is>
      </c>
      <c r="C493" s="5" t="n">
        <v>46218</v>
      </c>
      <c r="D493" t="inlineStr">
        <is>
          <t>STRIPE PAYOUT STRIPE po_1Q0011KX</t>
        </is>
      </c>
      <c r="E493" s="9" t="n">
        <v>2376.81</v>
      </c>
      <c r="F493" t="inlineStr">
        <is>
          <t>OPS-20260715</t>
        </is>
      </c>
      <c r="G493" t="inlineStr">
        <is>
          <t>G00024</t>
        </is>
      </c>
      <c r="H493" t="str">
        <f>INDEX('Match Groups'!$C$5:$C$1326,MATCH(G493,'Match Groups'!$A$5:$A$1326,0))</f>
        <v>R02</v>
      </c>
      <c r="I493" t="str">
        <f>INDEX('Match Groups'!$D$5:$D$1326,MATCH(G493,'Match Groups'!$A$5:$A$1326,0))</f>
        <v>STRIPE-FEE</v>
      </c>
      <c r="J493">
        <f>IF(I493="DUPIMP",0,1)</f>
        <v>1</v>
      </c>
    </row>
    <row r="494">
      <c r="A494" t="inlineStr">
        <is>
          <t>BL-00755</t>
        </is>
      </c>
      <c r="B494" t="inlineStr">
        <is>
          <t>OPS</t>
        </is>
      </c>
      <c r="C494" s="5" t="n">
        <v>46218</v>
      </c>
      <c r="D494" t="inlineStr">
        <is>
          <t>ABA PAYMENT FILE 0413 21 PAYMENTS</t>
        </is>
      </c>
      <c r="E494" s="9" t="n">
        <v>-30745</v>
      </c>
      <c r="F494" t="inlineStr">
        <is>
          <t>OPS-20260715</t>
        </is>
      </c>
      <c r="G494" t="inlineStr">
        <is>
          <t>G00511</t>
        </is>
      </c>
      <c r="H494" t="str">
        <f>INDEX('Match Groups'!$C$5:$C$1326,MATCH(G494,'Match Groups'!$A$5:$A$1326,0))</f>
        <v>R06</v>
      </c>
      <c r="I494" t="str">
        <f>INDEX('Match Groups'!$D$5:$D$1326,MATCH(G494,'Match Groups'!$A$5:$A$1326,0))</f>
        <v>MATCH</v>
      </c>
      <c r="J494">
        <f>IF(I494="DUPIMP",0,1)</f>
        <v>1</v>
      </c>
    </row>
    <row r="495">
      <c r="A495" t="inlineStr">
        <is>
          <t>BL-00772</t>
        </is>
      </c>
      <c r="B495" t="inlineStr">
        <is>
          <t>OPS</t>
        </is>
      </c>
      <c r="C495" s="5" t="n">
        <v>46218</v>
      </c>
      <c r="D495" t="inlineStr">
        <is>
          <t>DIRECT DEBIT FLEETWISE VEHICLE LE 706069</t>
        </is>
      </c>
      <c r="E495" s="9" t="n">
        <v>-3184.62</v>
      </c>
      <c r="F495" t="inlineStr">
        <is>
          <t>OPS-20260715</t>
        </is>
      </c>
      <c r="G495" t="inlineStr">
        <is>
          <t>G01126</t>
        </is>
      </c>
      <c r="H495" t="str">
        <f>INDEX('Match Groups'!$C$5:$C$1326,MATCH(G495,'Match Groups'!$A$5:$A$1326,0))</f>
        <v>R10</v>
      </c>
      <c r="I495" t="str">
        <f>INDEX('Match Groups'!$D$5:$D$1326,MATCH(G495,'Match Groups'!$A$5:$A$1326,0))</f>
        <v>MATCH</v>
      </c>
      <c r="J495">
        <f>IF(I495="DUPIMP",0,1)</f>
        <v>1</v>
      </c>
    </row>
    <row r="496">
      <c r="A496" t="inlineStr">
        <is>
          <t>BL-00884</t>
        </is>
      </c>
      <c r="B496" t="inlineStr">
        <is>
          <t>OPS</t>
        </is>
      </c>
      <c r="C496" s="5" t="n">
        <v>46218</v>
      </c>
      <c r="D496" t="inlineStr">
        <is>
          <t>TFR TO PAYROLL CLEARING PR260716</t>
        </is>
      </c>
      <c r="E496" s="9" t="n">
        <v>-203128.08</v>
      </c>
      <c r="F496" t="inlineStr">
        <is>
          <t>OPS-20260715</t>
        </is>
      </c>
      <c r="G496" t="inlineStr">
        <is>
          <t>G00512</t>
        </is>
      </c>
      <c r="H496" t="str">
        <f>INDEX('Match Groups'!$C$5:$C$1326,MATCH(G496,'Match Groups'!$A$5:$A$1326,0))</f>
        <v>R04</v>
      </c>
      <c r="I496" t="str">
        <f>INDEX('Match Groups'!$D$5:$D$1326,MATCH(G496,'Match Groups'!$A$5:$A$1326,0))</f>
        <v>MATCH</v>
      </c>
      <c r="J496">
        <f>IF(I496="DUPIMP",0,1)</f>
        <v>1</v>
      </c>
    </row>
    <row r="497">
      <c r="A497" t="inlineStr">
        <is>
          <t>BL-00077</t>
        </is>
      </c>
      <c r="B497" t="inlineStr">
        <is>
          <t>OPS</t>
        </is>
      </c>
      <c r="C497" s="5" t="n">
        <v>46219</v>
      </c>
      <c r="D497" t="inlineStr">
        <is>
          <t>DIRECT CREDIT CLEARPATH NDIS PLANS P RA44874</t>
        </is>
      </c>
      <c r="E497" s="9" t="n">
        <v>1825.31</v>
      </c>
      <c r="F497" t="inlineStr">
        <is>
          <t>OPS-20260716</t>
        </is>
      </c>
      <c r="G497" t="inlineStr">
        <is>
          <t>G00153</t>
        </is>
      </c>
      <c r="H497" t="str">
        <f>INDEX('Match Groups'!$C$5:$C$1326,MATCH(G497,'Match Groups'!$A$5:$A$1326,0))</f>
        <v>R03</v>
      </c>
      <c r="I497" t="str">
        <f>INDEX('Match Groups'!$D$5:$D$1326,MATCH(G497,'Match Groups'!$A$5:$A$1326,0))</f>
        <v>MATCH</v>
      </c>
      <c r="J497">
        <f>IF(I497="DUPIMP",0,1)</f>
        <v>1</v>
      </c>
    </row>
    <row r="498">
      <c r="A498" t="inlineStr">
        <is>
          <t>BL-00078</t>
        </is>
      </c>
      <c r="B498" t="inlineStr">
        <is>
          <t>OPS</t>
        </is>
      </c>
      <c r="C498" s="5" t="n">
        <v>46219</v>
      </c>
      <c r="D498" t="inlineStr">
        <is>
          <t>DIRECT CREDIT BANKSIA PLAN CO RA44875</t>
        </is>
      </c>
      <c r="E498" s="9" t="n">
        <v>3221.13</v>
      </c>
      <c r="F498" t="inlineStr">
        <is>
          <t>OPS-20260716</t>
        </is>
      </c>
      <c r="G498" t="inlineStr">
        <is>
          <t>G00154</t>
        </is>
      </c>
      <c r="H498" t="str">
        <f>INDEX('Match Groups'!$C$5:$C$1326,MATCH(G498,'Match Groups'!$A$5:$A$1326,0))</f>
        <v>R03</v>
      </c>
      <c r="I498" t="str">
        <f>INDEX('Match Groups'!$D$5:$D$1326,MATCH(G498,'Match Groups'!$A$5:$A$1326,0))</f>
        <v>MATCH</v>
      </c>
      <c r="J498">
        <f>IF(I498="DUPIMP",0,1)</f>
        <v>1</v>
      </c>
    </row>
    <row r="499">
      <c r="A499" t="inlineStr">
        <is>
          <t>BL-00079</t>
        </is>
      </c>
      <c r="B499" t="inlineStr">
        <is>
          <t>OPS</t>
        </is>
      </c>
      <c r="C499" s="5" t="n">
        <v>46219</v>
      </c>
      <c r="D499" t="inlineStr">
        <is>
          <t>DIRECT CREDIT SALTBUSH PLAN MANA RA44876</t>
        </is>
      </c>
      <c r="E499" s="9" t="n">
        <v>1328.81</v>
      </c>
      <c r="F499" t="inlineStr">
        <is>
          <t>OPS-20260716</t>
        </is>
      </c>
      <c r="G499" t="inlineStr">
        <is>
          <t>G00155</t>
        </is>
      </c>
      <c r="H499" t="str">
        <f>INDEX('Match Groups'!$C$5:$C$1326,MATCH(G499,'Match Groups'!$A$5:$A$1326,0))</f>
        <v>R03</v>
      </c>
      <c r="I499" t="str">
        <f>INDEX('Match Groups'!$D$5:$D$1326,MATCH(G499,'Match Groups'!$A$5:$A$1326,0))</f>
        <v>MATCH</v>
      </c>
      <c r="J499">
        <f>IF(I499="DUPIMP",0,1)</f>
        <v>1</v>
      </c>
    </row>
    <row r="500">
      <c r="A500" t="inlineStr">
        <is>
          <t>BL-00080</t>
        </is>
      </c>
      <c r="B500" t="inlineStr">
        <is>
          <t>OPS</t>
        </is>
      </c>
      <c r="C500" s="5" t="n">
        <v>46219</v>
      </c>
      <c r="D500" t="inlineStr">
        <is>
          <t>DIRECT CREDIT LYREBIRD PLAN MANA RA44877</t>
        </is>
      </c>
      <c r="E500" s="9" t="n">
        <v>1252.12</v>
      </c>
      <c r="F500" t="inlineStr">
        <is>
          <t>OPS-20260716</t>
        </is>
      </c>
      <c r="G500" t="inlineStr">
        <is>
          <t>G00156</t>
        </is>
      </c>
      <c r="H500" t="str">
        <f>INDEX('Match Groups'!$C$5:$C$1326,MATCH(G500,'Match Groups'!$A$5:$A$1326,0))</f>
        <v>R03</v>
      </c>
      <c r="I500" t="str">
        <f>INDEX('Match Groups'!$D$5:$D$1326,MATCH(G500,'Match Groups'!$A$5:$A$1326,0))</f>
        <v>MATCH</v>
      </c>
      <c r="J500">
        <f>IF(I500="DUPIMP",0,1)</f>
        <v>1</v>
      </c>
    </row>
    <row r="501">
      <c r="A501" t="inlineStr">
        <is>
          <t>BL-00081</t>
        </is>
      </c>
      <c r="B501" t="inlineStr">
        <is>
          <t>OPS</t>
        </is>
      </c>
      <c r="C501" s="5" t="n">
        <v>46219</v>
      </c>
      <c r="D501" t="inlineStr">
        <is>
          <t>DIRECT CREDIT TALLOWWOOD PLANS RA44878</t>
        </is>
      </c>
      <c r="E501" s="9" t="n">
        <v>2998.96</v>
      </c>
      <c r="F501" t="inlineStr">
        <is>
          <t>OPS-20260716</t>
        </is>
      </c>
      <c r="G501" t="inlineStr">
        <is>
          <t>G00157</t>
        </is>
      </c>
      <c r="H501" t="str">
        <f>INDEX('Match Groups'!$C$5:$C$1326,MATCH(G501,'Match Groups'!$A$5:$A$1326,0))</f>
        <v>R03</v>
      </c>
      <c r="I501" t="str">
        <f>INDEX('Match Groups'!$D$5:$D$1326,MATCH(G501,'Match Groups'!$A$5:$A$1326,0))</f>
        <v>MATCH</v>
      </c>
      <c r="J501">
        <f>IF(I501="DUPIMP",0,1)</f>
        <v>1</v>
      </c>
    </row>
    <row r="502">
      <c r="A502" t="inlineStr">
        <is>
          <t>BL-00082</t>
        </is>
      </c>
      <c r="B502" t="inlineStr">
        <is>
          <t>OPS</t>
        </is>
      </c>
      <c r="C502" s="5" t="n">
        <v>46219</v>
      </c>
      <c r="D502" t="inlineStr">
        <is>
          <t>DIRECT CREDIT MALLEE PLAN SERVICES P RA44879</t>
        </is>
      </c>
      <c r="E502" s="9" t="n">
        <v>718.65</v>
      </c>
      <c r="F502" t="inlineStr">
        <is>
          <t>OPS-20260716</t>
        </is>
      </c>
      <c r="G502" t="inlineStr">
        <is>
          <t>G00158</t>
        </is>
      </c>
      <c r="H502" t="str">
        <f>INDEX('Match Groups'!$C$5:$C$1326,MATCH(G502,'Match Groups'!$A$5:$A$1326,0))</f>
        <v>R03</v>
      </c>
      <c r="I502" t="str">
        <f>INDEX('Match Groups'!$D$5:$D$1326,MATCH(G502,'Match Groups'!$A$5:$A$1326,0))</f>
        <v>MATCH</v>
      </c>
      <c r="J502">
        <f>IF(I502="DUPIMP",0,1)</f>
        <v>1</v>
      </c>
    </row>
    <row r="503">
      <c r="A503" t="inlineStr">
        <is>
          <t>BL-00429</t>
        </is>
      </c>
      <c r="B503" t="inlineStr">
        <is>
          <t>OPS</t>
        </is>
      </c>
      <c r="C503" s="5" t="n">
        <v>46219</v>
      </c>
      <c r="D503" t="inlineStr">
        <is>
          <t>DIRECT CREDIT HARBOURMUTUALHEA CLM5606657 02085</t>
        </is>
      </c>
      <c r="E503" s="9" t="n">
        <v>412.5</v>
      </c>
      <c r="F503" t="inlineStr">
        <is>
          <t>OPS-20260716</t>
        </is>
      </c>
      <c r="G503" t="inlineStr">
        <is>
          <t>G00945</t>
        </is>
      </c>
      <c r="H503" t="str">
        <f>INDEX('Match Groups'!$C$5:$C$1326,MATCH(G503,'Match Groups'!$A$5:$A$1326,0))</f>
        <v>R09</v>
      </c>
      <c r="I503" t="str">
        <f>INDEX('Match Groups'!$D$5:$D$1326,MATCH(G503,'Match Groups'!$A$5:$A$1326,0))</f>
        <v>MATCH</v>
      </c>
      <c r="J503">
        <f>IF(I503="DUPIMP",0,1)</f>
        <v>1</v>
      </c>
    </row>
    <row r="504">
      <c r="A504" t="inlineStr">
        <is>
          <t>BL-00466</t>
        </is>
      </c>
      <c r="B504" t="inlineStr">
        <is>
          <t>OPS</t>
        </is>
      </c>
      <c r="C504" s="5" t="n">
        <v>46219</v>
      </c>
      <c r="D504" t="inlineStr">
        <is>
          <t>DIRECT CREDIT UNITY WORKCOVER AGEN CLM5916450 INV 1824</t>
        </is>
      </c>
      <c r="E504" s="9" t="n">
        <v>176</v>
      </c>
      <c r="F504" t="inlineStr">
        <is>
          <t>OPS-20260716</t>
        </is>
      </c>
      <c r="G504" t="inlineStr">
        <is>
          <t>G00946</t>
        </is>
      </c>
      <c r="H504" t="str">
        <f>INDEX('Match Groups'!$C$5:$C$1326,MATCH(G504,'Match Groups'!$A$5:$A$1326,0))</f>
        <v>R09</v>
      </c>
      <c r="I504" t="str">
        <f>INDEX('Match Groups'!$D$5:$D$1326,MATCH(G504,'Match Groups'!$A$5:$A$1326,0))</f>
        <v>MATCH</v>
      </c>
      <c r="J504">
        <f>IF(I504="DUPIMP",0,1)</f>
        <v>1</v>
      </c>
    </row>
    <row r="505">
      <c r="A505" t="inlineStr">
        <is>
          <t>BL-00579</t>
        </is>
      </c>
      <c r="B505" t="inlineStr">
        <is>
          <t>OPS</t>
        </is>
      </c>
      <c r="C505" s="5" t="n">
        <v>46219</v>
      </c>
      <c r="D505" t="inlineStr">
        <is>
          <t>DIRECT CREDIT GREYSTANES BUILDIN</t>
        </is>
      </c>
      <c r="E505" s="9" t="n">
        <v>5431.25</v>
      </c>
      <c r="F505" t="inlineStr">
        <is>
          <t>OPS-20260716</t>
        </is>
      </c>
      <c r="G505" t="inlineStr">
        <is>
          <t>G01127</t>
        </is>
      </c>
      <c r="H505" t="str">
        <f>INDEX('Match Groups'!$C$5:$C$1326,MATCH(G505,'Match Groups'!$A$5:$A$1326,0))</f>
        <v>R10</v>
      </c>
      <c r="I505" t="str">
        <f>INDEX('Match Groups'!$D$5:$D$1326,MATCH(G505,'Match Groups'!$A$5:$A$1326,0))</f>
        <v>MATCH</v>
      </c>
      <c r="J505">
        <f>IF(I505="DUPIMP",0,1)</f>
        <v>1</v>
      </c>
    </row>
    <row r="506">
      <c r="A506" t="inlineStr">
        <is>
          <t>BL-00595</t>
        </is>
      </c>
      <c r="B506" t="inlineStr">
        <is>
          <t>OPS</t>
        </is>
      </c>
      <c r="C506" s="5" t="n">
        <v>46219</v>
      </c>
      <c r="D506" t="inlineStr">
        <is>
          <t>DIRECT CREDIT HARTIGANTRANSPOR INV 3429</t>
        </is>
      </c>
      <c r="E506" s="9" t="n">
        <v>2722.5</v>
      </c>
      <c r="F506" t="inlineStr">
        <is>
          <t>OPS-20260716</t>
        </is>
      </c>
      <c r="G506" t="inlineStr">
        <is>
          <t>G00947</t>
        </is>
      </c>
      <c r="H506" t="str">
        <f>INDEX('Match Groups'!$C$5:$C$1326,MATCH(G506,'Match Groups'!$A$5:$A$1326,0))</f>
        <v>R09</v>
      </c>
      <c r="I506" t="str">
        <f>INDEX('Match Groups'!$D$5:$D$1326,MATCH(G506,'Match Groups'!$A$5:$A$1326,0))</f>
        <v>MATCH</v>
      </c>
      <c r="J506">
        <f>IF(I506="DUPIMP",0,1)</f>
        <v>1</v>
      </c>
    </row>
    <row r="507">
      <c r="A507" t="inlineStr">
        <is>
          <t>BL-00612</t>
        </is>
      </c>
      <c r="B507" t="inlineStr">
        <is>
          <t>OPS</t>
        </is>
      </c>
      <c r="C507" s="5" t="n">
        <v>46219</v>
      </c>
      <c r="D507" t="inlineStr">
        <is>
          <t>DIRECT CREDIT BROADMEADOWPLAST 03435</t>
        </is>
      </c>
      <c r="E507" s="9" t="n">
        <v>3616.25</v>
      </c>
      <c r="F507" t="inlineStr">
        <is>
          <t>OPS-20260716</t>
        </is>
      </c>
      <c r="G507" t="inlineStr">
        <is>
          <t>G00948</t>
        </is>
      </c>
      <c r="H507" t="str">
        <f>INDEX('Match Groups'!$C$5:$C$1326,MATCH(G507,'Match Groups'!$A$5:$A$1326,0))</f>
        <v>R09</v>
      </c>
      <c r="I507" t="str">
        <f>INDEX('Match Groups'!$D$5:$D$1326,MATCH(G507,'Match Groups'!$A$5:$A$1326,0))</f>
        <v>MATCH</v>
      </c>
      <c r="J507">
        <f>IF(I507="DUPIMP",0,1)</f>
        <v>1</v>
      </c>
    </row>
    <row r="508">
      <c r="A508" t="inlineStr">
        <is>
          <t>BL-00698</t>
        </is>
      </c>
      <c r="B508" t="inlineStr">
        <is>
          <t>OPS</t>
        </is>
      </c>
      <c r="C508" s="5" t="n">
        <v>46219</v>
      </c>
      <c r="D508" t="inlineStr">
        <is>
          <t>STRIPE PAYOUT STRIPE po_1Q0012KX</t>
        </is>
      </c>
      <c r="E508" s="9" t="n">
        <v>4298.02</v>
      </c>
      <c r="F508" t="inlineStr">
        <is>
          <t>OPS-20260716</t>
        </is>
      </c>
      <c r="G508" t="inlineStr">
        <is>
          <t>G00025</t>
        </is>
      </c>
      <c r="H508" t="str">
        <f>INDEX('Match Groups'!$C$5:$C$1326,MATCH(G508,'Match Groups'!$A$5:$A$1326,0))</f>
        <v>R02</v>
      </c>
      <c r="I508" t="str">
        <f>INDEX('Match Groups'!$D$5:$D$1326,MATCH(G508,'Match Groups'!$A$5:$A$1326,0))</f>
        <v>STRIPE-FEE</v>
      </c>
      <c r="J508">
        <f>IF(I508="DUPIMP",0,1)</f>
        <v>1</v>
      </c>
    </row>
    <row r="509">
      <c r="A509" t="inlineStr">
        <is>
          <t>BL-00083</t>
        </is>
      </c>
      <c r="B509" t="inlineStr">
        <is>
          <t>OPS</t>
        </is>
      </c>
      <c r="C509" s="5" t="n">
        <v>46220</v>
      </c>
      <c r="D509" t="inlineStr">
        <is>
          <t>DIRECT CREDIT RIVERBEND PLAN PARTNER RA44880</t>
        </is>
      </c>
      <c r="E509" s="9" t="n">
        <v>3339.34</v>
      </c>
      <c r="F509" t="inlineStr">
        <is>
          <t>OPS-20260717</t>
        </is>
      </c>
      <c r="G509" t="inlineStr">
        <is>
          <t>G00159</t>
        </is>
      </c>
      <c r="H509" t="str">
        <f>INDEX('Match Groups'!$C$5:$C$1326,MATCH(G509,'Match Groups'!$A$5:$A$1326,0))</f>
        <v>R03</v>
      </c>
      <c r="I509" t="str">
        <f>INDEX('Match Groups'!$D$5:$D$1326,MATCH(G509,'Match Groups'!$A$5:$A$1326,0))</f>
        <v>REG</v>
      </c>
      <c r="J509">
        <f>IF(I509="DUPIMP",0,1)</f>
        <v>1</v>
      </c>
    </row>
    <row r="510">
      <c r="A510" t="inlineStr">
        <is>
          <t>BL-00084</t>
        </is>
      </c>
      <c r="B510" t="inlineStr">
        <is>
          <t>OPS</t>
        </is>
      </c>
      <c r="C510" s="5" t="n">
        <v>46220</v>
      </c>
      <c r="D510" t="inlineStr">
        <is>
          <t>DIRECT CREDIT CLEARPATH NDIS PLANS RA44881</t>
        </is>
      </c>
      <c r="E510" s="9" t="n">
        <v>300.68</v>
      </c>
      <c r="F510" t="inlineStr">
        <is>
          <t>OPS-20260717</t>
        </is>
      </c>
      <c r="G510" t="inlineStr">
        <is>
          <t>G00160</t>
        </is>
      </c>
      <c r="H510" t="str">
        <f>INDEX('Match Groups'!$C$5:$C$1326,MATCH(G510,'Match Groups'!$A$5:$A$1326,0))</f>
        <v>R03</v>
      </c>
      <c r="I510" t="str">
        <f>INDEX('Match Groups'!$D$5:$D$1326,MATCH(G510,'Match Groups'!$A$5:$A$1326,0))</f>
        <v>MATCH</v>
      </c>
      <c r="J510">
        <f>IF(I510="DUPIMP",0,1)</f>
        <v>1</v>
      </c>
    </row>
    <row r="511">
      <c r="A511" t="inlineStr">
        <is>
          <t>BL-00085</t>
        </is>
      </c>
      <c r="B511" t="inlineStr">
        <is>
          <t>OPS</t>
        </is>
      </c>
      <c r="C511" s="5" t="n">
        <v>46220</v>
      </c>
      <c r="D511" t="inlineStr">
        <is>
          <t>DIRECT CREDIT BANKSIAPLANCO RA44882</t>
        </is>
      </c>
      <c r="E511" s="9" t="n">
        <v>1718.61</v>
      </c>
      <c r="F511" t="inlineStr">
        <is>
          <t>OPS-20260717</t>
        </is>
      </c>
      <c r="G511" t="inlineStr">
        <is>
          <t>G00161</t>
        </is>
      </c>
      <c r="H511" t="str">
        <f>INDEX('Match Groups'!$C$5:$C$1326,MATCH(G511,'Match Groups'!$A$5:$A$1326,0))</f>
        <v>R03</v>
      </c>
      <c r="I511" t="str">
        <f>INDEX('Match Groups'!$D$5:$D$1326,MATCH(G511,'Match Groups'!$A$5:$A$1326,0))</f>
        <v>REG</v>
      </c>
      <c r="J511">
        <f>IF(I511="DUPIMP",0,1)</f>
        <v>1</v>
      </c>
    </row>
    <row r="512">
      <c r="A512" t="inlineStr">
        <is>
          <t>BL-00086</t>
        </is>
      </c>
      <c r="B512" t="inlineStr">
        <is>
          <t>OPS</t>
        </is>
      </c>
      <c r="C512" s="5" t="n">
        <v>46220</v>
      </c>
      <c r="D512" t="inlineStr">
        <is>
          <t>DIRECT CREDIT IRONBARK PLAN MGMT RA44883</t>
        </is>
      </c>
      <c r="E512" s="9" t="n">
        <v>911.75</v>
      </c>
      <c r="F512" t="inlineStr">
        <is>
          <t>OPS-20260717</t>
        </is>
      </c>
      <c r="G512" t="inlineStr">
        <is>
          <t>G00162</t>
        </is>
      </c>
      <c r="H512" t="str">
        <f>INDEX('Match Groups'!$C$5:$C$1326,MATCH(G512,'Match Groups'!$A$5:$A$1326,0))</f>
        <v>R03</v>
      </c>
      <c r="I512" t="str">
        <f>INDEX('Match Groups'!$D$5:$D$1326,MATCH(G512,'Match Groups'!$A$5:$A$1326,0))</f>
        <v>MATCH</v>
      </c>
      <c r="J512">
        <f>IF(I512="DUPIMP",0,1)</f>
        <v>1</v>
      </c>
    </row>
    <row r="513">
      <c r="A513" t="inlineStr">
        <is>
          <t>BL-00087</t>
        </is>
      </c>
      <c r="B513" t="inlineStr">
        <is>
          <t>OPS</t>
        </is>
      </c>
      <c r="C513" s="5" t="n">
        <v>46220</v>
      </c>
      <c r="D513" t="inlineStr">
        <is>
          <t>DIRECT CREDIT TALLOWWOOD PLANS RA44884</t>
        </is>
      </c>
      <c r="E513" s="9" t="n">
        <v>446.17</v>
      </c>
      <c r="F513" t="inlineStr">
        <is>
          <t>OPS-20260717</t>
        </is>
      </c>
      <c r="G513" t="inlineStr">
        <is>
          <t>G00163</t>
        </is>
      </c>
      <c r="H513" t="str">
        <f>INDEX('Match Groups'!$C$5:$C$1326,MATCH(G513,'Match Groups'!$A$5:$A$1326,0))</f>
        <v>R03</v>
      </c>
      <c r="I513" t="str">
        <f>INDEX('Match Groups'!$D$5:$D$1326,MATCH(G513,'Match Groups'!$A$5:$A$1326,0))</f>
        <v>MATCH</v>
      </c>
      <c r="J513">
        <f>IF(I513="DUPIMP",0,1)</f>
        <v>1</v>
      </c>
    </row>
    <row r="514">
      <c r="A514" t="inlineStr">
        <is>
          <t>BL-00088</t>
        </is>
      </c>
      <c r="B514" t="inlineStr">
        <is>
          <t>OPS</t>
        </is>
      </c>
      <c r="C514" s="5" t="n">
        <v>46220</v>
      </c>
      <c r="D514" t="inlineStr">
        <is>
          <t>DIRECT CREDIT ACACIA PLAN PARTNERS P RA44885</t>
        </is>
      </c>
      <c r="E514" s="9" t="n">
        <v>1242.43</v>
      </c>
      <c r="F514" t="inlineStr">
        <is>
          <t>OPS-20260717</t>
        </is>
      </c>
      <c r="G514" t="inlineStr">
        <is>
          <t>G00164</t>
        </is>
      </c>
      <c r="H514" t="str">
        <f>INDEX('Match Groups'!$C$5:$C$1326,MATCH(G514,'Match Groups'!$A$5:$A$1326,0))</f>
        <v>R03</v>
      </c>
      <c r="I514" t="str">
        <f>INDEX('Match Groups'!$D$5:$D$1326,MATCH(G514,'Match Groups'!$A$5:$A$1326,0))</f>
        <v>MATCH</v>
      </c>
      <c r="J514">
        <f>IF(I514="DUPIMP",0,1)</f>
        <v>1</v>
      </c>
    </row>
    <row r="515">
      <c r="A515" t="inlineStr">
        <is>
          <t>BL-00089</t>
        </is>
      </c>
      <c r="B515" t="inlineStr">
        <is>
          <t>OPS</t>
        </is>
      </c>
      <c r="C515" s="5" t="n">
        <v>46220</v>
      </c>
      <c r="D515" t="inlineStr">
        <is>
          <t>DIRECT CREDIT MALLEE PLAN SERVICES RA44886</t>
        </is>
      </c>
      <c r="E515" s="9" t="n">
        <v>290.98</v>
      </c>
      <c r="F515" t="inlineStr">
        <is>
          <t>OPS-20260717</t>
        </is>
      </c>
      <c r="G515" t="inlineStr">
        <is>
          <t>G00165</t>
        </is>
      </c>
      <c r="H515" t="str">
        <f>INDEX('Match Groups'!$C$5:$C$1326,MATCH(G515,'Match Groups'!$A$5:$A$1326,0))</f>
        <v>R03</v>
      </c>
      <c r="I515" t="str">
        <f>INDEX('Match Groups'!$D$5:$D$1326,MATCH(G515,'Match Groups'!$A$5:$A$1326,0))</f>
        <v>MATCH</v>
      </c>
      <c r="J515">
        <f>IF(I515="DUPIMP",0,1)</f>
        <v>1</v>
      </c>
    </row>
    <row r="516">
      <c r="A516" t="inlineStr">
        <is>
          <t>BL-00427</t>
        </is>
      </c>
      <c r="B516" t="inlineStr">
        <is>
          <t>OPS</t>
        </is>
      </c>
      <c r="C516" s="5" t="n">
        <v>46220</v>
      </c>
      <c r="D516" t="inlineStr">
        <is>
          <t>DIRECT CREDIT HARBOURMUTUALHEA CLM5374969 INV01892</t>
        </is>
      </c>
      <c r="E516" s="9" t="n">
        <v>88</v>
      </c>
      <c r="F516" t="inlineStr">
        <is>
          <t>OPS-20260717</t>
        </is>
      </c>
      <c r="G516" t="inlineStr">
        <is>
          <t>G00949</t>
        </is>
      </c>
      <c r="H516" t="str">
        <f>INDEX('Match Groups'!$C$5:$C$1326,MATCH(G516,'Match Groups'!$A$5:$A$1326,0))</f>
        <v>R09</v>
      </c>
      <c r="I516" t="str">
        <f>INDEX('Match Groups'!$D$5:$D$1326,MATCH(G516,'Match Groups'!$A$5:$A$1326,0))</f>
        <v>MATCH</v>
      </c>
      <c r="J516">
        <f>IF(I516="DUPIMP",0,1)</f>
        <v>1</v>
      </c>
    </row>
    <row r="517">
      <c r="A517" t="inlineStr">
        <is>
          <t>BL-00455</t>
        </is>
      </c>
      <c r="B517" t="inlineStr">
        <is>
          <t>OPS</t>
        </is>
      </c>
      <c r="C517" s="5" t="n">
        <v>46220</v>
      </c>
      <c r="D517" t="inlineStr">
        <is>
          <t>DIRECT CREDIT COASTLINE HEALTH FUND CLM5544214 RE INV 2026 02034</t>
        </is>
      </c>
      <c r="E517" s="9" t="n">
        <v>412.5</v>
      </c>
      <c r="F517" t="inlineStr">
        <is>
          <t>OPS-20260717</t>
        </is>
      </c>
      <c r="G517" t="inlineStr">
        <is>
          <t>G00950</t>
        </is>
      </c>
      <c r="H517" t="str">
        <f>INDEX('Match Groups'!$C$5:$C$1326,MATCH(G517,'Match Groups'!$A$5:$A$1326,0))</f>
        <v>R09</v>
      </c>
      <c r="I517" t="str">
        <f>INDEX('Match Groups'!$D$5:$D$1326,MATCH(G517,'Match Groups'!$A$5:$A$1326,0))</f>
        <v>MATCH</v>
      </c>
      <c r="J517">
        <f>IF(I517="DUPIMP",0,1)</f>
        <v>1</v>
      </c>
    </row>
    <row r="518">
      <c r="A518" t="inlineStr">
        <is>
          <t>BL-00643</t>
        </is>
      </c>
      <c r="B518" t="inlineStr">
        <is>
          <t>OPS</t>
        </is>
      </c>
      <c r="C518" s="5" t="n">
        <v>46220</v>
      </c>
      <c r="D518" t="inlineStr">
        <is>
          <t>DIRECT CREDIT INGLEWOODCOLDSTO INV 3446</t>
        </is>
      </c>
      <c r="E518" s="9" t="n">
        <v>5280</v>
      </c>
      <c r="F518" t="inlineStr">
        <is>
          <t>OPS-20260717</t>
        </is>
      </c>
      <c r="G518" t="inlineStr">
        <is>
          <t>G00951</t>
        </is>
      </c>
      <c r="H518" t="str">
        <f>INDEX('Match Groups'!$C$5:$C$1326,MATCH(G518,'Match Groups'!$A$5:$A$1326,0))</f>
        <v>R09</v>
      </c>
      <c r="I518" t="str">
        <f>INDEX('Match Groups'!$D$5:$D$1326,MATCH(G518,'Match Groups'!$A$5:$A$1326,0))</f>
        <v>MATCH</v>
      </c>
      <c r="J518">
        <f>IF(I518="DUPIMP",0,1)</f>
        <v>1</v>
      </c>
    </row>
    <row r="519">
      <c r="A519" t="inlineStr">
        <is>
          <t>BL-00676</t>
        </is>
      </c>
      <c r="B519" t="inlineStr">
        <is>
          <t>OPS</t>
        </is>
      </c>
      <c r="C519" s="5" t="n">
        <v>46220</v>
      </c>
      <c r="D519" t="inlineStr">
        <is>
          <t>DIRECT CREDIT STANHOPETRUCKING</t>
        </is>
      </c>
      <c r="E519" s="9" t="n">
        <v>6820</v>
      </c>
      <c r="F519" t="inlineStr">
        <is>
          <t>OPS-20260717</t>
        </is>
      </c>
      <c r="G519" t="inlineStr">
        <is>
          <t>G01128</t>
        </is>
      </c>
      <c r="H519" t="str">
        <f>INDEX('Match Groups'!$C$5:$C$1326,MATCH(G519,'Match Groups'!$A$5:$A$1326,0))</f>
        <v>R10</v>
      </c>
      <c r="I519" t="str">
        <f>INDEX('Match Groups'!$D$5:$D$1326,MATCH(G519,'Match Groups'!$A$5:$A$1326,0))</f>
        <v>MATCH</v>
      </c>
      <c r="J519">
        <f>IF(I519="DUPIMP",0,1)</f>
        <v>1</v>
      </c>
    </row>
    <row r="520">
      <c r="A520" t="inlineStr">
        <is>
          <t>BL-00699</t>
        </is>
      </c>
      <c r="B520" t="inlineStr">
        <is>
          <t>OPS</t>
        </is>
      </c>
      <c r="C520" s="5" t="n">
        <v>46220</v>
      </c>
      <c r="D520" t="inlineStr">
        <is>
          <t>STRIPE PAYOUT STRIPE po_1Q0013KX</t>
        </is>
      </c>
      <c r="E520" s="9" t="n">
        <v>2577.63</v>
      </c>
      <c r="F520" t="inlineStr">
        <is>
          <t>OPS-20260717</t>
        </is>
      </c>
      <c r="G520" t="inlineStr">
        <is>
          <t>G00026</t>
        </is>
      </c>
      <c r="H520" t="str">
        <f>INDEX('Match Groups'!$C$5:$C$1326,MATCH(G520,'Match Groups'!$A$5:$A$1326,0))</f>
        <v>R02</v>
      </c>
      <c r="I520" t="str">
        <f>INDEX('Match Groups'!$D$5:$D$1326,MATCH(G520,'Match Groups'!$A$5:$A$1326,0))</f>
        <v>STRIPE-FEE</v>
      </c>
      <c r="J520">
        <f>IF(I520="DUPIMP",0,1)</f>
        <v>1</v>
      </c>
    </row>
    <row r="521">
      <c r="A521" t="inlineStr">
        <is>
          <t>BL-00090</t>
        </is>
      </c>
      <c r="B521" t="inlineStr">
        <is>
          <t>OPS</t>
        </is>
      </c>
      <c r="C521" s="5" t="n">
        <v>46223</v>
      </c>
      <c r="D521" t="inlineStr">
        <is>
          <t>DIRECT CREDIT BLUEGUM PM PTY LTD RA44887</t>
        </is>
      </c>
      <c r="E521" s="9" t="n">
        <v>1981.39</v>
      </c>
      <c r="F521" t="inlineStr">
        <is>
          <t>OPS-20260720</t>
        </is>
      </c>
      <c r="G521" t="inlineStr">
        <is>
          <t>G00166</t>
        </is>
      </c>
      <c r="H521" t="str">
        <f>INDEX('Match Groups'!$C$5:$C$1326,MATCH(G521,'Match Groups'!$A$5:$A$1326,0))</f>
        <v>R03</v>
      </c>
      <c r="I521" t="str">
        <f>INDEX('Match Groups'!$D$5:$D$1326,MATCH(G521,'Match Groups'!$A$5:$A$1326,0))</f>
        <v>MATCH</v>
      </c>
      <c r="J521">
        <f>IF(I521="DUPIMP",0,1)</f>
        <v>1</v>
      </c>
    </row>
    <row r="522">
      <c r="A522" t="inlineStr">
        <is>
          <t>BL-00091</t>
        </is>
      </c>
      <c r="B522" t="inlineStr">
        <is>
          <t>OPS</t>
        </is>
      </c>
      <c r="C522" s="5" t="n">
        <v>46223</v>
      </c>
      <c r="D522" t="inlineStr">
        <is>
          <t>DIRECT CREDIT CLEARPATHNDISPLA RA44888</t>
        </is>
      </c>
      <c r="E522" s="9" t="n">
        <v>1009.65</v>
      </c>
      <c r="F522" t="inlineStr">
        <is>
          <t>OPS-20260720</t>
        </is>
      </c>
      <c r="G522" t="inlineStr">
        <is>
          <t>G00167</t>
        </is>
      </c>
      <c r="H522" t="str">
        <f>INDEX('Match Groups'!$C$5:$C$1326,MATCH(G522,'Match Groups'!$A$5:$A$1326,0))</f>
        <v>R03</v>
      </c>
      <c r="I522" t="str">
        <f>INDEX('Match Groups'!$D$5:$D$1326,MATCH(G522,'Match Groups'!$A$5:$A$1326,0))</f>
        <v>MATCH</v>
      </c>
      <c r="J522">
        <f>IF(I522="DUPIMP",0,1)</f>
        <v>1</v>
      </c>
    </row>
    <row r="523">
      <c r="A523" t="inlineStr">
        <is>
          <t>BL-00092</t>
        </is>
      </c>
      <c r="B523" t="inlineStr">
        <is>
          <t>OPS</t>
        </is>
      </c>
      <c r="C523" s="5" t="n">
        <v>46223</v>
      </c>
      <c r="D523" t="inlineStr">
        <is>
          <t>DIRECT CREDIT WATTLE PLAN SERVICES RA44889</t>
        </is>
      </c>
      <c r="E523" s="9" t="n">
        <v>951.45</v>
      </c>
      <c r="F523" t="inlineStr">
        <is>
          <t>OPS-20260720</t>
        </is>
      </c>
      <c r="G523" t="inlineStr">
        <is>
          <t>G00168</t>
        </is>
      </c>
      <c r="H523" t="str">
        <f>INDEX('Match Groups'!$C$5:$C$1326,MATCH(G523,'Match Groups'!$A$5:$A$1326,0))</f>
        <v>R03</v>
      </c>
      <c r="I523" t="str">
        <f>INDEX('Match Groups'!$D$5:$D$1326,MATCH(G523,'Match Groups'!$A$5:$A$1326,0))</f>
        <v>MATCH</v>
      </c>
      <c r="J523">
        <f>IF(I523="DUPIMP",0,1)</f>
        <v>1</v>
      </c>
    </row>
    <row r="524">
      <c r="A524" t="inlineStr">
        <is>
          <t>BL-00093</t>
        </is>
      </c>
      <c r="B524" t="inlineStr">
        <is>
          <t>OPS</t>
        </is>
      </c>
      <c r="C524" s="5" t="n">
        <v>46223</v>
      </c>
      <c r="D524" t="inlineStr">
        <is>
          <t>DIRECT CREDIT BANKSIAPLANCO RA44890</t>
        </is>
      </c>
      <c r="E524" s="9" t="n">
        <v>1116.33</v>
      </c>
      <c r="F524" t="inlineStr">
        <is>
          <t>OPS-20260720</t>
        </is>
      </c>
      <c r="G524" t="inlineStr">
        <is>
          <t>G00169</t>
        </is>
      </c>
      <c r="H524" t="str">
        <f>INDEX('Match Groups'!$C$5:$C$1326,MATCH(G524,'Match Groups'!$A$5:$A$1326,0))</f>
        <v>R03</v>
      </c>
      <c r="I524" t="str">
        <f>INDEX('Match Groups'!$D$5:$D$1326,MATCH(G524,'Match Groups'!$A$5:$A$1326,0))</f>
        <v>MATCH</v>
      </c>
      <c r="J524">
        <f>IF(I524="DUPIMP",0,1)</f>
        <v>1</v>
      </c>
    </row>
    <row r="525">
      <c r="A525" t="inlineStr">
        <is>
          <t>BL-00094</t>
        </is>
      </c>
      <c r="B525" t="inlineStr">
        <is>
          <t>OPS</t>
        </is>
      </c>
      <c r="C525" s="5" t="n">
        <v>46223</v>
      </c>
      <c r="D525" t="inlineStr">
        <is>
          <t>DIRECT CREDIT KOOKABURRA PLAN SU RA44891</t>
        </is>
      </c>
      <c r="E525" s="9" t="n">
        <v>2851.64</v>
      </c>
      <c r="F525" t="inlineStr">
        <is>
          <t>OPS-20260720</t>
        </is>
      </c>
      <c r="G525" t="inlineStr">
        <is>
          <t>G00170</t>
        </is>
      </c>
      <c r="H525" t="str">
        <f>INDEX('Match Groups'!$C$5:$C$1326,MATCH(G525,'Match Groups'!$A$5:$A$1326,0))</f>
        <v>R03</v>
      </c>
      <c r="I525" t="str">
        <f>INDEX('Match Groups'!$D$5:$D$1326,MATCH(G525,'Match Groups'!$A$5:$A$1326,0))</f>
        <v>MATCH</v>
      </c>
      <c r="J525">
        <f>IF(I525="DUPIMP",0,1)</f>
        <v>1</v>
      </c>
    </row>
    <row r="526">
      <c r="A526" t="inlineStr">
        <is>
          <t>BL-00095</t>
        </is>
      </c>
      <c r="B526" t="inlineStr">
        <is>
          <t>OPS</t>
        </is>
      </c>
      <c r="C526" s="5" t="n">
        <v>46223</v>
      </c>
      <c r="D526" t="inlineStr">
        <is>
          <t>DIRECT CREDIT REDGUM PLAN ADMIN RA44892</t>
        </is>
      </c>
      <c r="E526" s="9" t="n">
        <v>1039.64</v>
      </c>
      <c r="F526" t="inlineStr">
        <is>
          <t>OPS-20260720</t>
        </is>
      </c>
      <c r="G526" t="inlineStr">
        <is>
          <t>G00171</t>
        </is>
      </c>
      <c r="H526" t="str">
        <f>INDEX('Match Groups'!$C$5:$C$1326,MATCH(G526,'Match Groups'!$A$5:$A$1326,0))</f>
        <v>R03</v>
      </c>
      <c r="I526" t="str">
        <f>INDEX('Match Groups'!$D$5:$D$1326,MATCH(G526,'Match Groups'!$A$5:$A$1326,0))</f>
        <v>MATCH</v>
      </c>
      <c r="J526">
        <f>IF(I526="DUPIMP",0,1)</f>
        <v>1</v>
      </c>
    </row>
    <row r="527">
      <c r="A527" t="inlineStr">
        <is>
          <t>BL-00096</t>
        </is>
      </c>
      <c r="B527" t="inlineStr">
        <is>
          <t>OPS</t>
        </is>
      </c>
      <c r="C527" s="5" t="n">
        <v>46223</v>
      </c>
      <c r="D527" t="inlineStr">
        <is>
          <t>DIRECT CREDIT LYREBIRD PLAN MGMT RA44893</t>
        </is>
      </c>
      <c r="E527" s="9" t="n">
        <v>785.66</v>
      </c>
      <c r="F527" t="inlineStr">
        <is>
          <t>OPS-20260720</t>
        </is>
      </c>
      <c r="G527" t="inlineStr">
        <is>
          <t>G00172</t>
        </is>
      </c>
      <c r="H527" t="str">
        <f>INDEX('Match Groups'!$C$5:$C$1326,MATCH(G527,'Match Groups'!$A$5:$A$1326,0))</f>
        <v>R03</v>
      </c>
      <c r="I527" t="str">
        <f>INDEX('Match Groups'!$D$5:$D$1326,MATCH(G527,'Match Groups'!$A$5:$A$1326,0))</f>
        <v>MATCH</v>
      </c>
      <c r="J527">
        <f>IF(I527="DUPIMP",0,1)</f>
        <v>1</v>
      </c>
    </row>
    <row r="528">
      <c r="A528" t="inlineStr">
        <is>
          <t>BL-00097</t>
        </is>
      </c>
      <c r="B528" t="inlineStr">
        <is>
          <t>OPS</t>
        </is>
      </c>
      <c r="C528" s="5" t="n">
        <v>46223</v>
      </c>
      <c r="D528" t="inlineStr">
        <is>
          <t>DIRECT CREDIT TALLOWWOODPLANS RA44894</t>
        </is>
      </c>
      <c r="E528" s="9" t="n">
        <v>708.96</v>
      </c>
      <c r="F528" t="inlineStr">
        <is>
          <t>OPS-20260720</t>
        </is>
      </c>
      <c r="G528" t="inlineStr">
        <is>
          <t>G00173</t>
        </is>
      </c>
      <c r="H528" t="str">
        <f>INDEX('Match Groups'!$C$5:$C$1326,MATCH(G528,'Match Groups'!$A$5:$A$1326,0))</f>
        <v>R03</v>
      </c>
      <c r="I528" t="str">
        <f>INDEX('Match Groups'!$D$5:$D$1326,MATCH(G528,'Match Groups'!$A$5:$A$1326,0))</f>
        <v>MATCH</v>
      </c>
      <c r="J528">
        <f>IF(I528="DUPIMP",0,1)</f>
        <v>1</v>
      </c>
    </row>
    <row r="529">
      <c r="A529" t="inlineStr">
        <is>
          <t>BL-00470</t>
        </is>
      </c>
      <c r="B529" t="inlineStr">
        <is>
          <t>OPS</t>
        </is>
      </c>
      <c r="C529" s="5" t="n">
        <v>46223</v>
      </c>
      <c r="D529" t="inlineStr">
        <is>
          <t>DIRECT CREDIT UNITYWORKCOVERAG CLM5600185 INV02035</t>
        </is>
      </c>
      <c r="E529" s="9" t="n">
        <v>990</v>
      </c>
      <c r="F529" t="inlineStr">
        <is>
          <t>OPS-20260720</t>
        </is>
      </c>
      <c r="G529" t="inlineStr">
        <is>
          <t>G00952</t>
        </is>
      </c>
      <c r="H529" t="str">
        <f>INDEX('Match Groups'!$C$5:$C$1326,MATCH(G529,'Match Groups'!$A$5:$A$1326,0))</f>
        <v>R09</v>
      </c>
      <c r="I529" t="str">
        <f>INDEX('Match Groups'!$D$5:$D$1326,MATCH(G529,'Match Groups'!$A$5:$A$1326,0))</f>
        <v>MATCH</v>
      </c>
      <c r="J529">
        <f>IF(I529="DUPIMP",0,1)</f>
        <v>1</v>
      </c>
    </row>
    <row r="530">
      <c r="A530" t="inlineStr">
        <is>
          <t>BL-00490</t>
        </is>
      </c>
      <c r="B530" t="inlineStr">
        <is>
          <t>OPS</t>
        </is>
      </c>
      <c r="C530" s="5" t="n">
        <v>46223</v>
      </c>
      <c r="D530" t="inlineStr">
        <is>
          <t>DIRECT CREDIT PINNACLE CLAIMS SERVIC CLM5594690 INV 1871</t>
        </is>
      </c>
      <c r="E530" s="9" t="n">
        <v>88</v>
      </c>
      <c r="F530" t="inlineStr">
        <is>
          <t>OPS-20260720</t>
        </is>
      </c>
      <c r="G530" t="inlineStr">
        <is>
          <t>G00953</t>
        </is>
      </c>
      <c r="H530" t="str">
        <f>INDEX('Match Groups'!$C$5:$C$1326,MATCH(G530,'Match Groups'!$A$5:$A$1326,0))</f>
        <v>R09</v>
      </c>
      <c r="I530" t="str">
        <f>INDEX('Match Groups'!$D$5:$D$1326,MATCH(G530,'Match Groups'!$A$5:$A$1326,0))</f>
        <v>MATCH</v>
      </c>
      <c r="J530">
        <f>IF(I530="DUPIMP",0,1)</f>
        <v>1</v>
      </c>
    </row>
    <row r="531">
      <c r="A531" t="inlineStr">
        <is>
          <t>BL-00517</t>
        </is>
      </c>
      <c r="B531" t="inlineStr">
        <is>
          <t>OPS</t>
        </is>
      </c>
      <c r="C531" s="5" t="n">
        <v>46223</v>
      </c>
      <c r="D531" t="inlineStr">
        <is>
          <t>DIRECT CREDIT MERIDIAN HEALTH CO CLM5249153 INV02105</t>
        </is>
      </c>
      <c r="E531" s="9" t="n">
        <v>264</v>
      </c>
      <c r="F531" t="inlineStr">
        <is>
          <t>OPS-20260720</t>
        </is>
      </c>
      <c r="G531" t="inlineStr">
        <is>
          <t>G00954</t>
        </is>
      </c>
      <c r="H531" t="str">
        <f>INDEX('Match Groups'!$C$5:$C$1326,MATCH(G531,'Match Groups'!$A$5:$A$1326,0))</f>
        <v>R09</v>
      </c>
      <c r="I531" t="str">
        <f>INDEX('Match Groups'!$D$5:$D$1326,MATCH(G531,'Match Groups'!$A$5:$A$1326,0))</f>
        <v>MATCH</v>
      </c>
      <c r="J531">
        <f>IF(I531="DUPIMP",0,1)</f>
        <v>1</v>
      </c>
    </row>
    <row r="532">
      <c r="A532" t="inlineStr">
        <is>
          <t>BL-00576</t>
        </is>
      </c>
      <c r="B532" t="inlineStr">
        <is>
          <t>OPS</t>
        </is>
      </c>
      <c r="C532" s="5" t="n">
        <v>46223</v>
      </c>
      <c r="D532" t="inlineStr">
        <is>
          <t>DIRECT CREDIT PELLUCID SOFTWARE PTY INV/2026/03421</t>
        </is>
      </c>
      <c r="E532" s="9" t="n">
        <v>15950</v>
      </c>
      <c r="F532" t="inlineStr">
        <is>
          <t>OPS-20260720</t>
        </is>
      </c>
      <c r="G532" t="inlineStr">
        <is>
          <t>G00955</t>
        </is>
      </c>
      <c r="H532" t="str">
        <f>INDEX('Match Groups'!$C$5:$C$1326,MATCH(G532,'Match Groups'!$A$5:$A$1326,0))</f>
        <v>R09</v>
      </c>
      <c r="I532" t="str">
        <f>INDEX('Match Groups'!$D$5:$D$1326,MATCH(G532,'Match Groups'!$A$5:$A$1326,0))</f>
        <v>MATCH</v>
      </c>
      <c r="J532">
        <f>IF(I532="DUPIMP",0,1)</f>
        <v>1</v>
      </c>
    </row>
    <row r="533">
      <c r="A533" t="inlineStr">
        <is>
          <t>BL-00624</t>
        </is>
      </c>
      <c r="B533" t="inlineStr">
        <is>
          <t>OPS</t>
        </is>
      </c>
      <c r="C533" s="5" t="n">
        <v>46223</v>
      </c>
      <c r="D533" t="inlineStr">
        <is>
          <t>DIRECT CREDIT COBBLESTONE RETAIL GRO INV/2026/03440</t>
        </is>
      </c>
      <c r="E533" s="9" t="n">
        <v>15950</v>
      </c>
      <c r="F533" t="inlineStr">
        <is>
          <t>OPS-20260720</t>
        </is>
      </c>
      <c r="G533" t="inlineStr">
        <is>
          <t>G00956</t>
        </is>
      </c>
      <c r="H533" t="str">
        <f>INDEX('Match Groups'!$C$5:$C$1326,MATCH(G533,'Match Groups'!$A$5:$A$1326,0))</f>
        <v>R09</v>
      </c>
      <c r="I533" t="str">
        <f>INDEX('Match Groups'!$D$5:$D$1326,MATCH(G533,'Match Groups'!$A$5:$A$1326,0))</f>
        <v>MATCH</v>
      </c>
      <c r="J533">
        <f>IF(I533="DUPIMP",0,1)</f>
        <v>1</v>
      </c>
    </row>
    <row r="534">
      <c r="A534" t="inlineStr">
        <is>
          <t>BL-00700</t>
        </is>
      </c>
      <c r="B534" t="inlineStr">
        <is>
          <t>OPS</t>
        </is>
      </c>
      <c r="C534" s="5" t="n">
        <v>46223</v>
      </c>
      <c r="D534" t="inlineStr">
        <is>
          <t>STRIPE PAYOUT STRIPE po_1Q0014KX</t>
        </is>
      </c>
      <c r="E534" s="9" t="n">
        <v>3122.33</v>
      </c>
      <c r="F534" t="inlineStr">
        <is>
          <t>OPS-20260720</t>
        </is>
      </c>
      <c r="G534" t="inlineStr">
        <is>
          <t>G00027</t>
        </is>
      </c>
      <c r="H534" t="str">
        <f>INDEX('Match Groups'!$C$5:$C$1326,MATCH(G534,'Match Groups'!$A$5:$A$1326,0))</f>
        <v>R02</v>
      </c>
      <c r="I534" t="str">
        <f>INDEX('Match Groups'!$D$5:$D$1326,MATCH(G534,'Match Groups'!$A$5:$A$1326,0))</f>
        <v>STRIPE-FEE</v>
      </c>
      <c r="J534">
        <f>IF(I534="DUPIMP",0,1)</f>
        <v>1</v>
      </c>
    </row>
    <row r="535">
      <c r="A535" t="inlineStr">
        <is>
          <t>BL-00773</t>
        </is>
      </c>
      <c r="B535" t="inlineStr">
        <is>
          <t>OPS</t>
        </is>
      </c>
      <c r="C535" s="5" t="n">
        <v>46223</v>
      </c>
      <c r="D535" t="inlineStr">
        <is>
          <t>DIRECT DEBIT MEDISURE PROFESSIONA 912203</t>
        </is>
      </c>
      <c r="E535" s="9" t="n">
        <v>-2215.4</v>
      </c>
      <c r="F535" t="inlineStr">
        <is>
          <t>OPS-20260720</t>
        </is>
      </c>
      <c r="G535" t="inlineStr">
        <is>
          <t>G01175</t>
        </is>
      </c>
      <c r="H535" t="str">
        <f>INDEX('Match Groups'!$C$5:$C$1326,MATCH(G535,'Match Groups'!$A$5:$A$1326,0))</f>
        <v>R11</v>
      </c>
      <c r="I535" t="str">
        <f>INDEX('Match Groups'!$D$5:$D$1326,MATCH(G535,'Match Groups'!$A$5:$A$1326,0))</f>
        <v>REGBILL</v>
      </c>
      <c r="J535">
        <f>IF(I535="DUPIMP",0,1)</f>
        <v>1</v>
      </c>
    </row>
    <row r="536">
      <c r="A536" t="inlineStr">
        <is>
          <t>BL-01566</t>
        </is>
      </c>
      <c r="B536" t="inlineStr">
        <is>
          <t>OPS</t>
        </is>
      </c>
      <c r="C536" s="5" t="n">
        <v>46223</v>
      </c>
      <c r="D536" t="inlineStr">
        <is>
          <t>SWEEP FROM MERCHANT ACCT</t>
        </is>
      </c>
      <c r="E536" s="9" t="n">
        <v>22000</v>
      </c>
      <c r="F536" t="inlineStr">
        <is>
          <t>OPS-20260720</t>
        </is>
      </c>
      <c r="G536" t="inlineStr">
        <is>
          <t>G00513</t>
        </is>
      </c>
      <c r="H536" t="str">
        <f>INDEX('Match Groups'!$C$5:$C$1326,MATCH(G536,'Match Groups'!$A$5:$A$1326,0))</f>
        <v>R04</v>
      </c>
      <c r="I536" t="str">
        <f>INDEX('Match Groups'!$D$5:$D$1326,MATCH(G536,'Match Groups'!$A$5:$A$1326,0))</f>
        <v>MATCH</v>
      </c>
      <c r="J536">
        <f>IF(I536="DUPIMP",0,1)</f>
        <v>1</v>
      </c>
    </row>
    <row r="537">
      <c r="A537" t="inlineStr">
        <is>
          <t>BL-00098</t>
        </is>
      </c>
      <c r="B537" t="inlineStr">
        <is>
          <t>OPS</t>
        </is>
      </c>
      <c r="C537" s="5" t="n">
        <v>46224</v>
      </c>
      <c r="D537" t="inlineStr">
        <is>
          <t>DIRECT CREDIT BLUEGUM PM PTY LTD RA44895</t>
        </is>
      </c>
      <c r="E537" s="9" t="n">
        <v>660.47</v>
      </c>
      <c r="F537" t="inlineStr">
        <is>
          <t>OPS-20260721</t>
        </is>
      </c>
      <c r="G537" t="inlineStr">
        <is>
          <t>G00174</t>
        </is>
      </c>
      <c r="H537" t="str">
        <f>INDEX('Match Groups'!$C$5:$C$1326,MATCH(G537,'Match Groups'!$A$5:$A$1326,0))</f>
        <v>R03</v>
      </c>
      <c r="I537" t="str">
        <f>INDEX('Match Groups'!$D$5:$D$1326,MATCH(G537,'Match Groups'!$A$5:$A$1326,0))</f>
        <v>MATCH</v>
      </c>
      <c r="J537">
        <f>IF(I537="DUPIMP",0,1)</f>
        <v>1</v>
      </c>
    </row>
    <row r="538">
      <c r="A538" t="inlineStr">
        <is>
          <t>BL-00099</t>
        </is>
      </c>
      <c r="B538" t="inlineStr">
        <is>
          <t>OPS</t>
        </is>
      </c>
      <c r="C538" s="5" t="n">
        <v>46224</v>
      </c>
      <c r="D538" t="inlineStr">
        <is>
          <t>DIRECT CREDIT RIVERBEND PLAN PARTN RA44896</t>
        </is>
      </c>
      <c r="E538" s="9" t="n">
        <v>1455.83</v>
      </c>
      <c r="F538" t="inlineStr">
        <is>
          <t>OPS-20260721</t>
        </is>
      </c>
      <c r="G538" t="inlineStr">
        <is>
          <t>G00175</t>
        </is>
      </c>
      <c r="H538" t="str">
        <f>INDEX('Match Groups'!$C$5:$C$1326,MATCH(G538,'Match Groups'!$A$5:$A$1326,0))</f>
        <v>R03</v>
      </c>
      <c r="I538" t="str">
        <f>INDEX('Match Groups'!$D$5:$D$1326,MATCH(G538,'Match Groups'!$A$5:$A$1326,0))</f>
        <v>MATCH</v>
      </c>
      <c r="J538">
        <f>IF(I538="DUPIMP",0,1)</f>
        <v>1</v>
      </c>
    </row>
    <row r="539">
      <c r="A539" t="inlineStr">
        <is>
          <t>BL-00100</t>
        </is>
      </c>
      <c r="B539" t="inlineStr">
        <is>
          <t>OPS</t>
        </is>
      </c>
      <c r="C539" s="5" t="n">
        <v>46224</v>
      </c>
      <c r="D539" t="inlineStr">
        <is>
          <t>DIRECT CREDIT CLEARPATHNDISPLA RA44897</t>
        </is>
      </c>
      <c r="E539" s="9" t="n">
        <v>3144.43</v>
      </c>
      <c r="F539" t="inlineStr">
        <is>
          <t>OPS-20260721</t>
        </is>
      </c>
      <c r="G539" t="inlineStr">
        <is>
          <t>G00176</t>
        </is>
      </c>
      <c r="H539" t="str">
        <f>INDEX('Match Groups'!$C$5:$C$1326,MATCH(G539,'Match Groups'!$A$5:$A$1326,0))</f>
        <v>R03</v>
      </c>
      <c r="I539" t="str">
        <f>INDEX('Match Groups'!$D$5:$D$1326,MATCH(G539,'Match Groups'!$A$5:$A$1326,0))</f>
        <v>MATCH</v>
      </c>
      <c r="J539">
        <f>IF(I539="DUPIMP",0,1)</f>
        <v>1</v>
      </c>
    </row>
    <row r="540">
      <c r="A540" t="inlineStr">
        <is>
          <t>BL-00101</t>
        </is>
      </c>
      <c r="B540" t="inlineStr">
        <is>
          <t>OPS</t>
        </is>
      </c>
      <c r="C540" s="5" t="n">
        <v>46224</v>
      </c>
      <c r="D540" t="inlineStr">
        <is>
          <t>DIRECT CREDIT WATTLE PLAN SERVIC RA44898</t>
        </is>
      </c>
      <c r="E540" s="9" t="n">
        <v>1367.61</v>
      </c>
      <c r="F540" t="inlineStr">
        <is>
          <t>OPS-20260721</t>
        </is>
      </c>
      <c r="G540" t="inlineStr">
        <is>
          <t>G00177</t>
        </is>
      </c>
      <c r="H540" t="str">
        <f>INDEX('Match Groups'!$C$5:$C$1326,MATCH(G540,'Match Groups'!$A$5:$A$1326,0))</f>
        <v>R03</v>
      </c>
      <c r="I540" t="str">
        <f>INDEX('Match Groups'!$D$5:$D$1326,MATCH(G540,'Match Groups'!$A$5:$A$1326,0))</f>
        <v>MATCH</v>
      </c>
      <c r="J540">
        <f>IF(I540="DUPIMP",0,1)</f>
        <v>1</v>
      </c>
    </row>
    <row r="541">
      <c r="A541" t="inlineStr">
        <is>
          <t>BL-00102</t>
        </is>
      </c>
      <c r="B541" t="inlineStr">
        <is>
          <t>OPS</t>
        </is>
      </c>
      <c r="C541" s="5" t="n">
        <v>46224</v>
      </c>
      <c r="D541" t="inlineStr">
        <is>
          <t>DIRECT CREDIT LYREBIRDPLANMANA RA44899</t>
        </is>
      </c>
      <c r="E541" s="9" t="n">
        <v>466.47</v>
      </c>
      <c r="F541" t="inlineStr">
        <is>
          <t>OPS-20260721</t>
        </is>
      </c>
      <c r="G541" t="inlineStr">
        <is>
          <t>G00178</t>
        </is>
      </c>
      <c r="H541" t="str">
        <f>INDEX('Match Groups'!$C$5:$C$1326,MATCH(G541,'Match Groups'!$A$5:$A$1326,0))</f>
        <v>R03</v>
      </c>
      <c r="I541" t="str">
        <f>INDEX('Match Groups'!$D$5:$D$1326,MATCH(G541,'Match Groups'!$A$5:$A$1326,0))</f>
        <v>MATCH</v>
      </c>
      <c r="J541">
        <f>IF(I541="DUPIMP",0,1)</f>
        <v>1</v>
      </c>
    </row>
    <row r="542">
      <c r="A542" t="inlineStr">
        <is>
          <t>BL-00103</t>
        </is>
      </c>
      <c r="B542" t="inlineStr">
        <is>
          <t>OPS</t>
        </is>
      </c>
      <c r="C542" s="5" t="n">
        <v>46224</v>
      </c>
      <c r="D542" t="inlineStr">
        <is>
          <t>DIRECT CREDIT ACACIA PLAN PARTNERS RA44900</t>
        </is>
      </c>
      <c r="E542" s="9" t="n">
        <v>2243.29</v>
      </c>
      <c r="F542" t="inlineStr">
        <is>
          <t>OPS-20260721</t>
        </is>
      </c>
      <c r="G542" t="inlineStr">
        <is>
          <t>G00179</t>
        </is>
      </c>
      <c r="H542" t="str">
        <f>INDEX('Match Groups'!$C$5:$C$1326,MATCH(G542,'Match Groups'!$A$5:$A$1326,0))</f>
        <v>R03</v>
      </c>
      <c r="I542" t="str">
        <f>INDEX('Match Groups'!$D$5:$D$1326,MATCH(G542,'Match Groups'!$A$5:$A$1326,0))</f>
        <v>MATCH</v>
      </c>
      <c r="J542">
        <f>IF(I542="DUPIMP",0,1)</f>
        <v>1</v>
      </c>
    </row>
    <row r="543">
      <c r="A543" t="inlineStr">
        <is>
          <t>BL-00453</t>
        </is>
      </c>
      <c r="B543" t="inlineStr">
        <is>
          <t>OPS</t>
        </is>
      </c>
      <c r="C543" s="5" t="n">
        <v>46224</v>
      </c>
      <c r="D543" t="inlineStr">
        <is>
          <t>DIRECT CREDIT COASTLINE HEALTH FUN CLM5738022 INV01893</t>
        </is>
      </c>
      <c r="E543" s="9" t="n">
        <v>176</v>
      </c>
      <c r="F543" t="inlineStr">
        <is>
          <t>OPS-20260721</t>
        </is>
      </c>
      <c r="G543" t="inlineStr">
        <is>
          <t>G00957</t>
        </is>
      </c>
      <c r="H543" t="str">
        <f>INDEX('Match Groups'!$C$5:$C$1326,MATCH(G543,'Match Groups'!$A$5:$A$1326,0))</f>
        <v>R09</v>
      </c>
      <c r="I543" t="str">
        <f>INDEX('Match Groups'!$D$5:$D$1326,MATCH(G543,'Match Groups'!$A$5:$A$1326,0))</f>
        <v>MATCH</v>
      </c>
      <c r="J543">
        <f>IF(I543="DUPIMP",0,1)</f>
        <v>1</v>
      </c>
    </row>
    <row r="544">
      <c r="A544" t="inlineStr">
        <is>
          <t>BL-00456</t>
        </is>
      </c>
      <c r="B544" t="inlineStr">
        <is>
          <t>OPS</t>
        </is>
      </c>
      <c r="C544" s="5" t="n">
        <v>46224</v>
      </c>
      <c r="D544" t="inlineStr">
        <is>
          <t>DIRECT CREDIT COASTLINEHEALTHF CLM5141724 INV/2026/02062</t>
        </is>
      </c>
      <c r="E544" s="9" t="n">
        <v>412.5</v>
      </c>
      <c r="F544" t="inlineStr">
        <is>
          <t>OPS-20260721</t>
        </is>
      </c>
      <c r="G544" t="inlineStr">
        <is>
          <t>G00958</t>
        </is>
      </c>
      <c r="H544" t="str">
        <f>INDEX('Match Groups'!$C$5:$C$1326,MATCH(G544,'Match Groups'!$A$5:$A$1326,0))</f>
        <v>R09</v>
      </c>
      <c r="I544" t="str">
        <f>INDEX('Match Groups'!$D$5:$D$1326,MATCH(G544,'Match Groups'!$A$5:$A$1326,0))</f>
        <v>MATCH</v>
      </c>
      <c r="J544">
        <f>IF(I544="DUPIMP",0,1)</f>
        <v>1</v>
      </c>
    </row>
    <row r="545">
      <c r="A545" t="inlineStr">
        <is>
          <t>BL-00701</t>
        </is>
      </c>
      <c r="B545" t="inlineStr">
        <is>
          <t>OPS</t>
        </is>
      </c>
      <c r="C545" s="5" t="n">
        <v>46224</v>
      </c>
      <c r="D545" t="inlineStr">
        <is>
          <t>STRIPE PAYOUT STRIPE po_1Q0015KX</t>
        </is>
      </c>
      <c r="E545" s="9" t="n">
        <v>4640.71</v>
      </c>
      <c r="F545" t="inlineStr">
        <is>
          <t>OPS-20260721</t>
        </is>
      </c>
      <c r="G545" t="inlineStr">
        <is>
          <t>G00028</t>
        </is>
      </c>
      <c r="H545" t="str">
        <f>INDEX('Match Groups'!$C$5:$C$1326,MATCH(G545,'Match Groups'!$A$5:$A$1326,0))</f>
        <v>R02</v>
      </c>
      <c r="I545" t="str">
        <f>INDEX('Match Groups'!$D$5:$D$1326,MATCH(G545,'Match Groups'!$A$5:$A$1326,0))</f>
        <v>STRIPE-FEE</v>
      </c>
      <c r="J545">
        <f>IF(I545="DUPIMP",0,1)</f>
        <v>1</v>
      </c>
    </row>
    <row r="546">
      <c r="A546" t="inlineStr">
        <is>
          <t>BL-00104</t>
        </is>
      </c>
      <c r="B546" t="inlineStr">
        <is>
          <t>OPS</t>
        </is>
      </c>
      <c r="C546" s="5" t="n">
        <v>46225</v>
      </c>
      <c r="D546" t="inlineStr">
        <is>
          <t>DIRECT CREDIT BLUEGUM PM PTY LTD RA44901</t>
        </is>
      </c>
      <c r="E546" s="9" t="n">
        <v>496.47</v>
      </c>
      <c r="F546" t="inlineStr">
        <is>
          <t>OPS-20260722</t>
        </is>
      </c>
      <c r="G546" t="inlineStr">
        <is>
          <t>G00180</t>
        </is>
      </c>
      <c r="H546" t="str">
        <f>INDEX('Match Groups'!$C$5:$C$1326,MATCH(G546,'Match Groups'!$A$5:$A$1326,0))</f>
        <v>R03</v>
      </c>
      <c r="I546" t="str">
        <f>INDEX('Match Groups'!$D$5:$D$1326,MATCH(G546,'Match Groups'!$A$5:$A$1326,0))</f>
        <v>MATCH</v>
      </c>
      <c r="J546">
        <f>IF(I546="DUPIMP",0,1)</f>
        <v>1</v>
      </c>
    </row>
    <row r="547">
      <c r="A547" t="inlineStr">
        <is>
          <t>BL-00105</t>
        </is>
      </c>
      <c r="B547" t="inlineStr">
        <is>
          <t>OPS</t>
        </is>
      </c>
      <c r="C547" s="5" t="n">
        <v>46225</v>
      </c>
      <c r="D547" t="inlineStr">
        <is>
          <t>DIRECT CREDIT RIVERBEND PLAN PARTN RA44902</t>
        </is>
      </c>
      <c r="E547" s="9" t="n">
        <v>698.36</v>
      </c>
      <c r="F547" t="inlineStr">
        <is>
          <t>OPS-20260722</t>
        </is>
      </c>
      <c r="G547" t="inlineStr">
        <is>
          <t>G00181</t>
        </is>
      </c>
      <c r="H547" t="str">
        <f>INDEX('Match Groups'!$C$5:$C$1326,MATCH(G547,'Match Groups'!$A$5:$A$1326,0))</f>
        <v>R03</v>
      </c>
      <c r="I547" t="str">
        <f>INDEX('Match Groups'!$D$5:$D$1326,MATCH(G547,'Match Groups'!$A$5:$A$1326,0))</f>
        <v>MATCH</v>
      </c>
      <c r="J547">
        <f>IF(I547="DUPIMP",0,1)</f>
        <v>1</v>
      </c>
    </row>
    <row r="548">
      <c r="A548" t="inlineStr">
        <is>
          <t>BL-00106</t>
        </is>
      </c>
      <c r="B548" t="inlineStr">
        <is>
          <t>OPS</t>
        </is>
      </c>
      <c r="C548" s="5" t="n">
        <v>46225</v>
      </c>
      <c r="D548" t="inlineStr">
        <is>
          <t>DIRECT CREDIT CLEARPATH NDIS PLANS P RA44903</t>
        </is>
      </c>
      <c r="E548" s="9" t="n">
        <v>290.98</v>
      </c>
      <c r="F548" t="inlineStr">
        <is>
          <t>OPS-20260722</t>
        </is>
      </c>
      <c r="G548" t="inlineStr">
        <is>
          <t>G00182</t>
        </is>
      </c>
      <c r="H548" t="str">
        <f>INDEX('Match Groups'!$C$5:$C$1326,MATCH(G548,'Match Groups'!$A$5:$A$1326,0))</f>
        <v>R03</v>
      </c>
      <c r="I548" t="str">
        <f>INDEX('Match Groups'!$D$5:$D$1326,MATCH(G548,'Match Groups'!$A$5:$A$1326,0))</f>
        <v>MATCH</v>
      </c>
      <c r="J548">
        <f>IF(I548="DUPIMP",0,1)</f>
        <v>1</v>
      </c>
    </row>
    <row r="549">
      <c r="A549" t="inlineStr">
        <is>
          <t>BL-00107</t>
        </is>
      </c>
      <c r="B549" t="inlineStr">
        <is>
          <t>OPS</t>
        </is>
      </c>
      <c r="C549" s="5" t="n">
        <v>46225</v>
      </c>
      <c r="D549" t="inlineStr">
        <is>
          <t>DIRECT CREDIT IRONBARKPLANMANA RA44904</t>
        </is>
      </c>
      <c r="E549" s="9" t="n">
        <v>2990.14</v>
      </c>
      <c r="F549" t="inlineStr">
        <is>
          <t>OPS-20260722</t>
        </is>
      </c>
      <c r="G549" t="inlineStr">
        <is>
          <t>G00183</t>
        </is>
      </c>
      <c r="H549" t="str">
        <f>INDEX('Match Groups'!$C$5:$C$1326,MATCH(G549,'Match Groups'!$A$5:$A$1326,0))</f>
        <v>R03</v>
      </c>
      <c r="I549" t="str">
        <f>INDEX('Match Groups'!$D$5:$D$1326,MATCH(G549,'Match Groups'!$A$5:$A$1326,0))</f>
        <v>MATCH</v>
      </c>
      <c r="J549">
        <f>IF(I549="DUPIMP",0,1)</f>
        <v>1</v>
      </c>
    </row>
    <row r="550">
      <c r="A550" t="inlineStr">
        <is>
          <t>BL-00108</t>
        </is>
      </c>
      <c r="B550" t="inlineStr">
        <is>
          <t>OPS</t>
        </is>
      </c>
      <c r="C550" s="5" t="n">
        <v>46225</v>
      </c>
      <c r="D550" t="inlineStr">
        <is>
          <t>DIRECT CREDIT KOOKABURRAPLANSU RA44905</t>
        </is>
      </c>
      <c r="E550" s="9" t="n">
        <v>1982.3</v>
      </c>
      <c r="F550" t="inlineStr">
        <is>
          <t>OPS-20260722</t>
        </is>
      </c>
      <c r="G550" t="inlineStr">
        <is>
          <t>G00184</t>
        </is>
      </c>
      <c r="H550" t="str">
        <f>INDEX('Match Groups'!$C$5:$C$1326,MATCH(G550,'Match Groups'!$A$5:$A$1326,0))</f>
        <v>R03</v>
      </c>
      <c r="I550" t="str">
        <f>INDEX('Match Groups'!$D$5:$D$1326,MATCH(G550,'Match Groups'!$A$5:$A$1326,0))</f>
        <v>REG</v>
      </c>
      <c r="J550">
        <f>IF(I550="DUPIMP",0,1)</f>
        <v>1</v>
      </c>
    </row>
    <row r="551">
      <c r="A551" t="inlineStr">
        <is>
          <t>BL-00109</t>
        </is>
      </c>
      <c r="B551" t="inlineStr">
        <is>
          <t>OPS</t>
        </is>
      </c>
      <c r="C551" s="5" t="n">
        <v>46225</v>
      </c>
      <c r="D551" t="inlineStr">
        <is>
          <t>DIRECT CREDIT LYREBIRDPLANMANA RA44906</t>
        </is>
      </c>
      <c r="E551" s="9" t="n">
        <v>2425.76</v>
      </c>
      <c r="F551" t="inlineStr">
        <is>
          <t>OPS-20260722</t>
        </is>
      </c>
      <c r="G551" t="inlineStr">
        <is>
          <t>G00185</t>
        </is>
      </c>
      <c r="H551" t="str">
        <f>INDEX('Match Groups'!$C$5:$C$1326,MATCH(G551,'Match Groups'!$A$5:$A$1326,0))</f>
        <v>R03</v>
      </c>
      <c r="I551" t="str">
        <f>INDEX('Match Groups'!$D$5:$D$1326,MATCH(G551,'Match Groups'!$A$5:$A$1326,0))</f>
        <v>MATCH</v>
      </c>
      <c r="J551">
        <f>IF(I551="DUPIMP",0,1)</f>
        <v>1</v>
      </c>
    </row>
    <row r="552">
      <c r="A552" t="inlineStr">
        <is>
          <t>BL-00110</t>
        </is>
      </c>
      <c r="B552" t="inlineStr">
        <is>
          <t>OPS</t>
        </is>
      </c>
      <c r="C552" s="5" t="n">
        <v>46225</v>
      </c>
      <c r="D552" t="inlineStr">
        <is>
          <t>DIRECT CREDIT TALLOWWOODPLANS RA44907</t>
        </is>
      </c>
      <c r="E552" s="9" t="n">
        <v>872.95</v>
      </c>
      <c r="F552" t="inlineStr">
        <is>
          <t>OPS-20260722</t>
        </is>
      </c>
      <c r="G552" t="inlineStr">
        <is>
          <t>G00186</t>
        </is>
      </c>
      <c r="H552" t="str">
        <f>INDEX('Match Groups'!$C$5:$C$1326,MATCH(G552,'Match Groups'!$A$5:$A$1326,0))</f>
        <v>R03</v>
      </c>
      <c r="I552" t="str">
        <f>INDEX('Match Groups'!$D$5:$D$1326,MATCH(G552,'Match Groups'!$A$5:$A$1326,0))</f>
        <v>MATCH</v>
      </c>
      <c r="J552">
        <f>IF(I552="DUPIMP",0,1)</f>
        <v>1</v>
      </c>
    </row>
    <row r="553">
      <c r="A553" t="inlineStr">
        <is>
          <t>BL-00111</t>
        </is>
      </c>
      <c r="B553" t="inlineStr">
        <is>
          <t>OPS</t>
        </is>
      </c>
      <c r="C553" s="5" t="n">
        <v>46225</v>
      </c>
      <c r="D553" t="inlineStr">
        <is>
          <t>DIRECT CREDIT ACACIA PLAN PARTNERS RA44908</t>
        </is>
      </c>
      <c r="E553" s="9" t="n">
        <v>630.46</v>
      </c>
      <c r="F553" t="inlineStr">
        <is>
          <t>OPS-20260722</t>
        </is>
      </c>
      <c r="G553" t="inlineStr">
        <is>
          <t>G00187</t>
        </is>
      </c>
      <c r="H553" t="str">
        <f>INDEX('Match Groups'!$C$5:$C$1326,MATCH(G553,'Match Groups'!$A$5:$A$1326,0))</f>
        <v>R03</v>
      </c>
      <c r="I553" t="str">
        <f>INDEX('Match Groups'!$D$5:$D$1326,MATCH(G553,'Match Groups'!$A$5:$A$1326,0))</f>
        <v>MATCH</v>
      </c>
      <c r="J553">
        <f>IF(I553="DUPIMP",0,1)</f>
        <v>1</v>
      </c>
    </row>
    <row r="554">
      <c r="A554" t="inlineStr">
        <is>
          <t>BL-00112</t>
        </is>
      </c>
      <c r="B554" t="inlineStr">
        <is>
          <t>OPS</t>
        </is>
      </c>
      <c r="C554" s="5" t="n">
        <v>46225</v>
      </c>
      <c r="D554" t="inlineStr">
        <is>
          <t>DIRECT CREDIT MALLEEPLANSERVIC RA44909</t>
        </is>
      </c>
      <c r="E554" s="9" t="n">
        <v>446.18</v>
      </c>
      <c r="F554" t="inlineStr">
        <is>
          <t>OPS-20260722</t>
        </is>
      </c>
      <c r="G554" t="inlineStr">
        <is>
          <t>G00188</t>
        </is>
      </c>
      <c r="H554" t="str">
        <f>INDEX('Match Groups'!$C$5:$C$1326,MATCH(G554,'Match Groups'!$A$5:$A$1326,0))</f>
        <v>R03</v>
      </c>
      <c r="I554" t="str">
        <f>INDEX('Match Groups'!$D$5:$D$1326,MATCH(G554,'Match Groups'!$A$5:$A$1326,0))</f>
        <v>MATCH</v>
      </c>
      <c r="J554">
        <f>IF(I554="DUPIMP",0,1)</f>
        <v>1</v>
      </c>
    </row>
    <row r="555">
      <c r="A555" t="inlineStr">
        <is>
          <t>BL-00430</t>
        </is>
      </c>
      <c r="B555" t="inlineStr">
        <is>
          <t>OPS</t>
        </is>
      </c>
      <c r="C555" s="5" t="n">
        <v>46225</v>
      </c>
      <c r="D555" t="inlineStr">
        <is>
          <t>DIRECT CREDIT HARBOUR MUTUAL HEALTH CLM5842453 INV02129</t>
        </is>
      </c>
      <c r="E555" s="9" t="n">
        <v>412.5</v>
      </c>
      <c r="F555" t="inlineStr">
        <is>
          <t>OPS-20260722</t>
        </is>
      </c>
      <c r="G555" t="inlineStr">
        <is>
          <t>G00959</t>
        </is>
      </c>
      <c r="H555" t="str">
        <f>INDEX('Match Groups'!$C$5:$C$1326,MATCH(G555,'Match Groups'!$A$5:$A$1326,0))</f>
        <v>R09</v>
      </c>
      <c r="I555" t="str">
        <f>INDEX('Match Groups'!$D$5:$D$1326,MATCH(G555,'Match Groups'!$A$5:$A$1326,0))</f>
        <v>MATCH</v>
      </c>
      <c r="J555">
        <f>IF(I555="DUPIMP",0,1)</f>
        <v>1</v>
      </c>
    </row>
    <row r="556">
      <c r="A556" t="inlineStr">
        <is>
          <t>BL-00702</t>
        </is>
      </c>
      <c r="B556" t="inlineStr">
        <is>
          <t>OPS</t>
        </is>
      </c>
      <c r="C556" s="5" t="n">
        <v>46225</v>
      </c>
      <c r="D556" t="inlineStr">
        <is>
          <t>STRIPE PAYOUT STRIPE po_1Q0016KX</t>
        </is>
      </c>
      <c r="E556" s="9" t="n">
        <v>3728.77</v>
      </c>
      <c r="F556" t="inlineStr">
        <is>
          <t>OPS-20260722</t>
        </is>
      </c>
      <c r="G556" t="inlineStr">
        <is>
          <t>G00029</t>
        </is>
      </c>
      <c r="H556" t="str">
        <f>INDEX('Match Groups'!$C$5:$C$1326,MATCH(G556,'Match Groups'!$A$5:$A$1326,0))</f>
        <v>R02</v>
      </c>
      <c r="I556" t="str">
        <f>INDEX('Match Groups'!$D$5:$D$1326,MATCH(G556,'Match Groups'!$A$5:$A$1326,0))</f>
        <v>STRIPE-FEE</v>
      </c>
      <c r="J556">
        <f>IF(I556="DUPIMP",0,1)</f>
        <v>1</v>
      </c>
    </row>
    <row r="557">
      <c r="A557" t="inlineStr">
        <is>
          <t>BL-00756</t>
        </is>
      </c>
      <c r="B557" t="inlineStr">
        <is>
          <t>OPS</t>
        </is>
      </c>
      <c r="C557" s="5" t="n">
        <v>46225</v>
      </c>
      <c r="D557" t="inlineStr">
        <is>
          <t>ABA PAYMENT FILE 0414 16 PAYMENTS</t>
        </is>
      </c>
      <c r="E557" s="9" t="n">
        <v>-29819.9</v>
      </c>
      <c r="F557" t="inlineStr">
        <is>
          <t>OPS-20260722</t>
        </is>
      </c>
      <c r="G557" t="inlineStr">
        <is>
          <t>G00514</t>
        </is>
      </c>
      <c r="H557" t="str">
        <f>INDEX('Match Groups'!$C$5:$C$1326,MATCH(G557,'Match Groups'!$A$5:$A$1326,0))</f>
        <v>R06</v>
      </c>
      <c r="I557" t="str">
        <f>INDEX('Match Groups'!$D$5:$D$1326,MATCH(G557,'Match Groups'!$A$5:$A$1326,0))</f>
        <v>MATCH</v>
      </c>
      <c r="J557">
        <f>IF(I557="DUPIMP",0,1)</f>
        <v>1</v>
      </c>
    </row>
    <row r="558">
      <c r="A558" t="inlineStr">
        <is>
          <t>BL-00776</t>
        </is>
      </c>
      <c r="B558" t="inlineStr">
        <is>
          <t>OPS</t>
        </is>
      </c>
      <c r="C558" s="5" t="n">
        <v>46225</v>
      </c>
      <c r="D558" t="inlineStr">
        <is>
          <t>DIRECT DEBIT POWERCO ENERGY RETAIL 385830</t>
        </is>
      </c>
      <c r="E558" s="9" t="n">
        <v>-2634.18</v>
      </c>
      <c r="F558" t="inlineStr">
        <is>
          <t>OPS-20260722</t>
        </is>
      </c>
      <c r="G558" t="inlineStr">
        <is>
          <t>G01129</t>
        </is>
      </c>
      <c r="H558" t="str">
        <f>INDEX('Match Groups'!$C$5:$C$1326,MATCH(G558,'Match Groups'!$A$5:$A$1326,0))</f>
        <v>R10</v>
      </c>
      <c r="I558" t="str">
        <f>INDEX('Match Groups'!$D$5:$D$1326,MATCH(G558,'Match Groups'!$A$5:$A$1326,0))</f>
        <v>MATCH</v>
      </c>
      <c r="J558">
        <f>IF(I558="DUPIMP",0,1)</f>
        <v>1</v>
      </c>
    </row>
    <row r="559">
      <c r="A559" t="inlineStr">
        <is>
          <t>BL-00113</t>
        </is>
      </c>
      <c r="B559" t="inlineStr">
        <is>
          <t>OPS</t>
        </is>
      </c>
      <c r="C559" s="5" t="n">
        <v>46226</v>
      </c>
      <c r="D559" t="inlineStr">
        <is>
          <t>DIRECT CREDIT WATTLE PLAN SERVIC RA44910</t>
        </is>
      </c>
      <c r="E559" s="9" t="n">
        <v>785.66</v>
      </c>
      <c r="F559" t="inlineStr">
        <is>
          <t>OPS-20260723</t>
        </is>
      </c>
      <c r="G559" t="inlineStr">
        <is>
          <t>G00189</t>
        </is>
      </c>
      <c r="H559" t="str">
        <f>INDEX('Match Groups'!$C$5:$C$1326,MATCH(G559,'Match Groups'!$A$5:$A$1326,0))</f>
        <v>R03</v>
      </c>
      <c r="I559" t="str">
        <f>INDEX('Match Groups'!$D$5:$D$1326,MATCH(G559,'Match Groups'!$A$5:$A$1326,0))</f>
        <v>MATCH</v>
      </c>
      <c r="J559">
        <f>IF(I559="DUPIMP",0,1)</f>
        <v>1</v>
      </c>
    </row>
    <row r="560">
      <c r="A560" t="inlineStr">
        <is>
          <t>BL-00114</t>
        </is>
      </c>
      <c r="B560" t="inlineStr">
        <is>
          <t>OPS</t>
        </is>
      </c>
      <c r="C560" s="5" t="n">
        <v>46226</v>
      </c>
      <c r="D560" t="inlineStr">
        <is>
          <t>DIRECT CREDIT BANKSIAPLANCO RA44911</t>
        </is>
      </c>
      <c r="E560" s="9" t="n">
        <v>543.17</v>
      </c>
      <c r="F560" t="inlineStr">
        <is>
          <t>OPS-20260723</t>
        </is>
      </c>
      <c r="G560" t="inlineStr">
        <is>
          <t>G00190</t>
        </is>
      </c>
      <c r="H560" t="str">
        <f>INDEX('Match Groups'!$C$5:$C$1326,MATCH(G560,'Match Groups'!$A$5:$A$1326,0))</f>
        <v>R03</v>
      </c>
      <c r="I560" t="str">
        <f>INDEX('Match Groups'!$D$5:$D$1326,MATCH(G560,'Match Groups'!$A$5:$A$1326,0))</f>
        <v>MATCH</v>
      </c>
      <c r="J560">
        <f>IF(I560="DUPIMP",0,1)</f>
        <v>1</v>
      </c>
    </row>
    <row r="561">
      <c r="A561" t="inlineStr">
        <is>
          <t>BL-00115</t>
        </is>
      </c>
      <c r="B561" t="inlineStr">
        <is>
          <t>OPS</t>
        </is>
      </c>
      <c r="C561" s="5" t="n">
        <v>46226</v>
      </c>
      <c r="D561" t="inlineStr">
        <is>
          <t>DIRECT CREDIT IRONBARK PLAN MANAGEME RA44912</t>
        </is>
      </c>
      <c r="E561" s="9" t="n">
        <v>3212.33</v>
      </c>
      <c r="F561" t="inlineStr">
        <is>
          <t>OPS-20260723</t>
        </is>
      </c>
      <c r="G561" t="inlineStr">
        <is>
          <t>G00191</t>
        </is>
      </c>
      <c r="H561" t="str">
        <f>INDEX('Match Groups'!$C$5:$C$1326,MATCH(G561,'Match Groups'!$A$5:$A$1326,0))</f>
        <v>R03</v>
      </c>
      <c r="I561" t="str">
        <f>INDEX('Match Groups'!$D$5:$D$1326,MATCH(G561,'Match Groups'!$A$5:$A$1326,0))</f>
        <v>MATCH</v>
      </c>
      <c r="J561">
        <f>IF(I561="DUPIMP",0,1)</f>
        <v>1</v>
      </c>
    </row>
    <row r="562">
      <c r="A562" t="inlineStr">
        <is>
          <t>BL-00116</t>
        </is>
      </c>
      <c r="B562" t="inlineStr">
        <is>
          <t>OPS</t>
        </is>
      </c>
      <c r="C562" s="5" t="n">
        <v>46226</v>
      </c>
      <c r="D562" t="inlineStr">
        <is>
          <t>DIRECT CREDIT KOOKABURRA PLAN SUPP RA44913</t>
        </is>
      </c>
      <c r="E562" s="9" t="n">
        <v>3492.73</v>
      </c>
      <c r="F562" t="inlineStr">
        <is>
          <t>OPS-20260723</t>
        </is>
      </c>
      <c r="G562" t="inlineStr">
        <is>
          <t>G00192</t>
        </is>
      </c>
      <c r="H562" t="str">
        <f>INDEX('Match Groups'!$C$5:$C$1326,MATCH(G562,'Match Groups'!$A$5:$A$1326,0))</f>
        <v>R03</v>
      </c>
      <c r="I562" t="str">
        <f>INDEX('Match Groups'!$D$5:$D$1326,MATCH(G562,'Match Groups'!$A$5:$A$1326,0))</f>
        <v>MATCH</v>
      </c>
      <c r="J562">
        <f>IF(I562="DUPIMP",0,1)</f>
        <v>1</v>
      </c>
    </row>
    <row r="563">
      <c r="A563" t="inlineStr">
        <is>
          <t>BL-00117</t>
        </is>
      </c>
      <c r="B563" t="inlineStr">
        <is>
          <t>OPS</t>
        </is>
      </c>
      <c r="C563" s="5" t="n">
        <v>46226</v>
      </c>
      <c r="D563" t="inlineStr">
        <is>
          <t>DIRECT CREDIT LYREBIRD PLAN MANAGEME RA44914</t>
        </is>
      </c>
      <c r="E563" s="9" t="n">
        <v>805.96</v>
      </c>
      <c r="F563" t="inlineStr">
        <is>
          <t>OPS-20260723</t>
        </is>
      </c>
      <c r="G563" t="inlineStr">
        <is>
          <t>G00193</t>
        </is>
      </c>
      <c r="H563" t="str">
        <f>INDEX('Match Groups'!$C$5:$C$1326,MATCH(G563,'Match Groups'!$A$5:$A$1326,0))</f>
        <v>R03</v>
      </c>
      <c r="I563" t="str">
        <f>INDEX('Match Groups'!$D$5:$D$1326,MATCH(G563,'Match Groups'!$A$5:$A$1326,0))</f>
        <v>MATCH</v>
      </c>
      <c r="J563">
        <f>IF(I563="DUPIMP",0,1)</f>
        <v>1</v>
      </c>
    </row>
    <row r="564">
      <c r="A564" t="inlineStr">
        <is>
          <t>BL-00118</t>
        </is>
      </c>
      <c r="B564" t="inlineStr">
        <is>
          <t>OPS</t>
        </is>
      </c>
      <c r="C564" s="5" t="n">
        <v>46226</v>
      </c>
      <c r="D564" t="inlineStr">
        <is>
          <t>DIRECT CREDIT ACACIA PLAN PARTNE RA44915</t>
        </is>
      </c>
      <c r="E564" s="9" t="n">
        <v>1096.95</v>
      </c>
      <c r="F564" t="inlineStr">
        <is>
          <t>OPS-20260723</t>
        </is>
      </c>
      <c r="G564" t="inlineStr">
        <is>
          <t>G00194</t>
        </is>
      </c>
      <c r="H564" t="str">
        <f>INDEX('Match Groups'!$C$5:$C$1326,MATCH(G564,'Match Groups'!$A$5:$A$1326,0))</f>
        <v>R03</v>
      </c>
      <c r="I564" t="str">
        <f>INDEX('Match Groups'!$D$5:$D$1326,MATCH(G564,'Match Groups'!$A$5:$A$1326,0))</f>
        <v>MATCH</v>
      </c>
      <c r="J564">
        <f>IF(I564="DUPIMP",0,1)</f>
        <v>1</v>
      </c>
    </row>
    <row r="565">
      <c r="A565" t="inlineStr">
        <is>
          <t>BL-00119</t>
        </is>
      </c>
      <c r="B565" t="inlineStr">
        <is>
          <t>OPS</t>
        </is>
      </c>
      <c r="C565" s="5" t="n">
        <v>46226</v>
      </c>
      <c r="D565" t="inlineStr">
        <is>
          <t>DIRECT CREDIT MALLEEPLANSERVIC RA44916</t>
        </is>
      </c>
      <c r="E565" s="9" t="n">
        <v>436.47</v>
      </c>
      <c r="F565" t="inlineStr">
        <is>
          <t>OPS-20260723</t>
        </is>
      </c>
      <c r="G565" t="inlineStr">
        <is>
          <t>G00195</t>
        </is>
      </c>
      <c r="H565" t="str">
        <f>INDEX('Match Groups'!$C$5:$C$1326,MATCH(G565,'Match Groups'!$A$5:$A$1326,0))</f>
        <v>R03</v>
      </c>
      <c r="I565" t="str">
        <f>INDEX('Match Groups'!$D$5:$D$1326,MATCH(G565,'Match Groups'!$A$5:$A$1326,0))</f>
        <v>MATCH</v>
      </c>
      <c r="J565">
        <f>IF(I565="DUPIMP",0,1)</f>
        <v>1</v>
      </c>
    </row>
    <row r="566">
      <c r="A566" t="inlineStr">
        <is>
          <t>BL-00493</t>
        </is>
      </c>
      <c r="B566" t="inlineStr">
        <is>
          <t>OPS</t>
        </is>
      </c>
      <c r="C566" s="5" t="n">
        <v>46226</v>
      </c>
      <c r="D566" t="inlineStr">
        <is>
          <t>DIRECT CREDIT PINNACLE CLAIMS SERVIC CLM5477327 INV/2026/02036</t>
        </is>
      </c>
      <c r="E566" s="9" t="n">
        <v>990</v>
      </c>
      <c r="F566" t="inlineStr">
        <is>
          <t>OPS-20260723</t>
        </is>
      </c>
      <c r="G566" t="inlineStr">
        <is>
          <t>G00960</t>
        </is>
      </c>
      <c r="H566" t="str">
        <f>INDEX('Match Groups'!$C$5:$C$1326,MATCH(G566,'Match Groups'!$A$5:$A$1326,0))</f>
        <v>R09</v>
      </c>
      <c r="I566" t="str">
        <f>INDEX('Match Groups'!$D$5:$D$1326,MATCH(G566,'Match Groups'!$A$5:$A$1326,0))</f>
        <v>MATCH</v>
      </c>
      <c r="J566">
        <f>IF(I566="DUPIMP",0,1)</f>
        <v>1</v>
      </c>
    </row>
    <row r="567">
      <c r="A567" t="inlineStr">
        <is>
          <t>BL-00494</t>
        </is>
      </c>
      <c r="B567" t="inlineStr">
        <is>
          <t>OPS</t>
        </is>
      </c>
      <c r="C567" s="5" t="n">
        <v>46226</v>
      </c>
      <c r="D567" t="inlineStr">
        <is>
          <t>DIRECT CREDIT PINNACLECLAIMSSE CLM5184058 02064</t>
        </is>
      </c>
      <c r="E567" s="9" t="n">
        <v>990</v>
      </c>
      <c r="F567" t="inlineStr">
        <is>
          <t>OPS-20260723</t>
        </is>
      </c>
      <c r="G567" t="inlineStr">
        <is>
          <t>G00961</t>
        </is>
      </c>
      <c r="H567" t="str">
        <f>INDEX('Match Groups'!$C$5:$C$1326,MATCH(G567,'Match Groups'!$A$5:$A$1326,0))</f>
        <v>R09</v>
      </c>
      <c r="I567" t="str">
        <f>INDEX('Match Groups'!$D$5:$D$1326,MATCH(G567,'Match Groups'!$A$5:$A$1326,0))</f>
        <v>MATCH</v>
      </c>
      <c r="J567">
        <f>IF(I567="DUPIMP",0,1)</f>
        <v>1</v>
      </c>
    </row>
    <row r="568">
      <c r="A568" t="inlineStr">
        <is>
          <t>BL-00535</t>
        </is>
      </c>
      <c r="B568" t="inlineStr">
        <is>
          <t>OPS</t>
        </is>
      </c>
      <c r="C568" s="5" t="n">
        <v>46226</v>
      </c>
      <c r="D568" t="inlineStr">
        <is>
          <t>DIRECT CREDIT NORTHLINE INJURY C CLM5839103 INV/2026/02087</t>
        </is>
      </c>
      <c r="E568" s="9" t="n">
        <v>176</v>
      </c>
      <c r="F568" t="inlineStr">
        <is>
          <t>OPS-20260723</t>
        </is>
      </c>
      <c r="G568" t="inlineStr">
        <is>
          <t>G00962</t>
        </is>
      </c>
      <c r="H568" t="str">
        <f>INDEX('Match Groups'!$C$5:$C$1326,MATCH(G568,'Match Groups'!$A$5:$A$1326,0))</f>
        <v>R09</v>
      </c>
      <c r="I568" t="str">
        <f>INDEX('Match Groups'!$D$5:$D$1326,MATCH(G568,'Match Groups'!$A$5:$A$1326,0))</f>
        <v>MATCH</v>
      </c>
      <c r="J568">
        <f>IF(I568="DUPIMP",0,1)</f>
        <v>1</v>
      </c>
    </row>
    <row r="569">
      <c r="A569" t="inlineStr">
        <is>
          <t>BL-00640</t>
        </is>
      </c>
      <c r="B569" t="inlineStr">
        <is>
          <t>OPS</t>
        </is>
      </c>
      <c r="C569" s="5" t="n">
        <v>46226</v>
      </c>
      <c r="D569" t="inlineStr">
        <is>
          <t>DIRECT CREDIT HOLLISANDFRYARCH INV03445</t>
        </is>
      </c>
      <c r="E569" s="9" t="n">
        <v>15950</v>
      </c>
      <c r="F569" t="inlineStr">
        <is>
          <t>OPS-20260723</t>
        </is>
      </c>
      <c r="G569" t="inlineStr">
        <is>
          <t>G00963</t>
        </is>
      </c>
      <c r="H569" t="str">
        <f>INDEX('Match Groups'!$C$5:$C$1326,MATCH(G569,'Match Groups'!$A$5:$A$1326,0))</f>
        <v>R09</v>
      </c>
      <c r="I569" t="str">
        <f>INDEX('Match Groups'!$D$5:$D$1326,MATCH(G569,'Match Groups'!$A$5:$A$1326,0))</f>
        <v>MATCH</v>
      </c>
      <c r="J569">
        <f>IF(I569="DUPIMP",0,1)</f>
        <v>1</v>
      </c>
    </row>
    <row r="570">
      <c r="A570" t="inlineStr">
        <is>
          <t>BL-00703</t>
        </is>
      </c>
      <c r="B570" t="inlineStr">
        <is>
          <t>OPS</t>
        </is>
      </c>
      <c r="C570" s="5" t="n">
        <v>46226</v>
      </c>
      <c r="D570" t="inlineStr">
        <is>
          <t>STRIPE PAYOUT STRIPE po_1Q0017KX</t>
        </is>
      </c>
      <c r="E570" s="9" t="n">
        <v>2558.31</v>
      </c>
      <c r="F570" t="inlineStr">
        <is>
          <t>OPS-20260723</t>
        </is>
      </c>
      <c r="G570" t="inlineStr">
        <is>
          <t>G00030</t>
        </is>
      </c>
      <c r="H570" t="str">
        <f>INDEX('Match Groups'!$C$5:$C$1326,MATCH(G570,'Match Groups'!$A$5:$A$1326,0))</f>
        <v>R02</v>
      </c>
      <c r="I570" t="str">
        <f>INDEX('Match Groups'!$D$5:$D$1326,MATCH(G570,'Match Groups'!$A$5:$A$1326,0))</f>
        <v>STRIPE-FEE</v>
      </c>
      <c r="J570">
        <f>IF(I570="DUPIMP",0,1)</f>
        <v>1</v>
      </c>
    </row>
    <row r="571">
      <c r="A571" t="inlineStr">
        <is>
          <t>BL-00120</t>
        </is>
      </c>
      <c r="B571" t="inlineStr">
        <is>
          <t>OPS</t>
        </is>
      </c>
      <c r="C571" s="5" t="n">
        <v>46227</v>
      </c>
      <c r="D571" t="inlineStr">
        <is>
          <t>DIRECT CREDIT BLUEGUM PLAN MGMT RA44917</t>
        </is>
      </c>
      <c r="E571" s="9" t="n">
        <v>1048.43</v>
      </c>
      <c r="F571" t="inlineStr">
        <is>
          <t>OPS-20260724</t>
        </is>
      </c>
      <c r="G571" t="inlineStr">
        <is>
          <t>G00196</t>
        </is>
      </c>
      <c r="H571" t="str">
        <f>INDEX('Match Groups'!$C$5:$C$1326,MATCH(G571,'Match Groups'!$A$5:$A$1326,0))</f>
        <v>R03</v>
      </c>
      <c r="I571" t="str">
        <f>INDEX('Match Groups'!$D$5:$D$1326,MATCH(G571,'Match Groups'!$A$5:$A$1326,0))</f>
        <v>MATCH</v>
      </c>
      <c r="J571">
        <f>IF(I571="DUPIMP",0,1)</f>
        <v>1</v>
      </c>
    </row>
    <row r="572">
      <c r="A572" t="inlineStr">
        <is>
          <t>BL-00121</t>
        </is>
      </c>
      <c r="B572" t="inlineStr">
        <is>
          <t>OPS</t>
        </is>
      </c>
      <c r="C572" s="5" t="n">
        <v>46227</v>
      </c>
      <c r="D572" t="inlineStr">
        <is>
          <t>DIRECT CREDIT WATTLE PLAN SERVICES RA44918</t>
        </is>
      </c>
      <c r="E572" s="9" t="n">
        <v>3494.51</v>
      </c>
      <c r="F572" t="inlineStr">
        <is>
          <t>OPS-20260724</t>
        </is>
      </c>
      <c r="G572" t="inlineStr">
        <is>
          <t>G00197</t>
        </is>
      </c>
      <c r="H572" t="str">
        <f>INDEX('Match Groups'!$C$5:$C$1326,MATCH(G572,'Match Groups'!$A$5:$A$1326,0))</f>
        <v>R03</v>
      </c>
      <c r="I572" t="str">
        <f>INDEX('Match Groups'!$D$5:$D$1326,MATCH(G572,'Match Groups'!$A$5:$A$1326,0))</f>
        <v>MATCH</v>
      </c>
      <c r="J572">
        <f>IF(I572="DUPIMP",0,1)</f>
        <v>1</v>
      </c>
    </row>
    <row r="573">
      <c r="A573" t="inlineStr">
        <is>
          <t>BL-00122</t>
        </is>
      </c>
      <c r="B573" t="inlineStr">
        <is>
          <t>OPS</t>
        </is>
      </c>
      <c r="C573" s="5" t="n">
        <v>46227</v>
      </c>
      <c r="D573" t="inlineStr">
        <is>
          <t>DIRECT CREDIT KOOKABURRA PLAN SUPP RA44919</t>
        </is>
      </c>
      <c r="E573" s="9" t="n">
        <v>787.46</v>
      </c>
      <c r="F573" t="inlineStr">
        <is>
          <t>OPS-20260724</t>
        </is>
      </c>
      <c r="G573" t="inlineStr">
        <is>
          <t>G00198</t>
        </is>
      </c>
      <c r="H573" t="str">
        <f>INDEX('Match Groups'!$C$5:$C$1326,MATCH(G573,'Match Groups'!$A$5:$A$1326,0))</f>
        <v>R03</v>
      </c>
      <c r="I573" t="str">
        <f>INDEX('Match Groups'!$D$5:$D$1326,MATCH(G573,'Match Groups'!$A$5:$A$1326,0))</f>
        <v>MATCH</v>
      </c>
      <c r="J573">
        <f>IF(I573="DUPIMP",0,1)</f>
        <v>1</v>
      </c>
    </row>
    <row r="574">
      <c r="A574" t="inlineStr">
        <is>
          <t>BL-00123</t>
        </is>
      </c>
      <c r="B574" t="inlineStr">
        <is>
          <t>OPS</t>
        </is>
      </c>
      <c r="C574" s="5" t="n">
        <v>46227</v>
      </c>
      <c r="D574" t="inlineStr">
        <is>
          <t>DIRECT CREDIT SALTBUSH PLAN MANAGE RA44920</t>
        </is>
      </c>
      <c r="E574" s="9" t="n">
        <v>1864.1</v>
      </c>
      <c r="F574" t="inlineStr">
        <is>
          <t>OPS-20260724</t>
        </is>
      </c>
      <c r="G574" t="inlineStr">
        <is>
          <t>G00199</t>
        </is>
      </c>
      <c r="H574" t="str">
        <f>INDEX('Match Groups'!$C$5:$C$1326,MATCH(G574,'Match Groups'!$A$5:$A$1326,0))</f>
        <v>R03</v>
      </c>
      <c r="I574" t="str">
        <f>INDEX('Match Groups'!$D$5:$D$1326,MATCH(G574,'Match Groups'!$A$5:$A$1326,0))</f>
        <v>MATCH</v>
      </c>
      <c r="J574">
        <f>IF(I574="DUPIMP",0,1)</f>
        <v>1</v>
      </c>
    </row>
    <row r="575">
      <c r="A575" t="inlineStr">
        <is>
          <t>BL-00124</t>
        </is>
      </c>
      <c r="B575" t="inlineStr">
        <is>
          <t>OPS</t>
        </is>
      </c>
      <c r="C575" s="5" t="n">
        <v>46227</v>
      </c>
      <c r="D575" t="inlineStr">
        <is>
          <t>DIRECT CREDIT SOUTHERN CROSS PLAN MG RA44921</t>
        </is>
      </c>
      <c r="E575" s="9" t="n">
        <v>737.16</v>
      </c>
      <c r="F575" t="inlineStr">
        <is>
          <t>OPS-20260724</t>
        </is>
      </c>
      <c r="G575" t="inlineStr">
        <is>
          <t>G00200</t>
        </is>
      </c>
      <c r="H575" t="str">
        <f>INDEX('Match Groups'!$C$5:$C$1326,MATCH(G575,'Match Groups'!$A$5:$A$1326,0))</f>
        <v>R03</v>
      </c>
      <c r="I575" t="str">
        <f>INDEX('Match Groups'!$D$5:$D$1326,MATCH(G575,'Match Groups'!$A$5:$A$1326,0))</f>
        <v>MATCH</v>
      </c>
      <c r="J575">
        <f>IF(I575="DUPIMP",0,1)</f>
        <v>1</v>
      </c>
    </row>
    <row r="576">
      <c r="A576" t="inlineStr">
        <is>
          <t>BL-00125</t>
        </is>
      </c>
      <c r="B576" t="inlineStr">
        <is>
          <t>OPS</t>
        </is>
      </c>
      <c r="C576" s="5" t="n">
        <v>46227</v>
      </c>
      <c r="D576" t="inlineStr">
        <is>
          <t>DIRECT CREDIT LYREBIRD PLAN MANAGEME RA44922</t>
        </is>
      </c>
      <c r="E576" s="9" t="n">
        <v>514.97</v>
      </c>
      <c r="F576" t="inlineStr">
        <is>
          <t>OPS-20260724</t>
        </is>
      </c>
      <c r="G576" t="inlineStr">
        <is>
          <t>G00201</t>
        </is>
      </c>
      <c r="H576" t="str">
        <f>INDEX('Match Groups'!$C$5:$C$1326,MATCH(G576,'Match Groups'!$A$5:$A$1326,0))</f>
        <v>R03</v>
      </c>
      <c r="I576" t="str">
        <f>INDEX('Match Groups'!$D$5:$D$1326,MATCH(G576,'Match Groups'!$A$5:$A$1326,0))</f>
        <v>MATCH</v>
      </c>
      <c r="J576">
        <f>IF(I576="DUPIMP",0,1)</f>
        <v>1</v>
      </c>
    </row>
    <row r="577">
      <c r="A577" t="inlineStr">
        <is>
          <t>BL-00126</t>
        </is>
      </c>
      <c r="B577" t="inlineStr">
        <is>
          <t>OPS</t>
        </is>
      </c>
      <c r="C577" s="5" t="n">
        <v>46227</v>
      </c>
      <c r="D577" t="inlineStr">
        <is>
          <t>DIRECT CREDIT ACACIAPLANPARTNE RA44923</t>
        </is>
      </c>
      <c r="E577" s="9" t="n">
        <v>1564.32</v>
      </c>
      <c r="F577" t="inlineStr">
        <is>
          <t>OPS-20260724</t>
        </is>
      </c>
      <c r="G577" t="inlineStr">
        <is>
          <t>G00202</t>
        </is>
      </c>
      <c r="H577" t="str">
        <f>INDEX('Match Groups'!$C$5:$C$1326,MATCH(G577,'Match Groups'!$A$5:$A$1326,0))</f>
        <v>R03</v>
      </c>
      <c r="I577" t="str">
        <f>INDEX('Match Groups'!$D$5:$D$1326,MATCH(G577,'Match Groups'!$A$5:$A$1326,0))</f>
        <v>REG</v>
      </c>
      <c r="J577">
        <f>IF(I577="DUPIMP",0,1)</f>
        <v>1</v>
      </c>
    </row>
    <row r="578">
      <c r="A578" t="inlineStr">
        <is>
          <t>BL-00514</t>
        </is>
      </c>
      <c r="B578" t="inlineStr">
        <is>
          <t>OPS</t>
        </is>
      </c>
      <c r="C578" s="5" t="n">
        <v>46227</v>
      </c>
      <c r="D578" t="inlineStr">
        <is>
          <t>DIRECT CREDIT MERIDIANHEALTHCO CLM5123326 INV01969</t>
        </is>
      </c>
      <c r="E578" s="9" t="n">
        <v>176</v>
      </c>
      <c r="F578" t="inlineStr">
        <is>
          <t>OPS-20260724</t>
        </is>
      </c>
      <c r="G578" t="inlineStr">
        <is>
          <t>G00964</t>
        </is>
      </c>
      <c r="H578" t="str">
        <f>INDEX('Match Groups'!$C$5:$C$1326,MATCH(G578,'Match Groups'!$A$5:$A$1326,0))</f>
        <v>R09</v>
      </c>
      <c r="I578" t="str">
        <f>INDEX('Match Groups'!$D$5:$D$1326,MATCH(G578,'Match Groups'!$A$5:$A$1326,0))</f>
        <v>MATCH</v>
      </c>
      <c r="J578">
        <f>IF(I578="DUPIMP",0,1)</f>
        <v>1</v>
      </c>
    </row>
    <row r="579">
      <c r="A579" t="inlineStr">
        <is>
          <t>BL-00704</t>
        </is>
      </c>
      <c r="B579" t="inlineStr">
        <is>
          <t>OPS</t>
        </is>
      </c>
      <c r="C579" s="5" t="n">
        <v>46227</v>
      </c>
      <c r="D579" t="inlineStr">
        <is>
          <t>STRIPE PAYOUT STRIPE po_1Q0018KX</t>
        </is>
      </c>
      <c r="E579" s="9" t="n">
        <v>2540.64</v>
      </c>
      <c r="F579" t="inlineStr">
        <is>
          <t>OPS-20260724</t>
        </is>
      </c>
      <c r="G579" t="inlineStr">
        <is>
          <t>G00031</t>
        </is>
      </c>
      <c r="H579" t="str">
        <f>INDEX('Match Groups'!$C$5:$C$1326,MATCH(G579,'Match Groups'!$A$5:$A$1326,0))</f>
        <v>R02</v>
      </c>
      <c r="I579" t="str">
        <f>INDEX('Match Groups'!$D$5:$D$1326,MATCH(G579,'Match Groups'!$A$5:$A$1326,0))</f>
        <v>STRIPE-FEE</v>
      </c>
      <c r="J579">
        <f>IF(I579="DUPIMP",0,1)</f>
        <v>1</v>
      </c>
    </row>
    <row r="580">
      <c r="A580" t="inlineStr">
        <is>
          <t>BL-00127</t>
        </is>
      </c>
      <c r="B580" t="inlineStr">
        <is>
          <t>OPS</t>
        </is>
      </c>
      <c r="C580" s="5" t="n">
        <v>46230</v>
      </c>
      <c r="D580" t="inlineStr">
        <is>
          <t>DIRECT CREDIT BLUEGUM PM PTY LTD RA44924</t>
        </is>
      </c>
      <c r="E580" s="9" t="n">
        <v>1223.94</v>
      </c>
      <c r="F580" t="inlineStr">
        <is>
          <t>OPS-20260727</t>
        </is>
      </c>
      <c r="G580" t="inlineStr">
        <is>
          <t>G00203</t>
        </is>
      </c>
      <c r="H580" t="str">
        <f>INDEX('Match Groups'!$C$5:$C$1326,MATCH(G580,'Match Groups'!$A$5:$A$1326,0))</f>
        <v>R03</v>
      </c>
      <c r="I580" t="str">
        <f>INDEX('Match Groups'!$D$5:$D$1326,MATCH(G580,'Match Groups'!$A$5:$A$1326,0))</f>
        <v>MATCH</v>
      </c>
      <c r="J580">
        <f>IF(I580="DUPIMP",0,1)</f>
        <v>1</v>
      </c>
    </row>
    <row r="581">
      <c r="A581" t="inlineStr">
        <is>
          <t>BL-00128</t>
        </is>
      </c>
      <c r="B581" t="inlineStr">
        <is>
          <t>OPS</t>
        </is>
      </c>
      <c r="C581" s="5" t="n">
        <v>46230</v>
      </c>
      <c r="D581" t="inlineStr">
        <is>
          <t>DIRECT CREDIT RIVERBEND PLAN PARTNER RA44925</t>
        </is>
      </c>
      <c r="E581" s="9" t="n">
        <v>272.49</v>
      </c>
      <c r="F581" t="inlineStr">
        <is>
          <t>OPS-20260727</t>
        </is>
      </c>
      <c r="G581" t="inlineStr">
        <is>
          <t>G00204</t>
        </is>
      </c>
      <c r="H581" t="str">
        <f>INDEX('Match Groups'!$C$5:$C$1326,MATCH(G581,'Match Groups'!$A$5:$A$1326,0))</f>
        <v>R03</v>
      </c>
      <c r="I581" t="str">
        <f>INDEX('Match Groups'!$D$5:$D$1326,MATCH(G581,'Match Groups'!$A$5:$A$1326,0))</f>
        <v>MATCH</v>
      </c>
      <c r="J581">
        <f>IF(I581="DUPIMP",0,1)</f>
        <v>1</v>
      </c>
    </row>
    <row r="582">
      <c r="A582" t="inlineStr">
        <is>
          <t>BL-00129</t>
        </is>
      </c>
      <c r="B582" t="inlineStr">
        <is>
          <t>OPS</t>
        </is>
      </c>
      <c r="C582" s="5" t="n">
        <v>46230</v>
      </c>
      <c r="D582" t="inlineStr">
        <is>
          <t>DIRECT CREDIT BANKSIA PLAN CO PTY LT RA44926</t>
        </is>
      </c>
      <c r="E582" s="9" t="n">
        <v>708.95</v>
      </c>
      <c r="F582" t="inlineStr">
        <is>
          <t>OPS-20260727</t>
        </is>
      </c>
      <c r="G582" t="inlineStr">
        <is>
          <t>G00205</t>
        </is>
      </c>
      <c r="H582" t="str">
        <f>INDEX('Match Groups'!$C$5:$C$1326,MATCH(G582,'Match Groups'!$A$5:$A$1326,0))</f>
        <v>R03</v>
      </c>
      <c r="I582" t="str">
        <f>INDEX('Match Groups'!$D$5:$D$1326,MATCH(G582,'Match Groups'!$A$5:$A$1326,0))</f>
        <v>MATCH</v>
      </c>
      <c r="J582">
        <f>IF(I582="DUPIMP",0,1)</f>
        <v>1</v>
      </c>
    </row>
    <row r="583">
      <c r="A583" t="inlineStr">
        <is>
          <t>BL-00130</t>
        </is>
      </c>
      <c r="B583" t="inlineStr">
        <is>
          <t>OPS</t>
        </is>
      </c>
      <c r="C583" s="5" t="n">
        <v>46230</v>
      </c>
      <c r="D583" t="inlineStr">
        <is>
          <t>DIRECT CREDIT IRONBARK PLAN MGMT RA44927</t>
        </is>
      </c>
      <c r="E583" s="9" t="n">
        <v>1949.59</v>
      </c>
      <c r="F583" t="inlineStr">
        <is>
          <t>OPS-20260727</t>
        </is>
      </c>
      <c r="G583" t="inlineStr">
        <is>
          <t>G00206</t>
        </is>
      </c>
      <c r="H583" t="str">
        <f>INDEX('Match Groups'!$C$5:$C$1326,MATCH(G583,'Match Groups'!$A$5:$A$1326,0))</f>
        <v>R03</v>
      </c>
      <c r="I583" t="str">
        <f>INDEX('Match Groups'!$D$5:$D$1326,MATCH(G583,'Match Groups'!$A$5:$A$1326,0))</f>
        <v>MATCH</v>
      </c>
      <c r="J583">
        <f>IF(I583="DUPIMP",0,1)</f>
        <v>1</v>
      </c>
    </row>
    <row r="584">
      <c r="A584" t="inlineStr">
        <is>
          <t>BL-00131</t>
        </is>
      </c>
      <c r="B584" t="inlineStr">
        <is>
          <t>OPS</t>
        </is>
      </c>
      <c r="C584" s="5" t="n">
        <v>46230</v>
      </c>
      <c r="D584" t="inlineStr">
        <is>
          <t>DIRECT CREDIT KOOKABURRA PLAN SUPPOR RA44928</t>
        </is>
      </c>
      <c r="E584" s="9" t="n">
        <v>436.47</v>
      </c>
      <c r="F584" t="inlineStr">
        <is>
          <t>OPS-20260727</t>
        </is>
      </c>
      <c r="G584" t="inlineStr">
        <is>
          <t>G00207</t>
        </is>
      </c>
      <c r="H584" t="str">
        <f>INDEX('Match Groups'!$C$5:$C$1326,MATCH(G584,'Match Groups'!$A$5:$A$1326,0))</f>
        <v>R03</v>
      </c>
      <c r="I584" t="str">
        <f>INDEX('Match Groups'!$D$5:$D$1326,MATCH(G584,'Match Groups'!$A$5:$A$1326,0))</f>
        <v>MATCH</v>
      </c>
      <c r="J584">
        <f>IF(I584="DUPIMP",0,1)</f>
        <v>1</v>
      </c>
    </row>
    <row r="585">
      <c r="A585" t="inlineStr">
        <is>
          <t>BL-00132</t>
        </is>
      </c>
      <c r="B585" t="inlineStr">
        <is>
          <t>OPS</t>
        </is>
      </c>
      <c r="C585" s="5" t="n">
        <v>46230</v>
      </c>
      <c r="D585" t="inlineStr">
        <is>
          <t>DIRECT CREDIT REDGUM PLAN ADMIN RA44929</t>
        </is>
      </c>
      <c r="E585" s="9" t="n">
        <v>446.18</v>
      </c>
      <c r="F585" t="inlineStr">
        <is>
          <t>OPS-20260727</t>
        </is>
      </c>
      <c r="G585" t="inlineStr">
        <is>
          <t>G00208</t>
        </is>
      </c>
      <c r="H585" t="str">
        <f>INDEX('Match Groups'!$C$5:$C$1326,MATCH(G585,'Match Groups'!$A$5:$A$1326,0))</f>
        <v>R03</v>
      </c>
      <c r="I585" t="str">
        <f>INDEX('Match Groups'!$D$5:$D$1326,MATCH(G585,'Match Groups'!$A$5:$A$1326,0))</f>
        <v>MATCH</v>
      </c>
      <c r="J585">
        <f>IF(I585="DUPIMP",0,1)</f>
        <v>1</v>
      </c>
    </row>
    <row r="586">
      <c r="A586" t="inlineStr">
        <is>
          <t>BL-00133</t>
        </is>
      </c>
      <c r="B586" t="inlineStr">
        <is>
          <t>OPS</t>
        </is>
      </c>
      <c r="C586" s="5" t="n">
        <v>46230</v>
      </c>
      <c r="D586" t="inlineStr">
        <is>
          <t>DIRECT CREDIT LYREBIRDPLANMANA RA44930</t>
        </is>
      </c>
      <c r="E586" s="9" t="n">
        <v>834.15</v>
      </c>
      <c r="F586" t="inlineStr">
        <is>
          <t>OPS-20260727</t>
        </is>
      </c>
      <c r="G586" t="inlineStr">
        <is>
          <t>G00209</t>
        </is>
      </c>
      <c r="H586" t="str">
        <f>INDEX('Match Groups'!$C$5:$C$1326,MATCH(G586,'Match Groups'!$A$5:$A$1326,0))</f>
        <v>R03</v>
      </c>
      <c r="I586" t="str">
        <f>INDEX('Match Groups'!$D$5:$D$1326,MATCH(G586,'Match Groups'!$A$5:$A$1326,0))</f>
        <v>MATCH</v>
      </c>
      <c r="J586">
        <f>IF(I586="DUPIMP",0,1)</f>
        <v>1</v>
      </c>
    </row>
    <row r="587">
      <c r="A587" t="inlineStr">
        <is>
          <t>BL-00134</t>
        </is>
      </c>
      <c r="B587" t="inlineStr">
        <is>
          <t>OPS</t>
        </is>
      </c>
      <c r="C587" s="5" t="n">
        <v>46230</v>
      </c>
      <c r="D587" t="inlineStr">
        <is>
          <t>DIRECT CREDIT ACACIA PLAN PARTNERS P RA44931</t>
        </is>
      </c>
      <c r="E587" s="9" t="n">
        <v>1397.64</v>
      </c>
      <c r="F587" t="inlineStr">
        <is>
          <t>OPS-20260727</t>
        </is>
      </c>
      <c r="G587" t="inlineStr">
        <is>
          <t>G00210</t>
        </is>
      </c>
      <c r="H587" t="str">
        <f>INDEX('Match Groups'!$C$5:$C$1326,MATCH(G587,'Match Groups'!$A$5:$A$1326,0))</f>
        <v>R03</v>
      </c>
      <c r="I587" t="str">
        <f>INDEX('Match Groups'!$D$5:$D$1326,MATCH(G587,'Match Groups'!$A$5:$A$1326,0))</f>
        <v>MATCH</v>
      </c>
      <c r="J587">
        <f>IF(I587="DUPIMP",0,1)</f>
        <v>1</v>
      </c>
    </row>
    <row r="588">
      <c r="A588" t="inlineStr">
        <is>
          <t>BL-00135</t>
        </is>
      </c>
      <c r="B588" t="inlineStr">
        <is>
          <t>OPS</t>
        </is>
      </c>
      <c r="C588" s="5" t="n">
        <v>46230</v>
      </c>
      <c r="D588" t="inlineStr">
        <is>
          <t>DIRECT CREDIT MALLEE PLAN SERVIC RA44932</t>
        </is>
      </c>
      <c r="E588" s="9" t="n">
        <v>738.96</v>
      </c>
      <c r="F588" t="inlineStr">
        <is>
          <t>OPS-20260727</t>
        </is>
      </c>
      <c r="G588" t="inlineStr">
        <is>
          <t>G00211</t>
        </is>
      </c>
      <c r="H588" t="str">
        <f>INDEX('Match Groups'!$C$5:$C$1326,MATCH(G588,'Match Groups'!$A$5:$A$1326,0))</f>
        <v>R03</v>
      </c>
      <c r="I588" t="str">
        <f>INDEX('Match Groups'!$D$5:$D$1326,MATCH(G588,'Match Groups'!$A$5:$A$1326,0))</f>
        <v>MATCH</v>
      </c>
      <c r="J588">
        <f>IF(I588="DUPIMP",0,1)</f>
        <v>1</v>
      </c>
    </row>
    <row r="589">
      <c r="A589" t="inlineStr">
        <is>
          <t>BL-00431</t>
        </is>
      </c>
      <c r="B589" t="inlineStr">
        <is>
          <t>OPS</t>
        </is>
      </c>
      <c r="C589" s="5" t="n">
        <v>46230</v>
      </c>
      <c r="D589" t="inlineStr">
        <is>
          <t>DIRECT CREDIT HARBOUR MUTUAL HEA CLM5295939 INV/2026/02229</t>
        </is>
      </c>
      <c r="E589" s="9" t="n">
        <v>264</v>
      </c>
      <c r="F589" t="inlineStr">
        <is>
          <t>OPS-20260727</t>
        </is>
      </c>
      <c r="G589" t="inlineStr">
        <is>
          <t>G00965</t>
        </is>
      </c>
      <c r="H589" t="str">
        <f>INDEX('Match Groups'!$C$5:$C$1326,MATCH(G589,'Match Groups'!$A$5:$A$1326,0))</f>
        <v>R09</v>
      </c>
      <c r="I589" t="str">
        <f>INDEX('Match Groups'!$D$5:$D$1326,MATCH(G589,'Match Groups'!$A$5:$A$1326,0))</f>
        <v>MATCH</v>
      </c>
      <c r="J589">
        <f>IF(I589="DUPIMP",0,1)</f>
        <v>1</v>
      </c>
    </row>
    <row r="590">
      <c r="A590" t="inlineStr">
        <is>
          <t>BL-00469</t>
        </is>
      </c>
      <c r="B590" t="inlineStr">
        <is>
          <t>OPS</t>
        </is>
      </c>
      <c r="C590" s="5" t="n">
        <v>46230</v>
      </c>
      <c r="D590" t="inlineStr">
        <is>
          <t>DIRECT CREDIT UNITYWORKCOVERAG CLM5985933 02017</t>
        </is>
      </c>
      <c r="E590" s="9" t="n">
        <v>412.5</v>
      </c>
      <c r="F590" t="inlineStr">
        <is>
          <t>OPS-20260727</t>
        </is>
      </c>
      <c r="G590" t="inlineStr">
        <is>
          <t>G00966</t>
        </is>
      </c>
      <c r="H590" t="str">
        <f>INDEX('Match Groups'!$C$5:$C$1326,MATCH(G590,'Match Groups'!$A$5:$A$1326,0))</f>
        <v>R09</v>
      </c>
      <c r="I590" t="str">
        <f>INDEX('Match Groups'!$D$5:$D$1326,MATCH(G590,'Match Groups'!$A$5:$A$1326,0))</f>
        <v>MATCH</v>
      </c>
      <c r="J590">
        <f>IF(I590="DUPIMP",0,1)</f>
        <v>1</v>
      </c>
    </row>
    <row r="591">
      <c r="A591" t="inlineStr">
        <is>
          <t>BL-00618</t>
        </is>
      </c>
      <c r="B591" t="inlineStr">
        <is>
          <t>OPS</t>
        </is>
      </c>
      <c r="C591" s="5" t="n">
        <v>46230</v>
      </c>
      <c r="D591" t="inlineStr">
        <is>
          <t>DIRECT CREDIT ASHGROVE ACCOUNTING INV03438</t>
        </is>
      </c>
      <c r="E591" s="9" t="n">
        <v>5362.5</v>
      </c>
      <c r="F591" t="inlineStr">
        <is>
          <t>OPS-20260727</t>
        </is>
      </c>
      <c r="G591" t="inlineStr">
        <is>
          <t>G00967</t>
        </is>
      </c>
      <c r="H591" t="str">
        <f>INDEX('Match Groups'!$C$5:$C$1326,MATCH(G591,'Match Groups'!$A$5:$A$1326,0))</f>
        <v>R09</v>
      </c>
      <c r="I591" t="str">
        <f>INDEX('Match Groups'!$D$5:$D$1326,MATCH(G591,'Match Groups'!$A$5:$A$1326,0))</f>
        <v>MATCH</v>
      </c>
      <c r="J591">
        <f>IF(I591="DUPIMP",0,1)</f>
        <v>1</v>
      </c>
    </row>
    <row r="592">
      <c r="A592" t="inlineStr">
        <is>
          <t>BL-00634</t>
        </is>
      </c>
      <c r="B592" t="inlineStr">
        <is>
          <t>OPS</t>
        </is>
      </c>
      <c r="C592" s="5" t="n">
        <v>46230</v>
      </c>
      <c r="D592" t="inlineStr">
        <is>
          <t>DIRECT CREDIT FAIRLIE BROS PLUMBING INV03443</t>
        </is>
      </c>
      <c r="E592" s="9" t="n">
        <v>3465</v>
      </c>
      <c r="F592" t="inlineStr">
        <is>
          <t>OPS-20260727</t>
        </is>
      </c>
      <c r="G592" t="inlineStr">
        <is>
          <t>G00968</t>
        </is>
      </c>
      <c r="H592" t="str">
        <f>INDEX('Match Groups'!$C$5:$C$1326,MATCH(G592,'Match Groups'!$A$5:$A$1326,0))</f>
        <v>R09</v>
      </c>
      <c r="I592" t="str">
        <f>INDEX('Match Groups'!$D$5:$D$1326,MATCH(G592,'Match Groups'!$A$5:$A$1326,0))</f>
        <v>MATCH</v>
      </c>
      <c r="J592">
        <f>IF(I592="DUPIMP",0,1)</f>
        <v>1</v>
      </c>
    </row>
    <row r="593">
      <c r="A593" t="inlineStr">
        <is>
          <t>BL-00654</t>
        </is>
      </c>
      <c r="B593" t="inlineStr">
        <is>
          <t>OPS</t>
        </is>
      </c>
      <c r="C593" s="5" t="n">
        <v>46230</v>
      </c>
      <c r="D593" t="inlineStr">
        <is>
          <t>DIRECT CREDIT LOCKHART GLASS INV03450</t>
        </is>
      </c>
      <c r="E593" s="9" t="n">
        <v>15950</v>
      </c>
      <c r="F593" t="inlineStr">
        <is>
          <t>OPS-20260727</t>
        </is>
      </c>
      <c r="G593" t="inlineStr">
        <is>
          <t>G00969</t>
        </is>
      </c>
      <c r="H593" t="str">
        <f>INDEX('Match Groups'!$C$5:$C$1326,MATCH(G593,'Match Groups'!$A$5:$A$1326,0))</f>
        <v>R09</v>
      </c>
      <c r="I593" t="str">
        <f>INDEX('Match Groups'!$D$5:$D$1326,MATCH(G593,'Match Groups'!$A$5:$A$1326,0))</f>
        <v>MATCH</v>
      </c>
      <c r="J593">
        <f>IF(I593="DUPIMP",0,1)</f>
        <v>1</v>
      </c>
    </row>
    <row r="594">
      <c r="A594" t="inlineStr">
        <is>
          <t>BL-00705</t>
        </is>
      </c>
      <c r="B594" t="inlineStr">
        <is>
          <t>OPS</t>
        </is>
      </c>
      <c r="C594" s="5" t="n">
        <v>46230</v>
      </c>
      <c r="D594" t="inlineStr">
        <is>
          <t>STRIPE PAYOUT STRIPE po_1Q0019KX</t>
        </is>
      </c>
      <c r="E594" s="9" t="n">
        <v>4435.89</v>
      </c>
      <c r="F594" t="inlineStr">
        <is>
          <t>OPS-20260727</t>
        </is>
      </c>
      <c r="G594" t="inlineStr">
        <is>
          <t>G00032</t>
        </is>
      </c>
      <c r="H594" t="str">
        <f>INDEX('Match Groups'!$C$5:$C$1326,MATCH(G594,'Match Groups'!$A$5:$A$1326,0))</f>
        <v>R02</v>
      </c>
      <c r="I594" t="str">
        <f>INDEX('Match Groups'!$D$5:$D$1326,MATCH(G594,'Match Groups'!$A$5:$A$1326,0))</f>
        <v>STRIPE-FEE</v>
      </c>
      <c r="J594">
        <f>IF(I594="DUPIMP",0,1)</f>
        <v>1</v>
      </c>
    </row>
    <row r="595">
      <c r="A595" t="inlineStr">
        <is>
          <t>BL-01568</t>
        </is>
      </c>
      <c r="B595" t="inlineStr">
        <is>
          <t>OPS</t>
        </is>
      </c>
      <c r="C595" s="5" t="n">
        <v>46230</v>
      </c>
      <c r="D595" t="inlineStr">
        <is>
          <t>SWEEP FROM MERCHANT ACCT</t>
        </is>
      </c>
      <c r="E595" s="9" t="n">
        <v>34000</v>
      </c>
      <c r="F595" t="inlineStr">
        <is>
          <t>OPS-20260727</t>
        </is>
      </c>
      <c r="G595" t="inlineStr">
        <is>
          <t>G00515</t>
        </is>
      </c>
      <c r="H595" t="str">
        <f>INDEX('Match Groups'!$C$5:$C$1326,MATCH(G595,'Match Groups'!$A$5:$A$1326,0))</f>
        <v>R04</v>
      </c>
      <c r="I595" t="str">
        <f>INDEX('Match Groups'!$D$5:$D$1326,MATCH(G595,'Match Groups'!$A$5:$A$1326,0))</f>
        <v>MATCH</v>
      </c>
      <c r="J595">
        <f>IF(I595="DUPIMP",0,1)</f>
        <v>1</v>
      </c>
    </row>
    <row r="596">
      <c r="A596" t="inlineStr">
        <is>
          <t>BL-00136</t>
        </is>
      </c>
      <c r="B596" t="inlineStr">
        <is>
          <t>OPS</t>
        </is>
      </c>
      <c r="C596" s="5" t="n">
        <v>46231</v>
      </c>
      <c r="D596" t="inlineStr">
        <is>
          <t>DIRECT CREDIT BLUEGUM PM PTY LTD RA44933</t>
        </is>
      </c>
      <c r="E596" s="9" t="n">
        <v>1619.81</v>
      </c>
      <c r="F596" t="inlineStr">
        <is>
          <t>OPS-20260728</t>
        </is>
      </c>
      <c r="G596" t="inlineStr">
        <is>
          <t>G00212</t>
        </is>
      </c>
      <c r="H596" t="str">
        <f>INDEX('Match Groups'!$C$5:$C$1326,MATCH(G596,'Match Groups'!$A$5:$A$1326,0))</f>
        <v>R03</v>
      </c>
      <c r="I596" t="str">
        <f>INDEX('Match Groups'!$D$5:$D$1326,MATCH(G596,'Match Groups'!$A$5:$A$1326,0))</f>
        <v>MATCH</v>
      </c>
      <c r="J596">
        <f>IF(I596="DUPIMP",0,1)</f>
        <v>1</v>
      </c>
    </row>
    <row r="597">
      <c r="A597" t="inlineStr">
        <is>
          <t>BL-00137</t>
        </is>
      </c>
      <c r="B597" t="inlineStr">
        <is>
          <t>OPS</t>
        </is>
      </c>
      <c r="C597" s="5" t="n">
        <v>46231</v>
      </c>
      <c r="D597" t="inlineStr">
        <is>
          <t>DIRECT CREDIT RIVERBEND PLAN PARTN RA44934</t>
        </is>
      </c>
      <c r="E597" s="9" t="n">
        <v>768.96</v>
      </c>
      <c r="F597" t="inlineStr">
        <is>
          <t>OPS-20260728</t>
        </is>
      </c>
      <c r="G597" t="inlineStr">
        <is>
          <t>G00213</t>
        </is>
      </c>
      <c r="H597" t="str">
        <f>INDEX('Match Groups'!$C$5:$C$1326,MATCH(G597,'Match Groups'!$A$5:$A$1326,0))</f>
        <v>R03</v>
      </c>
      <c r="I597" t="str">
        <f>INDEX('Match Groups'!$D$5:$D$1326,MATCH(G597,'Match Groups'!$A$5:$A$1326,0))</f>
        <v>MATCH</v>
      </c>
      <c r="J597">
        <f>IF(I597="DUPIMP",0,1)</f>
        <v>1</v>
      </c>
    </row>
    <row r="598">
      <c r="A598" t="inlineStr">
        <is>
          <t>BL-00138</t>
        </is>
      </c>
      <c r="B598" t="inlineStr">
        <is>
          <t>OPS</t>
        </is>
      </c>
      <c r="C598" s="5" t="n">
        <v>46231</v>
      </c>
      <c r="D598" t="inlineStr">
        <is>
          <t>DIRECT CREDIT CLEARPATH NDIS PLANS RA44935</t>
        </is>
      </c>
      <c r="E598" s="9" t="n">
        <v>369.48</v>
      </c>
      <c r="F598" t="inlineStr">
        <is>
          <t>OPS-20260728</t>
        </is>
      </c>
      <c r="G598" t="inlineStr">
        <is>
          <t>G00214</t>
        </is>
      </c>
      <c r="H598" t="str">
        <f>INDEX('Match Groups'!$C$5:$C$1326,MATCH(G598,'Match Groups'!$A$5:$A$1326,0))</f>
        <v>R03</v>
      </c>
      <c r="I598" t="str">
        <f>INDEX('Match Groups'!$D$5:$D$1326,MATCH(G598,'Match Groups'!$A$5:$A$1326,0))</f>
        <v>MATCH</v>
      </c>
      <c r="J598">
        <f>IF(I598="DUPIMP",0,1)</f>
        <v>1</v>
      </c>
    </row>
    <row r="599">
      <c r="A599" t="inlineStr">
        <is>
          <t>BL-00139</t>
        </is>
      </c>
      <c r="B599" t="inlineStr">
        <is>
          <t>OPS</t>
        </is>
      </c>
      <c r="C599" s="5" t="n">
        <v>46231</v>
      </c>
      <c r="D599" t="inlineStr">
        <is>
          <t>DIRECT CREDIT IRONBARK PLAN MGMT RA44936</t>
        </is>
      </c>
      <c r="E599" s="9" t="n">
        <v>242.49</v>
      </c>
      <c r="F599" t="inlineStr">
        <is>
          <t>OPS-20260728</t>
        </is>
      </c>
      <c r="G599" t="inlineStr">
        <is>
          <t>G00215</t>
        </is>
      </c>
      <c r="H599" t="str">
        <f>INDEX('Match Groups'!$C$5:$C$1326,MATCH(G599,'Match Groups'!$A$5:$A$1326,0))</f>
        <v>R03</v>
      </c>
      <c r="I599" t="str">
        <f>INDEX('Match Groups'!$D$5:$D$1326,MATCH(G599,'Match Groups'!$A$5:$A$1326,0))</f>
        <v>MATCH</v>
      </c>
      <c r="J599">
        <f>IF(I599="DUPIMP",0,1)</f>
        <v>1</v>
      </c>
    </row>
    <row r="600">
      <c r="A600" t="inlineStr">
        <is>
          <t>BL-00140</t>
        </is>
      </c>
      <c r="B600" t="inlineStr">
        <is>
          <t>OPS</t>
        </is>
      </c>
      <c r="C600" s="5" t="n">
        <v>46231</v>
      </c>
      <c r="D600" t="inlineStr">
        <is>
          <t>DIRECT CREDIT KOOKABURRA PLAN SUPP RA44937</t>
        </is>
      </c>
      <c r="E600" s="9" t="n">
        <v>242.49</v>
      </c>
      <c r="F600" t="inlineStr">
        <is>
          <t>OPS-20260728</t>
        </is>
      </c>
      <c r="G600" t="inlineStr">
        <is>
          <t>G00216</t>
        </is>
      </c>
      <c r="H600" t="str">
        <f>INDEX('Match Groups'!$C$5:$C$1326,MATCH(G600,'Match Groups'!$A$5:$A$1326,0))</f>
        <v>R03</v>
      </c>
      <c r="I600" t="str">
        <f>INDEX('Match Groups'!$D$5:$D$1326,MATCH(G600,'Match Groups'!$A$5:$A$1326,0))</f>
        <v>MATCH</v>
      </c>
      <c r="J600">
        <f>IF(I600="DUPIMP",0,1)</f>
        <v>1</v>
      </c>
    </row>
    <row r="601">
      <c r="A601" t="inlineStr">
        <is>
          <t>BL-00141</t>
        </is>
      </c>
      <c r="B601" t="inlineStr">
        <is>
          <t>OPS</t>
        </is>
      </c>
      <c r="C601" s="5" t="n">
        <v>46231</v>
      </c>
      <c r="D601" t="inlineStr">
        <is>
          <t>DIRECT CREDIT SALTBUSH PLAN MANAGERS RA44938</t>
        </is>
      </c>
      <c r="E601" s="9" t="n">
        <v>1998.99</v>
      </c>
      <c r="F601" t="inlineStr">
        <is>
          <t>OPS-20260728</t>
        </is>
      </c>
      <c r="G601" t="inlineStr">
        <is>
          <t>G00217</t>
        </is>
      </c>
      <c r="H601" t="str">
        <f>INDEX('Match Groups'!$C$5:$C$1326,MATCH(G601,'Match Groups'!$A$5:$A$1326,0))</f>
        <v>R03</v>
      </c>
      <c r="I601" t="str">
        <f>INDEX('Match Groups'!$D$5:$D$1326,MATCH(G601,'Match Groups'!$A$5:$A$1326,0))</f>
        <v>MATCH</v>
      </c>
      <c r="J601">
        <f>IF(I601="DUPIMP",0,1)</f>
        <v>1</v>
      </c>
    </row>
    <row r="602">
      <c r="A602" t="inlineStr">
        <is>
          <t>BL-00142</t>
        </is>
      </c>
      <c r="B602" t="inlineStr">
        <is>
          <t>OPS</t>
        </is>
      </c>
      <c r="C602" s="5" t="n">
        <v>46231</v>
      </c>
      <c r="D602" t="inlineStr">
        <is>
          <t>DIRECT CREDIT SOUTHERN CROSS PLA RA44939</t>
        </is>
      </c>
      <c r="E602" s="9" t="n">
        <v>1603.11</v>
      </c>
      <c r="F602" t="inlineStr">
        <is>
          <t>OPS-20260728</t>
        </is>
      </c>
      <c r="G602" t="inlineStr">
        <is>
          <t>G00218</t>
        </is>
      </c>
      <c r="H602" t="str">
        <f>INDEX('Match Groups'!$C$5:$C$1326,MATCH(G602,'Match Groups'!$A$5:$A$1326,0))</f>
        <v>R03</v>
      </c>
      <c r="I602" t="str">
        <f>INDEX('Match Groups'!$D$5:$D$1326,MATCH(G602,'Match Groups'!$A$5:$A$1326,0))</f>
        <v>MATCH</v>
      </c>
      <c r="J602">
        <f>IF(I602="DUPIMP",0,1)</f>
        <v>1</v>
      </c>
    </row>
    <row r="603">
      <c r="A603" t="inlineStr">
        <is>
          <t>BL-00143</t>
        </is>
      </c>
      <c r="B603" t="inlineStr">
        <is>
          <t>OPS</t>
        </is>
      </c>
      <c r="C603" s="5" t="n">
        <v>46231</v>
      </c>
      <c r="D603" t="inlineStr">
        <is>
          <t>DIRECT CREDIT ACACIA PLAN PARTNERS RA44940</t>
        </is>
      </c>
      <c r="E603" s="9" t="n">
        <v>2259.97</v>
      </c>
      <c r="F603" t="inlineStr">
        <is>
          <t>OPS-20260728</t>
        </is>
      </c>
      <c r="G603" t="inlineStr">
        <is>
          <t>G00219</t>
        </is>
      </c>
      <c r="H603" t="str">
        <f>INDEX('Match Groups'!$C$5:$C$1326,MATCH(G603,'Match Groups'!$A$5:$A$1326,0))</f>
        <v>R03</v>
      </c>
      <c r="I603" t="str">
        <f>INDEX('Match Groups'!$D$5:$D$1326,MATCH(G603,'Match Groups'!$A$5:$A$1326,0))</f>
        <v>MATCH</v>
      </c>
      <c r="J603">
        <f>IF(I603="DUPIMP",0,1)</f>
        <v>1</v>
      </c>
    </row>
    <row r="604">
      <c r="A604" t="inlineStr">
        <is>
          <t>BL-00471</t>
        </is>
      </c>
      <c r="B604" t="inlineStr">
        <is>
          <t>OPS</t>
        </is>
      </c>
      <c r="C604" s="5" t="n">
        <v>46231</v>
      </c>
      <c r="D604" t="inlineStr">
        <is>
          <t>DIRECT CREDIT UNITY WORKCOVER AGENTS CLM5461842 INV 2063</t>
        </is>
      </c>
      <c r="E604" s="9" t="n">
        <v>176</v>
      </c>
      <c r="F604" t="inlineStr">
        <is>
          <t>OPS-20260728</t>
        </is>
      </c>
      <c r="G604" t="inlineStr">
        <is>
          <t>G00970</t>
        </is>
      </c>
      <c r="H604" t="str">
        <f>INDEX('Match Groups'!$C$5:$C$1326,MATCH(G604,'Match Groups'!$A$5:$A$1326,0))</f>
        <v>R09</v>
      </c>
      <c r="I604" t="str">
        <f>INDEX('Match Groups'!$D$5:$D$1326,MATCH(G604,'Match Groups'!$A$5:$A$1326,0))</f>
        <v>MATCH</v>
      </c>
      <c r="J604">
        <f>IF(I604="DUPIMP",0,1)</f>
        <v>1</v>
      </c>
    </row>
    <row r="605">
      <c r="A605" t="inlineStr">
        <is>
          <t>BL-00472</t>
        </is>
      </c>
      <c r="B605" t="inlineStr">
        <is>
          <t>OPS</t>
        </is>
      </c>
      <c r="C605" s="5" t="n">
        <v>46231</v>
      </c>
      <c r="D605" t="inlineStr">
        <is>
          <t>DIRECT CREDIT UNITY WORKCOVER AGENTS CLM5237300 INV 2104</t>
        </is>
      </c>
      <c r="E605" s="9" t="n">
        <v>412.5</v>
      </c>
      <c r="F605" t="inlineStr">
        <is>
          <t>OPS-20260728</t>
        </is>
      </c>
      <c r="G605" t="inlineStr">
        <is>
          <t>G01176</t>
        </is>
      </c>
      <c r="H605" t="str">
        <f>INDEX('Match Groups'!$C$5:$C$1326,MATCH(G605,'Match Groups'!$A$5:$A$1326,0))</f>
        <v>R11</v>
      </c>
      <c r="I605" t="str">
        <f>INDEX('Match Groups'!$D$5:$D$1326,MATCH(G605,'Match Groups'!$A$5:$A$1326,0))</f>
        <v>REG</v>
      </c>
      <c r="J605">
        <f>IF(I605="DUPIMP",0,1)</f>
        <v>1</v>
      </c>
    </row>
    <row r="606">
      <c r="A606" t="inlineStr">
        <is>
          <t>BL-00495</t>
        </is>
      </c>
      <c r="B606" t="inlineStr">
        <is>
          <t>OPS</t>
        </is>
      </c>
      <c r="C606" s="5" t="n">
        <v>46231</v>
      </c>
      <c r="D606" t="inlineStr">
        <is>
          <t>DIRECT CREDIT PINNACLE CLAIMS SERV CLM5384560 INV 2086</t>
        </is>
      </c>
      <c r="E606" s="9" t="n">
        <v>990</v>
      </c>
      <c r="F606" t="inlineStr">
        <is>
          <t>OPS-20260728</t>
        </is>
      </c>
      <c r="G606" t="inlineStr">
        <is>
          <t>G00971</t>
        </is>
      </c>
      <c r="H606" t="str">
        <f>INDEX('Match Groups'!$C$5:$C$1326,MATCH(G606,'Match Groups'!$A$5:$A$1326,0))</f>
        <v>R09</v>
      </c>
      <c r="I606" t="str">
        <f>INDEX('Match Groups'!$D$5:$D$1326,MATCH(G606,'Match Groups'!$A$5:$A$1326,0))</f>
        <v>MATCH</v>
      </c>
      <c r="J606">
        <f>IF(I606="DUPIMP",0,1)</f>
        <v>1</v>
      </c>
    </row>
    <row r="607">
      <c r="A607" t="inlineStr">
        <is>
          <t>BL-00515</t>
        </is>
      </c>
      <c r="B607" t="inlineStr">
        <is>
          <t>OPS</t>
        </is>
      </c>
      <c r="C607" s="5" t="n">
        <v>46231</v>
      </c>
      <c r="D607" t="inlineStr">
        <is>
          <t>DIRECT CREDIT MERIDIAN HEALTH CO CLM5202118 RE INV 2026 02018</t>
        </is>
      </c>
      <c r="E607" s="9" t="n">
        <v>176</v>
      </c>
      <c r="F607" t="inlineStr">
        <is>
          <t>OPS-20260728</t>
        </is>
      </c>
      <c r="G607" t="inlineStr">
        <is>
          <t>G00972</t>
        </is>
      </c>
      <c r="H607" t="str">
        <f>INDEX('Match Groups'!$C$5:$C$1326,MATCH(G607,'Match Groups'!$A$5:$A$1326,0))</f>
        <v>R09</v>
      </c>
      <c r="I607" t="str">
        <f>INDEX('Match Groups'!$D$5:$D$1326,MATCH(G607,'Match Groups'!$A$5:$A$1326,0))</f>
        <v>MATCH</v>
      </c>
      <c r="J607">
        <f>IF(I607="DUPIMP",0,1)</f>
        <v>1</v>
      </c>
    </row>
    <row r="608">
      <c r="A608" t="inlineStr">
        <is>
          <t>BL-00536</t>
        </is>
      </c>
      <c r="B608" t="inlineStr">
        <is>
          <t>OPS</t>
        </is>
      </c>
      <c r="C608" s="5" t="n">
        <v>46231</v>
      </c>
      <c r="D608" t="inlineStr">
        <is>
          <t>DIRECT CREDIT NORTHLINE INJURY CLA CLM5434848 INV02130</t>
        </is>
      </c>
      <c r="E608" s="9" t="n">
        <v>412.5</v>
      </c>
      <c r="F608" t="inlineStr">
        <is>
          <t>OPS-20260728</t>
        </is>
      </c>
      <c r="G608" t="inlineStr">
        <is>
          <t>G01177</t>
        </is>
      </c>
      <c r="H608" t="str">
        <f>INDEX('Match Groups'!$C$5:$C$1326,MATCH(G608,'Match Groups'!$A$5:$A$1326,0))</f>
        <v>R11</v>
      </c>
      <c r="I608" t="str">
        <f>INDEX('Match Groups'!$D$5:$D$1326,MATCH(G608,'Match Groups'!$A$5:$A$1326,0))</f>
        <v>REG</v>
      </c>
      <c r="J608">
        <f>IF(I608="DUPIMP",0,1)</f>
        <v>1</v>
      </c>
    </row>
    <row r="609">
      <c r="A609" t="inlineStr">
        <is>
          <t>BL-00580</t>
        </is>
      </c>
      <c r="B609" t="inlineStr">
        <is>
          <t>OPS</t>
        </is>
      </c>
      <c r="C609" s="5" t="n">
        <v>46231</v>
      </c>
      <c r="D609" t="inlineStr">
        <is>
          <t>DIRECT CREDIT GREYSTANES BUILDIN INV03423</t>
        </is>
      </c>
      <c r="E609" s="9" t="n">
        <v>1402.5</v>
      </c>
      <c r="F609" t="inlineStr">
        <is>
          <t>OPS-20260728</t>
        </is>
      </c>
      <c r="G609" t="inlineStr">
        <is>
          <t>G00973</t>
        </is>
      </c>
      <c r="H609" t="str">
        <f>INDEX('Match Groups'!$C$5:$C$1326,MATCH(G609,'Match Groups'!$A$5:$A$1326,0))</f>
        <v>R09</v>
      </c>
      <c r="I609" t="str">
        <f>INDEX('Match Groups'!$D$5:$D$1326,MATCH(G609,'Match Groups'!$A$5:$A$1326,0))</f>
        <v>MATCH</v>
      </c>
      <c r="J609">
        <f>IF(I609="DUPIMP",0,1)</f>
        <v>1</v>
      </c>
    </row>
    <row r="610">
      <c r="A610" t="inlineStr">
        <is>
          <t>BL-00658</t>
        </is>
      </c>
      <c r="B610" t="inlineStr">
        <is>
          <t>OPS</t>
        </is>
      </c>
      <c r="C610" s="5" t="n">
        <v>46231</v>
      </c>
      <c r="D610" t="inlineStr">
        <is>
          <t>DIRECT CREDIT MORNANEELECTRICA INV 3451</t>
        </is>
      </c>
      <c r="E610" s="9" t="n">
        <v>1320</v>
      </c>
      <c r="F610" t="inlineStr">
        <is>
          <t>OPS-20260728</t>
        </is>
      </c>
      <c r="G610" t="inlineStr">
        <is>
          <t>G00974</t>
        </is>
      </c>
      <c r="H610" t="str">
        <f>INDEX('Match Groups'!$C$5:$C$1326,MATCH(G610,'Match Groups'!$A$5:$A$1326,0))</f>
        <v>R09</v>
      </c>
      <c r="I610" t="str">
        <f>INDEX('Match Groups'!$D$5:$D$1326,MATCH(G610,'Match Groups'!$A$5:$A$1326,0))</f>
        <v>MATCH</v>
      </c>
      <c r="J610">
        <f>IF(I610="DUPIMP",0,1)</f>
        <v>1</v>
      </c>
    </row>
    <row r="611">
      <c r="A611" t="inlineStr">
        <is>
          <t>BL-00706</t>
        </is>
      </c>
      <c r="B611" t="inlineStr">
        <is>
          <t>OPS</t>
        </is>
      </c>
      <c r="C611" s="5" t="n">
        <v>46231</v>
      </c>
      <c r="D611" t="inlineStr">
        <is>
          <t>STRIPE PAYOUT STRIPE po_1Q0020KX</t>
        </is>
      </c>
      <c r="E611" s="9" t="n">
        <v>4925.65</v>
      </c>
      <c r="F611" t="inlineStr">
        <is>
          <t>OPS-20260728</t>
        </is>
      </c>
      <c r="G611" t="inlineStr">
        <is>
          <t>G00033</t>
        </is>
      </c>
      <c r="H611" t="str">
        <f>INDEX('Match Groups'!$C$5:$C$1326,MATCH(G611,'Match Groups'!$A$5:$A$1326,0))</f>
        <v>R02</v>
      </c>
      <c r="I611" t="str">
        <f>INDEX('Match Groups'!$D$5:$D$1326,MATCH(G611,'Match Groups'!$A$5:$A$1326,0))</f>
        <v>STRIPE-FEE</v>
      </c>
      <c r="J611">
        <f>IF(I611="DUPIMP",0,1)</f>
        <v>1</v>
      </c>
    </row>
    <row r="612">
      <c r="A612" t="inlineStr">
        <is>
          <t>BL-00778</t>
        </is>
      </c>
      <c r="B612" t="inlineStr">
        <is>
          <t>OPS</t>
        </is>
      </c>
      <c r="C612" s="5" t="n">
        <v>46231</v>
      </c>
      <c r="D612" t="inlineStr">
        <is>
          <t>DIRECT DEBIT EQUIPMENT FINANCE LOAN 07</t>
        </is>
      </c>
      <c r="E612" s="9" t="n">
        <v>-4416.75</v>
      </c>
      <c r="F612" t="inlineStr">
        <is>
          <t>OPS-20260728</t>
        </is>
      </c>
      <c r="G612" t="inlineStr">
        <is>
          <t>G01130</t>
        </is>
      </c>
      <c r="H612" t="str">
        <f>INDEX('Match Groups'!$C$5:$C$1326,MATCH(G612,'Match Groups'!$A$5:$A$1326,0))</f>
        <v>R10</v>
      </c>
      <c r="I612" t="str">
        <f>INDEX('Match Groups'!$D$5:$D$1326,MATCH(G612,'Match Groups'!$A$5:$A$1326,0))</f>
        <v>MATCH</v>
      </c>
      <c r="J612">
        <f>IF(I612="DUPIMP",0,1)</f>
        <v>1</v>
      </c>
    </row>
    <row r="613">
      <c r="A613" t="inlineStr">
        <is>
          <t>BL-00813</t>
        </is>
      </c>
      <c r="B613" t="inlineStr">
        <is>
          <t>OPS</t>
        </is>
      </c>
      <c r="C613" s="5" t="n">
        <v>46231</v>
      </c>
      <c r="D613" t="inlineStr">
        <is>
          <t>BPAY ATO 551004219987 BAS</t>
        </is>
      </c>
      <c r="E613" s="9" t="n">
        <v>-38412</v>
      </c>
      <c r="F613" t="inlineStr">
        <is>
          <t>OPS-20260728</t>
        </is>
      </c>
      <c r="G613" t="inlineStr">
        <is>
          <t>G01239</t>
        </is>
      </c>
      <c r="H613" t="str">
        <f>INDEX('Match Groups'!$C$5:$C$1326,MATCH(G613,'Match Groups'!$A$5:$A$1326,0))</f>
        <v>R13</v>
      </c>
      <c r="I613" t="str">
        <f>INDEX('Match Groups'!$D$5:$D$1326,MATCH(G613,'Match Groups'!$A$5:$A$1326,0))</f>
        <v>MATCH</v>
      </c>
      <c r="J613">
        <f>IF(I613="DUPIMP",0,1)</f>
        <v>1</v>
      </c>
    </row>
    <row r="614">
      <c r="A614" t="inlineStr">
        <is>
          <t>BL-00144</t>
        </is>
      </c>
      <c r="B614" t="inlineStr">
        <is>
          <t>OPS</t>
        </is>
      </c>
      <c r="C614" s="5" t="n">
        <v>46232</v>
      </c>
      <c r="D614" t="inlineStr">
        <is>
          <t>DIRECT CREDIT RIVERBEND PLAN PAR RA44941</t>
        </is>
      </c>
      <c r="E614" s="9" t="n">
        <v>387.98</v>
      </c>
      <c r="F614" t="inlineStr">
        <is>
          <t>OPS-20260729</t>
        </is>
      </c>
      <c r="G614" t="inlineStr">
        <is>
          <t>G00220</t>
        </is>
      </c>
      <c r="H614" t="str">
        <f>INDEX('Match Groups'!$C$5:$C$1326,MATCH(G614,'Match Groups'!$A$5:$A$1326,0))</f>
        <v>R03</v>
      </c>
      <c r="I614" t="str">
        <f>INDEX('Match Groups'!$D$5:$D$1326,MATCH(G614,'Match Groups'!$A$5:$A$1326,0))</f>
        <v>MATCH</v>
      </c>
      <c r="J614">
        <f>IF(I614="DUPIMP",0,1)</f>
        <v>1</v>
      </c>
    </row>
    <row r="615">
      <c r="A615" t="inlineStr">
        <is>
          <t>BL-00145</t>
        </is>
      </c>
      <c r="B615" t="inlineStr">
        <is>
          <t>OPS</t>
        </is>
      </c>
      <c r="C615" s="5" t="n">
        <v>46232</v>
      </c>
      <c r="D615" t="inlineStr">
        <is>
          <t>DIRECT CREDIT WATTLE PLAN SERVICES RA44942</t>
        </is>
      </c>
      <c r="E615" s="9" t="n">
        <v>864.15</v>
      </c>
      <c r="F615" t="inlineStr">
        <is>
          <t>OPS-20260729</t>
        </is>
      </c>
      <c r="G615" t="inlineStr">
        <is>
          <t>G00221</t>
        </is>
      </c>
      <c r="H615" t="str">
        <f>INDEX('Match Groups'!$C$5:$C$1326,MATCH(G615,'Match Groups'!$A$5:$A$1326,0))</f>
        <v>R03</v>
      </c>
      <c r="I615" t="str">
        <f>INDEX('Match Groups'!$D$5:$D$1326,MATCH(G615,'Match Groups'!$A$5:$A$1326,0))</f>
        <v>MATCH</v>
      </c>
      <c r="J615">
        <f>IF(I615="DUPIMP",0,1)</f>
        <v>1</v>
      </c>
    </row>
    <row r="616">
      <c r="A616" t="inlineStr">
        <is>
          <t>BL-00146</t>
        </is>
      </c>
      <c r="B616" t="inlineStr">
        <is>
          <t>OPS</t>
        </is>
      </c>
      <c r="C616" s="5" t="n">
        <v>46232</v>
      </c>
      <c r="D616" t="inlineStr">
        <is>
          <t>DIRECT CREDIT BANKSIA PLAN CO RA44943</t>
        </is>
      </c>
      <c r="E616" s="9" t="n">
        <v>484.97</v>
      </c>
      <c r="F616" t="inlineStr">
        <is>
          <t>OPS-20260729</t>
        </is>
      </c>
      <c r="G616" t="inlineStr">
        <is>
          <t>G00222</t>
        </is>
      </c>
      <c r="H616" t="str">
        <f>INDEX('Match Groups'!$C$5:$C$1326,MATCH(G616,'Match Groups'!$A$5:$A$1326,0))</f>
        <v>R03</v>
      </c>
      <c r="I616" t="str">
        <f>INDEX('Match Groups'!$D$5:$D$1326,MATCH(G616,'Match Groups'!$A$5:$A$1326,0))</f>
        <v>MATCH</v>
      </c>
      <c r="J616">
        <f>IF(I616="DUPIMP",0,1)</f>
        <v>1</v>
      </c>
    </row>
    <row r="617">
      <c r="A617" t="inlineStr">
        <is>
          <t>BL-00147</t>
        </is>
      </c>
      <c r="B617" t="inlineStr">
        <is>
          <t>OPS</t>
        </is>
      </c>
      <c r="C617" s="5" t="n">
        <v>46232</v>
      </c>
      <c r="D617" t="inlineStr">
        <is>
          <t>DIRECT CREDIT SALTBUSH PLAN MANAGERS RA44944</t>
        </is>
      </c>
      <c r="E617" s="9" t="n">
        <v>3134.73</v>
      </c>
      <c r="F617" t="inlineStr">
        <is>
          <t>OPS-20260729</t>
        </is>
      </c>
      <c r="G617" t="inlineStr">
        <is>
          <t>G00223</t>
        </is>
      </c>
      <c r="H617" t="str">
        <f>INDEX('Match Groups'!$C$5:$C$1326,MATCH(G617,'Match Groups'!$A$5:$A$1326,0))</f>
        <v>R03</v>
      </c>
      <c r="I617" t="str">
        <f>INDEX('Match Groups'!$D$5:$D$1326,MATCH(G617,'Match Groups'!$A$5:$A$1326,0))</f>
        <v>MATCH</v>
      </c>
      <c r="J617">
        <f>IF(I617="DUPIMP",0,1)</f>
        <v>1</v>
      </c>
    </row>
    <row r="618">
      <c r="A618" t="inlineStr">
        <is>
          <t>BL-00148</t>
        </is>
      </c>
      <c r="B618" t="inlineStr">
        <is>
          <t>OPS</t>
        </is>
      </c>
      <c r="C618" s="5" t="n">
        <v>46232</v>
      </c>
      <c r="D618" t="inlineStr">
        <is>
          <t>DIRECT CREDIT SOUTHERN CROSS PLAN MG RA44945</t>
        </is>
      </c>
      <c r="E618" s="9" t="n">
        <v>1339.42</v>
      </c>
      <c r="F618" t="inlineStr">
        <is>
          <t>OPS-20260729</t>
        </is>
      </c>
      <c r="G618" t="inlineStr">
        <is>
          <t>G00224</t>
        </is>
      </c>
      <c r="H618" t="str">
        <f>INDEX('Match Groups'!$C$5:$C$1326,MATCH(G618,'Match Groups'!$A$5:$A$1326,0))</f>
        <v>R03</v>
      </c>
      <c r="I618" t="str">
        <f>INDEX('Match Groups'!$D$5:$D$1326,MATCH(G618,'Match Groups'!$A$5:$A$1326,0))</f>
        <v>MATCH</v>
      </c>
      <c r="J618">
        <f>IF(I618="DUPIMP",0,1)</f>
        <v>1</v>
      </c>
    </row>
    <row r="619">
      <c r="A619" t="inlineStr">
        <is>
          <t>BL-00149</t>
        </is>
      </c>
      <c r="B619" t="inlineStr">
        <is>
          <t>OPS</t>
        </is>
      </c>
      <c r="C619" s="5" t="n">
        <v>46232</v>
      </c>
      <c r="D619" t="inlineStr">
        <is>
          <t>DIRECT CREDIT ACACIA PLAN PARTNERS RA44946</t>
        </is>
      </c>
      <c r="E619" s="9" t="n">
        <v>290.98</v>
      </c>
      <c r="F619" t="inlineStr">
        <is>
          <t>OPS-20260729</t>
        </is>
      </c>
      <c r="G619" t="inlineStr">
        <is>
          <t>G00225</t>
        </is>
      </c>
      <c r="H619" t="str">
        <f>INDEX('Match Groups'!$C$5:$C$1326,MATCH(G619,'Match Groups'!$A$5:$A$1326,0))</f>
        <v>R03</v>
      </c>
      <c r="I619" t="str">
        <f>INDEX('Match Groups'!$D$5:$D$1326,MATCH(G619,'Match Groups'!$A$5:$A$1326,0))</f>
        <v>MATCH</v>
      </c>
      <c r="J619">
        <f>IF(I619="DUPIMP",0,1)</f>
        <v>1</v>
      </c>
    </row>
    <row r="620">
      <c r="A620" t="inlineStr">
        <is>
          <t>BL-00150</t>
        </is>
      </c>
      <c r="B620" t="inlineStr">
        <is>
          <t>OPS</t>
        </is>
      </c>
      <c r="C620" s="5" t="n">
        <v>46232</v>
      </c>
      <c r="D620" t="inlineStr">
        <is>
          <t>DIRECT CREDIT MALLEE PLAN SERVICES RA44947</t>
        </is>
      </c>
      <c r="E620" s="9" t="n">
        <v>688.67</v>
      </c>
      <c r="F620" t="inlineStr">
        <is>
          <t>OPS-20260729</t>
        </is>
      </c>
      <c r="G620" t="inlineStr">
        <is>
          <t>G00226</t>
        </is>
      </c>
      <c r="H620" t="str">
        <f>INDEX('Match Groups'!$C$5:$C$1326,MATCH(G620,'Match Groups'!$A$5:$A$1326,0))</f>
        <v>R03</v>
      </c>
      <c r="I620" t="str">
        <f>INDEX('Match Groups'!$D$5:$D$1326,MATCH(G620,'Match Groups'!$A$5:$A$1326,0))</f>
        <v>MATCH</v>
      </c>
      <c r="J620">
        <f>IF(I620="DUPIMP",0,1)</f>
        <v>1</v>
      </c>
    </row>
    <row r="621">
      <c r="A621" t="inlineStr">
        <is>
          <t>BL-00498</t>
        </is>
      </c>
      <c r="B621" t="inlineStr">
        <is>
          <t>OPS</t>
        </is>
      </c>
      <c r="C621" s="5" t="n">
        <v>46232</v>
      </c>
      <c r="D621" t="inlineStr">
        <is>
          <t>DIRECT CREDIT PINNACLE CLAIMS SERV CLM5916066 02230</t>
        </is>
      </c>
      <c r="E621" s="9" t="n">
        <v>264</v>
      </c>
      <c r="F621" t="inlineStr">
        <is>
          <t>OPS-20260729</t>
        </is>
      </c>
      <c r="G621" t="inlineStr">
        <is>
          <t>G00975</t>
        </is>
      </c>
      <c r="H621" t="str">
        <f>INDEX('Match Groups'!$C$5:$C$1326,MATCH(G621,'Match Groups'!$A$5:$A$1326,0))</f>
        <v>R09</v>
      </c>
      <c r="I621" t="str">
        <f>INDEX('Match Groups'!$D$5:$D$1326,MATCH(G621,'Match Groups'!$A$5:$A$1326,0))</f>
        <v>MATCH</v>
      </c>
      <c r="J621">
        <f>IF(I621="DUPIMP",0,1)</f>
        <v>1</v>
      </c>
    </row>
    <row r="622">
      <c r="A622" t="inlineStr">
        <is>
          <t>BL-00707</t>
        </is>
      </c>
      <c r="B622" t="inlineStr">
        <is>
          <t>OPS</t>
        </is>
      </c>
      <c r="C622" s="5" t="n">
        <v>46232</v>
      </c>
      <c r="D622" t="inlineStr">
        <is>
          <t>STRIPE PAYOUT STRIPE po_1Q0021KX</t>
        </is>
      </c>
      <c r="E622" s="9" t="n">
        <v>3901.62</v>
      </c>
      <c r="F622" t="inlineStr">
        <is>
          <t>OPS-20260729</t>
        </is>
      </c>
      <c r="G622" t="inlineStr">
        <is>
          <t>G00034</t>
        </is>
      </c>
      <c r="H622" t="str">
        <f>INDEX('Match Groups'!$C$5:$C$1326,MATCH(G622,'Match Groups'!$A$5:$A$1326,0))</f>
        <v>R02</v>
      </c>
      <c r="I622" t="str">
        <f>INDEX('Match Groups'!$D$5:$D$1326,MATCH(G622,'Match Groups'!$A$5:$A$1326,0))</f>
        <v>STRIPE-FEE</v>
      </c>
      <c r="J622">
        <f>IF(I622="DUPIMP",0,1)</f>
        <v>1</v>
      </c>
    </row>
    <row r="623">
      <c r="A623" t="inlineStr">
        <is>
          <t>BL-00757</t>
        </is>
      </c>
      <c r="B623" t="inlineStr">
        <is>
          <t>OPS</t>
        </is>
      </c>
      <c r="C623" s="5" t="n">
        <v>46232</v>
      </c>
      <c r="D623" t="inlineStr">
        <is>
          <t>ABA PAYMENT FILE 0415 11 PAYMENTS</t>
        </is>
      </c>
      <c r="E623" s="9" t="n">
        <v>-15720.1</v>
      </c>
      <c r="F623" t="inlineStr">
        <is>
          <t>OPS-20260729</t>
        </is>
      </c>
      <c r="G623" t="inlineStr">
        <is>
          <t>G00516</t>
        </is>
      </c>
      <c r="H623" t="str">
        <f>INDEX('Match Groups'!$C$5:$C$1326,MATCH(G623,'Match Groups'!$A$5:$A$1326,0))</f>
        <v>R06</v>
      </c>
      <c r="I623" t="str">
        <f>INDEX('Match Groups'!$D$5:$D$1326,MATCH(G623,'Match Groups'!$A$5:$A$1326,0))</f>
        <v>MATCH</v>
      </c>
      <c r="J623">
        <f>IF(I623="DUPIMP",0,1)</f>
        <v>1</v>
      </c>
    </row>
    <row r="624">
      <c r="A624" t="inlineStr">
        <is>
          <t>BL-00944</t>
        </is>
      </c>
      <c r="B624" t="inlineStr">
        <is>
          <t>OPS</t>
        </is>
      </c>
      <c r="C624" s="5" t="n">
        <v>46232</v>
      </c>
      <c r="D624" t="inlineStr">
        <is>
          <t>TFR TO PAYROLL CLEARING PR260730</t>
        </is>
      </c>
      <c r="E624" s="9" t="n">
        <v>-166344.16</v>
      </c>
      <c r="F624" t="inlineStr">
        <is>
          <t>OPS-20260729</t>
        </is>
      </c>
      <c r="G624" t="inlineStr">
        <is>
          <t>G00517</t>
        </is>
      </c>
      <c r="H624" t="str">
        <f>INDEX('Match Groups'!$C$5:$C$1326,MATCH(G624,'Match Groups'!$A$5:$A$1326,0))</f>
        <v>R04</v>
      </c>
      <c r="I624" t="str">
        <f>INDEX('Match Groups'!$D$5:$D$1326,MATCH(G624,'Match Groups'!$A$5:$A$1326,0))</f>
        <v>MATCH</v>
      </c>
      <c r="J624">
        <f>IF(I624="DUPIMP",0,1)</f>
        <v>1</v>
      </c>
    </row>
    <row r="625">
      <c r="A625" t="inlineStr">
        <is>
          <t>BL-00151</t>
        </is>
      </c>
      <c r="B625" t="inlineStr">
        <is>
          <t>OPS</t>
        </is>
      </c>
      <c r="C625" s="5" t="n">
        <v>46233</v>
      </c>
      <c r="D625" t="inlineStr">
        <is>
          <t>DIRECT CREDIT BLUEGUM PLAN MGMT RA44948</t>
        </is>
      </c>
      <c r="E625" s="9" t="n">
        <v>727.46</v>
      </c>
      <c r="F625" t="inlineStr">
        <is>
          <t>OPS-20260730</t>
        </is>
      </c>
      <c r="G625" t="inlineStr">
        <is>
          <t>G00227</t>
        </is>
      </c>
      <c r="H625" t="str">
        <f>INDEX('Match Groups'!$C$5:$C$1326,MATCH(G625,'Match Groups'!$A$5:$A$1326,0))</f>
        <v>R03</v>
      </c>
      <c r="I625" t="str">
        <f>INDEX('Match Groups'!$D$5:$D$1326,MATCH(G625,'Match Groups'!$A$5:$A$1326,0))</f>
        <v>MATCH</v>
      </c>
      <c r="J625">
        <f>IF(I625="DUPIMP",0,1)</f>
        <v>1</v>
      </c>
    </row>
    <row r="626">
      <c r="A626" t="inlineStr">
        <is>
          <t>BL-00152</t>
        </is>
      </c>
      <c r="B626" t="inlineStr">
        <is>
          <t>OPS</t>
        </is>
      </c>
      <c r="C626" s="5" t="n">
        <v>46233</v>
      </c>
      <c r="D626" t="inlineStr">
        <is>
          <t>DIRECT CREDIT CLEARPATH NDIS PLA RA44949</t>
        </is>
      </c>
      <c r="E626" s="9" t="n">
        <v>484.96</v>
      </c>
      <c r="F626" t="inlineStr">
        <is>
          <t>OPS-20260730</t>
        </is>
      </c>
      <c r="G626" t="inlineStr">
        <is>
          <t>G00228</t>
        </is>
      </c>
      <c r="H626" t="str">
        <f>INDEX('Match Groups'!$C$5:$C$1326,MATCH(G626,'Match Groups'!$A$5:$A$1326,0))</f>
        <v>R03</v>
      </c>
      <c r="I626" t="str">
        <f>INDEX('Match Groups'!$D$5:$D$1326,MATCH(G626,'Match Groups'!$A$5:$A$1326,0))</f>
        <v>MATCH</v>
      </c>
      <c r="J626">
        <f>IF(I626="DUPIMP",0,1)</f>
        <v>1</v>
      </c>
    </row>
    <row r="627">
      <c r="A627" t="inlineStr">
        <is>
          <t>BL-00153</t>
        </is>
      </c>
      <c r="B627" t="inlineStr">
        <is>
          <t>OPS</t>
        </is>
      </c>
      <c r="C627" s="5" t="n">
        <v>46233</v>
      </c>
      <c r="D627" t="inlineStr">
        <is>
          <t>DIRECT CREDIT WATTLE PLAN SERVIC RA44950</t>
        </is>
      </c>
      <c r="E627" s="9" t="n">
        <v>3058.03</v>
      </c>
      <c r="F627" t="inlineStr">
        <is>
          <t>OPS-20260730</t>
        </is>
      </c>
      <c r="G627" t="inlineStr">
        <is>
          <t>G00229</t>
        </is>
      </c>
      <c r="H627" t="str">
        <f>INDEX('Match Groups'!$C$5:$C$1326,MATCH(G627,'Match Groups'!$A$5:$A$1326,0))</f>
        <v>R03</v>
      </c>
      <c r="I627" t="str">
        <f>INDEX('Match Groups'!$D$5:$D$1326,MATCH(G627,'Match Groups'!$A$5:$A$1326,0))</f>
        <v>MATCH</v>
      </c>
      <c r="J627">
        <f>IF(I627="DUPIMP",0,1)</f>
        <v>1</v>
      </c>
    </row>
    <row r="628">
      <c r="A628" t="inlineStr">
        <is>
          <t>BL-00154</t>
        </is>
      </c>
      <c r="B628" t="inlineStr">
        <is>
          <t>OPS</t>
        </is>
      </c>
      <c r="C628" s="5" t="n">
        <v>46233</v>
      </c>
      <c r="D628" t="inlineStr">
        <is>
          <t>DIRECT CREDIT KOOKABURRA PLAN SU RA44951</t>
        </is>
      </c>
      <c r="E628" s="9" t="n">
        <v>552.87</v>
      </c>
      <c r="F628" t="inlineStr">
        <is>
          <t>OPS-20260730</t>
        </is>
      </c>
      <c r="G628" t="inlineStr">
        <is>
          <t>G00230</t>
        </is>
      </c>
      <c r="H628" t="str">
        <f>INDEX('Match Groups'!$C$5:$C$1326,MATCH(G628,'Match Groups'!$A$5:$A$1326,0))</f>
        <v>R03</v>
      </c>
      <c r="I628" t="str">
        <f>INDEX('Match Groups'!$D$5:$D$1326,MATCH(G628,'Match Groups'!$A$5:$A$1326,0))</f>
        <v>MATCH</v>
      </c>
      <c r="J628">
        <f>IF(I628="DUPIMP",0,1)</f>
        <v>1</v>
      </c>
    </row>
    <row r="629">
      <c r="A629" t="inlineStr">
        <is>
          <t>BL-00155</t>
        </is>
      </c>
      <c r="B629" t="inlineStr">
        <is>
          <t>OPS</t>
        </is>
      </c>
      <c r="C629" s="5" t="n">
        <v>46233</v>
      </c>
      <c r="D629" t="inlineStr">
        <is>
          <t>DIRECT CREDIT SALTBUSH PLAN MANA RA44952</t>
        </is>
      </c>
      <c r="E629" s="9" t="n">
        <v>1173.64</v>
      </c>
      <c r="F629" t="inlineStr">
        <is>
          <t>OPS-20260730</t>
        </is>
      </c>
      <c r="G629" t="inlineStr">
        <is>
          <t>G00231</t>
        </is>
      </c>
      <c r="H629" t="str">
        <f>INDEX('Match Groups'!$C$5:$C$1326,MATCH(G629,'Match Groups'!$A$5:$A$1326,0))</f>
        <v>R03</v>
      </c>
      <c r="I629" t="str">
        <f>INDEX('Match Groups'!$D$5:$D$1326,MATCH(G629,'Match Groups'!$A$5:$A$1326,0))</f>
        <v>MATCH</v>
      </c>
      <c r="J629">
        <f>IF(I629="DUPIMP",0,1)</f>
        <v>1</v>
      </c>
    </row>
    <row r="630">
      <c r="A630" t="inlineStr">
        <is>
          <t>BL-00156</t>
        </is>
      </c>
      <c r="B630" t="inlineStr">
        <is>
          <t>OPS</t>
        </is>
      </c>
      <c r="C630" s="5" t="n">
        <v>46233</v>
      </c>
      <c r="D630" t="inlineStr">
        <is>
          <t>DIRECT CREDIT MALLEE PLAN SERVICES RA44953</t>
        </is>
      </c>
      <c r="E630" s="9" t="n">
        <v>649.87</v>
      </c>
      <c r="F630" t="inlineStr">
        <is>
          <t>OPS-20260730</t>
        </is>
      </c>
      <c r="G630" t="inlineStr">
        <is>
          <t>G00232</t>
        </is>
      </c>
      <c r="H630" t="str">
        <f>INDEX('Match Groups'!$C$5:$C$1326,MATCH(G630,'Match Groups'!$A$5:$A$1326,0))</f>
        <v>R03</v>
      </c>
      <c r="I630" t="str">
        <f>INDEX('Match Groups'!$D$5:$D$1326,MATCH(G630,'Match Groups'!$A$5:$A$1326,0))</f>
        <v>MATCH</v>
      </c>
      <c r="J630">
        <f>IF(I630="DUPIMP",0,1)</f>
        <v>1</v>
      </c>
    </row>
    <row r="631">
      <c r="A631" t="inlineStr">
        <is>
          <t>BL-00473</t>
        </is>
      </c>
      <c r="B631" t="inlineStr">
        <is>
          <t>OPS</t>
        </is>
      </c>
      <c r="C631" s="5" t="n">
        <v>46233</v>
      </c>
      <c r="D631" t="inlineStr">
        <is>
          <t>DIRECT CREDIT UNITY WORKCOVER AGEN CLM5785323 INV 2247</t>
        </is>
      </c>
      <c r="E631" s="9" t="n">
        <v>176</v>
      </c>
      <c r="F631" t="inlineStr">
        <is>
          <t>OPS-20260730</t>
        </is>
      </c>
      <c r="G631" t="inlineStr">
        <is>
          <t>G00976</t>
        </is>
      </c>
      <c r="H631" t="str">
        <f>INDEX('Match Groups'!$C$5:$C$1326,MATCH(G631,'Match Groups'!$A$5:$A$1326,0))</f>
        <v>R09</v>
      </c>
      <c r="I631" t="str">
        <f>INDEX('Match Groups'!$D$5:$D$1326,MATCH(G631,'Match Groups'!$A$5:$A$1326,0))</f>
        <v>MATCH</v>
      </c>
      <c r="J631">
        <f>IF(I631="DUPIMP",0,1)</f>
        <v>1</v>
      </c>
    </row>
    <row r="632">
      <c r="A632" t="inlineStr">
        <is>
          <t>BL-00496</t>
        </is>
      </c>
      <c r="B632" t="inlineStr">
        <is>
          <t>OPS</t>
        </is>
      </c>
      <c r="C632" s="5" t="n">
        <v>46233</v>
      </c>
      <c r="D632" t="inlineStr">
        <is>
          <t>DIRECT CREDIT PINNACLE CLAIMS SERV CLM5702443 RE INV 2026 02153</t>
        </is>
      </c>
      <c r="E632" s="9" t="n">
        <v>88</v>
      </c>
      <c r="F632" t="inlineStr">
        <is>
          <t>OPS-20260730</t>
        </is>
      </c>
      <c r="G632" t="inlineStr">
        <is>
          <t>G00977</t>
        </is>
      </c>
      <c r="H632" t="str">
        <f>INDEX('Match Groups'!$C$5:$C$1326,MATCH(G632,'Match Groups'!$A$5:$A$1326,0))</f>
        <v>R09</v>
      </c>
      <c r="I632" t="str">
        <f>INDEX('Match Groups'!$D$5:$D$1326,MATCH(G632,'Match Groups'!$A$5:$A$1326,0))</f>
        <v>MATCH</v>
      </c>
      <c r="J632">
        <f>IF(I632="DUPIMP",0,1)</f>
        <v>1</v>
      </c>
    </row>
    <row r="633">
      <c r="A633" t="inlineStr">
        <is>
          <t>BL-00516</t>
        </is>
      </c>
      <c r="B633" t="inlineStr">
        <is>
          <t>OPS</t>
        </is>
      </c>
      <c r="C633" s="5" t="n">
        <v>46233</v>
      </c>
      <c r="D633" t="inlineStr">
        <is>
          <t>DIRECT CREDIT MERIDIAN HEALTH COVE CLM5742465 INV 2065</t>
        </is>
      </c>
      <c r="E633" s="9" t="n">
        <v>412.5</v>
      </c>
      <c r="F633" t="inlineStr">
        <is>
          <t>OPS-20260730</t>
        </is>
      </c>
      <c r="G633" t="inlineStr">
        <is>
          <t>G00978</t>
        </is>
      </c>
      <c r="H633" t="str">
        <f>INDEX('Match Groups'!$C$5:$C$1326,MATCH(G633,'Match Groups'!$A$5:$A$1326,0))</f>
        <v>R09</v>
      </c>
      <c r="I633" t="str">
        <f>INDEX('Match Groups'!$D$5:$D$1326,MATCH(G633,'Match Groups'!$A$5:$A$1326,0))</f>
        <v>MATCH</v>
      </c>
      <c r="J633">
        <f>IF(I633="DUPIMP",0,1)</f>
        <v>1</v>
      </c>
    </row>
    <row r="634">
      <c r="A634" t="inlineStr">
        <is>
          <t>BL-00567</t>
        </is>
      </c>
      <c r="B634" t="inlineStr">
        <is>
          <t>OPS</t>
        </is>
      </c>
      <c r="C634" s="5" t="n">
        <v>46233</v>
      </c>
      <c r="D634" t="inlineStr">
        <is>
          <t>DIRECT CREDIT ORCHARD STREET LEGAL P</t>
        </is>
      </c>
      <c r="E634" s="9" t="n">
        <v>2722.5</v>
      </c>
      <c r="F634" t="inlineStr">
        <is>
          <t>OPS-20260730</t>
        </is>
      </c>
      <c r="G634" t="inlineStr">
        <is>
          <t>G01131</t>
        </is>
      </c>
      <c r="H634" t="str">
        <f>INDEX('Match Groups'!$C$5:$C$1326,MATCH(G634,'Match Groups'!$A$5:$A$1326,0))</f>
        <v>R10</v>
      </c>
      <c r="I634" t="str">
        <f>INDEX('Match Groups'!$D$5:$D$1326,MATCH(G634,'Match Groups'!$A$5:$A$1326,0))</f>
        <v>MATCH</v>
      </c>
      <c r="J634">
        <f>IF(I634="DUPIMP",0,1)</f>
        <v>1</v>
      </c>
    </row>
    <row r="635">
      <c r="A635" t="inlineStr">
        <is>
          <t>BL-00585</t>
        </is>
      </c>
      <c r="B635" t="inlineStr">
        <is>
          <t>OPS</t>
        </is>
      </c>
      <c r="C635" s="5" t="n">
        <v>46233</v>
      </c>
      <c r="D635" t="inlineStr">
        <is>
          <t>DIRECT CREDIT MARLOWE PRINT AND PACK INV 3425</t>
        </is>
      </c>
      <c r="E635" s="9" t="n">
        <v>16032.5</v>
      </c>
      <c r="F635" t="inlineStr">
        <is>
          <t>OPS-20260730</t>
        </is>
      </c>
      <c r="G635" t="inlineStr">
        <is>
          <t>G00979</t>
        </is>
      </c>
      <c r="H635" t="str">
        <f>INDEX('Match Groups'!$C$5:$C$1326,MATCH(G635,'Match Groups'!$A$5:$A$1326,0))</f>
        <v>R09</v>
      </c>
      <c r="I635" t="str">
        <f>INDEX('Match Groups'!$D$5:$D$1326,MATCH(G635,'Match Groups'!$A$5:$A$1326,0))</f>
        <v>MATCH</v>
      </c>
      <c r="J635">
        <f>IF(I635="DUPIMP",0,1)</f>
        <v>1</v>
      </c>
    </row>
    <row r="636">
      <c r="A636" t="inlineStr">
        <is>
          <t>BL-00708</t>
        </is>
      </c>
      <c r="B636" t="inlineStr">
        <is>
          <t>OPS</t>
        </is>
      </c>
      <c r="C636" s="5" t="n">
        <v>46233</v>
      </c>
      <c r="D636" t="inlineStr">
        <is>
          <t>STRIPE PAYOUT STRIPE po_1Q0022KX</t>
        </is>
      </c>
      <c r="E636" s="9" t="n">
        <v>2509.17</v>
      </c>
      <c r="F636" t="inlineStr">
        <is>
          <t>OPS-20260730</t>
        </is>
      </c>
      <c r="G636" t="inlineStr">
        <is>
          <t>G00035</t>
        </is>
      </c>
      <c r="H636" t="str">
        <f>INDEX('Match Groups'!$C$5:$C$1326,MATCH(G636,'Match Groups'!$A$5:$A$1326,0))</f>
        <v>R02</v>
      </c>
      <c r="I636" t="str">
        <f>INDEX('Match Groups'!$D$5:$D$1326,MATCH(G636,'Match Groups'!$A$5:$A$1326,0))</f>
        <v>STRIPE-FEE</v>
      </c>
      <c r="J636">
        <f>IF(I636="DUPIMP",0,1)</f>
        <v>1</v>
      </c>
    </row>
    <row r="637">
      <c r="A637" t="inlineStr">
        <is>
          <t>BL-00157</t>
        </is>
      </c>
      <c r="B637" t="inlineStr">
        <is>
          <t>OPS</t>
        </is>
      </c>
      <c r="C637" s="5" t="n">
        <v>46234</v>
      </c>
      <c r="D637" t="inlineStr">
        <is>
          <t>DIRECT CREDIT RIVERBEND PLAN PAR RA44954</t>
        </is>
      </c>
      <c r="E637" s="9" t="n">
        <v>466.47</v>
      </c>
      <c r="F637" t="inlineStr">
        <is>
          <t>OPS-20260731</t>
        </is>
      </c>
      <c r="G637" t="inlineStr">
        <is>
          <t>G00233</t>
        </is>
      </c>
      <c r="H637" t="str">
        <f>INDEX('Match Groups'!$C$5:$C$1326,MATCH(G637,'Match Groups'!$A$5:$A$1326,0))</f>
        <v>R03</v>
      </c>
      <c r="I637" t="str">
        <f>INDEX('Match Groups'!$D$5:$D$1326,MATCH(G637,'Match Groups'!$A$5:$A$1326,0))</f>
        <v>MATCH</v>
      </c>
      <c r="J637">
        <f>IF(I637="DUPIMP",0,1)</f>
        <v>1</v>
      </c>
    </row>
    <row r="638">
      <c r="A638" t="inlineStr">
        <is>
          <t>BL-00158</t>
        </is>
      </c>
      <c r="B638" t="inlineStr">
        <is>
          <t>OPS</t>
        </is>
      </c>
      <c r="C638" s="5" t="n">
        <v>46234</v>
      </c>
      <c r="D638" t="inlineStr">
        <is>
          <t>DIRECT CREDIT WATTLE PLAN SERVIC RA44955</t>
        </is>
      </c>
      <c r="E638" s="9" t="n">
        <v>446.18</v>
      </c>
      <c r="F638" t="inlineStr">
        <is>
          <t>OPS-20260731</t>
        </is>
      </c>
      <c r="G638" t="inlineStr">
        <is>
          <t>G00234</t>
        </is>
      </c>
      <c r="H638" t="str">
        <f>INDEX('Match Groups'!$C$5:$C$1326,MATCH(G638,'Match Groups'!$A$5:$A$1326,0))</f>
        <v>R03</v>
      </c>
      <c r="I638" t="str">
        <f>INDEX('Match Groups'!$D$5:$D$1326,MATCH(G638,'Match Groups'!$A$5:$A$1326,0))</f>
        <v>MATCH</v>
      </c>
      <c r="J638">
        <f>IF(I638="DUPIMP",0,1)</f>
        <v>1</v>
      </c>
    </row>
    <row r="639">
      <c r="A639" t="inlineStr">
        <is>
          <t>BL-00159</t>
        </is>
      </c>
      <c r="B639" t="inlineStr">
        <is>
          <t>OPS</t>
        </is>
      </c>
      <c r="C639" s="5" t="n">
        <v>46234</v>
      </c>
      <c r="D639" t="inlineStr">
        <is>
          <t>DIRECT CREDIT BANKSIA PLAN CO PTY LT RA44956</t>
        </is>
      </c>
      <c r="E639" s="9" t="n">
        <v>223.99</v>
      </c>
      <c r="F639" t="inlineStr">
        <is>
          <t>OPS-20260731</t>
        </is>
      </c>
      <c r="G639" t="inlineStr">
        <is>
          <t>G00235</t>
        </is>
      </c>
      <c r="H639" t="str">
        <f>INDEX('Match Groups'!$C$5:$C$1326,MATCH(G639,'Match Groups'!$A$5:$A$1326,0))</f>
        <v>R03</v>
      </c>
      <c r="I639" t="str">
        <f>INDEX('Match Groups'!$D$5:$D$1326,MATCH(G639,'Match Groups'!$A$5:$A$1326,0))</f>
        <v>MATCH</v>
      </c>
      <c r="J639">
        <f>IF(I639="DUPIMP",0,1)</f>
        <v>1</v>
      </c>
    </row>
    <row r="640">
      <c r="A640" t="inlineStr">
        <is>
          <t>BL-00160</t>
        </is>
      </c>
      <c r="B640" t="inlineStr">
        <is>
          <t>OPS</t>
        </is>
      </c>
      <c r="C640" s="5" t="n">
        <v>46234</v>
      </c>
      <c r="D640" t="inlineStr">
        <is>
          <t>DIRECT CREDIT IRONBARK PLAN MGMT RA44957</t>
        </is>
      </c>
      <c r="E640" s="9" t="n">
        <v>223.99</v>
      </c>
      <c r="F640" t="inlineStr">
        <is>
          <t>OPS-20260731</t>
        </is>
      </c>
      <c r="G640" t="inlineStr">
        <is>
          <t>G00236</t>
        </is>
      </c>
      <c r="H640" t="str">
        <f>INDEX('Match Groups'!$C$5:$C$1326,MATCH(G640,'Match Groups'!$A$5:$A$1326,0))</f>
        <v>R03</v>
      </c>
      <c r="I640" t="str">
        <f>INDEX('Match Groups'!$D$5:$D$1326,MATCH(G640,'Match Groups'!$A$5:$A$1326,0))</f>
        <v>MATCH</v>
      </c>
      <c r="J640">
        <f>IF(I640="DUPIMP",0,1)</f>
        <v>1</v>
      </c>
    </row>
    <row r="641">
      <c r="A641" t="inlineStr">
        <is>
          <t>BL-00161</t>
        </is>
      </c>
      <c r="B641" t="inlineStr">
        <is>
          <t>OPS</t>
        </is>
      </c>
      <c r="C641" s="5" t="n">
        <v>46234</v>
      </c>
      <c r="D641" t="inlineStr">
        <is>
          <t>DIRECT CREDIT KOOKABURRA PLAN SUPPOR RA44958</t>
        </is>
      </c>
      <c r="E641" s="9" t="n">
        <v>446.18</v>
      </c>
      <c r="F641" t="inlineStr">
        <is>
          <t>OPS-20260731</t>
        </is>
      </c>
      <c r="G641" t="inlineStr">
        <is>
          <t>G00237</t>
        </is>
      </c>
      <c r="H641" t="str">
        <f>INDEX('Match Groups'!$C$5:$C$1326,MATCH(G641,'Match Groups'!$A$5:$A$1326,0))</f>
        <v>R03</v>
      </c>
      <c r="I641" t="str">
        <f>INDEX('Match Groups'!$D$5:$D$1326,MATCH(G641,'Match Groups'!$A$5:$A$1326,0))</f>
        <v>MATCH</v>
      </c>
      <c r="J641">
        <f>IF(I641="DUPIMP",0,1)</f>
        <v>1</v>
      </c>
    </row>
    <row r="642">
      <c r="A642" t="inlineStr">
        <is>
          <t>BL-00162</t>
        </is>
      </c>
      <c r="B642" t="inlineStr">
        <is>
          <t>OPS</t>
        </is>
      </c>
      <c r="C642" s="5" t="n">
        <v>46234</v>
      </c>
      <c r="D642" t="inlineStr">
        <is>
          <t>DIRECT CREDIT REDGUMPLANADMIN RA44959</t>
        </is>
      </c>
      <c r="E642" s="9" t="n">
        <v>1125.14</v>
      </c>
      <c r="F642" t="inlineStr">
        <is>
          <t>OPS-20260731</t>
        </is>
      </c>
      <c r="G642" t="inlineStr">
        <is>
          <t>G00238</t>
        </is>
      </c>
      <c r="H642" t="str">
        <f>INDEX('Match Groups'!$C$5:$C$1326,MATCH(G642,'Match Groups'!$A$5:$A$1326,0))</f>
        <v>R03</v>
      </c>
      <c r="I642" t="str">
        <f>INDEX('Match Groups'!$D$5:$D$1326,MATCH(G642,'Match Groups'!$A$5:$A$1326,0))</f>
        <v>MATCH</v>
      </c>
      <c r="J642">
        <f>IF(I642="DUPIMP",0,1)</f>
        <v>1</v>
      </c>
    </row>
    <row r="643">
      <c r="A643" t="inlineStr">
        <is>
          <t>BL-00163</t>
        </is>
      </c>
      <c r="B643" t="inlineStr">
        <is>
          <t>OPS</t>
        </is>
      </c>
      <c r="C643" s="5" t="n">
        <v>46234</v>
      </c>
      <c r="D643" t="inlineStr">
        <is>
          <t>DIRECT CREDIT SOUTHERN CROSS PLA RA44960</t>
        </is>
      </c>
      <c r="E643" s="9" t="n">
        <v>892.35</v>
      </c>
      <c r="F643" t="inlineStr">
        <is>
          <t>OPS-20260731</t>
        </is>
      </c>
      <c r="G643" t="inlineStr">
        <is>
          <t>G00239</t>
        </is>
      </c>
      <c r="H643" t="str">
        <f>INDEX('Match Groups'!$C$5:$C$1326,MATCH(G643,'Match Groups'!$A$5:$A$1326,0))</f>
        <v>R03</v>
      </c>
      <c r="I643" t="str">
        <f>INDEX('Match Groups'!$D$5:$D$1326,MATCH(G643,'Match Groups'!$A$5:$A$1326,0))</f>
        <v>MATCH</v>
      </c>
      <c r="J643">
        <f>IF(I643="DUPIMP",0,1)</f>
        <v>1</v>
      </c>
    </row>
    <row r="644">
      <c r="A644" t="inlineStr">
        <is>
          <t>BL-00164</t>
        </is>
      </c>
      <c r="B644" t="inlineStr">
        <is>
          <t>OPS</t>
        </is>
      </c>
      <c r="C644" s="5" t="n">
        <v>46234</v>
      </c>
      <c r="D644" t="inlineStr">
        <is>
          <t>DIRECT CREDIT TALLOWWOOD PLANS RA44961</t>
        </is>
      </c>
      <c r="E644" s="9" t="n">
        <v>591.67</v>
      </c>
      <c r="F644" t="inlineStr">
        <is>
          <t>OPS-20260731</t>
        </is>
      </c>
      <c r="G644" t="inlineStr">
        <is>
          <t>G00240</t>
        </is>
      </c>
      <c r="H644" t="str">
        <f>INDEX('Match Groups'!$C$5:$C$1326,MATCH(G644,'Match Groups'!$A$5:$A$1326,0))</f>
        <v>R03</v>
      </c>
      <c r="I644" t="str">
        <f>INDEX('Match Groups'!$D$5:$D$1326,MATCH(G644,'Match Groups'!$A$5:$A$1326,0))</f>
        <v>MATCH</v>
      </c>
      <c r="J644">
        <f>IF(I644="DUPIMP",0,1)</f>
        <v>1</v>
      </c>
    </row>
    <row r="645">
      <c r="A645" t="inlineStr">
        <is>
          <t>BL-00165</t>
        </is>
      </c>
      <c r="B645" t="inlineStr">
        <is>
          <t>OPS</t>
        </is>
      </c>
      <c r="C645" s="5" t="n">
        <v>46234</v>
      </c>
      <c r="D645" t="inlineStr">
        <is>
          <t>DIRECT CREDIT MALLEEPLANSERVIC RA44962</t>
        </is>
      </c>
      <c r="E645" s="9" t="n">
        <v>417.98</v>
      </c>
      <c r="F645" t="inlineStr">
        <is>
          <t>OPS-20260731</t>
        </is>
      </c>
      <c r="G645" t="inlineStr">
        <is>
          <t>G00241</t>
        </is>
      </c>
      <c r="H645" t="str">
        <f>INDEX('Match Groups'!$C$5:$C$1326,MATCH(G645,'Match Groups'!$A$5:$A$1326,0))</f>
        <v>R03</v>
      </c>
      <c r="I645" t="str">
        <f>INDEX('Match Groups'!$D$5:$D$1326,MATCH(G645,'Match Groups'!$A$5:$A$1326,0))</f>
        <v>MATCH</v>
      </c>
      <c r="J645">
        <f>IF(I645="DUPIMP",0,1)</f>
        <v>1</v>
      </c>
    </row>
    <row r="646">
      <c r="A646" t="inlineStr">
        <is>
          <t>BL-00537</t>
        </is>
      </c>
      <c r="B646" t="inlineStr">
        <is>
          <t>OPS</t>
        </is>
      </c>
      <c r="C646" s="5" t="n">
        <v>46234</v>
      </c>
      <c r="D646" t="inlineStr">
        <is>
          <t>DIRECT CREDIT NORTHLINEINJURYC CLM5987069 INV02155</t>
        </is>
      </c>
      <c r="E646" s="9" t="n">
        <v>412.5</v>
      </c>
      <c r="F646" t="inlineStr">
        <is>
          <t>OPS-20260731</t>
        </is>
      </c>
      <c r="G646" t="inlineStr">
        <is>
          <t>G00980</t>
        </is>
      </c>
      <c r="H646" t="str">
        <f>INDEX('Match Groups'!$C$5:$C$1326,MATCH(G646,'Match Groups'!$A$5:$A$1326,0))</f>
        <v>R09</v>
      </c>
      <c r="I646" t="str">
        <f>INDEX('Match Groups'!$D$5:$D$1326,MATCH(G646,'Match Groups'!$A$5:$A$1326,0))</f>
        <v>MATCH</v>
      </c>
      <c r="J646">
        <f>IF(I646="DUPIMP",0,1)</f>
        <v>1</v>
      </c>
    </row>
    <row r="647">
      <c r="A647" t="inlineStr">
        <is>
          <t>BL-00597</t>
        </is>
      </c>
      <c r="B647" t="inlineStr">
        <is>
          <t>OPS</t>
        </is>
      </c>
      <c r="C647" s="5" t="n">
        <v>46234</v>
      </c>
      <c r="D647" t="inlineStr">
        <is>
          <t>DIRECT CREDIT HARTIGANTRANSPOR 03480</t>
        </is>
      </c>
      <c r="E647" s="9" t="n">
        <v>10876.25</v>
      </c>
      <c r="F647" t="inlineStr">
        <is>
          <t>OPS-20260731</t>
        </is>
      </c>
      <c r="G647" t="inlineStr">
        <is>
          <t>G00981</t>
        </is>
      </c>
      <c r="H647" t="str">
        <f>INDEX('Match Groups'!$C$5:$C$1326,MATCH(G647,'Match Groups'!$A$5:$A$1326,0))</f>
        <v>R09</v>
      </c>
      <c r="I647" t="str">
        <f>INDEX('Match Groups'!$D$5:$D$1326,MATCH(G647,'Match Groups'!$A$5:$A$1326,0))</f>
        <v>MATCH</v>
      </c>
      <c r="J647">
        <f>IF(I647="DUPIMP",0,1)</f>
        <v>1</v>
      </c>
    </row>
    <row r="648">
      <c r="A648" t="inlineStr">
        <is>
          <t>BL-00625</t>
        </is>
      </c>
      <c r="B648" t="inlineStr">
        <is>
          <t>OPS</t>
        </is>
      </c>
      <c r="C648" s="5" t="n">
        <v>46234</v>
      </c>
      <c r="D648" t="inlineStr">
        <is>
          <t>DIRECT CREDIT COBBLESTONERETAI INV03491</t>
        </is>
      </c>
      <c r="E648" s="9" t="n">
        <v>1471.25</v>
      </c>
      <c r="F648" t="inlineStr">
        <is>
          <t>OPS-20260731</t>
        </is>
      </c>
      <c r="G648" t="inlineStr">
        <is>
          <t>G00982</t>
        </is>
      </c>
      <c r="H648" t="str">
        <f>INDEX('Match Groups'!$C$5:$C$1326,MATCH(G648,'Match Groups'!$A$5:$A$1326,0))</f>
        <v>R09</v>
      </c>
      <c r="I648" t="str">
        <f>INDEX('Match Groups'!$D$5:$D$1326,MATCH(G648,'Match Groups'!$A$5:$A$1326,0))</f>
        <v>MATCH</v>
      </c>
      <c r="J648">
        <f>IF(I648="DUPIMP",0,1)</f>
        <v>1</v>
      </c>
    </row>
    <row r="649">
      <c r="A649" t="inlineStr">
        <is>
          <t>BL-00709</t>
        </is>
      </c>
      <c r="B649" t="inlineStr">
        <is>
          <t>OPS</t>
        </is>
      </c>
      <c r="C649" s="5" t="n">
        <v>46234</v>
      </c>
      <c r="D649" t="inlineStr">
        <is>
          <t>STRIPE PAYOUT STRIPE po_1Q0023KX</t>
        </is>
      </c>
      <c r="E649" s="9" t="n">
        <v>3023.49</v>
      </c>
      <c r="F649" t="inlineStr">
        <is>
          <t>OPS-20260731</t>
        </is>
      </c>
      <c r="G649" t="inlineStr">
        <is>
          <t>G00036</t>
        </is>
      </c>
      <c r="H649" t="str">
        <f>INDEX('Match Groups'!$C$5:$C$1326,MATCH(G649,'Match Groups'!$A$5:$A$1326,0))</f>
        <v>R02</v>
      </c>
      <c r="I649" t="str">
        <f>INDEX('Match Groups'!$D$5:$D$1326,MATCH(G649,'Match Groups'!$A$5:$A$1326,0))</f>
        <v>STRIPE-FEE</v>
      </c>
      <c r="J649">
        <f>IF(I649="DUPIMP",0,1)</f>
        <v>1</v>
      </c>
    </row>
    <row r="650">
      <c r="A650" t="inlineStr">
        <is>
          <t>BL-00814</t>
        </is>
      </c>
      <c r="B650" t="inlineStr">
        <is>
          <t>OPS</t>
        </is>
      </c>
      <c r="C650" s="5" t="n">
        <v>46234</v>
      </c>
      <c r="D650" t="inlineStr">
        <is>
          <t>ACCOUNT KEEPING FEE</t>
        </is>
      </c>
      <c r="E650" s="9" t="n">
        <v>-30</v>
      </c>
      <c r="F650" t="inlineStr">
        <is>
          <t>OPS-20260731</t>
        </is>
      </c>
      <c r="G650" t="inlineStr">
        <is>
          <t>G01209</t>
        </is>
      </c>
      <c r="H650" t="str">
        <f>INDEX('Match Groups'!$C$5:$C$1326,MATCH(G650,'Match Groups'!$A$5:$A$1326,0))</f>
        <v>R12</v>
      </c>
      <c r="I650" t="str">
        <f>INDEX('Match Groups'!$D$5:$D$1326,MATCH(G650,'Match Groups'!$A$5:$A$1326,0))</f>
        <v>FEE</v>
      </c>
      <c r="J650">
        <f>IF(I650="DUPIMP",0,1)</f>
        <v>1</v>
      </c>
    </row>
    <row r="651">
      <c r="A651" t="inlineStr">
        <is>
          <t>BL-00815</t>
        </is>
      </c>
      <c r="B651" t="inlineStr">
        <is>
          <t>OPS</t>
        </is>
      </c>
      <c r="C651" s="5" t="n">
        <v>46234</v>
      </c>
      <c r="D651" t="inlineStr">
        <is>
          <t>TRANSACTION FEES</t>
        </is>
      </c>
      <c r="E651" s="9" t="n">
        <v>-54.15</v>
      </c>
      <c r="F651" t="inlineStr">
        <is>
          <t>OPS-20260731</t>
        </is>
      </c>
      <c r="G651" t="inlineStr">
        <is>
          <t>G01210</t>
        </is>
      </c>
      <c r="H651" t="str">
        <f>INDEX('Match Groups'!$C$5:$C$1326,MATCH(G651,'Match Groups'!$A$5:$A$1326,0))</f>
        <v>R12</v>
      </c>
      <c r="I651" t="str">
        <f>INDEX('Match Groups'!$D$5:$D$1326,MATCH(G651,'Match Groups'!$A$5:$A$1326,0))</f>
        <v>FEE</v>
      </c>
      <c r="J651">
        <f>IF(I651="DUPIMP",0,1)</f>
        <v>1</v>
      </c>
    </row>
    <row r="652">
      <c r="A652" t="inlineStr">
        <is>
          <t>BL-00816</t>
        </is>
      </c>
      <c r="B652" t="inlineStr">
        <is>
          <t>OPS</t>
        </is>
      </c>
      <c r="C652" s="5" t="n">
        <v>46234</v>
      </c>
      <c r="D652" t="inlineStr">
        <is>
          <t>INTEREST CREDIT</t>
        </is>
      </c>
      <c r="E652" s="9" t="n">
        <v>383.96</v>
      </c>
      <c r="F652" t="inlineStr">
        <is>
          <t>OPS-20260731</t>
        </is>
      </c>
      <c r="G652" t="inlineStr">
        <is>
          <t>G01211</t>
        </is>
      </c>
      <c r="H652" t="str">
        <f>INDEX('Match Groups'!$C$5:$C$1326,MATCH(G652,'Match Groups'!$A$5:$A$1326,0))</f>
        <v>R12</v>
      </c>
      <c r="I652" t="str">
        <f>INDEX('Match Groups'!$D$5:$D$1326,MATCH(G652,'Match Groups'!$A$5:$A$1326,0))</f>
        <v>INT</v>
      </c>
      <c r="J652">
        <f>IF(I652="DUPIMP",0,1)</f>
        <v>1</v>
      </c>
    </row>
    <row r="653">
      <c r="A653" t="inlineStr">
        <is>
          <t>BL-00166</t>
        </is>
      </c>
      <c r="B653" t="inlineStr">
        <is>
          <t>OPS</t>
        </is>
      </c>
      <c r="C653" s="5" t="n">
        <v>46237</v>
      </c>
      <c r="D653" t="inlineStr">
        <is>
          <t>DIRECT CREDIT BLUEGUM PLAN MGMT RA44963</t>
        </is>
      </c>
      <c r="E653" s="9" t="n">
        <v>1931.09</v>
      </c>
      <c r="F653" t="inlineStr">
        <is>
          <t>OPS-20260803</t>
        </is>
      </c>
      <c r="G653" t="inlineStr">
        <is>
          <t>G00242</t>
        </is>
      </c>
      <c r="H653" t="str">
        <f>INDEX('Match Groups'!$C$5:$C$1326,MATCH(G653,'Match Groups'!$A$5:$A$1326,0))</f>
        <v>R03</v>
      </c>
      <c r="I653" t="str">
        <f>INDEX('Match Groups'!$D$5:$D$1326,MATCH(G653,'Match Groups'!$A$5:$A$1326,0))</f>
        <v>MATCH</v>
      </c>
      <c r="J653">
        <f>IF(I653="DUPIMP",0,1)</f>
        <v>1</v>
      </c>
    </row>
    <row r="654">
      <c r="A654" t="inlineStr">
        <is>
          <t>BL-00167</t>
        </is>
      </c>
      <c r="B654" t="inlineStr">
        <is>
          <t>OPS</t>
        </is>
      </c>
      <c r="C654" s="5" t="n">
        <v>46237</v>
      </c>
      <c r="D654" t="inlineStr">
        <is>
          <t>DIRECT CREDIT CLEARPATH NDIS PLA RA44964</t>
        </is>
      </c>
      <c r="E654" s="9" t="n">
        <v>581.96</v>
      </c>
      <c r="F654" t="inlineStr">
        <is>
          <t>OPS-20260803</t>
        </is>
      </c>
      <c r="G654" t="inlineStr">
        <is>
          <t>G00243</t>
        </is>
      </c>
      <c r="H654" t="str">
        <f>INDEX('Match Groups'!$C$5:$C$1326,MATCH(G654,'Match Groups'!$A$5:$A$1326,0))</f>
        <v>R03</v>
      </c>
      <c r="I654" t="str">
        <f>INDEX('Match Groups'!$D$5:$D$1326,MATCH(G654,'Match Groups'!$A$5:$A$1326,0))</f>
        <v>MATCH</v>
      </c>
      <c r="J654">
        <f>IF(I654="DUPIMP",0,1)</f>
        <v>1</v>
      </c>
    </row>
    <row r="655">
      <c r="A655" t="inlineStr">
        <is>
          <t>BL-00168</t>
        </is>
      </c>
      <c r="B655" t="inlineStr">
        <is>
          <t>OPS</t>
        </is>
      </c>
      <c r="C655" s="5" t="n">
        <v>46237</v>
      </c>
      <c r="D655" t="inlineStr">
        <is>
          <t>DIRECT CREDIT WATTLE PLAN SERVICES RA44965</t>
        </is>
      </c>
      <c r="E655" s="9" t="n">
        <v>989.35</v>
      </c>
      <c r="F655" t="inlineStr">
        <is>
          <t>OPS-20260803</t>
        </is>
      </c>
      <c r="G655" t="inlineStr">
        <is>
          <t>G00244</t>
        </is>
      </c>
      <c r="H655" t="str">
        <f>INDEX('Match Groups'!$C$5:$C$1326,MATCH(G655,'Match Groups'!$A$5:$A$1326,0))</f>
        <v>R03</v>
      </c>
      <c r="I655" t="str">
        <f>INDEX('Match Groups'!$D$5:$D$1326,MATCH(G655,'Match Groups'!$A$5:$A$1326,0))</f>
        <v>REG</v>
      </c>
      <c r="J655">
        <f>IF(I655="DUPIMP",0,1)</f>
        <v>1</v>
      </c>
    </row>
    <row r="656">
      <c r="A656" t="inlineStr">
        <is>
          <t>BL-00169</t>
        </is>
      </c>
      <c r="B656" t="inlineStr">
        <is>
          <t>OPS</t>
        </is>
      </c>
      <c r="C656" s="5" t="n">
        <v>46237</v>
      </c>
      <c r="D656" t="inlineStr">
        <is>
          <t>DIRECT CREDIT BANKSIA PLAN CO RA44966</t>
        </is>
      </c>
      <c r="E656" s="9" t="n">
        <v>835.96</v>
      </c>
      <c r="F656" t="inlineStr">
        <is>
          <t>OPS-20260803</t>
        </is>
      </c>
      <c r="G656" t="inlineStr">
        <is>
          <t>G00245</t>
        </is>
      </c>
      <c r="H656" t="str">
        <f>INDEX('Match Groups'!$C$5:$C$1326,MATCH(G656,'Match Groups'!$A$5:$A$1326,0))</f>
        <v>R03</v>
      </c>
      <c r="I656" t="str">
        <f>INDEX('Match Groups'!$D$5:$D$1326,MATCH(G656,'Match Groups'!$A$5:$A$1326,0))</f>
        <v>MATCH</v>
      </c>
      <c r="J656">
        <f>IF(I656="DUPIMP",0,1)</f>
        <v>1</v>
      </c>
    </row>
    <row r="657">
      <c r="A657" t="inlineStr">
        <is>
          <t>BL-00170</t>
        </is>
      </c>
      <c r="B657" t="inlineStr">
        <is>
          <t>OPS</t>
        </is>
      </c>
      <c r="C657" s="5" t="n">
        <v>46237</v>
      </c>
      <c r="D657" t="inlineStr">
        <is>
          <t>DIRECT CREDIT KOOKABURRA PLAN SUPPOR RA44967</t>
        </is>
      </c>
      <c r="E657" s="9" t="n">
        <v>1407.32</v>
      </c>
      <c r="F657" t="inlineStr">
        <is>
          <t>OPS-20260803</t>
        </is>
      </c>
      <c r="G657" t="inlineStr">
        <is>
          <t>G00246</t>
        </is>
      </c>
      <c r="H657" t="str">
        <f>INDEX('Match Groups'!$C$5:$C$1326,MATCH(G657,'Match Groups'!$A$5:$A$1326,0))</f>
        <v>R03</v>
      </c>
      <c r="I657" t="str">
        <f>INDEX('Match Groups'!$D$5:$D$1326,MATCH(G657,'Match Groups'!$A$5:$A$1326,0))</f>
        <v>MATCH</v>
      </c>
      <c r="J657">
        <f>IF(I657="DUPIMP",0,1)</f>
        <v>1</v>
      </c>
    </row>
    <row r="658">
      <c r="A658" t="inlineStr">
        <is>
          <t>BL-00171</t>
        </is>
      </c>
      <c r="B658" t="inlineStr">
        <is>
          <t>OPS</t>
        </is>
      </c>
      <c r="C658" s="5" t="n">
        <v>46237</v>
      </c>
      <c r="D658" t="inlineStr">
        <is>
          <t>DIRECT CREDIT REDGUM PLAN ADMIN RA44968</t>
        </is>
      </c>
      <c r="E658" s="9" t="n">
        <v>785.66</v>
      </c>
      <c r="F658" t="inlineStr">
        <is>
          <t>OPS-20260803</t>
        </is>
      </c>
      <c r="G658" t="inlineStr">
        <is>
          <t>G00247</t>
        </is>
      </c>
      <c r="H658" t="str">
        <f>INDEX('Match Groups'!$C$5:$C$1326,MATCH(G658,'Match Groups'!$A$5:$A$1326,0))</f>
        <v>R03</v>
      </c>
      <c r="I658" t="str">
        <f>INDEX('Match Groups'!$D$5:$D$1326,MATCH(G658,'Match Groups'!$A$5:$A$1326,0))</f>
        <v>REG</v>
      </c>
      <c r="J658">
        <f>IF(I658="DUPIMP",0,1)</f>
        <v>1</v>
      </c>
    </row>
    <row r="659">
      <c r="A659" t="inlineStr">
        <is>
          <t>BL-00172</t>
        </is>
      </c>
      <c r="B659" t="inlineStr">
        <is>
          <t>OPS</t>
        </is>
      </c>
      <c r="C659" s="5" t="n">
        <v>46237</v>
      </c>
      <c r="D659" t="inlineStr">
        <is>
          <t>DIRECT CREDIT SOUTHERN CROSS PLAN RA44969</t>
        </is>
      </c>
      <c r="E659" s="9" t="n">
        <v>543.17</v>
      </c>
      <c r="F659" t="inlineStr">
        <is>
          <t>OPS-20260803</t>
        </is>
      </c>
      <c r="G659" t="inlineStr">
        <is>
          <t>G00248</t>
        </is>
      </c>
      <c r="H659" t="str">
        <f>INDEX('Match Groups'!$C$5:$C$1326,MATCH(G659,'Match Groups'!$A$5:$A$1326,0))</f>
        <v>R03</v>
      </c>
      <c r="I659" t="str">
        <f>INDEX('Match Groups'!$D$5:$D$1326,MATCH(G659,'Match Groups'!$A$5:$A$1326,0))</f>
        <v>MATCH</v>
      </c>
      <c r="J659">
        <f>IF(I659="DUPIMP",0,1)</f>
        <v>1</v>
      </c>
    </row>
    <row r="660">
      <c r="A660" t="inlineStr">
        <is>
          <t>BL-00173</t>
        </is>
      </c>
      <c r="B660" t="inlineStr">
        <is>
          <t>OPS</t>
        </is>
      </c>
      <c r="C660" s="5" t="n">
        <v>46237</v>
      </c>
      <c r="D660" t="inlineStr">
        <is>
          <t>DIRECT CREDIT LYREBIRDPLANMANA RA44970</t>
        </is>
      </c>
      <c r="E660" s="9" t="n">
        <v>484.97</v>
      </c>
      <c r="F660" t="inlineStr">
        <is>
          <t>OPS-20260803</t>
        </is>
      </c>
      <c r="G660" t="inlineStr">
        <is>
          <t>G00249</t>
        </is>
      </c>
      <c r="H660" t="str">
        <f>INDEX('Match Groups'!$C$5:$C$1326,MATCH(G660,'Match Groups'!$A$5:$A$1326,0))</f>
        <v>R03</v>
      </c>
      <c r="I660" t="str">
        <f>INDEX('Match Groups'!$D$5:$D$1326,MATCH(G660,'Match Groups'!$A$5:$A$1326,0))</f>
        <v>MATCH</v>
      </c>
      <c r="J660">
        <f>IF(I660="DUPIMP",0,1)</f>
        <v>1</v>
      </c>
    </row>
    <row r="661">
      <c r="A661" t="inlineStr">
        <is>
          <t>BL-00174</t>
        </is>
      </c>
      <c r="B661" t="inlineStr">
        <is>
          <t>OPS</t>
        </is>
      </c>
      <c r="C661" s="5" t="n">
        <v>46237</v>
      </c>
      <c r="D661" t="inlineStr">
        <is>
          <t>DIRECT CREDIT ACACIAPLANPARTNE RA44971</t>
        </is>
      </c>
      <c r="E661" s="9" t="n">
        <v>1611.92</v>
      </c>
      <c r="F661" t="inlineStr">
        <is>
          <t>OPS-20260803</t>
        </is>
      </c>
      <c r="G661" t="inlineStr">
        <is>
          <t>G00250</t>
        </is>
      </c>
      <c r="H661" t="str">
        <f>INDEX('Match Groups'!$C$5:$C$1326,MATCH(G661,'Match Groups'!$A$5:$A$1326,0))</f>
        <v>R03</v>
      </c>
      <c r="I661" t="str">
        <f>INDEX('Match Groups'!$D$5:$D$1326,MATCH(G661,'Match Groups'!$A$5:$A$1326,0))</f>
        <v>MATCH</v>
      </c>
      <c r="J661">
        <f>IF(I661="DUPIMP",0,1)</f>
        <v>1</v>
      </c>
    </row>
    <row r="662">
      <c r="A662" t="inlineStr">
        <is>
          <t>BL-00175</t>
        </is>
      </c>
      <c r="B662" t="inlineStr">
        <is>
          <t>OPS</t>
        </is>
      </c>
      <c r="C662" s="5" t="n">
        <v>46237</v>
      </c>
      <c r="D662" t="inlineStr">
        <is>
          <t>DIRECT CREDIT MALLEE PLAN SERVICES P RA44972</t>
        </is>
      </c>
      <c r="E662" s="9" t="n">
        <v>843.86</v>
      </c>
      <c r="F662" t="inlineStr">
        <is>
          <t>OPS-20260803</t>
        </is>
      </c>
      <c r="G662" t="inlineStr">
        <is>
          <t>G00251</t>
        </is>
      </c>
      <c r="H662" t="str">
        <f>INDEX('Match Groups'!$C$5:$C$1326,MATCH(G662,'Match Groups'!$A$5:$A$1326,0))</f>
        <v>R03</v>
      </c>
      <c r="I662" t="str">
        <f>INDEX('Match Groups'!$D$5:$D$1326,MATCH(G662,'Match Groups'!$A$5:$A$1326,0))</f>
        <v>MATCH</v>
      </c>
      <c r="J662">
        <f>IF(I662="DUPIMP",0,1)</f>
        <v>1</v>
      </c>
    </row>
    <row r="663">
      <c r="A663" t="inlineStr">
        <is>
          <t>BL-00519</t>
        </is>
      </c>
      <c r="B663" t="inlineStr">
        <is>
          <t>OPS</t>
        </is>
      </c>
      <c r="C663" s="5" t="n">
        <v>46237</v>
      </c>
      <c r="D663" t="inlineStr">
        <is>
          <t>DIRECT CREDIT MERIDIAN HEALTH COVER CLM5778279 INV 2201</t>
        </is>
      </c>
      <c r="E663" s="9" t="n">
        <v>132</v>
      </c>
      <c r="F663" t="inlineStr">
        <is>
          <t>OPS-20260803</t>
        </is>
      </c>
      <c r="G663" t="inlineStr">
        <is>
          <t>G00983</t>
        </is>
      </c>
      <c r="H663" t="str">
        <f>INDEX('Match Groups'!$C$5:$C$1326,MATCH(G663,'Match Groups'!$A$5:$A$1326,0))</f>
        <v>R09</v>
      </c>
      <c r="I663" t="str">
        <f>INDEX('Match Groups'!$D$5:$D$1326,MATCH(G663,'Match Groups'!$A$5:$A$1326,0))</f>
        <v>MATCH</v>
      </c>
      <c r="J663">
        <f>IF(I663="DUPIMP",0,1)</f>
        <v>1</v>
      </c>
    </row>
    <row r="664">
      <c r="A664" t="inlineStr">
        <is>
          <t>BL-00710</t>
        </is>
      </c>
      <c r="B664" t="inlineStr">
        <is>
          <t>OPS</t>
        </is>
      </c>
      <c r="C664" s="5" t="n">
        <v>46237</v>
      </c>
      <c r="D664" t="inlineStr">
        <is>
          <t>STRIPE PAYOUT STRIPE po_1Q0024KX</t>
        </is>
      </c>
      <c r="E664" s="9" t="n">
        <v>3955.36</v>
      </c>
      <c r="F664" t="inlineStr">
        <is>
          <t>OPS-20260803</t>
        </is>
      </c>
      <c r="G664" t="inlineStr">
        <is>
          <t>G00037</t>
        </is>
      </c>
      <c r="H664" t="str">
        <f>INDEX('Match Groups'!$C$5:$C$1326,MATCH(G664,'Match Groups'!$A$5:$A$1326,0))</f>
        <v>R02</v>
      </c>
      <c r="I664" t="str">
        <f>INDEX('Match Groups'!$D$5:$D$1326,MATCH(G664,'Match Groups'!$A$5:$A$1326,0))</f>
        <v>STRIPE-FEE</v>
      </c>
      <c r="J664">
        <f>IF(I664="DUPIMP",0,1)</f>
        <v>1</v>
      </c>
    </row>
    <row r="665">
      <c r="A665" t="inlineStr">
        <is>
          <t>BL-00780</t>
        </is>
      </c>
      <c r="B665" t="inlineStr">
        <is>
          <t>OPS</t>
        </is>
      </c>
      <c r="C665" s="5" t="n">
        <v>46237</v>
      </c>
      <c r="D665" t="inlineStr">
        <is>
          <t>DIRECT DEBIT COLLINS ST PROPERT 422789</t>
        </is>
      </c>
      <c r="E665" s="9" t="n">
        <v>-14850</v>
      </c>
      <c r="F665" t="inlineStr">
        <is>
          <t>OPS-20260803</t>
        </is>
      </c>
      <c r="G665" t="inlineStr">
        <is>
          <t>G01132</t>
        </is>
      </c>
      <c r="H665" t="str">
        <f>INDEX('Match Groups'!$C$5:$C$1326,MATCH(G665,'Match Groups'!$A$5:$A$1326,0))</f>
        <v>R10</v>
      </c>
      <c r="I665" t="str">
        <f>INDEX('Match Groups'!$D$5:$D$1326,MATCH(G665,'Match Groups'!$A$5:$A$1326,0))</f>
        <v>MATCH</v>
      </c>
      <c r="J665">
        <f>IF(I665="DUPIMP",0,1)</f>
        <v>1</v>
      </c>
    </row>
    <row r="666">
      <c r="A666" t="inlineStr">
        <is>
          <t>BL-00781</t>
        </is>
      </c>
      <c r="B666" t="inlineStr">
        <is>
          <t>OPS</t>
        </is>
      </c>
      <c r="C666" s="5" t="n">
        <v>46237</v>
      </c>
      <c r="D666" t="inlineStr">
        <is>
          <t>DIRECT DEBIT NORTHCOTE RETAIL HOL 305312</t>
        </is>
      </c>
      <c r="E666" s="9" t="n">
        <v>-9680</v>
      </c>
      <c r="F666" t="inlineStr">
        <is>
          <t>OPS-20260803</t>
        </is>
      </c>
      <c r="G666" t="inlineStr">
        <is>
          <t>G01133</t>
        </is>
      </c>
      <c r="H666" t="str">
        <f>INDEX('Match Groups'!$C$5:$C$1326,MATCH(G666,'Match Groups'!$A$5:$A$1326,0))</f>
        <v>R10</v>
      </c>
      <c r="I666" t="str">
        <f>INDEX('Match Groups'!$D$5:$D$1326,MATCH(G666,'Match Groups'!$A$5:$A$1326,0))</f>
        <v>MATCH</v>
      </c>
      <c r="J666">
        <f>IF(I666="DUPIMP",0,1)</f>
        <v>1</v>
      </c>
    </row>
    <row r="667">
      <c r="A667" t="inlineStr">
        <is>
          <t>BL-00782</t>
        </is>
      </c>
      <c r="B667" t="inlineStr">
        <is>
          <t>OPS</t>
        </is>
      </c>
      <c r="C667" s="5" t="n">
        <v>46237</v>
      </c>
      <c r="D667" t="inlineStr">
        <is>
          <t>DIRECT DEBIT BAYVIEW COMMERCIAL L 408586</t>
        </is>
      </c>
      <c r="E667" s="9" t="n">
        <v>-8250</v>
      </c>
      <c r="F667" t="inlineStr">
        <is>
          <t>OPS-20260803</t>
        </is>
      </c>
      <c r="G667" t="inlineStr">
        <is>
          <t>G01134</t>
        </is>
      </c>
      <c r="H667" t="str">
        <f>INDEX('Match Groups'!$C$5:$C$1326,MATCH(G667,'Match Groups'!$A$5:$A$1326,0))</f>
        <v>R10</v>
      </c>
      <c r="I667" t="str">
        <f>INDEX('Match Groups'!$D$5:$D$1326,MATCH(G667,'Match Groups'!$A$5:$A$1326,0))</f>
        <v>MATCH</v>
      </c>
      <c r="J667">
        <f>IF(I667="DUPIMP",0,1)</f>
        <v>1</v>
      </c>
    </row>
    <row r="668">
      <c r="A668" t="inlineStr">
        <is>
          <t>BL-00783</t>
        </is>
      </c>
      <c r="B668" t="inlineStr">
        <is>
          <t>OPS</t>
        </is>
      </c>
      <c r="C668" s="5" t="n">
        <v>46237</v>
      </c>
      <c r="D668" t="inlineStr">
        <is>
          <t>DIRECT DEBIT MOORABBIN OFFICE P 862107</t>
        </is>
      </c>
      <c r="E668" s="9" t="n">
        <v>-7425</v>
      </c>
      <c r="F668" t="inlineStr">
        <is>
          <t>OPS-20260803</t>
        </is>
      </c>
      <c r="G668" t="inlineStr">
        <is>
          <t>G01135</t>
        </is>
      </c>
      <c r="H668" t="str">
        <f>INDEX('Match Groups'!$C$5:$C$1326,MATCH(G668,'Match Groups'!$A$5:$A$1326,0))</f>
        <v>R10</v>
      </c>
      <c r="I668" t="str">
        <f>INDEX('Match Groups'!$D$5:$D$1326,MATCH(G668,'Match Groups'!$A$5:$A$1326,0))</f>
        <v>MATCH</v>
      </c>
      <c r="J668">
        <f>IF(I668="DUPIMP",0,1)</f>
        <v>1</v>
      </c>
    </row>
    <row r="669">
      <c r="A669" t="inlineStr">
        <is>
          <t>BL-00789</t>
        </is>
      </c>
      <c r="B669" t="inlineStr">
        <is>
          <t>OPS</t>
        </is>
      </c>
      <c r="C669" s="5" t="n">
        <v>46237</v>
      </c>
      <c r="D669" t="inlineStr">
        <is>
          <t>DIRECT DEBIT CLINIC PRACTICE SOFT 737192</t>
        </is>
      </c>
      <c r="E669" s="9" t="n">
        <v>-1870</v>
      </c>
      <c r="F669" t="inlineStr">
        <is>
          <t>OPS-20260803</t>
        </is>
      </c>
      <c r="G669" t="inlineStr">
        <is>
          <t>G01178</t>
        </is>
      </c>
      <c r="H669" t="str">
        <f>INDEX('Match Groups'!$C$5:$C$1326,MATCH(G669,'Match Groups'!$A$5:$A$1326,0))</f>
        <v>R11</v>
      </c>
      <c r="I669" t="str">
        <f>INDEX('Match Groups'!$D$5:$D$1326,MATCH(G669,'Match Groups'!$A$5:$A$1326,0))</f>
        <v>REGBILL</v>
      </c>
      <c r="J669">
        <f>IF(I669="DUPIMP",0,1)</f>
        <v>1</v>
      </c>
    </row>
    <row r="670">
      <c r="A670" t="inlineStr">
        <is>
          <t>BL-01570</t>
        </is>
      </c>
      <c r="B670" t="inlineStr">
        <is>
          <t>OPS</t>
        </is>
      </c>
      <c r="C670" s="5" t="n">
        <v>46237</v>
      </c>
      <c r="D670" t="inlineStr">
        <is>
          <t>SWEEP FROM MERCHANT ACCT</t>
        </is>
      </c>
      <c r="E670" s="9" t="n">
        <v>22000</v>
      </c>
      <c r="F670" t="inlineStr">
        <is>
          <t>OPS-20260803</t>
        </is>
      </c>
      <c r="G670" t="inlineStr">
        <is>
          <t>G00518</t>
        </is>
      </c>
      <c r="H670" t="str">
        <f>INDEX('Match Groups'!$C$5:$C$1326,MATCH(G670,'Match Groups'!$A$5:$A$1326,0))</f>
        <v>R04</v>
      </c>
      <c r="I670" t="str">
        <f>INDEX('Match Groups'!$D$5:$D$1326,MATCH(G670,'Match Groups'!$A$5:$A$1326,0))</f>
        <v>MATCH</v>
      </c>
      <c r="J670">
        <f>IF(I670="DUPIMP",0,1)</f>
        <v>1</v>
      </c>
    </row>
    <row r="671">
      <c r="A671" t="inlineStr">
        <is>
          <t>BL-00176</t>
        </is>
      </c>
      <c r="B671" t="inlineStr">
        <is>
          <t>OPS</t>
        </is>
      </c>
      <c r="C671" s="5" t="n">
        <v>46238</v>
      </c>
      <c r="D671" t="inlineStr">
        <is>
          <t>DIRECT CREDIT CLEARPATH NDIS PLANS RA44973</t>
        </is>
      </c>
      <c r="E671" s="9" t="n">
        <v>1125.14</v>
      </c>
      <c r="F671" t="inlineStr">
        <is>
          <t>OPS-20260804</t>
        </is>
      </c>
      <c r="G671" t="inlineStr">
        <is>
          <t>G00252</t>
        </is>
      </c>
      <c r="H671" t="str">
        <f>INDEX('Match Groups'!$C$5:$C$1326,MATCH(G671,'Match Groups'!$A$5:$A$1326,0))</f>
        <v>R03</v>
      </c>
      <c r="I671" t="str">
        <f>INDEX('Match Groups'!$D$5:$D$1326,MATCH(G671,'Match Groups'!$A$5:$A$1326,0))</f>
        <v>MATCH</v>
      </c>
      <c r="J671">
        <f>IF(I671="DUPIMP",0,1)</f>
        <v>1</v>
      </c>
    </row>
    <row r="672">
      <c r="A672" t="inlineStr">
        <is>
          <t>BL-00177</t>
        </is>
      </c>
      <c r="B672" t="inlineStr">
        <is>
          <t>OPS</t>
        </is>
      </c>
      <c r="C672" s="5" t="n">
        <v>46238</v>
      </c>
      <c r="D672" t="inlineStr">
        <is>
          <t>DIRECT CREDIT IRONBARK PLAN MGMT RA44974</t>
        </is>
      </c>
      <c r="E672" s="9" t="n">
        <v>1309.43</v>
      </c>
      <c r="F672" t="inlineStr">
        <is>
          <t>OPS-20260804</t>
        </is>
      </c>
      <c r="G672" t="inlineStr">
        <is>
          <t>G00253</t>
        </is>
      </c>
      <c r="H672" t="str">
        <f>INDEX('Match Groups'!$C$5:$C$1326,MATCH(G672,'Match Groups'!$A$5:$A$1326,0))</f>
        <v>R03</v>
      </c>
      <c r="I672" t="str">
        <f>INDEX('Match Groups'!$D$5:$D$1326,MATCH(G672,'Match Groups'!$A$5:$A$1326,0))</f>
        <v>MATCH</v>
      </c>
      <c r="J672">
        <f>IF(I672="DUPIMP",0,1)</f>
        <v>1</v>
      </c>
    </row>
    <row r="673">
      <c r="A673" t="inlineStr">
        <is>
          <t>BL-00178</t>
        </is>
      </c>
      <c r="B673" t="inlineStr">
        <is>
          <t>OPS</t>
        </is>
      </c>
      <c r="C673" s="5" t="n">
        <v>46238</v>
      </c>
      <c r="D673" t="inlineStr">
        <is>
          <t>DIRECT CREDIT SOUTHERN CROSS PLAN RA44975</t>
        </is>
      </c>
      <c r="E673" s="9" t="n">
        <v>678.96</v>
      </c>
      <c r="F673" t="inlineStr">
        <is>
          <t>OPS-20260804</t>
        </is>
      </c>
      <c r="G673" t="inlineStr">
        <is>
          <t>G00254</t>
        </is>
      </c>
      <c r="H673" t="str">
        <f>INDEX('Match Groups'!$C$5:$C$1326,MATCH(G673,'Match Groups'!$A$5:$A$1326,0))</f>
        <v>R03</v>
      </c>
      <c r="I673" t="str">
        <f>INDEX('Match Groups'!$D$5:$D$1326,MATCH(G673,'Match Groups'!$A$5:$A$1326,0))</f>
        <v>MATCH</v>
      </c>
      <c r="J673">
        <f>IF(I673="DUPIMP",0,1)</f>
        <v>1</v>
      </c>
    </row>
    <row r="674">
      <c r="A674" t="inlineStr">
        <is>
          <t>BL-00179</t>
        </is>
      </c>
      <c r="B674" t="inlineStr">
        <is>
          <t>OPS</t>
        </is>
      </c>
      <c r="C674" s="5" t="n">
        <v>46238</v>
      </c>
      <c r="D674" t="inlineStr">
        <is>
          <t>DIRECT CREDIT MALLEEPLANSERVIC RA44976</t>
        </is>
      </c>
      <c r="E674" s="9" t="n">
        <v>320.98</v>
      </c>
      <c r="F674" t="inlineStr">
        <is>
          <t>OPS-20260804</t>
        </is>
      </c>
      <c r="G674" t="inlineStr">
        <is>
          <t>G00255</t>
        </is>
      </c>
      <c r="H674" t="str">
        <f>INDEX('Match Groups'!$C$5:$C$1326,MATCH(G674,'Match Groups'!$A$5:$A$1326,0))</f>
        <v>R03</v>
      </c>
      <c r="I674" t="str">
        <f>INDEX('Match Groups'!$D$5:$D$1326,MATCH(G674,'Match Groups'!$A$5:$A$1326,0))</f>
        <v>MATCH</v>
      </c>
      <c r="J674">
        <f>IF(I674="DUPIMP",0,1)</f>
        <v>1</v>
      </c>
    </row>
    <row r="675">
      <c r="A675" t="inlineStr">
        <is>
          <t>BL-00518</t>
        </is>
      </c>
      <c r="B675" t="inlineStr">
        <is>
          <t>OPS</t>
        </is>
      </c>
      <c r="C675" s="5" t="n">
        <v>46238</v>
      </c>
      <c r="D675" t="inlineStr">
        <is>
          <t>DIRECT CREDIT MERIDIAN HEALTH COVE CLM5963396 INV/2026/02154</t>
        </is>
      </c>
      <c r="E675" s="9" t="n">
        <v>132</v>
      </c>
      <c r="F675" t="inlineStr">
        <is>
          <t>OPS-20260804</t>
        </is>
      </c>
      <c r="G675" t="inlineStr">
        <is>
          <t>G00984</t>
        </is>
      </c>
      <c r="H675" t="str">
        <f>INDEX('Match Groups'!$C$5:$C$1326,MATCH(G675,'Match Groups'!$A$5:$A$1326,0))</f>
        <v>R09</v>
      </c>
      <c r="I675" t="str">
        <f>INDEX('Match Groups'!$D$5:$D$1326,MATCH(G675,'Match Groups'!$A$5:$A$1326,0))</f>
        <v>MATCH</v>
      </c>
      <c r="J675">
        <f>IF(I675="DUPIMP",0,1)</f>
        <v>1</v>
      </c>
    </row>
    <row r="676">
      <c r="A676" t="inlineStr">
        <is>
          <t>BL-00613</t>
        </is>
      </c>
      <c r="B676" t="inlineStr">
        <is>
          <t>OPS</t>
        </is>
      </c>
      <c r="C676" s="5" t="n">
        <v>46238</v>
      </c>
      <c r="D676" t="inlineStr">
        <is>
          <t>DIRECT CREDIT BROADMEADOW PLASTICS INV 3487</t>
        </is>
      </c>
      <c r="E676" s="9" t="n">
        <v>2117.5</v>
      </c>
      <c r="F676" t="inlineStr">
        <is>
          <t>OPS-20260804</t>
        </is>
      </c>
      <c r="G676" t="inlineStr">
        <is>
          <t>G00985</t>
        </is>
      </c>
      <c r="H676" t="str">
        <f>INDEX('Match Groups'!$C$5:$C$1326,MATCH(G676,'Match Groups'!$A$5:$A$1326,0))</f>
        <v>R09</v>
      </c>
      <c r="I676" t="str">
        <f>INDEX('Match Groups'!$D$5:$D$1326,MATCH(G676,'Match Groups'!$A$5:$A$1326,0))</f>
        <v>MATCH</v>
      </c>
      <c r="J676">
        <f>IF(I676="DUPIMP",0,1)</f>
        <v>1</v>
      </c>
    </row>
    <row r="677">
      <c r="A677" t="inlineStr">
        <is>
          <t>BL-00711</t>
        </is>
      </c>
      <c r="B677" t="inlineStr">
        <is>
          <t>OPS</t>
        </is>
      </c>
      <c r="C677" s="5" t="n">
        <v>46238</v>
      </c>
      <c r="D677" t="inlineStr">
        <is>
          <t>STRIPE PAYOUT STRIPE po_1Q0025KX</t>
        </is>
      </c>
      <c r="E677" s="9" t="n">
        <v>3430.3</v>
      </c>
      <c r="F677" t="inlineStr">
        <is>
          <t>OPS-20260804</t>
        </is>
      </c>
      <c r="G677" t="inlineStr">
        <is>
          <t>G00038</t>
        </is>
      </c>
      <c r="H677" t="str">
        <f>INDEX('Match Groups'!$C$5:$C$1326,MATCH(G677,'Match Groups'!$A$5:$A$1326,0))</f>
        <v>R02</v>
      </c>
      <c r="I677" t="str">
        <f>INDEX('Match Groups'!$D$5:$D$1326,MATCH(G677,'Match Groups'!$A$5:$A$1326,0))</f>
        <v>STRIPE-FEE</v>
      </c>
      <c r="J677">
        <f>IF(I677="DUPIMP",0,1)</f>
        <v>1</v>
      </c>
    </row>
    <row r="678">
      <c r="A678" t="inlineStr">
        <is>
          <t>BL-00180</t>
        </is>
      </c>
      <c r="B678" t="inlineStr">
        <is>
          <t>OPS</t>
        </is>
      </c>
      <c r="C678" s="5" t="n">
        <v>46239</v>
      </c>
      <c r="D678" t="inlineStr">
        <is>
          <t>DIRECT CREDIT RIVERBEND PLAN PARTNER RA44977</t>
        </is>
      </c>
      <c r="E678" s="9" t="n">
        <v>1357.92</v>
      </c>
      <c r="F678" t="inlineStr">
        <is>
          <t>OPS-20260805</t>
        </is>
      </c>
      <c r="G678" t="inlineStr">
        <is>
          <t>G00256</t>
        </is>
      </c>
      <c r="H678" t="str">
        <f>INDEX('Match Groups'!$C$5:$C$1326,MATCH(G678,'Match Groups'!$A$5:$A$1326,0))</f>
        <v>R03</v>
      </c>
      <c r="I678" t="str">
        <f>INDEX('Match Groups'!$D$5:$D$1326,MATCH(G678,'Match Groups'!$A$5:$A$1326,0))</f>
        <v>MATCH</v>
      </c>
      <c r="J678">
        <f>IF(I678="DUPIMP",0,1)</f>
        <v>1</v>
      </c>
    </row>
    <row r="679">
      <c r="A679" t="inlineStr">
        <is>
          <t>BL-00181</t>
        </is>
      </c>
      <c r="B679" t="inlineStr">
        <is>
          <t>OPS</t>
        </is>
      </c>
      <c r="C679" s="5" t="n">
        <v>46239</v>
      </c>
      <c r="D679" t="inlineStr">
        <is>
          <t>DIRECT CREDIT SALTBUSH PLAN MANAGERS RA44978</t>
        </is>
      </c>
      <c r="E679" s="9" t="n">
        <v>894.15</v>
      </c>
      <c r="F679" t="inlineStr">
        <is>
          <t>OPS-20260805</t>
        </is>
      </c>
      <c r="G679" t="inlineStr">
        <is>
          <t>G00257</t>
        </is>
      </c>
      <c r="H679" t="str">
        <f>INDEX('Match Groups'!$C$5:$C$1326,MATCH(G679,'Match Groups'!$A$5:$A$1326,0))</f>
        <v>R03</v>
      </c>
      <c r="I679" t="str">
        <f>INDEX('Match Groups'!$D$5:$D$1326,MATCH(G679,'Match Groups'!$A$5:$A$1326,0))</f>
        <v>MATCH</v>
      </c>
      <c r="J679">
        <f>IF(I679="DUPIMP",0,1)</f>
        <v>1</v>
      </c>
    </row>
    <row r="680">
      <c r="A680" t="inlineStr">
        <is>
          <t>BL-00182</t>
        </is>
      </c>
      <c r="B680" t="inlineStr">
        <is>
          <t>OPS</t>
        </is>
      </c>
      <c r="C680" s="5" t="n">
        <v>46239</v>
      </c>
      <c r="D680" t="inlineStr">
        <is>
          <t>DIRECT CREDIT REDGUM PLAN ADMIN RA44979</t>
        </is>
      </c>
      <c r="E680" s="9" t="n">
        <v>932.9400000000001</v>
      </c>
      <c r="F680" t="inlineStr">
        <is>
          <t>OPS-20260805</t>
        </is>
      </c>
      <c r="G680" t="inlineStr">
        <is>
          <t>G00258</t>
        </is>
      </c>
      <c r="H680" t="str">
        <f>INDEX('Match Groups'!$C$5:$C$1326,MATCH(G680,'Match Groups'!$A$5:$A$1326,0))</f>
        <v>R03</v>
      </c>
      <c r="I680" t="str">
        <f>INDEX('Match Groups'!$D$5:$D$1326,MATCH(G680,'Match Groups'!$A$5:$A$1326,0))</f>
        <v>MATCH</v>
      </c>
      <c r="J680">
        <f>IF(I680="DUPIMP",0,1)</f>
        <v>1</v>
      </c>
    </row>
    <row r="681">
      <c r="A681" t="inlineStr">
        <is>
          <t>BL-00183</t>
        </is>
      </c>
      <c r="B681" t="inlineStr">
        <is>
          <t>OPS</t>
        </is>
      </c>
      <c r="C681" s="5" t="n">
        <v>46239</v>
      </c>
      <c r="D681" t="inlineStr">
        <is>
          <t>DIRECT CREDIT TALLOWWOOD PLANS PTY L RA44980</t>
        </is>
      </c>
      <c r="E681" s="9" t="n">
        <v>1058.15</v>
      </c>
      <c r="F681" t="inlineStr">
        <is>
          <t>OPS-20260805</t>
        </is>
      </c>
      <c r="G681" t="inlineStr">
        <is>
          <t>G00259</t>
        </is>
      </c>
      <c r="H681" t="str">
        <f>INDEX('Match Groups'!$C$5:$C$1326,MATCH(G681,'Match Groups'!$A$5:$A$1326,0))</f>
        <v>R03</v>
      </c>
      <c r="I681" t="str">
        <f>INDEX('Match Groups'!$D$5:$D$1326,MATCH(G681,'Match Groups'!$A$5:$A$1326,0))</f>
        <v>MATCH</v>
      </c>
      <c r="J681">
        <f>IF(I681="DUPIMP",0,1)</f>
        <v>1</v>
      </c>
    </row>
    <row r="682">
      <c r="A682" t="inlineStr">
        <is>
          <t>BL-00184</t>
        </is>
      </c>
      <c r="B682" t="inlineStr">
        <is>
          <t>OPS</t>
        </is>
      </c>
      <c r="C682" s="5" t="n">
        <v>46239</v>
      </c>
      <c r="D682" t="inlineStr">
        <is>
          <t>DIRECT CREDIT ACACIA PLAN PARTNERS P RA44981</t>
        </is>
      </c>
      <c r="E682" s="9" t="n">
        <v>494.67</v>
      </c>
      <c r="F682" t="inlineStr">
        <is>
          <t>OPS-20260805</t>
        </is>
      </c>
      <c r="G682" t="inlineStr">
        <is>
          <t>G00260</t>
        </is>
      </c>
      <c r="H682" t="str">
        <f>INDEX('Match Groups'!$C$5:$C$1326,MATCH(G682,'Match Groups'!$A$5:$A$1326,0))</f>
        <v>R03</v>
      </c>
      <c r="I682" t="str">
        <f>INDEX('Match Groups'!$D$5:$D$1326,MATCH(G682,'Match Groups'!$A$5:$A$1326,0))</f>
        <v>MATCH</v>
      </c>
      <c r="J682">
        <f>IF(I682="DUPIMP",0,1)</f>
        <v>1</v>
      </c>
    </row>
    <row r="683">
      <c r="A683" t="inlineStr">
        <is>
          <t>BL-00474</t>
        </is>
      </c>
      <c r="B683" t="inlineStr">
        <is>
          <t>OPS</t>
        </is>
      </c>
      <c r="C683" s="5" t="n">
        <v>46239</v>
      </c>
      <c r="D683" t="inlineStr">
        <is>
          <t>DIRECT CREDIT UNITY WORKCOVER AG CLM5328332 INV 2298</t>
        </is>
      </c>
      <c r="E683" s="9" t="n">
        <v>412.5</v>
      </c>
      <c r="F683" t="inlineStr">
        <is>
          <t>OPS-20260805</t>
        </is>
      </c>
      <c r="G683" t="inlineStr">
        <is>
          <t>G00986</t>
        </is>
      </c>
      <c r="H683" t="str">
        <f>INDEX('Match Groups'!$C$5:$C$1326,MATCH(G683,'Match Groups'!$A$5:$A$1326,0))</f>
        <v>R09</v>
      </c>
      <c r="I683" t="str">
        <f>INDEX('Match Groups'!$D$5:$D$1326,MATCH(G683,'Match Groups'!$A$5:$A$1326,0))</f>
        <v>MATCH</v>
      </c>
      <c r="J683">
        <f>IF(I683="DUPIMP",0,1)</f>
        <v>1</v>
      </c>
    </row>
    <row r="684">
      <c r="A684" t="inlineStr">
        <is>
          <t>BL-00497</t>
        </is>
      </c>
      <c r="B684" t="inlineStr">
        <is>
          <t>OPS</t>
        </is>
      </c>
      <c r="C684" s="5" t="n">
        <v>46239</v>
      </c>
      <c r="D684" t="inlineStr">
        <is>
          <t>DIRECT CREDIT PINNACLE CLAIMS SE CLM5487639 RE INV 2026 02180</t>
        </is>
      </c>
      <c r="E684" s="9" t="n">
        <v>990</v>
      </c>
      <c r="F684" t="inlineStr">
        <is>
          <t>OPS-20260805</t>
        </is>
      </c>
      <c r="G684" t="inlineStr">
        <is>
          <t>G00987</t>
        </is>
      </c>
      <c r="H684" t="str">
        <f>INDEX('Match Groups'!$C$5:$C$1326,MATCH(G684,'Match Groups'!$A$5:$A$1326,0))</f>
        <v>R09</v>
      </c>
      <c r="I684" t="str">
        <f>INDEX('Match Groups'!$D$5:$D$1326,MATCH(G684,'Match Groups'!$A$5:$A$1326,0))</f>
        <v>MATCH</v>
      </c>
      <c r="J684">
        <f>IF(I684="DUPIMP",0,1)</f>
        <v>1</v>
      </c>
    </row>
    <row r="685">
      <c r="A685" t="inlineStr">
        <is>
          <t>BL-00712</t>
        </is>
      </c>
      <c r="B685" t="inlineStr">
        <is>
          <t>OPS</t>
        </is>
      </c>
      <c r="C685" s="5" t="n">
        <v>46239</v>
      </c>
      <c r="D685" t="inlineStr">
        <is>
          <t>STRIPE PAYOUT STRIPE po_1Q0026KX</t>
        </is>
      </c>
      <c r="E685" s="9" t="n">
        <v>3700.53</v>
      </c>
      <c r="F685" t="inlineStr">
        <is>
          <t>OPS-20260805</t>
        </is>
      </c>
      <c r="G685" t="inlineStr">
        <is>
          <t>G00039</t>
        </is>
      </c>
      <c r="H685" t="str">
        <f>INDEX('Match Groups'!$C$5:$C$1326,MATCH(G685,'Match Groups'!$A$5:$A$1326,0))</f>
        <v>R02</v>
      </c>
      <c r="I685" t="str">
        <f>INDEX('Match Groups'!$D$5:$D$1326,MATCH(G685,'Match Groups'!$A$5:$A$1326,0))</f>
        <v>STRIPE-FEE</v>
      </c>
      <c r="J685">
        <f>IF(I685="DUPIMP",0,1)</f>
        <v>1</v>
      </c>
    </row>
    <row r="686">
      <c r="A686" t="inlineStr">
        <is>
          <t>BL-00758</t>
        </is>
      </c>
      <c r="B686" t="inlineStr">
        <is>
          <t>OPS</t>
        </is>
      </c>
      <c r="C686" s="5" t="n">
        <v>46239</v>
      </c>
      <c r="D686" t="inlineStr">
        <is>
          <t>ABA PAYMENT FILE 0416 14 PAYMENTS</t>
        </is>
      </c>
      <c r="E686" s="9" t="n">
        <v>-36478.2</v>
      </c>
      <c r="F686" t="inlineStr">
        <is>
          <t>OPS-20260805</t>
        </is>
      </c>
      <c r="G686" t="inlineStr">
        <is>
          <t>G00519</t>
        </is>
      </c>
      <c r="H686" t="str">
        <f>INDEX('Match Groups'!$C$5:$C$1326,MATCH(G686,'Match Groups'!$A$5:$A$1326,0))</f>
        <v>R06</v>
      </c>
      <c r="I686" t="str">
        <f>INDEX('Match Groups'!$D$5:$D$1326,MATCH(G686,'Match Groups'!$A$5:$A$1326,0))</f>
        <v>MATCH</v>
      </c>
      <c r="J686">
        <f>IF(I686="DUPIMP",0,1)</f>
        <v>1</v>
      </c>
    </row>
    <row r="687">
      <c r="A687" t="inlineStr">
        <is>
          <t>BL-00791</t>
        </is>
      </c>
      <c r="B687" t="inlineStr">
        <is>
          <t>OPS</t>
        </is>
      </c>
      <c r="C687" s="5" t="n">
        <v>46239</v>
      </c>
      <c r="D687" t="inlineStr">
        <is>
          <t>DIRECT DEBIT CLOUDPAYROLL 835091</t>
        </is>
      </c>
      <c r="E687" s="9" t="n">
        <v>-495</v>
      </c>
      <c r="F687" t="inlineStr">
        <is>
          <t>OPS-20260805</t>
        </is>
      </c>
      <c r="G687" t="inlineStr">
        <is>
          <t>G01136</t>
        </is>
      </c>
      <c r="H687" t="str">
        <f>INDEX('Match Groups'!$C$5:$C$1326,MATCH(G687,'Match Groups'!$A$5:$A$1326,0))</f>
        <v>R10</v>
      </c>
      <c r="I687" t="str">
        <f>INDEX('Match Groups'!$D$5:$D$1326,MATCH(G687,'Match Groups'!$A$5:$A$1326,0))</f>
        <v>MATCH</v>
      </c>
      <c r="J687">
        <f>IF(I687="DUPIMP",0,1)</f>
        <v>1</v>
      </c>
    </row>
    <row r="688">
      <c r="A688" t="inlineStr">
        <is>
          <t>BL-00185</t>
        </is>
      </c>
      <c r="B688" t="inlineStr">
        <is>
          <t>OPS</t>
        </is>
      </c>
      <c r="C688" s="5" t="n">
        <v>46240</v>
      </c>
      <c r="D688" t="inlineStr">
        <is>
          <t>DIRECT CREDIT CLEARPATH NDIS PLA RA44982</t>
        </is>
      </c>
      <c r="E688" s="9" t="n">
        <v>1156.93</v>
      </c>
      <c r="F688" t="inlineStr">
        <is>
          <t>OPS-20260806</t>
        </is>
      </c>
      <c r="G688" t="inlineStr">
        <is>
          <t>G00261</t>
        </is>
      </c>
      <c r="H688" t="str">
        <f>INDEX('Match Groups'!$C$5:$C$1326,MATCH(G688,'Match Groups'!$A$5:$A$1326,0))</f>
        <v>R03</v>
      </c>
      <c r="I688" t="str">
        <f>INDEX('Match Groups'!$D$5:$D$1326,MATCH(G688,'Match Groups'!$A$5:$A$1326,0))</f>
        <v>MATCH</v>
      </c>
      <c r="J688">
        <f>IF(I688="DUPIMP",0,1)</f>
        <v>1</v>
      </c>
    </row>
    <row r="689">
      <c r="A689" t="inlineStr">
        <is>
          <t>BL-00186</t>
        </is>
      </c>
      <c r="B689" t="inlineStr">
        <is>
          <t>OPS</t>
        </is>
      </c>
      <c r="C689" s="5" t="n">
        <v>46240</v>
      </c>
      <c r="D689" t="inlineStr">
        <is>
          <t>DIRECT CREDIT WATTLE PLAN SERVICES P RA44983</t>
        </is>
      </c>
      <c r="E689" s="9" t="n">
        <v>290.98</v>
      </c>
      <c r="F689" t="inlineStr">
        <is>
          <t>OPS-20260806</t>
        </is>
      </c>
      <c r="G689" t="inlineStr">
        <is>
          <t>G00262</t>
        </is>
      </c>
      <c r="H689" t="str">
        <f>INDEX('Match Groups'!$C$5:$C$1326,MATCH(G689,'Match Groups'!$A$5:$A$1326,0))</f>
        <v>R03</v>
      </c>
      <c r="I689" t="str">
        <f>INDEX('Match Groups'!$D$5:$D$1326,MATCH(G689,'Match Groups'!$A$5:$A$1326,0))</f>
        <v>MATCH</v>
      </c>
      <c r="J689">
        <f>IF(I689="DUPIMP",0,1)</f>
        <v>1</v>
      </c>
    </row>
    <row r="690">
      <c r="A690" t="inlineStr">
        <is>
          <t>BL-00187</t>
        </is>
      </c>
      <c r="B690" t="inlineStr">
        <is>
          <t>OPS</t>
        </is>
      </c>
      <c r="C690" s="5" t="n">
        <v>46240</v>
      </c>
      <c r="D690" t="inlineStr">
        <is>
          <t>DIRECT CREDIT SALTBUSH PLAN MANAGE RA44984</t>
        </is>
      </c>
      <c r="E690" s="9" t="n">
        <v>175.49</v>
      </c>
      <c r="F690" t="inlineStr">
        <is>
          <t>OPS-20260806</t>
        </is>
      </c>
      <c r="G690" t="inlineStr">
        <is>
          <t>G00263</t>
        </is>
      </c>
      <c r="H690" t="str">
        <f>INDEX('Match Groups'!$C$5:$C$1326,MATCH(G690,'Match Groups'!$A$5:$A$1326,0))</f>
        <v>R03</v>
      </c>
      <c r="I690" t="str">
        <f>INDEX('Match Groups'!$D$5:$D$1326,MATCH(G690,'Match Groups'!$A$5:$A$1326,0))</f>
        <v>MATCH</v>
      </c>
      <c r="J690">
        <f>IF(I690="DUPIMP",0,1)</f>
        <v>1</v>
      </c>
    </row>
    <row r="691">
      <c r="A691" t="inlineStr">
        <is>
          <t>BL-00188</t>
        </is>
      </c>
      <c r="B691" t="inlineStr">
        <is>
          <t>OPS</t>
        </is>
      </c>
      <c r="C691" s="5" t="n">
        <v>46240</v>
      </c>
      <c r="D691" t="inlineStr">
        <is>
          <t>DIRECT CREDIT LYREBIRD PLAN MGMT RA44985</t>
        </is>
      </c>
      <c r="E691" s="9" t="n">
        <v>1678.01</v>
      </c>
      <c r="F691" t="inlineStr">
        <is>
          <t>OPS-20260806</t>
        </is>
      </c>
      <c r="G691" t="inlineStr">
        <is>
          <t>G00264</t>
        </is>
      </c>
      <c r="H691" t="str">
        <f>INDEX('Match Groups'!$C$5:$C$1326,MATCH(G691,'Match Groups'!$A$5:$A$1326,0))</f>
        <v>R03</v>
      </c>
      <c r="I691" t="str">
        <f>INDEX('Match Groups'!$D$5:$D$1326,MATCH(G691,'Match Groups'!$A$5:$A$1326,0))</f>
        <v>MATCH</v>
      </c>
      <c r="J691">
        <f>IF(I691="DUPIMP",0,1)</f>
        <v>1</v>
      </c>
    </row>
    <row r="692">
      <c r="A692" t="inlineStr">
        <is>
          <t>BL-00189</t>
        </is>
      </c>
      <c r="B692" t="inlineStr">
        <is>
          <t>OPS</t>
        </is>
      </c>
      <c r="C692" s="5" t="n">
        <v>46240</v>
      </c>
      <c r="D692" t="inlineStr">
        <is>
          <t>DIRECT CREDIT TALLOWWOOD PLANS RA44986</t>
        </is>
      </c>
      <c r="E692" s="9" t="n">
        <v>387.98</v>
      </c>
      <c r="F692" t="inlineStr">
        <is>
          <t>OPS-20260806</t>
        </is>
      </c>
      <c r="G692" t="inlineStr">
        <is>
          <t>G00265</t>
        </is>
      </c>
      <c r="H692" t="str">
        <f>INDEX('Match Groups'!$C$5:$C$1326,MATCH(G692,'Match Groups'!$A$5:$A$1326,0))</f>
        <v>R03</v>
      </c>
      <c r="I692" t="str">
        <f>INDEX('Match Groups'!$D$5:$D$1326,MATCH(G692,'Match Groups'!$A$5:$A$1326,0))</f>
        <v>MATCH</v>
      </c>
      <c r="J692">
        <f>IF(I692="DUPIMP",0,1)</f>
        <v>1</v>
      </c>
    </row>
    <row r="693">
      <c r="A693" t="inlineStr">
        <is>
          <t>BL-00190</t>
        </is>
      </c>
      <c r="B693" t="inlineStr">
        <is>
          <t>OPS</t>
        </is>
      </c>
      <c r="C693" s="5" t="n">
        <v>46240</v>
      </c>
      <c r="D693" t="inlineStr">
        <is>
          <t>DIRECT CREDIT ACACIA PLAN PARTNE RA44987</t>
        </is>
      </c>
      <c r="E693" s="9" t="n">
        <v>882.66</v>
      </c>
      <c r="F693" t="inlineStr">
        <is>
          <t>OPS-20260806</t>
        </is>
      </c>
      <c r="G693" t="inlineStr">
        <is>
          <t>G00266</t>
        </is>
      </c>
      <c r="H693" t="str">
        <f>INDEX('Match Groups'!$C$5:$C$1326,MATCH(G693,'Match Groups'!$A$5:$A$1326,0))</f>
        <v>R03</v>
      </c>
      <c r="I693" t="str">
        <f>INDEX('Match Groups'!$D$5:$D$1326,MATCH(G693,'Match Groups'!$A$5:$A$1326,0))</f>
        <v>MATCH</v>
      </c>
      <c r="J693">
        <f>IF(I693="DUPIMP",0,1)</f>
        <v>1</v>
      </c>
    </row>
    <row r="694">
      <c r="A694" t="inlineStr">
        <is>
          <t>BL-00655</t>
        </is>
      </c>
      <c r="B694" t="inlineStr">
        <is>
          <t>OPS</t>
        </is>
      </c>
      <c r="C694" s="5" t="n">
        <v>46240</v>
      </c>
      <c r="D694" t="inlineStr">
        <is>
          <t>DIRECT CREDIT LOCKHART GLASS</t>
        </is>
      </c>
      <c r="E694" s="9" t="n">
        <v>5362.5</v>
      </c>
      <c r="F694" t="inlineStr">
        <is>
          <t>OPS-20260806</t>
        </is>
      </c>
      <c r="G694" t="inlineStr">
        <is>
          <t>G01137</t>
        </is>
      </c>
      <c r="H694" t="str">
        <f>INDEX('Match Groups'!$C$5:$C$1326,MATCH(G694,'Match Groups'!$A$5:$A$1326,0))</f>
        <v>R10</v>
      </c>
      <c r="I694" t="str">
        <f>INDEX('Match Groups'!$D$5:$D$1326,MATCH(G694,'Match Groups'!$A$5:$A$1326,0))</f>
        <v>MATCH</v>
      </c>
      <c r="J694">
        <f>IF(I694="DUPIMP",0,1)</f>
        <v>1</v>
      </c>
    </row>
    <row r="695">
      <c r="A695" t="inlineStr">
        <is>
          <t>BL-00713</t>
        </is>
      </c>
      <c r="B695" t="inlineStr">
        <is>
          <t>OPS</t>
        </is>
      </c>
      <c r="C695" s="5" t="n">
        <v>46240</v>
      </c>
      <c r="D695" t="inlineStr">
        <is>
          <t>STRIPE PAYOUT STRIPE po_1Q0027KX</t>
        </is>
      </c>
      <c r="E695" s="9" t="n">
        <v>4258.73</v>
      </c>
      <c r="F695" t="inlineStr">
        <is>
          <t>OPS-20260806</t>
        </is>
      </c>
      <c r="G695" t="inlineStr">
        <is>
          <t>G00040</t>
        </is>
      </c>
      <c r="H695" t="str">
        <f>INDEX('Match Groups'!$C$5:$C$1326,MATCH(G695,'Match Groups'!$A$5:$A$1326,0))</f>
        <v>R02</v>
      </c>
      <c r="I695" t="str">
        <f>INDEX('Match Groups'!$D$5:$D$1326,MATCH(G695,'Match Groups'!$A$5:$A$1326,0))</f>
        <v>STRIPE-FEE</v>
      </c>
      <c r="J695">
        <f>IF(I695="DUPIMP",0,1)</f>
        <v>1</v>
      </c>
    </row>
    <row r="696">
      <c r="A696" t="inlineStr">
        <is>
          <t>BL-00191</t>
        </is>
      </c>
      <c r="B696" t="inlineStr">
        <is>
          <t>OPS</t>
        </is>
      </c>
      <c r="C696" s="5" t="n">
        <v>46241</v>
      </c>
      <c r="D696" t="inlineStr">
        <is>
          <t>DIRECT CREDIT BLUEGUM PLAN MANAGE RA44988</t>
        </is>
      </c>
      <c r="E696" s="9" t="n">
        <v>737.16</v>
      </c>
      <c r="F696" t="inlineStr">
        <is>
          <t>OPS-20260807</t>
        </is>
      </c>
      <c r="G696" t="inlineStr">
        <is>
          <t>G00267</t>
        </is>
      </c>
      <c r="H696" t="str">
        <f>INDEX('Match Groups'!$C$5:$C$1326,MATCH(G696,'Match Groups'!$A$5:$A$1326,0))</f>
        <v>R03</v>
      </c>
      <c r="I696" t="str">
        <f>INDEX('Match Groups'!$D$5:$D$1326,MATCH(G696,'Match Groups'!$A$5:$A$1326,0))</f>
        <v>MATCH</v>
      </c>
      <c r="J696">
        <f>IF(I696="DUPIMP",0,1)</f>
        <v>1</v>
      </c>
    </row>
    <row r="697">
      <c r="A697" t="inlineStr">
        <is>
          <t>BL-00192</t>
        </is>
      </c>
      <c r="B697" t="inlineStr">
        <is>
          <t>OPS</t>
        </is>
      </c>
      <c r="C697" s="5" t="n">
        <v>46241</v>
      </c>
      <c r="D697" t="inlineStr">
        <is>
          <t>DIRECT CREDIT RIVERBEND PLAN PAR RA44989</t>
        </is>
      </c>
      <c r="E697" s="9" t="n">
        <v>524.6799999999999</v>
      </c>
      <c r="F697" t="inlineStr">
        <is>
          <t>OPS-20260807</t>
        </is>
      </c>
      <c r="G697" t="inlineStr">
        <is>
          <t>G00268</t>
        </is>
      </c>
      <c r="H697" t="str">
        <f>INDEX('Match Groups'!$C$5:$C$1326,MATCH(G697,'Match Groups'!$A$5:$A$1326,0))</f>
        <v>R03</v>
      </c>
      <c r="I697" t="str">
        <f>INDEX('Match Groups'!$D$5:$D$1326,MATCH(G697,'Match Groups'!$A$5:$A$1326,0))</f>
        <v>MATCH</v>
      </c>
      <c r="J697">
        <f>IF(I697="DUPIMP",0,1)</f>
        <v>1</v>
      </c>
    </row>
    <row r="698">
      <c r="A698" t="inlineStr">
        <is>
          <t>BL-00193</t>
        </is>
      </c>
      <c r="B698" t="inlineStr">
        <is>
          <t>OPS</t>
        </is>
      </c>
      <c r="C698" s="5" t="n">
        <v>46241</v>
      </c>
      <c r="D698" t="inlineStr">
        <is>
          <t>DIRECT CREDIT CLEARPATH NDIS PLA RA44990</t>
        </is>
      </c>
      <c r="E698" s="9" t="n">
        <v>290.98</v>
      </c>
      <c r="F698" t="inlineStr">
        <is>
          <t>OPS-20260807</t>
        </is>
      </c>
      <c r="G698" t="inlineStr">
        <is>
          <t>G00269</t>
        </is>
      </c>
      <c r="H698" t="str">
        <f>INDEX('Match Groups'!$C$5:$C$1326,MATCH(G698,'Match Groups'!$A$5:$A$1326,0))</f>
        <v>R03</v>
      </c>
      <c r="I698" t="str">
        <f>INDEX('Match Groups'!$D$5:$D$1326,MATCH(G698,'Match Groups'!$A$5:$A$1326,0))</f>
        <v>MATCH</v>
      </c>
      <c r="J698">
        <f>IF(I698="DUPIMP",0,1)</f>
        <v>1</v>
      </c>
    </row>
    <row r="699">
      <c r="A699" t="inlineStr">
        <is>
          <t>BL-00194</t>
        </is>
      </c>
      <c r="B699" t="inlineStr">
        <is>
          <t>OPS</t>
        </is>
      </c>
      <c r="C699" s="5" t="n">
        <v>46241</v>
      </c>
      <c r="D699" t="inlineStr">
        <is>
          <t>DIRECT CREDIT BANKSIA PLAN CO RA44991</t>
        </is>
      </c>
      <c r="E699" s="9" t="n">
        <v>902.95</v>
      </c>
      <c r="F699" t="inlineStr">
        <is>
          <t>OPS-20260807</t>
        </is>
      </c>
      <c r="G699" t="inlineStr">
        <is>
          <t>G00270</t>
        </is>
      </c>
      <c r="H699" t="str">
        <f>INDEX('Match Groups'!$C$5:$C$1326,MATCH(G699,'Match Groups'!$A$5:$A$1326,0))</f>
        <v>R03</v>
      </c>
      <c r="I699" t="str">
        <f>INDEX('Match Groups'!$D$5:$D$1326,MATCH(G699,'Match Groups'!$A$5:$A$1326,0))</f>
        <v>MATCH</v>
      </c>
      <c r="J699">
        <f>IF(I699="DUPIMP",0,1)</f>
        <v>1</v>
      </c>
    </row>
    <row r="700">
      <c r="A700" t="inlineStr">
        <is>
          <t>BL-00195</t>
        </is>
      </c>
      <c r="B700" t="inlineStr">
        <is>
          <t>OPS</t>
        </is>
      </c>
      <c r="C700" s="5" t="n">
        <v>46241</v>
      </c>
      <c r="D700" t="inlineStr">
        <is>
          <t>DIRECT CREDIT KOOKABURRAPLANSU RA44992</t>
        </is>
      </c>
      <c r="E700" s="9" t="n">
        <v>533.47</v>
      </c>
      <c r="F700" t="inlineStr">
        <is>
          <t>OPS-20260807</t>
        </is>
      </c>
      <c r="G700" t="inlineStr">
        <is>
          <t>G00271</t>
        </is>
      </c>
      <c r="H700" t="str">
        <f>INDEX('Match Groups'!$C$5:$C$1326,MATCH(G700,'Match Groups'!$A$5:$A$1326,0))</f>
        <v>R03</v>
      </c>
      <c r="I700" t="str">
        <f>INDEX('Match Groups'!$D$5:$D$1326,MATCH(G700,'Match Groups'!$A$5:$A$1326,0))</f>
        <v>MATCH</v>
      </c>
      <c r="J700">
        <f>IF(I700="DUPIMP",0,1)</f>
        <v>1</v>
      </c>
    </row>
    <row r="701">
      <c r="A701" t="inlineStr">
        <is>
          <t>BL-00196</t>
        </is>
      </c>
      <c r="B701" t="inlineStr">
        <is>
          <t>OPS</t>
        </is>
      </c>
      <c r="C701" s="5" t="n">
        <v>46241</v>
      </c>
      <c r="D701" t="inlineStr">
        <is>
          <t>DIRECT CREDIT ACACIA PLAN PARTNERS RA44993</t>
        </is>
      </c>
      <c r="E701" s="9" t="n">
        <v>175.49</v>
      </c>
      <c r="F701" t="inlineStr">
        <is>
          <t>OPS-20260807</t>
        </is>
      </c>
      <c r="G701" t="inlineStr">
        <is>
          <t>G00272</t>
        </is>
      </c>
      <c r="H701" t="str">
        <f>INDEX('Match Groups'!$C$5:$C$1326,MATCH(G701,'Match Groups'!$A$5:$A$1326,0))</f>
        <v>R03</v>
      </c>
      <c r="I701" t="str">
        <f>INDEX('Match Groups'!$D$5:$D$1326,MATCH(G701,'Match Groups'!$A$5:$A$1326,0))</f>
        <v>MATCH</v>
      </c>
      <c r="J701">
        <f>IF(I701="DUPIMP",0,1)</f>
        <v>1</v>
      </c>
    </row>
    <row r="702">
      <c r="A702" t="inlineStr">
        <is>
          <t>BL-00197</t>
        </is>
      </c>
      <c r="B702" t="inlineStr">
        <is>
          <t>OPS</t>
        </is>
      </c>
      <c r="C702" s="5" t="n">
        <v>46241</v>
      </c>
      <c r="D702" t="inlineStr">
        <is>
          <t>DIRECT CREDIT MALLEEPLANSERVIC RA44994</t>
        </is>
      </c>
      <c r="E702" s="9" t="n">
        <v>193.99</v>
      </c>
      <c r="F702" t="inlineStr">
        <is>
          <t>OPS-20260807</t>
        </is>
      </c>
      <c r="G702" t="inlineStr">
        <is>
          <t>G00273</t>
        </is>
      </c>
      <c r="H702" t="str">
        <f>INDEX('Match Groups'!$C$5:$C$1326,MATCH(G702,'Match Groups'!$A$5:$A$1326,0))</f>
        <v>R03</v>
      </c>
      <c r="I702" t="str">
        <f>INDEX('Match Groups'!$D$5:$D$1326,MATCH(G702,'Match Groups'!$A$5:$A$1326,0))</f>
        <v>MATCH</v>
      </c>
      <c r="J702">
        <f>IF(I702="DUPIMP",0,1)</f>
        <v>1</v>
      </c>
    </row>
    <row r="703">
      <c r="A703" t="inlineStr">
        <is>
          <t>BL-00475</t>
        </is>
      </c>
      <c r="B703" t="inlineStr">
        <is>
          <t>OPS</t>
        </is>
      </c>
      <c r="C703" s="5" t="n">
        <v>46241</v>
      </c>
      <c r="D703" t="inlineStr">
        <is>
          <t>DIRECT CREDIT UNITY WORKCOVER AGENTS CLM5485725 02369</t>
        </is>
      </c>
      <c r="E703" s="9" t="n">
        <v>132</v>
      </c>
      <c r="F703" t="inlineStr">
        <is>
          <t>OPS-20260807</t>
        </is>
      </c>
      <c r="G703" t="inlineStr">
        <is>
          <t>G00988</t>
        </is>
      </c>
      <c r="H703" t="str">
        <f>INDEX('Match Groups'!$C$5:$C$1326,MATCH(G703,'Match Groups'!$A$5:$A$1326,0))</f>
        <v>R09</v>
      </c>
      <c r="I703" t="str">
        <f>INDEX('Match Groups'!$D$5:$D$1326,MATCH(G703,'Match Groups'!$A$5:$A$1326,0))</f>
        <v>MATCH</v>
      </c>
      <c r="J703">
        <f>IF(I703="DUPIMP",0,1)</f>
        <v>1</v>
      </c>
    </row>
    <row r="704">
      <c r="A704" t="inlineStr">
        <is>
          <t>BL-00499</t>
        </is>
      </c>
      <c r="B704" t="inlineStr">
        <is>
          <t>OPS</t>
        </is>
      </c>
      <c r="C704" s="5" t="n">
        <v>46241</v>
      </c>
      <c r="D704" t="inlineStr">
        <is>
          <t>DIRECT CREDIT PINNACLE CLAIMS SERV CLM5254233 INV/2026/02387</t>
        </is>
      </c>
      <c r="E704" s="9" t="n">
        <v>132</v>
      </c>
      <c r="F704" t="inlineStr">
        <is>
          <t>OPS-20260807</t>
        </is>
      </c>
      <c r="G704" t="inlineStr">
        <is>
          <t>G00989</t>
        </is>
      </c>
      <c r="H704" t="str">
        <f>INDEX('Match Groups'!$C$5:$C$1326,MATCH(G704,'Match Groups'!$A$5:$A$1326,0))</f>
        <v>R09</v>
      </c>
      <c r="I704" t="str">
        <f>INDEX('Match Groups'!$D$5:$D$1326,MATCH(G704,'Match Groups'!$A$5:$A$1326,0))</f>
        <v>MATCH</v>
      </c>
      <c r="J704">
        <f>IF(I704="DUPIMP",0,1)</f>
        <v>1</v>
      </c>
    </row>
    <row r="705">
      <c r="A705" t="inlineStr">
        <is>
          <t>BL-00538</t>
        </is>
      </c>
      <c r="B705" t="inlineStr">
        <is>
          <t>OPS</t>
        </is>
      </c>
      <c r="C705" s="5" t="n">
        <v>46241</v>
      </c>
      <c r="D705" t="inlineStr">
        <is>
          <t>DIRECT CREDIT NORTHLINE INJURY CLA CLM5537227 02284</t>
        </is>
      </c>
      <c r="E705" s="9" t="n">
        <v>176</v>
      </c>
      <c r="F705" t="inlineStr">
        <is>
          <t>OPS-20260807</t>
        </is>
      </c>
      <c r="G705" t="inlineStr">
        <is>
          <t>G00990</t>
        </is>
      </c>
      <c r="H705" t="str">
        <f>INDEX('Match Groups'!$C$5:$C$1326,MATCH(G705,'Match Groups'!$A$5:$A$1326,0))</f>
        <v>R09</v>
      </c>
      <c r="I705" t="str">
        <f>INDEX('Match Groups'!$D$5:$D$1326,MATCH(G705,'Match Groups'!$A$5:$A$1326,0))</f>
        <v>MATCH</v>
      </c>
      <c r="J705">
        <f>IF(I705="DUPIMP",0,1)</f>
        <v>1</v>
      </c>
    </row>
    <row r="706">
      <c r="A706" t="inlineStr">
        <is>
          <t>BL-00599</t>
        </is>
      </c>
      <c r="B706" t="inlineStr">
        <is>
          <t>OPS</t>
        </is>
      </c>
      <c r="C706" s="5" t="n">
        <v>46241</v>
      </c>
      <c r="D706" t="inlineStr">
        <is>
          <t>DIRECT CREDIT COPPERLEAFCHILDC</t>
        </is>
      </c>
      <c r="E706" s="9" t="n">
        <v>16087.5</v>
      </c>
      <c r="F706" t="inlineStr">
        <is>
          <t>OPS-20260807</t>
        </is>
      </c>
      <c r="G706" t="inlineStr">
        <is>
          <t>G01138</t>
        </is>
      </c>
      <c r="H706" t="str">
        <f>INDEX('Match Groups'!$C$5:$C$1326,MATCH(G706,'Match Groups'!$A$5:$A$1326,0))</f>
        <v>R10</v>
      </c>
      <c r="I706" t="str">
        <f>INDEX('Match Groups'!$D$5:$D$1326,MATCH(G706,'Match Groups'!$A$5:$A$1326,0))</f>
        <v>MATCH</v>
      </c>
      <c r="J706">
        <f>IF(I706="DUPIMP",0,1)</f>
        <v>1</v>
      </c>
    </row>
    <row r="707">
      <c r="A707" t="inlineStr">
        <is>
          <t>BL-00631</t>
        </is>
      </c>
      <c r="B707" t="inlineStr">
        <is>
          <t>OPS</t>
        </is>
      </c>
      <c r="C707" s="5" t="n">
        <v>46241</v>
      </c>
      <c r="D707" t="inlineStr">
        <is>
          <t>DIRECT CREDIT ELMHURST PROPERTY</t>
        </is>
      </c>
      <c r="E707" s="9" t="n">
        <v>6407.5</v>
      </c>
      <c r="F707" t="inlineStr">
        <is>
          <t>OPS-20260807</t>
        </is>
      </c>
      <c r="G707" t="inlineStr">
        <is>
          <t>G01179</t>
        </is>
      </c>
      <c r="H707" t="str">
        <f>INDEX('Match Groups'!$C$5:$C$1326,MATCH(G707,'Match Groups'!$A$5:$A$1326,0))</f>
        <v>R11</v>
      </c>
      <c r="I707" t="str">
        <f>INDEX('Match Groups'!$D$5:$D$1326,MATCH(G707,'Match Groups'!$A$5:$A$1326,0))</f>
        <v>REG</v>
      </c>
      <c r="J707">
        <f>IF(I707="DUPIMP",0,1)</f>
        <v>1</v>
      </c>
    </row>
    <row r="708">
      <c r="A708" t="inlineStr">
        <is>
          <t>BL-00647</t>
        </is>
      </c>
      <c r="B708" t="inlineStr">
        <is>
          <t>OPS</t>
        </is>
      </c>
      <c r="C708" s="5" t="n">
        <v>46241</v>
      </c>
      <c r="D708" t="inlineStr">
        <is>
          <t>DIRECT CREDIT JARRAH RIDGE ESTATES</t>
        </is>
      </c>
      <c r="E708" s="9" t="n">
        <v>13365</v>
      </c>
      <c r="F708" t="inlineStr">
        <is>
          <t>OPS-20260807</t>
        </is>
      </c>
      <c r="G708" t="inlineStr">
        <is>
          <t>G01139</t>
        </is>
      </c>
      <c r="H708" t="str">
        <f>INDEX('Match Groups'!$C$5:$C$1326,MATCH(G708,'Match Groups'!$A$5:$A$1326,0))</f>
        <v>R10</v>
      </c>
      <c r="I708" t="str">
        <f>INDEX('Match Groups'!$D$5:$D$1326,MATCH(G708,'Match Groups'!$A$5:$A$1326,0))</f>
        <v>MATCH</v>
      </c>
      <c r="J708">
        <f>IF(I708="DUPIMP",0,1)</f>
        <v>1</v>
      </c>
    </row>
    <row r="709">
      <c r="A709" t="inlineStr">
        <is>
          <t>BL-00667</t>
        </is>
      </c>
      <c r="B709" t="inlineStr">
        <is>
          <t>OPS</t>
        </is>
      </c>
      <c r="C709" s="5" t="n">
        <v>46241</v>
      </c>
      <c r="D709" t="inlineStr">
        <is>
          <t>DIRECT CREDIT PENDLE HILL BAKERY</t>
        </is>
      </c>
      <c r="E709" s="9" t="n">
        <v>28228.75</v>
      </c>
      <c r="F709" t="inlineStr">
        <is>
          <t>OPS-20260807</t>
        </is>
      </c>
      <c r="G709" t="inlineStr">
        <is>
          <t>G01140</t>
        </is>
      </c>
      <c r="H709" t="str">
        <f>INDEX('Match Groups'!$C$5:$C$1326,MATCH(G709,'Match Groups'!$A$5:$A$1326,0))</f>
        <v>R10</v>
      </c>
      <c r="I709" t="str">
        <f>INDEX('Match Groups'!$D$5:$D$1326,MATCH(G709,'Match Groups'!$A$5:$A$1326,0))</f>
        <v>MATCH</v>
      </c>
      <c r="J709">
        <f>IF(I709="DUPIMP",0,1)</f>
        <v>1</v>
      </c>
    </row>
    <row r="710">
      <c r="A710" t="inlineStr">
        <is>
          <t>BL-00714</t>
        </is>
      </c>
      <c r="B710" t="inlineStr">
        <is>
          <t>OPS</t>
        </is>
      </c>
      <c r="C710" s="5" t="n">
        <v>46241</v>
      </c>
      <c r="D710" t="inlineStr">
        <is>
          <t>STRIPE PAYOUT STRIPE po_1Q0028KX</t>
        </is>
      </c>
      <c r="E710" s="9" t="n">
        <v>3817.81</v>
      </c>
      <c r="F710" t="inlineStr">
        <is>
          <t>OPS-20260807</t>
        </is>
      </c>
      <c r="G710" t="inlineStr">
        <is>
          <t>G00041</t>
        </is>
      </c>
      <c r="H710" t="str">
        <f>INDEX('Match Groups'!$C$5:$C$1326,MATCH(G710,'Match Groups'!$A$5:$A$1326,0))</f>
        <v>R02</v>
      </c>
      <c r="I710" t="str">
        <f>INDEX('Match Groups'!$D$5:$D$1326,MATCH(G710,'Match Groups'!$A$5:$A$1326,0))</f>
        <v>STRIPE-FEE</v>
      </c>
      <c r="J710">
        <f>IF(I710="DUPIMP",0,1)</f>
        <v>1</v>
      </c>
    </row>
    <row r="711">
      <c r="A711" t="inlineStr">
        <is>
          <t>BL-00759</t>
        </is>
      </c>
      <c r="B711" t="inlineStr">
        <is>
          <t>OPS</t>
        </is>
      </c>
      <c r="C711" s="5" t="n">
        <v>46241</v>
      </c>
      <c r="D711" t="inlineStr">
        <is>
          <t>RETURNED PAYMENT ABA0416 PAPERLINE STATIONE INVALID ACCT</t>
        </is>
      </c>
      <c r="E711" s="9" t="n">
        <v>5952.1</v>
      </c>
      <c r="F711" t="inlineStr">
        <is>
          <t>OPS-20260807</t>
        </is>
      </c>
      <c r="G711" t="inlineStr">
        <is>
          <t>G01212</t>
        </is>
      </c>
      <c r="H711" t="str">
        <f>INDEX('Match Groups'!$C$5:$C$1326,MATCH(G711,'Match Groups'!$A$5:$A$1326,0))</f>
        <v>R12</v>
      </c>
      <c r="I711" t="str">
        <f>INDEX('Match Groups'!$D$5:$D$1326,MATCH(G711,'Match Groups'!$A$5:$A$1326,0))</f>
        <v>RETPAY</v>
      </c>
      <c r="J711">
        <f>IF(I711="DUPIMP",0,1)</f>
        <v>1</v>
      </c>
    </row>
    <row r="712">
      <c r="A712" t="inlineStr">
        <is>
          <t>BL-00198</t>
        </is>
      </c>
      <c r="B712" t="inlineStr">
        <is>
          <t>OPS</t>
        </is>
      </c>
      <c r="C712" s="5" t="n">
        <v>46244</v>
      </c>
      <c r="D712" t="inlineStr">
        <is>
          <t>DIRECT CREDIT RIVERBENDPLANPAR RA44995</t>
        </is>
      </c>
      <c r="E712" s="9" t="n">
        <v>767.17</v>
      </c>
      <c r="F712" t="inlineStr">
        <is>
          <t>OPS-20260810</t>
        </is>
      </c>
      <c r="G712" t="inlineStr">
        <is>
          <t>G00274</t>
        </is>
      </c>
      <c r="H712" t="str">
        <f>INDEX('Match Groups'!$C$5:$C$1326,MATCH(G712,'Match Groups'!$A$5:$A$1326,0))</f>
        <v>R03</v>
      </c>
      <c r="I712" t="str">
        <f>INDEX('Match Groups'!$D$5:$D$1326,MATCH(G712,'Match Groups'!$A$5:$A$1326,0))</f>
        <v>MATCH</v>
      </c>
      <c r="J712">
        <f>IF(I712="DUPIMP",0,1)</f>
        <v>1</v>
      </c>
    </row>
    <row r="713">
      <c r="A713" t="inlineStr">
        <is>
          <t>BL-00199</t>
        </is>
      </c>
      <c r="B713" t="inlineStr">
        <is>
          <t>OPS</t>
        </is>
      </c>
      <c r="C713" s="5" t="n">
        <v>46244</v>
      </c>
      <c r="D713" t="inlineStr">
        <is>
          <t>DIRECT CREDIT CLEARPATH NDIS PLA RA44996</t>
        </is>
      </c>
      <c r="E713" s="9" t="n">
        <v>875.65</v>
      </c>
      <c r="F713" t="inlineStr">
        <is>
          <t>OPS-20260810</t>
        </is>
      </c>
      <c r="G713" t="inlineStr">
        <is>
          <t>G00275</t>
        </is>
      </c>
      <c r="H713" t="str">
        <f>INDEX('Match Groups'!$C$5:$C$1326,MATCH(G713,'Match Groups'!$A$5:$A$1326,0))</f>
        <v>R03</v>
      </c>
      <c r="I713" t="str">
        <f>INDEX('Match Groups'!$D$5:$D$1326,MATCH(G713,'Match Groups'!$A$5:$A$1326,0))</f>
        <v>MATCH</v>
      </c>
      <c r="J713">
        <f>IF(I713="DUPIMP",0,1)</f>
        <v>1</v>
      </c>
    </row>
    <row r="714">
      <c r="A714" t="inlineStr">
        <is>
          <t>BL-00200</t>
        </is>
      </c>
      <c r="B714" t="inlineStr">
        <is>
          <t>OPS</t>
        </is>
      </c>
      <c r="C714" s="5" t="n">
        <v>46244</v>
      </c>
      <c r="D714" t="inlineStr">
        <is>
          <t>DIRECT CREDIT WATTLEPLANSERVIC RA44997</t>
        </is>
      </c>
      <c r="E714" s="9" t="n">
        <v>912.66</v>
      </c>
      <c r="F714" t="inlineStr">
        <is>
          <t>OPS-20260810</t>
        </is>
      </c>
      <c r="G714" t="inlineStr">
        <is>
          <t>G00276</t>
        </is>
      </c>
      <c r="H714" t="str">
        <f>INDEX('Match Groups'!$C$5:$C$1326,MATCH(G714,'Match Groups'!$A$5:$A$1326,0))</f>
        <v>R03</v>
      </c>
      <c r="I714" t="str">
        <f>INDEX('Match Groups'!$D$5:$D$1326,MATCH(G714,'Match Groups'!$A$5:$A$1326,0))</f>
        <v>REG</v>
      </c>
      <c r="J714">
        <f>IF(I714="DUPIMP",0,1)</f>
        <v>1</v>
      </c>
    </row>
    <row r="715">
      <c r="A715" t="inlineStr">
        <is>
          <t>BL-00201</t>
        </is>
      </c>
      <c r="B715" t="inlineStr">
        <is>
          <t>OPS</t>
        </is>
      </c>
      <c r="C715" s="5" t="n">
        <v>46244</v>
      </c>
      <c r="D715" t="inlineStr">
        <is>
          <t>DIRECT CREDIT KOOKABURRA PLAN SUPPOR RA44998</t>
        </is>
      </c>
      <c r="E715" s="9" t="n">
        <v>1970.8</v>
      </c>
      <c r="F715" t="inlineStr">
        <is>
          <t>OPS-20260810</t>
        </is>
      </c>
      <c r="G715" t="inlineStr">
        <is>
          <t>G00277</t>
        </is>
      </c>
      <c r="H715" t="str">
        <f>INDEX('Match Groups'!$C$5:$C$1326,MATCH(G715,'Match Groups'!$A$5:$A$1326,0))</f>
        <v>R03</v>
      </c>
      <c r="I715" t="str">
        <f>INDEX('Match Groups'!$D$5:$D$1326,MATCH(G715,'Match Groups'!$A$5:$A$1326,0))</f>
        <v>MATCH</v>
      </c>
      <c r="J715">
        <f>IF(I715="DUPIMP",0,1)</f>
        <v>1</v>
      </c>
    </row>
    <row r="716">
      <c r="A716" t="inlineStr">
        <is>
          <t>BL-00202</t>
        </is>
      </c>
      <c r="B716" t="inlineStr">
        <is>
          <t>OPS</t>
        </is>
      </c>
      <c r="C716" s="5" t="n">
        <v>46244</v>
      </c>
      <c r="D716" t="inlineStr">
        <is>
          <t>DIRECT CREDIT SALTBUSH PLAN MANAGE RA44999</t>
        </is>
      </c>
      <c r="E716" s="9" t="n">
        <v>1300.63</v>
      </c>
      <c r="F716" t="inlineStr">
        <is>
          <t>OPS-20260810</t>
        </is>
      </c>
      <c r="G716" t="inlineStr">
        <is>
          <t>G00278</t>
        </is>
      </c>
      <c r="H716" t="str">
        <f>INDEX('Match Groups'!$C$5:$C$1326,MATCH(G716,'Match Groups'!$A$5:$A$1326,0))</f>
        <v>R03</v>
      </c>
      <c r="I716" t="str">
        <f>INDEX('Match Groups'!$D$5:$D$1326,MATCH(G716,'Match Groups'!$A$5:$A$1326,0))</f>
        <v>MATCH</v>
      </c>
      <c r="J716">
        <f>IF(I716="DUPIMP",0,1)</f>
        <v>1</v>
      </c>
    </row>
    <row r="717">
      <c r="A717" t="inlineStr">
        <is>
          <t>BL-00203</t>
        </is>
      </c>
      <c r="B717" t="inlineStr">
        <is>
          <t>OPS</t>
        </is>
      </c>
      <c r="C717" s="5" t="n">
        <v>46244</v>
      </c>
      <c r="D717" t="inlineStr">
        <is>
          <t>DIRECT CREDIT REDGUM PLAN ADMIN RA45000</t>
        </is>
      </c>
      <c r="E717" s="9" t="n">
        <v>1096.94</v>
      </c>
      <c r="F717" t="inlineStr">
        <is>
          <t>OPS-20260810</t>
        </is>
      </c>
      <c r="G717" t="inlineStr">
        <is>
          <t>G00279</t>
        </is>
      </c>
      <c r="H717" t="str">
        <f>INDEX('Match Groups'!$C$5:$C$1326,MATCH(G717,'Match Groups'!$A$5:$A$1326,0))</f>
        <v>R03</v>
      </c>
      <c r="I717" t="str">
        <f>INDEX('Match Groups'!$D$5:$D$1326,MATCH(G717,'Match Groups'!$A$5:$A$1326,0))</f>
        <v>MATCH</v>
      </c>
      <c r="J717">
        <f>IF(I717="DUPIMP",0,1)</f>
        <v>1</v>
      </c>
    </row>
    <row r="718">
      <c r="A718" t="inlineStr">
        <is>
          <t>BL-00204</t>
        </is>
      </c>
      <c r="B718" t="inlineStr">
        <is>
          <t>OPS</t>
        </is>
      </c>
      <c r="C718" s="5" t="n">
        <v>46244</v>
      </c>
      <c r="D718" t="inlineStr">
        <is>
          <t>DIRECT CREDIT ACACIA PLAN PARTNERS RA45001</t>
        </is>
      </c>
      <c r="E718" s="9" t="n">
        <v>534.37</v>
      </c>
      <c r="F718" t="inlineStr">
        <is>
          <t>OPS-20260810</t>
        </is>
      </c>
      <c r="G718" t="inlineStr">
        <is>
          <t>G00280</t>
        </is>
      </c>
      <c r="H718" t="str">
        <f>INDEX('Match Groups'!$C$5:$C$1326,MATCH(G718,'Match Groups'!$A$5:$A$1326,0))</f>
        <v>R03</v>
      </c>
      <c r="I718" t="str">
        <f>INDEX('Match Groups'!$D$5:$D$1326,MATCH(G718,'Match Groups'!$A$5:$A$1326,0))</f>
        <v>MATCH</v>
      </c>
      <c r="J718">
        <f>IF(I718="DUPIMP",0,1)</f>
        <v>1</v>
      </c>
    </row>
    <row r="719">
      <c r="A719" t="inlineStr">
        <is>
          <t>BL-00521</t>
        </is>
      </c>
      <c r="B719" t="inlineStr">
        <is>
          <t>OPS</t>
        </is>
      </c>
      <c r="C719" s="5" t="n">
        <v>46244</v>
      </c>
      <c r="D719" t="inlineStr">
        <is>
          <t>DIRECT CREDIT MERIDIAN HEALTH COVER CLM5242433 INV 2370</t>
        </is>
      </c>
      <c r="E719" s="9" t="n">
        <v>264</v>
      </c>
      <c r="F719" t="inlineStr">
        <is>
          <t>OPS-20260810</t>
        </is>
      </c>
      <c r="G719" t="inlineStr">
        <is>
          <t>G00991</t>
        </is>
      </c>
      <c r="H719" t="str">
        <f>INDEX('Match Groups'!$C$5:$C$1326,MATCH(G719,'Match Groups'!$A$5:$A$1326,0))</f>
        <v>R09</v>
      </c>
      <c r="I719" t="str">
        <f>INDEX('Match Groups'!$D$5:$D$1326,MATCH(G719,'Match Groups'!$A$5:$A$1326,0))</f>
        <v>MATCH</v>
      </c>
      <c r="J719">
        <f>IF(I719="DUPIMP",0,1)</f>
        <v>1</v>
      </c>
    </row>
    <row r="720">
      <c r="A720" t="inlineStr">
        <is>
          <t>BL-00586</t>
        </is>
      </c>
      <c r="B720" t="inlineStr">
        <is>
          <t>OPS</t>
        </is>
      </c>
      <c r="C720" s="5" t="n">
        <v>46244</v>
      </c>
      <c r="D720" t="inlineStr">
        <is>
          <t>DIRECT CREDIT MARLOWE PRINT AND PA</t>
        </is>
      </c>
      <c r="E720" s="9" t="n">
        <v>2791.25</v>
      </c>
      <c r="F720" t="inlineStr">
        <is>
          <t>OPS-20260810</t>
        </is>
      </c>
      <c r="G720" t="inlineStr">
        <is>
          <t>G01141</t>
        </is>
      </c>
      <c r="H720" t="str">
        <f>INDEX('Match Groups'!$C$5:$C$1326,MATCH(G720,'Match Groups'!$A$5:$A$1326,0))</f>
        <v>R10</v>
      </c>
      <c r="I720" t="str">
        <f>INDEX('Match Groups'!$D$5:$D$1326,MATCH(G720,'Match Groups'!$A$5:$A$1326,0))</f>
        <v>MATCH</v>
      </c>
      <c r="J720">
        <f>IF(I720="DUPIMP",0,1)</f>
        <v>1</v>
      </c>
    </row>
    <row r="721">
      <c r="A721" t="inlineStr">
        <is>
          <t>BL-00637</t>
        </is>
      </c>
      <c r="B721" t="inlineStr">
        <is>
          <t>OPS</t>
        </is>
      </c>
      <c r="C721" s="5" t="n">
        <v>46244</v>
      </c>
      <c r="D721" t="inlineStr">
        <is>
          <t>DIRECT CREDIT GILMOUR STEEL INV 3444</t>
        </is>
      </c>
      <c r="E721" s="9" t="n">
        <v>16032.5</v>
      </c>
      <c r="F721" t="inlineStr">
        <is>
          <t>OPS-20260810</t>
        </is>
      </c>
      <c r="G721" t="inlineStr">
        <is>
          <t>G00992</t>
        </is>
      </c>
      <c r="H721" t="str">
        <f>INDEX('Match Groups'!$C$5:$C$1326,MATCH(G721,'Match Groups'!$A$5:$A$1326,0))</f>
        <v>R09</v>
      </c>
      <c r="I721" t="str">
        <f>INDEX('Match Groups'!$D$5:$D$1326,MATCH(G721,'Match Groups'!$A$5:$A$1326,0))</f>
        <v>MATCH</v>
      </c>
      <c r="J721">
        <f>IF(I721="DUPIMP",0,1)</f>
        <v>1</v>
      </c>
    </row>
    <row r="722">
      <c r="A722" t="inlineStr">
        <is>
          <t>BL-00677</t>
        </is>
      </c>
      <c r="B722" t="inlineStr">
        <is>
          <t>OPS</t>
        </is>
      </c>
      <c r="C722" s="5" t="n">
        <v>46244</v>
      </c>
      <c r="D722" t="inlineStr">
        <is>
          <t>DIRECT CREDIT STANHOPE TRUCKING INV03511</t>
        </is>
      </c>
      <c r="E722" s="9" t="n">
        <v>1320</v>
      </c>
      <c r="F722" t="inlineStr">
        <is>
          <t>OPS-20260810</t>
        </is>
      </c>
      <c r="G722" t="inlineStr">
        <is>
          <t>G00993</t>
        </is>
      </c>
      <c r="H722" t="str">
        <f>INDEX('Match Groups'!$C$5:$C$1326,MATCH(G722,'Match Groups'!$A$5:$A$1326,0))</f>
        <v>R09</v>
      </c>
      <c r="I722" t="str">
        <f>INDEX('Match Groups'!$D$5:$D$1326,MATCH(G722,'Match Groups'!$A$5:$A$1326,0))</f>
        <v>MATCH</v>
      </c>
      <c r="J722">
        <f>IF(I722="DUPIMP",0,1)</f>
        <v>1</v>
      </c>
    </row>
    <row r="723">
      <c r="A723" t="inlineStr">
        <is>
          <t>BL-00715</t>
        </is>
      </c>
      <c r="B723" t="inlineStr">
        <is>
          <t>OPS</t>
        </is>
      </c>
      <c r="C723" s="5" t="n">
        <v>46244</v>
      </c>
      <c r="D723" t="inlineStr">
        <is>
          <t>STRIPE PAYOUT STRIPE po_1Q0029KX</t>
        </is>
      </c>
      <c r="E723" s="9" t="n">
        <v>4082.18</v>
      </c>
      <c r="F723" t="inlineStr">
        <is>
          <t>OPS-20260810</t>
        </is>
      </c>
      <c r="G723" t="inlineStr">
        <is>
          <t>G00042</t>
        </is>
      </c>
      <c r="H723" t="str">
        <f>INDEX('Match Groups'!$C$5:$C$1326,MATCH(G723,'Match Groups'!$A$5:$A$1326,0))</f>
        <v>R02</v>
      </c>
      <c r="I723" t="str">
        <f>INDEX('Match Groups'!$D$5:$D$1326,MATCH(G723,'Match Groups'!$A$5:$A$1326,0))</f>
        <v>STRIPE-FEE</v>
      </c>
      <c r="J723">
        <f>IF(I723="DUPIMP",0,1)</f>
        <v>1</v>
      </c>
    </row>
    <row r="724">
      <c r="A724" t="inlineStr">
        <is>
          <t>BL-00787</t>
        </is>
      </c>
      <c r="B724" t="inlineStr">
        <is>
          <t>OPS</t>
        </is>
      </c>
      <c r="C724" s="5" t="n">
        <v>46244</v>
      </c>
      <c r="D724" t="inlineStr">
        <is>
          <t>DIRECT DEBIT FIBREWIRE NETWORKS 384664</t>
        </is>
      </c>
      <c r="E724" s="9" t="n">
        <v>-649</v>
      </c>
      <c r="F724" t="inlineStr">
        <is>
          <t>OPS-20260810</t>
        </is>
      </c>
      <c r="G724" t="inlineStr">
        <is>
          <t>G01142</t>
        </is>
      </c>
      <c r="H724" t="str">
        <f>INDEX('Match Groups'!$C$5:$C$1326,MATCH(G724,'Match Groups'!$A$5:$A$1326,0))</f>
        <v>R10</v>
      </c>
      <c r="I724" t="str">
        <f>INDEX('Match Groups'!$D$5:$D$1326,MATCH(G724,'Match Groups'!$A$5:$A$1326,0))</f>
        <v>MATCH</v>
      </c>
      <c r="J724">
        <f>IF(I724="DUPIMP",0,1)</f>
        <v>1</v>
      </c>
    </row>
    <row r="725">
      <c r="A725" t="inlineStr">
        <is>
          <t>BL-01572</t>
        </is>
      </c>
      <c r="B725" t="inlineStr">
        <is>
          <t>OPS</t>
        </is>
      </c>
      <c r="C725" s="5" t="n">
        <v>46244</v>
      </c>
      <c r="D725" t="inlineStr">
        <is>
          <t>SWEEP FROM MERCHANT ACCT</t>
        </is>
      </c>
      <c r="E725" s="9" t="n">
        <v>22000</v>
      </c>
      <c r="F725" t="inlineStr">
        <is>
          <t>OPS-20260810</t>
        </is>
      </c>
      <c r="G725" t="inlineStr">
        <is>
          <t>G00520</t>
        </is>
      </c>
      <c r="H725" t="str">
        <f>INDEX('Match Groups'!$C$5:$C$1326,MATCH(G725,'Match Groups'!$A$5:$A$1326,0))</f>
        <v>R04</v>
      </c>
      <c r="I725" t="str">
        <f>INDEX('Match Groups'!$D$5:$D$1326,MATCH(G725,'Match Groups'!$A$5:$A$1326,0))</f>
        <v>MATCH</v>
      </c>
      <c r="J725">
        <f>IF(I725="DUPIMP",0,1)</f>
        <v>1</v>
      </c>
    </row>
    <row r="726">
      <c r="A726" t="inlineStr">
        <is>
          <t>BL-01594</t>
        </is>
      </c>
      <c r="B726" t="inlineStr">
        <is>
          <t>OPS</t>
        </is>
      </c>
      <c r="C726" s="5" t="n">
        <v>46244</v>
      </c>
      <c r="D726" t="inlineStr">
        <is>
          <t>FX CONVERSION AUD TO USD FX0810</t>
        </is>
      </c>
      <c r="E726" s="9" t="n">
        <v>-13795.22</v>
      </c>
      <c r="F726" t="inlineStr">
        <is>
          <t>OPS-20260810</t>
        </is>
      </c>
      <c r="G726" t="inlineStr">
        <is>
          <t>G00521</t>
        </is>
      </c>
      <c r="H726" t="str">
        <f>INDEX('Match Groups'!$C$5:$C$1326,MATCH(G726,'Match Groups'!$A$5:$A$1326,0))</f>
        <v>R04</v>
      </c>
      <c r="I726" t="str">
        <f>INDEX('Match Groups'!$D$5:$D$1326,MATCH(G726,'Match Groups'!$A$5:$A$1326,0))</f>
        <v>FXR</v>
      </c>
      <c r="J726">
        <f>IF(I726="DUPIMP",0,1)</f>
        <v>1</v>
      </c>
    </row>
    <row r="727">
      <c r="A727" t="inlineStr">
        <is>
          <t>BL-00205</t>
        </is>
      </c>
      <c r="B727" t="inlineStr">
        <is>
          <t>OPS</t>
        </is>
      </c>
      <c r="C727" s="5" t="n">
        <v>46245</v>
      </c>
      <c r="D727" t="inlineStr">
        <is>
          <t>DIRECT CREDIT BLUEGUM PM PTY LTD RA45002</t>
        </is>
      </c>
      <c r="E727" s="9" t="n">
        <v>1379.13</v>
      </c>
      <c r="F727" t="inlineStr">
        <is>
          <t>OPS-20260811</t>
        </is>
      </c>
      <c r="G727" t="inlineStr">
        <is>
          <t>G00281</t>
        </is>
      </c>
      <c r="H727" t="str">
        <f>INDEX('Match Groups'!$C$5:$C$1326,MATCH(G727,'Match Groups'!$A$5:$A$1326,0))</f>
        <v>R03</v>
      </c>
      <c r="I727" t="str">
        <f>INDEX('Match Groups'!$D$5:$D$1326,MATCH(G727,'Match Groups'!$A$5:$A$1326,0))</f>
        <v>MATCH</v>
      </c>
      <c r="J727">
        <f>IF(I727="DUPIMP",0,1)</f>
        <v>1</v>
      </c>
    </row>
    <row r="728">
      <c r="A728" t="inlineStr">
        <is>
          <t>BL-00206</t>
        </is>
      </c>
      <c r="B728" t="inlineStr">
        <is>
          <t>OPS</t>
        </is>
      </c>
      <c r="C728" s="5" t="n">
        <v>46245</v>
      </c>
      <c r="D728" t="inlineStr">
        <is>
          <t>DIRECT CREDIT WATTLE PLAN SERVIC RA45003</t>
        </is>
      </c>
      <c r="E728" s="9" t="n">
        <v>484.97</v>
      </c>
      <c r="F728" t="inlineStr">
        <is>
          <t>OPS-20260811</t>
        </is>
      </c>
      <c r="G728" t="inlineStr">
        <is>
          <t>G00282</t>
        </is>
      </c>
      <c r="H728" t="str">
        <f>INDEX('Match Groups'!$C$5:$C$1326,MATCH(G728,'Match Groups'!$A$5:$A$1326,0))</f>
        <v>R03</v>
      </c>
      <c r="I728" t="str">
        <f>INDEX('Match Groups'!$D$5:$D$1326,MATCH(G728,'Match Groups'!$A$5:$A$1326,0))</f>
        <v>MATCH</v>
      </c>
      <c r="J728">
        <f>IF(I728="DUPIMP",0,1)</f>
        <v>1</v>
      </c>
    </row>
    <row r="729">
      <c r="A729" t="inlineStr">
        <is>
          <t>BL-00207</t>
        </is>
      </c>
      <c r="B729" t="inlineStr">
        <is>
          <t>OPS</t>
        </is>
      </c>
      <c r="C729" s="5" t="n">
        <v>46245</v>
      </c>
      <c r="D729" t="inlineStr">
        <is>
          <t>DIRECT CREDIT BANKSIAPLANCO RA45004</t>
        </is>
      </c>
      <c r="E729" s="9" t="n">
        <v>640.17</v>
      </c>
      <c r="F729" t="inlineStr">
        <is>
          <t>OPS-20260811</t>
        </is>
      </c>
      <c r="G729" t="inlineStr">
        <is>
          <t>G00283</t>
        </is>
      </c>
      <c r="H729" t="str">
        <f>INDEX('Match Groups'!$C$5:$C$1326,MATCH(G729,'Match Groups'!$A$5:$A$1326,0))</f>
        <v>R03</v>
      </c>
      <c r="I729" t="str">
        <f>INDEX('Match Groups'!$D$5:$D$1326,MATCH(G729,'Match Groups'!$A$5:$A$1326,0))</f>
        <v>MATCH</v>
      </c>
      <c r="J729">
        <f>IF(I729="DUPIMP",0,1)</f>
        <v>1</v>
      </c>
    </row>
    <row r="730">
      <c r="A730" t="inlineStr">
        <is>
          <t>BL-00208</t>
        </is>
      </c>
      <c r="B730" t="inlineStr">
        <is>
          <t>OPS</t>
        </is>
      </c>
      <c r="C730" s="5" t="n">
        <v>46245</v>
      </c>
      <c r="D730" t="inlineStr">
        <is>
          <t>DIRECT CREDIT IRONBARK PLAN MANAGEME RA45005</t>
        </is>
      </c>
      <c r="E730" s="9" t="n">
        <v>989.34</v>
      </c>
      <c r="F730" t="inlineStr">
        <is>
          <t>OPS-20260811</t>
        </is>
      </c>
      <c r="G730" t="inlineStr">
        <is>
          <t>G00284</t>
        </is>
      </c>
      <c r="H730" t="str">
        <f>INDEX('Match Groups'!$C$5:$C$1326,MATCH(G730,'Match Groups'!$A$5:$A$1326,0))</f>
        <v>R03</v>
      </c>
      <c r="I730" t="str">
        <f>INDEX('Match Groups'!$D$5:$D$1326,MATCH(G730,'Match Groups'!$A$5:$A$1326,0))</f>
        <v>MATCH</v>
      </c>
      <c r="J730">
        <f>IF(I730="DUPIMP",0,1)</f>
        <v>1</v>
      </c>
    </row>
    <row r="731">
      <c r="A731" t="inlineStr">
        <is>
          <t>BL-00209</t>
        </is>
      </c>
      <c r="B731" t="inlineStr">
        <is>
          <t>OPS</t>
        </is>
      </c>
      <c r="C731" s="5" t="n">
        <v>46245</v>
      </c>
      <c r="D731" t="inlineStr">
        <is>
          <t>DIRECT CREDIT REDGUM PLAN ADMIN RA45006</t>
        </is>
      </c>
      <c r="E731" s="9" t="n">
        <v>543.17</v>
      </c>
      <c r="F731" t="inlineStr">
        <is>
          <t>OPS-20260811</t>
        </is>
      </c>
      <c r="G731" t="inlineStr">
        <is>
          <t>G00285</t>
        </is>
      </c>
      <c r="H731" t="str">
        <f>INDEX('Match Groups'!$C$5:$C$1326,MATCH(G731,'Match Groups'!$A$5:$A$1326,0))</f>
        <v>R03</v>
      </c>
      <c r="I731" t="str">
        <f>INDEX('Match Groups'!$D$5:$D$1326,MATCH(G731,'Match Groups'!$A$5:$A$1326,0))</f>
        <v>REG</v>
      </c>
      <c r="J731">
        <f>IF(I731="DUPIMP",0,1)</f>
        <v>1</v>
      </c>
    </row>
    <row r="732">
      <c r="A732" t="inlineStr">
        <is>
          <t>BL-00210</t>
        </is>
      </c>
      <c r="B732" t="inlineStr">
        <is>
          <t>OPS</t>
        </is>
      </c>
      <c r="C732" s="5" t="n">
        <v>46245</v>
      </c>
      <c r="D732" t="inlineStr">
        <is>
          <t>DIRECT CREDIT LYREBIRDPLANMANA RA45007</t>
        </is>
      </c>
      <c r="E732" s="9" t="n">
        <v>921.4400000000001</v>
      </c>
      <c r="F732" t="inlineStr">
        <is>
          <t>OPS-20260811</t>
        </is>
      </c>
      <c r="G732" t="inlineStr">
        <is>
          <t>G00286</t>
        </is>
      </c>
      <c r="H732" t="str">
        <f>INDEX('Match Groups'!$C$5:$C$1326,MATCH(G732,'Match Groups'!$A$5:$A$1326,0))</f>
        <v>R03</v>
      </c>
      <c r="I732" t="str">
        <f>INDEX('Match Groups'!$D$5:$D$1326,MATCH(G732,'Match Groups'!$A$5:$A$1326,0))</f>
        <v>MATCH</v>
      </c>
      <c r="J732">
        <f>IF(I732="DUPIMP",0,1)</f>
        <v>1</v>
      </c>
    </row>
    <row r="733">
      <c r="A733" t="inlineStr">
        <is>
          <t>BL-00211</t>
        </is>
      </c>
      <c r="B733" t="inlineStr">
        <is>
          <t>OPS</t>
        </is>
      </c>
      <c r="C733" s="5" t="n">
        <v>46245</v>
      </c>
      <c r="D733" t="inlineStr">
        <is>
          <t>DIRECT CREDIT MALLEE PLAN SERVICES RA45008</t>
        </is>
      </c>
      <c r="E733" s="9" t="n">
        <v>678.96</v>
      </c>
      <c r="F733" t="inlineStr">
        <is>
          <t>OPS-20260811</t>
        </is>
      </c>
      <c r="G733" t="inlineStr">
        <is>
          <t>G00287</t>
        </is>
      </c>
      <c r="H733" t="str">
        <f>INDEX('Match Groups'!$C$5:$C$1326,MATCH(G733,'Match Groups'!$A$5:$A$1326,0))</f>
        <v>R03</v>
      </c>
      <c r="I733" t="str">
        <f>INDEX('Match Groups'!$D$5:$D$1326,MATCH(G733,'Match Groups'!$A$5:$A$1326,0))</f>
        <v>MATCH</v>
      </c>
      <c r="J733">
        <f>IF(I733="DUPIMP",0,1)</f>
        <v>1</v>
      </c>
    </row>
    <row r="734">
      <c r="A734" t="inlineStr">
        <is>
          <t>BL-00432</t>
        </is>
      </c>
      <c r="B734" t="inlineStr">
        <is>
          <t>OPS</t>
        </is>
      </c>
      <c r="C734" s="5" t="n">
        <v>46245</v>
      </c>
      <c r="D734" t="inlineStr">
        <is>
          <t>DIRECT CREDIT HARBOUR MUTUAL HEALTH CLM5277204 INV02368</t>
        </is>
      </c>
      <c r="E734" s="9" t="n">
        <v>88</v>
      </c>
      <c r="F734" t="inlineStr">
        <is>
          <t>OPS-20260811</t>
        </is>
      </c>
      <c r="G734" t="inlineStr">
        <is>
          <t>G01180</t>
        </is>
      </c>
      <c r="H734" t="str">
        <f>INDEX('Match Groups'!$C$5:$C$1326,MATCH(G734,'Match Groups'!$A$5:$A$1326,0))</f>
        <v>R11</v>
      </c>
      <c r="I734" t="str">
        <f>INDEX('Match Groups'!$D$5:$D$1326,MATCH(G734,'Match Groups'!$A$5:$A$1326,0))</f>
        <v>REG</v>
      </c>
      <c r="J734">
        <f>IF(I734="DUPIMP",0,1)</f>
        <v>1</v>
      </c>
    </row>
    <row r="735">
      <c r="A735" t="inlineStr">
        <is>
          <t>BL-00433</t>
        </is>
      </c>
      <c r="B735" t="inlineStr">
        <is>
          <t>OPS</t>
        </is>
      </c>
      <c r="C735" s="5" t="n">
        <v>46245</v>
      </c>
      <c r="D735" t="inlineStr">
        <is>
          <t>DIRECT CREDIT HARBOUR MUTUAL HEA CLM5844103 INV/2026/02386</t>
        </is>
      </c>
      <c r="E735" s="9" t="n">
        <v>88</v>
      </c>
      <c r="F735" t="inlineStr">
        <is>
          <t>OPS-20260811</t>
        </is>
      </c>
      <c r="G735" t="inlineStr">
        <is>
          <t>G00994</t>
        </is>
      </c>
      <c r="H735" t="str">
        <f>INDEX('Match Groups'!$C$5:$C$1326,MATCH(G735,'Match Groups'!$A$5:$A$1326,0))</f>
        <v>R09</v>
      </c>
      <c r="I735" t="str">
        <f>INDEX('Match Groups'!$D$5:$D$1326,MATCH(G735,'Match Groups'!$A$5:$A$1326,0))</f>
        <v>MATCH</v>
      </c>
      <c r="J735">
        <f>IF(I735="DUPIMP",0,1)</f>
        <v>1</v>
      </c>
    </row>
    <row r="736">
      <c r="A736" t="inlineStr">
        <is>
          <t>BL-00520</t>
        </is>
      </c>
      <c r="B736" t="inlineStr">
        <is>
          <t>OPS</t>
        </is>
      </c>
      <c r="C736" s="5" t="n">
        <v>46245</v>
      </c>
      <c r="D736" t="inlineStr">
        <is>
          <t>DIRECT CREDIT MERIDIAN HEALTH COVE CLM5204050 INV 2270</t>
        </is>
      </c>
      <c r="E736" s="9" t="n">
        <v>176</v>
      </c>
      <c r="F736" t="inlineStr">
        <is>
          <t>OPS-20260811</t>
        </is>
      </c>
      <c r="G736" t="inlineStr">
        <is>
          <t>G00995</t>
        </is>
      </c>
      <c r="H736" t="str">
        <f>INDEX('Match Groups'!$C$5:$C$1326,MATCH(G736,'Match Groups'!$A$5:$A$1326,0))</f>
        <v>R09</v>
      </c>
      <c r="I736" t="str">
        <f>INDEX('Match Groups'!$D$5:$D$1326,MATCH(G736,'Match Groups'!$A$5:$A$1326,0))</f>
        <v>MATCH</v>
      </c>
      <c r="J736">
        <f>IF(I736="DUPIMP",0,1)</f>
        <v>1</v>
      </c>
    </row>
    <row r="737">
      <c r="A737" t="inlineStr">
        <is>
          <t>BL-00583</t>
        </is>
      </c>
      <c r="B737" t="inlineStr">
        <is>
          <t>OPS</t>
        </is>
      </c>
      <c r="C737" s="5" t="n">
        <v>46245</v>
      </c>
      <c r="D737" t="inlineStr">
        <is>
          <t>DIRECT CREDIT FERNHILLAGEDCARE 03475</t>
        </is>
      </c>
      <c r="E737" s="9" t="n">
        <v>15950</v>
      </c>
      <c r="F737" t="inlineStr">
        <is>
          <t>OPS-20260811</t>
        </is>
      </c>
      <c r="G737" t="inlineStr">
        <is>
          <t>G00996</t>
        </is>
      </c>
      <c r="H737" t="str">
        <f>INDEX('Match Groups'!$C$5:$C$1326,MATCH(G737,'Match Groups'!$A$5:$A$1326,0))</f>
        <v>R09</v>
      </c>
      <c r="I737" t="str">
        <f>INDEX('Match Groups'!$D$5:$D$1326,MATCH(G737,'Match Groups'!$A$5:$A$1326,0))</f>
        <v>MATCH</v>
      </c>
      <c r="J737">
        <f>IF(I737="DUPIMP",0,1)</f>
        <v>1</v>
      </c>
    </row>
    <row r="738">
      <c r="A738" t="inlineStr">
        <is>
          <t>BL-00660</t>
        </is>
      </c>
      <c r="B738" t="inlineStr">
        <is>
          <t>OPS</t>
        </is>
      </c>
      <c r="C738" s="5" t="n">
        <v>46245</v>
      </c>
      <c r="D738" t="inlineStr">
        <is>
          <t>DIRECT CREDIT MORNANE ELECTRICAL INV03504</t>
        </is>
      </c>
      <c r="E738" s="9" t="n">
        <v>1402.5</v>
      </c>
      <c r="F738" t="inlineStr">
        <is>
          <t>OPS-20260811</t>
        </is>
      </c>
      <c r="G738" t="inlineStr">
        <is>
          <t>G00997</t>
        </is>
      </c>
      <c r="H738" t="str">
        <f>INDEX('Match Groups'!$C$5:$C$1326,MATCH(G738,'Match Groups'!$A$5:$A$1326,0))</f>
        <v>R09</v>
      </c>
      <c r="I738" t="str">
        <f>INDEX('Match Groups'!$D$5:$D$1326,MATCH(G738,'Match Groups'!$A$5:$A$1326,0))</f>
        <v>MATCH</v>
      </c>
      <c r="J738">
        <f>IF(I738="DUPIMP",0,1)</f>
        <v>1</v>
      </c>
    </row>
    <row r="739">
      <c r="A739" t="inlineStr">
        <is>
          <t>BL-00681</t>
        </is>
      </c>
      <c r="B739" t="inlineStr">
        <is>
          <t>OPS</t>
        </is>
      </c>
      <c r="C739" s="5" t="n">
        <v>46245</v>
      </c>
      <c r="D739" t="inlineStr">
        <is>
          <t>DIRECT CREDIT THORNBURYTEXTILE INV/2026/03513</t>
        </is>
      </c>
      <c r="E739" s="9" t="n">
        <v>6820</v>
      </c>
      <c r="F739" t="inlineStr">
        <is>
          <t>OPS-20260811</t>
        </is>
      </c>
      <c r="G739" t="inlineStr">
        <is>
          <t>G00998</t>
        </is>
      </c>
      <c r="H739" t="str">
        <f>INDEX('Match Groups'!$C$5:$C$1326,MATCH(G739,'Match Groups'!$A$5:$A$1326,0))</f>
        <v>R09</v>
      </c>
      <c r="I739" t="str">
        <f>INDEX('Match Groups'!$D$5:$D$1326,MATCH(G739,'Match Groups'!$A$5:$A$1326,0))</f>
        <v>MATCH</v>
      </c>
      <c r="J739">
        <f>IF(I739="DUPIMP",0,1)</f>
        <v>1</v>
      </c>
    </row>
    <row r="740">
      <c r="A740" t="inlineStr">
        <is>
          <t>BL-00716</t>
        </is>
      </c>
      <c r="B740" t="inlineStr">
        <is>
          <t>OPS</t>
        </is>
      </c>
      <c r="C740" s="5" t="n">
        <v>46245</v>
      </c>
      <c r="D740" t="inlineStr">
        <is>
          <t>STRIPE PAYOUT STRIPE po_1Q0030KX</t>
        </is>
      </c>
      <c r="E740" s="9" t="n">
        <v>4037.96</v>
      </c>
      <c r="F740" t="inlineStr">
        <is>
          <t>OPS-20260811</t>
        </is>
      </c>
      <c r="G740" t="inlineStr">
        <is>
          <t>G00043</t>
        </is>
      </c>
      <c r="H740" t="str">
        <f>INDEX('Match Groups'!$C$5:$C$1326,MATCH(G740,'Match Groups'!$A$5:$A$1326,0))</f>
        <v>R02</v>
      </c>
      <c r="I740" t="str">
        <f>INDEX('Match Groups'!$D$5:$D$1326,MATCH(G740,'Match Groups'!$A$5:$A$1326,0))</f>
        <v>STRIPE-FEE</v>
      </c>
      <c r="J740">
        <f>IF(I740="DUPIMP",0,1)</f>
        <v>1</v>
      </c>
    </row>
    <row r="741">
      <c r="A741" t="inlineStr">
        <is>
          <t>BL-00805</t>
        </is>
      </c>
      <c r="B741" t="inlineStr">
        <is>
          <t>OPS</t>
        </is>
      </c>
      <c r="C741" s="5" t="n">
        <v>46245</v>
      </c>
      <c r="D741" t="inlineStr">
        <is>
          <t>CHEQUE 000404</t>
        </is>
      </c>
      <c r="E741" s="9" t="n">
        <v>-924</v>
      </c>
      <c r="F741" t="inlineStr">
        <is>
          <t>OPS-20260811</t>
        </is>
      </c>
      <c r="G741" t="inlineStr">
        <is>
          <t>G00522</t>
        </is>
      </c>
      <c r="H741" t="str">
        <f>INDEX('Match Groups'!$C$5:$C$1326,MATCH(G741,'Match Groups'!$A$5:$A$1326,0))</f>
        <v>R07</v>
      </c>
      <c r="I741" t="str">
        <f>INDEX('Match Groups'!$D$5:$D$1326,MATCH(G741,'Match Groups'!$A$5:$A$1326,0))</f>
        <v>MATCH</v>
      </c>
      <c r="J741">
        <f>IF(I741="DUPIMP",0,1)</f>
        <v>1</v>
      </c>
    </row>
    <row r="742">
      <c r="A742" t="inlineStr">
        <is>
          <t>BL-00212</t>
        </is>
      </c>
      <c r="B742" t="inlineStr">
        <is>
          <t>OPS</t>
        </is>
      </c>
      <c r="C742" s="5" t="n">
        <v>46246</v>
      </c>
      <c r="D742" t="inlineStr">
        <is>
          <t>DIRECT CREDIT BLUEGUM PM PTY LTD RA45009</t>
        </is>
      </c>
      <c r="E742" s="9" t="n">
        <v>484.97</v>
      </c>
      <c r="F742" t="inlineStr">
        <is>
          <t>OPS-20260812</t>
        </is>
      </c>
      <c r="G742" t="inlineStr">
        <is>
          <t>G00288</t>
        </is>
      </c>
      <c r="H742" t="str">
        <f>INDEX('Match Groups'!$C$5:$C$1326,MATCH(G742,'Match Groups'!$A$5:$A$1326,0))</f>
        <v>R03</v>
      </c>
      <c r="I742" t="str">
        <f>INDEX('Match Groups'!$D$5:$D$1326,MATCH(G742,'Match Groups'!$A$5:$A$1326,0))</f>
        <v>MATCH</v>
      </c>
      <c r="J742">
        <f>IF(I742="DUPIMP",0,1)</f>
        <v>1</v>
      </c>
    </row>
    <row r="743">
      <c r="A743" t="inlineStr">
        <is>
          <t>BL-00213</t>
        </is>
      </c>
      <c r="B743" t="inlineStr">
        <is>
          <t>OPS</t>
        </is>
      </c>
      <c r="C743" s="5" t="n">
        <v>46246</v>
      </c>
      <c r="D743" t="inlineStr">
        <is>
          <t>DIRECT CREDIT RIVERBENDPLANPAR RA45010</t>
        </is>
      </c>
      <c r="E743" s="9" t="n">
        <v>369.48</v>
      </c>
      <c r="F743" t="inlineStr">
        <is>
          <t>OPS-20260812</t>
        </is>
      </c>
      <c r="G743" t="inlineStr">
        <is>
          <t>G00289</t>
        </is>
      </c>
      <c r="H743" t="str">
        <f>INDEX('Match Groups'!$C$5:$C$1326,MATCH(G743,'Match Groups'!$A$5:$A$1326,0))</f>
        <v>R03</v>
      </c>
      <c r="I743" t="str">
        <f>INDEX('Match Groups'!$D$5:$D$1326,MATCH(G743,'Match Groups'!$A$5:$A$1326,0))</f>
        <v>MATCH</v>
      </c>
      <c r="J743">
        <f>IF(I743="DUPIMP",0,1)</f>
        <v>1</v>
      </c>
    </row>
    <row r="744">
      <c r="A744" t="inlineStr">
        <is>
          <t>BL-00214</t>
        </is>
      </c>
      <c r="B744" t="inlineStr">
        <is>
          <t>OPS</t>
        </is>
      </c>
      <c r="C744" s="5" t="n">
        <v>46246</v>
      </c>
      <c r="D744" t="inlineStr">
        <is>
          <t>DIRECT CREDIT BANKSIA PLAN CO PTY LT RA45011</t>
        </is>
      </c>
      <c r="E744" s="9" t="n">
        <v>563.47</v>
      </c>
      <c r="F744" t="inlineStr">
        <is>
          <t>OPS-20260812</t>
        </is>
      </c>
      <c r="G744" t="inlineStr">
        <is>
          <t>G00290</t>
        </is>
      </c>
      <c r="H744" t="str">
        <f>INDEX('Match Groups'!$C$5:$C$1326,MATCH(G744,'Match Groups'!$A$5:$A$1326,0))</f>
        <v>R03</v>
      </c>
      <c r="I744" t="str">
        <f>INDEX('Match Groups'!$D$5:$D$1326,MATCH(G744,'Match Groups'!$A$5:$A$1326,0))</f>
        <v>MATCH</v>
      </c>
      <c r="J744">
        <f>IF(I744="DUPIMP",0,1)</f>
        <v>1</v>
      </c>
    </row>
    <row r="745">
      <c r="A745" t="inlineStr">
        <is>
          <t>BL-00215</t>
        </is>
      </c>
      <c r="B745" t="inlineStr">
        <is>
          <t>OPS</t>
        </is>
      </c>
      <c r="C745" s="5" t="n">
        <v>46246</v>
      </c>
      <c r="D745" t="inlineStr">
        <is>
          <t>DIRECT CREDIT LYREBIRD PLAN MANAGEME RA45012</t>
        </is>
      </c>
      <c r="E745" s="9" t="n">
        <v>387.98</v>
      </c>
      <c r="F745" t="inlineStr">
        <is>
          <t>OPS-20260812</t>
        </is>
      </c>
      <c r="G745" t="inlineStr">
        <is>
          <t>G00291</t>
        </is>
      </c>
      <c r="H745" t="str">
        <f>INDEX('Match Groups'!$C$5:$C$1326,MATCH(G745,'Match Groups'!$A$5:$A$1326,0))</f>
        <v>R03</v>
      </c>
      <c r="I745" t="str">
        <f>INDEX('Match Groups'!$D$5:$D$1326,MATCH(G745,'Match Groups'!$A$5:$A$1326,0))</f>
        <v>MATCH</v>
      </c>
      <c r="J745">
        <f>IF(I745="DUPIMP",0,1)</f>
        <v>1</v>
      </c>
    </row>
    <row r="746">
      <c r="A746" t="inlineStr">
        <is>
          <t>BL-00216</t>
        </is>
      </c>
      <c r="B746" t="inlineStr">
        <is>
          <t>OPS</t>
        </is>
      </c>
      <c r="C746" s="5" t="n">
        <v>46246</v>
      </c>
      <c r="D746" t="inlineStr">
        <is>
          <t>DIRECT CREDIT ACACIA PLAN PARTNERS P RA45013</t>
        </is>
      </c>
      <c r="E746" s="9" t="n">
        <v>96.98999999999999</v>
      </c>
      <c r="F746" t="inlineStr">
        <is>
          <t>OPS-20260812</t>
        </is>
      </c>
      <c r="G746" t="inlineStr">
        <is>
          <t>G00292</t>
        </is>
      </c>
      <c r="H746" t="str">
        <f>INDEX('Match Groups'!$C$5:$C$1326,MATCH(G746,'Match Groups'!$A$5:$A$1326,0))</f>
        <v>R03</v>
      </c>
      <c r="I746" t="str">
        <f>INDEX('Match Groups'!$D$5:$D$1326,MATCH(G746,'Match Groups'!$A$5:$A$1326,0))</f>
        <v>MATCH</v>
      </c>
      <c r="J746">
        <f>IF(I746="DUPIMP",0,1)</f>
        <v>1</v>
      </c>
    </row>
    <row r="747">
      <c r="A747" t="inlineStr">
        <is>
          <t>BL-00476</t>
        </is>
      </c>
      <c r="B747" t="inlineStr">
        <is>
          <t>OPS</t>
        </is>
      </c>
      <c r="C747" s="5" t="n">
        <v>46246</v>
      </c>
      <c r="D747" t="inlineStr">
        <is>
          <t>DIRECT CREDIT UNITY WORKCOVER AGEN CLM5267376 RE INV 2026 02439</t>
        </is>
      </c>
      <c r="E747" s="9" t="n">
        <v>990</v>
      </c>
      <c r="F747" t="inlineStr">
        <is>
          <t>OPS-20260812</t>
        </is>
      </c>
      <c r="G747" t="inlineStr">
        <is>
          <t>G00999</t>
        </is>
      </c>
      <c r="H747" t="str">
        <f>INDEX('Match Groups'!$C$5:$C$1326,MATCH(G747,'Match Groups'!$A$5:$A$1326,0))</f>
        <v>R09</v>
      </c>
      <c r="I747" t="str">
        <f>INDEX('Match Groups'!$D$5:$D$1326,MATCH(G747,'Match Groups'!$A$5:$A$1326,0))</f>
        <v>MATCH</v>
      </c>
      <c r="J747">
        <f>IF(I747="DUPIMP",0,1)</f>
        <v>1</v>
      </c>
    </row>
    <row r="748">
      <c r="A748" t="inlineStr">
        <is>
          <t>BL-00523</t>
        </is>
      </c>
      <c r="B748" t="inlineStr">
        <is>
          <t>OPS</t>
        </is>
      </c>
      <c r="C748" s="5" t="n">
        <v>46246</v>
      </c>
      <c r="D748" t="inlineStr">
        <is>
          <t>DIRECT CREDIT MERIDIAN HEALTH COVER CLM5943076 02440</t>
        </is>
      </c>
      <c r="E748" s="9" t="n">
        <v>88</v>
      </c>
      <c r="F748" t="inlineStr">
        <is>
          <t>OPS-20260812</t>
        </is>
      </c>
      <c r="G748" t="inlineStr">
        <is>
          <t>G01000</t>
        </is>
      </c>
      <c r="H748" t="str">
        <f>INDEX('Match Groups'!$C$5:$C$1326,MATCH(G748,'Match Groups'!$A$5:$A$1326,0))</f>
        <v>R09</v>
      </c>
      <c r="I748" t="str">
        <f>INDEX('Match Groups'!$D$5:$D$1326,MATCH(G748,'Match Groups'!$A$5:$A$1326,0))</f>
        <v>MATCH</v>
      </c>
      <c r="J748">
        <f>IF(I748="DUPIMP",0,1)</f>
        <v>1</v>
      </c>
    </row>
    <row r="749">
      <c r="A749" t="inlineStr">
        <is>
          <t>BL-00611</t>
        </is>
      </c>
      <c r="B749" t="inlineStr">
        <is>
          <t>OPS</t>
        </is>
      </c>
      <c r="C749" s="5" t="n">
        <v>46246</v>
      </c>
      <c r="D749" t="inlineStr">
        <is>
          <t>DIRECT CREDIT TALISKERMININGSE 03486</t>
        </is>
      </c>
      <c r="E749" s="9" t="n">
        <v>10725</v>
      </c>
      <c r="F749" t="inlineStr">
        <is>
          <t>OPS-20260812</t>
        </is>
      </c>
      <c r="G749" t="inlineStr">
        <is>
          <t>G01001</t>
        </is>
      </c>
      <c r="H749" t="str">
        <f>INDEX('Match Groups'!$C$5:$C$1326,MATCH(G749,'Match Groups'!$A$5:$A$1326,0))</f>
        <v>R09</v>
      </c>
      <c r="I749" t="str">
        <f>INDEX('Match Groups'!$D$5:$D$1326,MATCH(G749,'Match Groups'!$A$5:$A$1326,0))</f>
        <v>MATCH</v>
      </c>
      <c r="J749">
        <f>IF(I749="DUPIMP",0,1)</f>
        <v>1</v>
      </c>
    </row>
    <row r="750">
      <c r="A750" t="inlineStr">
        <is>
          <t>BL-00629</t>
        </is>
      </c>
      <c r="B750" t="inlineStr">
        <is>
          <t>OPS</t>
        </is>
      </c>
      <c r="C750" s="5" t="n">
        <v>46246</v>
      </c>
      <c r="D750" t="inlineStr">
        <is>
          <t>DIRECT CREDIT DAINTREE PACKAGING 03493</t>
        </is>
      </c>
      <c r="E750" s="9" t="n">
        <v>16032.5</v>
      </c>
      <c r="F750" t="inlineStr">
        <is>
          <t>OPS-20260812</t>
        </is>
      </c>
      <c r="G750" t="inlineStr">
        <is>
          <t>G01002</t>
        </is>
      </c>
      <c r="H750" t="str">
        <f>INDEX('Match Groups'!$C$5:$C$1326,MATCH(G750,'Match Groups'!$A$5:$A$1326,0))</f>
        <v>R09</v>
      </c>
      <c r="I750" t="str">
        <f>INDEX('Match Groups'!$D$5:$D$1326,MATCH(G750,'Match Groups'!$A$5:$A$1326,0))</f>
        <v>MATCH</v>
      </c>
      <c r="J750">
        <f>IF(I750="DUPIMP",0,1)</f>
        <v>1</v>
      </c>
    </row>
    <row r="751">
      <c r="A751" t="inlineStr">
        <is>
          <t>BL-00641</t>
        </is>
      </c>
      <c r="B751" t="inlineStr">
        <is>
          <t>OPS</t>
        </is>
      </c>
      <c r="C751" s="5" t="n">
        <v>46246</v>
      </c>
      <c r="D751" t="inlineStr">
        <is>
          <t>DIRECT CREDIT HOLLIS AND FRY ARCHITE INV 3498</t>
        </is>
      </c>
      <c r="E751" s="9" t="n">
        <v>1471.25</v>
      </c>
      <c r="F751" t="inlineStr">
        <is>
          <t>OPS-20260812</t>
        </is>
      </c>
      <c r="G751" t="inlineStr">
        <is>
          <t>G01003</t>
        </is>
      </c>
      <c r="H751" t="str">
        <f>INDEX('Match Groups'!$C$5:$C$1326,MATCH(G751,'Match Groups'!$A$5:$A$1326,0))</f>
        <v>R09</v>
      </c>
      <c r="I751" t="str">
        <f>INDEX('Match Groups'!$D$5:$D$1326,MATCH(G751,'Match Groups'!$A$5:$A$1326,0))</f>
        <v>MATCH</v>
      </c>
      <c r="J751">
        <f>IF(I751="DUPIMP",0,1)</f>
        <v>1</v>
      </c>
    </row>
    <row r="752">
      <c r="A752" t="inlineStr">
        <is>
          <t>BL-00717</t>
        </is>
      </c>
      <c r="B752" t="inlineStr">
        <is>
          <t>OPS</t>
        </is>
      </c>
      <c r="C752" s="5" t="n">
        <v>46246</v>
      </c>
      <c r="D752" t="inlineStr">
        <is>
          <t>STRIPE PAYOUT STRIPE po_1Q0031KX</t>
        </is>
      </c>
      <c r="E752" s="9" t="n">
        <v>4219.41</v>
      </c>
      <c r="F752" t="inlineStr">
        <is>
          <t>OPS-20260812</t>
        </is>
      </c>
      <c r="G752" t="inlineStr">
        <is>
          <t>G00044</t>
        </is>
      </c>
      <c r="H752" t="str">
        <f>INDEX('Match Groups'!$C$5:$C$1326,MATCH(G752,'Match Groups'!$A$5:$A$1326,0))</f>
        <v>R02</v>
      </c>
      <c r="I752" t="str">
        <f>INDEX('Match Groups'!$D$5:$D$1326,MATCH(G752,'Match Groups'!$A$5:$A$1326,0))</f>
        <v>STRIPE-FEE</v>
      </c>
      <c r="J752">
        <f>IF(I752="DUPIMP",0,1)</f>
        <v>1</v>
      </c>
    </row>
    <row r="753">
      <c r="A753" t="inlineStr">
        <is>
          <t>BL-00760</t>
        </is>
      </c>
      <c r="B753" t="inlineStr">
        <is>
          <t>OPS</t>
        </is>
      </c>
      <c r="C753" s="5" t="n">
        <v>46246</v>
      </c>
      <c r="D753" t="inlineStr">
        <is>
          <t>ABA PAYMENT FILE 0417 11 PAYMENTS</t>
        </is>
      </c>
      <c r="E753" s="9" t="n">
        <v>-14548.6</v>
      </c>
      <c r="F753" t="inlineStr">
        <is>
          <t>OPS-20260812</t>
        </is>
      </c>
      <c r="G753" t="inlineStr">
        <is>
          <t>G00523</t>
        </is>
      </c>
      <c r="H753" t="str">
        <f>INDEX('Match Groups'!$C$5:$C$1326,MATCH(G753,'Match Groups'!$A$5:$A$1326,0))</f>
        <v>R06</v>
      </c>
      <c r="I753" t="str">
        <f>INDEX('Match Groups'!$D$5:$D$1326,MATCH(G753,'Match Groups'!$A$5:$A$1326,0))</f>
        <v>MATCH</v>
      </c>
      <c r="J753">
        <f>IF(I753="DUPIMP",0,1)</f>
        <v>1</v>
      </c>
    </row>
    <row r="754">
      <c r="A754" t="inlineStr">
        <is>
          <t>BL-00786</t>
        </is>
      </c>
      <c r="B754" t="inlineStr">
        <is>
          <t>OPS</t>
        </is>
      </c>
      <c r="C754" s="5" t="n">
        <v>46246</v>
      </c>
      <c r="D754" t="inlineStr">
        <is>
          <t>DIRECT DEBIT TELWAVEBUSINESSM</t>
        </is>
      </c>
      <c r="E754" s="9" t="n">
        <v>-1189.3</v>
      </c>
      <c r="F754" t="inlineStr">
        <is>
          <t>OPS-20260812</t>
        </is>
      </c>
      <c r="G754" t="inlineStr">
        <is>
          <t>G01181</t>
        </is>
      </c>
      <c r="H754" t="str">
        <f>INDEX('Match Groups'!$C$5:$C$1326,MATCH(G754,'Match Groups'!$A$5:$A$1326,0))</f>
        <v>R11</v>
      </c>
      <c r="I754" t="str">
        <f>INDEX('Match Groups'!$D$5:$D$1326,MATCH(G754,'Match Groups'!$A$5:$A$1326,0))</f>
        <v>NOBILL</v>
      </c>
      <c r="J754">
        <f>IF(I754="DUPIMP",0,1)</f>
        <v>1</v>
      </c>
    </row>
    <row r="755">
      <c r="A755" t="inlineStr">
        <is>
          <t>BL-01003</t>
        </is>
      </c>
      <c r="B755" t="inlineStr">
        <is>
          <t>OPS</t>
        </is>
      </c>
      <c r="C755" s="5" t="n">
        <v>46246</v>
      </c>
      <c r="D755" t="inlineStr">
        <is>
          <t>TFR TO PAYROLL CLEARING PR260813</t>
        </is>
      </c>
      <c r="E755" s="9" t="n">
        <v>-201473.62</v>
      </c>
      <c r="F755" t="inlineStr">
        <is>
          <t>OPS-20260812</t>
        </is>
      </c>
      <c r="G755" t="inlineStr">
        <is>
          <t>G00524</t>
        </is>
      </c>
      <c r="H755" t="str">
        <f>INDEX('Match Groups'!$C$5:$C$1326,MATCH(G755,'Match Groups'!$A$5:$A$1326,0))</f>
        <v>R04</v>
      </c>
      <c r="I755" t="str">
        <f>INDEX('Match Groups'!$D$5:$D$1326,MATCH(G755,'Match Groups'!$A$5:$A$1326,0))</f>
        <v>MATCH</v>
      </c>
      <c r="J755">
        <f>IF(I755="DUPIMP",0,1)</f>
        <v>1</v>
      </c>
    </row>
    <row r="756">
      <c r="A756" t="inlineStr">
        <is>
          <t>BL-00217</t>
        </is>
      </c>
      <c r="B756" t="inlineStr">
        <is>
          <t>OPS</t>
        </is>
      </c>
      <c r="C756" s="5" t="n">
        <v>46247</v>
      </c>
      <c r="D756" t="inlineStr">
        <is>
          <t>DIRECT CREDIT BLUEGUM PLAN MANAGE RA45014</t>
        </is>
      </c>
      <c r="E756" s="9" t="n">
        <v>737.16</v>
      </c>
      <c r="F756" t="inlineStr">
        <is>
          <t>OPS-20260813</t>
        </is>
      </c>
      <c r="G756" t="inlineStr">
        <is>
          <t>G00293</t>
        </is>
      </c>
      <c r="H756" t="str">
        <f>INDEX('Match Groups'!$C$5:$C$1326,MATCH(G756,'Match Groups'!$A$5:$A$1326,0))</f>
        <v>R03</v>
      </c>
      <c r="I756" t="str">
        <f>INDEX('Match Groups'!$D$5:$D$1326,MATCH(G756,'Match Groups'!$A$5:$A$1326,0))</f>
        <v>MATCH</v>
      </c>
      <c r="J756">
        <f>IF(I756="DUPIMP",0,1)</f>
        <v>1</v>
      </c>
    </row>
    <row r="757">
      <c r="A757" t="inlineStr">
        <is>
          <t>BL-00218</t>
        </is>
      </c>
      <c r="B757" t="inlineStr">
        <is>
          <t>OPS</t>
        </is>
      </c>
      <c r="C757" s="5" t="n">
        <v>46247</v>
      </c>
      <c r="D757" t="inlineStr">
        <is>
          <t>DIRECT CREDIT RIVERBEND PLAN PARTN RA45015</t>
        </is>
      </c>
      <c r="E757" s="9" t="n">
        <v>660.46</v>
      </c>
      <c r="F757" t="inlineStr">
        <is>
          <t>OPS-20260813</t>
        </is>
      </c>
      <c r="G757" t="inlineStr">
        <is>
          <t>G00294</t>
        </is>
      </c>
      <c r="H757" t="str">
        <f>INDEX('Match Groups'!$C$5:$C$1326,MATCH(G757,'Match Groups'!$A$5:$A$1326,0))</f>
        <v>R03</v>
      </c>
      <c r="I757" t="str">
        <f>INDEX('Match Groups'!$D$5:$D$1326,MATCH(G757,'Match Groups'!$A$5:$A$1326,0))</f>
        <v>MATCH</v>
      </c>
      <c r="J757">
        <f>IF(I757="DUPIMP",0,1)</f>
        <v>1</v>
      </c>
    </row>
    <row r="758">
      <c r="A758" t="inlineStr">
        <is>
          <t>BL-00219</t>
        </is>
      </c>
      <c r="B758" t="inlineStr">
        <is>
          <t>OPS</t>
        </is>
      </c>
      <c r="C758" s="5" t="n">
        <v>46247</v>
      </c>
      <c r="D758" t="inlineStr">
        <is>
          <t>DIRECT CREDIT BANKSIA PLAN CO RA45016</t>
        </is>
      </c>
      <c r="E758" s="9" t="n">
        <v>272.48</v>
      </c>
      <c r="F758" t="inlineStr">
        <is>
          <t>OPS-20260813</t>
        </is>
      </c>
      <c r="G758" t="inlineStr">
        <is>
          <t>G00295</t>
        </is>
      </c>
      <c r="H758" t="str">
        <f>INDEX('Match Groups'!$C$5:$C$1326,MATCH(G758,'Match Groups'!$A$5:$A$1326,0))</f>
        <v>R03</v>
      </c>
      <c r="I758" t="str">
        <f>INDEX('Match Groups'!$D$5:$D$1326,MATCH(G758,'Match Groups'!$A$5:$A$1326,0))</f>
        <v>MATCH</v>
      </c>
      <c r="J758">
        <f>IF(I758="DUPIMP",0,1)</f>
        <v>1</v>
      </c>
    </row>
    <row r="759">
      <c r="A759" t="inlineStr">
        <is>
          <t>BL-00220</t>
        </is>
      </c>
      <c r="B759" t="inlineStr">
        <is>
          <t>OPS</t>
        </is>
      </c>
      <c r="C759" s="5" t="n">
        <v>46247</v>
      </c>
      <c r="D759" t="inlineStr">
        <is>
          <t>DIRECT CREDIT LYREBIRD PLAN MANA RA45017</t>
        </is>
      </c>
      <c r="E759" s="9" t="n">
        <v>387.98</v>
      </c>
      <c r="F759" t="inlineStr">
        <is>
          <t>OPS-20260813</t>
        </is>
      </c>
      <c r="G759" t="inlineStr">
        <is>
          <t>G00296</t>
        </is>
      </c>
      <c r="H759" t="str">
        <f>INDEX('Match Groups'!$C$5:$C$1326,MATCH(G759,'Match Groups'!$A$5:$A$1326,0))</f>
        <v>R03</v>
      </c>
      <c r="I759" t="str">
        <f>INDEX('Match Groups'!$D$5:$D$1326,MATCH(G759,'Match Groups'!$A$5:$A$1326,0))</f>
        <v>MATCH</v>
      </c>
      <c r="J759">
        <f>IF(I759="DUPIMP",0,1)</f>
        <v>1</v>
      </c>
    </row>
    <row r="760">
      <c r="A760" t="inlineStr">
        <is>
          <t>BL-00221</t>
        </is>
      </c>
      <c r="B760" t="inlineStr">
        <is>
          <t>OPS</t>
        </is>
      </c>
      <c r="C760" s="5" t="n">
        <v>46247</v>
      </c>
      <c r="D760" t="inlineStr">
        <is>
          <t>DIRECT CREDIT TALLOWWOOD PLANS PTY L RA45018</t>
        </is>
      </c>
      <c r="E760" s="9" t="n">
        <v>1330.63</v>
      </c>
      <c r="F760" t="inlineStr">
        <is>
          <t>OPS-20260813</t>
        </is>
      </c>
      <c r="G760" t="inlineStr">
        <is>
          <t>G00297</t>
        </is>
      </c>
      <c r="H760" t="str">
        <f>INDEX('Match Groups'!$C$5:$C$1326,MATCH(G760,'Match Groups'!$A$5:$A$1326,0))</f>
        <v>R03</v>
      </c>
      <c r="I760" t="str">
        <f>INDEX('Match Groups'!$D$5:$D$1326,MATCH(G760,'Match Groups'!$A$5:$A$1326,0))</f>
        <v>MATCH</v>
      </c>
      <c r="J760">
        <f>IF(I760="DUPIMP",0,1)</f>
        <v>1</v>
      </c>
    </row>
    <row r="761">
      <c r="A761" t="inlineStr">
        <is>
          <t>BL-00539</t>
        </is>
      </c>
      <c r="B761" t="inlineStr">
        <is>
          <t>OPS</t>
        </is>
      </c>
      <c r="C761" s="5" t="n">
        <v>46247</v>
      </c>
      <c r="D761" t="inlineStr">
        <is>
          <t>DIRECT CREDIT NORTHLINE INJURY C CLM5565784 02317</t>
        </is>
      </c>
      <c r="E761" s="9" t="n">
        <v>990</v>
      </c>
      <c r="F761" t="inlineStr">
        <is>
          <t>OPS-20260813</t>
        </is>
      </c>
      <c r="G761" t="inlineStr">
        <is>
          <t>G01004</t>
        </is>
      </c>
      <c r="H761" t="str">
        <f>INDEX('Match Groups'!$C$5:$C$1326,MATCH(G761,'Match Groups'!$A$5:$A$1326,0))</f>
        <v>R09</v>
      </c>
      <c r="I761" t="str">
        <f>INDEX('Match Groups'!$D$5:$D$1326,MATCH(G761,'Match Groups'!$A$5:$A$1326,0))</f>
        <v>MATCH</v>
      </c>
      <c r="J761">
        <f>IF(I761="DUPIMP",0,1)</f>
        <v>1</v>
      </c>
    </row>
    <row r="762">
      <c r="A762" t="inlineStr">
        <is>
          <t>BL-00559</t>
        </is>
      </c>
      <c r="B762" t="inlineStr">
        <is>
          <t>OPS</t>
        </is>
      </c>
      <c r="C762" s="5" t="n">
        <v>46247</v>
      </c>
      <c r="D762" t="inlineStr">
        <is>
          <t>DIRECT CREDIT KESTREL LANE FOODS PTY INV03464</t>
        </is>
      </c>
      <c r="E762" s="9" t="n">
        <v>10876.25</v>
      </c>
      <c r="F762" t="inlineStr">
        <is>
          <t>OPS-20260813</t>
        </is>
      </c>
      <c r="G762" t="inlineStr">
        <is>
          <t>G01005</t>
        </is>
      </c>
      <c r="H762" t="str">
        <f>INDEX('Match Groups'!$C$5:$C$1326,MATCH(G762,'Match Groups'!$A$5:$A$1326,0))</f>
        <v>R09</v>
      </c>
      <c r="I762" t="str">
        <f>INDEX('Match Groups'!$D$5:$D$1326,MATCH(G762,'Match Groups'!$A$5:$A$1326,0))</f>
        <v>MATCH</v>
      </c>
      <c r="J762">
        <f>IF(I762="DUPIMP",0,1)</f>
        <v>1</v>
      </c>
    </row>
    <row r="763">
      <c r="A763" t="inlineStr">
        <is>
          <t>BL-00718</t>
        </is>
      </c>
      <c r="B763" t="inlineStr">
        <is>
          <t>OPS</t>
        </is>
      </c>
      <c r="C763" s="5" t="n">
        <v>46247</v>
      </c>
      <c r="D763" t="inlineStr">
        <is>
          <t>STRIPE PAYOUT STRIPE po_1Q0032KX</t>
        </is>
      </c>
      <c r="E763" s="9" t="n">
        <v>2654.76</v>
      </c>
      <c r="F763" t="inlineStr">
        <is>
          <t>OPS-20260813</t>
        </is>
      </c>
      <c r="G763" t="inlineStr">
        <is>
          <t>G00045</t>
        </is>
      </c>
      <c r="H763" t="str">
        <f>INDEX('Match Groups'!$C$5:$C$1326,MATCH(G763,'Match Groups'!$A$5:$A$1326,0))</f>
        <v>R02</v>
      </c>
      <c r="I763" t="str">
        <f>INDEX('Match Groups'!$D$5:$D$1326,MATCH(G763,'Match Groups'!$A$5:$A$1326,0))</f>
        <v>STRIPE-FEE</v>
      </c>
      <c r="J763">
        <f>IF(I763="DUPIMP",0,1)</f>
        <v>1</v>
      </c>
    </row>
    <row r="764">
      <c r="A764" t="inlineStr">
        <is>
          <t>BL-00222</t>
        </is>
      </c>
      <c r="B764" t="inlineStr">
        <is>
          <t>OPS</t>
        </is>
      </c>
      <c r="C764" s="5" t="n">
        <v>46248</v>
      </c>
      <c r="D764" t="inlineStr">
        <is>
          <t>DIRECT CREDIT BLUEGUM PLAN MGMT RA45019</t>
        </is>
      </c>
      <c r="E764" s="9" t="n">
        <v>563.47</v>
      </c>
      <c r="F764" t="inlineStr">
        <is>
          <t>OPS-20260814</t>
        </is>
      </c>
      <c r="G764" t="inlineStr">
        <is>
          <t>G00298</t>
        </is>
      </c>
      <c r="H764" t="str">
        <f>INDEX('Match Groups'!$C$5:$C$1326,MATCH(G764,'Match Groups'!$A$5:$A$1326,0))</f>
        <v>R03</v>
      </c>
      <c r="I764" t="str">
        <f>INDEX('Match Groups'!$D$5:$D$1326,MATCH(G764,'Match Groups'!$A$5:$A$1326,0))</f>
        <v>REG</v>
      </c>
      <c r="J764">
        <f>IF(I764="DUPIMP",0,1)</f>
        <v>1</v>
      </c>
    </row>
    <row r="765">
      <c r="A765" t="inlineStr">
        <is>
          <t>BL-00223</t>
        </is>
      </c>
      <c r="B765" t="inlineStr">
        <is>
          <t>OPS</t>
        </is>
      </c>
      <c r="C765" s="5" t="n">
        <v>46248</v>
      </c>
      <c r="D765" t="inlineStr">
        <is>
          <t>DIRECT CREDIT CLEARPATH NDIS PLANS P RA45020</t>
        </is>
      </c>
      <c r="E765" s="9" t="n">
        <v>834.16</v>
      </c>
      <c r="F765" t="inlineStr">
        <is>
          <t>OPS-20260814</t>
        </is>
      </c>
      <c r="G765" t="inlineStr">
        <is>
          <t>G00299</t>
        </is>
      </c>
      <c r="H765" t="str">
        <f>INDEX('Match Groups'!$C$5:$C$1326,MATCH(G765,'Match Groups'!$A$5:$A$1326,0))</f>
        <v>R03</v>
      </c>
      <c r="I765" t="str">
        <f>INDEX('Match Groups'!$D$5:$D$1326,MATCH(G765,'Match Groups'!$A$5:$A$1326,0))</f>
        <v>MATCH</v>
      </c>
      <c r="J765">
        <f>IF(I765="DUPIMP",0,1)</f>
        <v>1</v>
      </c>
    </row>
    <row r="766">
      <c r="A766" t="inlineStr">
        <is>
          <t>BL-00224</t>
        </is>
      </c>
      <c r="B766" t="inlineStr">
        <is>
          <t>OPS</t>
        </is>
      </c>
      <c r="C766" s="5" t="n">
        <v>46248</v>
      </c>
      <c r="D766" t="inlineStr">
        <is>
          <t>DIRECT CREDIT BANKSIAPLANCO RA45021</t>
        </is>
      </c>
      <c r="E766" s="9" t="n">
        <v>193.99</v>
      </c>
      <c r="F766" t="inlineStr">
        <is>
          <t>OPS-20260814</t>
        </is>
      </c>
      <c r="G766" t="inlineStr">
        <is>
          <t>G00300</t>
        </is>
      </c>
      <c r="H766" t="str">
        <f>INDEX('Match Groups'!$C$5:$C$1326,MATCH(G766,'Match Groups'!$A$5:$A$1326,0))</f>
        <v>R03</v>
      </c>
      <c r="I766" t="str">
        <f>INDEX('Match Groups'!$D$5:$D$1326,MATCH(G766,'Match Groups'!$A$5:$A$1326,0))</f>
        <v>MATCH</v>
      </c>
      <c r="J766">
        <f>IF(I766="DUPIMP",0,1)</f>
        <v>1</v>
      </c>
    </row>
    <row r="767">
      <c r="A767" t="inlineStr">
        <is>
          <t>BL-00225</t>
        </is>
      </c>
      <c r="B767" t="inlineStr">
        <is>
          <t>OPS</t>
        </is>
      </c>
      <c r="C767" s="5" t="n">
        <v>46248</v>
      </c>
      <c r="D767" t="inlineStr">
        <is>
          <t>DIRECT CREDIT IRONBARK PLAN MANAGEME RA45022</t>
        </is>
      </c>
      <c r="E767" s="9" t="n">
        <v>290.98</v>
      </c>
      <c r="F767" t="inlineStr">
        <is>
          <t>OPS-20260814</t>
        </is>
      </c>
      <c r="G767" t="inlineStr">
        <is>
          <t>G00301</t>
        </is>
      </c>
      <c r="H767" t="str">
        <f>INDEX('Match Groups'!$C$5:$C$1326,MATCH(G767,'Match Groups'!$A$5:$A$1326,0))</f>
        <v>R03</v>
      </c>
      <c r="I767" t="str">
        <f>INDEX('Match Groups'!$D$5:$D$1326,MATCH(G767,'Match Groups'!$A$5:$A$1326,0))</f>
        <v>MATCH</v>
      </c>
      <c r="J767">
        <f>IF(I767="DUPIMP",0,1)</f>
        <v>1</v>
      </c>
    </row>
    <row r="768">
      <c r="A768" t="inlineStr">
        <is>
          <t>BL-00226</t>
        </is>
      </c>
      <c r="B768" t="inlineStr">
        <is>
          <t>OPS</t>
        </is>
      </c>
      <c r="C768" s="5" t="n">
        <v>46248</v>
      </c>
      <c r="D768" t="inlineStr">
        <is>
          <t>DIRECT CREDIT KOOKABURRA PLAN SUPP RA45023</t>
        </is>
      </c>
      <c r="E768" s="9" t="n">
        <v>805.96</v>
      </c>
      <c r="F768" t="inlineStr">
        <is>
          <t>OPS-20260814</t>
        </is>
      </c>
      <c r="G768" t="inlineStr">
        <is>
          <t>G00302</t>
        </is>
      </c>
      <c r="H768" t="str">
        <f>INDEX('Match Groups'!$C$5:$C$1326,MATCH(G768,'Match Groups'!$A$5:$A$1326,0))</f>
        <v>R03</v>
      </c>
      <c r="I768" t="str">
        <f>INDEX('Match Groups'!$D$5:$D$1326,MATCH(G768,'Match Groups'!$A$5:$A$1326,0))</f>
        <v>MATCH</v>
      </c>
      <c r="J768">
        <f>IF(I768="DUPIMP",0,1)</f>
        <v>1</v>
      </c>
    </row>
    <row r="769">
      <c r="A769" t="inlineStr">
        <is>
          <t>BL-00227</t>
        </is>
      </c>
      <c r="B769" t="inlineStr">
        <is>
          <t>OPS</t>
        </is>
      </c>
      <c r="C769" s="5" t="n">
        <v>46248</v>
      </c>
      <c r="D769" t="inlineStr">
        <is>
          <t>DIRECT CREDIT LYREBIRD PLAN MANA RA45024</t>
        </is>
      </c>
      <c r="E769" s="9" t="n">
        <v>320.98</v>
      </c>
      <c r="F769" t="inlineStr">
        <is>
          <t>OPS-20260814</t>
        </is>
      </c>
      <c r="G769" t="inlineStr">
        <is>
          <t>G00303</t>
        </is>
      </c>
      <c r="H769" t="str">
        <f>INDEX('Match Groups'!$C$5:$C$1326,MATCH(G769,'Match Groups'!$A$5:$A$1326,0))</f>
        <v>R03</v>
      </c>
      <c r="I769" t="str">
        <f>INDEX('Match Groups'!$D$5:$D$1326,MATCH(G769,'Match Groups'!$A$5:$A$1326,0))</f>
        <v>REG</v>
      </c>
      <c r="J769">
        <f>IF(I769="DUPIMP",0,1)</f>
        <v>1</v>
      </c>
    </row>
    <row r="770">
      <c r="A770" t="inlineStr">
        <is>
          <t>BL-00228</t>
        </is>
      </c>
      <c r="B770" t="inlineStr">
        <is>
          <t>OPS</t>
        </is>
      </c>
      <c r="C770" s="5" t="n">
        <v>46248</v>
      </c>
      <c r="D770" t="inlineStr">
        <is>
          <t>DIRECT CREDIT MALLEE PLAN SERVICES RA45025</t>
        </is>
      </c>
      <c r="E770" s="9" t="n">
        <v>1522.81</v>
      </c>
      <c r="F770" t="inlineStr">
        <is>
          <t>OPS-20260814</t>
        </is>
      </c>
      <c r="G770" t="inlineStr">
        <is>
          <t>G00304</t>
        </is>
      </c>
      <c r="H770" t="str">
        <f>INDEX('Match Groups'!$C$5:$C$1326,MATCH(G770,'Match Groups'!$A$5:$A$1326,0))</f>
        <v>R03</v>
      </c>
      <c r="I770" t="str">
        <f>INDEX('Match Groups'!$D$5:$D$1326,MATCH(G770,'Match Groups'!$A$5:$A$1326,0))</f>
        <v>MATCH</v>
      </c>
      <c r="J770">
        <f>IF(I770="DUPIMP",0,1)</f>
        <v>1</v>
      </c>
    </row>
    <row r="771">
      <c r="A771" t="inlineStr">
        <is>
          <t>BL-00434</t>
        </is>
      </c>
      <c r="B771" t="inlineStr">
        <is>
          <t>OPS</t>
        </is>
      </c>
      <c r="C771" s="5" t="n">
        <v>46248</v>
      </c>
      <c r="D771" t="inlineStr">
        <is>
          <t>DIRECT CREDIT HARBOUR MUTUAL HEALT CLM5874099 INV/2026/02416</t>
        </is>
      </c>
      <c r="E771" s="9" t="n">
        <v>132</v>
      </c>
      <c r="F771" t="inlineStr">
        <is>
          <t>OPS-20260814</t>
        </is>
      </c>
      <c r="G771" t="inlineStr">
        <is>
          <t>G01006</t>
        </is>
      </c>
      <c r="H771" t="str">
        <f>INDEX('Match Groups'!$C$5:$C$1326,MATCH(G771,'Match Groups'!$A$5:$A$1326,0))</f>
        <v>R09</v>
      </c>
      <c r="I771" t="str">
        <f>INDEX('Match Groups'!$D$5:$D$1326,MATCH(G771,'Match Groups'!$A$5:$A$1326,0))</f>
        <v>MATCH</v>
      </c>
      <c r="J771">
        <f>IF(I771="DUPIMP",0,1)</f>
        <v>1</v>
      </c>
    </row>
    <row r="772">
      <c r="A772" t="inlineStr">
        <is>
          <t>BL-00525</t>
        </is>
      </c>
      <c r="B772" t="inlineStr">
        <is>
          <t>OPS</t>
        </is>
      </c>
      <c r="C772" s="5" t="n">
        <v>46248</v>
      </c>
      <c r="D772" t="inlineStr">
        <is>
          <t>DIRECT CREDIT MERIDIAN HEALTH COVE CLM5617804 INV 2510</t>
        </is>
      </c>
      <c r="E772" s="9" t="n">
        <v>412.5</v>
      </c>
      <c r="F772" t="inlineStr">
        <is>
          <t>OPS-20260814</t>
        </is>
      </c>
      <c r="G772" t="inlineStr">
        <is>
          <t>G01007</t>
        </is>
      </c>
      <c r="H772" t="str">
        <f>INDEX('Match Groups'!$C$5:$C$1326,MATCH(G772,'Match Groups'!$A$5:$A$1326,0))</f>
        <v>R09</v>
      </c>
      <c r="I772" t="str">
        <f>INDEX('Match Groups'!$D$5:$D$1326,MATCH(G772,'Match Groups'!$A$5:$A$1326,0))</f>
        <v>MATCH</v>
      </c>
      <c r="J772">
        <f>IF(I772="DUPIMP",0,1)</f>
        <v>1</v>
      </c>
    </row>
    <row r="773">
      <c r="A773" t="inlineStr">
        <is>
          <t>BL-00719</t>
        </is>
      </c>
      <c r="B773" t="inlineStr">
        <is>
          <t>OPS</t>
        </is>
      </c>
      <c r="C773" s="5" t="n">
        <v>46248</v>
      </c>
      <c r="D773" t="inlineStr">
        <is>
          <t>STRIPE PAYOUT STRIPE po_1Q0033KX</t>
        </is>
      </c>
      <c r="E773" s="9" t="n">
        <v>2871.52</v>
      </c>
      <c r="F773" t="inlineStr">
        <is>
          <t>OPS-20260814</t>
        </is>
      </c>
      <c r="G773" t="inlineStr">
        <is>
          <t>G00046</t>
        </is>
      </c>
      <c r="H773" t="str">
        <f>INDEX('Match Groups'!$C$5:$C$1326,MATCH(G773,'Match Groups'!$A$5:$A$1326,0))</f>
        <v>R02</v>
      </c>
      <c r="I773" t="str">
        <f>INDEX('Match Groups'!$D$5:$D$1326,MATCH(G773,'Match Groups'!$A$5:$A$1326,0))</f>
        <v>STRIPE-FEE</v>
      </c>
      <c r="J773">
        <f>IF(I773="DUPIMP",0,1)</f>
        <v>1</v>
      </c>
    </row>
    <row r="774">
      <c r="A774" t="inlineStr">
        <is>
          <t>BL-00806</t>
        </is>
      </c>
      <c r="B774" t="inlineStr">
        <is>
          <t>OPS</t>
        </is>
      </c>
      <c r="C774" s="5" t="n">
        <v>46248</v>
      </c>
      <c r="D774" t="inlineStr">
        <is>
          <t>CHEQUE 000405</t>
        </is>
      </c>
      <c r="E774" s="9" t="n">
        <v>-132</v>
      </c>
      <c r="F774" t="inlineStr">
        <is>
          <t>OPS-20260814</t>
        </is>
      </c>
      <c r="G774" t="inlineStr">
        <is>
          <t>G00525</t>
        </is>
      </c>
      <c r="H774" t="str">
        <f>INDEX('Match Groups'!$C$5:$C$1326,MATCH(G774,'Match Groups'!$A$5:$A$1326,0))</f>
        <v>R07</v>
      </c>
      <c r="I774" t="str">
        <f>INDEX('Match Groups'!$D$5:$D$1326,MATCH(G774,'Match Groups'!$A$5:$A$1326,0))</f>
        <v>MATCH</v>
      </c>
      <c r="J774">
        <f>IF(I774="DUPIMP",0,1)</f>
        <v>1</v>
      </c>
    </row>
    <row r="775">
      <c r="A775" t="inlineStr">
        <is>
          <t>BL-00807</t>
        </is>
      </c>
      <c r="B775" t="inlineStr">
        <is>
          <t>OPS</t>
        </is>
      </c>
      <c r="C775" s="5" t="n">
        <v>46248</v>
      </c>
      <c r="D775" t="inlineStr">
        <is>
          <t>CHEQUE 000406</t>
        </is>
      </c>
      <c r="E775" s="9" t="n">
        <v>-132</v>
      </c>
      <c r="F775" t="inlineStr">
        <is>
          <t>OPS-20260814</t>
        </is>
      </c>
      <c r="G775" t="inlineStr">
        <is>
          <t>G00526</t>
        </is>
      </c>
      <c r="H775" t="str">
        <f>INDEX('Match Groups'!$C$5:$C$1326,MATCH(G775,'Match Groups'!$A$5:$A$1326,0))</f>
        <v>R07</v>
      </c>
      <c r="I775" t="str">
        <f>INDEX('Match Groups'!$D$5:$D$1326,MATCH(G775,'Match Groups'!$A$5:$A$1326,0))</f>
        <v>MATCH</v>
      </c>
      <c r="J775">
        <f>IF(I775="DUPIMP",0,1)</f>
        <v>1</v>
      </c>
    </row>
    <row r="776">
      <c r="A776" t="inlineStr">
        <is>
          <t>BL-00808</t>
        </is>
      </c>
      <c r="B776" t="inlineStr">
        <is>
          <t>OPS</t>
        </is>
      </c>
      <c r="C776" s="5" t="n">
        <v>46248</v>
      </c>
      <c r="D776" t="inlineStr">
        <is>
          <t>CHEQUE 000407</t>
        </is>
      </c>
      <c r="E776" s="9" t="n">
        <v>-924</v>
      </c>
      <c r="F776" t="inlineStr">
        <is>
          <t>OPS-20260814</t>
        </is>
      </c>
      <c r="G776" t="inlineStr">
        <is>
          <t>G00527</t>
        </is>
      </c>
      <c r="H776" t="str">
        <f>INDEX('Match Groups'!$C$5:$C$1326,MATCH(G776,'Match Groups'!$A$5:$A$1326,0))</f>
        <v>R07</v>
      </c>
      <c r="I776" t="str">
        <f>INDEX('Match Groups'!$D$5:$D$1326,MATCH(G776,'Match Groups'!$A$5:$A$1326,0))</f>
        <v>MATCH</v>
      </c>
      <c r="J776">
        <f>IF(I776="DUPIMP",0,1)</f>
        <v>1</v>
      </c>
    </row>
    <row r="777">
      <c r="A777" t="inlineStr">
        <is>
          <t>BL-01624</t>
        </is>
      </c>
      <c r="B777" t="inlineStr">
        <is>
          <t>OPS</t>
        </is>
      </c>
      <c r="C777" s="5" t="n">
        <v>46248</v>
      </c>
      <c r="D777" t="inlineStr">
        <is>
          <t>DIRECT CREDIT BLUEGUM PLAN MGMT RA45019</t>
        </is>
      </c>
      <c r="E777" s="9" t="n">
        <v>563.47</v>
      </c>
      <c r="F777" t="inlineStr">
        <is>
          <t>OPS-20260814-R</t>
        </is>
      </c>
      <c r="G777" t="inlineStr">
        <is>
          <t>G00001</t>
        </is>
      </c>
      <c r="H777" t="str">
        <f>INDEX('Match Groups'!$C$5:$C$1326,MATCH(G777,'Match Groups'!$A$5:$A$1326,0))</f>
        <v>R01</v>
      </c>
      <c r="I777" t="str">
        <f>INDEX('Match Groups'!$D$5:$D$1326,MATCH(G777,'Match Groups'!$A$5:$A$1326,0))</f>
        <v>DUPIMP</v>
      </c>
      <c r="J777">
        <f>IF(I777="DUPIMP",0,1)</f>
        <v>0</v>
      </c>
    </row>
    <row r="778">
      <c r="A778" t="inlineStr">
        <is>
          <t>BL-01625</t>
        </is>
      </c>
      <c r="B778" t="inlineStr">
        <is>
          <t>OPS</t>
        </is>
      </c>
      <c r="C778" s="5" t="n">
        <v>46248</v>
      </c>
      <c r="D778" t="inlineStr">
        <is>
          <t>DIRECT CREDIT CLEARPATH NDIS PLANS P RA45020</t>
        </is>
      </c>
      <c r="E778" s="9" t="n">
        <v>834.16</v>
      </c>
      <c r="F778" t="inlineStr">
        <is>
          <t>OPS-20260814-R</t>
        </is>
      </c>
      <c r="G778" t="inlineStr">
        <is>
          <t>G00002</t>
        </is>
      </c>
      <c r="H778" t="str">
        <f>INDEX('Match Groups'!$C$5:$C$1326,MATCH(G778,'Match Groups'!$A$5:$A$1326,0))</f>
        <v>R01</v>
      </c>
      <c r="I778" t="str">
        <f>INDEX('Match Groups'!$D$5:$D$1326,MATCH(G778,'Match Groups'!$A$5:$A$1326,0))</f>
        <v>DUPIMP</v>
      </c>
      <c r="J778">
        <f>IF(I778="DUPIMP",0,1)</f>
        <v>0</v>
      </c>
    </row>
    <row r="779">
      <c r="A779" t="inlineStr">
        <is>
          <t>BL-01626</t>
        </is>
      </c>
      <c r="B779" t="inlineStr">
        <is>
          <t>OPS</t>
        </is>
      </c>
      <c r="C779" s="5" t="n">
        <v>46248</v>
      </c>
      <c r="D779" t="inlineStr">
        <is>
          <t>DIRECT CREDIT BANKSIAPLANCO RA45021</t>
        </is>
      </c>
      <c r="E779" s="9" t="n">
        <v>193.99</v>
      </c>
      <c r="F779" t="inlineStr">
        <is>
          <t>OPS-20260814-R</t>
        </is>
      </c>
      <c r="G779" t="inlineStr">
        <is>
          <t>G00003</t>
        </is>
      </c>
      <c r="H779" t="str">
        <f>INDEX('Match Groups'!$C$5:$C$1326,MATCH(G779,'Match Groups'!$A$5:$A$1326,0))</f>
        <v>R01</v>
      </c>
      <c r="I779" t="str">
        <f>INDEX('Match Groups'!$D$5:$D$1326,MATCH(G779,'Match Groups'!$A$5:$A$1326,0))</f>
        <v>DUPIMP</v>
      </c>
      <c r="J779">
        <f>IF(I779="DUPIMP",0,1)</f>
        <v>0</v>
      </c>
    </row>
    <row r="780">
      <c r="A780" t="inlineStr">
        <is>
          <t>BL-01627</t>
        </is>
      </c>
      <c r="B780" t="inlineStr">
        <is>
          <t>OPS</t>
        </is>
      </c>
      <c r="C780" s="5" t="n">
        <v>46248</v>
      </c>
      <c r="D780" t="inlineStr">
        <is>
          <t>DIRECT CREDIT IRONBARK PLAN MANAGEME RA45022</t>
        </is>
      </c>
      <c r="E780" s="9" t="n">
        <v>290.98</v>
      </c>
      <c r="F780" t="inlineStr">
        <is>
          <t>OPS-20260814-R</t>
        </is>
      </c>
      <c r="G780" t="inlineStr">
        <is>
          <t>G00004</t>
        </is>
      </c>
      <c r="H780" t="str">
        <f>INDEX('Match Groups'!$C$5:$C$1326,MATCH(G780,'Match Groups'!$A$5:$A$1326,0))</f>
        <v>R01</v>
      </c>
      <c r="I780" t="str">
        <f>INDEX('Match Groups'!$D$5:$D$1326,MATCH(G780,'Match Groups'!$A$5:$A$1326,0))</f>
        <v>DUPIMP</v>
      </c>
      <c r="J780">
        <f>IF(I780="DUPIMP",0,1)</f>
        <v>0</v>
      </c>
    </row>
    <row r="781">
      <c r="A781" t="inlineStr">
        <is>
          <t>BL-01628</t>
        </is>
      </c>
      <c r="B781" t="inlineStr">
        <is>
          <t>OPS</t>
        </is>
      </c>
      <c r="C781" s="5" t="n">
        <v>46248</v>
      </c>
      <c r="D781" t="inlineStr">
        <is>
          <t>DIRECT CREDIT KOOKABURRA PLAN SUPP RA45023</t>
        </is>
      </c>
      <c r="E781" s="9" t="n">
        <v>805.96</v>
      </c>
      <c r="F781" t="inlineStr">
        <is>
          <t>OPS-20260814-R</t>
        </is>
      </c>
      <c r="G781" t="inlineStr">
        <is>
          <t>G00005</t>
        </is>
      </c>
      <c r="H781" t="str">
        <f>INDEX('Match Groups'!$C$5:$C$1326,MATCH(G781,'Match Groups'!$A$5:$A$1326,0))</f>
        <v>R01</v>
      </c>
      <c r="I781" t="str">
        <f>INDEX('Match Groups'!$D$5:$D$1326,MATCH(G781,'Match Groups'!$A$5:$A$1326,0))</f>
        <v>DUPIMP</v>
      </c>
      <c r="J781">
        <f>IF(I781="DUPIMP",0,1)</f>
        <v>0</v>
      </c>
    </row>
    <row r="782">
      <c r="A782" t="inlineStr">
        <is>
          <t>BL-01629</t>
        </is>
      </c>
      <c r="B782" t="inlineStr">
        <is>
          <t>OPS</t>
        </is>
      </c>
      <c r="C782" s="5" t="n">
        <v>46248</v>
      </c>
      <c r="D782" t="inlineStr">
        <is>
          <t>DIRECT CREDIT LYREBIRD PLAN MANA RA45024</t>
        </is>
      </c>
      <c r="E782" s="9" t="n">
        <v>320.98</v>
      </c>
      <c r="F782" t="inlineStr">
        <is>
          <t>OPS-20260814-R</t>
        </is>
      </c>
      <c r="G782" t="inlineStr">
        <is>
          <t>G00006</t>
        </is>
      </c>
      <c r="H782" t="str">
        <f>INDEX('Match Groups'!$C$5:$C$1326,MATCH(G782,'Match Groups'!$A$5:$A$1326,0))</f>
        <v>R01</v>
      </c>
      <c r="I782" t="str">
        <f>INDEX('Match Groups'!$D$5:$D$1326,MATCH(G782,'Match Groups'!$A$5:$A$1326,0))</f>
        <v>DUPIMP</v>
      </c>
      <c r="J782">
        <f>IF(I782="DUPIMP",0,1)</f>
        <v>0</v>
      </c>
    </row>
    <row r="783">
      <c r="A783" t="inlineStr">
        <is>
          <t>BL-01630</t>
        </is>
      </c>
      <c r="B783" t="inlineStr">
        <is>
          <t>OPS</t>
        </is>
      </c>
      <c r="C783" s="5" t="n">
        <v>46248</v>
      </c>
      <c r="D783" t="inlineStr">
        <is>
          <t>DIRECT CREDIT MALLEE PLAN SERVICES RA45025</t>
        </is>
      </c>
      <c r="E783" s="9" t="n">
        <v>1522.81</v>
      </c>
      <c r="F783" t="inlineStr">
        <is>
          <t>OPS-20260814-R</t>
        </is>
      </c>
      <c r="G783" t="inlineStr">
        <is>
          <t>G00007</t>
        </is>
      </c>
      <c r="H783" t="str">
        <f>INDEX('Match Groups'!$C$5:$C$1326,MATCH(G783,'Match Groups'!$A$5:$A$1326,0))</f>
        <v>R01</v>
      </c>
      <c r="I783" t="str">
        <f>INDEX('Match Groups'!$D$5:$D$1326,MATCH(G783,'Match Groups'!$A$5:$A$1326,0))</f>
        <v>DUPIMP</v>
      </c>
      <c r="J783">
        <f>IF(I783="DUPIMP",0,1)</f>
        <v>0</v>
      </c>
    </row>
    <row r="784">
      <c r="A784" t="inlineStr">
        <is>
          <t>BL-01631</t>
        </is>
      </c>
      <c r="B784" t="inlineStr">
        <is>
          <t>OPS</t>
        </is>
      </c>
      <c r="C784" s="5" t="n">
        <v>46248</v>
      </c>
      <c r="D784" t="inlineStr">
        <is>
          <t>DIRECT CREDIT HARBOUR MUTUAL HEALT CLM5874099 INV/2026/02416</t>
        </is>
      </c>
      <c r="E784" s="9" t="n">
        <v>132</v>
      </c>
      <c r="F784" t="inlineStr">
        <is>
          <t>OPS-20260814-R</t>
        </is>
      </c>
      <c r="G784" t="inlineStr">
        <is>
          <t>G00008</t>
        </is>
      </c>
      <c r="H784" t="str">
        <f>INDEX('Match Groups'!$C$5:$C$1326,MATCH(G784,'Match Groups'!$A$5:$A$1326,0))</f>
        <v>R01</v>
      </c>
      <c r="I784" t="str">
        <f>INDEX('Match Groups'!$D$5:$D$1326,MATCH(G784,'Match Groups'!$A$5:$A$1326,0))</f>
        <v>DUPIMP</v>
      </c>
      <c r="J784">
        <f>IF(I784="DUPIMP",0,1)</f>
        <v>0</v>
      </c>
    </row>
    <row r="785">
      <c r="A785" t="inlineStr">
        <is>
          <t>BL-01632</t>
        </is>
      </c>
      <c r="B785" t="inlineStr">
        <is>
          <t>OPS</t>
        </is>
      </c>
      <c r="C785" s="5" t="n">
        <v>46248</v>
      </c>
      <c r="D785" t="inlineStr">
        <is>
          <t>DIRECT CREDIT MERIDIAN HEALTH COVE CLM5617804 INV 2510</t>
        </is>
      </c>
      <c r="E785" s="9" t="n">
        <v>412.5</v>
      </c>
      <c r="F785" t="inlineStr">
        <is>
          <t>OPS-20260814-R</t>
        </is>
      </c>
      <c r="G785" t="inlineStr">
        <is>
          <t>G00009</t>
        </is>
      </c>
      <c r="H785" t="str">
        <f>INDEX('Match Groups'!$C$5:$C$1326,MATCH(G785,'Match Groups'!$A$5:$A$1326,0))</f>
        <v>R01</v>
      </c>
      <c r="I785" t="str">
        <f>INDEX('Match Groups'!$D$5:$D$1326,MATCH(G785,'Match Groups'!$A$5:$A$1326,0))</f>
        <v>DUPIMP</v>
      </c>
      <c r="J785">
        <f>IF(I785="DUPIMP",0,1)</f>
        <v>0</v>
      </c>
    </row>
    <row r="786">
      <c r="A786" t="inlineStr">
        <is>
          <t>BL-01633</t>
        </is>
      </c>
      <c r="B786" t="inlineStr">
        <is>
          <t>OPS</t>
        </is>
      </c>
      <c r="C786" s="5" t="n">
        <v>46248</v>
      </c>
      <c r="D786" t="inlineStr">
        <is>
          <t>STRIPE PAYOUT STRIPE po_1Q0033KX</t>
        </is>
      </c>
      <c r="E786" s="9" t="n">
        <v>2871.52</v>
      </c>
      <c r="F786" t="inlineStr">
        <is>
          <t>OPS-20260814-R</t>
        </is>
      </c>
      <c r="G786" t="inlineStr">
        <is>
          <t>G00010</t>
        </is>
      </c>
      <c r="H786" t="str">
        <f>INDEX('Match Groups'!$C$5:$C$1326,MATCH(G786,'Match Groups'!$A$5:$A$1326,0))</f>
        <v>R01</v>
      </c>
      <c r="I786" t="str">
        <f>INDEX('Match Groups'!$D$5:$D$1326,MATCH(G786,'Match Groups'!$A$5:$A$1326,0))</f>
        <v>DUPIMP</v>
      </c>
      <c r="J786">
        <f>IF(I786="DUPIMP",0,1)</f>
        <v>0</v>
      </c>
    </row>
    <row r="787">
      <c r="A787" t="inlineStr">
        <is>
          <t>BL-01634</t>
        </is>
      </c>
      <c r="B787" t="inlineStr">
        <is>
          <t>OPS</t>
        </is>
      </c>
      <c r="C787" s="5" t="n">
        <v>46248</v>
      </c>
      <c r="D787" t="inlineStr">
        <is>
          <t>CHEQUE 000405</t>
        </is>
      </c>
      <c r="E787" s="9" t="n">
        <v>-132</v>
      </c>
      <c r="F787" t="inlineStr">
        <is>
          <t>OPS-20260814-R</t>
        </is>
      </c>
      <c r="G787" t="inlineStr">
        <is>
          <t>G00011</t>
        </is>
      </c>
      <c r="H787" t="str">
        <f>INDEX('Match Groups'!$C$5:$C$1326,MATCH(G787,'Match Groups'!$A$5:$A$1326,0))</f>
        <v>R01</v>
      </c>
      <c r="I787" t="str">
        <f>INDEX('Match Groups'!$D$5:$D$1326,MATCH(G787,'Match Groups'!$A$5:$A$1326,0))</f>
        <v>DUPIMP</v>
      </c>
      <c r="J787">
        <f>IF(I787="DUPIMP",0,1)</f>
        <v>0</v>
      </c>
    </row>
    <row r="788">
      <c r="A788" t="inlineStr">
        <is>
          <t>BL-01635</t>
        </is>
      </c>
      <c r="B788" t="inlineStr">
        <is>
          <t>OPS</t>
        </is>
      </c>
      <c r="C788" s="5" t="n">
        <v>46248</v>
      </c>
      <c r="D788" t="inlineStr">
        <is>
          <t>CHEQUE 000406</t>
        </is>
      </c>
      <c r="E788" s="9" t="n">
        <v>-132</v>
      </c>
      <c r="F788" t="inlineStr">
        <is>
          <t>OPS-20260814-R</t>
        </is>
      </c>
      <c r="G788" t="inlineStr">
        <is>
          <t>G00012</t>
        </is>
      </c>
      <c r="H788" t="str">
        <f>INDEX('Match Groups'!$C$5:$C$1326,MATCH(G788,'Match Groups'!$A$5:$A$1326,0))</f>
        <v>R01</v>
      </c>
      <c r="I788" t="str">
        <f>INDEX('Match Groups'!$D$5:$D$1326,MATCH(G788,'Match Groups'!$A$5:$A$1326,0))</f>
        <v>DUPIMP</v>
      </c>
      <c r="J788">
        <f>IF(I788="DUPIMP",0,1)</f>
        <v>0</v>
      </c>
    </row>
    <row r="789">
      <c r="A789" t="inlineStr">
        <is>
          <t>BL-01636</t>
        </is>
      </c>
      <c r="B789" t="inlineStr">
        <is>
          <t>OPS</t>
        </is>
      </c>
      <c r="C789" s="5" t="n">
        <v>46248</v>
      </c>
      <c r="D789" t="inlineStr">
        <is>
          <t>CHEQUE 000407</t>
        </is>
      </c>
      <c r="E789" s="9" t="n">
        <v>-924</v>
      </c>
      <c r="F789" t="inlineStr">
        <is>
          <t>OPS-20260814-R</t>
        </is>
      </c>
      <c r="G789" t="inlineStr">
        <is>
          <t>G00013</t>
        </is>
      </c>
      <c r="H789" t="str">
        <f>INDEX('Match Groups'!$C$5:$C$1326,MATCH(G789,'Match Groups'!$A$5:$A$1326,0))</f>
        <v>R01</v>
      </c>
      <c r="I789" t="str">
        <f>INDEX('Match Groups'!$D$5:$D$1326,MATCH(G789,'Match Groups'!$A$5:$A$1326,0))</f>
        <v>DUPIMP</v>
      </c>
      <c r="J789">
        <f>IF(I789="DUPIMP",0,1)</f>
        <v>0</v>
      </c>
    </row>
    <row r="790">
      <c r="A790" t="inlineStr">
        <is>
          <t>BL-00229</t>
        </is>
      </c>
      <c r="B790" t="inlineStr">
        <is>
          <t>OPS</t>
        </is>
      </c>
      <c r="C790" s="5" t="n">
        <v>46251</v>
      </c>
      <c r="D790" t="inlineStr">
        <is>
          <t>DIRECT CREDIT RIVERBEND PLAN PARTN RA45026</t>
        </is>
      </c>
      <c r="E790" s="9" t="n">
        <v>834.16</v>
      </c>
      <c r="F790" t="inlineStr">
        <is>
          <t>OPS-20260817</t>
        </is>
      </c>
      <c r="G790" t="inlineStr">
        <is>
          <t>G00305</t>
        </is>
      </c>
      <c r="H790" t="str">
        <f>INDEX('Match Groups'!$C$5:$C$1326,MATCH(G790,'Match Groups'!$A$5:$A$1326,0))</f>
        <v>R03</v>
      </c>
      <c r="I790" t="str">
        <f>INDEX('Match Groups'!$D$5:$D$1326,MATCH(G790,'Match Groups'!$A$5:$A$1326,0))</f>
        <v>MATCH</v>
      </c>
      <c r="J790">
        <f>IF(I790="DUPIMP",0,1)</f>
        <v>1</v>
      </c>
    </row>
    <row r="791">
      <c r="A791" t="inlineStr">
        <is>
          <t>BL-00230</t>
        </is>
      </c>
      <c r="B791" t="inlineStr">
        <is>
          <t>OPS</t>
        </is>
      </c>
      <c r="C791" s="5" t="n">
        <v>46251</v>
      </c>
      <c r="D791" t="inlineStr">
        <is>
          <t>DIRECT CREDIT IRONBARK PLAN MGMT RA45027</t>
        </is>
      </c>
      <c r="E791" s="9" t="n">
        <v>1746.81</v>
      </c>
      <c r="F791" t="inlineStr">
        <is>
          <t>OPS-20260817</t>
        </is>
      </c>
      <c r="G791" t="inlineStr">
        <is>
          <t>G00306</t>
        </is>
      </c>
      <c r="H791" t="str">
        <f>INDEX('Match Groups'!$C$5:$C$1326,MATCH(G791,'Match Groups'!$A$5:$A$1326,0))</f>
        <v>R03</v>
      </c>
      <c r="I791" t="str">
        <f>INDEX('Match Groups'!$D$5:$D$1326,MATCH(G791,'Match Groups'!$A$5:$A$1326,0))</f>
        <v>REG</v>
      </c>
      <c r="J791">
        <f>IF(I791="DUPIMP",0,1)</f>
        <v>1</v>
      </c>
    </row>
    <row r="792">
      <c r="A792" t="inlineStr">
        <is>
          <t>BL-00231</t>
        </is>
      </c>
      <c r="B792" t="inlineStr">
        <is>
          <t>OPS</t>
        </is>
      </c>
      <c r="C792" s="5" t="n">
        <v>46251</v>
      </c>
      <c r="D792" t="inlineStr">
        <is>
          <t>DIRECT CREDIT SOUTHERN CROSS PLA RA45028</t>
        </is>
      </c>
      <c r="E792" s="9" t="n">
        <v>1698.31</v>
      </c>
      <c r="F792" t="inlineStr">
        <is>
          <t>OPS-20260817</t>
        </is>
      </c>
      <c r="G792" t="inlineStr">
        <is>
          <t>G00307</t>
        </is>
      </c>
      <c r="H792" t="str">
        <f>INDEX('Match Groups'!$C$5:$C$1326,MATCH(G792,'Match Groups'!$A$5:$A$1326,0))</f>
        <v>R03</v>
      </c>
      <c r="I792" t="str">
        <f>INDEX('Match Groups'!$D$5:$D$1326,MATCH(G792,'Match Groups'!$A$5:$A$1326,0))</f>
        <v>MATCH</v>
      </c>
      <c r="J792">
        <f>IF(I792="DUPIMP",0,1)</f>
        <v>1</v>
      </c>
    </row>
    <row r="793">
      <c r="A793" t="inlineStr">
        <is>
          <t>BL-00232</t>
        </is>
      </c>
      <c r="B793" t="inlineStr">
        <is>
          <t>OPS</t>
        </is>
      </c>
      <c r="C793" s="5" t="n">
        <v>46251</v>
      </c>
      <c r="D793" t="inlineStr">
        <is>
          <t>DIRECT CREDIT TALLOWWOOD PLANS RA45029</t>
        </is>
      </c>
      <c r="E793" s="9" t="n">
        <v>1222.13</v>
      </c>
      <c r="F793" t="inlineStr">
        <is>
          <t>OPS-20260817</t>
        </is>
      </c>
      <c r="G793" t="inlineStr">
        <is>
          <t>G00308</t>
        </is>
      </c>
      <c r="H793" t="str">
        <f>INDEX('Match Groups'!$C$5:$C$1326,MATCH(G793,'Match Groups'!$A$5:$A$1326,0))</f>
        <v>R03</v>
      </c>
      <c r="I793" t="str">
        <f>INDEX('Match Groups'!$D$5:$D$1326,MATCH(G793,'Match Groups'!$A$5:$A$1326,0))</f>
        <v>MATCH</v>
      </c>
      <c r="J793">
        <f>IF(I793="DUPIMP",0,1)</f>
        <v>1</v>
      </c>
    </row>
    <row r="794">
      <c r="A794" t="inlineStr">
        <is>
          <t>BL-00233</t>
        </is>
      </c>
      <c r="B794" t="inlineStr">
        <is>
          <t>OPS</t>
        </is>
      </c>
      <c r="C794" s="5" t="n">
        <v>46251</v>
      </c>
      <c r="D794" t="inlineStr">
        <is>
          <t>DIRECT CREDIT ACACIA PLAN PARTNERS RA45030</t>
        </is>
      </c>
      <c r="E794" s="9" t="n">
        <v>387.98</v>
      </c>
      <c r="F794" t="inlineStr">
        <is>
          <t>OPS-20260817</t>
        </is>
      </c>
      <c r="G794" t="inlineStr">
        <is>
          <t>G00309</t>
        </is>
      </c>
      <c r="H794" t="str">
        <f>INDEX('Match Groups'!$C$5:$C$1326,MATCH(G794,'Match Groups'!$A$5:$A$1326,0))</f>
        <v>R03</v>
      </c>
      <c r="I794" t="str">
        <f>INDEX('Match Groups'!$D$5:$D$1326,MATCH(G794,'Match Groups'!$A$5:$A$1326,0))</f>
        <v>MATCH</v>
      </c>
      <c r="J794">
        <f>IF(I794="DUPIMP",0,1)</f>
        <v>1</v>
      </c>
    </row>
    <row r="795">
      <c r="A795" t="inlineStr">
        <is>
          <t>BL-00673</t>
        </is>
      </c>
      <c r="B795" t="inlineStr">
        <is>
          <t>OPS</t>
        </is>
      </c>
      <c r="C795" s="5" t="n">
        <v>46251</v>
      </c>
      <c r="D795" t="inlineStr">
        <is>
          <t>DIRECT CREDIT ROSEDALE NURSERIES 03510</t>
        </is>
      </c>
      <c r="E795" s="9" t="n">
        <v>2035</v>
      </c>
      <c r="F795" t="inlineStr">
        <is>
          <t>OPS-20260817</t>
        </is>
      </c>
      <c r="G795" t="inlineStr">
        <is>
          <t>G01182</t>
        </is>
      </c>
      <c r="H795" t="str">
        <f>INDEX('Match Groups'!$C$5:$C$1326,MATCH(G795,'Match Groups'!$A$5:$A$1326,0))</f>
        <v>R11</v>
      </c>
      <c r="I795" t="str">
        <f>INDEX('Match Groups'!$D$5:$D$1326,MATCH(G795,'Match Groups'!$A$5:$A$1326,0))</f>
        <v>REG</v>
      </c>
      <c r="J795">
        <f>IF(I795="DUPIMP",0,1)</f>
        <v>1</v>
      </c>
    </row>
    <row r="796">
      <c r="A796" t="inlineStr">
        <is>
          <t>BL-00678</t>
        </is>
      </c>
      <c r="B796" t="inlineStr">
        <is>
          <t>OPS</t>
        </is>
      </c>
      <c r="C796" s="5" t="n">
        <v>46251</v>
      </c>
      <c r="D796" t="inlineStr">
        <is>
          <t>DIRECT CREDIT STANHOPE TRUCKING INV 3512</t>
        </is>
      </c>
      <c r="E796" s="9" t="n">
        <v>3465</v>
      </c>
      <c r="F796" t="inlineStr">
        <is>
          <t>OPS-20260817</t>
        </is>
      </c>
      <c r="G796" t="inlineStr">
        <is>
          <t>G01008</t>
        </is>
      </c>
      <c r="H796" t="str">
        <f>INDEX('Match Groups'!$C$5:$C$1326,MATCH(G796,'Match Groups'!$A$5:$A$1326,0))</f>
        <v>R09</v>
      </c>
      <c r="I796" t="str">
        <f>INDEX('Match Groups'!$D$5:$D$1326,MATCH(G796,'Match Groups'!$A$5:$A$1326,0))</f>
        <v>MATCH</v>
      </c>
      <c r="J796">
        <f>IF(I796="DUPIMP",0,1)</f>
        <v>1</v>
      </c>
    </row>
    <row r="797">
      <c r="A797" t="inlineStr">
        <is>
          <t>BL-00720</t>
        </is>
      </c>
      <c r="B797" t="inlineStr">
        <is>
          <t>OPS</t>
        </is>
      </c>
      <c r="C797" s="5" t="n">
        <v>46251</v>
      </c>
      <c r="D797" t="inlineStr">
        <is>
          <t>STRIPE PAYOUT STRIPE po_1Q0034KX</t>
        </is>
      </c>
      <c r="E797" s="9" t="n">
        <v>4033.96</v>
      </c>
      <c r="F797" t="inlineStr">
        <is>
          <t>OPS-20260817</t>
        </is>
      </c>
      <c r="G797" t="inlineStr">
        <is>
          <t>G00047</t>
        </is>
      </c>
      <c r="H797" t="str">
        <f>INDEX('Match Groups'!$C$5:$C$1326,MATCH(G797,'Match Groups'!$A$5:$A$1326,0))</f>
        <v>R02</v>
      </c>
      <c r="I797" t="str">
        <f>INDEX('Match Groups'!$D$5:$D$1326,MATCH(G797,'Match Groups'!$A$5:$A$1326,0))</f>
        <v>STRIPE-FEE</v>
      </c>
      <c r="J797">
        <f>IF(I797="DUPIMP",0,1)</f>
        <v>1</v>
      </c>
    </row>
    <row r="798">
      <c r="A798" t="inlineStr">
        <is>
          <t>BL-00784</t>
        </is>
      </c>
      <c r="B798" t="inlineStr">
        <is>
          <t>OPS</t>
        </is>
      </c>
      <c r="C798" s="5" t="n">
        <v>46251</v>
      </c>
      <c r="D798" t="inlineStr">
        <is>
          <t>DIRECT DEBIT FLEETWISEVEHICLE 382465</t>
        </is>
      </c>
      <c r="E798" s="9" t="n">
        <v>-3184.62</v>
      </c>
      <c r="F798" t="inlineStr">
        <is>
          <t>OPS-20260817</t>
        </is>
      </c>
      <c r="G798" t="inlineStr">
        <is>
          <t>G01143</t>
        </is>
      </c>
      <c r="H798" t="str">
        <f>INDEX('Match Groups'!$C$5:$C$1326,MATCH(G798,'Match Groups'!$A$5:$A$1326,0))</f>
        <v>R10</v>
      </c>
      <c r="I798" t="str">
        <f>INDEX('Match Groups'!$D$5:$D$1326,MATCH(G798,'Match Groups'!$A$5:$A$1326,0))</f>
        <v>MATCH</v>
      </c>
      <c r="J798">
        <f>IF(I798="DUPIMP",0,1)</f>
        <v>1</v>
      </c>
    </row>
    <row r="799">
      <c r="A799" t="inlineStr">
        <is>
          <t>BL-01574</t>
        </is>
      </c>
      <c r="B799" t="inlineStr">
        <is>
          <t>OPS</t>
        </is>
      </c>
      <c r="C799" s="5" t="n">
        <v>46251</v>
      </c>
      <c r="D799" t="inlineStr">
        <is>
          <t>SWEEP FROM MERCHANT ACCT</t>
        </is>
      </c>
      <c r="E799" s="9" t="n">
        <v>30000</v>
      </c>
      <c r="F799" t="inlineStr">
        <is>
          <t>OPS-20260817</t>
        </is>
      </c>
      <c r="G799" t="inlineStr">
        <is>
          <t>G00528</t>
        </is>
      </c>
      <c r="H799" t="str">
        <f>INDEX('Match Groups'!$C$5:$C$1326,MATCH(G799,'Match Groups'!$A$5:$A$1326,0))</f>
        <v>R04</v>
      </c>
      <c r="I799" t="str">
        <f>INDEX('Match Groups'!$D$5:$D$1326,MATCH(G799,'Match Groups'!$A$5:$A$1326,0))</f>
        <v>MATCH</v>
      </c>
      <c r="J799">
        <f>IF(I799="DUPIMP",0,1)</f>
        <v>1</v>
      </c>
    </row>
    <row r="800">
      <c r="A800" t="inlineStr">
        <is>
          <t>BL-00234</t>
        </is>
      </c>
      <c r="B800" t="inlineStr">
        <is>
          <t>OPS</t>
        </is>
      </c>
      <c r="C800" s="5" t="n">
        <v>46252</v>
      </c>
      <c r="D800" t="inlineStr">
        <is>
          <t>DIRECT CREDIT WATTLEPLANSERVIC RA45031</t>
        </is>
      </c>
      <c r="E800" s="9" t="n">
        <v>1612.81</v>
      </c>
      <c r="F800" t="inlineStr">
        <is>
          <t>OPS-20260818</t>
        </is>
      </c>
      <c r="G800" t="inlineStr">
        <is>
          <t>G00310</t>
        </is>
      </c>
      <c r="H800" t="str">
        <f>INDEX('Match Groups'!$C$5:$C$1326,MATCH(G800,'Match Groups'!$A$5:$A$1326,0))</f>
        <v>R03</v>
      </c>
      <c r="I800" t="str">
        <f>INDEX('Match Groups'!$D$5:$D$1326,MATCH(G800,'Match Groups'!$A$5:$A$1326,0))</f>
        <v>MATCH</v>
      </c>
      <c r="J800">
        <f>IF(I800="DUPIMP",0,1)</f>
        <v>1</v>
      </c>
    </row>
    <row r="801">
      <c r="A801" t="inlineStr">
        <is>
          <t>BL-00235</t>
        </is>
      </c>
      <c r="B801" t="inlineStr">
        <is>
          <t>OPS</t>
        </is>
      </c>
      <c r="C801" s="5" t="n">
        <v>46252</v>
      </c>
      <c r="D801" t="inlineStr">
        <is>
          <t>DIRECT CREDIT SALTBUSH PLAN MANAGE RA45032</t>
        </is>
      </c>
      <c r="E801" s="9" t="n">
        <v>2591.56</v>
      </c>
      <c r="F801" t="inlineStr">
        <is>
          <t>OPS-20260818</t>
        </is>
      </c>
      <c r="G801" t="inlineStr">
        <is>
          <t>G00311</t>
        </is>
      </c>
      <c r="H801" t="str">
        <f>INDEX('Match Groups'!$C$5:$C$1326,MATCH(G801,'Match Groups'!$A$5:$A$1326,0))</f>
        <v>R03</v>
      </c>
      <c r="I801" t="str">
        <f>INDEX('Match Groups'!$D$5:$D$1326,MATCH(G801,'Match Groups'!$A$5:$A$1326,0))</f>
        <v>MATCH</v>
      </c>
      <c r="J801">
        <f>IF(I801="DUPIMP",0,1)</f>
        <v>1</v>
      </c>
    </row>
    <row r="802">
      <c r="A802" t="inlineStr">
        <is>
          <t>BL-00236</t>
        </is>
      </c>
      <c r="B802" t="inlineStr">
        <is>
          <t>OPS</t>
        </is>
      </c>
      <c r="C802" s="5" t="n">
        <v>46252</v>
      </c>
      <c r="D802" t="inlineStr">
        <is>
          <t>DIRECT CREDIT REDGUM PLAN ADMIN PTY RA45033</t>
        </is>
      </c>
      <c r="E802" s="9" t="n">
        <v>1125.14</v>
      </c>
      <c r="F802" t="inlineStr">
        <is>
          <t>OPS-20260818</t>
        </is>
      </c>
      <c r="G802" t="inlineStr">
        <is>
          <t>G00312</t>
        </is>
      </c>
      <c r="H802" t="str">
        <f>INDEX('Match Groups'!$C$5:$C$1326,MATCH(G802,'Match Groups'!$A$5:$A$1326,0))</f>
        <v>R03</v>
      </c>
      <c r="I802" t="str">
        <f>INDEX('Match Groups'!$D$5:$D$1326,MATCH(G802,'Match Groups'!$A$5:$A$1326,0))</f>
        <v>REG</v>
      </c>
      <c r="J802">
        <f>IF(I802="DUPIMP",0,1)</f>
        <v>1</v>
      </c>
    </row>
    <row r="803">
      <c r="A803" t="inlineStr">
        <is>
          <t>BL-00237</t>
        </is>
      </c>
      <c r="B803" t="inlineStr">
        <is>
          <t>OPS</t>
        </is>
      </c>
      <c r="C803" s="5" t="n">
        <v>46252</v>
      </c>
      <c r="D803" t="inlineStr">
        <is>
          <t>DIRECT CREDIT LYREBIRD PLAN MANAGEME RA45034</t>
        </is>
      </c>
      <c r="E803" s="9" t="n">
        <v>1136.64</v>
      </c>
      <c r="F803" t="inlineStr">
        <is>
          <t>OPS-20260818</t>
        </is>
      </c>
      <c r="G803" t="inlineStr">
        <is>
          <t>G00313</t>
        </is>
      </c>
      <c r="H803" t="str">
        <f>INDEX('Match Groups'!$C$5:$C$1326,MATCH(G803,'Match Groups'!$A$5:$A$1326,0))</f>
        <v>R03</v>
      </c>
      <c r="I803" t="str">
        <f>INDEX('Match Groups'!$D$5:$D$1326,MATCH(G803,'Match Groups'!$A$5:$A$1326,0))</f>
        <v>MATCH</v>
      </c>
      <c r="J803">
        <f>IF(I803="DUPIMP",0,1)</f>
        <v>1</v>
      </c>
    </row>
    <row r="804">
      <c r="A804" t="inlineStr">
        <is>
          <t>BL-00238</t>
        </is>
      </c>
      <c r="B804" t="inlineStr">
        <is>
          <t>OPS</t>
        </is>
      </c>
      <c r="C804" s="5" t="n">
        <v>46252</v>
      </c>
      <c r="D804" t="inlineStr">
        <is>
          <t>DIRECT CREDIT TALLOWWOOD PLANS RA45035</t>
        </is>
      </c>
      <c r="E804" s="9" t="n">
        <v>1115.43</v>
      </c>
      <c r="F804" t="inlineStr">
        <is>
          <t>OPS-20260818</t>
        </is>
      </c>
      <c r="G804" t="inlineStr">
        <is>
          <t>G00314</t>
        </is>
      </c>
      <c r="H804" t="str">
        <f>INDEX('Match Groups'!$C$5:$C$1326,MATCH(G804,'Match Groups'!$A$5:$A$1326,0))</f>
        <v>R03</v>
      </c>
      <c r="I804" t="str">
        <f>INDEX('Match Groups'!$D$5:$D$1326,MATCH(G804,'Match Groups'!$A$5:$A$1326,0))</f>
        <v>MATCH</v>
      </c>
      <c r="J804">
        <f>IF(I804="DUPIMP",0,1)</f>
        <v>1</v>
      </c>
    </row>
    <row r="805">
      <c r="A805" t="inlineStr">
        <is>
          <t>BL-00239</t>
        </is>
      </c>
      <c r="B805" t="inlineStr">
        <is>
          <t>OPS</t>
        </is>
      </c>
      <c r="C805" s="5" t="n">
        <v>46252</v>
      </c>
      <c r="D805" t="inlineStr">
        <is>
          <t>DIRECT CREDIT ACACIA PLAN PARTNE RA45036</t>
        </is>
      </c>
      <c r="E805" s="9" t="n">
        <v>737.16</v>
      </c>
      <c r="F805" t="inlineStr">
        <is>
          <t>OPS-20260818</t>
        </is>
      </c>
      <c r="G805" t="inlineStr">
        <is>
          <t>G00315</t>
        </is>
      </c>
      <c r="H805" t="str">
        <f>INDEX('Match Groups'!$C$5:$C$1326,MATCH(G805,'Match Groups'!$A$5:$A$1326,0))</f>
        <v>R03</v>
      </c>
      <c r="I805" t="str">
        <f>INDEX('Match Groups'!$D$5:$D$1326,MATCH(G805,'Match Groups'!$A$5:$A$1326,0))</f>
        <v>MATCH</v>
      </c>
      <c r="J805">
        <f>IF(I805="DUPIMP",0,1)</f>
        <v>1</v>
      </c>
    </row>
    <row r="806">
      <c r="A806" t="inlineStr">
        <is>
          <t>BL-00543</t>
        </is>
      </c>
      <c r="B806" t="inlineStr">
        <is>
          <t>OPS</t>
        </is>
      </c>
      <c r="C806" s="5" t="n">
        <v>46252</v>
      </c>
      <c r="D806" t="inlineStr">
        <is>
          <t>DIRECT CREDIT NORTHLINE INJURY CLAIM CLM5936171 02534</t>
        </is>
      </c>
      <c r="E806" s="9" t="n">
        <v>88</v>
      </c>
      <c r="F806" t="inlineStr">
        <is>
          <t>OPS-20260818</t>
        </is>
      </c>
      <c r="G806" t="inlineStr">
        <is>
          <t>G01009</t>
        </is>
      </c>
      <c r="H806" t="str">
        <f>INDEX('Match Groups'!$C$5:$C$1326,MATCH(G806,'Match Groups'!$A$5:$A$1326,0))</f>
        <v>R09</v>
      </c>
      <c r="I806" t="str">
        <f>INDEX('Match Groups'!$D$5:$D$1326,MATCH(G806,'Match Groups'!$A$5:$A$1326,0))</f>
        <v>MATCH</v>
      </c>
      <c r="J806">
        <f>IF(I806="DUPIMP",0,1)</f>
        <v>1</v>
      </c>
    </row>
    <row r="807">
      <c r="A807" t="inlineStr">
        <is>
          <t>BL-00574</t>
        </is>
      </c>
      <c r="B807" t="inlineStr">
        <is>
          <t>OPS</t>
        </is>
      </c>
      <c r="C807" s="5" t="n">
        <v>46252</v>
      </c>
      <c r="D807" t="inlineStr">
        <is>
          <t>DIRECT CREDIT OSTRANDERMANUFAC INV/2026/03472</t>
        </is>
      </c>
      <c r="E807" s="9" t="n">
        <v>6902.5</v>
      </c>
      <c r="F807" t="inlineStr">
        <is>
          <t>OPS-20260818</t>
        </is>
      </c>
      <c r="G807" t="inlineStr">
        <is>
          <t>G01010</t>
        </is>
      </c>
      <c r="H807" t="str">
        <f>INDEX('Match Groups'!$C$5:$C$1326,MATCH(G807,'Match Groups'!$A$5:$A$1326,0))</f>
        <v>R09</v>
      </c>
      <c r="I807" t="str">
        <f>INDEX('Match Groups'!$D$5:$D$1326,MATCH(G807,'Match Groups'!$A$5:$A$1326,0))</f>
        <v>MATCH</v>
      </c>
      <c r="J807">
        <f>IF(I807="DUPIMP",0,1)</f>
        <v>1</v>
      </c>
    </row>
    <row r="808">
      <c r="A808" t="inlineStr">
        <is>
          <t>BL-00592</t>
        </is>
      </c>
      <c r="B808" t="inlineStr">
        <is>
          <t>OPS</t>
        </is>
      </c>
      <c r="C808" s="5" t="n">
        <v>46252</v>
      </c>
      <c r="D808" t="inlineStr">
        <is>
          <t>DIRECT CREDIT QUILLON ENGINEERING INV 3477</t>
        </is>
      </c>
      <c r="E808" s="9" t="n">
        <v>6971.25</v>
      </c>
      <c r="F808" t="inlineStr">
        <is>
          <t>OPS-20260818</t>
        </is>
      </c>
      <c r="G808" t="inlineStr">
        <is>
          <t>G01011</t>
        </is>
      </c>
      <c r="H808" t="str">
        <f>INDEX('Match Groups'!$C$5:$C$1326,MATCH(G808,'Match Groups'!$A$5:$A$1326,0))</f>
        <v>R09</v>
      </c>
      <c r="I808" t="str">
        <f>INDEX('Match Groups'!$D$5:$D$1326,MATCH(G808,'Match Groups'!$A$5:$A$1326,0))</f>
        <v>MATCH</v>
      </c>
      <c r="J808">
        <f>IF(I808="DUPIMP",0,1)</f>
        <v>1</v>
      </c>
    </row>
    <row r="809">
      <c r="A809" t="inlineStr">
        <is>
          <t>BL-00603</t>
        </is>
      </c>
      <c r="B809" t="inlineStr">
        <is>
          <t>OPS</t>
        </is>
      </c>
      <c r="C809" s="5" t="n">
        <v>46252</v>
      </c>
      <c r="D809" t="inlineStr">
        <is>
          <t>DIRECT CREDIT WESTMERECOUNCILS</t>
        </is>
      </c>
      <c r="E809" s="9" t="n">
        <v>1402.5</v>
      </c>
      <c r="F809" t="inlineStr">
        <is>
          <t>OPS-20260818</t>
        </is>
      </c>
      <c r="G809" t="inlineStr">
        <is>
          <t>G01144</t>
        </is>
      </c>
      <c r="H809" t="str">
        <f>INDEX('Match Groups'!$C$5:$C$1326,MATCH(G809,'Match Groups'!$A$5:$A$1326,0))</f>
        <v>R10</v>
      </c>
      <c r="I809" t="str">
        <f>INDEX('Match Groups'!$D$5:$D$1326,MATCH(G809,'Match Groups'!$A$5:$A$1326,0))</f>
        <v>MATCH</v>
      </c>
      <c r="J809">
        <f>IF(I809="DUPIMP",0,1)</f>
        <v>1</v>
      </c>
    </row>
    <row r="810">
      <c r="A810" t="inlineStr">
        <is>
          <t>BL-00604</t>
        </is>
      </c>
      <c r="B810" t="inlineStr">
        <is>
          <t>OPS</t>
        </is>
      </c>
      <c r="C810" s="5" t="n">
        <v>46252</v>
      </c>
      <c r="D810" t="inlineStr">
        <is>
          <t>DIRECT CREDIT WESTMERE COUNCIL SERVI INV/2026/03483</t>
        </is>
      </c>
      <c r="E810" s="9" t="n">
        <v>1471.25</v>
      </c>
      <c r="F810" t="inlineStr">
        <is>
          <t>OPS-20260818</t>
        </is>
      </c>
      <c r="G810" t="inlineStr">
        <is>
          <t>G01183</t>
        </is>
      </c>
      <c r="H810" t="str">
        <f>INDEX('Match Groups'!$C$5:$C$1326,MATCH(G810,'Match Groups'!$A$5:$A$1326,0))</f>
        <v>R11</v>
      </c>
      <c r="I810" t="str">
        <f>INDEX('Match Groups'!$D$5:$D$1326,MATCH(G810,'Match Groups'!$A$5:$A$1326,0))</f>
        <v>REG</v>
      </c>
      <c r="J810">
        <f>IF(I810="DUPIMP",0,1)</f>
        <v>1</v>
      </c>
    </row>
    <row r="811">
      <c r="A811" t="inlineStr">
        <is>
          <t>BL-00721</t>
        </is>
      </c>
      <c r="B811" t="inlineStr">
        <is>
          <t>OPS</t>
        </is>
      </c>
      <c r="C811" s="5" t="n">
        <v>46252</v>
      </c>
      <c r="D811" t="inlineStr">
        <is>
          <t>STRIPE PAYOUT STRIPE po_1Q0035KX</t>
        </is>
      </c>
      <c r="E811" s="9" t="n">
        <v>5185.69</v>
      </c>
      <c r="F811" t="inlineStr">
        <is>
          <t>OPS-20260818</t>
        </is>
      </c>
      <c r="G811" t="inlineStr">
        <is>
          <t>G00048</t>
        </is>
      </c>
      <c r="H811" t="str">
        <f>INDEX('Match Groups'!$C$5:$C$1326,MATCH(G811,'Match Groups'!$A$5:$A$1326,0))</f>
        <v>R02</v>
      </c>
      <c r="I811" t="str">
        <f>INDEX('Match Groups'!$D$5:$D$1326,MATCH(G811,'Match Groups'!$A$5:$A$1326,0))</f>
        <v>STRIPE-FEE</v>
      </c>
      <c r="J811">
        <f>IF(I811="DUPIMP",0,1)</f>
        <v>1</v>
      </c>
    </row>
    <row r="812">
      <c r="A812" t="inlineStr">
        <is>
          <t>BL-00240</t>
        </is>
      </c>
      <c r="B812" t="inlineStr">
        <is>
          <t>OPS</t>
        </is>
      </c>
      <c r="C812" s="5" t="n">
        <v>46253</v>
      </c>
      <c r="D812" t="inlineStr">
        <is>
          <t>DIRECT CREDIT BLUEGUM PLAN MANAGE RA45037</t>
        </is>
      </c>
      <c r="E812" s="9" t="n">
        <v>805.95</v>
      </c>
      <c r="F812" t="inlineStr">
        <is>
          <t>OPS-20260819</t>
        </is>
      </c>
      <c r="G812" t="inlineStr">
        <is>
          <t>G00316</t>
        </is>
      </c>
      <c r="H812" t="str">
        <f>INDEX('Match Groups'!$C$5:$C$1326,MATCH(G812,'Match Groups'!$A$5:$A$1326,0))</f>
        <v>R03</v>
      </c>
      <c r="I812" t="str">
        <f>INDEX('Match Groups'!$D$5:$D$1326,MATCH(G812,'Match Groups'!$A$5:$A$1326,0))</f>
        <v>MATCH</v>
      </c>
      <c r="J812">
        <f>IF(I812="DUPIMP",0,1)</f>
        <v>1</v>
      </c>
    </row>
    <row r="813">
      <c r="A813" t="inlineStr">
        <is>
          <t>BL-00241</t>
        </is>
      </c>
      <c r="B813" t="inlineStr">
        <is>
          <t>OPS</t>
        </is>
      </c>
      <c r="C813" s="5" t="n">
        <v>46253</v>
      </c>
      <c r="D813" t="inlineStr">
        <is>
          <t>DIRECT CREDIT RIVERBEND PLAN PAR RA45038</t>
        </is>
      </c>
      <c r="E813" s="9" t="n">
        <v>979.65</v>
      </c>
      <c r="F813" t="inlineStr">
        <is>
          <t>OPS-20260819</t>
        </is>
      </c>
      <c r="G813" t="inlineStr">
        <is>
          <t>G00317</t>
        </is>
      </c>
      <c r="H813" t="str">
        <f>INDEX('Match Groups'!$C$5:$C$1326,MATCH(G813,'Match Groups'!$A$5:$A$1326,0))</f>
        <v>R03</v>
      </c>
      <c r="I813" t="str">
        <f>INDEX('Match Groups'!$D$5:$D$1326,MATCH(G813,'Match Groups'!$A$5:$A$1326,0))</f>
        <v>MATCH</v>
      </c>
      <c r="J813">
        <f>IF(I813="DUPIMP",0,1)</f>
        <v>1</v>
      </c>
    </row>
    <row r="814">
      <c r="A814" t="inlineStr">
        <is>
          <t>BL-00242</t>
        </is>
      </c>
      <c r="B814" t="inlineStr">
        <is>
          <t>OPS</t>
        </is>
      </c>
      <c r="C814" s="5" t="n">
        <v>46253</v>
      </c>
      <c r="D814" t="inlineStr">
        <is>
          <t>DIRECT CREDIT BANKSIAPLANCO RA45039</t>
        </is>
      </c>
      <c r="E814" s="9" t="n">
        <v>1718.6</v>
      </c>
      <c r="F814" t="inlineStr">
        <is>
          <t>OPS-20260819</t>
        </is>
      </c>
      <c r="G814" t="inlineStr">
        <is>
          <t>G00318</t>
        </is>
      </c>
      <c r="H814" t="str">
        <f>INDEX('Match Groups'!$C$5:$C$1326,MATCH(G814,'Match Groups'!$A$5:$A$1326,0))</f>
        <v>R03</v>
      </c>
      <c r="I814" t="str">
        <f>INDEX('Match Groups'!$D$5:$D$1326,MATCH(G814,'Match Groups'!$A$5:$A$1326,0))</f>
        <v>MATCH</v>
      </c>
      <c r="J814">
        <f>IF(I814="DUPIMP",0,1)</f>
        <v>1</v>
      </c>
    </row>
    <row r="815">
      <c r="A815" t="inlineStr">
        <is>
          <t>BL-00243</t>
        </is>
      </c>
      <c r="B815" t="inlineStr">
        <is>
          <t>OPS</t>
        </is>
      </c>
      <c r="C815" s="5" t="n">
        <v>46253</v>
      </c>
      <c r="D815" t="inlineStr">
        <is>
          <t>DIRECT CREDIT KOOKABURRA PLAN SU RA45040</t>
        </is>
      </c>
      <c r="E815" s="9" t="n">
        <v>573.17</v>
      </c>
      <c r="F815" t="inlineStr">
        <is>
          <t>OPS-20260819</t>
        </is>
      </c>
      <c r="G815" t="inlineStr">
        <is>
          <t>G00319</t>
        </is>
      </c>
      <c r="H815" t="str">
        <f>INDEX('Match Groups'!$C$5:$C$1326,MATCH(G815,'Match Groups'!$A$5:$A$1326,0))</f>
        <v>R03</v>
      </c>
      <c r="I815" t="str">
        <f>INDEX('Match Groups'!$D$5:$D$1326,MATCH(G815,'Match Groups'!$A$5:$A$1326,0))</f>
        <v>MATCH</v>
      </c>
      <c r="J815">
        <f>IF(I815="DUPIMP",0,1)</f>
        <v>1</v>
      </c>
    </row>
    <row r="816">
      <c r="A816" t="inlineStr">
        <is>
          <t>BL-00244</t>
        </is>
      </c>
      <c r="B816" t="inlineStr">
        <is>
          <t>OPS</t>
        </is>
      </c>
      <c r="C816" s="5" t="n">
        <v>46253</v>
      </c>
      <c r="D816" t="inlineStr">
        <is>
          <t>DIRECT CREDIT REDGUM PLAN ADMIN PTY RA45041</t>
        </is>
      </c>
      <c r="E816" s="9" t="n">
        <v>1755.61</v>
      </c>
      <c r="F816" t="inlineStr">
        <is>
          <t>OPS-20260819</t>
        </is>
      </c>
      <c r="G816" t="inlineStr">
        <is>
          <t>G00320</t>
        </is>
      </c>
      <c r="H816" t="str">
        <f>INDEX('Match Groups'!$C$5:$C$1326,MATCH(G816,'Match Groups'!$A$5:$A$1326,0))</f>
        <v>R03</v>
      </c>
      <c r="I816" t="str">
        <f>INDEX('Match Groups'!$D$5:$D$1326,MATCH(G816,'Match Groups'!$A$5:$A$1326,0))</f>
        <v>MATCH</v>
      </c>
      <c r="J816">
        <f>IF(I816="DUPIMP",0,1)</f>
        <v>1</v>
      </c>
    </row>
    <row r="817">
      <c r="A817" t="inlineStr">
        <is>
          <t>BL-00245</t>
        </is>
      </c>
      <c r="B817" t="inlineStr">
        <is>
          <t>OPS</t>
        </is>
      </c>
      <c r="C817" s="5" t="n">
        <v>46253</v>
      </c>
      <c r="D817" t="inlineStr">
        <is>
          <t>DIRECT CREDIT MALLEE PLAN SERVIC RA45042</t>
        </is>
      </c>
      <c r="E817" s="9" t="n">
        <v>1252.14</v>
      </c>
      <c r="F817" t="inlineStr">
        <is>
          <t>OPS-20260819</t>
        </is>
      </c>
      <c r="G817" t="inlineStr">
        <is>
          <t>G00321</t>
        </is>
      </c>
      <c r="H817" t="str">
        <f>INDEX('Match Groups'!$C$5:$C$1326,MATCH(G817,'Match Groups'!$A$5:$A$1326,0))</f>
        <v>R03</v>
      </c>
      <c r="I817" t="str">
        <f>INDEX('Match Groups'!$D$5:$D$1326,MATCH(G817,'Match Groups'!$A$5:$A$1326,0))</f>
        <v>MATCH</v>
      </c>
      <c r="J817">
        <f>IF(I817="DUPIMP",0,1)</f>
        <v>1</v>
      </c>
    </row>
    <row r="818">
      <c r="A818" t="inlineStr">
        <is>
          <t>BL-00540</t>
        </is>
      </c>
      <c r="B818" t="inlineStr">
        <is>
          <t>OPS</t>
        </is>
      </c>
      <c r="C818" s="5" t="n">
        <v>46253</v>
      </c>
      <c r="D818" t="inlineStr">
        <is>
          <t>DIRECT CREDIT NORTHLINEINJURYC CLM5464200 INV 2388</t>
        </is>
      </c>
      <c r="E818" s="9" t="n">
        <v>88</v>
      </c>
      <c r="F818" t="inlineStr">
        <is>
          <t>OPS-20260819</t>
        </is>
      </c>
      <c r="G818" t="inlineStr">
        <is>
          <t>G01184</t>
        </is>
      </c>
      <c r="H818" t="str">
        <f>INDEX('Match Groups'!$C$5:$C$1326,MATCH(G818,'Match Groups'!$A$5:$A$1326,0))</f>
        <v>R11</v>
      </c>
      <c r="I818" t="str">
        <f>INDEX('Match Groups'!$D$5:$D$1326,MATCH(G818,'Match Groups'!$A$5:$A$1326,0))</f>
        <v>REG</v>
      </c>
      <c r="J818">
        <f>IF(I818="DUPIMP",0,1)</f>
        <v>1</v>
      </c>
    </row>
    <row r="819">
      <c r="A819" t="inlineStr">
        <is>
          <t>BL-00577</t>
        </is>
      </c>
      <c r="B819" t="inlineStr">
        <is>
          <t>OPS</t>
        </is>
      </c>
      <c r="C819" s="5" t="n">
        <v>46253</v>
      </c>
      <c r="D819" t="inlineStr">
        <is>
          <t>DIRECT CREDIT PELLUCID SOFTWARE PTY INV/2026/03473</t>
        </is>
      </c>
      <c r="E819" s="9" t="n">
        <v>2117.5</v>
      </c>
      <c r="F819" t="inlineStr">
        <is>
          <t>OPS-20260819</t>
        </is>
      </c>
      <c r="G819" t="inlineStr">
        <is>
          <t>G01012</t>
        </is>
      </c>
      <c r="H819" t="str">
        <f>INDEX('Match Groups'!$C$5:$C$1326,MATCH(G819,'Match Groups'!$A$5:$A$1326,0))</f>
        <v>R09</v>
      </c>
      <c r="I819" t="str">
        <f>INDEX('Match Groups'!$D$5:$D$1326,MATCH(G819,'Match Groups'!$A$5:$A$1326,0))</f>
        <v>MATCH</v>
      </c>
      <c r="J819">
        <f>IF(I819="DUPIMP",0,1)</f>
        <v>1</v>
      </c>
    </row>
    <row r="820">
      <c r="A820" t="inlineStr">
        <is>
          <t>BL-00591</t>
        </is>
      </c>
      <c r="B820" t="inlineStr">
        <is>
          <t>OPS</t>
        </is>
      </c>
      <c r="C820" s="5" t="n">
        <v>46253</v>
      </c>
      <c r="D820" t="inlineStr">
        <is>
          <t>DIRECT CREDIT QUILLON ENGINEERING INV03478</t>
        </is>
      </c>
      <c r="E820" s="9" t="n">
        <v>2186.25</v>
      </c>
      <c r="F820" t="inlineStr">
        <is>
          <t>OPS-20260819</t>
        </is>
      </c>
      <c r="G820" t="inlineStr">
        <is>
          <t>G01013</t>
        </is>
      </c>
      <c r="H820" t="str">
        <f>INDEX('Match Groups'!$C$5:$C$1326,MATCH(G820,'Match Groups'!$A$5:$A$1326,0))</f>
        <v>R09</v>
      </c>
      <c r="I820" t="str">
        <f>INDEX('Match Groups'!$D$5:$D$1326,MATCH(G820,'Match Groups'!$A$5:$A$1326,0))</f>
        <v>MATCH</v>
      </c>
      <c r="J820">
        <f>IF(I820="DUPIMP",0,1)</f>
        <v>1</v>
      </c>
    </row>
    <row r="821">
      <c r="A821" t="inlineStr">
        <is>
          <t>BL-00722</t>
        </is>
      </c>
      <c r="B821" t="inlineStr">
        <is>
          <t>OPS</t>
        </is>
      </c>
      <c r="C821" s="5" t="n">
        <v>46253</v>
      </c>
      <c r="D821" t="inlineStr">
        <is>
          <t>STRIPE PAYOUT STRIPE po_1Q0036KX</t>
        </is>
      </c>
      <c r="E821" s="9" t="n">
        <v>3068.33</v>
      </c>
      <c r="F821" t="inlineStr">
        <is>
          <t>OPS-20260819</t>
        </is>
      </c>
      <c r="G821" t="inlineStr">
        <is>
          <t>G00049</t>
        </is>
      </c>
      <c r="H821" t="str">
        <f>INDEX('Match Groups'!$C$5:$C$1326,MATCH(G821,'Match Groups'!$A$5:$A$1326,0))</f>
        <v>R02</v>
      </c>
      <c r="I821" t="str">
        <f>INDEX('Match Groups'!$D$5:$D$1326,MATCH(G821,'Match Groups'!$A$5:$A$1326,0))</f>
        <v>STRIPE-FEE</v>
      </c>
      <c r="J821">
        <f>IF(I821="DUPIMP",0,1)</f>
        <v>1</v>
      </c>
    </row>
    <row r="822">
      <c r="A822" t="inlineStr">
        <is>
          <t>BL-00761</t>
        </is>
      </c>
      <c r="B822" t="inlineStr">
        <is>
          <t>OPS</t>
        </is>
      </c>
      <c r="C822" s="5" t="n">
        <v>46253</v>
      </c>
      <c r="D822" t="inlineStr">
        <is>
          <t>ABA PAYMENT FILE 0418 10 PAYMENTS</t>
        </is>
      </c>
      <c r="E822" s="9" t="n">
        <v>-8526.1</v>
      </c>
      <c r="F822" t="inlineStr">
        <is>
          <t>OPS-20260819</t>
        </is>
      </c>
      <c r="G822" t="inlineStr">
        <is>
          <t>G00529</t>
        </is>
      </c>
      <c r="H822" t="str">
        <f>INDEX('Match Groups'!$C$5:$C$1326,MATCH(G822,'Match Groups'!$A$5:$A$1326,0))</f>
        <v>R06</v>
      </c>
      <c r="I822" t="str">
        <f>INDEX('Match Groups'!$D$5:$D$1326,MATCH(G822,'Match Groups'!$A$5:$A$1326,0))</f>
        <v>MATCH</v>
      </c>
      <c r="J822">
        <f>IF(I822="DUPIMP",0,1)</f>
        <v>1</v>
      </c>
    </row>
    <row r="823">
      <c r="A823" t="inlineStr">
        <is>
          <t>BL-00246</t>
        </is>
      </c>
      <c r="B823" t="inlineStr">
        <is>
          <t>OPS</t>
        </is>
      </c>
      <c r="C823" s="5" t="n">
        <v>46254</v>
      </c>
      <c r="D823" t="inlineStr">
        <is>
          <t>DIRECT CREDIT RIVERBEND PLAN PARTN RA45043</t>
        </is>
      </c>
      <c r="E823" s="9" t="n">
        <v>427.68</v>
      </c>
      <c r="F823" t="inlineStr">
        <is>
          <t>OPS-20260820</t>
        </is>
      </c>
      <c r="G823" t="inlineStr">
        <is>
          <t>G00322</t>
        </is>
      </c>
      <c r="H823" t="str">
        <f>INDEX('Match Groups'!$C$5:$C$1326,MATCH(G823,'Match Groups'!$A$5:$A$1326,0))</f>
        <v>R03</v>
      </c>
      <c r="I823" t="str">
        <f>INDEX('Match Groups'!$D$5:$D$1326,MATCH(G823,'Match Groups'!$A$5:$A$1326,0))</f>
        <v>MATCH</v>
      </c>
      <c r="J823">
        <f>IF(I823="DUPIMP",0,1)</f>
        <v>1</v>
      </c>
    </row>
    <row r="824">
      <c r="A824" t="inlineStr">
        <is>
          <t>BL-00247</t>
        </is>
      </c>
      <c r="B824" t="inlineStr">
        <is>
          <t>OPS</t>
        </is>
      </c>
      <c r="C824" s="5" t="n">
        <v>46254</v>
      </c>
      <c r="D824" t="inlineStr">
        <is>
          <t>DIRECT CREDIT IRONBARK PLAN MANAGEME RA45044</t>
        </is>
      </c>
      <c r="E824" s="9" t="n">
        <v>1582.82</v>
      </c>
      <c r="F824" t="inlineStr">
        <is>
          <t>OPS-20260820</t>
        </is>
      </c>
      <c r="G824" t="inlineStr">
        <is>
          <t>G00323</t>
        </is>
      </c>
      <c r="H824" t="str">
        <f>INDEX('Match Groups'!$C$5:$C$1326,MATCH(G824,'Match Groups'!$A$5:$A$1326,0))</f>
        <v>R03</v>
      </c>
      <c r="I824" t="str">
        <f>INDEX('Match Groups'!$D$5:$D$1326,MATCH(G824,'Match Groups'!$A$5:$A$1326,0))</f>
        <v>MATCH</v>
      </c>
      <c r="J824">
        <f>IF(I824="DUPIMP",0,1)</f>
        <v>1</v>
      </c>
    </row>
    <row r="825">
      <c r="A825" t="inlineStr">
        <is>
          <t>BL-00248</t>
        </is>
      </c>
      <c r="B825" t="inlineStr">
        <is>
          <t>OPS</t>
        </is>
      </c>
      <c r="C825" s="5" t="n">
        <v>46254</v>
      </c>
      <c r="D825" t="inlineStr">
        <is>
          <t>DIRECT CREDIT KOOKABURRA PLAN SUPP RA45045</t>
        </is>
      </c>
      <c r="E825" s="9" t="n">
        <v>864.15</v>
      </c>
      <c r="F825" t="inlineStr">
        <is>
          <t>OPS-20260820</t>
        </is>
      </c>
      <c r="G825" t="inlineStr">
        <is>
          <t>G00324</t>
        </is>
      </c>
      <c r="H825" t="str">
        <f>INDEX('Match Groups'!$C$5:$C$1326,MATCH(G825,'Match Groups'!$A$5:$A$1326,0))</f>
        <v>R03</v>
      </c>
      <c r="I825" t="str">
        <f>INDEX('Match Groups'!$D$5:$D$1326,MATCH(G825,'Match Groups'!$A$5:$A$1326,0))</f>
        <v>MATCH</v>
      </c>
      <c r="J825">
        <f>IF(I825="DUPIMP",0,1)</f>
        <v>1</v>
      </c>
    </row>
    <row r="826">
      <c r="A826" t="inlineStr">
        <is>
          <t>BL-00249</t>
        </is>
      </c>
      <c r="B826" t="inlineStr">
        <is>
          <t>OPS</t>
        </is>
      </c>
      <c r="C826" s="5" t="n">
        <v>46254</v>
      </c>
      <c r="D826" t="inlineStr">
        <is>
          <t>DIRECT CREDIT SALTBUSH PLAN MANA RA45046</t>
        </is>
      </c>
      <c r="E826" s="9" t="n">
        <v>1290.93</v>
      </c>
      <c r="F826" t="inlineStr">
        <is>
          <t>OPS-20260820</t>
        </is>
      </c>
      <c r="G826" t="inlineStr">
        <is>
          <t>G00325</t>
        </is>
      </c>
      <c r="H826" t="str">
        <f>INDEX('Match Groups'!$C$5:$C$1326,MATCH(G826,'Match Groups'!$A$5:$A$1326,0))</f>
        <v>R03</v>
      </c>
      <c r="I826" t="str">
        <f>INDEX('Match Groups'!$D$5:$D$1326,MATCH(G826,'Match Groups'!$A$5:$A$1326,0))</f>
        <v>MATCH</v>
      </c>
      <c r="J826">
        <f>IF(I826="DUPIMP",0,1)</f>
        <v>1</v>
      </c>
    </row>
    <row r="827">
      <c r="A827" t="inlineStr">
        <is>
          <t>BL-00250</t>
        </is>
      </c>
      <c r="B827" t="inlineStr">
        <is>
          <t>OPS</t>
        </is>
      </c>
      <c r="C827" s="5" t="n">
        <v>46254</v>
      </c>
      <c r="D827" t="inlineStr">
        <is>
          <t>DIRECT CREDIT REDGUM PLAN ADMIN PTY RA45047</t>
        </is>
      </c>
      <c r="E827" s="9" t="n">
        <v>175.49</v>
      </c>
      <c r="F827" t="inlineStr">
        <is>
          <t>OPS-20260820</t>
        </is>
      </c>
      <c r="G827" t="inlineStr">
        <is>
          <t>G00326</t>
        </is>
      </c>
      <c r="H827" t="str">
        <f>INDEX('Match Groups'!$C$5:$C$1326,MATCH(G827,'Match Groups'!$A$5:$A$1326,0))</f>
        <v>R03</v>
      </c>
      <c r="I827" t="str">
        <f>INDEX('Match Groups'!$D$5:$D$1326,MATCH(G827,'Match Groups'!$A$5:$A$1326,0))</f>
        <v>MATCH</v>
      </c>
      <c r="J827">
        <f>IF(I827="DUPIMP",0,1)</f>
        <v>1</v>
      </c>
    </row>
    <row r="828">
      <c r="A828" t="inlineStr">
        <is>
          <t>BL-00251</t>
        </is>
      </c>
      <c r="B828" t="inlineStr">
        <is>
          <t>OPS</t>
        </is>
      </c>
      <c r="C828" s="5" t="n">
        <v>46254</v>
      </c>
      <c r="D828" t="inlineStr">
        <is>
          <t>DIRECT CREDIT TALLOWWOOD PLANS RA45048</t>
        </is>
      </c>
      <c r="E828" s="9" t="n">
        <v>387.98</v>
      </c>
      <c r="F828" t="inlineStr">
        <is>
          <t>OPS-20260820</t>
        </is>
      </c>
      <c r="G828" t="inlineStr">
        <is>
          <t>G00327</t>
        </is>
      </c>
      <c r="H828" t="str">
        <f>INDEX('Match Groups'!$C$5:$C$1326,MATCH(G828,'Match Groups'!$A$5:$A$1326,0))</f>
        <v>R03</v>
      </c>
      <c r="I828" t="str">
        <f>INDEX('Match Groups'!$D$5:$D$1326,MATCH(G828,'Match Groups'!$A$5:$A$1326,0))</f>
        <v>MATCH</v>
      </c>
      <c r="J828">
        <f>IF(I828="DUPIMP",0,1)</f>
        <v>1</v>
      </c>
    </row>
    <row r="829">
      <c r="A829" t="inlineStr">
        <is>
          <t>BL-00252</t>
        </is>
      </c>
      <c r="B829" t="inlineStr">
        <is>
          <t>OPS</t>
        </is>
      </c>
      <c r="C829" s="5" t="n">
        <v>46254</v>
      </c>
      <c r="D829" t="inlineStr">
        <is>
          <t>DIRECT CREDIT ACACIAPLANPARTNE RA45049</t>
        </is>
      </c>
      <c r="E829" s="9" t="n">
        <v>1330.63</v>
      </c>
      <c r="F829" t="inlineStr">
        <is>
          <t>OPS-20260820</t>
        </is>
      </c>
      <c r="G829" t="inlineStr">
        <is>
          <t>G00328</t>
        </is>
      </c>
      <c r="H829" t="str">
        <f>INDEX('Match Groups'!$C$5:$C$1326,MATCH(G829,'Match Groups'!$A$5:$A$1326,0))</f>
        <v>R03</v>
      </c>
      <c r="I829" t="str">
        <f>INDEX('Match Groups'!$D$5:$D$1326,MATCH(G829,'Match Groups'!$A$5:$A$1326,0))</f>
        <v>MATCH</v>
      </c>
      <c r="J829">
        <f>IF(I829="DUPIMP",0,1)</f>
        <v>1</v>
      </c>
    </row>
    <row r="830">
      <c r="A830" t="inlineStr">
        <is>
          <t>BL-00542</t>
        </is>
      </c>
      <c r="B830" t="inlineStr">
        <is>
          <t>OPS</t>
        </is>
      </c>
      <c r="C830" s="5" t="n">
        <v>46254</v>
      </c>
      <c r="D830" t="inlineStr">
        <is>
          <t>DIRECT CREDIT NORTHLINE INJURY C CLM5405300 RE INV 2026 02491</t>
        </is>
      </c>
      <c r="E830" s="9" t="n">
        <v>264</v>
      </c>
      <c r="F830" t="inlineStr">
        <is>
          <t>OPS-20260820</t>
        </is>
      </c>
      <c r="G830" t="inlineStr">
        <is>
          <t>G01014</t>
        </is>
      </c>
      <c r="H830" t="str">
        <f>INDEX('Match Groups'!$C$5:$C$1326,MATCH(G830,'Match Groups'!$A$5:$A$1326,0))</f>
        <v>R09</v>
      </c>
      <c r="I830" t="str">
        <f>INDEX('Match Groups'!$D$5:$D$1326,MATCH(G830,'Match Groups'!$A$5:$A$1326,0))</f>
        <v>MATCH</v>
      </c>
      <c r="J830">
        <f>IF(I830="DUPIMP",0,1)</f>
        <v>1</v>
      </c>
    </row>
    <row r="831">
      <c r="A831" t="inlineStr">
        <is>
          <t>BL-00723</t>
        </is>
      </c>
      <c r="B831" t="inlineStr">
        <is>
          <t>OPS</t>
        </is>
      </c>
      <c r="C831" s="5" t="n">
        <v>46254</v>
      </c>
      <c r="D831" t="inlineStr">
        <is>
          <t>STRIPE PAYOUT STRIPE po_1Q0037KX</t>
        </is>
      </c>
      <c r="E831" s="9" t="n">
        <v>3925.58</v>
      </c>
      <c r="F831" t="inlineStr">
        <is>
          <t>OPS-20260820</t>
        </is>
      </c>
      <c r="G831" t="inlineStr">
        <is>
          <t>G00050</t>
        </is>
      </c>
      <c r="H831" t="str">
        <f>INDEX('Match Groups'!$C$5:$C$1326,MATCH(G831,'Match Groups'!$A$5:$A$1326,0))</f>
        <v>R02</v>
      </c>
      <c r="I831" t="str">
        <f>INDEX('Match Groups'!$D$5:$D$1326,MATCH(G831,'Match Groups'!$A$5:$A$1326,0))</f>
        <v>STRIPE-FEE</v>
      </c>
      <c r="J831">
        <f>IF(I831="DUPIMP",0,1)</f>
        <v>1</v>
      </c>
    </row>
    <row r="832">
      <c r="A832" t="inlineStr">
        <is>
          <t>BL-00785</t>
        </is>
      </c>
      <c r="B832" t="inlineStr">
        <is>
          <t>OPS</t>
        </is>
      </c>
      <c r="C832" s="5" t="n">
        <v>46254</v>
      </c>
      <c r="D832" t="inlineStr">
        <is>
          <t>DIRECT DEBIT MEDISUREPROFESSI 458987</t>
        </is>
      </c>
      <c r="E832" s="9" t="n">
        <v>-2215.4</v>
      </c>
      <c r="F832" t="inlineStr">
        <is>
          <t>OPS-20260820</t>
        </is>
      </c>
      <c r="G832" t="inlineStr">
        <is>
          <t>G01145</t>
        </is>
      </c>
      <c r="H832" t="str">
        <f>INDEX('Match Groups'!$C$5:$C$1326,MATCH(G832,'Match Groups'!$A$5:$A$1326,0))</f>
        <v>R10</v>
      </c>
      <c r="I832" t="str">
        <f>INDEX('Match Groups'!$D$5:$D$1326,MATCH(G832,'Match Groups'!$A$5:$A$1326,0))</f>
        <v>MATCH</v>
      </c>
      <c r="J832">
        <f>IF(I832="DUPIMP",0,1)</f>
        <v>1</v>
      </c>
    </row>
    <row r="833">
      <c r="A833" t="inlineStr">
        <is>
          <t>BL-00253</t>
        </is>
      </c>
      <c r="B833" t="inlineStr">
        <is>
          <t>OPS</t>
        </is>
      </c>
      <c r="C833" s="5" t="n">
        <v>46255</v>
      </c>
      <c r="D833" t="inlineStr">
        <is>
          <t>DIRECT CREDIT CLEARPATH NDIS PLANS P RA45050</t>
        </is>
      </c>
      <c r="E833" s="9" t="n">
        <v>3211.43</v>
      </c>
      <c r="F833" t="inlineStr">
        <is>
          <t>OPS-20260821</t>
        </is>
      </c>
      <c r="G833" t="inlineStr">
        <is>
          <t>G00329</t>
        </is>
      </c>
      <c r="H833" t="str">
        <f>INDEX('Match Groups'!$C$5:$C$1326,MATCH(G833,'Match Groups'!$A$5:$A$1326,0))</f>
        <v>R03</v>
      </c>
      <c r="I833" t="str">
        <f>INDEX('Match Groups'!$D$5:$D$1326,MATCH(G833,'Match Groups'!$A$5:$A$1326,0))</f>
        <v>MATCH</v>
      </c>
      <c r="J833">
        <f>IF(I833="DUPIMP",0,1)</f>
        <v>1</v>
      </c>
    </row>
    <row r="834">
      <c r="A834" t="inlineStr">
        <is>
          <t>BL-00254</t>
        </is>
      </c>
      <c r="B834" t="inlineStr">
        <is>
          <t>OPS</t>
        </is>
      </c>
      <c r="C834" s="5" t="n">
        <v>46255</v>
      </c>
      <c r="D834" t="inlineStr">
        <is>
          <t>DIRECT CREDIT WATTLE PLAN SERVICES P RA45051</t>
        </is>
      </c>
      <c r="E834" s="9" t="n">
        <v>387.98</v>
      </c>
      <c r="F834" t="inlineStr">
        <is>
          <t>OPS-20260821</t>
        </is>
      </c>
      <c r="G834" t="inlineStr">
        <is>
          <t>G00330</t>
        </is>
      </c>
      <c r="H834" t="str">
        <f>INDEX('Match Groups'!$C$5:$C$1326,MATCH(G834,'Match Groups'!$A$5:$A$1326,0))</f>
        <v>R03</v>
      </c>
      <c r="I834" t="str">
        <f>INDEX('Match Groups'!$D$5:$D$1326,MATCH(G834,'Match Groups'!$A$5:$A$1326,0))</f>
        <v>MATCH</v>
      </c>
      <c r="J834">
        <f>IF(I834="DUPIMP",0,1)</f>
        <v>1</v>
      </c>
    </row>
    <row r="835">
      <c r="A835" t="inlineStr">
        <is>
          <t>BL-00255</t>
        </is>
      </c>
      <c r="B835" t="inlineStr">
        <is>
          <t>OPS</t>
        </is>
      </c>
      <c r="C835" s="5" t="n">
        <v>46255</v>
      </c>
      <c r="D835" t="inlineStr">
        <is>
          <t>DIRECT CREDIT BANKSIAPLANCO RA45052</t>
        </is>
      </c>
      <c r="E835" s="9" t="n">
        <v>126.99</v>
      </c>
      <c r="F835" t="inlineStr">
        <is>
          <t>OPS-20260821</t>
        </is>
      </c>
      <c r="G835" t="inlineStr">
        <is>
          <t>G00331</t>
        </is>
      </c>
      <c r="H835" t="str">
        <f>INDEX('Match Groups'!$C$5:$C$1326,MATCH(G835,'Match Groups'!$A$5:$A$1326,0))</f>
        <v>R03</v>
      </c>
      <c r="I835" t="str">
        <f>INDEX('Match Groups'!$D$5:$D$1326,MATCH(G835,'Match Groups'!$A$5:$A$1326,0))</f>
        <v>REG</v>
      </c>
      <c r="J835">
        <f>IF(I835="DUPIMP",0,1)</f>
        <v>1</v>
      </c>
    </row>
    <row r="836">
      <c r="A836" t="inlineStr">
        <is>
          <t>BL-00256</t>
        </is>
      </c>
      <c r="B836" t="inlineStr">
        <is>
          <t>OPS</t>
        </is>
      </c>
      <c r="C836" s="5" t="n">
        <v>46255</v>
      </c>
      <c r="D836" t="inlineStr">
        <is>
          <t>DIRECT CREDIT IRONBARKPLANMANA RA45053</t>
        </is>
      </c>
      <c r="E836" s="9" t="n">
        <v>708.96</v>
      </c>
      <c r="F836" t="inlineStr">
        <is>
          <t>OPS-20260821</t>
        </is>
      </c>
      <c r="G836" t="inlineStr">
        <is>
          <t>G00332</t>
        </is>
      </c>
      <c r="H836" t="str">
        <f>INDEX('Match Groups'!$C$5:$C$1326,MATCH(G836,'Match Groups'!$A$5:$A$1326,0))</f>
        <v>R03</v>
      </c>
      <c r="I836" t="str">
        <f>INDEX('Match Groups'!$D$5:$D$1326,MATCH(G836,'Match Groups'!$A$5:$A$1326,0))</f>
        <v>MATCH</v>
      </c>
      <c r="J836">
        <f>IF(I836="DUPIMP",0,1)</f>
        <v>1</v>
      </c>
    </row>
    <row r="837">
      <c r="A837" t="inlineStr">
        <is>
          <t>BL-00257</t>
        </is>
      </c>
      <c r="B837" t="inlineStr">
        <is>
          <t>OPS</t>
        </is>
      </c>
      <c r="C837" s="5" t="n">
        <v>46255</v>
      </c>
      <c r="D837" t="inlineStr">
        <is>
          <t>DIRECT CREDIT SOUTHERN CROSS PLA RA45054</t>
        </is>
      </c>
      <c r="E837" s="9" t="n">
        <v>767.16</v>
      </c>
      <c r="F837" t="inlineStr">
        <is>
          <t>OPS-20260821</t>
        </is>
      </c>
      <c r="G837" t="inlineStr">
        <is>
          <t>G00333</t>
        </is>
      </c>
      <c r="H837" t="str">
        <f>INDEX('Match Groups'!$C$5:$C$1326,MATCH(G837,'Match Groups'!$A$5:$A$1326,0))</f>
        <v>R03</v>
      </c>
      <c r="I837" t="str">
        <f>INDEX('Match Groups'!$D$5:$D$1326,MATCH(G837,'Match Groups'!$A$5:$A$1326,0))</f>
        <v>MATCH</v>
      </c>
      <c r="J837">
        <f>IF(I837="DUPIMP",0,1)</f>
        <v>1</v>
      </c>
    </row>
    <row r="838">
      <c r="A838" t="inlineStr">
        <is>
          <t>BL-00258</t>
        </is>
      </c>
      <c r="B838" t="inlineStr">
        <is>
          <t>OPS</t>
        </is>
      </c>
      <c r="C838" s="5" t="n">
        <v>46255</v>
      </c>
      <c r="D838" t="inlineStr">
        <is>
          <t>DIRECT CREDIT MALLEE PLAN SERVICES RA45055</t>
        </is>
      </c>
      <c r="E838" s="9" t="n">
        <v>514.96</v>
      </c>
      <c r="F838" t="inlineStr">
        <is>
          <t>OPS-20260821</t>
        </is>
      </c>
      <c r="G838" t="inlineStr">
        <is>
          <t>G00334</t>
        </is>
      </c>
      <c r="H838" t="str">
        <f>INDEX('Match Groups'!$C$5:$C$1326,MATCH(G838,'Match Groups'!$A$5:$A$1326,0))</f>
        <v>R03</v>
      </c>
      <c r="I838" t="str">
        <f>INDEX('Match Groups'!$D$5:$D$1326,MATCH(G838,'Match Groups'!$A$5:$A$1326,0))</f>
        <v>MATCH</v>
      </c>
      <c r="J838">
        <f>IF(I838="DUPIMP",0,1)</f>
        <v>1</v>
      </c>
    </row>
    <row r="839">
      <c r="A839" t="inlineStr">
        <is>
          <t>BL-00522</t>
        </is>
      </c>
      <c r="B839" t="inlineStr">
        <is>
          <t>OPS</t>
        </is>
      </c>
      <c r="C839" s="5" t="n">
        <v>46255</v>
      </c>
      <c r="D839" t="inlineStr">
        <is>
          <t>DIRECT CREDIT MERIDIAN HEALTH COVER CLM5135221 INV02417</t>
        </is>
      </c>
      <c r="E839" s="9" t="n">
        <v>176</v>
      </c>
      <c r="F839" t="inlineStr">
        <is>
          <t>OPS-20260821</t>
        </is>
      </c>
      <c r="G839" t="inlineStr">
        <is>
          <t>G01185</t>
        </is>
      </c>
      <c r="H839" t="str">
        <f>INDEX('Match Groups'!$C$5:$C$1326,MATCH(G839,'Match Groups'!$A$5:$A$1326,0))</f>
        <v>R11</v>
      </c>
      <c r="I839" t="str">
        <f>INDEX('Match Groups'!$D$5:$D$1326,MATCH(G839,'Match Groups'!$A$5:$A$1326,0))</f>
        <v>REG</v>
      </c>
      <c r="J839">
        <f>IF(I839="DUPIMP",0,1)</f>
        <v>1</v>
      </c>
    </row>
    <row r="840">
      <c r="A840" t="inlineStr">
        <is>
          <t>BL-00524</t>
        </is>
      </c>
      <c r="B840" t="inlineStr">
        <is>
          <t>OPS</t>
        </is>
      </c>
      <c r="C840" s="5" t="n">
        <v>46255</v>
      </c>
      <c r="D840" t="inlineStr">
        <is>
          <t>DIRECT CREDIT MERIDIAN HEALTH COVER CLM5442567 INV/2026/02461</t>
        </is>
      </c>
      <c r="E840" s="9" t="n">
        <v>88</v>
      </c>
      <c r="F840" t="inlineStr">
        <is>
          <t>OPS-20260821</t>
        </is>
      </c>
      <c r="G840" t="inlineStr">
        <is>
          <t>G01015</t>
        </is>
      </c>
      <c r="H840" t="str">
        <f>INDEX('Match Groups'!$C$5:$C$1326,MATCH(G840,'Match Groups'!$A$5:$A$1326,0))</f>
        <v>R09</v>
      </c>
      <c r="I840" t="str">
        <f>INDEX('Match Groups'!$D$5:$D$1326,MATCH(G840,'Match Groups'!$A$5:$A$1326,0))</f>
        <v>MATCH</v>
      </c>
      <c r="J840">
        <f>IF(I840="DUPIMP",0,1)</f>
        <v>1</v>
      </c>
    </row>
    <row r="841">
      <c r="A841" t="inlineStr">
        <is>
          <t>BL-00541</t>
        </is>
      </c>
      <c r="B841" t="inlineStr">
        <is>
          <t>OPS</t>
        </is>
      </c>
      <c r="C841" s="5" t="n">
        <v>46255</v>
      </c>
      <c r="D841" t="inlineStr">
        <is>
          <t>DIRECT CREDIT NORTHLINEINJURYC CLM5259191 INV/2026/02441</t>
        </is>
      </c>
      <c r="E841" s="9" t="n">
        <v>990</v>
      </c>
      <c r="F841" t="inlineStr">
        <is>
          <t>OPS-20260821</t>
        </is>
      </c>
      <c r="G841" t="inlineStr">
        <is>
          <t>G01016</t>
        </is>
      </c>
      <c r="H841" t="str">
        <f>INDEX('Match Groups'!$C$5:$C$1326,MATCH(G841,'Match Groups'!$A$5:$A$1326,0))</f>
        <v>R09</v>
      </c>
      <c r="I841" t="str">
        <f>INDEX('Match Groups'!$D$5:$D$1326,MATCH(G841,'Match Groups'!$A$5:$A$1326,0))</f>
        <v>MATCH</v>
      </c>
      <c r="J841">
        <f>IF(I841="DUPIMP",0,1)</f>
        <v>1</v>
      </c>
    </row>
    <row r="842">
      <c r="A842" t="inlineStr">
        <is>
          <t>BL-00724</t>
        </is>
      </c>
      <c r="B842" t="inlineStr">
        <is>
          <t>OPS</t>
        </is>
      </c>
      <c r="C842" s="5" t="n">
        <v>46255</v>
      </c>
      <c r="D842" t="inlineStr">
        <is>
          <t>STRIPE PAYOUT STRIPE po_1Q0038KX</t>
        </is>
      </c>
      <c r="E842" s="9" t="n">
        <v>4273.46</v>
      </c>
      <c r="F842" t="inlineStr">
        <is>
          <t>OPS-20260821</t>
        </is>
      </c>
      <c r="G842" t="inlineStr">
        <is>
          <t>G00051</t>
        </is>
      </c>
      <c r="H842" t="str">
        <f>INDEX('Match Groups'!$C$5:$C$1326,MATCH(G842,'Match Groups'!$A$5:$A$1326,0))</f>
        <v>R02</v>
      </c>
      <c r="I842" t="str">
        <f>INDEX('Match Groups'!$D$5:$D$1326,MATCH(G842,'Match Groups'!$A$5:$A$1326,0))</f>
        <v>STRIPE-FEE</v>
      </c>
      <c r="J842">
        <f>IF(I842="DUPIMP",0,1)</f>
        <v>1</v>
      </c>
    </row>
    <row r="843">
      <c r="A843" t="inlineStr">
        <is>
          <t>BL-00823</t>
        </is>
      </c>
      <c r="B843" t="inlineStr">
        <is>
          <t>OPS</t>
        </is>
      </c>
      <c r="C843" s="5" t="n">
        <v>46255</v>
      </c>
      <c r="D843" t="inlineStr">
        <is>
          <t>DEPOSIT BRANCH 3021 CASH</t>
        </is>
      </c>
      <c r="E843" s="9" t="n">
        <v>1850</v>
      </c>
      <c r="F843" t="inlineStr">
        <is>
          <t>OPS-20260821</t>
        </is>
      </c>
      <c r="G843" t="inlineStr">
        <is>
          <t>G01246</t>
        </is>
      </c>
      <c r="H843" t="str">
        <f>INDEX('Match Groups'!$C$5:$C$1326,MATCH(G843,'Match Groups'!$A$5:$A$1326,0))</f>
        <v>R99</v>
      </c>
      <c r="I843" t="str">
        <f>INDEX('Match Groups'!$D$5:$D$1326,MATCH(G843,'Match Groups'!$A$5:$A$1326,0))</f>
        <v>UNEXP</v>
      </c>
      <c r="J843">
        <f>IF(I843="DUPIMP",0,1)</f>
        <v>1</v>
      </c>
    </row>
    <row r="844">
      <c r="A844" t="inlineStr">
        <is>
          <t>BL-00259</t>
        </is>
      </c>
      <c r="B844" t="inlineStr">
        <is>
          <t>OPS</t>
        </is>
      </c>
      <c r="C844" s="5" t="n">
        <v>46258</v>
      </c>
      <c r="D844" t="inlineStr">
        <is>
          <t>DIRECT CREDIT BLUEGUM PM PTY LTD RA45056</t>
        </is>
      </c>
      <c r="E844" s="9" t="n">
        <v>300.68</v>
      </c>
      <c r="F844" t="inlineStr">
        <is>
          <t>OPS-20260824</t>
        </is>
      </c>
      <c r="G844" t="inlineStr">
        <is>
          <t>G00335</t>
        </is>
      </c>
      <c r="H844" t="str">
        <f>INDEX('Match Groups'!$C$5:$C$1326,MATCH(G844,'Match Groups'!$A$5:$A$1326,0))</f>
        <v>R03</v>
      </c>
      <c r="I844" t="str">
        <f>INDEX('Match Groups'!$D$5:$D$1326,MATCH(G844,'Match Groups'!$A$5:$A$1326,0))</f>
        <v>MATCH</v>
      </c>
      <c r="J844">
        <f>IF(I844="DUPIMP",0,1)</f>
        <v>1</v>
      </c>
    </row>
    <row r="845">
      <c r="A845" t="inlineStr">
        <is>
          <t>BL-00260</t>
        </is>
      </c>
      <c r="B845" t="inlineStr">
        <is>
          <t>OPS</t>
        </is>
      </c>
      <c r="C845" s="5" t="n">
        <v>46258</v>
      </c>
      <c r="D845" t="inlineStr">
        <is>
          <t>DIRECT CREDIT RIVERBEND PLAN PARTNER RA45057</t>
        </is>
      </c>
      <c r="E845" s="9" t="n">
        <v>1019.35</v>
      </c>
      <c r="F845" t="inlineStr">
        <is>
          <t>OPS-20260824</t>
        </is>
      </c>
      <c r="G845" t="inlineStr">
        <is>
          <t>G00336</t>
        </is>
      </c>
      <c r="H845" t="str">
        <f>INDEX('Match Groups'!$C$5:$C$1326,MATCH(G845,'Match Groups'!$A$5:$A$1326,0))</f>
        <v>R03</v>
      </c>
      <c r="I845" t="str">
        <f>INDEX('Match Groups'!$D$5:$D$1326,MATCH(G845,'Match Groups'!$A$5:$A$1326,0))</f>
        <v>MATCH</v>
      </c>
      <c r="J845">
        <f>IF(I845="DUPIMP",0,1)</f>
        <v>1</v>
      </c>
    </row>
    <row r="846">
      <c r="A846" t="inlineStr">
        <is>
          <t>BL-00261</t>
        </is>
      </c>
      <c r="B846" t="inlineStr">
        <is>
          <t>OPS</t>
        </is>
      </c>
      <c r="C846" s="5" t="n">
        <v>46258</v>
      </c>
      <c r="D846" t="inlineStr">
        <is>
          <t>DIRECT CREDIT BANKSIA PLAN CO RA45058</t>
        </is>
      </c>
      <c r="E846" s="9" t="n">
        <v>678.96</v>
      </c>
      <c r="F846" t="inlineStr">
        <is>
          <t>OPS-20260824</t>
        </is>
      </c>
      <c r="G846" t="inlineStr">
        <is>
          <t>G00337</t>
        </is>
      </c>
      <c r="H846" t="str">
        <f>INDEX('Match Groups'!$C$5:$C$1326,MATCH(G846,'Match Groups'!$A$5:$A$1326,0))</f>
        <v>R03</v>
      </c>
      <c r="I846" t="str">
        <f>INDEX('Match Groups'!$D$5:$D$1326,MATCH(G846,'Match Groups'!$A$5:$A$1326,0))</f>
        <v>MATCH</v>
      </c>
      <c r="J846">
        <f>IF(I846="DUPIMP",0,1)</f>
        <v>1</v>
      </c>
    </row>
    <row r="847">
      <c r="A847" t="inlineStr">
        <is>
          <t>BL-00262</t>
        </is>
      </c>
      <c r="B847" t="inlineStr">
        <is>
          <t>OPS</t>
        </is>
      </c>
      <c r="C847" s="5" t="n">
        <v>46258</v>
      </c>
      <c r="D847" t="inlineStr">
        <is>
          <t>DIRECT CREDIT SALTBUSH PLAN MANA RA45059</t>
        </is>
      </c>
      <c r="E847" s="9" t="n">
        <v>611.96</v>
      </c>
      <c r="F847" t="inlineStr">
        <is>
          <t>OPS-20260824</t>
        </is>
      </c>
      <c r="G847" t="inlineStr">
        <is>
          <t>G00338</t>
        </is>
      </c>
      <c r="H847" t="str">
        <f>INDEX('Match Groups'!$C$5:$C$1326,MATCH(G847,'Match Groups'!$A$5:$A$1326,0))</f>
        <v>R03</v>
      </c>
      <c r="I847" t="str">
        <f>INDEX('Match Groups'!$D$5:$D$1326,MATCH(G847,'Match Groups'!$A$5:$A$1326,0))</f>
        <v>MATCH</v>
      </c>
      <c r="J847">
        <f>IF(I847="DUPIMP",0,1)</f>
        <v>1</v>
      </c>
    </row>
    <row r="848">
      <c r="A848" t="inlineStr">
        <is>
          <t>BL-00263</t>
        </is>
      </c>
      <c r="B848" t="inlineStr">
        <is>
          <t>OPS</t>
        </is>
      </c>
      <c r="C848" s="5" t="n">
        <v>46258</v>
      </c>
      <c r="D848" t="inlineStr">
        <is>
          <t>DIRECT CREDIT REDGUM PLAN ADMIN PTY RA45060</t>
        </is>
      </c>
      <c r="E848" s="9" t="n">
        <v>494.67</v>
      </c>
      <c r="F848" t="inlineStr">
        <is>
          <t>OPS-20260824</t>
        </is>
      </c>
      <c r="G848" t="inlineStr">
        <is>
          <t>G00339</t>
        </is>
      </c>
      <c r="H848" t="str">
        <f>INDEX('Match Groups'!$C$5:$C$1326,MATCH(G848,'Match Groups'!$A$5:$A$1326,0))</f>
        <v>R03</v>
      </c>
      <c r="I848" t="str">
        <f>INDEX('Match Groups'!$D$5:$D$1326,MATCH(G848,'Match Groups'!$A$5:$A$1326,0))</f>
        <v>MATCH</v>
      </c>
      <c r="J848">
        <f>IF(I848="DUPIMP",0,1)</f>
        <v>1</v>
      </c>
    </row>
    <row r="849">
      <c r="A849" t="inlineStr">
        <is>
          <t>BL-00264</t>
        </is>
      </c>
      <c r="B849" t="inlineStr">
        <is>
          <t>OPS</t>
        </is>
      </c>
      <c r="C849" s="5" t="n">
        <v>46258</v>
      </c>
      <c r="D849" t="inlineStr">
        <is>
          <t>DIRECT CREDIT SOUTHERN CROSS PLAN MG RA45061</t>
        </is>
      </c>
      <c r="E849" s="9" t="n">
        <v>2580.98</v>
      </c>
      <c r="F849" t="inlineStr">
        <is>
          <t>OPS-20260824</t>
        </is>
      </c>
      <c r="G849" t="inlineStr">
        <is>
          <t>G00340</t>
        </is>
      </c>
      <c r="H849" t="str">
        <f>INDEX('Match Groups'!$C$5:$C$1326,MATCH(G849,'Match Groups'!$A$5:$A$1326,0))</f>
        <v>R03</v>
      </c>
      <c r="I849" t="str">
        <f>INDEX('Match Groups'!$D$5:$D$1326,MATCH(G849,'Match Groups'!$A$5:$A$1326,0))</f>
        <v>MATCH</v>
      </c>
      <c r="J849">
        <f>IF(I849="DUPIMP",0,1)</f>
        <v>1</v>
      </c>
    </row>
    <row r="850">
      <c r="A850" t="inlineStr">
        <is>
          <t>BL-00265</t>
        </is>
      </c>
      <c r="B850" t="inlineStr">
        <is>
          <t>OPS</t>
        </is>
      </c>
      <c r="C850" s="5" t="n">
        <v>46258</v>
      </c>
      <c r="D850" t="inlineStr">
        <is>
          <t>DIRECT CREDIT MALLEE PLAN SERVIC RA45062</t>
        </is>
      </c>
      <c r="E850" s="9" t="n">
        <v>737.17</v>
      </c>
      <c r="F850" t="inlineStr">
        <is>
          <t>OPS-20260824</t>
        </is>
      </c>
      <c r="G850" t="inlineStr">
        <is>
          <t>G00341</t>
        </is>
      </c>
      <c r="H850" t="str">
        <f>INDEX('Match Groups'!$C$5:$C$1326,MATCH(G850,'Match Groups'!$A$5:$A$1326,0))</f>
        <v>R03</v>
      </c>
      <c r="I850" t="str">
        <f>INDEX('Match Groups'!$D$5:$D$1326,MATCH(G850,'Match Groups'!$A$5:$A$1326,0))</f>
        <v>MATCH</v>
      </c>
      <c r="J850">
        <f>IF(I850="DUPIMP",0,1)</f>
        <v>1</v>
      </c>
    </row>
    <row r="851">
      <c r="A851" t="inlineStr">
        <is>
          <t>BL-00526</t>
        </is>
      </c>
      <c r="B851" t="inlineStr">
        <is>
          <t>OPS</t>
        </is>
      </c>
      <c r="C851" s="5" t="n">
        <v>46258</v>
      </c>
      <c r="D851" t="inlineStr">
        <is>
          <t>DIRECT CREDIT MERIDIAN HEALTH CO CLM5462747 RE INV 2026 02657</t>
        </is>
      </c>
      <c r="E851" s="9" t="n">
        <v>264</v>
      </c>
      <c r="F851" t="inlineStr">
        <is>
          <t>OPS-20260824</t>
        </is>
      </c>
      <c r="G851" t="inlineStr">
        <is>
          <t>G01017</t>
        </is>
      </c>
      <c r="H851" t="str">
        <f>INDEX('Match Groups'!$C$5:$C$1326,MATCH(G851,'Match Groups'!$A$5:$A$1326,0))</f>
        <v>R09</v>
      </c>
      <c r="I851" t="str">
        <f>INDEX('Match Groups'!$D$5:$D$1326,MATCH(G851,'Match Groups'!$A$5:$A$1326,0))</f>
        <v>MATCH</v>
      </c>
      <c r="J851">
        <f>IF(I851="DUPIMP",0,1)</f>
        <v>1</v>
      </c>
    </row>
    <row r="852">
      <c r="A852" t="inlineStr">
        <is>
          <t>BL-00570</t>
        </is>
      </c>
      <c r="B852" t="inlineStr">
        <is>
          <t>OPS</t>
        </is>
      </c>
      <c r="C852" s="5" t="n">
        <v>46258</v>
      </c>
      <c r="D852" t="inlineStr">
        <is>
          <t>DIRECT CREDIT CALDER FREIGHT GRO INV/2026/03470</t>
        </is>
      </c>
      <c r="E852" s="9" t="n">
        <v>2791.25</v>
      </c>
      <c r="F852" t="inlineStr">
        <is>
          <t>OPS-20260824</t>
        </is>
      </c>
      <c r="G852" t="inlineStr">
        <is>
          <t>G01018</t>
        </is>
      </c>
      <c r="H852" t="str">
        <f>INDEX('Match Groups'!$C$5:$C$1326,MATCH(G852,'Match Groups'!$A$5:$A$1326,0))</f>
        <v>R09</v>
      </c>
      <c r="I852" t="str">
        <f>INDEX('Match Groups'!$D$5:$D$1326,MATCH(G852,'Match Groups'!$A$5:$A$1326,0))</f>
        <v>MATCH</v>
      </c>
      <c r="J852">
        <f>IF(I852="DUPIMP",0,1)</f>
        <v>1</v>
      </c>
    </row>
    <row r="853">
      <c r="A853" t="inlineStr">
        <is>
          <t>BL-00725</t>
        </is>
      </c>
      <c r="B853" t="inlineStr">
        <is>
          <t>OPS</t>
        </is>
      </c>
      <c r="C853" s="5" t="n">
        <v>46258</v>
      </c>
      <c r="D853" t="inlineStr">
        <is>
          <t>STRIPE PAYOUT STRIPE po_1Q0039KX</t>
        </is>
      </c>
      <c r="E853" s="9" t="n">
        <v>3671.88</v>
      </c>
      <c r="F853" t="inlineStr">
        <is>
          <t>OPS-20260824</t>
        </is>
      </c>
      <c r="G853" t="inlineStr">
        <is>
          <t>G00052</t>
        </is>
      </c>
      <c r="H853" t="str">
        <f>INDEX('Match Groups'!$C$5:$C$1326,MATCH(G853,'Match Groups'!$A$5:$A$1326,0))</f>
        <v>R02</v>
      </c>
      <c r="I853" t="str">
        <f>INDEX('Match Groups'!$D$5:$D$1326,MATCH(G853,'Match Groups'!$A$5:$A$1326,0))</f>
        <v>STRIPE-FEE</v>
      </c>
      <c r="J853">
        <f>IF(I853="DUPIMP",0,1)</f>
        <v>1</v>
      </c>
    </row>
    <row r="854">
      <c r="A854" t="inlineStr">
        <is>
          <t>BL-00788</t>
        </is>
      </c>
      <c r="B854" t="inlineStr">
        <is>
          <t>OPS</t>
        </is>
      </c>
      <c r="C854" s="5" t="n">
        <v>46258</v>
      </c>
      <c r="D854" t="inlineStr">
        <is>
          <t>DIRECT DEBIT POWERCO ENERGY RETAIL 851654</t>
        </is>
      </c>
      <c r="E854" s="9" t="n">
        <v>-2634.18</v>
      </c>
      <c r="F854" t="inlineStr">
        <is>
          <t>OPS-20260824</t>
        </is>
      </c>
      <c r="G854" t="inlineStr">
        <is>
          <t>G01146</t>
        </is>
      </c>
      <c r="H854" t="str">
        <f>INDEX('Match Groups'!$C$5:$C$1326,MATCH(G854,'Match Groups'!$A$5:$A$1326,0))</f>
        <v>R10</v>
      </c>
      <c r="I854" t="str">
        <f>INDEX('Match Groups'!$D$5:$D$1326,MATCH(G854,'Match Groups'!$A$5:$A$1326,0))</f>
        <v>MATCH</v>
      </c>
      <c r="J854">
        <f>IF(I854="DUPIMP",0,1)</f>
        <v>1</v>
      </c>
    </row>
    <row r="855">
      <c r="A855" t="inlineStr">
        <is>
          <t>BL-01576</t>
        </is>
      </c>
      <c r="B855" t="inlineStr">
        <is>
          <t>OPS</t>
        </is>
      </c>
      <c r="C855" s="5" t="n">
        <v>46258</v>
      </c>
      <c r="D855" t="inlineStr">
        <is>
          <t>SWEEP FROM MERCHANT ACCT</t>
        </is>
      </c>
      <c r="E855" s="9" t="n">
        <v>34000</v>
      </c>
      <c r="F855" t="inlineStr">
        <is>
          <t>OPS-20260824</t>
        </is>
      </c>
      <c r="G855" t="inlineStr">
        <is>
          <t>G00530</t>
        </is>
      </c>
      <c r="H855" t="str">
        <f>INDEX('Match Groups'!$C$5:$C$1326,MATCH(G855,'Match Groups'!$A$5:$A$1326,0))</f>
        <v>R04</v>
      </c>
      <c r="I855" t="str">
        <f>INDEX('Match Groups'!$D$5:$D$1326,MATCH(G855,'Match Groups'!$A$5:$A$1326,0))</f>
        <v>MATCH</v>
      </c>
      <c r="J855">
        <f>IF(I855="DUPIMP",0,1)</f>
        <v>1</v>
      </c>
    </row>
    <row r="856">
      <c r="A856" t="inlineStr">
        <is>
          <t>BL-00266</t>
        </is>
      </c>
      <c r="B856" t="inlineStr">
        <is>
          <t>OPS</t>
        </is>
      </c>
      <c r="C856" s="5" t="n">
        <v>46259</v>
      </c>
      <c r="D856" t="inlineStr">
        <is>
          <t>DIRECT CREDIT CLEARPATH NDIS PLANS RA45063</t>
        </is>
      </c>
      <c r="E856" s="9" t="n">
        <v>1407.34</v>
      </c>
      <c r="F856" t="inlineStr">
        <is>
          <t>OPS-20260825</t>
        </is>
      </c>
      <c r="G856" t="inlineStr">
        <is>
          <t>G00342</t>
        </is>
      </c>
      <c r="H856" t="str">
        <f>INDEX('Match Groups'!$C$5:$C$1326,MATCH(G856,'Match Groups'!$A$5:$A$1326,0))</f>
        <v>R03</v>
      </c>
      <c r="I856" t="str">
        <f>INDEX('Match Groups'!$D$5:$D$1326,MATCH(G856,'Match Groups'!$A$5:$A$1326,0))</f>
        <v>MATCH</v>
      </c>
      <c r="J856">
        <f>IF(I856="DUPIMP",0,1)</f>
        <v>1</v>
      </c>
    </row>
    <row r="857">
      <c r="A857" t="inlineStr">
        <is>
          <t>BL-00267</t>
        </is>
      </c>
      <c r="B857" t="inlineStr">
        <is>
          <t>OPS</t>
        </is>
      </c>
      <c r="C857" s="5" t="n">
        <v>46259</v>
      </c>
      <c r="D857" t="inlineStr">
        <is>
          <t>DIRECT CREDIT WATTLE PLAN SERVICES P RA45064</t>
        </is>
      </c>
      <c r="E857" s="9" t="n">
        <v>1397.63</v>
      </c>
      <c r="F857" t="inlineStr">
        <is>
          <t>OPS-20260825</t>
        </is>
      </c>
      <c r="G857" t="inlineStr">
        <is>
          <t>G00343</t>
        </is>
      </c>
      <c r="H857" t="str">
        <f>INDEX('Match Groups'!$C$5:$C$1326,MATCH(G857,'Match Groups'!$A$5:$A$1326,0))</f>
        <v>R03</v>
      </c>
      <c r="I857" t="str">
        <f>INDEX('Match Groups'!$D$5:$D$1326,MATCH(G857,'Match Groups'!$A$5:$A$1326,0))</f>
        <v>MATCH</v>
      </c>
      <c r="J857">
        <f>IF(I857="DUPIMP",0,1)</f>
        <v>1</v>
      </c>
    </row>
    <row r="858">
      <c r="A858" t="inlineStr">
        <is>
          <t>BL-00268</t>
        </is>
      </c>
      <c r="B858" t="inlineStr">
        <is>
          <t>OPS</t>
        </is>
      </c>
      <c r="C858" s="5" t="n">
        <v>46259</v>
      </c>
      <c r="D858" t="inlineStr">
        <is>
          <t>DIRECT CREDIT BANKSIA PLAN CO RA45065</t>
        </is>
      </c>
      <c r="E858" s="9" t="n">
        <v>387.98</v>
      </c>
      <c r="F858" t="inlineStr">
        <is>
          <t>OPS-20260825</t>
        </is>
      </c>
      <c r="G858" t="inlineStr">
        <is>
          <t>G00344</t>
        </is>
      </c>
      <c r="H858" t="str">
        <f>INDEX('Match Groups'!$C$5:$C$1326,MATCH(G858,'Match Groups'!$A$5:$A$1326,0))</f>
        <v>R03</v>
      </c>
      <c r="I858" t="str">
        <f>INDEX('Match Groups'!$D$5:$D$1326,MATCH(G858,'Match Groups'!$A$5:$A$1326,0))</f>
        <v>MATCH</v>
      </c>
      <c r="J858">
        <f>IF(I858="DUPIMP",0,1)</f>
        <v>1</v>
      </c>
    </row>
    <row r="859">
      <c r="A859" t="inlineStr">
        <is>
          <t>BL-00269</t>
        </is>
      </c>
      <c r="B859" t="inlineStr">
        <is>
          <t>OPS</t>
        </is>
      </c>
      <c r="C859" s="5" t="n">
        <v>46259</v>
      </c>
      <c r="D859" t="inlineStr">
        <is>
          <t>DIRECT CREDIT KOOKABURRAPLANSU RA45066</t>
        </is>
      </c>
      <c r="E859" s="9" t="n">
        <v>1610.12</v>
      </c>
      <c r="F859" t="inlineStr">
        <is>
          <t>OPS-20260825</t>
        </is>
      </c>
      <c r="G859" t="inlineStr">
        <is>
          <t>G00345</t>
        </is>
      </c>
      <c r="H859" t="str">
        <f>INDEX('Match Groups'!$C$5:$C$1326,MATCH(G859,'Match Groups'!$A$5:$A$1326,0))</f>
        <v>R03</v>
      </c>
      <c r="I859" t="str">
        <f>INDEX('Match Groups'!$D$5:$D$1326,MATCH(G859,'Match Groups'!$A$5:$A$1326,0))</f>
        <v>MATCH</v>
      </c>
      <c r="J859">
        <f>IF(I859="DUPIMP",0,1)</f>
        <v>1</v>
      </c>
    </row>
    <row r="860">
      <c r="A860" t="inlineStr">
        <is>
          <t>BL-00438</t>
        </is>
      </c>
      <c r="B860" t="inlineStr">
        <is>
          <t>OPS</t>
        </is>
      </c>
      <c r="C860" s="5" t="n">
        <v>46259</v>
      </c>
      <c r="D860" t="inlineStr">
        <is>
          <t>DIRECT CREDIT HARBOURMUTUALHEA CLM5309870 INV02708</t>
        </is>
      </c>
      <c r="E860" s="9" t="n">
        <v>990</v>
      </c>
      <c r="F860" t="inlineStr">
        <is>
          <t>OPS-20260825</t>
        </is>
      </c>
      <c r="G860" t="inlineStr">
        <is>
          <t>G01019</t>
        </is>
      </c>
      <c r="H860" t="str">
        <f>INDEX('Match Groups'!$C$5:$C$1326,MATCH(G860,'Match Groups'!$A$5:$A$1326,0))</f>
        <v>R09</v>
      </c>
      <c r="I860" t="str">
        <f>INDEX('Match Groups'!$D$5:$D$1326,MATCH(G860,'Match Groups'!$A$5:$A$1326,0))</f>
        <v>MATCH</v>
      </c>
      <c r="J860">
        <f>IF(I860="DUPIMP",0,1)</f>
        <v>1</v>
      </c>
    </row>
    <row r="861">
      <c r="A861" t="inlineStr">
        <is>
          <t>BL-00500</t>
        </is>
      </c>
      <c r="B861" t="inlineStr">
        <is>
          <t>OPS</t>
        </is>
      </c>
      <c r="C861" s="5" t="n">
        <v>46259</v>
      </c>
      <c r="D861" t="inlineStr">
        <is>
          <t>DIRECT CREDIT PINNACLE CLAIMS SE CLM5715202 INV02490</t>
        </is>
      </c>
      <c r="E861" s="9" t="n">
        <v>990</v>
      </c>
      <c r="F861" t="inlineStr">
        <is>
          <t>OPS-20260825</t>
        </is>
      </c>
      <c r="G861" t="inlineStr">
        <is>
          <t>G01186</t>
        </is>
      </c>
      <c r="H861" t="str">
        <f>INDEX('Match Groups'!$C$5:$C$1326,MATCH(G861,'Match Groups'!$A$5:$A$1326,0))</f>
        <v>R11</v>
      </c>
      <c r="I861" t="str">
        <f>INDEX('Match Groups'!$D$5:$D$1326,MATCH(G861,'Match Groups'!$A$5:$A$1326,0))</f>
        <v>REG</v>
      </c>
      <c r="J861">
        <f>IF(I861="DUPIMP",0,1)</f>
        <v>1</v>
      </c>
    </row>
    <row r="862">
      <c r="A862" t="inlineStr">
        <is>
          <t>BL-00544</t>
        </is>
      </c>
      <c r="B862" t="inlineStr">
        <is>
          <t>OPS</t>
        </is>
      </c>
      <c r="C862" s="5" t="n">
        <v>46259</v>
      </c>
      <c r="D862" t="inlineStr">
        <is>
          <t>DIRECT CREDIT NORTHLINE INJURY CLA CLM5489473 INV 2580</t>
        </is>
      </c>
      <c r="E862" s="9" t="n">
        <v>88</v>
      </c>
      <c r="F862" t="inlineStr">
        <is>
          <t>OPS-20260825</t>
        </is>
      </c>
      <c r="G862" t="inlineStr">
        <is>
          <t>G01020</t>
        </is>
      </c>
      <c r="H862" t="str">
        <f>INDEX('Match Groups'!$C$5:$C$1326,MATCH(G862,'Match Groups'!$A$5:$A$1326,0))</f>
        <v>R09</v>
      </c>
      <c r="I862" t="str">
        <f>INDEX('Match Groups'!$D$5:$D$1326,MATCH(G862,'Match Groups'!$A$5:$A$1326,0))</f>
        <v>MATCH</v>
      </c>
      <c r="J862">
        <f>IF(I862="DUPIMP",0,1)</f>
        <v>1</v>
      </c>
    </row>
    <row r="863">
      <c r="A863" t="inlineStr">
        <is>
          <t>BL-00726</t>
        </is>
      </c>
      <c r="B863" t="inlineStr">
        <is>
          <t>OPS</t>
        </is>
      </c>
      <c r="C863" s="5" t="n">
        <v>46259</v>
      </c>
      <c r="D863" t="inlineStr">
        <is>
          <t>STRIPE PAYOUT STRIPE po_1Q0040KX</t>
        </is>
      </c>
      <c r="E863" s="9" t="n">
        <v>3425.41</v>
      </c>
      <c r="F863" t="inlineStr">
        <is>
          <t>OPS-20260825</t>
        </is>
      </c>
      <c r="G863" t="inlineStr">
        <is>
          <t>G00053</t>
        </is>
      </c>
      <c r="H863" t="str">
        <f>INDEX('Match Groups'!$C$5:$C$1326,MATCH(G863,'Match Groups'!$A$5:$A$1326,0))</f>
        <v>R02</v>
      </c>
      <c r="I863" t="str">
        <f>INDEX('Match Groups'!$D$5:$D$1326,MATCH(G863,'Match Groups'!$A$5:$A$1326,0))</f>
        <v>STRIPE-FEE</v>
      </c>
      <c r="J863">
        <f>IF(I863="DUPIMP",0,1)</f>
        <v>1</v>
      </c>
    </row>
    <row r="864">
      <c r="A864" t="inlineStr">
        <is>
          <t>BL-00270</t>
        </is>
      </c>
      <c r="B864" t="inlineStr">
        <is>
          <t>OPS</t>
        </is>
      </c>
      <c r="C864" s="5" t="n">
        <v>46260</v>
      </c>
      <c r="D864" t="inlineStr">
        <is>
          <t>DIRECT CREDIT BLUEGUM PLAN MANAGE RA45067</t>
        </is>
      </c>
      <c r="E864" s="9" t="n">
        <v>2476.06</v>
      </c>
      <c r="F864" t="inlineStr">
        <is>
          <t>OPS-20260826</t>
        </is>
      </c>
      <c r="G864" t="inlineStr">
        <is>
          <t>G00346</t>
        </is>
      </c>
      <c r="H864" t="str">
        <f>INDEX('Match Groups'!$C$5:$C$1326,MATCH(G864,'Match Groups'!$A$5:$A$1326,0))</f>
        <v>R03</v>
      </c>
      <c r="I864" t="str">
        <f>INDEX('Match Groups'!$D$5:$D$1326,MATCH(G864,'Match Groups'!$A$5:$A$1326,0))</f>
        <v>REG</v>
      </c>
      <c r="J864">
        <f>IF(I864="DUPIMP",0,1)</f>
        <v>1</v>
      </c>
    </row>
    <row r="865">
      <c r="A865" t="inlineStr">
        <is>
          <t>BL-00271</t>
        </is>
      </c>
      <c r="B865" t="inlineStr">
        <is>
          <t>OPS</t>
        </is>
      </c>
      <c r="C865" s="5" t="n">
        <v>46260</v>
      </c>
      <c r="D865" t="inlineStr">
        <is>
          <t>DIRECT CREDIT RIVERBEND PLAN PAR RA45068</t>
        </is>
      </c>
      <c r="E865" s="9" t="n">
        <v>484.97</v>
      </c>
      <c r="F865" t="inlineStr">
        <is>
          <t>OPS-20260826</t>
        </is>
      </c>
      <c r="G865" t="inlineStr">
        <is>
          <t>G00347</t>
        </is>
      </c>
      <c r="H865" t="str">
        <f>INDEX('Match Groups'!$C$5:$C$1326,MATCH(G865,'Match Groups'!$A$5:$A$1326,0))</f>
        <v>R03</v>
      </c>
      <c r="I865" t="str">
        <f>INDEX('Match Groups'!$D$5:$D$1326,MATCH(G865,'Match Groups'!$A$5:$A$1326,0))</f>
        <v>MATCH</v>
      </c>
      <c r="J865">
        <f>IF(I865="DUPIMP",0,1)</f>
        <v>1</v>
      </c>
    </row>
    <row r="866">
      <c r="A866" t="inlineStr">
        <is>
          <t>BL-00272</t>
        </is>
      </c>
      <c r="B866" t="inlineStr">
        <is>
          <t>OPS</t>
        </is>
      </c>
      <c r="C866" s="5" t="n">
        <v>46260</v>
      </c>
      <c r="D866" t="inlineStr">
        <is>
          <t>DIRECT CREDIT CLEARPATH NDIS PLA RA45069</t>
        </is>
      </c>
      <c r="E866" s="9" t="n">
        <v>514.97</v>
      </c>
      <c r="F866" t="inlineStr">
        <is>
          <t>OPS-20260826</t>
        </is>
      </c>
      <c r="G866" t="inlineStr">
        <is>
          <t>G00348</t>
        </is>
      </c>
      <c r="H866" t="str">
        <f>INDEX('Match Groups'!$C$5:$C$1326,MATCH(G866,'Match Groups'!$A$5:$A$1326,0))</f>
        <v>R03</v>
      </c>
      <c r="I866" t="str">
        <f>INDEX('Match Groups'!$D$5:$D$1326,MATCH(G866,'Match Groups'!$A$5:$A$1326,0))</f>
        <v>MATCH</v>
      </c>
      <c r="J866">
        <f>IF(I866="DUPIMP",0,1)</f>
        <v>1</v>
      </c>
    </row>
    <row r="867">
      <c r="A867" t="inlineStr">
        <is>
          <t>BL-00273</t>
        </is>
      </c>
      <c r="B867" t="inlineStr">
        <is>
          <t>OPS</t>
        </is>
      </c>
      <c r="C867" s="5" t="n">
        <v>46260</v>
      </c>
      <c r="D867" t="inlineStr">
        <is>
          <t>DIRECT CREDIT WATTLE PLAN SERVICES P RA45070</t>
        </is>
      </c>
      <c r="E867" s="9" t="n">
        <v>1407.34</v>
      </c>
      <c r="F867" t="inlineStr">
        <is>
          <t>OPS-20260826</t>
        </is>
      </c>
      <c r="G867" t="inlineStr">
        <is>
          <t>G00349</t>
        </is>
      </c>
      <c r="H867" t="str">
        <f>INDEX('Match Groups'!$C$5:$C$1326,MATCH(G867,'Match Groups'!$A$5:$A$1326,0))</f>
        <v>R03</v>
      </c>
      <c r="I867" t="str">
        <f>INDEX('Match Groups'!$D$5:$D$1326,MATCH(G867,'Match Groups'!$A$5:$A$1326,0))</f>
        <v>MATCH</v>
      </c>
      <c r="J867">
        <f>IF(I867="DUPIMP",0,1)</f>
        <v>1</v>
      </c>
    </row>
    <row r="868">
      <c r="A868" t="inlineStr">
        <is>
          <t>BL-00274</t>
        </is>
      </c>
      <c r="B868" t="inlineStr">
        <is>
          <t>OPS</t>
        </is>
      </c>
      <c r="C868" s="5" t="n">
        <v>46260</v>
      </c>
      <c r="D868" t="inlineStr">
        <is>
          <t>DIRECT CREDIT REDGUM PLAN ADMIN RA45071</t>
        </is>
      </c>
      <c r="E868" s="9" t="n">
        <v>1096.94</v>
      </c>
      <c r="F868" t="inlineStr">
        <is>
          <t>OPS-20260826</t>
        </is>
      </c>
      <c r="G868" t="inlineStr">
        <is>
          <t>G00350</t>
        </is>
      </c>
      <c r="H868" t="str">
        <f>INDEX('Match Groups'!$C$5:$C$1326,MATCH(G868,'Match Groups'!$A$5:$A$1326,0))</f>
        <v>R03</v>
      </c>
      <c r="I868" t="str">
        <f>INDEX('Match Groups'!$D$5:$D$1326,MATCH(G868,'Match Groups'!$A$5:$A$1326,0))</f>
        <v>MATCH</v>
      </c>
      <c r="J868">
        <f>IF(I868="DUPIMP",0,1)</f>
        <v>1</v>
      </c>
    </row>
    <row r="869">
      <c r="A869" t="inlineStr">
        <is>
          <t>BL-00275</t>
        </is>
      </c>
      <c r="B869" t="inlineStr">
        <is>
          <t>OPS</t>
        </is>
      </c>
      <c r="C869" s="5" t="n">
        <v>46260</v>
      </c>
      <c r="D869" t="inlineStr">
        <is>
          <t>DIRECT CREDIT LYREBIRD PLAN MANA RA45072</t>
        </is>
      </c>
      <c r="E869" s="9" t="n">
        <v>1932.89</v>
      </c>
      <c r="F869" t="inlineStr">
        <is>
          <t>OPS-20260826</t>
        </is>
      </c>
      <c r="G869" t="inlineStr">
        <is>
          <t>G00351</t>
        </is>
      </c>
      <c r="H869" t="str">
        <f>INDEX('Match Groups'!$C$5:$C$1326,MATCH(G869,'Match Groups'!$A$5:$A$1326,0))</f>
        <v>R03</v>
      </c>
      <c r="I869" t="str">
        <f>INDEX('Match Groups'!$D$5:$D$1326,MATCH(G869,'Match Groups'!$A$5:$A$1326,0))</f>
        <v>MATCH</v>
      </c>
      <c r="J869">
        <f>IF(I869="DUPIMP",0,1)</f>
        <v>1</v>
      </c>
    </row>
    <row r="870">
      <c r="A870" t="inlineStr">
        <is>
          <t>BL-00276</t>
        </is>
      </c>
      <c r="B870" t="inlineStr">
        <is>
          <t>OPS</t>
        </is>
      </c>
      <c r="C870" s="5" t="n">
        <v>46260</v>
      </c>
      <c r="D870" t="inlineStr">
        <is>
          <t>DIRECT CREDIT MALLEE PLAN SERVICES P RA45073</t>
        </is>
      </c>
      <c r="E870" s="9" t="n">
        <v>203.69</v>
      </c>
      <c r="F870" t="inlineStr">
        <is>
          <t>OPS-20260826</t>
        </is>
      </c>
      <c r="G870" t="inlineStr">
        <is>
          <t>G00352</t>
        </is>
      </c>
      <c r="H870" t="str">
        <f>INDEX('Match Groups'!$C$5:$C$1326,MATCH(G870,'Match Groups'!$A$5:$A$1326,0))</f>
        <v>R03</v>
      </c>
      <c r="I870" t="str">
        <f>INDEX('Match Groups'!$D$5:$D$1326,MATCH(G870,'Match Groups'!$A$5:$A$1326,0))</f>
        <v>MATCH</v>
      </c>
      <c r="J870">
        <f>IF(I870="DUPIMP",0,1)</f>
        <v>1</v>
      </c>
    </row>
    <row r="871">
      <c r="A871" t="inlineStr">
        <is>
          <t>BL-00435</t>
        </is>
      </c>
      <c r="B871" t="inlineStr">
        <is>
          <t>OPS</t>
        </is>
      </c>
      <c r="C871" s="5" t="n">
        <v>46260</v>
      </c>
      <c r="D871" t="inlineStr">
        <is>
          <t>DIRECT CREDIT HARBOUR MUTUAL HEALTH CLM5432414 INV 2488</t>
        </is>
      </c>
      <c r="E871" s="9" t="n">
        <v>88</v>
      </c>
      <c r="F871" t="inlineStr">
        <is>
          <t>OPS-20260826</t>
        </is>
      </c>
      <c r="G871" t="inlineStr">
        <is>
          <t>G01187</t>
        </is>
      </c>
      <c r="H871" t="str">
        <f>INDEX('Match Groups'!$C$5:$C$1326,MATCH(G871,'Match Groups'!$A$5:$A$1326,0))</f>
        <v>R11</v>
      </c>
      <c r="I871" t="str">
        <f>INDEX('Match Groups'!$D$5:$D$1326,MATCH(G871,'Match Groups'!$A$5:$A$1326,0))</f>
        <v>REG</v>
      </c>
      <c r="J871">
        <f>IF(I871="DUPIMP",0,1)</f>
        <v>1</v>
      </c>
    </row>
    <row r="872">
      <c r="A872" t="inlineStr">
        <is>
          <t>BL-00457</t>
        </is>
      </c>
      <c r="B872" t="inlineStr">
        <is>
          <t>OPS</t>
        </is>
      </c>
      <c r="C872" s="5" t="n">
        <v>46260</v>
      </c>
      <c r="D872" t="inlineStr">
        <is>
          <t>DIRECT CREDIT COASTLINEHEALTHF CLM5927684 INV/2026/02489</t>
        </is>
      </c>
      <c r="E872" s="9" t="n">
        <v>176</v>
      </c>
      <c r="F872" t="inlineStr">
        <is>
          <t>OPS-20260826</t>
        </is>
      </c>
      <c r="G872" t="inlineStr">
        <is>
          <t>G01188</t>
        </is>
      </c>
      <c r="H872" t="str">
        <f>INDEX('Match Groups'!$C$5:$C$1326,MATCH(G872,'Match Groups'!$A$5:$A$1326,0))</f>
        <v>R11</v>
      </c>
      <c r="I872" t="str">
        <f>INDEX('Match Groups'!$D$5:$D$1326,MATCH(G872,'Match Groups'!$A$5:$A$1326,0))</f>
        <v>REG</v>
      </c>
      <c r="J872">
        <f>IF(I872="DUPIMP",0,1)</f>
        <v>1</v>
      </c>
    </row>
    <row r="873">
      <c r="A873" t="inlineStr">
        <is>
          <t>BL-00502</t>
        </is>
      </c>
      <c r="B873" t="inlineStr">
        <is>
          <t>OPS</t>
        </is>
      </c>
      <c r="C873" s="5" t="n">
        <v>46260</v>
      </c>
      <c r="D873" t="inlineStr">
        <is>
          <t>DIRECT CREDIT PINNACLE CLAIMS SERVIC CLM5477460 INV02656</t>
        </is>
      </c>
      <c r="E873" s="9" t="n">
        <v>412.5</v>
      </c>
      <c r="F873" t="inlineStr">
        <is>
          <t>OPS-20260826</t>
        </is>
      </c>
      <c r="G873" t="inlineStr">
        <is>
          <t>G01189</t>
        </is>
      </c>
      <c r="H873" t="str">
        <f>INDEX('Match Groups'!$C$5:$C$1326,MATCH(G873,'Match Groups'!$A$5:$A$1326,0))</f>
        <v>R11</v>
      </c>
      <c r="I873" t="str">
        <f>INDEX('Match Groups'!$D$5:$D$1326,MATCH(G873,'Match Groups'!$A$5:$A$1326,0))</f>
        <v>REG</v>
      </c>
      <c r="J873">
        <f>IF(I873="DUPIMP",0,1)</f>
        <v>1</v>
      </c>
    </row>
    <row r="874">
      <c r="A874" t="inlineStr">
        <is>
          <t>BL-00555</t>
        </is>
      </c>
      <c r="B874" t="inlineStr">
        <is>
          <t>OPS</t>
        </is>
      </c>
      <c r="C874" s="5" t="n">
        <v>46260</v>
      </c>
      <c r="D874" t="inlineStr">
        <is>
          <t>DIRECT CREDIT VARGA AND HOLT LOGIS</t>
        </is>
      </c>
      <c r="E874" s="9" t="n">
        <v>2186.25</v>
      </c>
      <c r="F874" t="inlineStr">
        <is>
          <t>OPS-20260826</t>
        </is>
      </c>
      <c r="G874" t="inlineStr">
        <is>
          <t>G01147</t>
        </is>
      </c>
      <c r="H874" t="str">
        <f>INDEX('Match Groups'!$C$5:$C$1326,MATCH(G874,'Match Groups'!$A$5:$A$1326,0))</f>
        <v>R10</v>
      </c>
      <c r="I874" t="str">
        <f>INDEX('Match Groups'!$D$5:$D$1326,MATCH(G874,'Match Groups'!$A$5:$A$1326,0))</f>
        <v>MATCH</v>
      </c>
      <c r="J874">
        <f>IF(I874="DUPIMP",0,1)</f>
        <v>1</v>
      </c>
    </row>
    <row r="875">
      <c r="A875" t="inlineStr">
        <is>
          <t>BL-00558</t>
        </is>
      </c>
      <c r="B875" t="inlineStr">
        <is>
          <t>OPS</t>
        </is>
      </c>
      <c r="C875" s="5" t="n">
        <v>46260</v>
      </c>
      <c r="D875" t="inlineStr">
        <is>
          <t>DIRECT CREDIT KESTREL LANE FOODS</t>
        </is>
      </c>
      <c r="E875" s="9" t="n">
        <v>3465</v>
      </c>
      <c r="F875" t="inlineStr">
        <is>
          <t>OPS-20260826</t>
        </is>
      </c>
      <c r="G875" t="inlineStr">
        <is>
          <t>G01148</t>
        </is>
      </c>
      <c r="H875" t="str">
        <f>INDEX('Match Groups'!$C$5:$C$1326,MATCH(G875,'Match Groups'!$A$5:$A$1326,0))</f>
        <v>R10</v>
      </c>
      <c r="I875" t="str">
        <f>INDEX('Match Groups'!$D$5:$D$1326,MATCH(G875,'Match Groups'!$A$5:$A$1326,0))</f>
        <v>MATCH</v>
      </c>
      <c r="J875">
        <f>IF(I875="DUPIMP",0,1)</f>
        <v>1</v>
      </c>
    </row>
    <row r="876">
      <c r="A876" t="inlineStr">
        <is>
          <t>BL-00562</t>
        </is>
      </c>
      <c r="B876" t="inlineStr">
        <is>
          <t>OPS</t>
        </is>
      </c>
      <c r="C876" s="5" t="n">
        <v>46260</v>
      </c>
      <c r="D876" t="inlineStr">
        <is>
          <t>DIRECT CREDIT BRIGHTWATER CIVIL PTY INV/2026/03466</t>
        </is>
      </c>
      <c r="E876" s="9" t="n">
        <v>2117.5</v>
      </c>
      <c r="F876" t="inlineStr">
        <is>
          <t>OPS-20260826</t>
        </is>
      </c>
      <c r="G876" t="inlineStr">
        <is>
          <t>G01021</t>
        </is>
      </c>
      <c r="H876" t="str">
        <f>INDEX('Match Groups'!$C$5:$C$1326,MATCH(G876,'Match Groups'!$A$5:$A$1326,0))</f>
        <v>R09</v>
      </c>
      <c r="I876" t="str">
        <f>INDEX('Match Groups'!$D$5:$D$1326,MATCH(G876,'Match Groups'!$A$5:$A$1326,0))</f>
        <v>MATCH</v>
      </c>
      <c r="J876">
        <f>IF(I876="DUPIMP",0,1)</f>
        <v>1</v>
      </c>
    </row>
    <row r="877">
      <c r="A877" t="inlineStr">
        <is>
          <t>BL-00581</t>
        </is>
      </c>
      <c r="B877" t="inlineStr">
        <is>
          <t>OPS</t>
        </is>
      </c>
      <c r="C877" s="5" t="n">
        <v>46260</v>
      </c>
      <c r="D877" t="inlineStr">
        <is>
          <t>DIRECT CREDIT GREYSTANESBUILDI INV 3474</t>
        </is>
      </c>
      <c r="E877" s="9" t="n">
        <v>6820</v>
      </c>
      <c r="F877" t="inlineStr">
        <is>
          <t>OPS-20260826</t>
        </is>
      </c>
      <c r="G877" t="inlineStr">
        <is>
          <t>G01190</t>
        </is>
      </c>
      <c r="H877" t="str">
        <f>INDEX('Match Groups'!$C$5:$C$1326,MATCH(G877,'Match Groups'!$A$5:$A$1326,0))</f>
        <v>R11</v>
      </c>
      <c r="I877" t="str">
        <f>INDEX('Match Groups'!$D$5:$D$1326,MATCH(G877,'Match Groups'!$A$5:$A$1326,0))</f>
        <v>REG</v>
      </c>
      <c r="J877">
        <f>IF(I877="DUPIMP",0,1)</f>
        <v>1</v>
      </c>
    </row>
    <row r="878">
      <c r="A878" t="inlineStr">
        <is>
          <t>BL-00596</t>
        </is>
      </c>
      <c r="B878" t="inlineStr">
        <is>
          <t>OPS</t>
        </is>
      </c>
      <c r="C878" s="5" t="n">
        <v>46260</v>
      </c>
      <c r="D878" t="inlineStr">
        <is>
          <t>DIRECT CREDIT HARTIGANTRANSPOR INV03479</t>
        </is>
      </c>
      <c r="E878" s="9" t="n">
        <v>6820</v>
      </c>
      <c r="F878" t="inlineStr">
        <is>
          <t>OPS-20260826</t>
        </is>
      </c>
      <c r="G878" t="inlineStr">
        <is>
          <t>G01022</t>
        </is>
      </c>
      <c r="H878" t="str">
        <f>INDEX('Match Groups'!$C$5:$C$1326,MATCH(G878,'Match Groups'!$A$5:$A$1326,0))</f>
        <v>R09</v>
      </c>
      <c r="I878" t="str">
        <f>INDEX('Match Groups'!$D$5:$D$1326,MATCH(G878,'Match Groups'!$A$5:$A$1326,0))</f>
        <v>MATCH</v>
      </c>
      <c r="J878">
        <f>IF(I878="DUPIMP",0,1)</f>
        <v>1</v>
      </c>
    </row>
    <row r="879">
      <c r="A879" t="inlineStr">
        <is>
          <t>BL-00616</t>
        </is>
      </c>
      <c r="B879" t="inlineStr">
        <is>
          <t>OPS</t>
        </is>
      </c>
      <c r="C879" s="5" t="n">
        <v>46260</v>
      </c>
      <c r="D879" t="inlineStr">
        <is>
          <t>DIRECT CREDIT LINFIELD DAIRY CO INV03488</t>
        </is>
      </c>
      <c r="E879" s="9" t="n">
        <v>2186.25</v>
      </c>
      <c r="F879" t="inlineStr">
        <is>
          <t>OPS-20260826</t>
        </is>
      </c>
      <c r="G879" t="inlineStr">
        <is>
          <t>G01191</t>
        </is>
      </c>
      <c r="H879" t="str">
        <f>INDEX('Match Groups'!$C$5:$C$1326,MATCH(G879,'Match Groups'!$A$5:$A$1326,0))</f>
        <v>R11</v>
      </c>
      <c r="I879" t="str">
        <f>INDEX('Match Groups'!$D$5:$D$1326,MATCH(G879,'Match Groups'!$A$5:$A$1326,0))</f>
        <v>REG</v>
      </c>
      <c r="J879">
        <f>IF(I879="DUPIMP",0,1)</f>
        <v>1</v>
      </c>
    </row>
    <row r="880">
      <c r="A880" t="inlineStr">
        <is>
          <t>BL-00622</t>
        </is>
      </c>
      <c r="B880" t="inlineStr">
        <is>
          <t>OPS</t>
        </is>
      </c>
      <c r="C880" s="5" t="n">
        <v>46260</v>
      </c>
      <c r="D880" t="inlineStr">
        <is>
          <t>DIRECT CREDIT PEREGRINE SECURITY INV 3490</t>
        </is>
      </c>
      <c r="E880" s="9" t="n">
        <v>10876.25</v>
      </c>
      <c r="F880" t="inlineStr">
        <is>
          <t>OPS-20260826</t>
        </is>
      </c>
      <c r="G880" t="inlineStr">
        <is>
          <t>G01192</t>
        </is>
      </c>
      <c r="H880" t="str">
        <f>INDEX('Match Groups'!$C$5:$C$1326,MATCH(G880,'Match Groups'!$A$5:$A$1326,0))</f>
        <v>R11</v>
      </c>
      <c r="I880" t="str">
        <f>INDEX('Match Groups'!$D$5:$D$1326,MATCH(G880,'Match Groups'!$A$5:$A$1326,0))</f>
        <v>REG</v>
      </c>
      <c r="J880">
        <f>IF(I880="DUPIMP",0,1)</f>
        <v>1</v>
      </c>
    </row>
    <row r="881">
      <c r="A881" t="inlineStr">
        <is>
          <t>BL-00648</t>
        </is>
      </c>
      <c r="B881" t="inlineStr">
        <is>
          <t>OPS</t>
        </is>
      </c>
      <c r="C881" s="5" t="n">
        <v>46260</v>
      </c>
      <c r="D881" t="inlineStr">
        <is>
          <t>DIRECT CREDIT JARRAH RIDGE ESTATES P INV/2026/03501</t>
        </is>
      </c>
      <c r="E881" s="9" t="n">
        <v>2722.5</v>
      </c>
      <c r="F881" t="inlineStr">
        <is>
          <t>OPS-20260826</t>
        </is>
      </c>
      <c r="G881" t="inlineStr">
        <is>
          <t>G01023</t>
        </is>
      </c>
      <c r="H881" t="str">
        <f>INDEX('Match Groups'!$C$5:$C$1326,MATCH(G881,'Match Groups'!$A$5:$A$1326,0))</f>
        <v>R09</v>
      </c>
      <c r="I881" t="str">
        <f>INDEX('Match Groups'!$D$5:$D$1326,MATCH(G881,'Match Groups'!$A$5:$A$1326,0))</f>
        <v>MATCH</v>
      </c>
      <c r="J881">
        <f>IF(I881="DUPIMP",0,1)</f>
        <v>1</v>
      </c>
    </row>
    <row r="882">
      <c r="A882" t="inlineStr">
        <is>
          <t>BL-00727</t>
        </is>
      </c>
      <c r="B882" t="inlineStr">
        <is>
          <t>OPS</t>
        </is>
      </c>
      <c r="C882" s="5" t="n">
        <v>46260</v>
      </c>
      <c r="D882" t="inlineStr">
        <is>
          <t>STRIPE PAYOUT STRIPE po_1Q0041KX</t>
        </is>
      </c>
      <c r="E882" s="9" t="n">
        <v>3305.43</v>
      </c>
      <c r="F882" t="inlineStr">
        <is>
          <t>OPS-20260826</t>
        </is>
      </c>
      <c r="G882" t="inlineStr">
        <is>
          <t>G00054</t>
        </is>
      </c>
      <c r="H882" t="str">
        <f>INDEX('Match Groups'!$C$5:$C$1326,MATCH(G882,'Match Groups'!$A$5:$A$1326,0))</f>
        <v>R02</v>
      </c>
      <c r="I882" t="str">
        <f>INDEX('Match Groups'!$D$5:$D$1326,MATCH(G882,'Match Groups'!$A$5:$A$1326,0))</f>
        <v>STRIPE-FEE</v>
      </c>
      <c r="J882">
        <f>IF(I882="DUPIMP",0,1)</f>
        <v>1</v>
      </c>
    </row>
    <row r="883">
      <c r="A883" t="inlineStr">
        <is>
          <t>BL-00762</t>
        </is>
      </c>
      <c r="B883" t="inlineStr">
        <is>
          <t>OPS</t>
        </is>
      </c>
      <c r="C883" s="5" t="n">
        <v>46260</v>
      </c>
      <c r="D883" t="inlineStr">
        <is>
          <t>ABA PAYMENT FILE 0419 12 PAYMENTS</t>
        </is>
      </c>
      <c r="E883" s="9" t="n">
        <v>-26011.7</v>
      </c>
      <c r="F883" t="inlineStr">
        <is>
          <t>OPS-20260826</t>
        </is>
      </c>
      <c r="G883" t="inlineStr">
        <is>
          <t>G00531</t>
        </is>
      </c>
      <c r="H883" t="str">
        <f>INDEX('Match Groups'!$C$5:$C$1326,MATCH(G883,'Match Groups'!$A$5:$A$1326,0))</f>
        <v>R06</v>
      </c>
      <c r="I883" t="str">
        <f>INDEX('Match Groups'!$D$5:$D$1326,MATCH(G883,'Match Groups'!$A$5:$A$1326,0))</f>
        <v>MATCH</v>
      </c>
      <c r="J883">
        <f>IF(I883="DUPIMP",0,1)</f>
        <v>1</v>
      </c>
    </row>
    <row r="884">
      <c r="A884" t="inlineStr">
        <is>
          <t>BL-01065</t>
        </is>
      </c>
      <c r="B884" t="inlineStr">
        <is>
          <t>OPS</t>
        </is>
      </c>
      <c r="C884" s="5" t="n">
        <v>46260</v>
      </c>
      <c r="D884" t="inlineStr">
        <is>
          <t>TFR TO PAYROLL CLEARING PR260827</t>
        </is>
      </c>
      <c r="E884" s="9" t="n">
        <v>-166350.27</v>
      </c>
      <c r="F884" t="inlineStr">
        <is>
          <t>OPS-20260826</t>
        </is>
      </c>
      <c r="G884" t="inlineStr">
        <is>
          <t>G00532</t>
        </is>
      </c>
      <c r="H884" t="str">
        <f>INDEX('Match Groups'!$C$5:$C$1326,MATCH(G884,'Match Groups'!$A$5:$A$1326,0))</f>
        <v>R04</v>
      </c>
      <c r="I884" t="str">
        <f>INDEX('Match Groups'!$D$5:$D$1326,MATCH(G884,'Match Groups'!$A$5:$A$1326,0))</f>
        <v>MATCH</v>
      </c>
      <c r="J884">
        <f>IF(I884="DUPIMP",0,1)</f>
        <v>1</v>
      </c>
    </row>
    <row r="885">
      <c r="A885" t="inlineStr">
        <is>
          <t>BL-00277</t>
        </is>
      </c>
      <c r="B885" t="inlineStr">
        <is>
          <t>OPS</t>
        </is>
      </c>
      <c r="C885" s="5" t="n">
        <v>46261</v>
      </c>
      <c r="D885" t="inlineStr">
        <is>
          <t>DIRECT CREDIT BLUEGUM PLAN MANAGE RA45074</t>
        </is>
      </c>
      <c r="E885" s="9" t="n">
        <v>611.97</v>
      </c>
      <c r="F885" t="inlineStr">
        <is>
          <t>OPS-20260827</t>
        </is>
      </c>
      <c r="G885" t="inlineStr">
        <is>
          <t>G00353</t>
        </is>
      </c>
      <c r="H885" t="str">
        <f>INDEX('Match Groups'!$C$5:$C$1326,MATCH(G885,'Match Groups'!$A$5:$A$1326,0))</f>
        <v>R03</v>
      </c>
      <c r="I885" t="str">
        <f>INDEX('Match Groups'!$D$5:$D$1326,MATCH(G885,'Match Groups'!$A$5:$A$1326,0))</f>
        <v>MATCH</v>
      </c>
      <c r="J885">
        <f>IF(I885="DUPIMP",0,1)</f>
        <v>1</v>
      </c>
    </row>
    <row r="886">
      <c r="A886" t="inlineStr">
        <is>
          <t>BL-00278</t>
        </is>
      </c>
      <c r="B886" t="inlineStr">
        <is>
          <t>OPS</t>
        </is>
      </c>
      <c r="C886" s="5" t="n">
        <v>46261</v>
      </c>
      <c r="D886" t="inlineStr">
        <is>
          <t>DIRECT CREDIT IRONBARK PLAN MANA RA45075</t>
        </is>
      </c>
      <c r="E886" s="9" t="n">
        <v>1009.64</v>
      </c>
      <c r="F886" t="inlineStr">
        <is>
          <t>OPS-20260827</t>
        </is>
      </c>
      <c r="G886" t="inlineStr">
        <is>
          <t>G00354</t>
        </is>
      </c>
      <c r="H886" t="str">
        <f>INDEX('Match Groups'!$C$5:$C$1326,MATCH(G886,'Match Groups'!$A$5:$A$1326,0))</f>
        <v>R03</v>
      </c>
      <c r="I886" t="str">
        <f>INDEX('Match Groups'!$D$5:$D$1326,MATCH(G886,'Match Groups'!$A$5:$A$1326,0))</f>
        <v>MATCH</v>
      </c>
      <c r="J886">
        <f>IF(I886="DUPIMP",0,1)</f>
        <v>1</v>
      </c>
    </row>
    <row r="887">
      <c r="A887" t="inlineStr">
        <is>
          <t>BL-00279</t>
        </is>
      </c>
      <c r="B887" t="inlineStr">
        <is>
          <t>OPS</t>
        </is>
      </c>
      <c r="C887" s="5" t="n">
        <v>46261</v>
      </c>
      <c r="D887" t="inlineStr">
        <is>
          <t>DIRECT CREDIT SOUTHERN CROSS PLA RA45076</t>
        </is>
      </c>
      <c r="E887" s="9" t="n">
        <v>737.17</v>
      </c>
      <c r="F887" t="inlineStr">
        <is>
          <t>OPS-20260827</t>
        </is>
      </c>
      <c r="G887" t="inlineStr">
        <is>
          <t>G00355</t>
        </is>
      </c>
      <c r="H887" t="str">
        <f>INDEX('Match Groups'!$C$5:$C$1326,MATCH(G887,'Match Groups'!$A$5:$A$1326,0))</f>
        <v>R03</v>
      </c>
      <c r="I887" t="str">
        <f>INDEX('Match Groups'!$D$5:$D$1326,MATCH(G887,'Match Groups'!$A$5:$A$1326,0))</f>
        <v>MATCH</v>
      </c>
      <c r="J887">
        <f>IF(I887="DUPIMP",0,1)</f>
        <v>1</v>
      </c>
    </row>
    <row r="888">
      <c r="A888" t="inlineStr">
        <is>
          <t>BL-00477</t>
        </is>
      </c>
      <c r="B888" t="inlineStr">
        <is>
          <t>OPS</t>
        </is>
      </c>
      <c r="C888" s="5" t="n">
        <v>46261</v>
      </c>
      <c r="D888" t="inlineStr">
        <is>
          <t>DIRECT CREDIT UNITY WORKCOVER AG CLM5397241 INV02559</t>
        </is>
      </c>
      <c r="E888" s="9" t="n">
        <v>990</v>
      </c>
      <c r="F888" t="inlineStr">
        <is>
          <t>OPS-20260827</t>
        </is>
      </c>
      <c r="G888" t="inlineStr">
        <is>
          <t>G01024</t>
        </is>
      </c>
      <c r="H888" t="str">
        <f>INDEX('Match Groups'!$C$5:$C$1326,MATCH(G888,'Match Groups'!$A$5:$A$1326,0))</f>
        <v>R09</v>
      </c>
      <c r="I888" t="str">
        <f>INDEX('Match Groups'!$D$5:$D$1326,MATCH(G888,'Match Groups'!$A$5:$A$1326,0))</f>
        <v>MATCH</v>
      </c>
      <c r="J888">
        <f>IF(I888="DUPIMP",0,1)</f>
        <v>1</v>
      </c>
    </row>
    <row r="889">
      <c r="A889" t="inlineStr">
        <is>
          <t>BL-00504</t>
        </is>
      </c>
      <c r="B889" t="inlineStr">
        <is>
          <t>OPS</t>
        </is>
      </c>
      <c r="C889" s="5" t="n">
        <v>46261</v>
      </c>
      <c r="D889" t="inlineStr">
        <is>
          <t>DIRECT CREDIT PINNACLECLAIMSSE CLM5970763 INV02753</t>
        </is>
      </c>
      <c r="E889" s="9" t="n">
        <v>990</v>
      </c>
      <c r="F889" t="inlineStr">
        <is>
          <t>OPS-20260827</t>
        </is>
      </c>
      <c r="G889" t="inlineStr">
        <is>
          <t>G01025</t>
        </is>
      </c>
      <c r="H889" t="str">
        <f>INDEX('Match Groups'!$C$5:$C$1326,MATCH(G889,'Match Groups'!$A$5:$A$1326,0))</f>
        <v>R09</v>
      </c>
      <c r="I889" t="str">
        <f>INDEX('Match Groups'!$D$5:$D$1326,MATCH(G889,'Match Groups'!$A$5:$A$1326,0))</f>
        <v>MATCH</v>
      </c>
      <c r="J889">
        <f>IF(I889="DUPIMP",0,1)</f>
        <v>1</v>
      </c>
    </row>
    <row r="890">
      <c r="A890" t="inlineStr">
        <is>
          <t>BL-00728</t>
        </is>
      </c>
      <c r="B890" t="inlineStr">
        <is>
          <t>OPS</t>
        </is>
      </c>
      <c r="C890" s="5" t="n">
        <v>46261</v>
      </c>
      <c r="D890" t="inlineStr">
        <is>
          <t>STRIPE PAYOUT STRIPE po_1Q0042KX</t>
        </is>
      </c>
      <c r="E890" s="9" t="n">
        <v>2538.67</v>
      </c>
      <c r="F890" t="inlineStr">
        <is>
          <t>OPS-20260827</t>
        </is>
      </c>
      <c r="G890" t="inlineStr">
        <is>
          <t>G00055</t>
        </is>
      </c>
      <c r="H890" t="str">
        <f>INDEX('Match Groups'!$C$5:$C$1326,MATCH(G890,'Match Groups'!$A$5:$A$1326,0))</f>
        <v>R02</v>
      </c>
      <c r="I890" t="str">
        <f>INDEX('Match Groups'!$D$5:$D$1326,MATCH(G890,'Match Groups'!$A$5:$A$1326,0))</f>
        <v>STRIPE-FEE</v>
      </c>
      <c r="J890">
        <f>IF(I890="DUPIMP",0,1)</f>
        <v>1</v>
      </c>
    </row>
    <row r="891">
      <c r="A891" t="inlineStr">
        <is>
          <t>BL-00280</t>
        </is>
      </c>
      <c r="B891" t="inlineStr">
        <is>
          <t>OPS</t>
        </is>
      </c>
      <c r="C891" s="5" t="n">
        <v>46262</v>
      </c>
      <c r="D891" t="inlineStr">
        <is>
          <t>DIRECT CREDIT BLUEGUM PLAN MGMT RA45077</t>
        </is>
      </c>
      <c r="E891" s="9" t="n">
        <v>436.48</v>
      </c>
      <c r="F891" t="inlineStr">
        <is>
          <t>OPS-20260828</t>
        </is>
      </c>
      <c r="G891" t="inlineStr">
        <is>
          <t>G00356</t>
        </is>
      </c>
      <c r="H891" t="str">
        <f>INDEX('Match Groups'!$C$5:$C$1326,MATCH(G891,'Match Groups'!$A$5:$A$1326,0))</f>
        <v>R03</v>
      </c>
      <c r="I891" t="str">
        <f>INDEX('Match Groups'!$D$5:$D$1326,MATCH(G891,'Match Groups'!$A$5:$A$1326,0))</f>
        <v>MATCH</v>
      </c>
      <c r="J891">
        <f>IF(I891="DUPIMP",0,1)</f>
        <v>1</v>
      </c>
    </row>
    <row r="892">
      <c r="A892" t="inlineStr">
        <is>
          <t>BL-00281</t>
        </is>
      </c>
      <c r="B892" t="inlineStr">
        <is>
          <t>OPS</t>
        </is>
      </c>
      <c r="C892" s="5" t="n">
        <v>46262</v>
      </c>
      <c r="D892" t="inlineStr">
        <is>
          <t>DIRECT CREDIT RIVERBEND PLAN PAR RA45078</t>
        </is>
      </c>
      <c r="E892" s="9" t="n">
        <v>544.98</v>
      </c>
      <c r="F892" t="inlineStr">
        <is>
          <t>OPS-20260828</t>
        </is>
      </c>
      <c r="G892" t="inlineStr">
        <is>
          <t>G00357</t>
        </is>
      </c>
      <c r="H892" t="str">
        <f>INDEX('Match Groups'!$C$5:$C$1326,MATCH(G892,'Match Groups'!$A$5:$A$1326,0))</f>
        <v>R03</v>
      </c>
      <c r="I892" t="str">
        <f>INDEX('Match Groups'!$D$5:$D$1326,MATCH(G892,'Match Groups'!$A$5:$A$1326,0))</f>
        <v>MATCH</v>
      </c>
      <c r="J892">
        <f>IF(I892="DUPIMP",0,1)</f>
        <v>1</v>
      </c>
    </row>
    <row r="893">
      <c r="A893" t="inlineStr">
        <is>
          <t>BL-00282</t>
        </is>
      </c>
      <c r="B893" t="inlineStr">
        <is>
          <t>OPS</t>
        </is>
      </c>
      <c r="C893" s="5" t="n">
        <v>46262</v>
      </c>
      <c r="D893" t="inlineStr">
        <is>
          <t>DIRECT CREDIT BANKSIA PLAN CO PTY LT RA45079</t>
        </is>
      </c>
      <c r="E893" s="9" t="n">
        <v>290.98</v>
      </c>
      <c r="F893" t="inlineStr">
        <is>
          <t>OPS-20260828</t>
        </is>
      </c>
      <c r="G893" t="inlineStr">
        <is>
          <t>G00358</t>
        </is>
      </c>
      <c r="H893" t="str">
        <f>INDEX('Match Groups'!$C$5:$C$1326,MATCH(G893,'Match Groups'!$A$5:$A$1326,0))</f>
        <v>R03</v>
      </c>
      <c r="I893" t="str">
        <f>INDEX('Match Groups'!$D$5:$D$1326,MATCH(G893,'Match Groups'!$A$5:$A$1326,0))</f>
        <v>MATCH</v>
      </c>
      <c r="J893">
        <f>IF(I893="DUPIMP",0,1)</f>
        <v>1</v>
      </c>
    </row>
    <row r="894">
      <c r="A894" t="inlineStr">
        <is>
          <t>BL-00283</t>
        </is>
      </c>
      <c r="B894" t="inlineStr">
        <is>
          <t>OPS</t>
        </is>
      </c>
      <c r="C894" s="5" t="n">
        <v>46262</v>
      </c>
      <c r="D894" t="inlineStr">
        <is>
          <t>DIRECT CREDIT KOOKABURRAPLANSU RA45080</t>
        </is>
      </c>
      <c r="E894" s="9" t="n">
        <v>242.49</v>
      </c>
      <c r="F894" t="inlineStr">
        <is>
          <t>OPS-20260828</t>
        </is>
      </c>
      <c r="G894" t="inlineStr">
        <is>
          <t>G00359</t>
        </is>
      </c>
      <c r="H894" t="str">
        <f>INDEX('Match Groups'!$C$5:$C$1326,MATCH(G894,'Match Groups'!$A$5:$A$1326,0))</f>
        <v>R03</v>
      </c>
      <c r="I894" t="str">
        <f>INDEX('Match Groups'!$D$5:$D$1326,MATCH(G894,'Match Groups'!$A$5:$A$1326,0))</f>
        <v>MATCH</v>
      </c>
      <c r="J894">
        <f>IF(I894="DUPIMP",0,1)</f>
        <v>1</v>
      </c>
    </row>
    <row r="895">
      <c r="A895" t="inlineStr">
        <is>
          <t>BL-00284</t>
        </is>
      </c>
      <c r="B895" t="inlineStr">
        <is>
          <t>OPS</t>
        </is>
      </c>
      <c r="C895" s="5" t="n">
        <v>46262</v>
      </c>
      <c r="D895" t="inlineStr">
        <is>
          <t>DIRECT CREDIT SOUTHERN CROSS PLAN RA45081</t>
        </is>
      </c>
      <c r="E895" s="9" t="n">
        <v>2506.06</v>
      </c>
      <c r="F895" t="inlineStr">
        <is>
          <t>OPS-20260828</t>
        </is>
      </c>
      <c r="G895" t="inlineStr">
        <is>
          <t>G00360</t>
        </is>
      </c>
      <c r="H895" t="str">
        <f>INDEX('Match Groups'!$C$5:$C$1326,MATCH(G895,'Match Groups'!$A$5:$A$1326,0))</f>
        <v>R03</v>
      </c>
      <c r="I895" t="str">
        <f>INDEX('Match Groups'!$D$5:$D$1326,MATCH(G895,'Match Groups'!$A$5:$A$1326,0))</f>
        <v>MATCH</v>
      </c>
      <c r="J895">
        <f>IF(I895="DUPIMP",0,1)</f>
        <v>1</v>
      </c>
    </row>
    <row r="896">
      <c r="A896" t="inlineStr">
        <is>
          <t>BL-00501</t>
        </is>
      </c>
      <c r="B896" t="inlineStr">
        <is>
          <t>OPS</t>
        </is>
      </c>
      <c r="C896" s="5" t="n">
        <v>46262</v>
      </c>
      <c r="D896" t="inlineStr">
        <is>
          <t>DIRECT CREDIT PINNACLE CLAIMS SE CLM5897708 RE INV 2026 02560</t>
        </is>
      </c>
      <c r="E896" s="9" t="n">
        <v>88</v>
      </c>
      <c r="F896" t="inlineStr">
        <is>
          <t>OPS-20260828</t>
        </is>
      </c>
      <c r="G896" t="inlineStr">
        <is>
          <t>G01026</t>
        </is>
      </c>
      <c r="H896" t="str">
        <f>INDEX('Match Groups'!$C$5:$C$1326,MATCH(G896,'Match Groups'!$A$5:$A$1326,0))</f>
        <v>R09</v>
      </c>
      <c r="I896" t="str">
        <f>INDEX('Match Groups'!$D$5:$D$1326,MATCH(G896,'Match Groups'!$A$5:$A$1326,0))</f>
        <v>MATCH</v>
      </c>
      <c r="J896">
        <f>IF(I896="DUPIMP",0,1)</f>
        <v>1</v>
      </c>
    </row>
    <row r="897">
      <c r="A897" t="inlineStr">
        <is>
          <t>BL-00572</t>
        </is>
      </c>
      <c r="B897" t="inlineStr">
        <is>
          <t>OPS</t>
        </is>
      </c>
      <c r="C897" s="5" t="n">
        <v>46262</v>
      </c>
      <c r="D897" t="inlineStr">
        <is>
          <t>DIRECT CREDIT TAMSINRIDGEWINER</t>
        </is>
      </c>
      <c r="E897" s="9" t="n">
        <v>15950</v>
      </c>
      <c r="F897" t="inlineStr">
        <is>
          <t>OPS-20260828</t>
        </is>
      </c>
      <c r="G897" t="inlineStr">
        <is>
          <t>G01149</t>
        </is>
      </c>
      <c r="H897" t="str">
        <f>INDEX('Match Groups'!$C$5:$C$1326,MATCH(G897,'Match Groups'!$A$5:$A$1326,0))</f>
        <v>R10</v>
      </c>
      <c r="I897" t="str">
        <f>INDEX('Match Groups'!$D$5:$D$1326,MATCH(G897,'Match Groups'!$A$5:$A$1326,0))</f>
        <v>MATCH</v>
      </c>
      <c r="J897">
        <f>IF(I897="DUPIMP",0,1)</f>
        <v>1</v>
      </c>
    </row>
    <row r="898">
      <c r="A898" t="inlineStr">
        <is>
          <t>BL-00614</t>
        </is>
      </c>
      <c r="B898" t="inlineStr">
        <is>
          <t>OPS</t>
        </is>
      </c>
      <c r="C898" s="5" t="n">
        <v>46262</v>
      </c>
      <c r="D898" t="inlineStr">
        <is>
          <t>DIRECT CREDIT BROADMEADOWPLAST INV 3541</t>
        </is>
      </c>
      <c r="E898" s="9" t="n">
        <v>2117.5</v>
      </c>
      <c r="F898" t="inlineStr">
        <is>
          <t>OPS-20260828</t>
        </is>
      </c>
      <c r="G898" t="inlineStr">
        <is>
          <t>G01027</t>
        </is>
      </c>
      <c r="H898" t="str">
        <f>INDEX('Match Groups'!$C$5:$C$1326,MATCH(G898,'Match Groups'!$A$5:$A$1326,0))</f>
        <v>R09</v>
      </c>
      <c r="I898" t="str">
        <f>INDEX('Match Groups'!$D$5:$D$1326,MATCH(G898,'Match Groups'!$A$5:$A$1326,0))</f>
        <v>MATCH</v>
      </c>
      <c r="J898">
        <f>IF(I898="DUPIMP",0,1)</f>
        <v>1</v>
      </c>
    </row>
    <row r="899">
      <c r="A899" t="inlineStr">
        <is>
          <t>BL-00619</t>
        </is>
      </c>
      <c r="B899" t="inlineStr">
        <is>
          <t>OPS</t>
        </is>
      </c>
      <c r="C899" s="5" t="n">
        <v>46262</v>
      </c>
      <c r="D899" t="inlineStr">
        <is>
          <t>DIRECT CREDIT ASHGROVE ACCOUNTIN INV 3489</t>
        </is>
      </c>
      <c r="E899" s="9" t="n">
        <v>10725</v>
      </c>
      <c r="F899" t="inlineStr">
        <is>
          <t>OPS-20260828</t>
        </is>
      </c>
      <c r="G899" t="inlineStr">
        <is>
          <t>G01028</t>
        </is>
      </c>
      <c r="H899" t="str">
        <f>INDEX('Match Groups'!$C$5:$C$1326,MATCH(G899,'Match Groups'!$A$5:$A$1326,0))</f>
        <v>R09</v>
      </c>
      <c r="I899" t="str">
        <f>INDEX('Match Groups'!$D$5:$D$1326,MATCH(G899,'Match Groups'!$A$5:$A$1326,0))</f>
        <v>MATCH</v>
      </c>
      <c r="J899">
        <f>IF(I899="DUPIMP",0,1)</f>
        <v>1</v>
      </c>
    </row>
    <row r="900">
      <c r="A900" t="inlineStr">
        <is>
          <t>BL-00628</t>
        </is>
      </c>
      <c r="B900" t="inlineStr">
        <is>
          <t>OPS</t>
        </is>
      </c>
      <c r="C900" s="5" t="n">
        <v>46262</v>
      </c>
      <c r="D900" t="inlineStr">
        <is>
          <t>DIRECT CREDIT DAINTREEPACKAGIN INV/2026/03492</t>
        </is>
      </c>
      <c r="E900" s="9" t="n">
        <v>3616.25</v>
      </c>
      <c r="F900" t="inlineStr">
        <is>
          <t>OPS-20260828</t>
        </is>
      </c>
      <c r="G900" t="inlineStr">
        <is>
          <t>G01029</t>
        </is>
      </c>
      <c r="H900" t="str">
        <f>INDEX('Match Groups'!$C$5:$C$1326,MATCH(G900,'Match Groups'!$A$5:$A$1326,0))</f>
        <v>R09</v>
      </c>
      <c r="I900" t="str">
        <f>INDEX('Match Groups'!$D$5:$D$1326,MATCH(G900,'Match Groups'!$A$5:$A$1326,0))</f>
        <v>MATCH</v>
      </c>
      <c r="J900">
        <f>IF(I900="DUPIMP",0,1)</f>
        <v>1</v>
      </c>
    </row>
    <row r="901">
      <c r="A901" t="inlineStr">
        <is>
          <t>BL-00638</t>
        </is>
      </c>
      <c r="B901" t="inlineStr">
        <is>
          <t>OPS</t>
        </is>
      </c>
      <c r="C901" s="5" t="n">
        <v>46262</v>
      </c>
      <c r="D901" t="inlineStr">
        <is>
          <t>DIRECT CREDIT GILMOURSTEEL INV 3496</t>
        </is>
      </c>
      <c r="E901" s="9" t="n">
        <v>5280</v>
      </c>
      <c r="F901" t="inlineStr">
        <is>
          <t>OPS-20260828</t>
        </is>
      </c>
      <c r="G901" t="inlineStr">
        <is>
          <t>G01030</t>
        </is>
      </c>
      <c r="H901" t="str">
        <f>INDEX('Match Groups'!$C$5:$C$1326,MATCH(G901,'Match Groups'!$A$5:$A$1326,0))</f>
        <v>R09</v>
      </c>
      <c r="I901" t="str">
        <f>INDEX('Match Groups'!$D$5:$D$1326,MATCH(G901,'Match Groups'!$A$5:$A$1326,0))</f>
        <v>MATCH</v>
      </c>
      <c r="J901">
        <f>IF(I901="DUPIMP",0,1)</f>
        <v>1</v>
      </c>
    </row>
    <row r="902">
      <c r="A902" t="inlineStr">
        <is>
          <t>BL-00644</t>
        </is>
      </c>
      <c r="B902" t="inlineStr">
        <is>
          <t>OPS</t>
        </is>
      </c>
      <c r="C902" s="5" t="n">
        <v>46262</v>
      </c>
      <c r="D902" t="inlineStr">
        <is>
          <t>DIRECT CREDIT INGLEWOOD COLD STORA INV 3499</t>
        </is>
      </c>
      <c r="E902" s="9" t="n">
        <v>2791.25</v>
      </c>
      <c r="F902" t="inlineStr">
        <is>
          <t>OPS-20260828</t>
        </is>
      </c>
      <c r="G902" t="inlineStr">
        <is>
          <t>G01031</t>
        </is>
      </c>
      <c r="H902" t="str">
        <f>INDEX('Match Groups'!$C$5:$C$1326,MATCH(G902,'Match Groups'!$A$5:$A$1326,0))</f>
        <v>R09</v>
      </c>
      <c r="I902" t="str">
        <f>INDEX('Match Groups'!$D$5:$D$1326,MATCH(G902,'Match Groups'!$A$5:$A$1326,0))</f>
        <v>MATCH</v>
      </c>
      <c r="J902">
        <f>IF(I902="DUPIMP",0,1)</f>
        <v>1</v>
      </c>
    </row>
    <row r="903">
      <c r="A903" t="inlineStr">
        <is>
          <t>BL-00665</t>
        </is>
      </c>
      <c r="B903" t="inlineStr">
        <is>
          <t>OPS</t>
        </is>
      </c>
      <c r="C903" s="5" t="n">
        <v>46262</v>
      </c>
      <c r="D903" t="inlineStr">
        <is>
          <t>DIRECT CREDIT NETTLEFOLD JOINERY PTY</t>
        </is>
      </c>
      <c r="E903" s="9" t="n">
        <v>3465</v>
      </c>
      <c r="F903" t="inlineStr">
        <is>
          <t>OPS-20260828</t>
        </is>
      </c>
      <c r="G903" t="inlineStr">
        <is>
          <t>G01150</t>
        </is>
      </c>
      <c r="H903" t="str">
        <f>INDEX('Match Groups'!$C$5:$C$1326,MATCH(G903,'Match Groups'!$A$5:$A$1326,0))</f>
        <v>R10</v>
      </c>
      <c r="I903" t="str">
        <f>INDEX('Match Groups'!$D$5:$D$1326,MATCH(G903,'Match Groups'!$A$5:$A$1326,0))</f>
        <v>MATCH</v>
      </c>
      <c r="J903">
        <f>IF(I903="DUPIMP",0,1)</f>
        <v>1</v>
      </c>
    </row>
    <row r="904">
      <c r="A904" t="inlineStr">
        <is>
          <t>BL-00682</t>
        </is>
      </c>
      <c r="B904" t="inlineStr">
        <is>
          <t>OPS</t>
        </is>
      </c>
      <c r="C904" s="5" t="n">
        <v>46262</v>
      </c>
      <c r="D904" t="inlineStr">
        <is>
          <t>DIRECT CREDIT THORNBURY TEXTILES 03568</t>
        </is>
      </c>
      <c r="E904" s="9" t="n">
        <v>3465</v>
      </c>
      <c r="F904" t="inlineStr">
        <is>
          <t>OPS-20260828</t>
        </is>
      </c>
      <c r="G904" t="inlineStr">
        <is>
          <t>G01032</t>
        </is>
      </c>
      <c r="H904" t="str">
        <f>INDEX('Match Groups'!$C$5:$C$1326,MATCH(G904,'Match Groups'!$A$5:$A$1326,0))</f>
        <v>R09</v>
      </c>
      <c r="I904" t="str">
        <f>INDEX('Match Groups'!$D$5:$D$1326,MATCH(G904,'Match Groups'!$A$5:$A$1326,0))</f>
        <v>MATCH</v>
      </c>
      <c r="J904">
        <f>IF(I904="DUPIMP",0,1)</f>
        <v>1</v>
      </c>
    </row>
    <row r="905">
      <c r="A905" t="inlineStr">
        <is>
          <t>BL-00729</t>
        </is>
      </c>
      <c r="B905" t="inlineStr">
        <is>
          <t>OPS</t>
        </is>
      </c>
      <c r="C905" s="5" t="n">
        <v>46262</v>
      </c>
      <c r="D905" t="inlineStr">
        <is>
          <t>STRIPE PAYOUT STRIPE po_1Q0043KX</t>
        </is>
      </c>
      <c r="E905" s="9" t="n">
        <v>3278.02</v>
      </c>
      <c r="F905" t="inlineStr">
        <is>
          <t>OPS-20260828</t>
        </is>
      </c>
      <c r="G905" t="inlineStr">
        <is>
          <t>G00056</t>
        </is>
      </c>
      <c r="H905" t="str">
        <f>INDEX('Match Groups'!$C$5:$C$1326,MATCH(G905,'Match Groups'!$A$5:$A$1326,0))</f>
        <v>R02</v>
      </c>
      <c r="I905" t="str">
        <f>INDEX('Match Groups'!$D$5:$D$1326,MATCH(G905,'Match Groups'!$A$5:$A$1326,0))</f>
        <v>STRIPE-FEE</v>
      </c>
      <c r="J905">
        <f>IF(I905="DUPIMP",0,1)</f>
        <v>1</v>
      </c>
    </row>
    <row r="906">
      <c r="A906" t="inlineStr">
        <is>
          <t>BL-00790</t>
        </is>
      </c>
      <c r="B906" t="inlineStr">
        <is>
          <t>OPS</t>
        </is>
      </c>
      <c r="C906" s="5" t="n">
        <v>46262</v>
      </c>
      <c r="D906" t="inlineStr">
        <is>
          <t>DIRECT DEBIT EQUIPMENT FINANCE LOAN 08</t>
        </is>
      </c>
      <c r="E906" s="9" t="n">
        <v>-4416.75</v>
      </c>
      <c r="F906" t="inlineStr">
        <is>
          <t>OPS-20260828</t>
        </is>
      </c>
      <c r="G906" t="inlineStr">
        <is>
          <t>G01151</t>
        </is>
      </c>
      <c r="H906" t="str">
        <f>INDEX('Match Groups'!$C$5:$C$1326,MATCH(G906,'Match Groups'!$A$5:$A$1326,0))</f>
        <v>R10</v>
      </c>
      <c r="I906" t="str">
        <f>INDEX('Match Groups'!$D$5:$D$1326,MATCH(G906,'Match Groups'!$A$5:$A$1326,0))</f>
        <v>MATCH</v>
      </c>
      <c r="J906">
        <f>IF(I906="DUPIMP",0,1)</f>
        <v>1</v>
      </c>
    </row>
    <row r="907">
      <c r="A907" t="inlineStr">
        <is>
          <t>BL-00285</t>
        </is>
      </c>
      <c r="B907" t="inlineStr">
        <is>
          <t>OPS</t>
        </is>
      </c>
      <c r="C907" s="5" t="n">
        <v>46265</v>
      </c>
      <c r="D907" t="inlineStr">
        <is>
          <t>DIRECT CREDIT BLUEGUM PM PTY LTD RA45082</t>
        </is>
      </c>
      <c r="E907" s="9" t="n">
        <v>300.69</v>
      </c>
      <c r="F907" t="inlineStr">
        <is>
          <t>OPS-20260831</t>
        </is>
      </c>
      <c r="G907" t="inlineStr">
        <is>
          <t>G00361</t>
        </is>
      </c>
      <c r="H907" t="str">
        <f>INDEX('Match Groups'!$C$5:$C$1326,MATCH(G907,'Match Groups'!$A$5:$A$1326,0))</f>
        <v>R03</v>
      </c>
      <c r="I907" t="str">
        <f>INDEX('Match Groups'!$D$5:$D$1326,MATCH(G907,'Match Groups'!$A$5:$A$1326,0))</f>
        <v>MATCH</v>
      </c>
      <c r="J907">
        <f>IF(I907="DUPIMP",0,1)</f>
        <v>1</v>
      </c>
    </row>
    <row r="908">
      <c r="A908" t="inlineStr">
        <is>
          <t>BL-00286</t>
        </is>
      </c>
      <c r="B908" t="inlineStr">
        <is>
          <t>OPS</t>
        </is>
      </c>
      <c r="C908" s="5" t="n">
        <v>46265</v>
      </c>
      <c r="D908" t="inlineStr">
        <is>
          <t>DIRECT CREDIT CLEARPATH NDIS PLANS RA45083</t>
        </is>
      </c>
      <c r="E908" s="9" t="n">
        <v>912.65</v>
      </c>
      <c r="F908" t="inlineStr">
        <is>
          <t>OPS-20260831</t>
        </is>
      </c>
      <c r="G908" t="inlineStr">
        <is>
          <t>G00362</t>
        </is>
      </c>
      <c r="H908" t="str">
        <f>INDEX('Match Groups'!$C$5:$C$1326,MATCH(G908,'Match Groups'!$A$5:$A$1326,0))</f>
        <v>R03</v>
      </c>
      <c r="I908" t="str">
        <f>INDEX('Match Groups'!$D$5:$D$1326,MATCH(G908,'Match Groups'!$A$5:$A$1326,0))</f>
        <v>MATCH</v>
      </c>
      <c r="J908">
        <f>IF(I908="DUPIMP",0,1)</f>
        <v>1</v>
      </c>
    </row>
    <row r="909">
      <c r="A909" t="inlineStr">
        <is>
          <t>BL-00287</t>
        </is>
      </c>
      <c r="B909" t="inlineStr">
        <is>
          <t>OPS</t>
        </is>
      </c>
      <c r="C909" s="5" t="n">
        <v>46265</v>
      </c>
      <c r="D909" t="inlineStr">
        <is>
          <t>DIRECT CREDIT IRONBARK PLAN MANAGEME RA45084</t>
        </is>
      </c>
      <c r="E909" s="9" t="n">
        <v>746.86</v>
      </c>
      <c r="F909" t="inlineStr">
        <is>
          <t>OPS-20260831</t>
        </is>
      </c>
      <c r="G909" t="inlineStr">
        <is>
          <t>G00363</t>
        </is>
      </c>
      <c r="H909" t="str">
        <f>INDEX('Match Groups'!$C$5:$C$1326,MATCH(G909,'Match Groups'!$A$5:$A$1326,0))</f>
        <v>R03</v>
      </c>
      <c r="I909" t="str">
        <f>INDEX('Match Groups'!$D$5:$D$1326,MATCH(G909,'Match Groups'!$A$5:$A$1326,0))</f>
        <v>MATCH</v>
      </c>
      <c r="J909">
        <f>IF(I909="DUPIMP",0,1)</f>
        <v>1</v>
      </c>
    </row>
    <row r="910">
      <c r="A910" t="inlineStr">
        <is>
          <t>BL-00288</t>
        </is>
      </c>
      <c r="B910" t="inlineStr">
        <is>
          <t>OPS</t>
        </is>
      </c>
      <c r="C910" s="5" t="n">
        <v>46265</v>
      </c>
      <c r="D910" t="inlineStr">
        <is>
          <t>DIRECT CREDIT KOOKABURRAPLANSU RA45085</t>
        </is>
      </c>
      <c r="E910" s="9" t="n">
        <v>611.96</v>
      </c>
      <c r="F910" t="inlineStr">
        <is>
          <t>OPS-20260831</t>
        </is>
      </c>
      <c r="G910" t="inlineStr">
        <is>
          <t>G00364</t>
        </is>
      </c>
      <c r="H910" t="str">
        <f>INDEX('Match Groups'!$C$5:$C$1326,MATCH(G910,'Match Groups'!$A$5:$A$1326,0))</f>
        <v>R03</v>
      </c>
      <c r="I910" t="str">
        <f>INDEX('Match Groups'!$D$5:$D$1326,MATCH(G910,'Match Groups'!$A$5:$A$1326,0))</f>
        <v>MATCH</v>
      </c>
      <c r="J910">
        <f>IF(I910="DUPIMP",0,1)</f>
        <v>1</v>
      </c>
    </row>
    <row r="911">
      <c r="A911" t="inlineStr">
        <is>
          <t>BL-00289</t>
        </is>
      </c>
      <c r="B911" t="inlineStr">
        <is>
          <t>OPS</t>
        </is>
      </c>
      <c r="C911" s="5" t="n">
        <v>46265</v>
      </c>
      <c r="D911" t="inlineStr">
        <is>
          <t>DIRECT CREDIT SALTBUSH PLAN MANAGERS RA45086</t>
        </is>
      </c>
      <c r="E911" s="9" t="n">
        <v>533.47</v>
      </c>
      <c r="F911" t="inlineStr">
        <is>
          <t>OPS-20260831</t>
        </is>
      </c>
      <c r="G911" t="inlineStr">
        <is>
          <t>G00365</t>
        </is>
      </c>
      <c r="H911" t="str">
        <f>INDEX('Match Groups'!$C$5:$C$1326,MATCH(G911,'Match Groups'!$A$5:$A$1326,0))</f>
        <v>R03</v>
      </c>
      <c r="I911" t="str">
        <f>INDEX('Match Groups'!$D$5:$D$1326,MATCH(G911,'Match Groups'!$A$5:$A$1326,0))</f>
        <v>MATCH</v>
      </c>
      <c r="J911">
        <f>IF(I911="DUPIMP",0,1)</f>
        <v>1</v>
      </c>
    </row>
    <row r="912">
      <c r="A912" t="inlineStr">
        <is>
          <t>BL-00290</t>
        </is>
      </c>
      <c r="B912" t="inlineStr">
        <is>
          <t>OPS</t>
        </is>
      </c>
      <c r="C912" s="5" t="n">
        <v>46265</v>
      </c>
      <c r="D912" t="inlineStr">
        <is>
          <t>DIRECT CREDIT REDGUM PLAN ADMIN RA45087</t>
        </is>
      </c>
      <c r="E912" s="9" t="n">
        <v>630.46</v>
      </c>
      <c r="F912" t="inlineStr">
        <is>
          <t>OPS-20260831</t>
        </is>
      </c>
      <c r="G912" t="inlineStr">
        <is>
          <t>G00366</t>
        </is>
      </c>
      <c r="H912" t="str">
        <f>INDEX('Match Groups'!$C$5:$C$1326,MATCH(G912,'Match Groups'!$A$5:$A$1326,0))</f>
        <v>R03</v>
      </c>
      <c r="I912" t="str">
        <f>INDEX('Match Groups'!$D$5:$D$1326,MATCH(G912,'Match Groups'!$A$5:$A$1326,0))</f>
        <v>MATCH</v>
      </c>
      <c r="J912">
        <f>IF(I912="DUPIMP",0,1)</f>
        <v>1</v>
      </c>
    </row>
    <row r="913">
      <c r="A913" t="inlineStr">
        <is>
          <t>BL-00291</t>
        </is>
      </c>
      <c r="B913" t="inlineStr">
        <is>
          <t>OPS</t>
        </is>
      </c>
      <c r="C913" s="5" t="n">
        <v>46265</v>
      </c>
      <c r="D913" t="inlineStr">
        <is>
          <t>DIRECT CREDIT ACACIAPLANPARTNE RA45088</t>
        </is>
      </c>
      <c r="E913" s="9" t="n">
        <v>3416.93</v>
      </c>
      <c r="F913" t="inlineStr">
        <is>
          <t>OPS-20260831</t>
        </is>
      </c>
      <c r="G913" t="inlineStr">
        <is>
          <t>G00367</t>
        </is>
      </c>
      <c r="H913" t="str">
        <f>INDEX('Match Groups'!$C$5:$C$1326,MATCH(G913,'Match Groups'!$A$5:$A$1326,0))</f>
        <v>R03</v>
      </c>
      <c r="I913" t="str">
        <f>INDEX('Match Groups'!$D$5:$D$1326,MATCH(G913,'Match Groups'!$A$5:$A$1326,0))</f>
        <v>MATCH</v>
      </c>
      <c r="J913">
        <f>IF(I913="DUPIMP",0,1)</f>
        <v>1</v>
      </c>
    </row>
    <row r="914">
      <c r="A914" t="inlineStr">
        <is>
          <t>BL-00292</t>
        </is>
      </c>
      <c r="B914" t="inlineStr">
        <is>
          <t>OPS</t>
        </is>
      </c>
      <c r="C914" s="5" t="n">
        <v>46265</v>
      </c>
      <c r="D914" t="inlineStr">
        <is>
          <t>DIRECT CREDIT MALLEE PLAN SERVIC RA45089</t>
        </is>
      </c>
      <c r="E914" s="9" t="n">
        <v>1600.42</v>
      </c>
      <c r="F914" t="inlineStr">
        <is>
          <t>OPS-20260831</t>
        </is>
      </c>
      <c r="G914" t="inlineStr">
        <is>
          <t>G00368</t>
        </is>
      </c>
      <c r="H914" t="str">
        <f>INDEX('Match Groups'!$C$5:$C$1326,MATCH(G914,'Match Groups'!$A$5:$A$1326,0))</f>
        <v>R03</v>
      </c>
      <c r="I914" t="str">
        <f>INDEX('Match Groups'!$D$5:$D$1326,MATCH(G914,'Match Groups'!$A$5:$A$1326,0))</f>
        <v>MATCH</v>
      </c>
      <c r="J914">
        <f>IF(I914="DUPIMP",0,1)</f>
        <v>1</v>
      </c>
    </row>
    <row r="915">
      <c r="A915" t="inlineStr">
        <is>
          <t>BL-00458</t>
        </is>
      </c>
      <c r="B915" t="inlineStr">
        <is>
          <t>OPS</t>
        </is>
      </c>
      <c r="C915" s="5" t="n">
        <v>46265</v>
      </c>
      <c r="D915" t="inlineStr">
        <is>
          <t>DIRECT CREDIT COASTLINE HEALTH FUN CLM5467225 02610</t>
        </is>
      </c>
      <c r="E915" s="9" t="n">
        <v>88</v>
      </c>
      <c r="F915" t="inlineStr">
        <is>
          <t>OPS-20260831</t>
        </is>
      </c>
      <c r="G915" t="inlineStr">
        <is>
          <t>G01033</t>
        </is>
      </c>
      <c r="H915" t="str">
        <f>INDEX('Match Groups'!$C$5:$C$1326,MATCH(G915,'Match Groups'!$A$5:$A$1326,0))</f>
        <v>R09</v>
      </c>
      <c r="I915" t="str">
        <f>INDEX('Match Groups'!$D$5:$D$1326,MATCH(G915,'Match Groups'!$A$5:$A$1326,0))</f>
        <v>MATCH</v>
      </c>
      <c r="J915">
        <f>IF(I915="DUPIMP",0,1)</f>
        <v>1</v>
      </c>
    </row>
    <row r="916">
      <c r="A916" t="inlineStr">
        <is>
          <t>BL-00478</t>
        </is>
      </c>
      <c r="B916" t="inlineStr">
        <is>
          <t>OPS</t>
        </is>
      </c>
      <c r="C916" s="5" t="n">
        <v>46265</v>
      </c>
      <c r="D916" t="inlineStr">
        <is>
          <t>DIRECT CREDIT UNITY WORKCOVER AG CLM5386544 INV 2655</t>
        </is>
      </c>
      <c r="E916" s="9" t="n">
        <v>412.5</v>
      </c>
      <c r="F916" t="inlineStr">
        <is>
          <t>OPS-20260831</t>
        </is>
      </c>
      <c r="G916" t="inlineStr">
        <is>
          <t>G01034</t>
        </is>
      </c>
      <c r="H916" t="str">
        <f>INDEX('Match Groups'!$C$5:$C$1326,MATCH(G916,'Match Groups'!$A$5:$A$1326,0))</f>
        <v>R09</v>
      </c>
      <c r="I916" t="str">
        <f>INDEX('Match Groups'!$D$5:$D$1326,MATCH(G916,'Match Groups'!$A$5:$A$1326,0))</f>
        <v>MATCH</v>
      </c>
      <c r="J916">
        <f>IF(I916="DUPIMP",0,1)</f>
        <v>1</v>
      </c>
    </row>
    <row r="917">
      <c r="A917" t="inlineStr">
        <is>
          <t>BL-00563</t>
        </is>
      </c>
      <c r="B917" t="inlineStr">
        <is>
          <t>OPS</t>
        </is>
      </c>
      <c r="C917" s="5" t="n">
        <v>46265</v>
      </c>
      <c r="D917" t="inlineStr">
        <is>
          <t>DIRECT CREDIT BRIGHTWATER CIVIL 03467</t>
        </is>
      </c>
      <c r="E917" s="9" t="n">
        <v>2640</v>
      </c>
      <c r="F917" t="inlineStr">
        <is>
          <t>OPS-20260831</t>
        </is>
      </c>
      <c r="G917" t="inlineStr">
        <is>
          <t>G01035</t>
        </is>
      </c>
      <c r="H917" t="str">
        <f>INDEX('Match Groups'!$C$5:$C$1326,MATCH(G917,'Match Groups'!$A$5:$A$1326,0))</f>
        <v>R09</v>
      </c>
      <c r="I917" t="str">
        <f>INDEX('Match Groups'!$D$5:$D$1326,MATCH(G917,'Match Groups'!$A$5:$A$1326,0))</f>
        <v>MATCH</v>
      </c>
      <c r="J917">
        <f>IF(I917="DUPIMP",0,1)</f>
        <v>1</v>
      </c>
    </row>
    <row r="918">
      <c r="A918" t="inlineStr">
        <is>
          <t>BL-00598</t>
        </is>
      </c>
      <c r="B918" t="inlineStr">
        <is>
          <t>OPS</t>
        </is>
      </c>
      <c r="C918" s="5" t="n">
        <v>46265</v>
      </c>
      <c r="D918" t="inlineStr">
        <is>
          <t>DIRECT CREDIT HARTIGAN TRANSPORT INV03532</t>
        </is>
      </c>
      <c r="E918" s="9" t="n">
        <v>1320</v>
      </c>
      <c r="F918" t="inlineStr">
        <is>
          <t>OPS-20260831</t>
        </is>
      </c>
      <c r="G918" t="inlineStr">
        <is>
          <t>G01036</t>
        </is>
      </c>
      <c r="H918" t="str">
        <f>INDEX('Match Groups'!$C$5:$C$1326,MATCH(G918,'Match Groups'!$A$5:$A$1326,0))</f>
        <v>R09</v>
      </c>
      <c r="I918" t="str">
        <f>INDEX('Match Groups'!$D$5:$D$1326,MATCH(G918,'Match Groups'!$A$5:$A$1326,0))</f>
        <v>MATCH</v>
      </c>
      <c r="J918">
        <f>IF(I918="DUPIMP",0,1)</f>
        <v>1</v>
      </c>
    </row>
    <row r="919">
      <c r="A919" t="inlineStr">
        <is>
          <t>BL-00609</t>
        </is>
      </c>
      <c r="B919" t="inlineStr">
        <is>
          <t>OPS</t>
        </is>
      </c>
      <c r="C919" s="5" t="n">
        <v>46265</v>
      </c>
      <c r="D919" t="inlineStr">
        <is>
          <t>DIRECT CREDIT SORRENTO BAY HOTELS PT 03485</t>
        </is>
      </c>
      <c r="E919" s="9" t="n">
        <v>16101.25</v>
      </c>
      <c r="F919" t="inlineStr">
        <is>
          <t>OPS-20260831</t>
        </is>
      </c>
      <c r="G919" t="inlineStr">
        <is>
          <t>G01037</t>
        </is>
      </c>
      <c r="H919" t="str">
        <f>INDEX('Match Groups'!$C$5:$C$1326,MATCH(G919,'Match Groups'!$A$5:$A$1326,0))</f>
        <v>R09</v>
      </c>
      <c r="I919" t="str">
        <f>INDEX('Match Groups'!$D$5:$D$1326,MATCH(G919,'Match Groups'!$A$5:$A$1326,0))</f>
        <v>MATCH</v>
      </c>
      <c r="J919">
        <f>IF(I919="DUPIMP",0,1)</f>
        <v>1</v>
      </c>
    </row>
    <row r="920">
      <c r="A920" t="inlineStr">
        <is>
          <t>BL-00639</t>
        </is>
      </c>
      <c r="B920" t="inlineStr">
        <is>
          <t>OPS</t>
        </is>
      </c>
      <c r="C920" s="5" t="n">
        <v>46265</v>
      </c>
      <c r="D920" t="inlineStr">
        <is>
          <t>DIRECT CREDIT GILMOUR STEEL PTY LTD INV03497</t>
        </is>
      </c>
      <c r="E920" s="9" t="n">
        <v>2117.5</v>
      </c>
      <c r="F920" t="inlineStr">
        <is>
          <t>OPS-20260831</t>
        </is>
      </c>
      <c r="G920" t="inlineStr">
        <is>
          <t>G01038</t>
        </is>
      </c>
      <c r="H920" t="str">
        <f>INDEX('Match Groups'!$C$5:$C$1326,MATCH(G920,'Match Groups'!$A$5:$A$1326,0))</f>
        <v>R09</v>
      </c>
      <c r="I920" t="str">
        <f>INDEX('Match Groups'!$D$5:$D$1326,MATCH(G920,'Match Groups'!$A$5:$A$1326,0))</f>
        <v>MATCH</v>
      </c>
      <c r="J920">
        <f>IF(I920="DUPIMP",0,1)</f>
        <v>1</v>
      </c>
    </row>
    <row r="921">
      <c r="A921" t="inlineStr">
        <is>
          <t>BL-00730</t>
        </is>
      </c>
      <c r="B921" t="inlineStr">
        <is>
          <t>OPS</t>
        </is>
      </c>
      <c r="C921" s="5" t="n">
        <v>46265</v>
      </c>
      <c r="D921" t="inlineStr">
        <is>
          <t>STRIPE PAYOUT STRIPE po_1Q0044KX</t>
        </is>
      </c>
      <c r="E921" s="9" t="n">
        <v>3606.89</v>
      </c>
      <c r="F921" t="inlineStr">
        <is>
          <t>OPS-20260831</t>
        </is>
      </c>
      <c r="G921" t="inlineStr">
        <is>
          <t>G00057</t>
        </is>
      </c>
      <c r="H921" t="str">
        <f>INDEX('Match Groups'!$C$5:$C$1326,MATCH(G921,'Match Groups'!$A$5:$A$1326,0))</f>
        <v>R02</v>
      </c>
      <c r="I921" t="str">
        <f>INDEX('Match Groups'!$D$5:$D$1326,MATCH(G921,'Match Groups'!$A$5:$A$1326,0))</f>
        <v>STRIPE-FEE</v>
      </c>
      <c r="J921">
        <f>IF(I921="DUPIMP",0,1)</f>
        <v>1</v>
      </c>
    </row>
    <row r="922">
      <c r="A922" t="inlineStr">
        <is>
          <t>BL-00817</t>
        </is>
      </c>
      <c r="B922" t="inlineStr">
        <is>
          <t>OPS</t>
        </is>
      </c>
      <c r="C922" s="5" t="n">
        <v>46265</v>
      </c>
      <c r="D922" t="inlineStr">
        <is>
          <t>ACCOUNT KEEPING FEE</t>
        </is>
      </c>
      <c r="E922" s="9" t="n">
        <v>-30</v>
      </c>
      <c r="F922" t="inlineStr">
        <is>
          <t>OPS-20260831</t>
        </is>
      </c>
      <c r="G922" t="inlineStr">
        <is>
          <t>G01213</t>
        </is>
      </c>
      <c r="H922" t="str">
        <f>INDEX('Match Groups'!$C$5:$C$1326,MATCH(G922,'Match Groups'!$A$5:$A$1326,0))</f>
        <v>R12</v>
      </c>
      <c r="I922" t="str">
        <f>INDEX('Match Groups'!$D$5:$D$1326,MATCH(G922,'Match Groups'!$A$5:$A$1326,0))</f>
        <v>FEE</v>
      </c>
      <c r="J922">
        <f>IF(I922="DUPIMP",0,1)</f>
        <v>1</v>
      </c>
    </row>
    <row r="923">
      <c r="A923" t="inlineStr">
        <is>
          <t>BL-00818</t>
        </is>
      </c>
      <c r="B923" t="inlineStr">
        <is>
          <t>OPS</t>
        </is>
      </c>
      <c r="C923" s="5" t="n">
        <v>46265</v>
      </c>
      <c r="D923" t="inlineStr">
        <is>
          <t>TRANSACTION FEES</t>
        </is>
      </c>
      <c r="E923" s="9" t="n">
        <v>-62.82</v>
      </c>
      <c r="F923" t="inlineStr">
        <is>
          <t>OPS-20260831</t>
        </is>
      </c>
      <c r="G923" t="inlineStr">
        <is>
          <t>G01214</t>
        </is>
      </c>
      <c r="H923" t="str">
        <f>INDEX('Match Groups'!$C$5:$C$1326,MATCH(G923,'Match Groups'!$A$5:$A$1326,0))</f>
        <v>R12</v>
      </c>
      <c r="I923" t="str">
        <f>INDEX('Match Groups'!$D$5:$D$1326,MATCH(G923,'Match Groups'!$A$5:$A$1326,0))</f>
        <v>FEE</v>
      </c>
      <c r="J923">
        <f>IF(I923="DUPIMP",0,1)</f>
        <v>1</v>
      </c>
    </row>
    <row r="924">
      <c r="A924" t="inlineStr">
        <is>
          <t>BL-00819</t>
        </is>
      </c>
      <c r="B924" t="inlineStr">
        <is>
          <t>OPS</t>
        </is>
      </c>
      <c r="C924" s="5" t="n">
        <v>46265</v>
      </c>
      <c r="D924" t="inlineStr">
        <is>
          <t>INTEREST CREDIT</t>
        </is>
      </c>
      <c r="E924" s="9" t="n">
        <v>418.71</v>
      </c>
      <c r="F924" t="inlineStr">
        <is>
          <t>OPS-20260831</t>
        </is>
      </c>
      <c r="G924" t="inlineStr">
        <is>
          <t>G01215</t>
        </is>
      </c>
      <c r="H924" t="str">
        <f>INDEX('Match Groups'!$C$5:$C$1326,MATCH(G924,'Match Groups'!$A$5:$A$1326,0))</f>
        <v>R12</v>
      </c>
      <c r="I924" t="str">
        <f>INDEX('Match Groups'!$D$5:$D$1326,MATCH(G924,'Match Groups'!$A$5:$A$1326,0))</f>
        <v>INT</v>
      </c>
      <c r="J924">
        <f>IF(I924="DUPIMP",0,1)</f>
        <v>1</v>
      </c>
    </row>
    <row r="925">
      <c r="A925" t="inlineStr">
        <is>
          <t>BL-01578</t>
        </is>
      </c>
      <c r="B925" t="inlineStr">
        <is>
          <t>OPS</t>
        </is>
      </c>
      <c r="C925" s="5" t="n">
        <v>46265</v>
      </c>
      <c r="D925" t="inlineStr">
        <is>
          <t>SWEEP FROM MERCHANT ACCT</t>
        </is>
      </c>
      <c r="E925" s="9" t="n">
        <v>34000</v>
      </c>
      <c r="F925" t="inlineStr">
        <is>
          <t>OPS-20260831</t>
        </is>
      </c>
      <c r="G925" t="inlineStr">
        <is>
          <t>G00533</t>
        </is>
      </c>
      <c r="H925" t="str">
        <f>INDEX('Match Groups'!$C$5:$C$1326,MATCH(G925,'Match Groups'!$A$5:$A$1326,0))</f>
        <v>R04</v>
      </c>
      <c r="I925" t="str">
        <f>INDEX('Match Groups'!$D$5:$D$1326,MATCH(G925,'Match Groups'!$A$5:$A$1326,0))</f>
        <v>MATCH</v>
      </c>
      <c r="J925">
        <f>IF(I925="DUPIMP",0,1)</f>
        <v>1</v>
      </c>
    </row>
    <row r="926">
      <c r="A926" t="inlineStr">
        <is>
          <t>BL-00293</t>
        </is>
      </c>
      <c r="B926" t="inlineStr">
        <is>
          <t>OPS</t>
        </is>
      </c>
      <c r="C926" s="5" t="n">
        <v>46266</v>
      </c>
      <c r="D926" t="inlineStr">
        <is>
          <t>DIRECT CREDIT RIVERBEND PLAN PARTN RA45090</t>
        </is>
      </c>
      <c r="E926" s="9" t="n">
        <v>999.95</v>
      </c>
      <c r="F926" t="inlineStr">
        <is>
          <t>OPS-20260901</t>
        </is>
      </c>
      <c r="G926" t="inlineStr">
        <is>
          <t>G00369</t>
        </is>
      </c>
      <c r="H926" t="str">
        <f>INDEX('Match Groups'!$C$5:$C$1326,MATCH(G926,'Match Groups'!$A$5:$A$1326,0))</f>
        <v>R03</v>
      </c>
      <c r="I926" t="str">
        <f>INDEX('Match Groups'!$D$5:$D$1326,MATCH(G926,'Match Groups'!$A$5:$A$1326,0))</f>
        <v>MATCH</v>
      </c>
      <c r="J926">
        <f>IF(I926="DUPIMP",0,1)</f>
        <v>1</v>
      </c>
    </row>
    <row r="927">
      <c r="A927" t="inlineStr">
        <is>
          <t>BL-00294</t>
        </is>
      </c>
      <c r="B927" t="inlineStr">
        <is>
          <t>OPS</t>
        </is>
      </c>
      <c r="C927" s="5" t="n">
        <v>46266</v>
      </c>
      <c r="D927" t="inlineStr">
        <is>
          <t>DIRECT CREDIT BANKSIA PLAN CO RA45091</t>
        </is>
      </c>
      <c r="E927" s="9" t="n">
        <v>533.46</v>
      </c>
      <c r="F927" t="inlineStr">
        <is>
          <t>OPS-20260901</t>
        </is>
      </c>
      <c r="G927" t="inlineStr">
        <is>
          <t>G00370</t>
        </is>
      </c>
      <c r="H927" t="str">
        <f>INDEX('Match Groups'!$C$5:$C$1326,MATCH(G927,'Match Groups'!$A$5:$A$1326,0))</f>
        <v>R03</v>
      </c>
      <c r="I927" t="str">
        <f>INDEX('Match Groups'!$D$5:$D$1326,MATCH(G927,'Match Groups'!$A$5:$A$1326,0))</f>
        <v>MATCH</v>
      </c>
      <c r="J927">
        <f>IF(I927="DUPIMP",0,1)</f>
        <v>1</v>
      </c>
    </row>
    <row r="928">
      <c r="A928" t="inlineStr">
        <is>
          <t>BL-00295</t>
        </is>
      </c>
      <c r="B928" t="inlineStr">
        <is>
          <t>OPS</t>
        </is>
      </c>
      <c r="C928" s="5" t="n">
        <v>46266</v>
      </c>
      <c r="D928" t="inlineStr">
        <is>
          <t>DIRECT CREDIT IRONBARK PLAN MANAGEME RA45092</t>
        </is>
      </c>
      <c r="E928" s="9" t="n">
        <v>854.45</v>
      </c>
      <c r="F928" t="inlineStr">
        <is>
          <t>OPS-20260901</t>
        </is>
      </c>
      <c r="G928" t="inlineStr">
        <is>
          <t>G00371</t>
        </is>
      </c>
      <c r="H928" t="str">
        <f>INDEX('Match Groups'!$C$5:$C$1326,MATCH(G928,'Match Groups'!$A$5:$A$1326,0))</f>
        <v>R03</v>
      </c>
      <c r="I928" t="str">
        <f>INDEX('Match Groups'!$D$5:$D$1326,MATCH(G928,'Match Groups'!$A$5:$A$1326,0))</f>
        <v>MATCH</v>
      </c>
      <c r="J928">
        <f>IF(I928="DUPIMP",0,1)</f>
        <v>1</v>
      </c>
    </row>
    <row r="929">
      <c r="A929" t="inlineStr">
        <is>
          <t>BL-00296</t>
        </is>
      </c>
      <c r="B929" t="inlineStr">
        <is>
          <t>OPS</t>
        </is>
      </c>
      <c r="C929" s="5" t="n">
        <v>46266</v>
      </c>
      <c r="D929" t="inlineStr">
        <is>
          <t>DIRECT CREDIT SALTBUSH PLAN MANA RA45093</t>
        </is>
      </c>
      <c r="E929" s="9" t="n">
        <v>1388.82</v>
      </c>
      <c r="F929" t="inlineStr">
        <is>
          <t>OPS-20260901</t>
        </is>
      </c>
      <c r="G929" t="inlineStr">
        <is>
          <t>G00372</t>
        </is>
      </c>
      <c r="H929" t="str">
        <f>INDEX('Match Groups'!$C$5:$C$1326,MATCH(G929,'Match Groups'!$A$5:$A$1326,0))</f>
        <v>R03</v>
      </c>
      <c r="I929" t="str">
        <f>INDEX('Match Groups'!$D$5:$D$1326,MATCH(G929,'Match Groups'!$A$5:$A$1326,0))</f>
        <v>MATCH</v>
      </c>
      <c r="J929">
        <f>IF(I929="DUPIMP",0,1)</f>
        <v>1</v>
      </c>
    </row>
    <row r="930">
      <c r="A930" t="inlineStr">
        <is>
          <t>BL-00297</t>
        </is>
      </c>
      <c r="B930" t="inlineStr">
        <is>
          <t>OPS</t>
        </is>
      </c>
      <c r="C930" s="5" t="n">
        <v>46266</v>
      </c>
      <c r="D930" t="inlineStr">
        <is>
          <t>DIRECT CREDIT REDGUM PLAN ADMIN RA45094</t>
        </is>
      </c>
      <c r="E930" s="9" t="n">
        <v>748.67</v>
      </c>
      <c r="F930" t="inlineStr">
        <is>
          <t>OPS-20260901</t>
        </is>
      </c>
      <c r="G930" t="inlineStr">
        <is>
          <t>G00373</t>
        </is>
      </c>
      <c r="H930" t="str">
        <f>INDEX('Match Groups'!$C$5:$C$1326,MATCH(G930,'Match Groups'!$A$5:$A$1326,0))</f>
        <v>R03</v>
      </c>
      <c r="I930" t="str">
        <f>INDEX('Match Groups'!$D$5:$D$1326,MATCH(G930,'Match Groups'!$A$5:$A$1326,0))</f>
        <v>MATCH</v>
      </c>
      <c r="J930">
        <f>IF(I930="DUPIMP",0,1)</f>
        <v>1</v>
      </c>
    </row>
    <row r="931">
      <c r="A931" t="inlineStr">
        <is>
          <t>BL-00298</t>
        </is>
      </c>
      <c r="B931" t="inlineStr">
        <is>
          <t>OPS</t>
        </is>
      </c>
      <c r="C931" s="5" t="n">
        <v>46266</v>
      </c>
      <c r="D931" t="inlineStr">
        <is>
          <t>DIRECT CREDIT SOUTHERN CROSS PLA RA45095</t>
        </is>
      </c>
      <c r="E931" s="9" t="n">
        <v>1498.56</v>
      </c>
      <c r="F931" t="inlineStr">
        <is>
          <t>OPS-20260901</t>
        </is>
      </c>
      <c r="G931" t="inlineStr">
        <is>
          <t>G00374</t>
        </is>
      </c>
      <c r="H931" t="str">
        <f>INDEX('Match Groups'!$C$5:$C$1326,MATCH(G931,'Match Groups'!$A$5:$A$1326,0))</f>
        <v>R03</v>
      </c>
      <c r="I931" t="str">
        <f>INDEX('Match Groups'!$D$5:$D$1326,MATCH(G931,'Match Groups'!$A$5:$A$1326,0))</f>
        <v>MATCH</v>
      </c>
      <c r="J931">
        <f>IF(I931="DUPIMP",0,1)</f>
        <v>1</v>
      </c>
    </row>
    <row r="932">
      <c r="A932" t="inlineStr">
        <is>
          <t>BL-00299</t>
        </is>
      </c>
      <c r="B932" t="inlineStr">
        <is>
          <t>OPS</t>
        </is>
      </c>
      <c r="C932" s="5" t="n">
        <v>46266</v>
      </c>
      <c r="D932" t="inlineStr">
        <is>
          <t>DIRECT CREDIT LYREBIRD PLAN MANAGEME RA45096</t>
        </is>
      </c>
      <c r="E932" s="9" t="n">
        <v>611.96</v>
      </c>
      <c r="F932" t="inlineStr">
        <is>
          <t>OPS-20260901</t>
        </is>
      </c>
      <c r="G932" t="inlineStr">
        <is>
          <t>G00375</t>
        </is>
      </c>
      <c r="H932" t="str">
        <f>INDEX('Match Groups'!$C$5:$C$1326,MATCH(G932,'Match Groups'!$A$5:$A$1326,0))</f>
        <v>R03</v>
      </c>
      <c r="I932" t="str">
        <f>INDEX('Match Groups'!$D$5:$D$1326,MATCH(G932,'Match Groups'!$A$5:$A$1326,0))</f>
        <v>MATCH</v>
      </c>
      <c r="J932">
        <f>IF(I932="DUPIMP",0,1)</f>
        <v>1</v>
      </c>
    </row>
    <row r="933">
      <c r="A933" t="inlineStr">
        <is>
          <t>BL-00300</t>
        </is>
      </c>
      <c r="B933" t="inlineStr">
        <is>
          <t>OPS</t>
        </is>
      </c>
      <c r="C933" s="5" t="n">
        <v>46266</v>
      </c>
      <c r="D933" t="inlineStr">
        <is>
          <t>DIRECT CREDIT MALLEE PLAN SERVICES RA45097</t>
        </is>
      </c>
      <c r="E933" s="9" t="n">
        <v>591.67</v>
      </c>
      <c r="F933" t="inlineStr">
        <is>
          <t>OPS-20260901</t>
        </is>
      </c>
      <c r="G933" t="inlineStr">
        <is>
          <t>G00376</t>
        </is>
      </c>
      <c r="H933" t="str">
        <f>INDEX('Match Groups'!$C$5:$C$1326,MATCH(G933,'Match Groups'!$A$5:$A$1326,0))</f>
        <v>R03</v>
      </c>
      <c r="I933" t="str">
        <f>INDEX('Match Groups'!$D$5:$D$1326,MATCH(G933,'Match Groups'!$A$5:$A$1326,0))</f>
        <v>MATCH</v>
      </c>
      <c r="J933">
        <f>IF(I933="DUPIMP",0,1)</f>
        <v>1</v>
      </c>
    </row>
    <row r="934">
      <c r="A934" t="inlineStr">
        <is>
          <t>BL-00731</t>
        </is>
      </c>
      <c r="B934" t="inlineStr">
        <is>
          <t>OPS</t>
        </is>
      </c>
      <c r="C934" s="5" t="n">
        <v>46266</v>
      </c>
      <c r="D934" t="inlineStr">
        <is>
          <t>STRIPE PAYOUT STRIPE po_1Q0045KX</t>
        </is>
      </c>
      <c r="E934" s="9" t="n">
        <v>4182.47</v>
      </c>
      <c r="F934" t="inlineStr">
        <is>
          <t>OPS-20260901</t>
        </is>
      </c>
      <c r="G934" t="inlineStr">
        <is>
          <t>G00058</t>
        </is>
      </c>
      <c r="H934" t="str">
        <f>INDEX('Match Groups'!$C$5:$C$1326,MATCH(G934,'Match Groups'!$A$5:$A$1326,0))</f>
        <v>R02</v>
      </c>
      <c r="I934" t="str">
        <f>INDEX('Match Groups'!$D$5:$D$1326,MATCH(G934,'Match Groups'!$A$5:$A$1326,0))</f>
        <v>STRIPE-FEE</v>
      </c>
      <c r="J934">
        <f>IF(I934="DUPIMP",0,1)</f>
        <v>1</v>
      </c>
    </row>
    <row r="935">
      <c r="A935" t="inlineStr">
        <is>
          <t>BL-00792</t>
        </is>
      </c>
      <c r="B935" t="inlineStr">
        <is>
          <t>OPS</t>
        </is>
      </c>
      <c r="C935" s="5" t="n">
        <v>46266</v>
      </c>
      <c r="D935" t="inlineStr">
        <is>
          <t>DIRECT DEBIT COLLINS ST PROPERTY TR 250047</t>
        </is>
      </c>
      <c r="E935" s="9" t="n">
        <v>-14850</v>
      </c>
      <c r="F935" t="inlineStr">
        <is>
          <t>OPS-20260901</t>
        </is>
      </c>
      <c r="G935" t="inlineStr">
        <is>
          <t>G01152</t>
        </is>
      </c>
      <c r="H935" t="str">
        <f>INDEX('Match Groups'!$C$5:$C$1326,MATCH(G935,'Match Groups'!$A$5:$A$1326,0))</f>
        <v>R10</v>
      </c>
      <c r="I935" t="str">
        <f>INDEX('Match Groups'!$D$5:$D$1326,MATCH(G935,'Match Groups'!$A$5:$A$1326,0))</f>
        <v>MATCH</v>
      </c>
      <c r="J935">
        <f>IF(I935="DUPIMP",0,1)</f>
        <v>1</v>
      </c>
    </row>
    <row r="936">
      <c r="A936" t="inlineStr">
        <is>
          <t>BL-00793</t>
        </is>
      </c>
      <c r="B936" t="inlineStr">
        <is>
          <t>OPS</t>
        </is>
      </c>
      <c r="C936" s="5" t="n">
        <v>46266</v>
      </c>
      <c r="D936" t="inlineStr">
        <is>
          <t>DIRECT DEBIT NORTHCOTE RETAIL H 709752</t>
        </is>
      </c>
      <c r="E936" s="9" t="n">
        <v>-9680</v>
      </c>
      <c r="F936" t="inlineStr">
        <is>
          <t>OPS-20260901</t>
        </is>
      </c>
      <c r="G936" t="inlineStr">
        <is>
          <t>G01193</t>
        </is>
      </c>
      <c r="H936" t="str">
        <f>INDEX('Match Groups'!$C$5:$C$1326,MATCH(G936,'Match Groups'!$A$5:$A$1326,0))</f>
        <v>R11</v>
      </c>
      <c r="I936" t="str">
        <f>INDEX('Match Groups'!$D$5:$D$1326,MATCH(G936,'Match Groups'!$A$5:$A$1326,0))</f>
        <v>REGBILL</v>
      </c>
      <c r="J936">
        <f>IF(I936="DUPIMP",0,1)</f>
        <v>1</v>
      </c>
    </row>
    <row r="937">
      <c r="A937" t="inlineStr">
        <is>
          <t>BL-00794</t>
        </is>
      </c>
      <c r="B937" t="inlineStr">
        <is>
          <t>OPS</t>
        </is>
      </c>
      <c r="C937" s="5" t="n">
        <v>46266</v>
      </c>
      <c r="D937" t="inlineStr">
        <is>
          <t>DIRECT DEBIT BAYVIEWCOMMERCIA 106863</t>
        </is>
      </c>
      <c r="E937" s="9" t="n">
        <v>-8250</v>
      </c>
      <c r="F937" t="inlineStr">
        <is>
          <t>OPS-20260901</t>
        </is>
      </c>
      <c r="G937" t="inlineStr">
        <is>
          <t>G01153</t>
        </is>
      </c>
      <c r="H937" t="str">
        <f>INDEX('Match Groups'!$C$5:$C$1326,MATCH(G937,'Match Groups'!$A$5:$A$1326,0))</f>
        <v>R10</v>
      </c>
      <c r="I937" t="str">
        <f>INDEX('Match Groups'!$D$5:$D$1326,MATCH(G937,'Match Groups'!$A$5:$A$1326,0))</f>
        <v>MATCH</v>
      </c>
      <c r="J937">
        <f>IF(I937="DUPIMP",0,1)</f>
        <v>1</v>
      </c>
    </row>
    <row r="938">
      <c r="A938" t="inlineStr">
        <is>
          <t>BL-00795</t>
        </is>
      </c>
      <c r="B938" t="inlineStr">
        <is>
          <t>OPS</t>
        </is>
      </c>
      <c r="C938" s="5" t="n">
        <v>46266</v>
      </c>
      <c r="D938" t="inlineStr">
        <is>
          <t>DIRECT DEBIT MOORABBIN OFFICE P 955352</t>
        </is>
      </c>
      <c r="E938" s="9" t="n">
        <v>-7425</v>
      </c>
      <c r="F938" t="inlineStr">
        <is>
          <t>OPS-20260901</t>
        </is>
      </c>
      <c r="G938" t="inlineStr">
        <is>
          <t>G01194</t>
        </is>
      </c>
      <c r="H938" t="str">
        <f>INDEX('Match Groups'!$C$5:$C$1326,MATCH(G938,'Match Groups'!$A$5:$A$1326,0))</f>
        <v>R11</v>
      </c>
      <c r="I938" t="str">
        <f>INDEX('Match Groups'!$D$5:$D$1326,MATCH(G938,'Match Groups'!$A$5:$A$1326,0))</f>
        <v>REGBILL</v>
      </c>
      <c r="J938">
        <f>IF(I938="DUPIMP",0,1)</f>
        <v>1</v>
      </c>
    </row>
    <row r="939">
      <c r="A939" t="inlineStr">
        <is>
          <t>BL-00301</t>
        </is>
      </c>
      <c r="B939" t="inlineStr">
        <is>
          <t>OPS</t>
        </is>
      </c>
      <c r="C939" s="5" t="n">
        <v>46267</v>
      </c>
      <c r="D939" t="inlineStr">
        <is>
          <t>DIRECT CREDIT KOOKABURRAPLANSU RA45098</t>
        </is>
      </c>
      <c r="E939" s="9" t="n">
        <v>514.97</v>
      </c>
      <c r="F939" t="inlineStr">
        <is>
          <t>OPS-20260902</t>
        </is>
      </c>
      <c r="G939" t="inlineStr">
        <is>
          <t>G00377</t>
        </is>
      </c>
      <c r="H939" t="str">
        <f>INDEX('Match Groups'!$C$5:$C$1326,MATCH(G939,'Match Groups'!$A$5:$A$1326,0))</f>
        <v>R03</v>
      </c>
      <c r="I939" t="str">
        <f>INDEX('Match Groups'!$D$5:$D$1326,MATCH(G939,'Match Groups'!$A$5:$A$1326,0))</f>
        <v>MATCH</v>
      </c>
      <c r="J939">
        <f>IF(I939="DUPIMP",0,1)</f>
        <v>1</v>
      </c>
    </row>
    <row r="940">
      <c r="A940" t="inlineStr">
        <is>
          <t>BL-00302</t>
        </is>
      </c>
      <c r="B940" t="inlineStr">
        <is>
          <t>OPS</t>
        </is>
      </c>
      <c r="C940" s="5" t="n">
        <v>46267</v>
      </c>
      <c r="D940" t="inlineStr">
        <is>
          <t>DIRECT CREDIT REDGUM PLAN ADMIN RA45099</t>
        </is>
      </c>
      <c r="E940" s="9" t="n">
        <v>427.68</v>
      </c>
      <c r="F940" t="inlineStr">
        <is>
          <t>OPS-20260902</t>
        </is>
      </c>
      <c r="G940" t="inlineStr">
        <is>
          <t>G00378</t>
        </is>
      </c>
      <c r="H940" t="str">
        <f>INDEX('Match Groups'!$C$5:$C$1326,MATCH(G940,'Match Groups'!$A$5:$A$1326,0))</f>
        <v>R03</v>
      </c>
      <c r="I940" t="str">
        <f>INDEX('Match Groups'!$D$5:$D$1326,MATCH(G940,'Match Groups'!$A$5:$A$1326,0))</f>
        <v>MATCH</v>
      </c>
      <c r="J940">
        <f>IF(I940="DUPIMP",0,1)</f>
        <v>1</v>
      </c>
    </row>
    <row r="941">
      <c r="A941" t="inlineStr">
        <is>
          <t>BL-00303</t>
        </is>
      </c>
      <c r="B941" t="inlineStr">
        <is>
          <t>OPS</t>
        </is>
      </c>
      <c r="C941" s="5" t="n">
        <v>46267</v>
      </c>
      <c r="D941" t="inlineStr">
        <is>
          <t>DIRECT CREDIT SOUTHERN CROSS PLAN RA45100</t>
        </is>
      </c>
      <c r="E941" s="9" t="n">
        <v>3524.52</v>
      </c>
      <c r="F941" t="inlineStr">
        <is>
          <t>OPS-20260902</t>
        </is>
      </c>
      <c r="G941" t="inlineStr">
        <is>
          <t>G00379</t>
        </is>
      </c>
      <c r="H941" t="str">
        <f>INDEX('Match Groups'!$C$5:$C$1326,MATCH(G941,'Match Groups'!$A$5:$A$1326,0))</f>
        <v>R03</v>
      </c>
      <c r="I941" t="str">
        <f>INDEX('Match Groups'!$D$5:$D$1326,MATCH(G941,'Match Groups'!$A$5:$A$1326,0))</f>
        <v>MATCH</v>
      </c>
      <c r="J941">
        <f>IF(I941="DUPIMP",0,1)</f>
        <v>1</v>
      </c>
    </row>
    <row r="942">
      <c r="A942" t="inlineStr">
        <is>
          <t>BL-00304</t>
        </is>
      </c>
      <c r="B942" t="inlineStr">
        <is>
          <t>OPS</t>
        </is>
      </c>
      <c r="C942" s="5" t="n">
        <v>46267</v>
      </c>
      <c r="D942" t="inlineStr">
        <is>
          <t>DIRECT CREDIT LYREBIRD PLAN MGMT RA45101</t>
        </is>
      </c>
      <c r="E942" s="9" t="n">
        <v>981.45</v>
      </c>
      <c r="F942" t="inlineStr">
        <is>
          <t>OPS-20260902</t>
        </is>
      </c>
      <c r="G942" t="inlineStr">
        <is>
          <t>G00380</t>
        </is>
      </c>
      <c r="H942" t="str">
        <f>INDEX('Match Groups'!$C$5:$C$1326,MATCH(G942,'Match Groups'!$A$5:$A$1326,0))</f>
        <v>R03</v>
      </c>
      <c r="I942" t="str">
        <f>INDEX('Match Groups'!$D$5:$D$1326,MATCH(G942,'Match Groups'!$A$5:$A$1326,0))</f>
        <v>MATCH</v>
      </c>
      <c r="J942">
        <f>IF(I942="DUPIMP",0,1)</f>
        <v>1</v>
      </c>
    </row>
    <row r="943">
      <c r="A943" t="inlineStr">
        <is>
          <t>BL-00305</t>
        </is>
      </c>
      <c r="B943" t="inlineStr">
        <is>
          <t>OPS</t>
        </is>
      </c>
      <c r="C943" s="5" t="n">
        <v>46267</v>
      </c>
      <c r="D943" t="inlineStr">
        <is>
          <t>DIRECT CREDIT TALLOWWOOD PLANS RA45102</t>
        </is>
      </c>
      <c r="E943" s="9" t="n">
        <v>3659.42</v>
      </c>
      <c r="F943" t="inlineStr">
        <is>
          <t>OPS-20260902</t>
        </is>
      </c>
      <c r="G943" t="inlineStr">
        <is>
          <t>G00381</t>
        </is>
      </c>
      <c r="H943" t="str">
        <f>INDEX('Match Groups'!$C$5:$C$1326,MATCH(G943,'Match Groups'!$A$5:$A$1326,0))</f>
        <v>R03</v>
      </c>
      <c r="I943" t="str">
        <f>INDEX('Match Groups'!$D$5:$D$1326,MATCH(G943,'Match Groups'!$A$5:$A$1326,0))</f>
        <v>MATCH</v>
      </c>
      <c r="J943">
        <f>IF(I943="DUPIMP",0,1)</f>
        <v>1</v>
      </c>
    </row>
    <row r="944">
      <c r="A944" t="inlineStr">
        <is>
          <t>BL-00306</t>
        </is>
      </c>
      <c r="B944" t="inlineStr">
        <is>
          <t>OPS</t>
        </is>
      </c>
      <c r="C944" s="5" t="n">
        <v>46267</v>
      </c>
      <c r="D944" t="inlineStr">
        <is>
          <t>DIRECT CREDIT ACACIAPLANPARTNE RA45103</t>
        </is>
      </c>
      <c r="E944" s="9" t="n">
        <v>320.98</v>
      </c>
      <c r="F944" t="inlineStr">
        <is>
          <t>OPS-20260902</t>
        </is>
      </c>
      <c r="G944" t="inlineStr">
        <is>
          <t>G00382</t>
        </is>
      </c>
      <c r="H944" t="str">
        <f>INDEX('Match Groups'!$C$5:$C$1326,MATCH(G944,'Match Groups'!$A$5:$A$1326,0))</f>
        <v>R03</v>
      </c>
      <c r="I944" t="str">
        <f>INDEX('Match Groups'!$D$5:$D$1326,MATCH(G944,'Match Groups'!$A$5:$A$1326,0))</f>
        <v>MATCH</v>
      </c>
      <c r="J944">
        <f>IF(I944="DUPIMP",0,1)</f>
        <v>1</v>
      </c>
    </row>
    <row r="945">
      <c r="A945" t="inlineStr">
        <is>
          <t>BL-00436</t>
        </is>
      </c>
      <c r="B945" t="inlineStr">
        <is>
          <t>OPS</t>
        </is>
      </c>
      <c r="C945" s="5" t="n">
        <v>46267</v>
      </c>
      <c r="D945" t="inlineStr">
        <is>
          <t>DIRECT CREDIT HARBOUR MUTUAL HEA CLM5203610 INV 2654</t>
        </is>
      </c>
      <c r="E945" s="9" t="n">
        <v>88</v>
      </c>
      <c r="F945" t="inlineStr">
        <is>
          <t>OPS-20260902</t>
        </is>
      </c>
      <c r="G945" t="inlineStr">
        <is>
          <t>G01039</t>
        </is>
      </c>
      <c r="H945" t="str">
        <f>INDEX('Match Groups'!$C$5:$C$1326,MATCH(G945,'Match Groups'!$A$5:$A$1326,0))</f>
        <v>R09</v>
      </c>
      <c r="I945" t="str">
        <f>INDEX('Match Groups'!$D$5:$D$1326,MATCH(G945,'Match Groups'!$A$5:$A$1326,0))</f>
        <v>MATCH</v>
      </c>
      <c r="J945">
        <f>IF(I945="DUPIMP",0,1)</f>
        <v>1</v>
      </c>
    </row>
    <row r="946">
      <c r="A946" t="inlineStr">
        <is>
          <t>BL-00437</t>
        </is>
      </c>
      <c r="B946" t="inlineStr">
        <is>
          <t>OPS</t>
        </is>
      </c>
      <c r="C946" s="5" t="n">
        <v>46267</v>
      </c>
      <c r="D946" t="inlineStr">
        <is>
          <t>DIRECT CREDIT HARBOUR MUTUAL HEALTH CLM5512187 INV/2026/02684</t>
        </is>
      </c>
      <c r="E946" s="9" t="n">
        <v>990</v>
      </c>
      <c r="F946" t="inlineStr">
        <is>
          <t>OPS-20260902</t>
        </is>
      </c>
      <c r="G946" t="inlineStr">
        <is>
          <t>G01040</t>
        </is>
      </c>
      <c r="H946" t="str">
        <f>INDEX('Match Groups'!$C$5:$C$1326,MATCH(G946,'Match Groups'!$A$5:$A$1326,0))</f>
        <v>R09</v>
      </c>
      <c r="I946" t="str">
        <f>INDEX('Match Groups'!$D$5:$D$1326,MATCH(G946,'Match Groups'!$A$5:$A$1326,0))</f>
        <v>MATCH</v>
      </c>
      <c r="J946">
        <f>IF(I946="DUPIMP",0,1)</f>
        <v>1</v>
      </c>
    </row>
    <row r="947">
      <c r="A947" t="inlineStr">
        <is>
          <t>BL-00732</t>
        </is>
      </c>
      <c r="B947" t="inlineStr">
        <is>
          <t>OPS</t>
        </is>
      </c>
      <c r="C947" s="5" t="n">
        <v>46267</v>
      </c>
      <c r="D947" t="inlineStr">
        <is>
          <t>STRIPE PAYOUT STRIPE po_1Q0046KX</t>
        </is>
      </c>
      <c r="E947" s="9" t="n">
        <v>3905.34</v>
      </c>
      <c r="F947" t="inlineStr">
        <is>
          <t>OPS-20260902</t>
        </is>
      </c>
      <c r="G947" t="inlineStr">
        <is>
          <t>G00059</t>
        </is>
      </c>
      <c r="H947" t="str">
        <f>INDEX('Match Groups'!$C$5:$C$1326,MATCH(G947,'Match Groups'!$A$5:$A$1326,0))</f>
        <v>R02</v>
      </c>
      <c r="I947" t="str">
        <f>INDEX('Match Groups'!$D$5:$D$1326,MATCH(G947,'Match Groups'!$A$5:$A$1326,0))</f>
        <v>STRIPE-FEE</v>
      </c>
      <c r="J947">
        <f>IF(I947="DUPIMP",0,1)</f>
        <v>1</v>
      </c>
    </row>
    <row r="948">
      <c r="A948" t="inlineStr">
        <is>
          <t>BL-00763</t>
        </is>
      </c>
      <c r="B948" t="inlineStr">
        <is>
          <t>OPS</t>
        </is>
      </c>
      <c r="C948" s="5" t="n">
        <v>46267</v>
      </c>
      <c r="D948" t="inlineStr">
        <is>
          <t>ABA PAYMENT FILE 0420 11 PAYMENTS</t>
        </is>
      </c>
      <c r="E948" s="9" t="n">
        <v>-15257</v>
      </c>
      <c r="F948" t="inlineStr">
        <is>
          <t>OPS-20260902</t>
        </is>
      </c>
      <c r="G948" t="inlineStr">
        <is>
          <t>G00534</t>
        </is>
      </c>
      <c r="H948" t="str">
        <f>INDEX('Match Groups'!$C$5:$C$1326,MATCH(G948,'Match Groups'!$A$5:$A$1326,0))</f>
        <v>R06</v>
      </c>
      <c r="I948" t="str">
        <f>INDEX('Match Groups'!$D$5:$D$1326,MATCH(G948,'Match Groups'!$A$5:$A$1326,0))</f>
        <v>MATCH</v>
      </c>
      <c r="J948">
        <f>IF(I948="DUPIMP",0,1)</f>
        <v>1</v>
      </c>
    </row>
    <row r="949">
      <c r="A949" t="inlineStr">
        <is>
          <t>BL-00307</t>
        </is>
      </c>
      <c r="B949" t="inlineStr">
        <is>
          <t>OPS</t>
        </is>
      </c>
      <c r="C949" s="5" t="n">
        <v>46268</v>
      </c>
      <c r="D949" t="inlineStr">
        <is>
          <t>DIRECT CREDIT RIVERBEND PLAN PARTNER RA45104</t>
        </is>
      </c>
      <c r="E949" s="9" t="n">
        <v>320.98</v>
      </c>
      <c r="F949" t="inlineStr">
        <is>
          <t>OPS-20260903</t>
        </is>
      </c>
      <c r="G949" t="inlineStr">
        <is>
          <t>G00383</t>
        </is>
      </c>
      <c r="H949" t="str">
        <f>INDEX('Match Groups'!$C$5:$C$1326,MATCH(G949,'Match Groups'!$A$5:$A$1326,0))</f>
        <v>R03</v>
      </c>
      <c r="I949" t="str">
        <f>INDEX('Match Groups'!$D$5:$D$1326,MATCH(G949,'Match Groups'!$A$5:$A$1326,0))</f>
        <v>MATCH</v>
      </c>
      <c r="J949">
        <f>IF(I949="DUPIMP",0,1)</f>
        <v>1</v>
      </c>
    </row>
    <row r="950">
      <c r="A950" t="inlineStr">
        <is>
          <t>BL-00308</t>
        </is>
      </c>
      <c r="B950" t="inlineStr">
        <is>
          <t>OPS</t>
        </is>
      </c>
      <c r="C950" s="5" t="n">
        <v>46268</v>
      </c>
      <c r="D950" t="inlineStr">
        <is>
          <t>DIRECT CREDIT WATTLE PLAN SERVICES P RA45105</t>
        </is>
      </c>
      <c r="E950" s="9" t="n">
        <v>950.5599999999999</v>
      </c>
      <c r="F950" t="inlineStr">
        <is>
          <t>OPS-20260903</t>
        </is>
      </c>
      <c r="G950" t="inlineStr">
        <is>
          <t>G00384</t>
        </is>
      </c>
      <c r="H950" t="str">
        <f>INDEX('Match Groups'!$C$5:$C$1326,MATCH(G950,'Match Groups'!$A$5:$A$1326,0))</f>
        <v>R03</v>
      </c>
      <c r="I950" t="str">
        <f>INDEX('Match Groups'!$D$5:$D$1326,MATCH(G950,'Match Groups'!$A$5:$A$1326,0))</f>
        <v>MATCH</v>
      </c>
      <c r="J950">
        <f>IF(I950="DUPIMP",0,1)</f>
        <v>1</v>
      </c>
    </row>
    <row r="951">
      <c r="A951" t="inlineStr">
        <is>
          <t>BL-00309</t>
        </is>
      </c>
      <c r="B951" t="inlineStr">
        <is>
          <t>OPS</t>
        </is>
      </c>
      <c r="C951" s="5" t="n">
        <v>46268</v>
      </c>
      <c r="D951" t="inlineStr">
        <is>
          <t>DIRECT CREDIT IRONBARK PLAN MANAGEME RA45106</t>
        </is>
      </c>
      <c r="E951" s="9" t="n">
        <v>678.96</v>
      </c>
      <c r="F951" t="inlineStr">
        <is>
          <t>OPS-20260903</t>
        </is>
      </c>
      <c r="G951" t="inlineStr">
        <is>
          <t>G00385</t>
        </is>
      </c>
      <c r="H951" t="str">
        <f>INDEX('Match Groups'!$C$5:$C$1326,MATCH(G951,'Match Groups'!$A$5:$A$1326,0))</f>
        <v>R03</v>
      </c>
      <c r="I951" t="str">
        <f>INDEX('Match Groups'!$D$5:$D$1326,MATCH(G951,'Match Groups'!$A$5:$A$1326,0))</f>
        <v>MATCH</v>
      </c>
      <c r="J951">
        <f>IF(I951="DUPIMP",0,1)</f>
        <v>1</v>
      </c>
    </row>
    <row r="952">
      <c r="A952" t="inlineStr">
        <is>
          <t>BL-00310</t>
        </is>
      </c>
      <c r="B952" t="inlineStr">
        <is>
          <t>OPS</t>
        </is>
      </c>
      <c r="C952" s="5" t="n">
        <v>46268</v>
      </c>
      <c r="D952" t="inlineStr">
        <is>
          <t>DIRECT CREDIT REDGUMPLANADMIN RA45107</t>
        </is>
      </c>
      <c r="E952" s="9" t="n">
        <v>417.98</v>
      </c>
      <c r="F952" t="inlineStr">
        <is>
          <t>OPS-20260903</t>
        </is>
      </c>
      <c r="G952" t="inlineStr">
        <is>
          <t>G00386</t>
        </is>
      </c>
      <c r="H952" t="str">
        <f>INDEX('Match Groups'!$C$5:$C$1326,MATCH(G952,'Match Groups'!$A$5:$A$1326,0))</f>
        <v>R03</v>
      </c>
      <c r="I952" t="str">
        <f>INDEX('Match Groups'!$D$5:$D$1326,MATCH(G952,'Match Groups'!$A$5:$A$1326,0))</f>
        <v>MATCH</v>
      </c>
      <c r="J952">
        <f>IF(I952="DUPIMP",0,1)</f>
        <v>1</v>
      </c>
    </row>
    <row r="953">
      <c r="A953" t="inlineStr">
        <is>
          <t>BL-00311</t>
        </is>
      </c>
      <c r="B953" t="inlineStr">
        <is>
          <t>OPS</t>
        </is>
      </c>
      <c r="C953" s="5" t="n">
        <v>46268</v>
      </c>
      <c r="D953" t="inlineStr">
        <is>
          <t>DIRECT CREDIT TALLOWWOOD PLANS PTY L RA45108</t>
        </is>
      </c>
      <c r="E953" s="9" t="n">
        <v>476.17</v>
      </c>
      <c r="F953" t="inlineStr">
        <is>
          <t>OPS-20260903</t>
        </is>
      </c>
      <c r="G953" t="inlineStr">
        <is>
          <t>G00387</t>
        </is>
      </c>
      <c r="H953" t="str">
        <f>INDEX('Match Groups'!$C$5:$C$1326,MATCH(G953,'Match Groups'!$A$5:$A$1326,0))</f>
        <v>R03</v>
      </c>
      <c r="I953" t="str">
        <f>INDEX('Match Groups'!$D$5:$D$1326,MATCH(G953,'Match Groups'!$A$5:$A$1326,0))</f>
        <v>REG</v>
      </c>
      <c r="J953">
        <f>IF(I953="DUPIMP",0,1)</f>
        <v>1</v>
      </c>
    </row>
    <row r="954">
      <c r="A954" t="inlineStr">
        <is>
          <t>BL-00441</t>
        </is>
      </c>
      <c r="B954" t="inlineStr">
        <is>
          <t>OPS</t>
        </is>
      </c>
      <c r="C954" s="5" t="n">
        <v>46268</v>
      </c>
      <c r="D954" t="inlineStr">
        <is>
          <t>DIRECT CREDIT HARBOUR MUTUAL HEALT CLM5630560 INV02818</t>
        </is>
      </c>
      <c r="E954" s="9" t="n">
        <v>176</v>
      </c>
      <c r="F954" t="inlineStr">
        <is>
          <t>OPS-20260903</t>
        </is>
      </c>
      <c r="G954" t="inlineStr">
        <is>
          <t>G01041</t>
        </is>
      </c>
      <c r="H954" t="str">
        <f>INDEX('Match Groups'!$C$5:$C$1326,MATCH(G954,'Match Groups'!$A$5:$A$1326,0))</f>
        <v>R09</v>
      </c>
      <c r="I954" t="str">
        <f>INDEX('Match Groups'!$D$5:$D$1326,MATCH(G954,'Match Groups'!$A$5:$A$1326,0))</f>
        <v>MATCH</v>
      </c>
      <c r="J954">
        <f>IF(I954="DUPIMP",0,1)</f>
        <v>1</v>
      </c>
    </row>
    <row r="955">
      <c r="A955" t="inlineStr">
        <is>
          <t>BL-00442</t>
        </is>
      </c>
      <c r="B955" t="inlineStr">
        <is>
          <t>OPS</t>
        </is>
      </c>
      <c r="C955" s="5" t="n">
        <v>46268</v>
      </c>
      <c r="D955" t="inlineStr">
        <is>
          <t>DIRECT CREDIT HARBOUR MUTUAL HEALT CLM5115615 INV 2862</t>
        </is>
      </c>
      <c r="E955" s="9" t="n">
        <v>412.5</v>
      </c>
      <c r="F955" t="inlineStr">
        <is>
          <t>OPS-20260903</t>
        </is>
      </c>
      <c r="G955" t="inlineStr">
        <is>
          <t>G01042</t>
        </is>
      </c>
      <c r="H955" t="str">
        <f>INDEX('Match Groups'!$C$5:$C$1326,MATCH(G955,'Match Groups'!$A$5:$A$1326,0))</f>
        <v>R09</v>
      </c>
      <c r="I955" t="str">
        <f>INDEX('Match Groups'!$D$5:$D$1326,MATCH(G955,'Match Groups'!$A$5:$A$1326,0))</f>
        <v>MATCH</v>
      </c>
      <c r="J955">
        <f>IF(I955="DUPIMP",0,1)</f>
        <v>1</v>
      </c>
    </row>
    <row r="956">
      <c r="A956" t="inlineStr">
        <is>
          <t>BL-00459</t>
        </is>
      </c>
      <c r="B956" t="inlineStr">
        <is>
          <t>OPS</t>
        </is>
      </c>
      <c r="C956" s="5" t="n">
        <v>46268</v>
      </c>
      <c r="D956" t="inlineStr">
        <is>
          <t>DIRECT CREDIT COASTLINEHEALTHF CLM5252810 INV/2026/02734</t>
        </is>
      </c>
      <c r="E956" s="9" t="n">
        <v>132</v>
      </c>
      <c r="F956" t="inlineStr">
        <is>
          <t>OPS-20260903</t>
        </is>
      </c>
      <c r="G956" t="inlineStr">
        <is>
          <t>G01043</t>
        </is>
      </c>
      <c r="H956" t="str">
        <f>INDEX('Match Groups'!$C$5:$C$1326,MATCH(G956,'Match Groups'!$A$5:$A$1326,0))</f>
        <v>R09</v>
      </c>
      <c r="I956" t="str">
        <f>INDEX('Match Groups'!$D$5:$D$1326,MATCH(G956,'Match Groups'!$A$5:$A$1326,0))</f>
        <v>MATCH</v>
      </c>
      <c r="J956">
        <f>IF(I956="DUPIMP",0,1)</f>
        <v>1</v>
      </c>
    </row>
    <row r="957">
      <c r="A957" t="inlineStr">
        <is>
          <t>BL-00503</t>
        </is>
      </c>
      <c r="B957" t="inlineStr">
        <is>
          <t>OPS</t>
        </is>
      </c>
      <c r="C957" s="5" t="n">
        <v>46268</v>
      </c>
      <c r="D957" t="inlineStr">
        <is>
          <t>DIRECT CREDIT PINNACLE CLAIMS SERVIC CLM5382690 02736</t>
        </is>
      </c>
      <c r="E957" s="9" t="n">
        <v>176</v>
      </c>
      <c r="F957" t="inlineStr">
        <is>
          <t>OPS-20260903</t>
        </is>
      </c>
      <c r="G957" t="inlineStr">
        <is>
          <t>G01044</t>
        </is>
      </c>
      <c r="H957" t="str">
        <f>INDEX('Match Groups'!$C$5:$C$1326,MATCH(G957,'Match Groups'!$A$5:$A$1326,0))</f>
        <v>R09</v>
      </c>
      <c r="I957" t="str">
        <f>INDEX('Match Groups'!$D$5:$D$1326,MATCH(G957,'Match Groups'!$A$5:$A$1326,0))</f>
        <v>MATCH</v>
      </c>
      <c r="J957">
        <f>IF(I957="DUPIMP",0,1)</f>
        <v>1</v>
      </c>
    </row>
    <row r="958">
      <c r="A958" t="inlineStr">
        <is>
          <t>BL-00587</t>
        </is>
      </c>
      <c r="B958" t="inlineStr">
        <is>
          <t>OPS</t>
        </is>
      </c>
      <c r="C958" s="5" t="n">
        <v>46268</v>
      </c>
      <c r="D958" t="inlineStr">
        <is>
          <t>DIRECT CREDIT MARLOWE PRINT AND PACK</t>
        </is>
      </c>
      <c r="E958" s="9" t="n">
        <v>2117.5</v>
      </c>
      <c r="F958" t="inlineStr">
        <is>
          <t>OPS-20260903</t>
        </is>
      </c>
      <c r="G958" t="inlineStr">
        <is>
          <t>G01154</t>
        </is>
      </c>
      <c r="H958" t="str">
        <f>INDEX('Match Groups'!$C$5:$C$1326,MATCH(G958,'Match Groups'!$A$5:$A$1326,0))</f>
        <v>R10</v>
      </c>
      <c r="I958" t="str">
        <f>INDEX('Match Groups'!$D$5:$D$1326,MATCH(G958,'Match Groups'!$A$5:$A$1326,0))</f>
        <v>MATCH</v>
      </c>
      <c r="J958">
        <f>IF(I958="DUPIMP",0,1)</f>
        <v>1</v>
      </c>
    </row>
    <row r="959">
      <c r="A959" t="inlineStr">
        <is>
          <t>BL-00606</t>
        </is>
      </c>
      <c r="B959" t="inlineStr">
        <is>
          <t>OPS</t>
        </is>
      </c>
      <c r="C959" s="5" t="n">
        <v>46268</v>
      </c>
      <c r="D959" t="inlineStr">
        <is>
          <t>DIRECT CREDIT WESTMERE COUNCIL S INV 3536</t>
        </is>
      </c>
      <c r="E959" s="9" t="n">
        <v>3547.5</v>
      </c>
      <c r="F959" t="inlineStr">
        <is>
          <t>OPS-20260903</t>
        </is>
      </c>
      <c r="G959" t="inlineStr">
        <is>
          <t>G01195</t>
        </is>
      </c>
      <c r="H959" t="str">
        <f>INDEX('Match Groups'!$C$5:$C$1326,MATCH(G959,'Match Groups'!$A$5:$A$1326,0))</f>
        <v>R11</v>
      </c>
      <c r="I959" t="str">
        <f>INDEX('Match Groups'!$D$5:$D$1326,MATCH(G959,'Match Groups'!$A$5:$A$1326,0))</f>
        <v>REG</v>
      </c>
      <c r="J959">
        <f>IF(I959="DUPIMP",0,1)</f>
        <v>1</v>
      </c>
    </row>
    <row r="960">
      <c r="A960" t="inlineStr">
        <is>
          <t>BL-00632</t>
        </is>
      </c>
      <c r="B960" t="inlineStr">
        <is>
          <t>OPS</t>
        </is>
      </c>
      <c r="C960" s="5" t="n">
        <v>46268</v>
      </c>
      <c r="D960" t="inlineStr">
        <is>
          <t>DIRECT CREDIT ELMHURST PROPERTY GR</t>
        </is>
      </c>
      <c r="E960" s="9" t="n">
        <v>3465</v>
      </c>
      <c r="F960" t="inlineStr">
        <is>
          <t>OPS-20260903</t>
        </is>
      </c>
      <c r="G960" t="inlineStr">
        <is>
          <t>G01155</t>
        </is>
      </c>
      <c r="H960" t="str">
        <f>INDEX('Match Groups'!$C$5:$C$1326,MATCH(G960,'Match Groups'!$A$5:$A$1326,0))</f>
        <v>R10</v>
      </c>
      <c r="I960" t="str">
        <f>INDEX('Match Groups'!$D$5:$D$1326,MATCH(G960,'Match Groups'!$A$5:$A$1326,0))</f>
        <v>MATCH</v>
      </c>
      <c r="J960">
        <f>IF(I960="DUPIMP",0,1)</f>
        <v>1</v>
      </c>
    </row>
    <row r="961">
      <c r="A961" t="inlineStr">
        <is>
          <t>BL-00668</t>
        </is>
      </c>
      <c r="B961" t="inlineStr">
        <is>
          <t>OPS</t>
        </is>
      </c>
      <c r="C961" s="5" t="n">
        <v>46268</v>
      </c>
      <c r="D961" t="inlineStr">
        <is>
          <t>DIRECT CREDIT PENDLE HILL BAKERY 03564</t>
        </is>
      </c>
      <c r="E961" s="9" t="n">
        <v>3547.5</v>
      </c>
      <c r="F961" t="inlineStr">
        <is>
          <t>OPS-20260903</t>
        </is>
      </c>
      <c r="G961" t="inlineStr">
        <is>
          <t>G01045</t>
        </is>
      </c>
      <c r="H961" t="str">
        <f>INDEX('Match Groups'!$C$5:$C$1326,MATCH(G961,'Match Groups'!$A$5:$A$1326,0))</f>
        <v>R09</v>
      </c>
      <c r="I961" t="str">
        <f>INDEX('Match Groups'!$D$5:$D$1326,MATCH(G961,'Match Groups'!$A$5:$A$1326,0))</f>
        <v>MATCH</v>
      </c>
      <c r="J961">
        <f>IF(I961="DUPIMP",0,1)</f>
        <v>1</v>
      </c>
    </row>
    <row r="962">
      <c r="A962" t="inlineStr">
        <is>
          <t>BL-00674</t>
        </is>
      </c>
      <c r="B962" t="inlineStr">
        <is>
          <t>OPS</t>
        </is>
      </c>
      <c r="C962" s="5" t="n">
        <v>46268</v>
      </c>
      <c r="D962" t="inlineStr">
        <is>
          <t>DIRECT CREDIT ROSEDALE NURSERIES INV/2026/03566</t>
        </is>
      </c>
      <c r="E962" s="9" t="n">
        <v>10876.25</v>
      </c>
      <c r="F962" t="inlineStr">
        <is>
          <t>OPS-20260903</t>
        </is>
      </c>
      <c r="G962" t="inlineStr">
        <is>
          <t>G01046</t>
        </is>
      </c>
      <c r="H962" t="str">
        <f>INDEX('Match Groups'!$C$5:$C$1326,MATCH(G962,'Match Groups'!$A$5:$A$1326,0))</f>
        <v>R09</v>
      </c>
      <c r="I962" t="str">
        <f>INDEX('Match Groups'!$D$5:$D$1326,MATCH(G962,'Match Groups'!$A$5:$A$1326,0))</f>
        <v>MATCH</v>
      </c>
      <c r="J962">
        <f>IF(I962="DUPIMP",0,1)</f>
        <v>1</v>
      </c>
    </row>
    <row r="963">
      <c r="A963" t="inlineStr">
        <is>
          <t>BL-00733</t>
        </is>
      </c>
      <c r="B963" t="inlineStr">
        <is>
          <t>OPS</t>
        </is>
      </c>
      <c r="C963" s="5" t="n">
        <v>46268</v>
      </c>
      <c r="D963" t="inlineStr">
        <is>
          <t>STRIPE PAYOUT STRIPE po_1Q0047KX</t>
        </is>
      </c>
      <c r="E963" s="9" t="n">
        <v>2288.1</v>
      </c>
      <c r="F963" t="inlineStr">
        <is>
          <t>OPS-20260903</t>
        </is>
      </c>
      <c r="G963" t="inlineStr">
        <is>
          <t>G00060</t>
        </is>
      </c>
      <c r="H963" t="str">
        <f>INDEX('Match Groups'!$C$5:$C$1326,MATCH(G963,'Match Groups'!$A$5:$A$1326,0))</f>
        <v>R02</v>
      </c>
      <c r="I963" t="str">
        <f>INDEX('Match Groups'!$D$5:$D$1326,MATCH(G963,'Match Groups'!$A$5:$A$1326,0))</f>
        <v>STRIPE-FEE</v>
      </c>
      <c r="J963">
        <f>IF(I963="DUPIMP",0,1)</f>
        <v>1</v>
      </c>
    </row>
    <row r="964">
      <c r="A964" t="inlineStr">
        <is>
          <t>BL-00801</t>
        </is>
      </c>
      <c r="B964" t="inlineStr">
        <is>
          <t>OPS</t>
        </is>
      </c>
      <c r="C964" s="5" t="n">
        <v>46268</v>
      </c>
      <c r="D964" t="inlineStr">
        <is>
          <t>DIRECT DEBIT CLINIC PRACTICE SOFT</t>
        </is>
      </c>
      <c r="E964" s="9" t="n">
        <v>-1870</v>
      </c>
      <c r="F964" t="inlineStr">
        <is>
          <t>OPS-20260903</t>
        </is>
      </c>
      <c r="G964" t="inlineStr">
        <is>
          <t>G01196</t>
        </is>
      </c>
      <c r="H964" t="str">
        <f>INDEX('Match Groups'!$C$5:$C$1326,MATCH(G964,'Match Groups'!$A$5:$A$1326,0))</f>
        <v>R11</v>
      </c>
      <c r="I964" t="str">
        <f>INDEX('Match Groups'!$D$5:$D$1326,MATCH(G964,'Match Groups'!$A$5:$A$1326,0))</f>
        <v>NOBILL</v>
      </c>
      <c r="J964">
        <f>IF(I964="DUPIMP",0,1)</f>
        <v>1</v>
      </c>
    </row>
    <row r="965">
      <c r="A965" t="inlineStr">
        <is>
          <t>BL-00809</t>
        </is>
      </c>
      <c r="B965" t="inlineStr">
        <is>
          <t>OPS</t>
        </is>
      </c>
      <c r="C965" s="5" t="n">
        <v>46268</v>
      </c>
      <c r="D965" t="inlineStr">
        <is>
          <t>CHEQUE 000408</t>
        </is>
      </c>
      <c r="E965" s="9" t="n">
        <v>-132</v>
      </c>
      <c r="F965" t="inlineStr">
        <is>
          <t>OPS-20260903</t>
        </is>
      </c>
      <c r="G965" t="inlineStr">
        <is>
          <t>G00535</t>
        </is>
      </c>
      <c r="H965" t="str">
        <f>INDEX('Match Groups'!$C$5:$C$1326,MATCH(G965,'Match Groups'!$A$5:$A$1326,0))</f>
        <v>R07</v>
      </c>
      <c r="I965" t="str">
        <f>INDEX('Match Groups'!$D$5:$D$1326,MATCH(G965,'Match Groups'!$A$5:$A$1326,0))</f>
        <v>MATCH</v>
      </c>
      <c r="J965">
        <f>IF(I965="DUPIMP",0,1)</f>
        <v>1</v>
      </c>
    </row>
    <row r="966">
      <c r="A966" t="inlineStr">
        <is>
          <t>BL-00312</t>
        </is>
      </c>
      <c r="B966" t="inlineStr">
        <is>
          <t>OPS</t>
        </is>
      </c>
      <c r="C966" s="5" t="n">
        <v>46269</v>
      </c>
      <c r="D966" t="inlineStr">
        <is>
          <t>DIRECT CREDIT BLUEGUM PLAN MGMT RA45109</t>
        </is>
      </c>
      <c r="E966" s="9" t="n">
        <v>242.49</v>
      </c>
      <c r="F966" t="inlineStr">
        <is>
          <t>OPS-20260904</t>
        </is>
      </c>
      <c r="G966" t="inlineStr">
        <is>
          <t>G00388</t>
        </is>
      </c>
      <c r="H966" t="str">
        <f>INDEX('Match Groups'!$C$5:$C$1326,MATCH(G966,'Match Groups'!$A$5:$A$1326,0))</f>
        <v>R03</v>
      </c>
      <c r="I966" t="str">
        <f>INDEX('Match Groups'!$D$5:$D$1326,MATCH(G966,'Match Groups'!$A$5:$A$1326,0))</f>
        <v>MATCH</v>
      </c>
      <c r="J966">
        <f>IF(I966="DUPIMP",0,1)</f>
        <v>1</v>
      </c>
    </row>
    <row r="967">
      <c r="A967" t="inlineStr">
        <is>
          <t>BL-00313</t>
        </is>
      </c>
      <c r="B967" t="inlineStr">
        <is>
          <t>OPS</t>
        </is>
      </c>
      <c r="C967" s="5" t="n">
        <v>46269</v>
      </c>
      <c r="D967" t="inlineStr">
        <is>
          <t>DIRECT CREDIT CLEARPATH NDIS PLANS P RA45110</t>
        </is>
      </c>
      <c r="E967" s="9" t="n">
        <v>688.66</v>
      </c>
      <c r="F967" t="inlineStr">
        <is>
          <t>OPS-20260904</t>
        </is>
      </c>
      <c r="G967" t="inlineStr">
        <is>
          <t>G00389</t>
        </is>
      </c>
      <c r="H967" t="str">
        <f>INDEX('Match Groups'!$C$5:$C$1326,MATCH(G967,'Match Groups'!$A$5:$A$1326,0))</f>
        <v>R03</v>
      </c>
      <c r="I967" t="str">
        <f>INDEX('Match Groups'!$D$5:$D$1326,MATCH(G967,'Match Groups'!$A$5:$A$1326,0))</f>
        <v>MATCH</v>
      </c>
      <c r="J967">
        <f>IF(I967="DUPIMP",0,1)</f>
        <v>1</v>
      </c>
    </row>
    <row r="968">
      <c r="A968" t="inlineStr">
        <is>
          <t>BL-00314</t>
        </is>
      </c>
      <c r="B968" t="inlineStr">
        <is>
          <t>OPS</t>
        </is>
      </c>
      <c r="C968" s="5" t="n">
        <v>46269</v>
      </c>
      <c r="D968" t="inlineStr">
        <is>
          <t>DIRECT CREDIT WATTLEPLANSERVIC RA45111</t>
        </is>
      </c>
      <c r="E968" s="9" t="n">
        <v>563.47</v>
      </c>
      <c r="F968" t="inlineStr">
        <is>
          <t>OPS-20260904</t>
        </is>
      </c>
      <c r="G968" t="inlineStr">
        <is>
          <t>G00390</t>
        </is>
      </c>
      <c r="H968" t="str">
        <f>INDEX('Match Groups'!$C$5:$C$1326,MATCH(G968,'Match Groups'!$A$5:$A$1326,0))</f>
        <v>R03</v>
      </c>
      <c r="I968" t="str">
        <f>INDEX('Match Groups'!$D$5:$D$1326,MATCH(G968,'Match Groups'!$A$5:$A$1326,0))</f>
        <v>MATCH</v>
      </c>
      <c r="J968">
        <f>IF(I968="DUPIMP",0,1)</f>
        <v>1</v>
      </c>
    </row>
    <row r="969">
      <c r="A969" t="inlineStr">
        <is>
          <t>BL-00315</t>
        </is>
      </c>
      <c r="B969" t="inlineStr">
        <is>
          <t>OPS</t>
        </is>
      </c>
      <c r="C969" s="5" t="n">
        <v>46269</v>
      </c>
      <c r="D969" t="inlineStr">
        <is>
          <t>DIRECT CREDIT BANKSIA PLAN CO RA45112</t>
        </is>
      </c>
      <c r="E969" s="9" t="n">
        <v>387.98</v>
      </c>
      <c r="F969" t="inlineStr">
        <is>
          <t>OPS-20260904</t>
        </is>
      </c>
      <c r="G969" t="inlineStr">
        <is>
          <t>G00391</t>
        </is>
      </c>
      <c r="H969" t="str">
        <f>INDEX('Match Groups'!$C$5:$C$1326,MATCH(G969,'Match Groups'!$A$5:$A$1326,0))</f>
        <v>R03</v>
      </c>
      <c r="I969" t="str">
        <f>INDEX('Match Groups'!$D$5:$D$1326,MATCH(G969,'Match Groups'!$A$5:$A$1326,0))</f>
        <v>MATCH</v>
      </c>
      <c r="J969">
        <f>IF(I969="DUPIMP",0,1)</f>
        <v>1</v>
      </c>
    </row>
    <row r="970">
      <c r="A970" t="inlineStr">
        <is>
          <t>BL-00316</t>
        </is>
      </c>
      <c r="B970" t="inlineStr">
        <is>
          <t>OPS</t>
        </is>
      </c>
      <c r="C970" s="5" t="n">
        <v>46269</v>
      </c>
      <c r="D970" t="inlineStr">
        <is>
          <t>DIRECT CREDIT SALTBUSH PLAN MANAGE RA45113</t>
        </is>
      </c>
      <c r="E970" s="9" t="n">
        <v>892.35</v>
      </c>
      <c r="F970" t="inlineStr">
        <is>
          <t>OPS-20260904</t>
        </is>
      </c>
      <c r="G970" t="inlineStr">
        <is>
          <t>G00392</t>
        </is>
      </c>
      <c r="H970" t="str">
        <f>INDEX('Match Groups'!$C$5:$C$1326,MATCH(G970,'Match Groups'!$A$5:$A$1326,0))</f>
        <v>R03</v>
      </c>
      <c r="I970" t="str">
        <f>INDEX('Match Groups'!$D$5:$D$1326,MATCH(G970,'Match Groups'!$A$5:$A$1326,0))</f>
        <v>MATCH</v>
      </c>
      <c r="J970">
        <f>IF(I970="DUPIMP",0,1)</f>
        <v>1</v>
      </c>
    </row>
    <row r="971">
      <c r="A971" t="inlineStr">
        <is>
          <t>BL-00317</t>
        </is>
      </c>
      <c r="B971" t="inlineStr">
        <is>
          <t>OPS</t>
        </is>
      </c>
      <c r="C971" s="5" t="n">
        <v>46269</v>
      </c>
      <c r="D971" t="inlineStr">
        <is>
          <t>DIRECT CREDIT REDGUM PLAN ADMIN RA45114</t>
        </is>
      </c>
      <c r="E971" s="9" t="n">
        <v>96.98999999999999</v>
      </c>
      <c r="F971" t="inlineStr">
        <is>
          <t>OPS-20260904</t>
        </is>
      </c>
      <c r="G971" t="inlineStr">
        <is>
          <t>G00393</t>
        </is>
      </c>
      <c r="H971" t="str">
        <f>INDEX('Match Groups'!$C$5:$C$1326,MATCH(G971,'Match Groups'!$A$5:$A$1326,0))</f>
        <v>R03</v>
      </c>
      <c r="I971" t="str">
        <f>INDEX('Match Groups'!$D$5:$D$1326,MATCH(G971,'Match Groups'!$A$5:$A$1326,0))</f>
        <v>MATCH</v>
      </c>
      <c r="J971">
        <f>IF(I971="DUPIMP",0,1)</f>
        <v>1</v>
      </c>
    </row>
    <row r="972">
      <c r="A972" t="inlineStr">
        <is>
          <t>BL-00318</t>
        </is>
      </c>
      <c r="B972" t="inlineStr">
        <is>
          <t>OPS</t>
        </is>
      </c>
      <c r="C972" s="5" t="n">
        <v>46269</v>
      </c>
      <c r="D972" t="inlineStr">
        <is>
          <t>DIRECT CREDIT TALLOWWOODPLANS RA45115</t>
        </is>
      </c>
      <c r="E972" s="9" t="n">
        <v>387.98</v>
      </c>
      <c r="F972" t="inlineStr">
        <is>
          <t>OPS-20260904</t>
        </is>
      </c>
      <c r="G972" t="inlineStr">
        <is>
          <t>G00394</t>
        </is>
      </c>
      <c r="H972" t="str">
        <f>INDEX('Match Groups'!$C$5:$C$1326,MATCH(G972,'Match Groups'!$A$5:$A$1326,0))</f>
        <v>R03</v>
      </c>
      <c r="I972" t="str">
        <f>INDEX('Match Groups'!$D$5:$D$1326,MATCH(G972,'Match Groups'!$A$5:$A$1326,0))</f>
        <v>MATCH</v>
      </c>
      <c r="J972">
        <f>IF(I972="DUPIMP",0,1)</f>
        <v>1</v>
      </c>
    </row>
    <row r="973">
      <c r="A973" t="inlineStr">
        <is>
          <t>BL-00319</t>
        </is>
      </c>
      <c r="B973" t="inlineStr">
        <is>
          <t>OPS</t>
        </is>
      </c>
      <c r="C973" s="5" t="n">
        <v>46269</v>
      </c>
      <c r="D973" t="inlineStr">
        <is>
          <t>DIRECT CREDIT ACACIA PLAN PARTNE RA45116</t>
        </is>
      </c>
      <c r="E973" s="9" t="n">
        <v>145.49</v>
      </c>
      <c r="F973" t="inlineStr">
        <is>
          <t>OPS-20260904</t>
        </is>
      </c>
      <c r="G973" t="inlineStr">
        <is>
          <t>G00395</t>
        </is>
      </c>
      <c r="H973" t="str">
        <f>INDEX('Match Groups'!$C$5:$C$1326,MATCH(G973,'Match Groups'!$A$5:$A$1326,0))</f>
        <v>R03</v>
      </c>
      <c r="I973" t="str">
        <f>INDEX('Match Groups'!$D$5:$D$1326,MATCH(G973,'Match Groups'!$A$5:$A$1326,0))</f>
        <v>MATCH</v>
      </c>
      <c r="J973">
        <f>IF(I973="DUPIMP",0,1)</f>
        <v>1</v>
      </c>
    </row>
    <row r="974">
      <c r="A974" t="inlineStr">
        <is>
          <t>BL-00320</t>
        </is>
      </c>
      <c r="B974" t="inlineStr">
        <is>
          <t>OPS</t>
        </is>
      </c>
      <c r="C974" s="5" t="n">
        <v>46269</v>
      </c>
      <c r="D974" t="inlineStr">
        <is>
          <t>DIRECT CREDIT MALLEEPLANSERVIC RA45117</t>
        </is>
      </c>
      <c r="E974" s="9" t="n">
        <v>708.96</v>
      </c>
      <c r="F974" t="inlineStr">
        <is>
          <t>OPS-20260904</t>
        </is>
      </c>
      <c r="G974" t="inlineStr">
        <is>
          <t>G00396</t>
        </is>
      </c>
      <c r="H974" t="str">
        <f>INDEX('Match Groups'!$C$5:$C$1326,MATCH(G974,'Match Groups'!$A$5:$A$1326,0))</f>
        <v>R03</v>
      </c>
      <c r="I974" t="str">
        <f>INDEX('Match Groups'!$D$5:$D$1326,MATCH(G974,'Match Groups'!$A$5:$A$1326,0))</f>
        <v>MATCH</v>
      </c>
      <c r="J974">
        <f>IF(I974="DUPIMP",0,1)</f>
        <v>1</v>
      </c>
    </row>
    <row r="975">
      <c r="A975" t="inlineStr">
        <is>
          <t>BL-00479</t>
        </is>
      </c>
      <c r="B975" t="inlineStr">
        <is>
          <t>OPS</t>
        </is>
      </c>
      <c r="C975" s="5" t="n">
        <v>46269</v>
      </c>
      <c r="D975" t="inlineStr">
        <is>
          <t>DIRECT CREDIT UNITY WORKCOVER AGEN CLM5741224 RE INV 2026 02735</t>
        </is>
      </c>
      <c r="E975" s="9" t="n">
        <v>412.5</v>
      </c>
      <c r="F975" t="inlineStr">
        <is>
          <t>OPS-20260904</t>
        </is>
      </c>
      <c r="G975" t="inlineStr">
        <is>
          <t>G01197</t>
        </is>
      </c>
      <c r="H975" t="str">
        <f>INDEX('Match Groups'!$C$5:$C$1326,MATCH(G975,'Match Groups'!$A$5:$A$1326,0))</f>
        <v>R11</v>
      </c>
      <c r="I975" t="str">
        <f>INDEX('Match Groups'!$D$5:$D$1326,MATCH(G975,'Match Groups'!$A$5:$A$1326,0))</f>
        <v>REG</v>
      </c>
      <c r="J975">
        <f>IF(I975="DUPIMP",0,1)</f>
        <v>1</v>
      </c>
    </row>
    <row r="976">
      <c r="A976" t="inlineStr">
        <is>
          <t>BL-00545</t>
        </is>
      </c>
      <c r="B976" t="inlineStr">
        <is>
          <t>OPS</t>
        </is>
      </c>
      <c r="C976" s="5" t="n">
        <v>46269</v>
      </c>
      <c r="D976" t="inlineStr">
        <is>
          <t>DIRECT CREDIT NORTHLINE INJURY CLAIM CLM5329416 INV/2026/02709</t>
        </is>
      </c>
      <c r="E976" s="9" t="n">
        <v>412.5</v>
      </c>
      <c r="F976" t="inlineStr">
        <is>
          <t>OPS-20260904</t>
        </is>
      </c>
      <c r="G976" t="inlineStr">
        <is>
          <t>G01047</t>
        </is>
      </c>
      <c r="H976" t="str">
        <f>INDEX('Match Groups'!$C$5:$C$1326,MATCH(G976,'Match Groups'!$A$5:$A$1326,0))</f>
        <v>R09</v>
      </c>
      <c r="I976" t="str">
        <f>INDEX('Match Groups'!$D$5:$D$1326,MATCH(G976,'Match Groups'!$A$5:$A$1326,0))</f>
        <v>MATCH</v>
      </c>
      <c r="J976">
        <f>IF(I976="DUPIMP",0,1)</f>
        <v>1</v>
      </c>
    </row>
    <row r="977">
      <c r="A977" t="inlineStr">
        <is>
          <t>BL-00546</t>
        </is>
      </c>
      <c r="B977" t="inlineStr">
        <is>
          <t>OPS</t>
        </is>
      </c>
      <c r="C977" s="5" t="n">
        <v>46269</v>
      </c>
      <c r="D977" t="inlineStr">
        <is>
          <t>DIRECT CREDIT NORTHLINE INJURY C CLM5829540 INV02777</t>
        </is>
      </c>
      <c r="E977" s="9" t="n">
        <v>132</v>
      </c>
      <c r="F977" t="inlineStr">
        <is>
          <t>OPS-20260904</t>
        </is>
      </c>
      <c r="G977" t="inlineStr">
        <is>
          <t>G01048</t>
        </is>
      </c>
      <c r="H977" t="str">
        <f>INDEX('Match Groups'!$C$5:$C$1326,MATCH(G977,'Match Groups'!$A$5:$A$1326,0))</f>
        <v>R09</v>
      </c>
      <c r="I977" t="str">
        <f>INDEX('Match Groups'!$D$5:$D$1326,MATCH(G977,'Match Groups'!$A$5:$A$1326,0))</f>
        <v>MATCH</v>
      </c>
      <c r="J977">
        <f>IF(I977="DUPIMP",0,1)</f>
        <v>1</v>
      </c>
    </row>
    <row r="978">
      <c r="A978" t="inlineStr">
        <is>
          <t>BL-00623</t>
        </is>
      </c>
      <c r="B978" t="inlineStr">
        <is>
          <t>OPS</t>
        </is>
      </c>
      <c r="C978" s="5" t="n">
        <v>46269</v>
      </c>
      <c r="D978" t="inlineStr">
        <is>
          <t>DIRECT CREDIT PEREGRINE SECURITY PTY 03544</t>
        </is>
      </c>
      <c r="E978" s="9" t="n">
        <v>3616.25</v>
      </c>
      <c r="F978" t="inlineStr">
        <is>
          <t>OPS-20260904</t>
        </is>
      </c>
      <c r="G978" t="inlineStr">
        <is>
          <t>G01049</t>
        </is>
      </c>
      <c r="H978" t="str">
        <f>INDEX('Match Groups'!$C$5:$C$1326,MATCH(G978,'Match Groups'!$A$5:$A$1326,0))</f>
        <v>R09</v>
      </c>
      <c r="I978" t="str">
        <f>INDEX('Match Groups'!$D$5:$D$1326,MATCH(G978,'Match Groups'!$A$5:$A$1326,0))</f>
        <v>MATCH</v>
      </c>
      <c r="J978">
        <f>IF(I978="DUPIMP",0,1)</f>
        <v>1</v>
      </c>
    </row>
    <row r="979">
      <c r="A979" t="inlineStr">
        <is>
          <t>BL-00664</t>
        </is>
      </c>
      <c r="B979" t="inlineStr">
        <is>
          <t>OPS</t>
        </is>
      </c>
      <c r="C979" s="5" t="n">
        <v>46269</v>
      </c>
      <c r="D979" t="inlineStr">
        <is>
          <t>DIRECT CREDIT NETTLEFOLD JOINERY</t>
        </is>
      </c>
      <c r="E979" s="9" t="n">
        <v>9611.25</v>
      </c>
      <c r="F979" t="inlineStr">
        <is>
          <t>OPS-20260904</t>
        </is>
      </c>
      <c r="G979" t="inlineStr">
        <is>
          <t>G01156</t>
        </is>
      </c>
      <c r="H979" t="str">
        <f>INDEX('Match Groups'!$C$5:$C$1326,MATCH(G979,'Match Groups'!$A$5:$A$1326,0))</f>
        <v>R10</v>
      </c>
      <c r="I979" t="str">
        <f>INDEX('Match Groups'!$D$5:$D$1326,MATCH(G979,'Match Groups'!$A$5:$A$1326,0))</f>
        <v>MATCH</v>
      </c>
      <c r="J979">
        <f>IF(I979="DUPIMP",0,1)</f>
        <v>1</v>
      </c>
    </row>
    <row r="980">
      <c r="A980" t="inlineStr">
        <is>
          <t>BL-00670</t>
        </is>
      </c>
      <c r="B980" t="inlineStr">
        <is>
          <t>OPS</t>
        </is>
      </c>
      <c r="C980" s="5" t="n">
        <v>46269</v>
      </c>
      <c r="D980" t="inlineStr">
        <is>
          <t>DIRECT CREDIT QUARRY LANE CONCRETE P</t>
        </is>
      </c>
      <c r="E980" s="9" t="n">
        <v>12595</v>
      </c>
      <c r="F980" t="inlineStr">
        <is>
          <t>OPS-20260904</t>
        </is>
      </c>
      <c r="G980" t="inlineStr">
        <is>
          <t>G01157</t>
        </is>
      </c>
      <c r="H980" t="str">
        <f>INDEX('Match Groups'!$C$5:$C$1326,MATCH(G980,'Match Groups'!$A$5:$A$1326,0))</f>
        <v>R10</v>
      </c>
      <c r="I980" t="str">
        <f>INDEX('Match Groups'!$D$5:$D$1326,MATCH(G980,'Match Groups'!$A$5:$A$1326,0))</f>
        <v>MATCH</v>
      </c>
      <c r="J980">
        <f>IF(I980="DUPIMP",0,1)</f>
        <v>1</v>
      </c>
    </row>
    <row r="981">
      <c r="A981" t="inlineStr">
        <is>
          <t>BL-00734</t>
        </is>
      </c>
      <c r="B981" t="inlineStr">
        <is>
          <t>OPS</t>
        </is>
      </c>
      <c r="C981" s="5" t="n">
        <v>46269</v>
      </c>
      <c r="D981" t="inlineStr">
        <is>
          <t>STRIPE PAYOUT STRIPE po_1Q0048KX</t>
        </is>
      </c>
      <c r="E981" s="9" t="n">
        <v>3354.71</v>
      </c>
      <c r="F981" t="inlineStr">
        <is>
          <t>OPS-20260904</t>
        </is>
      </c>
      <c r="G981" t="inlineStr">
        <is>
          <t>G00061</t>
        </is>
      </c>
      <c r="H981" t="str">
        <f>INDEX('Match Groups'!$C$5:$C$1326,MATCH(G981,'Match Groups'!$A$5:$A$1326,0))</f>
        <v>R02</v>
      </c>
      <c r="I981" t="str">
        <f>INDEX('Match Groups'!$D$5:$D$1326,MATCH(G981,'Match Groups'!$A$5:$A$1326,0))</f>
        <v>STRIPE-FEE</v>
      </c>
      <c r="J981">
        <f>IF(I981="DUPIMP",0,1)</f>
        <v>1</v>
      </c>
    </row>
    <row r="982">
      <c r="A982" t="inlineStr">
        <is>
          <t>BL-00321</t>
        </is>
      </c>
      <c r="B982" t="inlineStr">
        <is>
          <t>OPS</t>
        </is>
      </c>
      <c r="C982" s="5" t="n">
        <v>46272</v>
      </c>
      <c r="D982" t="inlineStr">
        <is>
          <t>DIRECT CREDIT RIVERBEND PLAN PAR RA45118</t>
        </is>
      </c>
      <c r="E982" s="9" t="n">
        <v>1417.92</v>
      </c>
      <c r="F982" t="inlineStr">
        <is>
          <t>OPS-20260907</t>
        </is>
      </c>
      <c r="G982" t="inlineStr">
        <is>
          <t>G00397</t>
        </is>
      </c>
      <c r="H982" t="str">
        <f>INDEX('Match Groups'!$C$5:$C$1326,MATCH(G982,'Match Groups'!$A$5:$A$1326,0))</f>
        <v>R03</v>
      </c>
      <c r="I982" t="str">
        <f>INDEX('Match Groups'!$D$5:$D$1326,MATCH(G982,'Match Groups'!$A$5:$A$1326,0))</f>
        <v>MATCH</v>
      </c>
      <c r="J982">
        <f>IF(I982="DUPIMP",0,1)</f>
        <v>1</v>
      </c>
    </row>
    <row r="983">
      <c r="A983" t="inlineStr">
        <is>
          <t>BL-00322</t>
        </is>
      </c>
      <c r="B983" t="inlineStr">
        <is>
          <t>OPS</t>
        </is>
      </c>
      <c r="C983" s="5" t="n">
        <v>46272</v>
      </c>
      <c r="D983" t="inlineStr">
        <is>
          <t>DIRECT CREDIT WATTLE PLAN SERVICES RA45119</t>
        </is>
      </c>
      <c r="E983" s="9" t="n">
        <v>660.46</v>
      </c>
      <c r="F983" t="inlineStr">
        <is>
          <t>OPS-20260907</t>
        </is>
      </c>
      <c r="G983" t="inlineStr">
        <is>
          <t>G00398</t>
        </is>
      </c>
      <c r="H983" t="str">
        <f>INDEX('Match Groups'!$C$5:$C$1326,MATCH(G983,'Match Groups'!$A$5:$A$1326,0))</f>
        <v>R03</v>
      </c>
      <c r="I983" t="str">
        <f>INDEX('Match Groups'!$D$5:$D$1326,MATCH(G983,'Match Groups'!$A$5:$A$1326,0))</f>
        <v>MATCH</v>
      </c>
      <c r="J983">
        <f>IF(I983="DUPIMP",0,1)</f>
        <v>1</v>
      </c>
    </row>
    <row r="984">
      <c r="A984" t="inlineStr">
        <is>
          <t>BL-00323</t>
        </is>
      </c>
      <c r="B984" t="inlineStr">
        <is>
          <t>OPS</t>
        </is>
      </c>
      <c r="C984" s="5" t="n">
        <v>46272</v>
      </c>
      <c r="D984" t="inlineStr">
        <is>
          <t>DIRECT CREDIT KOOKABURRA PLAN SU RA45120</t>
        </is>
      </c>
      <c r="E984" s="9" t="n">
        <v>776.86</v>
      </c>
      <c r="F984" t="inlineStr">
        <is>
          <t>OPS-20260907</t>
        </is>
      </c>
      <c r="G984" t="inlineStr">
        <is>
          <t>G00399</t>
        </is>
      </c>
      <c r="H984" t="str">
        <f>INDEX('Match Groups'!$C$5:$C$1326,MATCH(G984,'Match Groups'!$A$5:$A$1326,0))</f>
        <v>R03</v>
      </c>
      <c r="I984" t="str">
        <f>INDEX('Match Groups'!$D$5:$D$1326,MATCH(G984,'Match Groups'!$A$5:$A$1326,0))</f>
        <v>MATCH</v>
      </c>
      <c r="J984">
        <f>IF(I984="DUPIMP",0,1)</f>
        <v>1</v>
      </c>
    </row>
    <row r="985">
      <c r="A985" t="inlineStr">
        <is>
          <t>BL-00324</t>
        </is>
      </c>
      <c r="B985" t="inlineStr">
        <is>
          <t>OPS</t>
        </is>
      </c>
      <c r="C985" s="5" t="n">
        <v>46272</v>
      </c>
      <c r="D985" t="inlineStr">
        <is>
          <t>DIRECT CREDIT SALTBUSH PLAN MANA RA45121</t>
        </is>
      </c>
      <c r="E985" s="9" t="n">
        <v>1765.31</v>
      </c>
      <c r="F985" t="inlineStr">
        <is>
          <t>OPS-20260907</t>
        </is>
      </c>
      <c r="G985" t="inlineStr">
        <is>
          <t>G00400</t>
        </is>
      </c>
      <c r="H985" t="str">
        <f>INDEX('Match Groups'!$C$5:$C$1326,MATCH(G985,'Match Groups'!$A$5:$A$1326,0))</f>
        <v>R03</v>
      </c>
      <c r="I985" t="str">
        <f>INDEX('Match Groups'!$D$5:$D$1326,MATCH(G985,'Match Groups'!$A$5:$A$1326,0))</f>
        <v>MATCH</v>
      </c>
      <c r="J985">
        <f>IF(I985="DUPIMP",0,1)</f>
        <v>1</v>
      </c>
    </row>
    <row r="986">
      <c r="A986" t="inlineStr">
        <is>
          <t>BL-00325</t>
        </is>
      </c>
      <c r="B986" t="inlineStr">
        <is>
          <t>OPS</t>
        </is>
      </c>
      <c r="C986" s="5" t="n">
        <v>46272</v>
      </c>
      <c r="D986" t="inlineStr">
        <is>
          <t>DIRECT CREDIT REDGUM PLAN ADMIN RA45122</t>
        </is>
      </c>
      <c r="E986" s="9" t="n">
        <v>649.87</v>
      </c>
      <c r="F986" t="inlineStr">
        <is>
          <t>OPS-20260907</t>
        </is>
      </c>
      <c r="G986" t="inlineStr">
        <is>
          <t>G00401</t>
        </is>
      </c>
      <c r="H986" t="str">
        <f>INDEX('Match Groups'!$C$5:$C$1326,MATCH(G986,'Match Groups'!$A$5:$A$1326,0))</f>
        <v>R03</v>
      </c>
      <c r="I986" t="str">
        <f>INDEX('Match Groups'!$D$5:$D$1326,MATCH(G986,'Match Groups'!$A$5:$A$1326,0))</f>
        <v>MATCH</v>
      </c>
      <c r="J986">
        <f>IF(I986="DUPIMP",0,1)</f>
        <v>1</v>
      </c>
    </row>
    <row r="987">
      <c r="A987" t="inlineStr">
        <is>
          <t>BL-00326</t>
        </is>
      </c>
      <c r="B987" t="inlineStr">
        <is>
          <t>OPS</t>
        </is>
      </c>
      <c r="C987" s="5" t="n">
        <v>46272</v>
      </c>
      <c r="D987" t="inlineStr">
        <is>
          <t>DIRECT CREDIT LYREBIRD PLAN MANA RA45123</t>
        </is>
      </c>
      <c r="E987" s="9" t="n">
        <v>688.67</v>
      </c>
      <c r="F987" t="inlineStr">
        <is>
          <t>OPS-20260907</t>
        </is>
      </c>
      <c r="G987" t="inlineStr">
        <is>
          <t>G00402</t>
        </is>
      </c>
      <c r="H987" t="str">
        <f>INDEX('Match Groups'!$C$5:$C$1326,MATCH(G987,'Match Groups'!$A$5:$A$1326,0))</f>
        <v>R03</v>
      </c>
      <c r="I987" t="str">
        <f>INDEX('Match Groups'!$D$5:$D$1326,MATCH(G987,'Match Groups'!$A$5:$A$1326,0))</f>
        <v>MATCH</v>
      </c>
      <c r="J987">
        <f>IF(I987="DUPIMP",0,1)</f>
        <v>1</v>
      </c>
    </row>
    <row r="988">
      <c r="A988" t="inlineStr">
        <is>
          <t>BL-00327</t>
        </is>
      </c>
      <c r="B988" t="inlineStr">
        <is>
          <t>OPS</t>
        </is>
      </c>
      <c r="C988" s="5" t="n">
        <v>46272</v>
      </c>
      <c r="D988" t="inlineStr">
        <is>
          <t>DIRECT CREDIT MALLEE PLAN SERVICES RA45124</t>
        </is>
      </c>
      <c r="E988" s="9" t="n">
        <v>300.68</v>
      </c>
      <c r="F988" t="inlineStr">
        <is>
          <t>OPS-20260907</t>
        </is>
      </c>
      <c r="G988" t="inlineStr">
        <is>
          <t>G00403</t>
        </is>
      </c>
      <c r="H988" t="str">
        <f>INDEX('Match Groups'!$C$5:$C$1326,MATCH(G988,'Match Groups'!$A$5:$A$1326,0))</f>
        <v>R03</v>
      </c>
      <c r="I988" t="str">
        <f>INDEX('Match Groups'!$D$5:$D$1326,MATCH(G988,'Match Groups'!$A$5:$A$1326,0))</f>
        <v>REG</v>
      </c>
      <c r="J988">
        <f>IF(I988="DUPIMP",0,1)</f>
        <v>1</v>
      </c>
    </row>
    <row r="989">
      <c r="A989" t="inlineStr">
        <is>
          <t>BL-00652</t>
        </is>
      </c>
      <c r="B989" t="inlineStr">
        <is>
          <t>OPS</t>
        </is>
      </c>
      <c r="C989" s="5" t="n">
        <v>46272</v>
      </c>
      <c r="D989" t="inlineStr">
        <is>
          <t>DIRECT CREDIT KINROSSMEDICALCO</t>
        </is>
      </c>
      <c r="E989" s="9" t="n">
        <v>22921.25</v>
      </c>
      <c r="F989" t="inlineStr">
        <is>
          <t>OPS-20260907</t>
        </is>
      </c>
      <c r="G989" t="inlineStr">
        <is>
          <t>G01158</t>
        </is>
      </c>
      <c r="H989" t="str">
        <f>INDEX('Match Groups'!$C$5:$C$1326,MATCH(G989,'Match Groups'!$A$5:$A$1326,0))</f>
        <v>R10</v>
      </c>
      <c r="I989" t="str">
        <f>INDEX('Match Groups'!$D$5:$D$1326,MATCH(G989,'Match Groups'!$A$5:$A$1326,0))</f>
        <v>MATCH</v>
      </c>
      <c r="J989">
        <f>IF(I989="DUPIMP",0,1)</f>
        <v>1</v>
      </c>
    </row>
    <row r="990">
      <c r="A990" t="inlineStr">
        <is>
          <t>BL-00735</t>
        </is>
      </c>
      <c r="B990" t="inlineStr">
        <is>
          <t>OPS</t>
        </is>
      </c>
      <c r="C990" s="5" t="n">
        <v>46272</v>
      </c>
      <c r="D990" t="inlineStr">
        <is>
          <t>STRIPE PAYOUT STRIPE po_1Q0049KX</t>
        </is>
      </c>
      <c r="E990" s="9" t="n">
        <v>3752.72</v>
      </c>
      <c r="F990" t="inlineStr">
        <is>
          <t>OPS-20260907</t>
        </is>
      </c>
      <c r="G990" t="inlineStr">
        <is>
          <t>G00062</t>
        </is>
      </c>
      <c r="H990" t="str">
        <f>INDEX('Match Groups'!$C$5:$C$1326,MATCH(G990,'Match Groups'!$A$5:$A$1326,0))</f>
        <v>R02</v>
      </c>
      <c r="I990" t="str">
        <f>INDEX('Match Groups'!$D$5:$D$1326,MATCH(G990,'Match Groups'!$A$5:$A$1326,0))</f>
        <v>STRIPE-FEE</v>
      </c>
      <c r="J990">
        <f>IF(I990="DUPIMP",0,1)</f>
        <v>1</v>
      </c>
    </row>
    <row r="991">
      <c r="A991" t="inlineStr">
        <is>
          <t>BL-00803</t>
        </is>
      </c>
      <c r="B991" t="inlineStr">
        <is>
          <t>OPS</t>
        </is>
      </c>
      <c r="C991" s="5" t="n">
        <v>46272</v>
      </c>
      <c r="D991" t="inlineStr">
        <is>
          <t>DIRECT DEBIT CLOUD PAYROLL 450803</t>
        </is>
      </c>
      <c r="E991" s="9" t="n">
        <v>-495</v>
      </c>
      <c r="F991" t="inlineStr">
        <is>
          <t>OPS-20260907</t>
        </is>
      </c>
      <c r="G991" t="inlineStr">
        <is>
          <t>G01159</t>
        </is>
      </c>
      <c r="H991" t="str">
        <f>INDEX('Match Groups'!$C$5:$C$1326,MATCH(G991,'Match Groups'!$A$5:$A$1326,0))</f>
        <v>R10</v>
      </c>
      <c r="I991" t="str">
        <f>INDEX('Match Groups'!$D$5:$D$1326,MATCH(G991,'Match Groups'!$A$5:$A$1326,0))</f>
        <v>MATCH</v>
      </c>
      <c r="J991">
        <f>IF(I991="DUPIMP",0,1)</f>
        <v>1</v>
      </c>
    </row>
    <row r="992">
      <c r="A992" t="inlineStr">
        <is>
          <t>BL-01580</t>
        </is>
      </c>
      <c r="B992" t="inlineStr">
        <is>
          <t>OPS</t>
        </is>
      </c>
      <c r="C992" s="5" t="n">
        <v>46272</v>
      </c>
      <c r="D992" t="inlineStr">
        <is>
          <t>SWEEP FROM MERCHANT ACCT</t>
        </is>
      </c>
      <c r="E992" s="9" t="n">
        <v>22000</v>
      </c>
      <c r="F992" t="inlineStr">
        <is>
          <t>OPS-20260907</t>
        </is>
      </c>
      <c r="G992" t="inlineStr">
        <is>
          <t>G00536</t>
        </is>
      </c>
      <c r="H992" t="str">
        <f>INDEX('Match Groups'!$C$5:$C$1326,MATCH(G992,'Match Groups'!$A$5:$A$1326,0))</f>
        <v>R04</v>
      </c>
      <c r="I992" t="str">
        <f>INDEX('Match Groups'!$D$5:$D$1326,MATCH(G992,'Match Groups'!$A$5:$A$1326,0))</f>
        <v>MATCH</v>
      </c>
      <c r="J992">
        <f>IF(I992="DUPIMP",0,1)</f>
        <v>1</v>
      </c>
    </row>
    <row r="993">
      <c r="A993" t="inlineStr">
        <is>
          <t>BL-00328</t>
        </is>
      </c>
      <c r="B993" t="inlineStr">
        <is>
          <t>OPS</t>
        </is>
      </c>
      <c r="C993" s="5" t="n">
        <v>46273</v>
      </c>
      <c r="D993" t="inlineStr">
        <is>
          <t>DIRECT CREDIT CLEARPATHNDISPLA RA45125</t>
        </is>
      </c>
      <c r="E993" s="9" t="n">
        <v>640.17</v>
      </c>
      <c r="F993" t="inlineStr">
        <is>
          <t>OPS-20260908</t>
        </is>
      </c>
      <c r="G993" t="inlineStr">
        <is>
          <t>G00404</t>
        </is>
      </c>
      <c r="H993" t="str">
        <f>INDEX('Match Groups'!$C$5:$C$1326,MATCH(G993,'Match Groups'!$A$5:$A$1326,0))</f>
        <v>R03</v>
      </c>
      <c r="I993" t="str">
        <f>INDEX('Match Groups'!$D$5:$D$1326,MATCH(G993,'Match Groups'!$A$5:$A$1326,0))</f>
        <v>MATCH</v>
      </c>
      <c r="J993">
        <f>IF(I993="DUPIMP",0,1)</f>
        <v>1</v>
      </c>
    </row>
    <row r="994">
      <c r="A994" t="inlineStr">
        <is>
          <t>BL-00329</t>
        </is>
      </c>
      <c r="B994" t="inlineStr">
        <is>
          <t>OPS</t>
        </is>
      </c>
      <c r="C994" s="5" t="n">
        <v>46273</v>
      </c>
      <c r="D994" t="inlineStr">
        <is>
          <t>DIRECT CREDIT WATTLEPLANSERVIC RA45126</t>
        </is>
      </c>
      <c r="E994" s="9" t="n">
        <v>834.15</v>
      </c>
      <c r="F994" t="inlineStr">
        <is>
          <t>OPS-20260908</t>
        </is>
      </c>
      <c r="G994" t="inlineStr">
        <is>
          <t>G00405</t>
        </is>
      </c>
      <c r="H994" t="str">
        <f>INDEX('Match Groups'!$C$5:$C$1326,MATCH(G994,'Match Groups'!$A$5:$A$1326,0))</f>
        <v>R03</v>
      </c>
      <c r="I994" t="str">
        <f>INDEX('Match Groups'!$D$5:$D$1326,MATCH(G994,'Match Groups'!$A$5:$A$1326,0))</f>
        <v>MATCH</v>
      </c>
      <c r="J994">
        <f>IF(I994="DUPIMP",0,1)</f>
        <v>1</v>
      </c>
    </row>
    <row r="995">
      <c r="A995" t="inlineStr">
        <is>
          <t>BL-00330</t>
        </is>
      </c>
      <c r="B995" t="inlineStr">
        <is>
          <t>OPS</t>
        </is>
      </c>
      <c r="C995" s="5" t="n">
        <v>46273</v>
      </c>
      <c r="D995" t="inlineStr">
        <is>
          <t>DIRECT CREDIT KOOKABURRAPLANSU RA45127</t>
        </is>
      </c>
      <c r="E995" s="9" t="n">
        <v>1009.65</v>
      </c>
      <c r="F995" t="inlineStr">
        <is>
          <t>OPS-20260908</t>
        </is>
      </c>
      <c r="G995" t="inlineStr">
        <is>
          <t>G00406</t>
        </is>
      </c>
      <c r="H995" t="str">
        <f>INDEX('Match Groups'!$C$5:$C$1326,MATCH(G995,'Match Groups'!$A$5:$A$1326,0))</f>
        <v>R03</v>
      </c>
      <c r="I995" t="str">
        <f>INDEX('Match Groups'!$D$5:$D$1326,MATCH(G995,'Match Groups'!$A$5:$A$1326,0))</f>
        <v>REG</v>
      </c>
      <c r="J995">
        <f>IF(I995="DUPIMP",0,1)</f>
        <v>1</v>
      </c>
    </row>
    <row r="996">
      <c r="A996" t="inlineStr">
        <is>
          <t>BL-00331</t>
        </is>
      </c>
      <c r="B996" t="inlineStr">
        <is>
          <t>OPS</t>
        </is>
      </c>
      <c r="C996" s="5" t="n">
        <v>46273</v>
      </c>
      <c r="D996" t="inlineStr">
        <is>
          <t>DIRECT CREDIT SOUTHERN CROSS PLA RA45128</t>
        </is>
      </c>
      <c r="E996" s="9" t="n">
        <v>3202.65</v>
      </c>
      <c r="F996" t="inlineStr">
        <is>
          <t>OPS-20260908</t>
        </is>
      </c>
      <c r="G996" t="inlineStr">
        <is>
          <t>G00407</t>
        </is>
      </c>
      <c r="H996" t="str">
        <f>INDEX('Match Groups'!$C$5:$C$1326,MATCH(G996,'Match Groups'!$A$5:$A$1326,0))</f>
        <v>R03</v>
      </c>
      <c r="I996" t="str">
        <f>INDEX('Match Groups'!$D$5:$D$1326,MATCH(G996,'Match Groups'!$A$5:$A$1326,0))</f>
        <v>MATCH</v>
      </c>
      <c r="J996">
        <f>IF(I996="DUPIMP",0,1)</f>
        <v>1</v>
      </c>
    </row>
    <row r="997">
      <c r="A997" t="inlineStr">
        <is>
          <t>BL-00332</t>
        </is>
      </c>
      <c r="B997" t="inlineStr">
        <is>
          <t>OPS</t>
        </is>
      </c>
      <c r="C997" s="5" t="n">
        <v>46273</v>
      </c>
      <c r="D997" t="inlineStr">
        <is>
          <t>DIRECT CREDIT TALLOWWOOD PLANS RA45129</t>
        </is>
      </c>
      <c r="E997" s="9" t="n">
        <v>1116.34</v>
      </c>
      <c r="F997" t="inlineStr">
        <is>
          <t>OPS-20260908</t>
        </is>
      </c>
      <c r="G997" t="inlineStr">
        <is>
          <t>G00408</t>
        </is>
      </c>
      <c r="H997" t="str">
        <f>INDEX('Match Groups'!$C$5:$C$1326,MATCH(G997,'Match Groups'!$A$5:$A$1326,0))</f>
        <v>R03</v>
      </c>
      <c r="I997" t="str">
        <f>INDEX('Match Groups'!$D$5:$D$1326,MATCH(G997,'Match Groups'!$A$5:$A$1326,0))</f>
        <v>MATCH</v>
      </c>
      <c r="J997">
        <f>IF(I997="DUPIMP",0,1)</f>
        <v>1</v>
      </c>
    </row>
    <row r="998">
      <c r="A998" t="inlineStr">
        <is>
          <t>BL-00333</t>
        </is>
      </c>
      <c r="B998" t="inlineStr">
        <is>
          <t>OPS</t>
        </is>
      </c>
      <c r="C998" s="5" t="n">
        <v>46273</v>
      </c>
      <c r="D998" t="inlineStr">
        <is>
          <t>DIRECT CREDIT ACACIA PLAN PARTNE RA45130</t>
        </is>
      </c>
      <c r="E998" s="9" t="n">
        <v>1455.83</v>
      </c>
      <c r="F998" t="inlineStr">
        <is>
          <t>OPS-20260908</t>
        </is>
      </c>
      <c r="G998" t="inlineStr">
        <is>
          <t>G00409</t>
        </is>
      </c>
      <c r="H998" t="str">
        <f>INDEX('Match Groups'!$C$5:$C$1326,MATCH(G998,'Match Groups'!$A$5:$A$1326,0))</f>
        <v>R03</v>
      </c>
      <c r="I998" t="str">
        <f>INDEX('Match Groups'!$D$5:$D$1326,MATCH(G998,'Match Groups'!$A$5:$A$1326,0))</f>
        <v>MATCH</v>
      </c>
      <c r="J998">
        <f>IF(I998="DUPIMP",0,1)</f>
        <v>1</v>
      </c>
    </row>
    <row r="999">
      <c r="A999" t="inlineStr">
        <is>
          <t>BL-00481</t>
        </is>
      </c>
      <c r="B999" t="inlineStr">
        <is>
          <t>OPS</t>
        </is>
      </c>
      <c r="C999" s="5" t="n">
        <v>46273</v>
      </c>
      <c r="D999" t="inlineStr">
        <is>
          <t>DIRECT CREDIT UNITY WORKCOVER AGENTS CLM5715677 INV02864</t>
        </is>
      </c>
      <c r="E999" s="9" t="n">
        <v>990</v>
      </c>
      <c r="F999" t="inlineStr">
        <is>
          <t>OPS-20260908</t>
        </is>
      </c>
      <c r="G999" t="inlineStr">
        <is>
          <t>G01050</t>
        </is>
      </c>
      <c r="H999" t="str">
        <f>INDEX('Match Groups'!$C$5:$C$1326,MATCH(G999,'Match Groups'!$A$5:$A$1326,0))</f>
        <v>R09</v>
      </c>
      <c r="I999" t="str">
        <f>INDEX('Match Groups'!$D$5:$D$1326,MATCH(G999,'Match Groups'!$A$5:$A$1326,0))</f>
        <v>MATCH</v>
      </c>
      <c r="J999">
        <f>IF(I999="DUPIMP",0,1)</f>
        <v>1</v>
      </c>
    </row>
    <row r="1000">
      <c r="A1000" t="inlineStr">
        <is>
          <t>BL-00736</t>
        </is>
      </c>
      <c r="B1000" t="inlineStr">
        <is>
          <t>OPS</t>
        </is>
      </c>
      <c r="C1000" s="5" t="n">
        <v>46273</v>
      </c>
      <c r="D1000" t="inlineStr">
        <is>
          <t>STRIPE PAYOUT STRIPE po_1Q0050KX</t>
        </is>
      </c>
      <c r="E1000" s="9" t="n">
        <v>2969.78</v>
      </c>
      <c r="F1000" t="inlineStr">
        <is>
          <t>OPS-20260908</t>
        </is>
      </c>
      <c r="G1000" t="inlineStr">
        <is>
          <t>G00063</t>
        </is>
      </c>
      <c r="H1000" t="str">
        <f>INDEX('Match Groups'!$C$5:$C$1326,MATCH(G1000,'Match Groups'!$A$5:$A$1326,0))</f>
        <v>R02</v>
      </c>
      <c r="I1000" t="str">
        <f>INDEX('Match Groups'!$D$5:$D$1326,MATCH(G1000,'Match Groups'!$A$5:$A$1326,0))</f>
        <v>STRIPE-FEE</v>
      </c>
      <c r="J1000">
        <f>IF(I1000="DUPIMP",0,1)</f>
        <v>1</v>
      </c>
    </row>
    <row r="1001">
      <c r="A1001" t="inlineStr">
        <is>
          <t>BL-00799</t>
        </is>
      </c>
      <c r="B1001" t="inlineStr">
        <is>
          <t>OPS</t>
        </is>
      </c>
      <c r="C1001" s="5" t="n">
        <v>46273</v>
      </c>
      <c r="D1001" t="inlineStr">
        <is>
          <t>DIRECT DEBIT FIBREWIRE NETWORKS 301755</t>
        </is>
      </c>
      <c r="E1001" s="9" t="n">
        <v>-649</v>
      </c>
      <c r="F1001" t="inlineStr">
        <is>
          <t>OPS-20260908</t>
        </is>
      </c>
      <c r="G1001" t="inlineStr">
        <is>
          <t>G01198</t>
        </is>
      </c>
      <c r="H1001" t="str">
        <f>INDEX('Match Groups'!$C$5:$C$1326,MATCH(G1001,'Match Groups'!$A$5:$A$1326,0))</f>
        <v>R11</v>
      </c>
      <c r="I1001" t="str">
        <f>INDEX('Match Groups'!$D$5:$D$1326,MATCH(G1001,'Match Groups'!$A$5:$A$1326,0))</f>
        <v>REGBILL</v>
      </c>
      <c r="J1001">
        <f>IF(I1001="DUPIMP",0,1)</f>
        <v>1</v>
      </c>
    </row>
    <row r="1002">
      <c r="A1002" t="inlineStr">
        <is>
          <t>BL-00334</t>
        </is>
      </c>
      <c r="B1002" t="inlineStr">
        <is>
          <t>OPS</t>
        </is>
      </c>
      <c r="C1002" s="5" t="n">
        <v>46274</v>
      </c>
      <c r="D1002" t="inlineStr">
        <is>
          <t>DIRECT CREDIT BANKSIA PLAN CO PTY LT RA45131</t>
        </is>
      </c>
      <c r="E1002" s="9" t="n">
        <v>1892.32</v>
      </c>
      <c r="F1002" t="inlineStr">
        <is>
          <t>OPS-20260909</t>
        </is>
      </c>
      <c r="G1002" t="inlineStr">
        <is>
          <t>G00410</t>
        </is>
      </c>
      <c r="H1002" t="str">
        <f>INDEX('Match Groups'!$C$5:$C$1326,MATCH(G1002,'Match Groups'!$A$5:$A$1326,0))</f>
        <v>R03</v>
      </c>
      <c r="I1002" t="str">
        <f>INDEX('Match Groups'!$D$5:$D$1326,MATCH(G1002,'Match Groups'!$A$5:$A$1326,0))</f>
        <v>REG</v>
      </c>
      <c r="J1002">
        <f>IF(I1002="DUPIMP",0,1)</f>
        <v>1</v>
      </c>
    </row>
    <row r="1003">
      <c r="A1003" t="inlineStr">
        <is>
          <t>BL-00335</t>
        </is>
      </c>
      <c r="B1003" t="inlineStr">
        <is>
          <t>OPS</t>
        </is>
      </c>
      <c r="C1003" s="5" t="n">
        <v>46274</v>
      </c>
      <c r="D1003" t="inlineStr">
        <is>
          <t>DIRECT CREDIT REDGUM PLAN ADMIN RA45132</t>
        </is>
      </c>
      <c r="E1003" s="9" t="n">
        <v>290.98</v>
      </c>
      <c r="F1003" t="inlineStr">
        <is>
          <t>OPS-20260909</t>
        </is>
      </c>
      <c r="G1003" t="inlineStr">
        <is>
          <t>G00411</t>
        </is>
      </c>
      <c r="H1003" t="str">
        <f>INDEX('Match Groups'!$C$5:$C$1326,MATCH(G1003,'Match Groups'!$A$5:$A$1326,0))</f>
        <v>R03</v>
      </c>
      <c r="I1003" t="str">
        <f>INDEX('Match Groups'!$D$5:$D$1326,MATCH(G1003,'Match Groups'!$A$5:$A$1326,0))</f>
        <v>MATCH</v>
      </c>
      <c r="J1003">
        <f>IF(I1003="DUPIMP",0,1)</f>
        <v>1</v>
      </c>
    </row>
    <row r="1004">
      <c r="A1004" t="inlineStr">
        <is>
          <t>BL-00336</t>
        </is>
      </c>
      <c r="B1004" t="inlineStr">
        <is>
          <t>OPS</t>
        </is>
      </c>
      <c r="C1004" s="5" t="n">
        <v>46274</v>
      </c>
      <c r="D1004" t="inlineStr">
        <is>
          <t>DIRECT CREDIT SOUTHERN CROSS PLAN RA45133</t>
        </is>
      </c>
      <c r="E1004" s="9" t="n">
        <v>484.97</v>
      </c>
      <c r="F1004" t="inlineStr">
        <is>
          <t>OPS-20260909</t>
        </is>
      </c>
      <c r="G1004" t="inlineStr">
        <is>
          <t>G00412</t>
        </is>
      </c>
      <c r="H1004" t="str">
        <f>INDEX('Match Groups'!$C$5:$C$1326,MATCH(G1004,'Match Groups'!$A$5:$A$1326,0))</f>
        <v>R03</v>
      </c>
      <c r="I1004" t="str">
        <f>INDEX('Match Groups'!$D$5:$D$1326,MATCH(G1004,'Match Groups'!$A$5:$A$1326,0))</f>
        <v>MATCH</v>
      </c>
      <c r="J1004">
        <f>IF(I1004="DUPIMP",0,1)</f>
        <v>1</v>
      </c>
    </row>
    <row r="1005">
      <c r="A1005" t="inlineStr">
        <is>
          <t>BL-00337</t>
        </is>
      </c>
      <c r="B1005" t="inlineStr">
        <is>
          <t>OPS</t>
        </is>
      </c>
      <c r="C1005" s="5" t="n">
        <v>46274</v>
      </c>
      <c r="D1005" t="inlineStr">
        <is>
          <t>DIRECT CREDIT LYREBIRD PLAN MANAGEME RA45134</t>
        </is>
      </c>
      <c r="E1005" s="9" t="n">
        <v>1028.15</v>
      </c>
      <c r="F1005" t="inlineStr">
        <is>
          <t>OPS-20260909</t>
        </is>
      </c>
      <c r="G1005" t="inlineStr">
        <is>
          <t>G00413</t>
        </is>
      </c>
      <c r="H1005" t="str">
        <f>INDEX('Match Groups'!$C$5:$C$1326,MATCH(G1005,'Match Groups'!$A$5:$A$1326,0))</f>
        <v>R03</v>
      </c>
      <c r="I1005" t="str">
        <f>INDEX('Match Groups'!$D$5:$D$1326,MATCH(G1005,'Match Groups'!$A$5:$A$1326,0))</f>
        <v>MATCH</v>
      </c>
      <c r="J1005">
        <f>IF(I1005="DUPIMP",0,1)</f>
        <v>1</v>
      </c>
    </row>
    <row r="1006">
      <c r="A1006" t="inlineStr">
        <is>
          <t>BL-00338</t>
        </is>
      </c>
      <c r="B1006" t="inlineStr">
        <is>
          <t>OPS</t>
        </is>
      </c>
      <c r="C1006" s="5" t="n">
        <v>46274</v>
      </c>
      <c r="D1006" t="inlineStr">
        <is>
          <t>DIRECT CREDIT MALLEE PLAN SERVICES P RA45135</t>
        </is>
      </c>
      <c r="E1006" s="9" t="n">
        <v>775.96</v>
      </c>
      <c r="F1006" t="inlineStr">
        <is>
          <t>OPS-20260909</t>
        </is>
      </c>
      <c r="G1006" t="inlineStr">
        <is>
          <t>G00414</t>
        </is>
      </c>
      <c r="H1006" t="str">
        <f>INDEX('Match Groups'!$C$5:$C$1326,MATCH(G1006,'Match Groups'!$A$5:$A$1326,0))</f>
        <v>R03</v>
      </c>
      <c r="I1006" t="str">
        <f>INDEX('Match Groups'!$D$5:$D$1326,MATCH(G1006,'Match Groups'!$A$5:$A$1326,0))</f>
        <v>MATCH</v>
      </c>
      <c r="J1006">
        <f>IF(I1006="DUPIMP",0,1)</f>
        <v>1</v>
      </c>
    </row>
    <row r="1007">
      <c r="A1007" t="inlineStr">
        <is>
          <t>BL-00439</t>
        </is>
      </c>
      <c r="B1007" t="inlineStr">
        <is>
          <t>OPS</t>
        </is>
      </c>
      <c r="C1007" s="5" t="n">
        <v>46274</v>
      </c>
      <c r="D1007" t="inlineStr">
        <is>
          <t>DIRECT CREDIT HARBOUR MUTUAL HEALT CLM5410409 02752</t>
        </is>
      </c>
      <c r="E1007" s="9" t="n">
        <v>88</v>
      </c>
      <c r="F1007" t="inlineStr">
        <is>
          <t>OPS-20260909</t>
        </is>
      </c>
      <c r="G1007" t="inlineStr">
        <is>
          <t>G01051</t>
        </is>
      </c>
      <c r="H1007" t="str">
        <f>INDEX('Match Groups'!$C$5:$C$1326,MATCH(G1007,'Match Groups'!$A$5:$A$1326,0))</f>
        <v>R09</v>
      </c>
      <c r="I1007" t="str">
        <f>INDEX('Match Groups'!$D$5:$D$1326,MATCH(G1007,'Match Groups'!$A$5:$A$1326,0))</f>
        <v>MATCH</v>
      </c>
      <c r="J1007">
        <f>IF(I1007="DUPIMP",0,1)</f>
        <v>1</v>
      </c>
    </row>
    <row r="1008">
      <c r="A1008" t="inlineStr">
        <is>
          <t>BL-00440</t>
        </is>
      </c>
      <c r="B1008" t="inlineStr">
        <is>
          <t>OPS</t>
        </is>
      </c>
      <c r="C1008" s="5" t="n">
        <v>46274</v>
      </c>
      <c r="D1008" t="inlineStr">
        <is>
          <t>DIRECT CREDIT HARBOURMUTUALHEA CLM5797046 RE INV 2026 02796</t>
        </is>
      </c>
      <c r="E1008" s="9" t="n">
        <v>990</v>
      </c>
      <c r="F1008" t="inlineStr">
        <is>
          <t>OPS-20260909</t>
        </is>
      </c>
      <c r="G1008" t="inlineStr">
        <is>
          <t>G01199</t>
        </is>
      </c>
      <c r="H1008" t="str">
        <f>INDEX('Match Groups'!$C$5:$C$1326,MATCH(G1008,'Match Groups'!$A$5:$A$1326,0))</f>
        <v>R11</v>
      </c>
      <c r="I1008" t="str">
        <f>INDEX('Match Groups'!$D$5:$D$1326,MATCH(G1008,'Match Groups'!$A$5:$A$1326,0))</f>
        <v>REG</v>
      </c>
      <c r="J1008">
        <f>IF(I1008="DUPIMP",0,1)</f>
        <v>1</v>
      </c>
    </row>
    <row r="1009">
      <c r="A1009" t="inlineStr">
        <is>
          <t>BL-00443</t>
        </is>
      </c>
      <c r="B1009" t="inlineStr">
        <is>
          <t>OPS</t>
        </is>
      </c>
      <c r="C1009" s="5" t="n">
        <v>46274</v>
      </c>
      <c r="D1009" t="inlineStr">
        <is>
          <t>DIRECT CREDIT HARBOUR MUTUAL HEALT CLM5821849 INV/2026/02925</t>
        </is>
      </c>
      <c r="E1009" s="9" t="n">
        <v>88</v>
      </c>
      <c r="F1009" t="inlineStr">
        <is>
          <t>OPS-20260909</t>
        </is>
      </c>
      <c r="G1009" t="inlineStr">
        <is>
          <t>G01052</t>
        </is>
      </c>
      <c r="H1009" t="str">
        <f>INDEX('Match Groups'!$C$5:$C$1326,MATCH(G1009,'Match Groups'!$A$5:$A$1326,0))</f>
        <v>R09</v>
      </c>
      <c r="I1009" t="str">
        <f>INDEX('Match Groups'!$D$5:$D$1326,MATCH(G1009,'Match Groups'!$A$5:$A$1326,0))</f>
        <v>MATCH</v>
      </c>
      <c r="J1009">
        <f>IF(I1009="DUPIMP",0,1)</f>
        <v>1</v>
      </c>
    </row>
    <row r="1010">
      <c r="A1010" t="inlineStr">
        <is>
          <t>BL-00460</t>
        </is>
      </c>
      <c r="B1010" t="inlineStr">
        <is>
          <t>OPS</t>
        </is>
      </c>
      <c r="C1010" s="5" t="n">
        <v>46274</v>
      </c>
      <c r="D1010" t="inlineStr">
        <is>
          <t>DIRECT CREDIT COASTLINE HEALTH F CLM5278460 INV02819</t>
        </is>
      </c>
      <c r="E1010" s="9" t="n">
        <v>264</v>
      </c>
      <c r="F1010" t="inlineStr">
        <is>
          <t>OPS-20260909</t>
        </is>
      </c>
      <c r="G1010" t="inlineStr">
        <is>
          <t>G01053</t>
        </is>
      </c>
      <c r="H1010" t="str">
        <f>INDEX('Match Groups'!$C$5:$C$1326,MATCH(G1010,'Match Groups'!$A$5:$A$1326,0))</f>
        <v>R09</v>
      </c>
      <c r="I1010" t="str">
        <f>INDEX('Match Groups'!$D$5:$D$1326,MATCH(G1010,'Match Groups'!$A$5:$A$1326,0))</f>
        <v>MATCH</v>
      </c>
      <c r="J1010">
        <f>IF(I1010="DUPIMP",0,1)</f>
        <v>1</v>
      </c>
    </row>
    <row r="1011">
      <c r="A1011" t="inlineStr">
        <is>
          <t>BL-00527</t>
        </is>
      </c>
      <c r="B1011" t="inlineStr">
        <is>
          <t>OPS</t>
        </is>
      </c>
      <c r="C1011" s="5" t="n">
        <v>46274</v>
      </c>
      <c r="D1011" t="inlineStr">
        <is>
          <t>DIRECT CREDIT MERIDIANHEALTHCO CLM5374271 INV/2026/02776</t>
        </is>
      </c>
      <c r="E1011" s="9" t="n">
        <v>264</v>
      </c>
      <c r="F1011" t="inlineStr">
        <is>
          <t>OPS-20260909</t>
        </is>
      </c>
      <c r="G1011" t="inlineStr">
        <is>
          <t>G01054</t>
        </is>
      </c>
      <c r="H1011" t="str">
        <f>INDEX('Match Groups'!$C$5:$C$1326,MATCH(G1011,'Match Groups'!$A$5:$A$1326,0))</f>
        <v>R09</v>
      </c>
      <c r="I1011" t="str">
        <f>INDEX('Match Groups'!$D$5:$D$1326,MATCH(G1011,'Match Groups'!$A$5:$A$1326,0))</f>
        <v>MATCH</v>
      </c>
      <c r="J1011">
        <f>IF(I1011="DUPIMP",0,1)</f>
        <v>1</v>
      </c>
    </row>
    <row r="1012">
      <c r="A1012" t="inlineStr">
        <is>
          <t>BL-00556</t>
        </is>
      </c>
      <c r="B1012" t="inlineStr">
        <is>
          <t>OPS</t>
        </is>
      </c>
      <c r="C1012" s="5" t="n">
        <v>46274</v>
      </c>
      <c r="D1012" t="inlineStr">
        <is>
          <t>DIRECT CREDIT VARGA AND HOLT LOGISTI 03514</t>
        </is>
      </c>
      <c r="E1012" s="9" t="n">
        <v>3465</v>
      </c>
      <c r="F1012" t="inlineStr">
        <is>
          <t>OPS-20260909</t>
        </is>
      </c>
      <c r="G1012" t="inlineStr">
        <is>
          <t>G01055</t>
        </is>
      </c>
      <c r="H1012" t="str">
        <f>INDEX('Match Groups'!$C$5:$C$1326,MATCH(G1012,'Match Groups'!$A$5:$A$1326,0))</f>
        <v>R09</v>
      </c>
      <c r="I1012" t="str">
        <f>INDEX('Match Groups'!$D$5:$D$1326,MATCH(G1012,'Match Groups'!$A$5:$A$1326,0))</f>
        <v>MATCH</v>
      </c>
      <c r="J1012">
        <f>IF(I1012="DUPIMP",0,1)</f>
        <v>1</v>
      </c>
    </row>
    <row r="1013">
      <c r="A1013" t="inlineStr">
        <is>
          <t>BL-00635</t>
        </is>
      </c>
      <c r="B1013" t="inlineStr">
        <is>
          <t>OPS</t>
        </is>
      </c>
      <c r="C1013" s="5" t="n">
        <v>46274</v>
      </c>
      <c r="D1013" t="inlineStr">
        <is>
          <t>DIRECT CREDIT FAIRLIE BROS PLUMBING INV/2026/03495</t>
        </is>
      </c>
      <c r="E1013" s="9" t="n">
        <v>1402.5</v>
      </c>
      <c r="F1013" t="inlineStr">
        <is>
          <t>OPS-20260909</t>
        </is>
      </c>
      <c r="G1013" t="inlineStr">
        <is>
          <t>G01056</t>
        </is>
      </c>
      <c r="H1013" t="str">
        <f>INDEX('Match Groups'!$C$5:$C$1326,MATCH(G1013,'Match Groups'!$A$5:$A$1326,0))</f>
        <v>R09</v>
      </c>
      <c r="I1013" t="str">
        <f>INDEX('Match Groups'!$D$5:$D$1326,MATCH(G1013,'Match Groups'!$A$5:$A$1326,0))</f>
        <v>MATCH</v>
      </c>
      <c r="J1013">
        <f>IF(I1013="DUPIMP",0,1)</f>
        <v>1</v>
      </c>
    </row>
    <row r="1014">
      <c r="A1014" t="inlineStr">
        <is>
          <t>BL-00642</t>
        </is>
      </c>
      <c r="B1014" t="inlineStr">
        <is>
          <t>OPS</t>
        </is>
      </c>
      <c r="C1014" s="5" t="n">
        <v>46274</v>
      </c>
      <c r="D1014" t="inlineStr">
        <is>
          <t>DIRECT CREDIT HOLLISANDFRYARCH INV 3552</t>
        </is>
      </c>
      <c r="E1014" s="9" t="n">
        <v>6820</v>
      </c>
      <c r="F1014" t="inlineStr">
        <is>
          <t>OPS-20260909</t>
        </is>
      </c>
      <c r="G1014" t="inlineStr">
        <is>
          <t>G01057</t>
        </is>
      </c>
      <c r="H1014" t="str">
        <f>INDEX('Match Groups'!$C$5:$C$1326,MATCH(G1014,'Match Groups'!$A$5:$A$1326,0))</f>
        <v>R09</v>
      </c>
      <c r="I1014" t="str">
        <f>INDEX('Match Groups'!$D$5:$D$1326,MATCH(G1014,'Match Groups'!$A$5:$A$1326,0))</f>
        <v>MATCH</v>
      </c>
      <c r="J1014">
        <f>IF(I1014="DUPIMP",0,1)</f>
        <v>1</v>
      </c>
    </row>
    <row r="1015">
      <c r="A1015" t="inlineStr">
        <is>
          <t>BL-00661</t>
        </is>
      </c>
      <c r="B1015" t="inlineStr">
        <is>
          <t>OPS</t>
        </is>
      </c>
      <c r="C1015" s="5" t="n">
        <v>46274</v>
      </c>
      <c r="D1015" t="inlineStr">
        <is>
          <t>DIRECT CREDIT MORNANEELECTRICA INV03505</t>
        </is>
      </c>
      <c r="E1015" s="9" t="n">
        <v>5280</v>
      </c>
      <c r="F1015" t="inlineStr">
        <is>
          <t>OPS-20260909</t>
        </is>
      </c>
      <c r="G1015" t="inlineStr">
        <is>
          <t>G01058</t>
        </is>
      </c>
      <c r="H1015" t="str">
        <f>INDEX('Match Groups'!$C$5:$C$1326,MATCH(G1015,'Match Groups'!$A$5:$A$1326,0))</f>
        <v>R09</v>
      </c>
      <c r="I1015" t="str">
        <f>INDEX('Match Groups'!$D$5:$D$1326,MATCH(G1015,'Match Groups'!$A$5:$A$1326,0))</f>
        <v>MATCH</v>
      </c>
      <c r="J1015">
        <f>IF(I1015="DUPIMP",0,1)</f>
        <v>1</v>
      </c>
    </row>
    <row r="1016">
      <c r="A1016" t="inlineStr">
        <is>
          <t>BL-00737</t>
        </is>
      </c>
      <c r="B1016" t="inlineStr">
        <is>
          <t>OPS</t>
        </is>
      </c>
      <c r="C1016" s="5" t="n">
        <v>46274</v>
      </c>
      <c r="D1016" t="inlineStr">
        <is>
          <t>STRIPE PAYOUT STRIPE po_1Q0051KX</t>
        </is>
      </c>
      <c r="E1016" s="9" t="n">
        <v>3037.01</v>
      </c>
      <c r="F1016" t="inlineStr">
        <is>
          <t>OPS-20260909</t>
        </is>
      </c>
      <c r="G1016" t="inlineStr">
        <is>
          <t>G00064</t>
        </is>
      </c>
      <c r="H1016" t="str">
        <f>INDEX('Match Groups'!$C$5:$C$1326,MATCH(G1016,'Match Groups'!$A$5:$A$1326,0))</f>
        <v>R02</v>
      </c>
      <c r="I1016" t="str">
        <f>INDEX('Match Groups'!$D$5:$D$1326,MATCH(G1016,'Match Groups'!$A$5:$A$1326,0))</f>
        <v>STRIPE-FEE</v>
      </c>
      <c r="J1016">
        <f>IF(I1016="DUPIMP",0,1)</f>
        <v>1</v>
      </c>
    </row>
    <row r="1017">
      <c r="A1017" t="inlineStr">
        <is>
          <t>BL-00764</t>
        </is>
      </c>
      <c r="B1017" t="inlineStr">
        <is>
          <t>OPS</t>
        </is>
      </c>
      <c r="C1017" s="5" t="n">
        <v>46274</v>
      </c>
      <c r="D1017" t="inlineStr">
        <is>
          <t>ABA PAYMENT FILE 0421 13 PAYMENTS</t>
        </is>
      </c>
      <c r="E1017" s="9" t="n">
        <v>-22088</v>
      </c>
      <c r="F1017" t="inlineStr">
        <is>
          <t>OPS-20260909</t>
        </is>
      </c>
      <c r="G1017" t="inlineStr">
        <is>
          <t>G00537</t>
        </is>
      </c>
      <c r="H1017" t="str">
        <f>INDEX('Match Groups'!$C$5:$C$1326,MATCH(G1017,'Match Groups'!$A$5:$A$1326,0))</f>
        <v>R06</v>
      </c>
      <c r="I1017" t="str">
        <f>INDEX('Match Groups'!$D$5:$D$1326,MATCH(G1017,'Match Groups'!$A$5:$A$1326,0))</f>
        <v>MATCH</v>
      </c>
      <c r="J1017">
        <f>IF(I1017="DUPIMP",0,1)</f>
        <v>1</v>
      </c>
    </row>
    <row r="1018">
      <c r="A1018" t="inlineStr">
        <is>
          <t>BL-00824</t>
        </is>
      </c>
      <c r="B1018" t="inlineStr">
        <is>
          <t>OPS</t>
        </is>
      </c>
      <c r="C1018" s="5" t="n">
        <v>46274</v>
      </c>
      <c r="D1018" t="inlineStr">
        <is>
          <t>VISA DEBIT DIGITALSVC*ONLINE 8841</t>
        </is>
      </c>
      <c r="E1018" s="9" t="n">
        <v>-49.95</v>
      </c>
      <c r="F1018" t="inlineStr">
        <is>
          <t>OPS-20260909</t>
        </is>
      </c>
      <c r="G1018" t="inlineStr">
        <is>
          <t>G01247</t>
        </is>
      </c>
      <c r="H1018" t="str">
        <f>INDEX('Match Groups'!$C$5:$C$1326,MATCH(G1018,'Match Groups'!$A$5:$A$1326,0))</f>
        <v>R99</v>
      </c>
      <c r="I1018" t="str">
        <f>INDEX('Match Groups'!$D$5:$D$1326,MATCH(G1018,'Match Groups'!$A$5:$A$1326,0))</f>
        <v>UNEXP</v>
      </c>
      <c r="J1018">
        <f>IF(I1018="DUPIMP",0,1)</f>
        <v>1</v>
      </c>
    </row>
    <row r="1019">
      <c r="A1019" t="inlineStr">
        <is>
          <t>BL-01124</t>
        </is>
      </c>
      <c r="B1019" t="inlineStr">
        <is>
          <t>OPS</t>
        </is>
      </c>
      <c r="C1019" s="5" t="n">
        <v>46274</v>
      </c>
      <c r="D1019" t="inlineStr">
        <is>
          <t>TFR TO PAYROLL CLEARING PR260910</t>
        </is>
      </c>
      <c r="E1019" s="9" t="n">
        <v>-205404.05</v>
      </c>
      <c r="F1019" t="inlineStr">
        <is>
          <t>OPS-20260909</t>
        </is>
      </c>
      <c r="G1019" t="inlineStr">
        <is>
          <t>G00538</t>
        </is>
      </c>
      <c r="H1019" t="str">
        <f>INDEX('Match Groups'!$C$5:$C$1326,MATCH(G1019,'Match Groups'!$A$5:$A$1326,0))</f>
        <v>R04</v>
      </c>
      <c r="I1019" t="str">
        <f>INDEX('Match Groups'!$D$5:$D$1326,MATCH(G1019,'Match Groups'!$A$5:$A$1326,0))</f>
        <v>MATCH</v>
      </c>
      <c r="J1019">
        <f>IF(I1019="DUPIMP",0,1)</f>
        <v>1</v>
      </c>
    </row>
    <row r="1020">
      <c r="A1020" t="inlineStr">
        <is>
          <t>BL-00339</t>
        </is>
      </c>
      <c r="B1020" t="inlineStr">
        <is>
          <t>OPS</t>
        </is>
      </c>
      <c r="C1020" s="5" t="n">
        <v>46275</v>
      </c>
      <c r="D1020" t="inlineStr">
        <is>
          <t>DIRECT CREDIT CLEARPATH NDIS PLANS P RA45136</t>
        </is>
      </c>
      <c r="E1020" s="9" t="n">
        <v>1058.14</v>
      </c>
      <c r="F1020" t="inlineStr">
        <is>
          <t>OPS-20260910</t>
        </is>
      </c>
      <c r="G1020" t="inlineStr">
        <is>
          <t>G00415</t>
        </is>
      </c>
      <c r="H1020" t="str">
        <f>INDEX('Match Groups'!$C$5:$C$1326,MATCH(G1020,'Match Groups'!$A$5:$A$1326,0))</f>
        <v>R03</v>
      </c>
      <c r="I1020" t="str">
        <f>INDEX('Match Groups'!$D$5:$D$1326,MATCH(G1020,'Match Groups'!$A$5:$A$1326,0))</f>
        <v>MATCH</v>
      </c>
      <c r="J1020">
        <f>IF(I1020="DUPIMP",0,1)</f>
        <v>1</v>
      </c>
    </row>
    <row r="1021">
      <c r="A1021" t="inlineStr">
        <is>
          <t>BL-00340</t>
        </is>
      </c>
      <c r="B1021" t="inlineStr">
        <is>
          <t>OPS</t>
        </is>
      </c>
      <c r="C1021" s="5" t="n">
        <v>46275</v>
      </c>
      <c r="D1021" t="inlineStr">
        <is>
          <t>DIRECT CREDIT BANKSIA PLAN CO PTY LT RA45137</t>
        </is>
      </c>
      <c r="E1021" s="9" t="n">
        <v>670.17</v>
      </c>
      <c r="F1021" t="inlineStr">
        <is>
          <t>OPS-20260910</t>
        </is>
      </c>
      <c r="G1021" t="inlineStr">
        <is>
          <t>G00416</t>
        </is>
      </c>
      <c r="H1021" t="str">
        <f>INDEX('Match Groups'!$C$5:$C$1326,MATCH(G1021,'Match Groups'!$A$5:$A$1326,0))</f>
        <v>R03</v>
      </c>
      <c r="I1021" t="str">
        <f>INDEX('Match Groups'!$D$5:$D$1326,MATCH(G1021,'Match Groups'!$A$5:$A$1326,0))</f>
        <v>REG</v>
      </c>
      <c r="J1021">
        <f>IF(I1021="DUPIMP",0,1)</f>
        <v>1</v>
      </c>
    </row>
    <row r="1022">
      <c r="A1022" t="inlineStr">
        <is>
          <t>BL-00341</t>
        </is>
      </c>
      <c r="B1022" t="inlineStr">
        <is>
          <t>OPS</t>
        </is>
      </c>
      <c r="C1022" s="5" t="n">
        <v>46275</v>
      </c>
      <c r="D1022" t="inlineStr">
        <is>
          <t>DIRECT CREDIT TALLOWWOOD PLANS PTY L RA45138</t>
        </is>
      </c>
      <c r="E1022" s="9" t="n">
        <v>175.49</v>
      </c>
      <c r="F1022" t="inlineStr">
        <is>
          <t>OPS-20260910</t>
        </is>
      </c>
      <c r="G1022" t="inlineStr">
        <is>
          <t>G00417</t>
        </is>
      </c>
      <c r="H1022" t="str">
        <f>INDEX('Match Groups'!$C$5:$C$1326,MATCH(G1022,'Match Groups'!$A$5:$A$1326,0))</f>
        <v>R03</v>
      </c>
      <c r="I1022" t="str">
        <f>INDEX('Match Groups'!$D$5:$D$1326,MATCH(G1022,'Match Groups'!$A$5:$A$1326,0))</f>
        <v>MATCH</v>
      </c>
      <c r="J1022">
        <f>IF(I1022="DUPIMP",0,1)</f>
        <v>1</v>
      </c>
    </row>
    <row r="1023">
      <c r="A1023" t="inlineStr">
        <is>
          <t>BL-00547</t>
        </is>
      </c>
      <c r="B1023" t="inlineStr">
        <is>
          <t>OPS</t>
        </is>
      </c>
      <c r="C1023" s="5" t="n">
        <v>46275</v>
      </c>
      <c r="D1023" t="inlineStr">
        <is>
          <t>DIRECT CREDIT NORTHLINE INJURY CLA CLM5174581 INV 2820</t>
        </is>
      </c>
      <c r="E1023" s="9" t="n">
        <v>176</v>
      </c>
      <c r="F1023" t="inlineStr">
        <is>
          <t>OPS-20260910</t>
        </is>
      </c>
      <c r="G1023" t="inlineStr">
        <is>
          <t>G01059</t>
        </is>
      </c>
      <c r="H1023" t="str">
        <f>INDEX('Match Groups'!$C$5:$C$1326,MATCH(G1023,'Match Groups'!$A$5:$A$1326,0))</f>
        <v>R09</v>
      </c>
      <c r="I1023" t="str">
        <f>INDEX('Match Groups'!$D$5:$D$1326,MATCH(G1023,'Match Groups'!$A$5:$A$1326,0))</f>
        <v>MATCH</v>
      </c>
      <c r="J1023">
        <f>IF(I1023="DUPIMP",0,1)</f>
        <v>1</v>
      </c>
    </row>
    <row r="1024">
      <c r="A1024" t="inlineStr">
        <is>
          <t>BL-00575</t>
        </is>
      </c>
      <c r="B1024" t="inlineStr">
        <is>
          <t>OPS</t>
        </is>
      </c>
      <c r="C1024" s="5" t="n">
        <v>46275</v>
      </c>
      <c r="D1024" t="inlineStr">
        <is>
          <t>DIRECT CREDIT OSTRANDERMANUFAC</t>
        </is>
      </c>
      <c r="E1024" s="9" t="n">
        <v>1320</v>
      </c>
      <c r="F1024" t="inlineStr">
        <is>
          <t>OPS-20260910</t>
        </is>
      </c>
      <c r="G1024" t="inlineStr">
        <is>
          <t>G01160</t>
        </is>
      </c>
      <c r="H1024" t="str">
        <f>INDEX('Match Groups'!$C$5:$C$1326,MATCH(G1024,'Match Groups'!$A$5:$A$1326,0))</f>
        <v>R10</v>
      </c>
      <c r="I1024" t="str">
        <f>INDEX('Match Groups'!$D$5:$D$1326,MATCH(G1024,'Match Groups'!$A$5:$A$1326,0))</f>
        <v>MATCH</v>
      </c>
      <c r="J1024">
        <f>IF(I1024="DUPIMP",0,1)</f>
        <v>1</v>
      </c>
    </row>
    <row r="1025">
      <c r="A1025" t="inlineStr">
        <is>
          <t>BL-00738</t>
        </is>
      </c>
      <c r="B1025" t="inlineStr">
        <is>
          <t>OPS</t>
        </is>
      </c>
      <c r="C1025" s="5" t="n">
        <v>46275</v>
      </c>
      <c r="D1025" t="inlineStr">
        <is>
          <t>STRIPE PAYOUT STRIPE po_1Q0052KX</t>
        </is>
      </c>
      <c r="E1025" s="9" t="n">
        <v>2273.37</v>
      </c>
      <c r="F1025" t="inlineStr">
        <is>
          <t>OPS-20260910</t>
        </is>
      </c>
      <c r="G1025" t="inlineStr">
        <is>
          <t>G00065</t>
        </is>
      </c>
      <c r="H1025" t="str">
        <f>INDEX('Match Groups'!$C$5:$C$1326,MATCH(G1025,'Match Groups'!$A$5:$A$1326,0))</f>
        <v>R02</v>
      </c>
      <c r="I1025" t="str">
        <f>INDEX('Match Groups'!$D$5:$D$1326,MATCH(G1025,'Match Groups'!$A$5:$A$1326,0))</f>
        <v>STRIPE-FEE</v>
      </c>
      <c r="J1025">
        <f>IF(I1025="DUPIMP",0,1)</f>
        <v>1</v>
      </c>
    </row>
    <row r="1026">
      <c r="A1026" t="inlineStr">
        <is>
          <t>BL-01596</t>
        </is>
      </c>
      <c r="B1026" t="inlineStr">
        <is>
          <t>OPS</t>
        </is>
      </c>
      <c r="C1026" s="5" t="n">
        <v>46275</v>
      </c>
      <c r="D1026" t="inlineStr">
        <is>
          <t>FX CONVERSION AUD TO USD FX0910</t>
        </is>
      </c>
      <c r="E1026" s="9" t="n">
        <v>-13626.04</v>
      </c>
      <c r="F1026" t="inlineStr">
        <is>
          <t>OPS-20260910</t>
        </is>
      </c>
      <c r="G1026" t="inlineStr">
        <is>
          <t>G00539</t>
        </is>
      </c>
      <c r="H1026" t="str">
        <f>INDEX('Match Groups'!$C$5:$C$1326,MATCH(G1026,'Match Groups'!$A$5:$A$1326,0))</f>
        <v>R04</v>
      </c>
      <c r="I1026" t="str">
        <f>INDEX('Match Groups'!$D$5:$D$1326,MATCH(G1026,'Match Groups'!$A$5:$A$1326,0))</f>
        <v>FXR</v>
      </c>
      <c r="J1026">
        <f>IF(I1026="DUPIMP",0,1)</f>
        <v>1</v>
      </c>
    </row>
    <row r="1027">
      <c r="A1027" t="inlineStr">
        <is>
          <t>BL-00342</t>
        </is>
      </c>
      <c r="B1027" t="inlineStr">
        <is>
          <t>OPS</t>
        </is>
      </c>
      <c r="C1027" s="5" t="n">
        <v>46276</v>
      </c>
      <c r="D1027" t="inlineStr">
        <is>
          <t>DIRECT CREDIT RIVERBEND PLAN PAR RA45139</t>
        </is>
      </c>
      <c r="E1027" s="9" t="n">
        <v>835.96</v>
      </c>
      <c r="F1027" t="inlineStr">
        <is>
          <t>OPS-20260911</t>
        </is>
      </c>
      <c r="G1027" t="inlineStr">
        <is>
          <t>G00418</t>
        </is>
      </c>
      <c r="H1027" t="str">
        <f>INDEX('Match Groups'!$C$5:$C$1326,MATCH(G1027,'Match Groups'!$A$5:$A$1326,0))</f>
        <v>R03</v>
      </c>
      <c r="I1027" t="str">
        <f>INDEX('Match Groups'!$D$5:$D$1326,MATCH(G1027,'Match Groups'!$A$5:$A$1326,0))</f>
        <v>MATCH</v>
      </c>
      <c r="J1027">
        <f>IF(I1027="DUPIMP",0,1)</f>
        <v>1</v>
      </c>
    </row>
    <row r="1028">
      <c r="A1028" t="inlineStr">
        <is>
          <t>BL-00343</t>
        </is>
      </c>
      <c r="B1028" t="inlineStr">
        <is>
          <t>OPS</t>
        </is>
      </c>
      <c r="C1028" s="5" t="n">
        <v>46276</v>
      </c>
      <c r="D1028" t="inlineStr">
        <is>
          <t>DIRECT CREDIT BANKSIAPLANCO RA45140</t>
        </is>
      </c>
      <c r="E1028" s="9" t="n">
        <v>145.49</v>
      </c>
      <c r="F1028" t="inlineStr">
        <is>
          <t>OPS-20260911</t>
        </is>
      </c>
      <c r="G1028" t="inlineStr">
        <is>
          <t>G00419</t>
        </is>
      </c>
      <c r="H1028" t="str">
        <f>INDEX('Match Groups'!$C$5:$C$1326,MATCH(G1028,'Match Groups'!$A$5:$A$1326,0))</f>
        <v>R03</v>
      </c>
      <c r="I1028" t="str">
        <f>INDEX('Match Groups'!$D$5:$D$1326,MATCH(G1028,'Match Groups'!$A$5:$A$1326,0))</f>
        <v>MATCH</v>
      </c>
      <c r="J1028">
        <f>IF(I1028="DUPIMP",0,1)</f>
        <v>1</v>
      </c>
    </row>
    <row r="1029">
      <c r="A1029" t="inlineStr">
        <is>
          <t>BL-00344</t>
        </is>
      </c>
      <c r="B1029" t="inlineStr">
        <is>
          <t>OPS</t>
        </is>
      </c>
      <c r="C1029" s="5" t="n">
        <v>46276</v>
      </c>
      <c r="D1029" t="inlineStr">
        <is>
          <t>DIRECT CREDIT SALTBUSH PLAN MANAGE RA45141</t>
        </is>
      </c>
      <c r="E1029" s="9" t="n">
        <v>369.48</v>
      </c>
      <c r="F1029" t="inlineStr">
        <is>
          <t>OPS-20260911</t>
        </is>
      </c>
      <c r="G1029" t="inlineStr">
        <is>
          <t>G00420</t>
        </is>
      </c>
      <c r="H1029" t="str">
        <f>INDEX('Match Groups'!$C$5:$C$1326,MATCH(G1029,'Match Groups'!$A$5:$A$1326,0))</f>
        <v>R03</v>
      </c>
      <c r="I1029" t="str">
        <f>INDEX('Match Groups'!$D$5:$D$1326,MATCH(G1029,'Match Groups'!$A$5:$A$1326,0))</f>
        <v>MATCH</v>
      </c>
      <c r="J1029">
        <f>IF(I1029="DUPIMP",0,1)</f>
        <v>1</v>
      </c>
    </row>
    <row r="1030">
      <c r="A1030" t="inlineStr">
        <is>
          <t>BL-00345</t>
        </is>
      </c>
      <c r="B1030" t="inlineStr">
        <is>
          <t>OPS</t>
        </is>
      </c>
      <c r="C1030" s="5" t="n">
        <v>46276</v>
      </c>
      <c r="D1030" t="inlineStr">
        <is>
          <t>DIRECT CREDIT SOUTHERN CROSS PLAN RA45142</t>
        </is>
      </c>
      <c r="E1030" s="9" t="n">
        <v>2767.94</v>
      </c>
      <c r="F1030" t="inlineStr">
        <is>
          <t>OPS-20260911</t>
        </is>
      </c>
      <c r="G1030" t="inlineStr">
        <is>
          <t>G00421</t>
        </is>
      </c>
      <c r="H1030" t="str">
        <f>INDEX('Match Groups'!$C$5:$C$1326,MATCH(G1030,'Match Groups'!$A$5:$A$1326,0))</f>
        <v>R03</v>
      </c>
      <c r="I1030" t="str">
        <f>INDEX('Match Groups'!$D$5:$D$1326,MATCH(G1030,'Match Groups'!$A$5:$A$1326,0))</f>
        <v>REG</v>
      </c>
      <c r="J1030">
        <f>IF(I1030="DUPIMP",0,1)</f>
        <v>1</v>
      </c>
    </row>
    <row r="1031">
      <c r="A1031" t="inlineStr">
        <is>
          <t>BL-00528</t>
        </is>
      </c>
      <c r="B1031" t="inlineStr">
        <is>
          <t>OPS</t>
        </is>
      </c>
      <c r="C1031" s="5" t="n">
        <v>46276</v>
      </c>
      <c r="D1031" t="inlineStr">
        <is>
          <t>DIRECT CREDIT MERIDIANHEALTHCO CLM5420098 02797</t>
        </is>
      </c>
      <c r="E1031" s="9" t="n">
        <v>88</v>
      </c>
      <c r="F1031" t="inlineStr">
        <is>
          <t>OPS-20260911</t>
        </is>
      </c>
      <c r="G1031" t="inlineStr">
        <is>
          <t>G01060</t>
        </is>
      </c>
      <c r="H1031" t="str">
        <f>INDEX('Match Groups'!$C$5:$C$1326,MATCH(G1031,'Match Groups'!$A$5:$A$1326,0))</f>
        <v>R09</v>
      </c>
      <c r="I1031" t="str">
        <f>INDEX('Match Groups'!$D$5:$D$1326,MATCH(G1031,'Match Groups'!$A$5:$A$1326,0))</f>
        <v>MATCH</v>
      </c>
      <c r="J1031">
        <f>IF(I1031="DUPIMP",0,1)</f>
        <v>1</v>
      </c>
    </row>
    <row r="1032">
      <c r="A1032" t="inlineStr">
        <is>
          <t>BL-00549</t>
        </is>
      </c>
      <c r="B1032" t="inlineStr">
        <is>
          <t>OPS</t>
        </is>
      </c>
      <c r="C1032" s="5" t="n">
        <v>46276</v>
      </c>
      <c r="D1032" t="inlineStr">
        <is>
          <t>DIRECT CREDIT NORTHLINE INJURY C CLM5587997 INV 2884</t>
        </is>
      </c>
      <c r="E1032" s="9" t="n">
        <v>132</v>
      </c>
      <c r="F1032" t="inlineStr">
        <is>
          <t>OPS-20260911</t>
        </is>
      </c>
      <c r="G1032" t="inlineStr">
        <is>
          <t>G01061</t>
        </is>
      </c>
      <c r="H1032" t="str">
        <f>INDEX('Match Groups'!$C$5:$C$1326,MATCH(G1032,'Match Groups'!$A$5:$A$1326,0))</f>
        <v>R09</v>
      </c>
      <c r="I1032" t="str">
        <f>INDEX('Match Groups'!$D$5:$D$1326,MATCH(G1032,'Match Groups'!$A$5:$A$1326,0))</f>
        <v>MATCH</v>
      </c>
      <c r="J1032">
        <f>IF(I1032="DUPIMP",0,1)</f>
        <v>1</v>
      </c>
    </row>
    <row r="1033">
      <c r="A1033" t="inlineStr">
        <is>
          <t>BL-00551</t>
        </is>
      </c>
      <c r="B1033" t="inlineStr">
        <is>
          <t>OPS</t>
        </is>
      </c>
      <c r="C1033" s="5" t="n">
        <v>46276</v>
      </c>
      <c r="D1033" t="inlineStr">
        <is>
          <t>DIRECT CREDIT NORTHLINE INJURY CLAIM CLM5310416 RE INV 2026 02951</t>
        </is>
      </c>
      <c r="E1033" s="9" t="n">
        <v>176</v>
      </c>
      <c r="F1033" t="inlineStr">
        <is>
          <t>OPS-20260911</t>
        </is>
      </c>
      <c r="G1033" t="inlineStr">
        <is>
          <t>G01200</t>
        </is>
      </c>
      <c r="H1033" t="str">
        <f>INDEX('Match Groups'!$C$5:$C$1326,MATCH(G1033,'Match Groups'!$A$5:$A$1326,0))</f>
        <v>R11</v>
      </c>
      <c r="I1033" t="str">
        <f>INDEX('Match Groups'!$D$5:$D$1326,MATCH(G1033,'Match Groups'!$A$5:$A$1326,0))</f>
        <v>REG</v>
      </c>
      <c r="J1033">
        <f>IF(I1033="DUPIMP",0,1)</f>
        <v>1</v>
      </c>
    </row>
    <row r="1034">
      <c r="A1034" t="inlineStr">
        <is>
          <t>BL-00593</t>
        </is>
      </c>
      <c r="B1034" t="inlineStr">
        <is>
          <t>OPS</t>
        </is>
      </c>
      <c r="C1034" s="5" t="n">
        <v>46276</v>
      </c>
      <c r="D1034" t="inlineStr">
        <is>
          <t>DIRECT CREDIT QUILLONENGINEERI INV/2026/03531</t>
        </is>
      </c>
      <c r="E1034" s="9" t="n">
        <v>2186.25</v>
      </c>
      <c r="F1034" t="inlineStr">
        <is>
          <t>OPS-20260911</t>
        </is>
      </c>
      <c r="G1034" t="inlineStr">
        <is>
          <t>G01062</t>
        </is>
      </c>
      <c r="H1034" t="str">
        <f>INDEX('Match Groups'!$C$5:$C$1326,MATCH(G1034,'Match Groups'!$A$5:$A$1326,0))</f>
        <v>R09</v>
      </c>
      <c r="I1034" t="str">
        <f>INDEX('Match Groups'!$D$5:$D$1326,MATCH(G1034,'Match Groups'!$A$5:$A$1326,0))</f>
        <v>MATCH</v>
      </c>
      <c r="J1034">
        <f>IF(I1034="DUPIMP",0,1)</f>
        <v>1</v>
      </c>
    </row>
    <row r="1035">
      <c r="A1035" t="inlineStr">
        <is>
          <t>BL-00679</t>
        </is>
      </c>
      <c r="B1035" t="inlineStr">
        <is>
          <t>OPS</t>
        </is>
      </c>
      <c r="C1035" s="5" t="n">
        <v>46276</v>
      </c>
      <c r="D1035" t="inlineStr">
        <is>
          <t>DIRECT CREDIT STANHOPE TRUCKING PTY INV03567</t>
        </is>
      </c>
      <c r="E1035" s="9" t="n">
        <v>5280</v>
      </c>
      <c r="F1035" t="inlineStr">
        <is>
          <t>OPS-20260911</t>
        </is>
      </c>
      <c r="G1035" t="inlineStr">
        <is>
          <t>G01063</t>
        </is>
      </c>
      <c r="H1035" t="str">
        <f>INDEX('Match Groups'!$C$5:$C$1326,MATCH(G1035,'Match Groups'!$A$5:$A$1326,0))</f>
        <v>R09</v>
      </c>
      <c r="I1035" t="str">
        <f>INDEX('Match Groups'!$D$5:$D$1326,MATCH(G1035,'Match Groups'!$A$5:$A$1326,0))</f>
        <v>MATCH</v>
      </c>
      <c r="J1035">
        <f>IF(I1035="DUPIMP",0,1)</f>
        <v>1</v>
      </c>
    </row>
    <row r="1036">
      <c r="A1036" t="inlineStr">
        <is>
          <t>BL-00739</t>
        </is>
      </c>
      <c r="B1036" t="inlineStr">
        <is>
          <t>OPS</t>
        </is>
      </c>
      <c r="C1036" s="5" t="n">
        <v>46276</v>
      </c>
      <c r="D1036" t="inlineStr">
        <is>
          <t>STRIPE PAYOUT STRIPE po_1Q0053KX</t>
        </is>
      </c>
      <c r="E1036" s="9" t="n">
        <v>3366.15</v>
      </c>
      <c r="F1036" t="inlineStr">
        <is>
          <t>OPS-20260911</t>
        </is>
      </c>
      <c r="G1036" t="inlineStr">
        <is>
          <t>G00066</t>
        </is>
      </c>
      <c r="H1036" t="str">
        <f>INDEX('Match Groups'!$C$5:$C$1326,MATCH(G1036,'Match Groups'!$A$5:$A$1326,0))</f>
        <v>R02</v>
      </c>
      <c r="I1036" t="str">
        <f>INDEX('Match Groups'!$D$5:$D$1326,MATCH(G1036,'Match Groups'!$A$5:$A$1326,0))</f>
        <v>STRIPE-FEE</v>
      </c>
      <c r="J1036">
        <f>IF(I1036="DUPIMP",0,1)</f>
        <v>1</v>
      </c>
    </row>
    <row r="1037">
      <c r="A1037" t="inlineStr">
        <is>
          <t>BL-00346</t>
        </is>
      </c>
      <c r="B1037" t="inlineStr">
        <is>
          <t>OPS</t>
        </is>
      </c>
      <c r="C1037" s="5" t="n">
        <v>46279</v>
      </c>
      <c r="D1037" t="inlineStr">
        <is>
          <t>DIRECT CREDIT BLUEGUM PM PTY LTD RA45143</t>
        </is>
      </c>
      <c r="E1037" s="9" t="n">
        <v>1644.07</v>
      </c>
      <c r="F1037" t="inlineStr">
        <is>
          <t>OPS-20260914</t>
        </is>
      </c>
      <c r="G1037" t="inlineStr">
        <is>
          <t>G00422</t>
        </is>
      </c>
      <c r="H1037" t="str">
        <f>INDEX('Match Groups'!$C$5:$C$1326,MATCH(G1037,'Match Groups'!$A$5:$A$1326,0))</f>
        <v>R03</v>
      </c>
      <c r="I1037" t="str">
        <f>INDEX('Match Groups'!$D$5:$D$1326,MATCH(G1037,'Match Groups'!$A$5:$A$1326,0))</f>
        <v>MATCH</v>
      </c>
      <c r="J1037">
        <f>IF(I1037="DUPIMP",0,1)</f>
        <v>1</v>
      </c>
    </row>
    <row r="1038">
      <c r="A1038" t="inlineStr">
        <is>
          <t>BL-00347</t>
        </is>
      </c>
      <c r="B1038" t="inlineStr">
        <is>
          <t>OPS</t>
        </is>
      </c>
      <c r="C1038" s="5" t="n">
        <v>46279</v>
      </c>
      <c r="D1038" t="inlineStr">
        <is>
          <t>DIRECT CREDIT WATTLE PLAN SERVICES RA45144</t>
        </is>
      </c>
      <c r="E1038" s="9" t="n">
        <v>775.9400000000001</v>
      </c>
      <c r="F1038" t="inlineStr">
        <is>
          <t>OPS-20260914</t>
        </is>
      </c>
      <c r="G1038" t="inlineStr">
        <is>
          <t>G00423</t>
        </is>
      </c>
      <c r="H1038" t="str">
        <f>INDEX('Match Groups'!$C$5:$C$1326,MATCH(G1038,'Match Groups'!$A$5:$A$1326,0))</f>
        <v>R03</v>
      </c>
      <c r="I1038" t="str">
        <f>INDEX('Match Groups'!$D$5:$D$1326,MATCH(G1038,'Match Groups'!$A$5:$A$1326,0))</f>
        <v>MATCH</v>
      </c>
      <c r="J1038">
        <f>IF(I1038="DUPIMP",0,1)</f>
        <v>1</v>
      </c>
    </row>
    <row r="1039">
      <c r="A1039" t="inlineStr">
        <is>
          <t>BL-00348</t>
        </is>
      </c>
      <c r="B1039" t="inlineStr">
        <is>
          <t>OPS</t>
        </is>
      </c>
      <c r="C1039" s="5" t="n">
        <v>46279</v>
      </c>
      <c r="D1039" t="inlineStr">
        <is>
          <t>DIRECT CREDIT BANKSIA PLAN CO RA45145</t>
        </is>
      </c>
      <c r="E1039" s="9" t="n">
        <v>591.67</v>
      </c>
      <c r="F1039" t="inlineStr">
        <is>
          <t>OPS-20260914</t>
        </is>
      </c>
      <c r="G1039" t="inlineStr">
        <is>
          <t>G00424</t>
        </is>
      </c>
      <c r="H1039" t="str">
        <f>INDEX('Match Groups'!$C$5:$C$1326,MATCH(G1039,'Match Groups'!$A$5:$A$1326,0))</f>
        <v>R03</v>
      </c>
      <c r="I1039" t="str">
        <f>INDEX('Match Groups'!$D$5:$D$1326,MATCH(G1039,'Match Groups'!$A$5:$A$1326,0))</f>
        <v>MATCH</v>
      </c>
      <c r="J1039">
        <f>IF(I1039="DUPIMP",0,1)</f>
        <v>1</v>
      </c>
    </row>
    <row r="1040">
      <c r="A1040" t="inlineStr">
        <is>
          <t>BL-00349</t>
        </is>
      </c>
      <c r="B1040" t="inlineStr">
        <is>
          <t>OPS</t>
        </is>
      </c>
      <c r="C1040" s="5" t="n">
        <v>46279</v>
      </c>
      <c r="D1040" t="inlineStr">
        <is>
          <t>DIRECT CREDIT IRONBARKPLANMANA RA45146</t>
        </is>
      </c>
      <c r="E1040" s="9" t="n">
        <v>1290.94</v>
      </c>
      <c r="F1040" t="inlineStr">
        <is>
          <t>OPS-20260914</t>
        </is>
      </c>
      <c r="G1040" t="inlineStr">
        <is>
          <t>G00425</t>
        </is>
      </c>
      <c r="H1040" t="str">
        <f>INDEX('Match Groups'!$C$5:$C$1326,MATCH(G1040,'Match Groups'!$A$5:$A$1326,0))</f>
        <v>R03</v>
      </c>
      <c r="I1040" t="str">
        <f>INDEX('Match Groups'!$D$5:$D$1326,MATCH(G1040,'Match Groups'!$A$5:$A$1326,0))</f>
        <v>MATCH</v>
      </c>
      <c r="J1040">
        <f>IF(I1040="DUPIMP",0,1)</f>
        <v>1</v>
      </c>
    </row>
    <row r="1041">
      <c r="A1041" t="inlineStr">
        <is>
          <t>BL-00350</t>
        </is>
      </c>
      <c r="B1041" t="inlineStr">
        <is>
          <t>OPS</t>
        </is>
      </c>
      <c r="C1041" s="5" t="n">
        <v>46279</v>
      </c>
      <c r="D1041" t="inlineStr">
        <is>
          <t>DIRECT CREDIT SALTBUSH PLAN MANAGERS RA45147</t>
        </is>
      </c>
      <c r="E1041" s="9" t="n">
        <v>1543.12</v>
      </c>
      <c r="F1041" t="inlineStr">
        <is>
          <t>OPS-20260914</t>
        </is>
      </c>
      <c r="G1041" t="inlineStr">
        <is>
          <t>G00426</t>
        </is>
      </c>
      <c r="H1041" t="str">
        <f>INDEX('Match Groups'!$C$5:$C$1326,MATCH(G1041,'Match Groups'!$A$5:$A$1326,0))</f>
        <v>R03</v>
      </c>
      <c r="I1041" t="str">
        <f>INDEX('Match Groups'!$D$5:$D$1326,MATCH(G1041,'Match Groups'!$A$5:$A$1326,0))</f>
        <v>MATCH</v>
      </c>
      <c r="J1041">
        <f>IF(I1041="DUPIMP",0,1)</f>
        <v>1</v>
      </c>
    </row>
    <row r="1042">
      <c r="A1042" t="inlineStr">
        <is>
          <t>BL-00351</t>
        </is>
      </c>
      <c r="B1042" t="inlineStr">
        <is>
          <t>OPS</t>
        </is>
      </c>
      <c r="C1042" s="5" t="n">
        <v>46279</v>
      </c>
      <c r="D1042" t="inlineStr">
        <is>
          <t>DIRECT CREDIT SOUTHERN CROSS PLAN MG RA45148</t>
        </is>
      </c>
      <c r="E1042" s="9" t="n">
        <v>1339.43</v>
      </c>
      <c r="F1042" t="inlineStr">
        <is>
          <t>OPS-20260914</t>
        </is>
      </c>
      <c r="G1042" t="inlineStr">
        <is>
          <t>G00427</t>
        </is>
      </c>
      <c r="H1042" t="str">
        <f>INDEX('Match Groups'!$C$5:$C$1326,MATCH(G1042,'Match Groups'!$A$5:$A$1326,0))</f>
        <v>R03</v>
      </c>
      <c r="I1042" t="str">
        <f>INDEX('Match Groups'!$D$5:$D$1326,MATCH(G1042,'Match Groups'!$A$5:$A$1326,0))</f>
        <v>MATCH</v>
      </c>
      <c r="J1042">
        <f>IF(I1042="DUPIMP",0,1)</f>
        <v>1</v>
      </c>
    </row>
    <row r="1043">
      <c r="A1043" t="inlineStr">
        <is>
          <t>BL-00352</t>
        </is>
      </c>
      <c r="B1043" t="inlineStr">
        <is>
          <t>OPS</t>
        </is>
      </c>
      <c r="C1043" s="5" t="n">
        <v>46279</v>
      </c>
      <c r="D1043" t="inlineStr">
        <is>
          <t>DIRECT CREDIT LYREBIRD PLAN MANA RA45149</t>
        </is>
      </c>
      <c r="E1043" s="9" t="n">
        <v>757.46</v>
      </c>
      <c r="F1043" t="inlineStr">
        <is>
          <t>OPS-20260914</t>
        </is>
      </c>
      <c r="G1043" t="inlineStr">
        <is>
          <t>G00428</t>
        </is>
      </c>
      <c r="H1043" t="str">
        <f>INDEX('Match Groups'!$C$5:$C$1326,MATCH(G1043,'Match Groups'!$A$5:$A$1326,0))</f>
        <v>R03</v>
      </c>
      <c r="I1043" t="str">
        <f>INDEX('Match Groups'!$D$5:$D$1326,MATCH(G1043,'Match Groups'!$A$5:$A$1326,0))</f>
        <v>MATCH</v>
      </c>
      <c r="J1043">
        <f>IF(I1043="DUPIMP",0,1)</f>
        <v>1</v>
      </c>
    </row>
    <row r="1044">
      <c r="A1044" t="inlineStr">
        <is>
          <t>BL-00461</t>
        </is>
      </c>
      <c r="B1044" t="inlineStr">
        <is>
          <t>OPS</t>
        </is>
      </c>
      <c r="C1044" s="5" t="n">
        <v>46279</v>
      </c>
      <c r="D1044" t="inlineStr">
        <is>
          <t>DIRECT CREDIT COASTLINE HEALTH FUND CLM5279979 INV 2863</t>
        </is>
      </c>
      <c r="E1044" s="9" t="n">
        <v>88</v>
      </c>
      <c r="F1044" t="inlineStr">
        <is>
          <t>OPS-20260914</t>
        </is>
      </c>
      <c r="G1044" t="inlineStr">
        <is>
          <t>G01064</t>
        </is>
      </c>
      <c r="H1044" t="str">
        <f>INDEX('Match Groups'!$C$5:$C$1326,MATCH(G1044,'Match Groups'!$A$5:$A$1326,0))</f>
        <v>R09</v>
      </c>
      <c r="I1044" t="str">
        <f>INDEX('Match Groups'!$D$5:$D$1326,MATCH(G1044,'Match Groups'!$A$5:$A$1326,0))</f>
        <v>MATCH</v>
      </c>
      <c r="J1044">
        <f>IF(I1044="DUPIMP",0,1)</f>
        <v>1</v>
      </c>
    </row>
    <row r="1045">
      <c r="A1045" t="inlineStr">
        <is>
          <t>BL-00480</t>
        </is>
      </c>
      <c r="B1045" t="inlineStr">
        <is>
          <t>OPS</t>
        </is>
      </c>
      <c r="C1045" s="5" t="n">
        <v>46279</v>
      </c>
      <c r="D1045" t="inlineStr">
        <is>
          <t>DIRECT CREDIT UNITY WORKCOVER AG CLM5369682 RE INV 2026 02839</t>
        </is>
      </c>
      <c r="E1045" s="9" t="n">
        <v>132</v>
      </c>
      <c r="F1045" t="inlineStr">
        <is>
          <t>OPS-20260914</t>
        </is>
      </c>
      <c r="G1045" t="inlineStr">
        <is>
          <t>G01065</t>
        </is>
      </c>
      <c r="H1045" t="str">
        <f>INDEX('Match Groups'!$C$5:$C$1326,MATCH(G1045,'Match Groups'!$A$5:$A$1326,0))</f>
        <v>R09</v>
      </c>
      <c r="I1045" t="str">
        <f>INDEX('Match Groups'!$D$5:$D$1326,MATCH(G1045,'Match Groups'!$A$5:$A$1326,0))</f>
        <v>MATCH</v>
      </c>
      <c r="J1045">
        <f>IF(I1045="DUPIMP",0,1)</f>
        <v>1</v>
      </c>
    </row>
    <row r="1046">
      <c r="A1046" t="inlineStr">
        <is>
          <t>BL-00505</t>
        </is>
      </c>
      <c r="B1046" t="inlineStr">
        <is>
          <t>OPS</t>
        </is>
      </c>
      <c r="C1046" s="5" t="n">
        <v>46279</v>
      </c>
      <c r="D1046" t="inlineStr">
        <is>
          <t>DIRECT CREDIT PINNACLE CLAIMS SERVIC CLM5529345 INV 2927</t>
        </is>
      </c>
      <c r="E1046" s="9" t="n">
        <v>412.5</v>
      </c>
      <c r="F1046" t="inlineStr">
        <is>
          <t>OPS-20260914</t>
        </is>
      </c>
      <c r="G1046" t="inlineStr">
        <is>
          <t>G01066</t>
        </is>
      </c>
      <c r="H1046" t="str">
        <f>INDEX('Match Groups'!$C$5:$C$1326,MATCH(G1046,'Match Groups'!$A$5:$A$1326,0))</f>
        <v>R09</v>
      </c>
      <c r="I1046" t="str">
        <f>INDEX('Match Groups'!$D$5:$D$1326,MATCH(G1046,'Match Groups'!$A$5:$A$1326,0))</f>
        <v>MATCH</v>
      </c>
      <c r="J1046">
        <f>IF(I1046="DUPIMP",0,1)</f>
        <v>1</v>
      </c>
    </row>
    <row r="1047">
      <c r="A1047" t="inlineStr">
        <is>
          <t>BL-00740</t>
        </is>
      </c>
      <c r="B1047" t="inlineStr">
        <is>
          <t>OPS</t>
        </is>
      </c>
      <c r="C1047" s="5" t="n">
        <v>46279</v>
      </c>
      <c r="D1047" t="inlineStr">
        <is>
          <t>STRIPE PAYOUT STRIPE po_1Q0054KX</t>
        </is>
      </c>
      <c r="E1047" s="9" t="n">
        <v>3303.82</v>
      </c>
      <c r="F1047" t="inlineStr">
        <is>
          <t>OPS-20260914</t>
        </is>
      </c>
      <c r="G1047" t="inlineStr">
        <is>
          <t>G00067</t>
        </is>
      </c>
      <c r="H1047" t="str">
        <f>INDEX('Match Groups'!$C$5:$C$1326,MATCH(G1047,'Match Groups'!$A$5:$A$1326,0))</f>
        <v>R02</v>
      </c>
      <c r="I1047" t="str">
        <f>INDEX('Match Groups'!$D$5:$D$1326,MATCH(G1047,'Match Groups'!$A$5:$A$1326,0))</f>
        <v>STRIPE-FEE</v>
      </c>
      <c r="J1047">
        <f>IF(I1047="DUPIMP",0,1)</f>
        <v>1</v>
      </c>
    </row>
    <row r="1048">
      <c r="A1048" t="inlineStr">
        <is>
          <t>BL-00798</t>
        </is>
      </c>
      <c r="B1048" t="inlineStr">
        <is>
          <t>OPS</t>
        </is>
      </c>
      <c r="C1048" s="5" t="n">
        <v>46279</v>
      </c>
      <c r="D1048" t="inlineStr">
        <is>
          <t>DIRECT DEBIT TELWAVE BUSINESS MOBIL 291150</t>
        </is>
      </c>
      <c r="E1048" s="9" t="n">
        <v>-1189.3</v>
      </c>
      <c r="F1048" t="inlineStr">
        <is>
          <t>OPS-20260914</t>
        </is>
      </c>
      <c r="G1048" t="inlineStr">
        <is>
          <t>G01161</t>
        </is>
      </c>
      <c r="H1048" t="str">
        <f>INDEX('Match Groups'!$C$5:$C$1326,MATCH(G1048,'Match Groups'!$A$5:$A$1326,0))</f>
        <v>R10</v>
      </c>
      <c r="I1048" t="str">
        <f>INDEX('Match Groups'!$D$5:$D$1326,MATCH(G1048,'Match Groups'!$A$5:$A$1326,0))</f>
        <v>MATCH</v>
      </c>
      <c r="J1048">
        <f>IF(I1048="DUPIMP",0,1)</f>
        <v>1</v>
      </c>
    </row>
    <row r="1049">
      <c r="A1049" t="inlineStr">
        <is>
          <t>BL-01582</t>
        </is>
      </c>
      <c r="B1049" t="inlineStr">
        <is>
          <t>OPS</t>
        </is>
      </c>
      <c r="C1049" s="5" t="n">
        <v>46279</v>
      </c>
      <c r="D1049" t="inlineStr">
        <is>
          <t>SWEEP FROM MERCHANT ACCT</t>
        </is>
      </c>
      <c r="E1049" s="9" t="n">
        <v>22000</v>
      </c>
      <c r="F1049" t="inlineStr">
        <is>
          <t>OPS-20260914</t>
        </is>
      </c>
      <c r="G1049" t="inlineStr">
        <is>
          <t>G00540</t>
        </is>
      </c>
      <c r="H1049" t="str">
        <f>INDEX('Match Groups'!$C$5:$C$1326,MATCH(G1049,'Match Groups'!$A$5:$A$1326,0))</f>
        <v>R04</v>
      </c>
      <c r="I1049" t="str">
        <f>INDEX('Match Groups'!$D$5:$D$1326,MATCH(G1049,'Match Groups'!$A$5:$A$1326,0))</f>
        <v>MATCH</v>
      </c>
      <c r="J1049">
        <f>IF(I1049="DUPIMP",0,1)</f>
        <v>1</v>
      </c>
    </row>
    <row r="1050">
      <c r="A1050" t="inlineStr">
        <is>
          <t>BL-00353</t>
        </is>
      </c>
      <c r="B1050" t="inlineStr">
        <is>
          <t>OPS</t>
        </is>
      </c>
      <c r="C1050" s="5" t="n">
        <v>46280</v>
      </c>
      <c r="D1050" t="inlineStr">
        <is>
          <t>DIRECT CREDIT BLUEGUM PM PTY LTD RA45150</t>
        </is>
      </c>
      <c r="E1050" s="9" t="n">
        <v>611.97</v>
      </c>
      <c r="F1050" t="inlineStr">
        <is>
          <t>OPS-20260915</t>
        </is>
      </c>
      <c r="G1050" t="inlineStr">
        <is>
          <t>G00429</t>
        </is>
      </c>
      <c r="H1050" t="str">
        <f>INDEX('Match Groups'!$C$5:$C$1326,MATCH(G1050,'Match Groups'!$A$5:$A$1326,0))</f>
        <v>R03</v>
      </c>
      <c r="I1050" t="str">
        <f>INDEX('Match Groups'!$D$5:$D$1326,MATCH(G1050,'Match Groups'!$A$5:$A$1326,0))</f>
        <v>REG</v>
      </c>
      <c r="J1050">
        <f>IF(I1050="DUPIMP",0,1)</f>
        <v>1</v>
      </c>
    </row>
    <row r="1051">
      <c r="A1051" t="inlineStr">
        <is>
          <t>BL-00354</t>
        </is>
      </c>
      <c r="B1051" t="inlineStr">
        <is>
          <t>OPS</t>
        </is>
      </c>
      <c r="C1051" s="5" t="n">
        <v>46280</v>
      </c>
      <c r="D1051" t="inlineStr">
        <is>
          <t>DIRECT CREDIT RIVERBEND PLAN PAR RA45151</t>
        </is>
      </c>
      <c r="E1051" s="9" t="n">
        <v>1231.84</v>
      </c>
      <c r="F1051" t="inlineStr">
        <is>
          <t>OPS-20260915</t>
        </is>
      </c>
      <c r="G1051" t="inlineStr">
        <is>
          <t>G00430</t>
        </is>
      </c>
      <c r="H1051" t="str">
        <f>INDEX('Match Groups'!$C$5:$C$1326,MATCH(G1051,'Match Groups'!$A$5:$A$1326,0))</f>
        <v>R03</v>
      </c>
      <c r="I1051" t="str">
        <f>INDEX('Match Groups'!$D$5:$D$1326,MATCH(G1051,'Match Groups'!$A$5:$A$1326,0))</f>
        <v>MATCH</v>
      </c>
      <c r="J1051">
        <f>IF(I1051="DUPIMP",0,1)</f>
        <v>1</v>
      </c>
    </row>
    <row r="1052">
      <c r="A1052" t="inlineStr">
        <is>
          <t>BL-00355</t>
        </is>
      </c>
      <c r="B1052" t="inlineStr">
        <is>
          <t>OPS</t>
        </is>
      </c>
      <c r="C1052" s="5" t="n">
        <v>46280</v>
      </c>
      <c r="D1052" t="inlineStr">
        <is>
          <t>DIRECT CREDIT CLEARPATHNDISPLA RA45152</t>
        </is>
      </c>
      <c r="E1052" s="9" t="n">
        <v>466.47</v>
      </c>
      <c r="F1052" t="inlineStr">
        <is>
          <t>OPS-20260915</t>
        </is>
      </c>
      <c r="G1052" t="inlineStr">
        <is>
          <t>G00431</t>
        </is>
      </c>
      <c r="H1052" t="str">
        <f>INDEX('Match Groups'!$C$5:$C$1326,MATCH(G1052,'Match Groups'!$A$5:$A$1326,0))</f>
        <v>R03</v>
      </c>
      <c r="I1052" t="str">
        <f>INDEX('Match Groups'!$D$5:$D$1326,MATCH(G1052,'Match Groups'!$A$5:$A$1326,0))</f>
        <v>MATCH</v>
      </c>
      <c r="J1052">
        <f>IF(I1052="DUPIMP",0,1)</f>
        <v>1</v>
      </c>
    </row>
    <row r="1053">
      <c r="A1053" t="inlineStr">
        <is>
          <t>BL-00356</t>
        </is>
      </c>
      <c r="B1053" t="inlineStr">
        <is>
          <t>OPS</t>
        </is>
      </c>
      <c r="C1053" s="5" t="n">
        <v>46280</v>
      </c>
      <c r="D1053" t="inlineStr">
        <is>
          <t>DIRECT CREDIT BANKSIA PLAN CO RA45153</t>
        </is>
      </c>
      <c r="E1053" s="9" t="n">
        <v>242.49</v>
      </c>
      <c r="F1053" t="inlineStr">
        <is>
          <t>OPS-20260915</t>
        </is>
      </c>
      <c r="G1053" t="inlineStr">
        <is>
          <t>G00432</t>
        </is>
      </c>
      <c r="H1053" t="str">
        <f>INDEX('Match Groups'!$C$5:$C$1326,MATCH(G1053,'Match Groups'!$A$5:$A$1326,0))</f>
        <v>R03</v>
      </c>
      <c r="I1053" t="str">
        <f>INDEX('Match Groups'!$D$5:$D$1326,MATCH(G1053,'Match Groups'!$A$5:$A$1326,0))</f>
        <v>MATCH</v>
      </c>
      <c r="J1053">
        <f>IF(I1053="DUPIMP",0,1)</f>
        <v>1</v>
      </c>
    </row>
    <row r="1054">
      <c r="A1054" t="inlineStr">
        <is>
          <t>BL-00357</t>
        </is>
      </c>
      <c r="B1054" t="inlineStr">
        <is>
          <t>OPS</t>
        </is>
      </c>
      <c r="C1054" s="5" t="n">
        <v>46280</v>
      </c>
      <c r="D1054" t="inlineStr">
        <is>
          <t>DIRECT CREDIT IRONBARK PLAN MGMT RA45154</t>
        </is>
      </c>
      <c r="E1054" s="9" t="n">
        <v>1106.64</v>
      </c>
      <c r="F1054" t="inlineStr">
        <is>
          <t>OPS-20260915</t>
        </is>
      </c>
      <c r="G1054" t="inlineStr">
        <is>
          <t>G00433</t>
        </is>
      </c>
      <c r="H1054" t="str">
        <f>INDEX('Match Groups'!$C$5:$C$1326,MATCH(G1054,'Match Groups'!$A$5:$A$1326,0))</f>
        <v>R03</v>
      </c>
      <c r="I1054" t="str">
        <f>INDEX('Match Groups'!$D$5:$D$1326,MATCH(G1054,'Match Groups'!$A$5:$A$1326,0))</f>
        <v>MATCH</v>
      </c>
      <c r="J1054">
        <f>IF(I1054="DUPIMP",0,1)</f>
        <v>1</v>
      </c>
    </row>
    <row r="1055">
      <c r="A1055" t="inlineStr">
        <is>
          <t>BL-00358</t>
        </is>
      </c>
      <c r="B1055" t="inlineStr">
        <is>
          <t>OPS</t>
        </is>
      </c>
      <c r="C1055" s="5" t="n">
        <v>46280</v>
      </c>
      <c r="D1055" t="inlineStr">
        <is>
          <t>DIRECT CREDIT REDGUM PLAN ADMIN RA45155</t>
        </is>
      </c>
      <c r="E1055" s="9" t="n">
        <v>1164.84</v>
      </c>
      <c r="F1055" t="inlineStr">
        <is>
          <t>OPS-20260915</t>
        </is>
      </c>
      <c r="G1055" t="inlineStr">
        <is>
          <t>G00434</t>
        </is>
      </c>
      <c r="H1055" t="str">
        <f>INDEX('Match Groups'!$C$5:$C$1326,MATCH(G1055,'Match Groups'!$A$5:$A$1326,0))</f>
        <v>R03</v>
      </c>
      <c r="I1055" t="str">
        <f>INDEX('Match Groups'!$D$5:$D$1326,MATCH(G1055,'Match Groups'!$A$5:$A$1326,0))</f>
        <v>MATCH</v>
      </c>
      <c r="J1055">
        <f>IF(I1055="DUPIMP",0,1)</f>
        <v>1</v>
      </c>
    </row>
    <row r="1056">
      <c r="A1056" t="inlineStr">
        <is>
          <t>BL-00359</t>
        </is>
      </c>
      <c r="B1056" t="inlineStr">
        <is>
          <t>OPS</t>
        </is>
      </c>
      <c r="C1056" s="5" t="n">
        <v>46280</v>
      </c>
      <c r="D1056" t="inlineStr">
        <is>
          <t>DIRECT CREDIT LYREBIRDPLANMANA RA45156</t>
        </is>
      </c>
      <c r="E1056" s="9" t="n">
        <v>999.95</v>
      </c>
      <c r="F1056" t="inlineStr">
        <is>
          <t>OPS-20260915</t>
        </is>
      </c>
      <c r="G1056" t="inlineStr">
        <is>
          <t>G00435</t>
        </is>
      </c>
      <c r="H1056" t="str">
        <f>INDEX('Match Groups'!$C$5:$C$1326,MATCH(G1056,'Match Groups'!$A$5:$A$1326,0))</f>
        <v>R03</v>
      </c>
      <c r="I1056" t="str">
        <f>INDEX('Match Groups'!$D$5:$D$1326,MATCH(G1056,'Match Groups'!$A$5:$A$1326,0))</f>
        <v>MATCH</v>
      </c>
      <c r="J1056">
        <f>IF(I1056="DUPIMP",0,1)</f>
        <v>1</v>
      </c>
    </row>
    <row r="1057">
      <c r="A1057" t="inlineStr">
        <is>
          <t>BL-00360</t>
        </is>
      </c>
      <c r="B1057" t="inlineStr">
        <is>
          <t>OPS</t>
        </is>
      </c>
      <c r="C1057" s="5" t="n">
        <v>46280</v>
      </c>
      <c r="D1057" t="inlineStr">
        <is>
          <t>DIRECT CREDIT TALLOWWOOD PLANS PTY L RA45157</t>
        </is>
      </c>
      <c r="E1057" s="9" t="n">
        <v>834.16</v>
      </c>
      <c r="F1057" t="inlineStr">
        <is>
          <t>OPS-20260915</t>
        </is>
      </c>
      <c r="G1057" t="inlineStr">
        <is>
          <t>G00436</t>
        </is>
      </c>
      <c r="H1057" t="str">
        <f>INDEX('Match Groups'!$C$5:$C$1326,MATCH(G1057,'Match Groups'!$A$5:$A$1326,0))</f>
        <v>R03</v>
      </c>
      <c r="I1057" t="str">
        <f>INDEX('Match Groups'!$D$5:$D$1326,MATCH(G1057,'Match Groups'!$A$5:$A$1326,0))</f>
        <v>REG</v>
      </c>
      <c r="J1057">
        <f>IF(I1057="DUPIMP",0,1)</f>
        <v>1</v>
      </c>
    </row>
    <row r="1058">
      <c r="A1058" t="inlineStr">
        <is>
          <t>BL-00361</t>
        </is>
      </c>
      <c r="B1058" t="inlineStr">
        <is>
          <t>OPS</t>
        </is>
      </c>
      <c r="C1058" s="5" t="n">
        <v>46280</v>
      </c>
      <c r="D1058" t="inlineStr">
        <is>
          <t>DIRECT CREDIT ACACIAPLANPARTNE RA45158</t>
        </is>
      </c>
      <c r="E1058" s="9" t="n">
        <v>533.47</v>
      </c>
      <c r="F1058" t="inlineStr">
        <is>
          <t>OPS-20260915</t>
        </is>
      </c>
      <c r="G1058" t="inlineStr">
        <is>
          <t>G00437</t>
        </is>
      </c>
      <c r="H1058" t="str">
        <f>INDEX('Match Groups'!$C$5:$C$1326,MATCH(G1058,'Match Groups'!$A$5:$A$1326,0))</f>
        <v>R03</v>
      </c>
      <c r="I1058" t="str">
        <f>INDEX('Match Groups'!$D$5:$D$1326,MATCH(G1058,'Match Groups'!$A$5:$A$1326,0))</f>
        <v>MATCH</v>
      </c>
      <c r="J1058">
        <f>IF(I1058="DUPIMP",0,1)</f>
        <v>1</v>
      </c>
    </row>
    <row r="1059">
      <c r="A1059" t="inlineStr">
        <is>
          <t>BL-00362</t>
        </is>
      </c>
      <c r="B1059" t="inlineStr">
        <is>
          <t>OPS</t>
        </is>
      </c>
      <c r="C1059" s="5" t="n">
        <v>46280</v>
      </c>
      <c r="D1059" t="inlineStr">
        <is>
          <t>DIRECT CREDIT MALLEE PLAN SERVIC RA45159</t>
        </is>
      </c>
      <c r="E1059" s="9" t="n">
        <v>921.45</v>
      </c>
      <c r="F1059" t="inlineStr">
        <is>
          <t>OPS-20260915</t>
        </is>
      </c>
      <c r="G1059" t="inlineStr">
        <is>
          <t>G00438</t>
        </is>
      </c>
      <c r="H1059" t="str">
        <f>INDEX('Match Groups'!$C$5:$C$1326,MATCH(G1059,'Match Groups'!$A$5:$A$1326,0))</f>
        <v>R03</v>
      </c>
      <c r="I1059" t="str">
        <f>INDEX('Match Groups'!$D$5:$D$1326,MATCH(G1059,'Match Groups'!$A$5:$A$1326,0))</f>
        <v>MATCH</v>
      </c>
      <c r="J1059">
        <f>IF(I1059="DUPIMP",0,1)</f>
        <v>1</v>
      </c>
    </row>
    <row r="1060">
      <c r="A1060" t="inlineStr">
        <is>
          <t>BL-00548</t>
        </is>
      </c>
      <c r="B1060" t="inlineStr">
        <is>
          <t>OPS</t>
        </is>
      </c>
      <c r="C1060" s="5" t="n">
        <v>46280</v>
      </c>
      <c r="D1060" t="inlineStr">
        <is>
          <t>DIRECT CREDIT NORTHLINE INJURY CLAIM CLM5936552 INV/2026/02840</t>
        </is>
      </c>
      <c r="E1060" s="9" t="n">
        <v>412.5</v>
      </c>
      <c r="F1060" t="inlineStr">
        <is>
          <t>OPS-20260915</t>
        </is>
      </c>
      <c r="G1060" t="inlineStr">
        <is>
          <t>G01067</t>
        </is>
      </c>
      <c r="H1060" t="str">
        <f>INDEX('Match Groups'!$C$5:$C$1326,MATCH(G1060,'Match Groups'!$A$5:$A$1326,0))</f>
        <v>R09</v>
      </c>
      <c r="I1060" t="str">
        <f>INDEX('Match Groups'!$D$5:$D$1326,MATCH(G1060,'Match Groups'!$A$5:$A$1326,0))</f>
        <v>MATCH</v>
      </c>
      <c r="J1060">
        <f>IF(I1060="DUPIMP",0,1)</f>
        <v>1</v>
      </c>
    </row>
    <row r="1061">
      <c r="A1061" t="inlineStr">
        <is>
          <t>BL-00741</t>
        </is>
      </c>
      <c r="B1061" t="inlineStr">
        <is>
          <t>OPS</t>
        </is>
      </c>
      <c r="C1061" s="5" t="n">
        <v>46280</v>
      </c>
      <c r="D1061" t="inlineStr">
        <is>
          <t>STRIPE PAYOUT STRIPE po_1Q0055KX</t>
        </is>
      </c>
      <c r="E1061" s="9" t="n">
        <v>4675.09</v>
      </c>
      <c r="F1061" t="inlineStr">
        <is>
          <t>OPS-20260915</t>
        </is>
      </c>
      <c r="G1061" t="inlineStr">
        <is>
          <t>G00068</t>
        </is>
      </c>
      <c r="H1061" t="str">
        <f>INDEX('Match Groups'!$C$5:$C$1326,MATCH(G1061,'Match Groups'!$A$5:$A$1326,0))</f>
        <v>R02</v>
      </c>
      <c r="I1061" t="str">
        <f>INDEX('Match Groups'!$D$5:$D$1326,MATCH(G1061,'Match Groups'!$A$5:$A$1326,0))</f>
        <v>STRIPE-FEE</v>
      </c>
      <c r="J1061">
        <f>IF(I1061="DUPIMP",0,1)</f>
        <v>1</v>
      </c>
    </row>
    <row r="1062">
      <c r="A1062" t="inlineStr">
        <is>
          <t>BL-00796</t>
        </is>
      </c>
      <c r="B1062" t="inlineStr">
        <is>
          <t>OPS</t>
        </is>
      </c>
      <c r="C1062" s="5" t="n">
        <v>46280</v>
      </c>
      <c r="D1062" t="inlineStr">
        <is>
          <t>DIRECT DEBIT FLEETWISE VEHICLE LE 648292</t>
        </is>
      </c>
      <c r="E1062" s="9" t="n">
        <v>-3184.62</v>
      </c>
      <c r="F1062" t="inlineStr">
        <is>
          <t>OPS-20260915</t>
        </is>
      </c>
      <c r="G1062" t="inlineStr">
        <is>
          <t>G01201</t>
        </is>
      </c>
      <c r="H1062" t="str">
        <f>INDEX('Match Groups'!$C$5:$C$1326,MATCH(G1062,'Match Groups'!$A$5:$A$1326,0))</f>
        <v>R11</v>
      </c>
      <c r="I1062" t="str">
        <f>INDEX('Match Groups'!$D$5:$D$1326,MATCH(G1062,'Match Groups'!$A$5:$A$1326,0))</f>
        <v>REGBILL</v>
      </c>
      <c r="J1062">
        <f>IF(I1062="DUPIMP",0,1)</f>
        <v>1</v>
      </c>
    </row>
    <row r="1063">
      <c r="A1063" t="inlineStr">
        <is>
          <t>BL-00363</t>
        </is>
      </c>
      <c r="B1063" t="inlineStr">
        <is>
          <t>OPS</t>
        </is>
      </c>
      <c r="C1063" s="5" t="n">
        <v>46281</v>
      </c>
      <c r="D1063" t="inlineStr">
        <is>
          <t>DIRECT CREDIT CLEARPATHNDISPLA RA45160</t>
        </is>
      </c>
      <c r="E1063" s="9" t="n">
        <v>757.45</v>
      </c>
      <c r="F1063" t="inlineStr">
        <is>
          <t>OPS-20260916</t>
        </is>
      </c>
      <c r="G1063" t="inlineStr">
        <is>
          <t>G00439</t>
        </is>
      </c>
      <c r="H1063" t="str">
        <f>INDEX('Match Groups'!$C$5:$C$1326,MATCH(G1063,'Match Groups'!$A$5:$A$1326,0))</f>
        <v>R03</v>
      </c>
      <c r="I1063" t="str">
        <f>INDEX('Match Groups'!$D$5:$D$1326,MATCH(G1063,'Match Groups'!$A$5:$A$1326,0))</f>
        <v>MATCH</v>
      </c>
      <c r="J1063">
        <f>IF(I1063="DUPIMP",0,1)</f>
        <v>1</v>
      </c>
    </row>
    <row r="1064">
      <c r="A1064" t="inlineStr">
        <is>
          <t>BL-00364</t>
        </is>
      </c>
      <c r="B1064" t="inlineStr">
        <is>
          <t>OPS</t>
        </is>
      </c>
      <c r="C1064" s="5" t="n">
        <v>46281</v>
      </c>
      <c r="D1064" t="inlineStr">
        <is>
          <t>DIRECT CREDIT BANKSIA PLAN CO RA45161</t>
        </is>
      </c>
      <c r="E1064" s="9" t="n">
        <v>369.48</v>
      </c>
      <c r="F1064" t="inlineStr">
        <is>
          <t>OPS-20260916</t>
        </is>
      </c>
      <c r="G1064" t="inlineStr">
        <is>
          <t>G00440</t>
        </is>
      </c>
      <c r="H1064" t="str">
        <f>INDEX('Match Groups'!$C$5:$C$1326,MATCH(G1064,'Match Groups'!$A$5:$A$1326,0))</f>
        <v>R03</v>
      </c>
      <c r="I1064" t="str">
        <f>INDEX('Match Groups'!$D$5:$D$1326,MATCH(G1064,'Match Groups'!$A$5:$A$1326,0))</f>
        <v>MATCH</v>
      </c>
      <c r="J1064">
        <f>IF(I1064="DUPIMP",0,1)</f>
        <v>1</v>
      </c>
    </row>
    <row r="1065">
      <c r="A1065" t="inlineStr">
        <is>
          <t>BL-00365</t>
        </is>
      </c>
      <c r="B1065" t="inlineStr">
        <is>
          <t>OPS</t>
        </is>
      </c>
      <c r="C1065" s="5" t="n">
        <v>46281</v>
      </c>
      <c r="D1065" t="inlineStr">
        <is>
          <t>DIRECT CREDIT SALTBUSH PLAN MANA RA45162</t>
        </is>
      </c>
      <c r="E1065" s="9" t="n">
        <v>835.95</v>
      </c>
      <c r="F1065" t="inlineStr">
        <is>
          <t>OPS-20260916</t>
        </is>
      </c>
      <c r="G1065" t="inlineStr">
        <is>
          <t>G00441</t>
        </is>
      </c>
      <c r="H1065" t="str">
        <f>INDEX('Match Groups'!$C$5:$C$1326,MATCH(G1065,'Match Groups'!$A$5:$A$1326,0))</f>
        <v>R03</v>
      </c>
      <c r="I1065" t="str">
        <f>INDEX('Match Groups'!$D$5:$D$1326,MATCH(G1065,'Match Groups'!$A$5:$A$1326,0))</f>
        <v>MATCH</v>
      </c>
      <c r="J1065">
        <f>IF(I1065="DUPIMP",0,1)</f>
        <v>1</v>
      </c>
    </row>
    <row r="1066">
      <c r="A1066" t="inlineStr">
        <is>
          <t>BL-00366</t>
        </is>
      </c>
      <c r="B1066" t="inlineStr">
        <is>
          <t>OPS</t>
        </is>
      </c>
      <c r="C1066" s="5" t="n">
        <v>46281</v>
      </c>
      <c r="D1066" t="inlineStr">
        <is>
          <t>DIRECT CREDIT REDGUM PLAN ADMIN PTY RA45163</t>
        </is>
      </c>
      <c r="E1066" s="9" t="n">
        <v>504.37</v>
      </c>
      <c r="F1066" t="inlineStr">
        <is>
          <t>OPS-20260916</t>
        </is>
      </c>
      <c r="G1066" t="inlineStr">
        <is>
          <t>G00442</t>
        </is>
      </c>
      <c r="H1066" t="str">
        <f>INDEX('Match Groups'!$C$5:$C$1326,MATCH(G1066,'Match Groups'!$A$5:$A$1326,0))</f>
        <v>R03</v>
      </c>
      <c r="I1066" t="str">
        <f>INDEX('Match Groups'!$D$5:$D$1326,MATCH(G1066,'Match Groups'!$A$5:$A$1326,0))</f>
        <v>MATCH</v>
      </c>
      <c r="J1066">
        <f>IF(I1066="DUPIMP",0,1)</f>
        <v>1</v>
      </c>
    </row>
    <row r="1067">
      <c r="A1067" t="inlineStr">
        <is>
          <t>BL-00367</t>
        </is>
      </c>
      <c r="B1067" t="inlineStr">
        <is>
          <t>OPS</t>
        </is>
      </c>
      <c r="C1067" s="5" t="n">
        <v>46281</v>
      </c>
      <c r="D1067" t="inlineStr">
        <is>
          <t>DIRECT CREDIT SOUTHERN CROSS PLAN MG RA45164</t>
        </is>
      </c>
      <c r="E1067" s="9" t="n">
        <v>698.37</v>
      </c>
      <c r="F1067" t="inlineStr">
        <is>
          <t>OPS-20260916</t>
        </is>
      </c>
      <c r="G1067" t="inlineStr">
        <is>
          <t>G00443</t>
        </is>
      </c>
      <c r="H1067" t="str">
        <f>INDEX('Match Groups'!$C$5:$C$1326,MATCH(G1067,'Match Groups'!$A$5:$A$1326,0))</f>
        <v>R03</v>
      </c>
      <c r="I1067" t="str">
        <f>INDEX('Match Groups'!$D$5:$D$1326,MATCH(G1067,'Match Groups'!$A$5:$A$1326,0))</f>
        <v>MATCH</v>
      </c>
      <c r="J1067">
        <f>IF(I1067="DUPIMP",0,1)</f>
        <v>1</v>
      </c>
    </row>
    <row r="1068">
      <c r="A1068" t="inlineStr">
        <is>
          <t>BL-00368</t>
        </is>
      </c>
      <c r="B1068" t="inlineStr">
        <is>
          <t>OPS</t>
        </is>
      </c>
      <c r="C1068" s="5" t="n">
        <v>46281</v>
      </c>
      <c r="D1068" t="inlineStr">
        <is>
          <t>DIRECT CREDIT ACACIA PLAN PARTNERS RA45165</t>
        </is>
      </c>
      <c r="E1068" s="9" t="n">
        <v>290.98</v>
      </c>
      <c r="F1068" t="inlineStr">
        <is>
          <t>OPS-20260916</t>
        </is>
      </c>
      <c r="G1068" t="inlineStr">
        <is>
          <t>G00444</t>
        </is>
      </c>
      <c r="H1068" t="str">
        <f>INDEX('Match Groups'!$C$5:$C$1326,MATCH(G1068,'Match Groups'!$A$5:$A$1326,0))</f>
        <v>R03</v>
      </c>
      <c r="I1068" t="str">
        <f>INDEX('Match Groups'!$D$5:$D$1326,MATCH(G1068,'Match Groups'!$A$5:$A$1326,0))</f>
        <v>MATCH</v>
      </c>
      <c r="J1068">
        <f>IF(I1068="DUPIMP",0,1)</f>
        <v>1</v>
      </c>
    </row>
    <row r="1069">
      <c r="A1069" t="inlineStr">
        <is>
          <t>BL-00369</t>
        </is>
      </c>
      <c r="B1069" t="inlineStr">
        <is>
          <t>OPS</t>
        </is>
      </c>
      <c r="C1069" s="5" t="n">
        <v>46281</v>
      </c>
      <c r="D1069" t="inlineStr">
        <is>
          <t>DIRECT CREDIT MALLEEPLANSERVIC RA45166</t>
        </is>
      </c>
      <c r="E1069" s="9" t="n">
        <v>737.16</v>
      </c>
      <c r="F1069" t="inlineStr">
        <is>
          <t>OPS-20260916</t>
        </is>
      </c>
      <c r="G1069" t="inlineStr">
        <is>
          <t>G00445</t>
        </is>
      </c>
      <c r="H1069" t="str">
        <f>INDEX('Match Groups'!$C$5:$C$1326,MATCH(G1069,'Match Groups'!$A$5:$A$1326,0))</f>
        <v>R03</v>
      </c>
      <c r="I1069" t="str">
        <f>INDEX('Match Groups'!$D$5:$D$1326,MATCH(G1069,'Match Groups'!$A$5:$A$1326,0))</f>
        <v>MATCH</v>
      </c>
      <c r="J1069">
        <f>IF(I1069="DUPIMP",0,1)</f>
        <v>1</v>
      </c>
    </row>
    <row r="1070">
      <c r="A1070" t="inlineStr">
        <is>
          <t>BL-00462</t>
        </is>
      </c>
      <c r="B1070" t="inlineStr">
        <is>
          <t>OPS</t>
        </is>
      </c>
      <c r="C1070" s="5" t="n">
        <v>46281</v>
      </c>
      <c r="D1070" t="inlineStr">
        <is>
          <t>DIRECT CREDIT COASTLINE HEALTH FUND CLM5576852 02926</t>
        </is>
      </c>
      <c r="E1070" s="9" t="n">
        <v>176</v>
      </c>
      <c r="F1070" t="inlineStr">
        <is>
          <t>OPS-20260916</t>
        </is>
      </c>
      <c r="G1070" t="inlineStr">
        <is>
          <t>G01202</t>
        </is>
      </c>
      <c r="H1070" t="str">
        <f>INDEX('Match Groups'!$C$5:$C$1326,MATCH(G1070,'Match Groups'!$A$5:$A$1326,0))</f>
        <v>R11</v>
      </c>
      <c r="I1070" t="str">
        <f>INDEX('Match Groups'!$D$5:$D$1326,MATCH(G1070,'Match Groups'!$A$5:$A$1326,0))</f>
        <v>REG</v>
      </c>
      <c r="J1070">
        <f>IF(I1070="DUPIMP",0,1)</f>
        <v>1</v>
      </c>
    </row>
    <row r="1071">
      <c r="A1071" t="inlineStr">
        <is>
          <t>BL-00550</t>
        </is>
      </c>
      <c r="B1071" t="inlineStr">
        <is>
          <t>OPS</t>
        </is>
      </c>
      <c r="C1071" s="5" t="n">
        <v>46281</v>
      </c>
      <c r="D1071" t="inlineStr">
        <is>
          <t>DIRECT CREDIT NORTHLINE INJURY C CLM5862513 INV02928</t>
        </is>
      </c>
      <c r="E1071" s="9" t="n">
        <v>264</v>
      </c>
      <c r="F1071" t="inlineStr">
        <is>
          <t>OPS-20260916</t>
        </is>
      </c>
      <c r="G1071" t="inlineStr">
        <is>
          <t>G01068</t>
        </is>
      </c>
      <c r="H1071" t="str">
        <f>INDEX('Match Groups'!$C$5:$C$1326,MATCH(G1071,'Match Groups'!$A$5:$A$1326,0))</f>
        <v>R09</v>
      </c>
      <c r="I1071" t="str">
        <f>INDEX('Match Groups'!$D$5:$D$1326,MATCH(G1071,'Match Groups'!$A$5:$A$1326,0))</f>
        <v>MATCH</v>
      </c>
      <c r="J1071">
        <f>IF(I1071="DUPIMP",0,1)</f>
        <v>1</v>
      </c>
    </row>
    <row r="1072">
      <c r="A1072" t="inlineStr">
        <is>
          <t>BL-00600</t>
        </is>
      </c>
      <c r="B1072" t="inlineStr">
        <is>
          <t>OPS</t>
        </is>
      </c>
      <c r="C1072" s="5" t="n">
        <v>46281</v>
      </c>
      <c r="D1072" t="inlineStr">
        <is>
          <t>DIRECT CREDIT COPPERLEAF CHILDCARE INV 3533</t>
        </is>
      </c>
      <c r="E1072" s="9" t="n">
        <v>1471.25</v>
      </c>
      <c r="F1072" t="inlineStr">
        <is>
          <t>OPS-20260916</t>
        </is>
      </c>
      <c r="G1072" t="inlineStr">
        <is>
          <t>G01069</t>
        </is>
      </c>
      <c r="H1072" t="str">
        <f>INDEX('Match Groups'!$C$5:$C$1326,MATCH(G1072,'Match Groups'!$A$5:$A$1326,0))</f>
        <v>R09</v>
      </c>
      <c r="I1072" t="str">
        <f>INDEX('Match Groups'!$D$5:$D$1326,MATCH(G1072,'Match Groups'!$A$5:$A$1326,0))</f>
        <v>MATCH</v>
      </c>
      <c r="J1072">
        <f>IF(I1072="DUPIMP",0,1)</f>
        <v>1</v>
      </c>
    </row>
    <row r="1073">
      <c r="A1073" t="inlineStr">
        <is>
          <t>BL-00626</t>
        </is>
      </c>
      <c r="B1073" t="inlineStr">
        <is>
          <t>OPS</t>
        </is>
      </c>
      <c r="C1073" s="5" t="n">
        <v>46281</v>
      </c>
      <c r="D1073" t="inlineStr">
        <is>
          <t>DIRECT CREDIT COBBLESTONE RETAIL INV03545</t>
        </is>
      </c>
      <c r="E1073" s="9" t="n">
        <v>15950</v>
      </c>
      <c r="F1073" t="inlineStr">
        <is>
          <t>OPS-20260916</t>
        </is>
      </c>
      <c r="G1073" t="inlineStr">
        <is>
          <t>G01070</t>
        </is>
      </c>
      <c r="H1073" t="str">
        <f>INDEX('Match Groups'!$C$5:$C$1326,MATCH(G1073,'Match Groups'!$A$5:$A$1326,0))</f>
        <v>R09</v>
      </c>
      <c r="I1073" t="str">
        <f>INDEX('Match Groups'!$D$5:$D$1326,MATCH(G1073,'Match Groups'!$A$5:$A$1326,0))</f>
        <v>MATCH</v>
      </c>
      <c r="J1073">
        <f>IF(I1073="DUPIMP",0,1)</f>
        <v>1</v>
      </c>
    </row>
    <row r="1074">
      <c r="A1074" t="inlineStr">
        <is>
          <t>BL-00636</t>
        </is>
      </c>
      <c r="B1074" t="inlineStr">
        <is>
          <t>OPS</t>
        </is>
      </c>
      <c r="C1074" s="5" t="n">
        <v>46281</v>
      </c>
      <c r="D1074" t="inlineStr">
        <is>
          <t>DIRECT CREDIT FAIRLIE BROS PLUMBIN INV/2026/03550</t>
        </is>
      </c>
      <c r="E1074" s="9" t="n">
        <v>10807.5</v>
      </c>
      <c r="F1074" t="inlineStr">
        <is>
          <t>OPS-20260916</t>
        </is>
      </c>
      <c r="G1074" t="inlineStr">
        <is>
          <t>G01071</t>
        </is>
      </c>
      <c r="H1074" t="str">
        <f>INDEX('Match Groups'!$C$5:$C$1326,MATCH(G1074,'Match Groups'!$A$5:$A$1326,0))</f>
        <v>R09</v>
      </c>
      <c r="I1074" t="str">
        <f>INDEX('Match Groups'!$D$5:$D$1326,MATCH(G1074,'Match Groups'!$A$5:$A$1326,0))</f>
        <v>MATCH</v>
      </c>
      <c r="J1074">
        <f>IF(I1074="DUPIMP",0,1)</f>
        <v>1</v>
      </c>
    </row>
    <row r="1075">
      <c r="A1075" t="inlineStr">
        <is>
          <t>BL-00742</t>
        </is>
      </c>
      <c r="B1075" t="inlineStr">
        <is>
          <t>OPS</t>
        </is>
      </c>
      <c r="C1075" s="5" t="n">
        <v>46281</v>
      </c>
      <c r="D1075" t="inlineStr">
        <is>
          <t>STRIPE PAYOUT STRIPE po_1Q0056KX</t>
        </is>
      </c>
      <c r="E1075" s="9" t="n">
        <v>2214.4</v>
      </c>
      <c r="F1075" t="inlineStr">
        <is>
          <t>OPS-20260916</t>
        </is>
      </c>
      <c r="G1075" t="inlineStr">
        <is>
          <t>G00069</t>
        </is>
      </c>
      <c r="H1075" t="str">
        <f>INDEX('Match Groups'!$C$5:$C$1326,MATCH(G1075,'Match Groups'!$A$5:$A$1326,0))</f>
        <v>R02</v>
      </c>
      <c r="I1075" t="str">
        <f>INDEX('Match Groups'!$D$5:$D$1326,MATCH(G1075,'Match Groups'!$A$5:$A$1326,0))</f>
        <v>STRIPE-FEE</v>
      </c>
      <c r="J1075">
        <f>IF(I1075="DUPIMP",0,1)</f>
        <v>1</v>
      </c>
    </row>
    <row r="1076">
      <c r="A1076" t="inlineStr">
        <is>
          <t>BL-00765</t>
        </is>
      </c>
      <c r="B1076" t="inlineStr">
        <is>
          <t>OPS</t>
        </is>
      </c>
      <c r="C1076" s="5" t="n">
        <v>46281</v>
      </c>
      <c r="D1076" t="inlineStr">
        <is>
          <t>ABA PAYMENT FILE 0422 12 PAYMENTS</t>
        </is>
      </c>
      <c r="E1076" s="9" t="n">
        <v>-17470.2</v>
      </c>
      <c r="F1076" t="inlineStr">
        <is>
          <t>OPS-20260916</t>
        </is>
      </c>
      <c r="G1076" t="inlineStr">
        <is>
          <t>G00541</t>
        </is>
      </c>
      <c r="H1076" t="str">
        <f>INDEX('Match Groups'!$C$5:$C$1326,MATCH(G1076,'Match Groups'!$A$5:$A$1326,0))</f>
        <v>R06</v>
      </c>
      <c r="I1076" t="str">
        <f>INDEX('Match Groups'!$D$5:$D$1326,MATCH(G1076,'Match Groups'!$A$5:$A$1326,0))</f>
        <v>MATCH</v>
      </c>
      <c r="J1076">
        <f>IF(I1076="DUPIMP",0,1)</f>
        <v>1</v>
      </c>
    </row>
    <row r="1077">
      <c r="A1077" t="inlineStr">
        <is>
          <t>BL-00370</t>
        </is>
      </c>
      <c r="B1077" t="inlineStr">
        <is>
          <t>OPS</t>
        </is>
      </c>
      <c r="C1077" s="5" t="n">
        <v>46282</v>
      </c>
      <c r="D1077" t="inlineStr">
        <is>
          <t>DIRECT CREDIT RIVERBENDPLANPAR RA45167</t>
        </is>
      </c>
      <c r="E1077" s="9" t="n">
        <v>379.18</v>
      </c>
      <c r="F1077" t="inlineStr">
        <is>
          <t>OPS-20260917</t>
        </is>
      </c>
      <c r="G1077" t="inlineStr">
        <is>
          <t>G00446</t>
        </is>
      </c>
      <c r="H1077" t="str">
        <f>INDEX('Match Groups'!$C$5:$C$1326,MATCH(G1077,'Match Groups'!$A$5:$A$1326,0))</f>
        <v>R03</v>
      </c>
      <c r="I1077" t="str">
        <f>INDEX('Match Groups'!$D$5:$D$1326,MATCH(G1077,'Match Groups'!$A$5:$A$1326,0))</f>
        <v>MATCH</v>
      </c>
      <c r="J1077">
        <f>IF(I1077="DUPIMP",0,1)</f>
        <v>1</v>
      </c>
    </row>
    <row r="1078">
      <c r="A1078" t="inlineStr">
        <is>
          <t>BL-00371</t>
        </is>
      </c>
      <c r="B1078" t="inlineStr">
        <is>
          <t>OPS</t>
        </is>
      </c>
      <c r="C1078" s="5" t="n">
        <v>46282</v>
      </c>
      <c r="D1078" t="inlineStr">
        <is>
          <t>DIRECT CREDIT KOOKABURRA PLAN SUPP RA45168</t>
        </is>
      </c>
      <c r="E1078" s="9" t="n">
        <v>3513.92</v>
      </c>
      <c r="F1078" t="inlineStr">
        <is>
          <t>OPS-20260917</t>
        </is>
      </c>
      <c r="G1078" t="inlineStr">
        <is>
          <t>G00447</t>
        </is>
      </c>
      <c r="H1078" t="str">
        <f>INDEX('Match Groups'!$C$5:$C$1326,MATCH(G1078,'Match Groups'!$A$5:$A$1326,0))</f>
        <v>R03</v>
      </c>
      <c r="I1078" t="str">
        <f>INDEX('Match Groups'!$D$5:$D$1326,MATCH(G1078,'Match Groups'!$A$5:$A$1326,0))</f>
        <v>MATCH</v>
      </c>
      <c r="J1078">
        <f>IF(I1078="DUPIMP",0,1)</f>
        <v>1</v>
      </c>
    </row>
    <row r="1079">
      <c r="A1079" t="inlineStr">
        <is>
          <t>BL-00372</t>
        </is>
      </c>
      <c r="B1079" t="inlineStr">
        <is>
          <t>OPS</t>
        </is>
      </c>
      <c r="C1079" s="5" t="n">
        <v>46282</v>
      </c>
      <c r="D1079" t="inlineStr">
        <is>
          <t>DIRECT CREDIT LYREBIRD PLAN MANA RA45169</t>
        </is>
      </c>
      <c r="E1079" s="9" t="n">
        <v>339.48</v>
      </c>
      <c r="F1079" t="inlineStr">
        <is>
          <t>OPS-20260917</t>
        </is>
      </c>
      <c r="G1079" t="inlineStr">
        <is>
          <t>G00448</t>
        </is>
      </c>
      <c r="H1079" t="str">
        <f>INDEX('Match Groups'!$C$5:$C$1326,MATCH(G1079,'Match Groups'!$A$5:$A$1326,0))</f>
        <v>R03</v>
      </c>
      <c r="I1079" t="str">
        <f>INDEX('Match Groups'!$D$5:$D$1326,MATCH(G1079,'Match Groups'!$A$5:$A$1326,0))</f>
        <v>MATCH</v>
      </c>
      <c r="J1079">
        <f>IF(I1079="DUPIMP",0,1)</f>
        <v>1</v>
      </c>
    </row>
    <row r="1080">
      <c r="A1080" t="inlineStr">
        <is>
          <t>BL-00564</t>
        </is>
      </c>
      <c r="B1080" t="inlineStr">
        <is>
          <t>OPS</t>
        </is>
      </c>
      <c r="C1080" s="5" t="n">
        <v>46282</v>
      </c>
      <c r="D1080" t="inlineStr">
        <is>
          <t>DIRECT CREDIT BRIGHTWATER CIVIL PTY INV/2026/03517</t>
        </is>
      </c>
      <c r="E1080" s="9" t="n">
        <v>3465</v>
      </c>
      <c r="F1080" t="inlineStr">
        <is>
          <t>OPS-20260917</t>
        </is>
      </c>
      <c r="G1080" t="inlineStr">
        <is>
          <t>G01072</t>
        </is>
      </c>
      <c r="H1080" t="str">
        <f>INDEX('Match Groups'!$C$5:$C$1326,MATCH(G1080,'Match Groups'!$A$5:$A$1326,0))</f>
        <v>R09</v>
      </c>
      <c r="I1080" t="str">
        <f>INDEX('Match Groups'!$D$5:$D$1326,MATCH(G1080,'Match Groups'!$A$5:$A$1326,0))</f>
        <v>MATCH</v>
      </c>
      <c r="J1080">
        <f>IF(I1080="DUPIMP",0,1)</f>
        <v>1</v>
      </c>
    </row>
    <row r="1081">
      <c r="A1081" t="inlineStr">
        <is>
          <t>BL-00594</t>
        </is>
      </c>
      <c r="B1081" t="inlineStr">
        <is>
          <t>OPS</t>
        </is>
      </c>
      <c r="C1081" s="5" t="n">
        <v>46282</v>
      </c>
      <c r="D1081" t="inlineStr">
        <is>
          <t>DIRECT CREDIT QUILLON ENGINEERIN 03530</t>
        </is>
      </c>
      <c r="E1081" s="9" t="n">
        <v>2186.25</v>
      </c>
      <c r="F1081" t="inlineStr">
        <is>
          <t>OPS-20260917</t>
        </is>
      </c>
      <c r="G1081" t="inlineStr">
        <is>
          <t>G01073</t>
        </is>
      </c>
      <c r="H1081" t="str">
        <f>INDEX('Match Groups'!$C$5:$C$1326,MATCH(G1081,'Match Groups'!$A$5:$A$1326,0))</f>
        <v>R09</v>
      </c>
      <c r="I1081" t="str">
        <f>INDEX('Match Groups'!$D$5:$D$1326,MATCH(G1081,'Match Groups'!$A$5:$A$1326,0))</f>
        <v>MATCH</v>
      </c>
      <c r="J1081">
        <f>IF(I1081="DUPIMP",0,1)</f>
        <v>1</v>
      </c>
    </row>
    <row r="1082">
      <c r="A1082" t="inlineStr">
        <is>
          <t>BL-00601</t>
        </is>
      </c>
      <c r="B1082" t="inlineStr">
        <is>
          <t>OPS</t>
        </is>
      </c>
      <c r="C1082" s="5" t="n">
        <v>46282</v>
      </c>
      <c r="D1082" t="inlineStr">
        <is>
          <t>DIRECT CREDIT COPPERLEAF CHILDCARE P 03534</t>
        </is>
      </c>
      <c r="E1082" s="9" t="n">
        <v>3465</v>
      </c>
      <c r="F1082" t="inlineStr">
        <is>
          <t>OPS-20260917</t>
        </is>
      </c>
      <c r="G1082" t="inlineStr">
        <is>
          <t>G01074</t>
        </is>
      </c>
      <c r="H1082" t="str">
        <f>INDEX('Match Groups'!$C$5:$C$1326,MATCH(G1082,'Match Groups'!$A$5:$A$1326,0))</f>
        <v>R09</v>
      </c>
      <c r="I1082" t="str">
        <f>INDEX('Match Groups'!$D$5:$D$1326,MATCH(G1082,'Match Groups'!$A$5:$A$1326,0))</f>
        <v>MATCH</v>
      </c>
      <c r="J1082">
        <f>IF(I1082="DUPIMP",0,1)</f>
        <v>1</v>
      </c>
    </row>
    <row r="1083">
      <c r="A1083" t="inlineStr">
        <is>
          <t>BL-00743</t>
        </is>
      </c>
      <c r="B1083" t="inlineStr">
        <is>
          <t>OPS</t>
        </is>
      </c>
      <c r="C1083" s="5" t="n">
        <v>46282</v>
      </c>
      <c r="D1083" t="inlineStr">
        <is>
          <t>STRIPE PAYOUT STRIPE po_1Q0057KX</t>
        </is>
      </c>
      <c r="E1083" s="9" t="n">
        <v>3538.4</v>
      </c>
      <c r="F1083" t="inlineStr">
        <is>
          <t>OPS-20260917</t>
        </is>
      </c>
      <c r="G1083" t="inlineStr">
        <is>
          <t>G00070</t>
        </is>
      </c>
      <c r="H1083" t="str">
        <f>INDEX('Match Groups'!$C$5:$C$1326,MATCH(G1083,'Match Groups'!$A$5:$A$1326,0))</f>
        <v>R02</v>
      </c>
      <c r="I1083" t="str">
        <f>INDEX('Match Groups'!$D$5:$D$1326,MATCH(G1083,'Match Groups'!$A$5:$A$1326,0))</f>
        <v>STRIPE-FEE</v>
      </c>
      <c r="J1083">
        <f>IF(I1083="DUPIMP",0,1)</f>
        <v>1</v>
      </c>
    </row>
    <row r="1084">
      <c r="A1084" t="inlineStr">
        <is>
          <t>BL-00373</t>
        </is>
      </c>
      <c r="B1084" t="inlineStr">
        <is>
          <t>OPS</t>
        </is>
      </c>
      <c r="C1084" s="5" t="n">
        <v>46283</v>
      </c>
      <c r="D1084" t="inlineStr">
        <is>
          <t>DIRECT CREDIT BLUEGUM PLAN MANAGE RA45170</t>
        </is>
      </c>
      <c r="E1084" s="9" t="n">
        <v>543.17</v>
      </c>
      <c r="F1084" t="inlineStr">
        <is>
          <t>OPS-20260918</t>
        </is>
      </c>
      <c r="G1084" t="inlineStr">
        <is>
          <t>G00449</t>
        </is>
      </c>
      <c r="H1084" t="str">
        <f>INDEX('Match Groups'!$C$5:$C$1326,MATCH(G1084,'Match Groups'!$A$5:$A$1326,0))</f>
        <v>R03</v>
      </c>
      <c r="I1084" t="str">
        <f>INDEX('Match Groups'!$D$5:$D$1326,MATCH(G1084,'Match Groups'!$A$5:$A$1326,0))</f>
        <v>MATCH</v>
      </c>
      <c r="J1084">
        <f>IF(I1084="DUPIMP",0,1)</f>
        <v>1</v>
      </c>
    </row>
    <row r="1085">
      <c r="A1085" t="inlineStr">
        <is>
          <t>BL-00374</t>
        </is>
      </c>
      <c r="B1085" t="inlineStr">
        <is>
          <t>OPS</t>
        </is>
      </c>
      <c r="C1085" s="5" t="n">
        <v>46283</v>
      </c>
      <c r="D1085" t="inlineStr">
        <is>
          <t>DIRECT CREDIT RIVERBEND PLAN PARTNER RA45171</t>
        </is>
      </c>
      <c r="E1085" s="9" t="n">
        <v>193.99</v>
      </c>
      <c r="F1085" t="inlineStr">
        <is>
          <t>OPS-20260918</t>
        </is>
      </c>
      <c r="G1085" t="inlineStr">
        <is>
          <t>G00450</t>
        </is>
      </c>
      <c r="H1085" t="str">
        <f>INDEX('Match Groups'!$C$5:$C$1326,MATCH(G1085,'Match Groups'!$A$5:$A$1326,0))</f>
        <v>R03</v>
      </c>
      <c r="I1085" t="str">
        <f>INDEX('Match Groups'!$D$5:$D$1326,MATCH(G1085,'Match Groups'!$A$5:$A$1326,0))</f>
        <v>MATCH</v>
      </c>
      <c r="J1085">
        <f>IF(I1085="DUPIMP",0,1)</f>
        <v>1</v>
      </c>
    </row>
    <row r="1086">
      <c r="A1086" t="inlineStr">
        <is>
          <t>BL-00375</t>
        </is>
      </c>
      <c r="B1086" t="inlineStr">
        <is>
          <t>OPS</t>
        </is>
      </c>
      <c r="C1086" s="5" t="n">
        <v>46283</v>
      </c>
      <c r="D1086" t="inlineStr">
        <is>
          <t>DIRECT CREDIT CLEARPATH NDIS PLANS P RA45172</t>
        </is>
      </c>
      <c r="E1086" s="9" t="n">
        <v>282.18</v>
      </c>
      <c r="F1086" t="inlineStr">
        <is>
          <t>OPS-20260918</t>
        </is>
      </c>
      <c r="G1086" t="inlineStr">
        <is>
          <t>G00451</t>
        </is>
      </c>
      <c r="H1086" t="str">
        <f>INDEX('Match Groups'!$C$5:$C$1326,MATCH(G1086,'Match Groups'!$A$5:$A$1326,0))</f>
        <v>R03</v>
      </c>
      <c r="I1086" t="str">
        <f>INDEX('Match Groups'!$D$5:$D$1326,MATCH(G1086,'Match Groups'!$A$5:$A$1326,0))</f>
        <v>REG</v>
      </c>
      <c r="J1086">
        <f>IF(I1086="DUPIMP",0,1)</f>
        <v>1</v>
      </c>
    </row>
    <row r="1087">
      <c r="A1087" t="inlineStr">
        <is>
          <t>BL-00376</t>
        </is>
      </c>
      <c r="B1087" t="inlineStr">
        <is>
          <t>OPS</t>
        </is>
      </c>
      <c r="C1087" s="5" t="n">
        <v>46283</v>
      </c>
      <c r="D1087" t="inlineStr">
        <is>
          <t>DIRECT CREDIT WATTLE PLAN SERVIC RA45173</t>
        </is>
      </c>
      <c r="E1087" s="9" t="n">
        <v>1922.29</v>
      </c>
      <c r="F1087" t="inlineStr">
        <is>
          <t>OPS-20260918</t>
        </is>
      </c>
      <c r="G1087" t="inlineStr">
        <is>
          <t>G00452</t>
        </is>
      </c>
      <c r="H1087" t="str">
        <f>INDEX('Match Groups'!$C$5:$C$1326,MATCH(G1087,'Match Groups'!$A$5:$A$1326,0))</f>
        <v>R03</v>
      </c>
      <c r="I1087" t="str">
        <f>INDEX('Match Groups'!$D$5:$D$1326,MATCH(G1087,'Match Groups'!$A$5:$A$1326,0))</f>
        <v>REG</v>
      </c>
      <c r="J1087">
        <f>IF(I1087="DUPIMP",0,1)</f>
        <v>1</v>
      </c>
    </row>
    <row r="1088">
      <c r="A1088" t="inlineStr">
        <is>
          <t>BL-00377</t>
        </is>
      </c>
      <c r="B1088" t="inlineStr">
        <is>
          <t>OPS</t>
        </is>
      </c>
      <c r="C1088" s="5" t="n">
        <v>46283</v>
      </c>
      <c r="D1088" t="inlineStr">
        <is>
          <t>DIRECT CREDIT IRONBARK PLAN MGMT RA45174</t>
        </is>
      </c>
      <c r="E1088" s="9" t="n">
        <v>290.98</v>
      </c>
      <c r="F1088" t="inlineStr">
        <is>
          <t>OPS-20260918</t>
        </is>
      </c>
      <c r="G1088" t="inlineStr">
        <is>
          <t>G00453</t>
        </is>
      </c>
      <c r="H1088" t="str">
        <f>INDEX('Match Groups'!$C$5:$C$1326,MATCH(G1088,'Match Groups'!$A$5:$A$1326,0))</f>
        <v>R03</v>
      </c>
      <c r="I1088" t="str">
        <f>INDEX('Match Groups'!$D$5:$D$1326,MATCH(G1088,'Match Groups'!$A$5:$A$1326,0))</f>
        <v>MATCH</v>
      </c>
      <c r="J1088">
        <f>IF(I1088="DUPIMP",0,1)</f>
        <v>1</v>
      </c>
    </row>
    <row r="1089">
      <c r="A1089" t="inlineStr">
        <is>
          <t>BL-00378</t>
        </is>
      </c>
      <c r="B1089" t="inlineStr">
        <is>
          <t>OPS</t>
        </is>
      </c>
      <c r="C1089" s="5" t="n">
        <v>46283</v>
      </c>
      <c r="D1089" t="inlineStr">
        <is>
          <t>DIRECT CREDIT SALTBUSH PLAN MANA RA45175</t>
        </is>
      </c>
      <c r="E1089" s="9" t="n">
        <v>242.49</v>
      </c>
      <c r="F1089" t="inlineStr">
        <is>
          <t>OPS-20260918</t>
        </is>
      </c>
      <c r="G1089" t="inlineStr">
        <is>
          <t>G00454</t>
        </is>
      </c>
      <c r="H1089" t="str">
        <f>INDEX('Match Groups'!$C$5:$C$1326,MATCH(G1089,'Match Groups'!$A$5:$A$1326,0))</f>
        <v>R03</v>
      </c>
      <c r="I1089" t="str">
        <f>INDEX('Match Groups'!$D$5:$D$1326,MATCH(G1089,'Match Groups'!$A$5:$A$1326,0))</f>
        <v>MATCH</v>
      </c>
      <c r="J1089">
        <f>IF(I1089="DUPIMP",0,1)</f>
        <v>1</v>
      </c>
    </row>
    <row r="1090">
      <c r="A1090" t="inlineStr">
        <is>
          <t>BL-00379</t>
        </is>
      </c>
      <c r="B1090" t="inlineStr">
        <is>
          <t>OPS</t>
        </is>
      </c>
      <c r="C1090" s="5" t="n">
        <v>46283</v>
      </c>
      <c r="D1090" t="inlineStr">
        <is>
          <t>DIRECT CREDIT REDGUM PLAN ADMIN RA45176</t>
        </is>
      </c>
      <c r="E1090" s="9" t="n">
        <v>494.67</v>
      </c>
      <c r="F1090" t="inlineStr">
        <is>
          <t>OPS-20260918</t>
        </is>
      </c>
      <c r="G1090" t="inlineStr">
        <is>
          <t>G00455</t>
        </is>
      </c>
      <c r="H1090" t="str">
        <f>INDEX('Match Groups'!$C$5:$C$1326,MATCH(G1090,'Match Groups'!$A$5:$A$1326,0))</f>
        <v>R03</v>
      </c>
      <c r="I1090" t="str">
        <f>INDEX('Match Groups'!$D$5:$D$1326,MATCH(G1090,'Match Groups'!$A$5:$A$1326,0))</f>
        <v>MATCH</v>
      </c>
      <c r="J1090">
        <f>IF(I1090="DUPIMP",0,1)</f>
        <v>1</v>
      </c>
    </row>
    <row r="1091">
      <c r="A1091" t="inlineStr">
        <is>
          <t>BL-00380</t>
        </is>
      </c>
      <c r="B1091" t="inlineStr">
        <is>
          <t>OPS</t>
        </is>
      </c>
      <c r="C1091" s="5" t="n">
        <v>46283</v>
      </c>
      <c r="D1091" t="inlineStr">
        <is>
          <t>DIRECT CREDIT LYREBIRD PLAN MGMT RA45177</t>
        </is>
      </c>
      <c r="E1091" s="9" t="n">
        <v>446.18</v>
      </c>
      <c r="F1091" t="inlineStr">
        <is>
          <t>OPS-20260918</t>
        </is>
      </c>
      <c r="G1091" t="inlineStr">
        <is>
          <t>G00456</t>
        </is>
      </c>
      <c r="H1091" t="str">
        <f>INDEX('Match Groups'!$C$5:$C$1326,MATCH(G1091,'Match Groups'!$A$5:$A$1326,0))</f>
        <v>R03</v>
      </c>
      <c r="I1091" t="str">
        <f>INDEX('Match Groups'!$D$5:$D$1326,MATCH(G1091,'Match Groups'!$A$5:$A$1326,0))</f>
        <v>MATCH</v>
      </c>
      <c r="J1091">
        <f>IF(I1091="DUPIMP",0,1)</f>
        <v>1</v>
      </c>
    </row>
    <row r="1092">
      <c r="A1092" t="inlineStr">
        <is>
          <t>BL-00482</t>
        </is>
      </c>
      <c r="B1092" t="inlineStr">
        <is>
          <t>OPS</t>
        </is>
      </c>
      <c r="C1092" s="5" t="n">
        <v>46283</v>
      </c>
      <c r="D1092" t="inlineStr">
        <is>
          <t>DIRECT CREDIT UNITY WORKCOVER AGEN CLM5224685 INV02902</t>
        </is>
      </c>
      <c r="E1092" s="9" t="n">
        <v>132</v>
      </c>
      <c r="F1092" t="inlineStr">
        <is>
          <t>OPS-20260918</t>
        </is>
      </c>
      <c r="G1092" t="inlineStr">
        <is>
          <t>G01075</t>
        </is>
      </c>
      <c r="H1092" t="str">
        <f>INDEX('Match Groups'!$C$5:$C$1326,MATCH(G1092,'Match Groups'!$A$5:$A$1326,0))</f>
        <v>R09</v>
      </c>
      <c r="I1092" t="str">
        <f>INDEX('Match Groups'!$D$5:$D$1326,MATCH(G1092,'Match Groups'!$A$5:$A$1326,0))</f>
        <v>MATCH</v>
      </c>
      <c r="J1092">
        <f>IF(I1092="DUPIMP",0,1)</f>
        <v>1</v>
      </c>
    </row>
    <row r="1093">
      <c r="A1093" t="inlineStr">
        <is>
          <t>BL-00553</t>
        </is>
      </c>
      <c r="B1093" t="inlineStr">
        <is>
          <t>OPS</t>
        </is>
      </c>
      <c r="C1093" s="5" t="n">
        <v>46283</v>
      </c>
      <c r="D1093" t="inlineStr">
        <is>
          <t>DIRECT CREDIT NORTHLINE INJURY C CLM5840002 INV/2026/03121</t>
        </is>
      </c>
      <c r="E1093" s="9" t="n">
        <v>132</v>
      </c>
      <c r="F1093" t="inlineStr">
        <is>
          <t>OPS-20260918</t>
        </is>
      </c>
      <c r="G1093" t="inlineStr">
        <is>
          <t>G01076</t>
        </is>
      </c>
      <c r="H1093" t="str">
        <f>INDEX('Match Groups'!$C$5:$C$1326,MATCH(G1093,'Match Groups'!$A$5:$A$1326,0))</f>
        <v>R09</v>
      </c>
      <c r="I1093" t="str">
        <f>INDEX('Match Groups'!$D$5:$D$1326,MATCH(G1093,'Match Groups'!$A$5:$A$1326,0))</f>
        <v>MATCH</v>
      </c>
      <c r="J1093">
        <f>IF(I1093="DUPIMP",0,1)</f>
        <v>1</v>
      </c>
    </row>
    <row r="1094">
      <c r="A1094" t="inlineStr">
        <is>
          <t>BL-00607</t>
        </is>
      </c>
      <c r="B1094" t="inlineStr">
        <is>
          <t>OPS</t>
        </is>
      </c>
      <c r="C1094" s="5" t="n">
        <v>46283</v>
      </c>
      <c r="D1094" t="inlineStr">
        <is>
          <t>DIRECT CREDIT ARDEN VALE SCHOOLS</t>
        </is>
      </c>
      <c r="E1094" s="9" t="n">
        <v>35598.75</v>
      </c>
      <c r="F1094" t="inlineStr">
        <is>
          <t>OPS-20260918</t>
        </is>
      </c>
      <c r="G1094" t="inlineStr">
        <is>
          <t>G01162</t>
        </is>
      </c>
      <c r="H1094" t="str">
        <f>INDEX('Match Groups'!$C$5:$C$1326,MATCH(G1094,'Match Groups'!$A$5:$A$1326,0))</f>
        <v>R10</v>
      </c>
      <c r="I1094" t="str">
        <f>INDEX('Match Groups'!$D$5:$D$1326,MATCH(G1094,'Match Groups'!$A$5:$A$1326,0))</f>
        <v>MATCH</v>
      </c>
      <c r="J1094">
        <f>IF(I1094="DUPIMP",0,1)</f>
        <v>1</v>
      </c>
    </row>
    <row r="1095">
      <c r="A1095" t="inlineStr">
        <is>
          <t>BL-00683</t>
        </is>
      </c>
      <c r="B1095" t="inlineStr">
        <is>
          <t>OPS</t>
        </is>
      </c>
      <c r="C1095" s="5" t="n">
        <v>46283</v>
      </c>
      <c r="D1095" t="inlineStr">
        <is>
          <t>DIRECT CREDIT QUILLON ENGINEERIN INV 3522</t>
        </is>
      </c>
      <c r="E1095" s="9" t="n">
        <v>1320</v>
      </c>
      <c r="F1095" t="inlineStr">
        <is>
          <t>OPS-20260918</t>
        </is>
      </c>
      <c r="G1095" t="inlineStr">
        <is>
          <t>G01248</t>
        </is>
      </c>
      <c r="H1095" t="str">
        <f>INDEX('Match Groups'!$C$5:$C$1326,MATCH(G1095,'Match Groups'!$A$5:$A$1326,0))</f>
        <v>R99</v>
      </c>
      <c r="I1095" t="str">
        <f>INDEX('Match Groups'!$D$5:$D$1326,MATCH(G1095,'Match Groups'!$A$5:$A$1326,0))</f>
        <v>UNEXP</v>
      </c>
      <c r="J1095">
        <f>IF(I1095="DUPIMP",0,1)</f>
        <v>1</v>
      </c>
    </row>
    <row r="1096">
      <c r="A1096" t="inlineStr">
        <is>
          <t>BL-00744</t>
        </is>
      </c>
      <c r="B1096" t="inlineStr">
        <is>
          <t>OPS</t>
        </is>
      </c>
      <c r="C1096" s="5" t="n">
        <v>46283</v>
      </c>
      <c r="D1096" t="inlineStr">
        <is>
          <t>STRIPE PAYOUT STRIPE po_1Q0058KX</t>
        </is>
      </c>
      <c r="E1096" s="9" t="n">
        <v>2352.27</v>
      </c>
      <c r="F1096" t="inlineStr">
        <is>
          <t>OPS-20260918</t>
        </is>
      </c>
      <c r="G1096" t="inlineStr">
        <is>
          <t>G00071</t>
        </is>
      </c>
      <c r="H1096" t="str">
        <f>INDEX('Match Groups'!$C$5:$C$1326,MATCH(G1096,'Match Groups'!$A$5:$A$1326,0))</f>
        <v>R02</v>
      </c>
      <c r="I1096" t="str">
        <f>INDEX('Match Groups'!$D$5:$D$1326,MATCH(G1096,'Match Groups'!$A$5:$A$1326,0))</f>
        <v>STRIPE-FEE</v>
      </c>
      <c r="J1096">
        <f>IF(I1096="DUPIMP",0,1)</f>
        <v>1</v>
      </c>
    </row>
    <row r="1097">
      <c r="A1097" t="inlineStr">
        <is>
          <t>BL-00812</t>
        </is>
      </c>
      <c r="B1097" t="inlineStr">
        <is>
          <t>OPS</t>
        </is>
      </c>
      <c r="C1097" s="5" t="n">
        <v>46283</v>
      </c>
      <c r="D1097" t="inlineStr">
        <is>
          <t>CHEQUE 000411</t>
        </is>
      </c>
      <c r="E1097" s="9" t="n">
        <v>-924</v>
      </c>
      <c r="F1097" t="inlineStr">
        <is>
          <t>OPS-20260918</t>
        </is>
      </c>
      <c r="G1097" t="inlineStr">
        <is>
          <t>G00542</t>
        </is>
      </c>
      <c r="H1097" t="str">
        <f>INDEX('Match Groups'!$C$5:$C$1326,MATCH(G1097,'Match Groups'!$A$5:$A$1326,0))</f>
        <v>R07</v>
      </c>
      <c r="I1097" t="str">
        <f>INDEX('Match Groups'!$D$5:$D$1326,MATCH(G1097,'Match Groups'!$A$5:$A$1326,0))</f>
        <v>MATCH</v>
      </c>
      <c r="J1097">
        <f>IF(I1097="DUPIMP",0,1)</f>
        <v>1</v>
      </c>
    </row>
    <row r="1098">
      <c r="A1098" t="inlineStr">
        <is>
          <t>BL-00381</t>
        </is>
      </c>
      <c r="B1098" t="inlineStr">
        <is>
          <t>OPS</t>
        </is>
      </c>
      <c r="C1098" s="5" t="n">
        <v>46286</v>
      </c>
      <c r="D1098" t="inlineStr">
        <is>
          <t>DIRECT CREDIT BLUEGUM PM PTY LTD RA45178</t>
        </is>
      </c>
      <c r="E1098" s="9" t="n">
        <v>194.88</v>
      </c>
      <c r="F1098" t="inlineStr">
        <is>
          <t>OPS-20260921</t>
        </is>
      </c>
      <c r="G1098" t="inlineStr">
        <is>
          <t>G00457</t>
        </is>
      </c>
      <c r="H1098" t="str">
        <f>INDEX('Match Groups'!$C$5:$C$1326,MATCH(G1098,'Match Groups'!$A$5:$A$1326,0))</f>
        <v>R03</v>
      </c>
      <c r="I1098" t="str">
        <f>INDEX('Match Groups'!$D$5:$D$1326,MATCH(G1098,'Match Groups'!$A$5:$A$1326,0))</f>
        <v>MATCH</v>
      </c>
      <c r="J1098">
        <f>IF(I1098="DUPIMP",0,1)</f>
        <v>1</v>
      </c>
    </row>
    <row r="1099">
      <c r="A1099" t="inlineStr">
        <is>
          <t>BL-00382</t>
        </is>
      </c>
      <c r="B1099" t="inlineStr">
        <is>
          <t>OPS</t>
        </is>
      </c>
      <c r="C1099" s="5" t="n">
        <v>46286</v>
      </c>
      <c r="D1099" t="inlineStr">
        <is>
          <t>DIRECT CREDIT WATTLE PLAN SERVICES RA45179</t>
        </is>
      </c>
      <c r="E1099" s="9" t="n">
        <v>320.98</v>
      </c>
      <c r="F1099" t="inlineStr">
        <is>
          <t>OPS-20260921</t>
        </is>
      </c>
      <c r="G1099" t="inlineStr">
        <is>
          <t>G00458</t>
        </is>
      </c>
      <c r="H1099" t="str">
        <f>INDEX('Match Groups'!$C$5:$C$1326,MATCH(G1099,'Match Groups'!$A$5:$A$1326,0))</f>
        <v>R03</v>
      </c>
      <c r="I1099" t="str">
        <f>INDEX('Match Groups'!$D$5:$D$1326,MATCH(G1099,'Match Groups'!$A$5:$A$1326,0))</f>
        <v>MATCH</v>
      </c>
      <c r="J1099">
        <f>IF(I1099="DUPIMP",0,1)</f>
        <v>1</v>
      </c>
    </row>
    <row r="1100">
      <c r="A1100" t="inlineStr">
        <is>
          <t>BL-00383</t>
        </is>
      </c>
      <c r="B1100" t="inlineStr">
        <is>
          <t>OPS</t>
        </is>
      </c>
      <c r="C1100" s="5" t="n">
        <v>46286</v>
      </c>
      <c r="D1100" t="inlineStr">
        <is>
          <t>DIRECT CREDIT BANKSIA PLAN CO PTY LT RA45180</t>
        </is>
      </c>
      <c r="E1100" s="9" t="n">
        <v>397.68</v>
      </c>
      <c r="F1100" t="inlineStr">
        <is>
          <t>OPS-20260921</t>
        </is>
      </c>
      <c r="G1100" t="inlineStr">
        <is>
          <t>G00459</t>
        </is>
      </c>
      <c r="H1100" t="str">
        <f>INDEX('Match Groups'!$C$5:$C$1326,MATCH(G1100,'Match Groups'!$A$5:$A$1326,0))</f>
        <v>R03</v>
      </c>
      <c r="I1100" t="str">
        <f>INDEX('Match Groups'!$D$5:$D$1326,MATCH(G1100,'Match Groups'!$A$5:$A$1326,0))</f>
        <v>MATCH</v>
      </c>
      <c r="J1100">
        <f>IF(I1100="DUPIMP",0,1)</f>
        <v>1</v>
      </c>
    </row>
    <row r="1101">
      <c r="A1101" t="inlineStr">
        <is>
          <t>BL-00384</t>
        </is>
      </c>
      <c r="B1101" t="inlineStr">
        <is>
          <t>OPS</t>
        </is>
      </c>
      <c r="C1101" s="5" t="n">
        <v>46286</v>
      </c>
      <c r="D1101" t="inlineStr">
        <is>
          <t>DIRECT CREDIT IRONBARK PLAN MANA RA45181</t>
        </is>
      </c>
      <c r="E1101" s="9" t="n">
        <v>882.65</v>
      </c>
      <c r="F1101" t="inlineStr">
        <is>
          <t>OPS-20260921</t>
        </is>
      </c>
      <c r="G1101" t="inlineStr">
        <is>
          <t>G00460</t>
        </is>
      </c>
      <c r="H1101" t="str">
        <f>INDEX('Match Groups'!$C$5:$C$1326,MATCH(G1101,'Match Groups'!$A$5:$A$1326,0))</f>
        <v>R03</v>
      </c>
      <c r="I1101" t="str">
        <f>INDEX('Match Groups'!$D$5:$D$1326,MATCH(G1101,'Match Groups'!$A$5:$A$1326,0))</f>
        <v>MATCH</v>
      </c>
      <c r="J1101">
        <f>IF(I1101="DUPIMP",0,1)</f>
        <v>1</v>
      </c>
    </row>
    <row r="1102">
      <c r="A1102" t="inlineStr">
        <is>
          <t>BL-00385</t>
        </is>
      </c>
      <c r="B1102" t="inlineStr">
        <is>
          <t>OPS</t>
        </is>
      </c>
      <c r="C1102" s="5" t="n">
        <v>46286</v>
      </c>
      <c r="D1102" t="inlineStr">
        <is>
          <t>DIRECT CREDIT REDGUM PLAN ADMIN PTY RA45182</t>
        </is>
      </c>
      <c r="E1102" s="9" t="n">
        <v>621.66</v>
      </c>
      <c r="F1102" t="inlineStr">
        <is>
          <t>OPS-20260921</t>
        </is>
      </c>
      <c r="G1102" t="inlineStr">
        <is>
          <t>G00461</t>
        </is>
      </c>
      <c r="H1102" t="str">
        <f>INDEX('Match Groups'!$C$5:$C$1326,MATCH(G1102,'Match Groups'!$A$5:$A$1326,0))</f>
        <v>R03</v>
      </c>
      <c r="I1102" t="str">
        <f>INDEX('Match Groups'!$D$5:$D$1326,MATCH(G1102,'Match Groups'!$A$5:$A$1326,0))</f>
        <v>MATCH</v>
      </c>
      <c r="J1102">
        <f>IF(I1102="DUPIMP",0,1)</f>
        <v>1</v>
      </c>
    </row>
    <row r="1103">
      <c r="A1103" t="inlineStr">
        <is>
          <t>BL-00386</t>
        </is>
      </c>
      <c r="B1103" t="inlineStr">
        <is>
          <t>OPS</t>
        </is>
      </c>
      <c r="C1103" s="5" t="n">
        <v>46286</v>
      </c>
      <c r="D1103" t="inlineStr">
        <is>
          <t>DIRECT CREDIT SOUTHERN CROSS PLAN RA45183</t>
        </is>
      </c>
      <c r="E1103" s="9" t="n">
        <v>1407.31</v>
      </c>
      <c r="F1103" t="inlineStr">
        <is>
          <t>OPS-20260921</t>
        </is>
      </c>
      <c r="G1103" t="inlineStr">
        <is>
          <t>G00462</t>
        </is>
      </c>
      <c r="H1103" t="str">
        <f>INDEX('Match Groups'!$C$5:$C$1326,MATCH(G1103,'Match Groups'!$A$5:$A$1326,0))</f>
        <v>R03</v>
      </c>
      <c r="I1103" t="str">
        <f>INDEX('Match Groups'!$D$5:$D$1326,MATCH(G1103,'Match Groups'!$A$5:$A$1326,0))</f>
        <v>MATCH</v>
      </c>
      <c r="J1103">
        <f>IF(I1103="DUPIMP",0,1)</f>
        <v>1</v>
      </c>
    </row>
    <row r="1104">
      <c r="A1104" t="inlineStr">
        <is>
          <t>BL-00445</t>
        </is>
      </c>
      <c r="B1104" t="inlineStr">
        <is>
          <t>OPS</t>
        </is>
      </c>
      <c r="C1104" s="5" t="n">
        <v>46286</v>
      </c>
      <c r="D1104" t="inlineStr">
        <is>
          <t>DIRECT CREDIT HARBOUR MUTUAL HEALT CLM5280963 RE INV 2026 03074</t>
        </is>
      </c>
      <c r="E1104" s="9" t="n">
        <v>990</v>
      </c>
      <c r="F1104" t="inlineStr">
        <is>
          <t>OPS-20260921</t>
        </is>
      </c>
      <c r="G1104" t="inlineStr">
        <is>
          <t>G01077</t>
        </is>
      </c>
      <c r="H1104" t="str">
        <f>INDEX('Match Groups'!$C$5:$C$1326,MATCH(G1104,'Match Groups'!$A$5:$A$1326,0))</f>
        <v>R09</v>
      </c>
      <c r="I1104" t="str">
        <f>INDEX('Match Groups'!$D$5:$D$1326,MATCH(G1104,'Match Groups'!$A$5:$A$1326,0))</f>
        <v>MATCH</v>
      </c>
      <c r="J1104">
        <f>IF(I1104="DUPIMP",0,1)</f>
        <v>1</v>
      </c>
    </row>
    <row r="1105">
      <c r="A1105" t="inlineStr">
        <is>
          <t>BL-00745</t>
        </is>
      </c>
      <c r="B1105" t="inlineStr">
        <is>
          <t>OPS</t>
        </is>
      </c>
      <c r="C1105" s="5" t="n">
        <v>46286</v>
      </c>
      <c r="D1105" t="inlineStr">
        <is>
          <t>STRIPE PAYOUT STRIPE po_1Q0059KX</t>
        </is>
      </c>
      <c r="E1105" s="9" t="n">
        <v>3053.87</v>
      </c>
      <c r="F1105" t="inlineStr">
        <is>
          <t>OPS-20260921</t>
        </is>
      </c>
      <c r="G1105" t="inlineStr">
        <is>
          <t>G00072</t>
        </is>
      </c>
      <c r="H1105" t="str">
        <f>INDEX('Match Groups'!$C$5:$C$1326,MATCH(G1105,'Match Groups'!$A$5:$A$1326,0))</f>
        <v>R02</v>
      </c>
      <c r="I1105" t="str">
        <f>INDEX('Match Groups'!$D$5:$D$1326,MATCH(G1105,'Match Groups'!$A$5:$A$1326,0))</f>
        <v>STRIPE-FEE</v>
      </c>
      <c r="J1105">
        <f>IF(I1105="DUPIMP",0,1)</f>
        <v>1</v>
      </c>
    </row>
    <row r="1106">
      <c r="A1106" t="inlineStr">
        <is>
          <t>BL-00797</t>
        </is>
      </c>
      <c r="B1106" t="inlineStr">
        <is>
          <t>OPS</t>
        </is>
      </c>
      <c r="C1106" s="5" t="n">
        <v>46286</v>
      </c>
      <c r="D1106" t="inlineStr">
        <is>
          <t>DIRECT DEBIT MEDISURE PROFESSIO 314357</t>
        </is>
      </c>
      <c r="E1106" s="9" t="n">
        <v>-2215.4</v>
      </c>
      <c r="F1106" t="inlineStr">
        <is>
          <t>OPS-20260921</t>
        </is>
      </c>
      <c r="G1106" t="inlineStr">
        <is>
          <t>G01163</t>
        </is>
      </c>
      <c r="H1106" t="str">
        <f>INDEX('Match Groups'!$C$5:$C$1326,MATCH(G1106,'Match Groups'!$A$5:$A$1326,0))</f>
        <v>R10</v>
      </c>
      <c r="I1106" t="str">
        <f>INDEX('Match Groups'!$D$5:$D$1326,MATCH(G1106,'Match Groups'!$A$5:$A$1326,0))</f>
        <v>MATCH</v>
      </c>
      <c r="J1106">
        <f>IF(I1106="DUPIMP",0,1)</f>
        <v>1</v>
      </c>
    </row>
    <row r="1107">
      <c r="A1107" t="inlineStr">
        <is>
          <t>BL-01584</t>
        </is>
      </c>
      <c r="B1107" t="inlineStr">
        <is>
          <t>OPS</t>
        </is>
      </c>
      <c r="C1107" s="5" t="n">
        <v>46286</v>
      </c>
      <c r="D1107" t="inlineStr">
        <is>
          <t>SWEEP FROM MERCHANT ACCT</t>
        </is>
      </c>
      <c r="E1107" s="9" t="n">
        <v>22000</v>
      </c>
      <c r="F1107" t="inlineStr">
        <is>
          <t>OPS-20260921</t>
        </is>
      </c>
      <c r="G1107" t="inlineStr">
        <is>
          <t>G00543</t>
        </is>
      </c>
      <c r="H1107" t="str">
        <f>INDEX('Match Groups'!$C$5:$C$1326,MATCH(G1107,'Match Groups'!$A$5:$A$1326,0))</f>
        <v>R04</v>
      </c>
      <c r="I1107" t="str">
        <f>INDEX('Match Groups'!$D$5:$D$1326,MATCH(G1107,'Match Groups'!$A$5:$A$1326,0))</f>
        <v>MATCH</v>
      </c>
      <c r="J1107">
        <f>IF(I1107="DUPIMP",0,1)</f>
        <v>1</v>
      </c>
    </row>
    <row r="1108">
      <c r="A1108" t="inlineStr">
        <is>
          <t>BL-00387</t>
        </is>
      </c>
      <c r="B1108" t="inlineStr">
        <is>
          <t>OPS</t>
        </is>
      </c>
      <c r="C1108" s="5" t="n">
        <v>46287</v>
      </c>
      <c r="D1108" t="inlineStr">
        <is>
          <t>DIRECT CREDIT WATTLE PLAN SERVIC RA45184</t>
        </is>
      </c>
      <c r="E1108" s="9" t="n">
        <v>591.67</v>
      </c>
      <c r="F1108" t="inlineStr">
        <is>
          <t>OPS-20260922</t>
        </is>
      </c>
      <c r="G1108" t="inlineStr">
        <is>
          <t>G00463</t>
        </is>
      </c>
      <c r="H1108" t="str">
        <f>INDEX('Match Groups'!$C$5:$C$1326,MATCH(G1108,'Match Groups'!$A$5:$A$1326,0))</f>
        <v>R03</v>
      </c>
      <c r="I1108" t="str">
        <f>INDEX('Match Groups'!$D$5:$D$1326,MATCH(G1108,'Match Groups'!$A$5:$A$1326,0))</f>
        <v>MATCH</v>
      </c>
      <c r="J1108">
        <f>IF(I1108="DUPIMP",0,1)</f>
        <v>1</v>
      </c>
    </row>
    <row r="1109">
      <c r="A1109" t="inlineStr">
        <is>
          <t>BL-00388</t>
        </is>
      </c>
      <c r="B1109" t="inlineStr">
        <is>
          <t>OPS</t>
        </is>
      </c>
      <c r="C1109" s="5" t="n">
        <v>46287</v>
      </c>
      <c r="D1109" t="inlineStr">
        <is>
          <t>DIRECT CREDIT KOOKABURRA PLAN SUPPOR RA45185</t>
        </is>
      </c>
      <c r="E1109" s="9" t="n">
        <v>961.16</v>
      </c>
      <c r="F1109" t="inlineStr">
        <is>
          <t>OPS-20260922</t>
        </is>
      </c>
      <c r="G1109" t="inlineStr">
        <is>
          <t>G00464</t>
        </is>
      </c>
      <c r="H1109" t="str">
        <f>INDEX('Match Groups'!$C$5:$C$1326,MATCH(G1109,'Match Groups'!$A$5:$A$1326,0))</f>
        <v>R03</v>
      </c>
      <c r="I1109" t="str">
        <f>INDEX('Match Groups'!$D$5:$D$1326,MATCH(G1109,'Match Groups'!$A$5:$A$1326,0))</f>
        <v>MATCH</v>
      </c>
      <c r="J1109">
        <f>IF(I1109="DUPIMP",0,1)</f>
        <v>1</v>
      </c>
    </row>
    <row r="1110">
      <c r="A1110" t="inlineStr">
        <is>
          <t>BL-00389</t>
        </is>
      </c>
      <c r="B1110" t="inlineStr">
        <is>
          <t>OPS</t>
        </is>
      </c>
      <c r="C1110" s="5" t="n">
        <v>46287</v>
      </c>
      <c r="D1110" t="inlineStr">
        <is>
          <t>DIRECT CREDIT REDGUMPLANADMIN RA45186</t>
        </is>
      </c>
      <c r="E1110" s="9" t="n">
        <v>1019.35</v>
      </c>
      <c r="F1110" t="inlineStr">
        <is>
          <t>OPS-20260922</t>
        </is>
      </c>
      <c r="G1110" t="inlineStr">
        <is>
          <t>G00465</t>
        </is>
      </c>
      <c r="H1110" t="str">
        <f>INDEX('Match Groups'!$C$5:$C$1326,MATCH(G1110,'Match Groups'!$A$5:$A$1326,0))</f>
        <v>R03</v>
      </c>
      <c r="I1110" t="str">
        <f>INDEX('Match Groups'!$D$5:$D$1326,MATCH(G1110,'Match Groups'!$A$5:$A$1326,0))</f>
        <v>MATCH</v>
      </c>
      <c r="J1110">
        <f>IF(I1110="DUPIMP",0,1)</f>
        <v>1</v>
      </c>
    </row>
    <row r="1111">
      <c r="A1111" t="inlineStr">
        <is>
          <t>BL-00390</t>
        </is>
      </c>
      <c r="B1111" t="inlineStr">
        <is>
          <t>OPS</t>
        </is>
      </c>
      <c r="C1111" s="5" t="n">
        <v>46287</v>
      </c>
      <c r="D1111" t="inlineStr">
        <is>
          <t>DIRECT CREDIT LYREBIRD PLAN MANAGEME RA45187</t>
        </is>
      </c>
      <c r="E1111" s="9" t="n">
        <v>349.18</v>
      </c>
      <c r="F1111" t="inlineStr">
        <is>
          <t>OPS-20260922</t>
        </is>
      </c>
      <c r="G1111" t="inlineStr">
        <is>
          <t>G00466</t>
        </is>
      </c>
      <c r="H1111" t="str">
        <f>INDEX('Match Groups'!$C$5:$C$1326,MATCH(G1111,'Match Groups'!$A$5:$A$1326,0))</f>
        <v>R03</v>
      </c>
      <c r="I1111" t="str">
        <f>INDEX('Match Groups'!$D$5:$D$1326,MATCH(G1111,'Match Groups'!$A$5:$A$1326,0))</f>
        <v>MATCH</v>
      </c>
      <c r="J1111">
        <f>IF(I1111="DUPIMP",0,1)</f>
        <v>1</v>
      </c>
    </row>
    <row r="1112">
      <c r="A1112" t="inlineStr">
        <is>
          <t>BL-00391</t>
        </is>
      </c>
      <c r="B1112" t="inlineStr">
        <is>
          <t>OPS</t>
        </is>
      </c>
      <c r="C1112" s="5" t="n">
        <v>46287</v>
      </c>
      <c r="D1112" t="inlineStr">
        <is>
          <t>DIRECT CREDIT TALLOWWOODPLANS RA45188</t>
        </is>
      </c>
      <c r="E1112" s="9" t="n">
        <v>3000.74</v>
      </c>
      <c r="F1112" t="inlineStr">
        <is>
          <t>OPS-20260922</t>
        </is>
      </c>
      <c r="G1112" t="inlineStr">
        <is>
          <t>G00467</t>
        </is>
      </c>
      <c r="H1112" t="str">
        <f>INDEX('Match Groups'!$C$5:$C$1326,MATCH(G1112,'Match Groups'!$A$5:$A$1326,0))</f>
        <v>R03</v>
      </c>
      <c r="I1112" t="str">
        <f>INDEX('Match Groups'!$D$5:$D$1326,MATCH(G1112,'Match Groups'!$A$5:$A$1326,0))</f>
        <v>MATCH</v>
      </c>
      <c r="J1112">
        <f>IF(I1112="DUPIMP",0,1)</f>
        <v>1</v>
      </c>
    </row>
    <row r="1113">
      <c r="A1113" t="inlineStr">
        <is>
          <t>BL-00392</t>
        </is>
      </c>
      <c r="B1113" t="inlineStr">
        <is>
          <t>OPS</t>
        </is>
      </c>
      <c r="C1113" s="5" t="n">
        <v>46287</v>
      </c>
      <c r="D1113" t="inlineStr">
        <is>
          <t>DIRECT CREDIT ACACIA PLAN PARTNERS P RA45189</t>
        </is>
      </c>
      <c r="E1113" s="9" t="n">
        <v>1058.15</v>
      </c>
      <c r="F1113" t="inlineStr">
        <is>
          <t>OPS-20260922</t>
        </is>
      </c>
      <c r="G1113" t="inlineStr">
        <is>
          <t>G00468</t>
        </is>
      </c>
      <c r="H1113" t="str">
        <f>INDEX('Match Groups'!$C$5:$C$1326,MATCH(G1113,'Match Groups'!$A$5:$A$1326,0))</f>
        <v>R03</v>
      </c>
      <c r="I1113" t="str">
        <f>INDEX('Match Groups'!$D$5:$D$1326,MATCH(G1113,'Match Groups'!$A$5:$A$1326,0))</f>
        <v>MATCH</v>
      </c>
      <c r="J1113">
        <f>IF(I1113="DUPIMP",0,1)</f>
        <v>1</v>
      </c>
    </row>
    <row r="1114">
      <c r="A1114" t="inlineStr">
        <is>
          <t>BL-00393</t>
        </is>
      </c>
      <c r="B1114" t="inlineStr">
        <is>
          <t>OPS</t>
        </is>
      </c>
      <c r="C1114" s="5" t="n">
        <v>46287</v>
      </c>
      <c r="D1114" t="inlineStr">
        <is>
          <t>DIRECT CREDIT MALLEE PLAN SERVIC RA45190</t>
        </is>
      </c>
      <c r="E1114" s="9" t="n">
        <v>399.48</v>
      </c>
      <c r="F1114" t="inlineStr">
        <is>
          <t>OPS-20260922</t>
        </is>
      </c>
      <c r="G1114" t="inlineStr">
        <is>
          <t>G00469</t>
        </is>
      </c>
      <c r="H1114" t="str">
        <f>INDEX('Match Groups'!$C$5:$C$1326,MATCH(G1114,'Match Groups'!$A$5:$A$1326,0))</f>
        <v>R03</v>
      </c>
      <c r="I1114" t="str">
        <f>INDEX('Match Groups'!$D$5:$D$1326,MATCH(G1114,'Match Groups'!$A$5:$A$1326,0))</f>
        <v>MATCH</v>
      </c>
      <c r="J1114">
        <f>IF(I1114="DUPIMP",0,1)</f>
        <v>1</v>
      </c>
    </row>
    <row r="1115">
      <c r="A1115" t="inlineStr">
        <is>
          <t>BL-00446</t>
        </is>
      </c>
      <c r="B1115" t="inlineStr">
        <is>
          <t>OPS</t>
        </is>
      </c>
      <c r="C1115" s="5" t="n">
        <v>46287</v>
      </c>
      <c r="D1115" t="inlineStr">
        <is>
          <t>DIRECT CREDIT HARBOUR MUTUAL HEALT CLM5411554 RE INV 2026 03148</t>
        </is>
      </c>
      <c r="E1115" s="9" t="n">
        <v>990</v>
      </c>
      <c r="F1115" t="inlineStr">
        <is>
          <t>OPS-20260922</t>
        </is>
      </c>
      <c r="G1115" t="inlineStr">
        <is>
          <t>G01078</t>
        </is>
      </c>
      <c r="H1115" t="str">
        <f>INDEX('Match Groups'!$C$5:$C$1326,MATCH(G1115,'Match Groups'!$A$5:$A$1326,0))</f>
        <v>R09</v>
      </c>
      <c r="I1115" t="str">
        <f>INDEX('Match Groups'!$D$5:$D$1326,MATCH(G1115,'Match Groups'!$A$5:$A$1326,0))</f>
        <v>MATCH</v>
      </c>
      <c r="J1115">
        <f>IF(I1115="DUPIMP",0,1)</f>
        <v>1</v>
      </c>
    </row>
    <row r="1116">
      <c r="A1116" t="inlineStr">
        <is>
          <t>BL-00746</t>
        </is>
      </c>
      <c r="B1116" t="inlineStr">
        <is>
          <t>OPS</t>
        </is>
      </c>
      <c r="C1116" s="5" t="n">
        <v>46287</v>
      </c>
      <c r="D1116" t="inlineStr">
        <is>
          <t>STRIPE PAYOUT STRIPE po_1Q0060KX</t>
        </is>
      </c>
      <c r="E1116" s="9" t="n">
        <v>4861.45</v>
      </c>
      <c r="F1116" t="inlineStr">
        <is>
          <t>OPS-20260922</t>
        </is>
      </c>
      <c r="G1116" t="inlineStr">
        <is>
          <t>G00073</t>
        </is>
      </c>
      <c r="H1116" t="str">
        <f>INDEX('Match Groups'!$C$5:$C$1326,MATCH(G1116,'Match Groups'!$A$5:$A$1326,0))</f>
        <v>R02</v>
      </c>
      <c r="I1116" t="str">
        <f>INDEX('Match Groups'!$D$5:$D$1326,MATCH(G1116,'Match Groups'!$A$5:$A$1326,0))</f>
        <v>STRIPE-FEE</v>
      </c>
      <c r="J1116">
        <f>IF(I1116="DUPIMP",0,1)</f>
        <v>1</v>
      </c>
    </row>
    <row r="1117">
      <c r="A1117" t="inlineStr">
        <is>
          <t>BL-00800</t>
        </is>
      </c>
      <c r="B1117" t="inlineStr">
        <is>
          <t>OPS</t>
        </is>
      </c>
      <c r="C1117" s="5" t="n">
        <v>46287</v>
      </c>
      <c r="D1117" t="inlineStr">
        <is>
          <t>DIRECT DEBIT POWERCO ENERGY RET 379808</t>
        </is>
      </c>
      <c r="E1117" s="9" t="n">
        <v>-2634.18</v>
      </c>
      <c r="F1117" t="inlineStr">
        <is>
          <t>OPS-20260922</t>
        </is>
      </c>
      <c r="G1117" t="inlineStr">
        <is>
          <t>G01164</t>
        </is>
      </c>
      <c r="H1117" t="str">
        <f>INDEX('Match Groups'!$C$5:$C$1326,MATCH(G1117,'Match Groups'!$A$5:$A$1326,0))</f>
        <v>R10</v>
      </c>
      <c r="I1117" t="str">
        <f>INDEX('Match Groups'!$D$5:$D$1326,MATCH(G1117,'Match Groups'!$A$5:$A$1326,0))</f>
        <v>MATCH</v>
      </c>
      <c r="J1117">
        <f>IF(I1117="DUPIMP",0,1)</f>
        <v>1</v>
      </c>
    </row>
    <row r="1118">
      <c r="A1118" t="inlineStr">
        <is>
          <t>BL-00811</t>
        </is>
      </c>
      <c r="B1118" t="inlineStr">
        <is>
          <t>OPS</t>
        </is>
      </c>
      <c r="C1118" s="5" t="n">
        <v>46287</v>
      </c>
      <c r="D1118" t="inlineStr">
        <is>
          <t>CHEQUE 000410</t>
        </is>
      </c>
      <c r="E1118" s="9" t="n">
        <v>-550</v>
      </c>
      <c r="F1118" t="inlineStr">
        <is>
          <t>OPS-20260922</t>
        </is>
      </c>
      <c r="G1118" t="inlineStr">
        <is>
          <t>G00544</t>
        </is>
      </c>
      <c r="H1118" t="str">
        <f>INDEX('Match Groups'!$C$5:$C$1326,MATCH(G1118,'Match Groups'!$A$5:$A$1326,0))</f>
        <v>R07</v>
      </c>
      <c r="I1118" t="str">
        <f>INDEX('Match Groups'!$D$5:$D$1326,MATCH(G1118,'Match Groups'!$A$5:$A$1326,0))</f>
        <v>MATCH</v>
      </c>
      <c r="J1118">
        <f>IF(I1118="DUPIMP",0,1)</f>
        <v>1</v>
      </c>
    </row>
    <row r="1119">
      <c r="A1119" t="inlineStr">
        <is>
          <t>BL-00394</t>
        </is>
      </c>
      <c r="B1119" t="inlineStr">
        <is>
          <t>OPS</t>
        </is>
      </c>
      <c r="C1119" s="5" t="n">
        <v>46288</v>
      </c>
      <c r="D1119" t="inlineStr">
        <is>
          <t>DIRECT CREDIT BLUEGUM PLAN MANAGE RA45191</t>
        </is>
      </c>
      <c r="E1119" s="9" t="n">
        <v>854.45</v>
      </c>
      <c r="F1119" t="inlineStr">
        <is>
          <t>OPS-20260923</t>
        </is>
      </c>
      <c r="G1119" t="inlineStr">
        <is>
          <t>G00470</t>
        </is>
      </c>
      <c r="H1119" t="str">
        <f>INDEX('Match Groups'!$C$5:$C$1326,MATCH(G1119,'Match Groups'!$A$5:$A$1326,0))</f>
        <v>R03</v>
      </c>
      <c r="I1119" t="str">
        <f>INDEX('Match Groups'!$D$5:$D$1326,MATCH(G1119,'Match Groups'!$A$5:$A$1326,0))</f>
        <v>MATCH</v>
      </c>
      <c r="J1119">
        <f>IF(I1119="DUPIMP",0,1)</f>
        <v>1</v>
      </c>
    </row>
    <row r="1120">
      <c r="A1120" t="inlineStr">
        <is>
          <t>BL-00395</t>
        </is>
      </c>
      <c r="B1120" t="inlineStr">
        <is>
          <t>OPS</t>
        </is>
      </c>
      <c r="C1120" s="5" t="n">
        <v>46288</v>
      </c>
      <c r="D1120" t="inlineStr">
        <is>
          <t>DIRECT CREDIT WATTLEPLANSERVIC RA45192</t>
        </is>
      </c>
      <c r="E1120" s="9" t="n">
        <v>272.49</v>
      </c>
      <c r="F1120" t="inlineStr">
        <is>
          <t>OPS-20260923</t>
        </is>
      </c>
      <c r="G1120" t="inlineStr">
        <is>
          <t>G00471</t>
        </is>
      </c>
      <c r="H1120" t="str">
        <f>INDEX('Match Groups'!$C$5:$C$1326,MATCH(G1120,'Match Groups'!$A$5:$A$1326,0))</f>
        <v>R03</v>
      </c>
      <c r="I1120" t="str">
        <f>INDEX('Match Groups'!$D$5:$D$1326,MATCH(G1120,'Match Groups'!$A$5:$A$1326,0))</f>
        <v>MATCH</v>
      </c>
      <c r="J1120">
        <f>IF(I1120="DUPIMP",0,1)</f>
        <v>1</v>
      </c>
    </row>
    <row r="1121">
      <c r="A1121" t="inlineStr">
        <is>
          <t>BL-00396</t>
        </is>
      </c>
      <c r="B1121" t="inlineStr">
        <is>
          <t>OPS</t>
        </is>
      </c>
      <c r="C1121" s="5" t="n">
        <v>46288</v>
      </c>
      <c r="D1121" t="inlineStr">
        <is>
          <t>DIRECT CREDIT BANKSIA PLAN CO RA45193</t>
        </is>
      </c>
      <c r="E1121" s="9" t="n">
        <v>787.46</v>
      </c>
      <c r="F1121" t="inlineStr">
        <is>
          <t>OPS-20260923</t>
        </is>
      </c>
      <c r="G1121" t="inlineStr">
        <is>
          <t>G00472</t>
        </is>
      </c>
      <c r="H1121" t="str">
        <f>INDEX('Match Groups'!$C$5:$C$1326,MATCH(G1121,'Match Groups'!$A$5:$A$1326,0))</f>
        <v>R03</v>
      </c>
      <c r="I1121" t="str">
        <f>INDEX('Match Groups'!$D$5:$D$1326,MATCH(G1121,'Match Groups'!$A$5:$A$1326,0))</f>
        <v>MATCH</v>
      </c>
      <c r="J1121">
        <f>IF(I1121="DUPIMP",0,1)</f>
        <v>1</v>
      </c>
    </row>
    <row r="1122">
      <c r="A1122" t="inlineStr">
        <is>
          <t>BL-00397</t>
        </is>
      </c>
      <c r="B1122" t="inlineStr">
        <is>
          <t>OPS</t>
        </is>
      </c>
      <c r="C1122" s="5" t="n">
        <v>46288</v>
      </c>
      <c r="D1122" t="inlineStr">
        <is>
          <t>DIRECT CREDIT KOOKABURRA PLAN SUPPOR RA45194</t>
        </is>
      </c>
      <c r="E1122" s="9" t="n">
        <v>2427.56</v>
      </c>
      <c r="F1122" t="inlineStr">
        <is>
          <t>OPS-20260923</t>
        </is>
      </c>
      <c r="G1122" t="inlineStr">
        <is>
          <t>G00473</t>
        </is>
      </c>
      <c r="H1122" t="str">
        <f>INDEX('Match Groups'!$C$5:$C$1326,MATCH(G1122,'Match Groups'!$A$5:$A$1326,0))</f>
        <v>R03</v>
      </c>
      <c r="I1122" t="str">
        <f>INDEX('Match Groups'!$D$5:$D$1326,MATCH(G1122,'Match Groups'!$A$5:$A$1326,0))</f>
        <v>REG</v>
      </c>
      <c r="J1122">
        <f>IF(I1122="DUPIMP",0,1)</f>
        <v>1</v>
      </c>
    </row>
    <row r="1123">
      <c r="A1123" t="inlineStr">
        <is>
          <t>BL-00398</t>
        </is>
      </c>
      <c r="B1123" t="inlineStr">
        <is>
          <t>OPS</t>
        </is>
      </c>
      <c r="C1123" s="5" t="n">
        <v>46288</v>
      </c>
      <c r="D1123" t="inlineStr">
        <is>
          <t>DIRECT CREDIT SOUTHERN CROSS PLA RA45195</t>
        </is>
      </c>
      <c r="E1123" s="9" t="n">
        <v>252.18</v>
      </c>
      <c r="F1123" t="inlineStr">
        <is>
          <t>OPS-20260923</t>
        </is>
      </c>
      <c r="G1123" t="inlineStr">
        <is>
          <t>G00474</t>
        </is>
      </c>
      <c r="H1123" t="str">
        <f>INDEX('Match Groups'!$C$5:$C$1326,MATCH(G1123,'Match Groups'!$A$5:$A$1326,0))</f>
        <v>R03</v>
      </c>
      <c r="I1123" t="str">
        <f>INDEX('Match Groups'!$D$5:$D$1326,MATCH(G1123,'Match Groups'!$A$5:$A$1326,0))</f>
        <v>MATCH</v>
      </c>
      <c r="J1123">
        <f>IF(I1123="DUPIMP",0,1)</f>
        <v>1</v>
      </c>
    </row>
    <row r="1124">
      <c r="A1124" t="inlineStr">
        <is>
          <t>BL-00399</t>
        </is>
      </c>
      <c r="B1124" t="inlineStr">
        <is>
          <t>OPS</t>
        </is>
      </c>
      <c r="C1124" s="5" t="n">
        <v>46288</v>
      </c>
      <c r="D1124" t="inlineStr">
        <is>
          <t>DIRECT CREDIT TALLOWWOOD PLANS RA45196</t>
        </is>
      </c>
      <c r="E1124" s="9" t="n">
        <v>854.45</v>
      </c>
      <c r="F1124" t="inlineStr">
        <is>
          <t>OPS-20260923</t>
        </is>
      </c>
      <c r="G1124" t="inlineStr">
        <is>
          <t>G00475</t>
        </is>
      </c>
      <c r="H1124" t="str">
        <f>INDEX('Match Groups'!$C$5:$C$1326,MATCH(G1124,'Match Groups'!$A$5:$A$1326,0))</f>
        <v>R03</v>
      </c>
      <c r="I1124" t="str">
        <f>INDEX('Match Groups'!$D$5:$D$1326,MATCH(G1124,'Match Groups'!$A$5:$A$1326,0))</f>
        <v>REG</v>
      </c>
      <c r="J1124">
        <f>IF(I1124="DUPIMP",0,1)</f>
        <v>1</v>
      </c>
    </row>
    <row r="1125">
      <c r="A1125" t="inlineStr">
        <is>
          <t>BL-00400</t>
        </is>
      </c>
      <c r="B1125" t="inlineStr">
        <is>
          <t>OPS</t>
        </is>
      </c>
      <c r="C1125" s="5" t="n">
        <v>46288</v>
      </c>
      <c r="D1125" t="inlineStr">
        <is>
          <t>DIRECT CREDIT MALLEE PLAN SERVIC RA45197</t>
        </is>
      </c>
      <c r="E1125" s="9" t="n">
        <v>417.98</v>
      </c>
      <c r="F1125" t="inlineStr">
        <is>
          <t>OPS-20260923</t>
        </is>
      </c>
      <c r="G1125" t="inlineStr">
        <is>
          <t>G00476</t>
        </is>
      </c>
      <c r="H1125" t="str">
        <f>INDEX('Match Groups'!$C$5:$C$1326,MATCH(G1125,'Match Groups'!$A$5:$A$1326,0))</f>
        <v>R03</v>
      </c>
      <c r="I1125" t="str">
        <f>INDEX('Match Groups'!$D$5:$D$1326,MATCH(G1125,'Match Groups'!$A$5:$A$1326,0))</f>
        <v>MATCH</v>
      </c>
      <c r="J1125">
        <f>IF(I1125="DUPIMP",0,1)</f>
        <v>1</v>
      </c>
    </row>
    <row r="1126">
      <c r="A1126" t="inlineStr">
        <is>
          <t>BL-00484</t>
        </is>
      </c>
      <c r="B1126" t="inlineStr">
        <is>
          <t>OPS</t>
        </is>
      </c>
      <c r="C1126" s="5" t="n">
        <v>46288</v>
      </c>
      <c r="D1126" t="inlineStr">
        <is>
          <t>DIRECT CREDIT UNITY WORKCOVER AGEN CLM5907014 INV03120</t>
        </is>
      </c>
      <c r="E1126" s="9" t="n">
        <v>176</v>
      </c>
      <c r="F1126" t="inlineStr">
        <is>
          <t>OPS-20260923</t>
        </is>
      </c>
      <c r="G1126" t="inlineStr">
        <is>
          <t>G01203</t>
        </is>
      </c>
      <c r="H1126" t="str">
        <f>INDEX('Match Groups'!$C$5:$C$1326,MATCH(G1126,'Match Groups'!$A$5:$A$1326,0))</f>
        <v>R11</v>
      </c>
      <c r="I1126" t="str">
        <f>INDEX('Match Groups'!$D$5:$D$1326,MATCH(G1126,'Match Groups'!$A$5:$A$1326,0))</f>
        <v>REG</v>
      </c>
      <c r="J1126">
        <f>IF(I1126="DUPIMP",0,1)</f>
        <v>1</v>
      </c>
    </row>
    <row r="1127">
      <c r="A1127" t="inlineStr">
        <is>
          <t>BL-00485</t>
        </is>
      </c>
      <c r="B1127" t="inlineStr">
        <is>
          <t>OPS</t>
        </is>
      </c>
      <c r="C1127" s="5" t="n">
        <v>46288</v>
      </c>
      <c r="D1127" t="inlineStr">
        <is>
          <t>DIRECT CREDIT UNITY WORKCOVER AG CLM5258722 03149</t>
        </is>
      </c>
      <c r="E1127" s="9" t="n">
        <v>264</v>
      </c>
      <c r="F1127" t="inlineStr">
        <is>
          <t>OPS-20260923</t>
        </is>
      </c>
      <c r="G1127" t="inlineStr">
        <is>
          <t>G01204</t>
        </is>
      </c>
      <c r="H1127" t="str">
        <f>INDEX('Match Groups'!$C$5:$C$1326,MATCH(G1127,'Match Groups'!$A$5:$A$1326,0))</f>
        <v>R11</v>
      </c>
      <c r="I1127" t="str">
        <f>INDEX('Match Groups'!$D$5:$D$1326,MATCH(G1127,'Match Groups'!$A$5:$A$1326,0))</f>
        <v>REG</v>
      </c>
      <c r="J1127">
        <f>IF(I1127="DUPIMP",0,1)</f>
        <v>1</v>
      </c>
    </row>
    <row r="1128">
      <c r="A1128" t="inlineStr">
        <is>
          <t>BL-00530</t>
        </is>
      </c>
      <c r="B1128" t="inlineStr">
        <is>
          <t>OPS</t>
        </is>
      </c>
      <c r="C1128" s="5" t="n">
        <v>46288</v>
      </c>
      <c r="D1128" t="inlineStr">
        <is>
          <t>DIRECT CREDIT MERIDIAN HEALTH COVE CLM5557084 INV 3031</t>
        </is>
      </c>
      <c r="E1128" s="9" t="n">
        <v>264</v>
      </c>
      <c r="F1128" t="inlineStr">
        <is>
          <t>OPS-20260923</t>
        </is>
      </c>
      <c r="G1128" t="inlineStr">
        <is>
          <t>G01079</t>
        </is>
      </c>
      <c r="H1128" t="str">
        <f>INDEX('Match Groups'!$C$5:$C$1326,MATCH(G1128,'Match Groups'!$A$5:$A$1326,0))</f>
        <v>R09</v>
      </c>
      <c r="I1128" t="str">
        <f>INDEX('Match Groups'!$D$5:$D$1326,MATCH(G1128,'Match Groups'!$A$5:$A$1326,0))</f>
        <v>MATCH</v>
      </c>
      <c r="J1128">
        <f>IF(I1128="DUPIMP",0,1)</f>
        <v>1</v>
      </c>
    </row>
    <row r="1129">
      <c r="A1129" t="inlineStr">
        <is>
          <t>BL-00747</t>
        </is>
      </c>
      <c r="B1129" t="inlineStr">
        <is>
          <t>OPS</t>
        </is>
      </c>
      <c r="C1129" s="5" t="n">
        <v>46288</v>
      </c>
      <c r="D1129" t="inlineStr">
        <is>
          <t>STRIPE PAYOUT STRIPE po_1Q0061KX</t>
        </is>
      </c>
      <c r="E1129" s="9" t="n">
        <v>4253.81</v>
      </c>
      <c r="F1129" t="inlineStr">
        <is>
          <t>OPS-20260923</t>
        </is>
      </c>
      <c r="G1129" t="inlineStr">
        <is>
          <t>G00074</t>
        </is>
      </c>
      <c r="H1129" t="str">
        <f>INDEX('Match Groups'!$C$5:$C$1326,MATCH(G1129,'Match Groups'!$A$5:$A$1326,0))</f>
        <v>R02</v>
      </c>
      <c r="I1129" t="str">
        <f>INDEX('Match Groups'!$D$5:$D$1326,MATCH(G1129,'Match Groups'!$A$5:$A$1326,0))</f>
        <v>STRIPE-FEE</v>
      </c>
      <c r="J1129">
        <f>IF(I1129="DUPIMP",0,1)</f>
        <v>1</v>
      </c>
    </row>
    <row r="1130">
      <c r="A1130" t="inlineStr">
        <is>
          <t>BL-00766</t>
        </is>
      </c>
      <c r="B1130" t="inlineStr">
        <is>
          <t>OPS</t>
        </is>
      </c>
      <c r="C1130" s="5" t="n">
        <v>46288</v>
      </c>
      <c r="D1130" t="inlineStr">
        <is>
          <t>ABA PAYMENT FILE 0423 10 PAYMENTS</t>
        </is>
      </c>
      <c r="E1130" s="9" t="n">
        <v>-12487.2</v>
      </c>
      <c r="F1130" t="inlineStr">
        <is>
          <t>OPS-20260923</t>
        </is>
      </c>
      <c r="G1130" t="inlineStr">
        <is>
          <t>G00545</t>
        </is>
      </c>
      <c r="H1130" t="str">
        <f>INDEX('Match Groups'!$C$5:$C$1326,MATCH(G1130,'Match Groups'!$A$5:$A$1326,0))</f>
        <v>R06</v>
      </c>
      <c r="I1130" t="str">
        <f>INDEX('Match Groups'!$D$5:$D$1326,MATCH(G1130,'Match Groups'!$A$5:$A$1326,0))</f>
        <v>MATCH</v>
      </c>
      <c r="J1130">
        <f>IF(I1130="DUPIMP",0,1)</f>
        <v>1</v>
      </c>
    </row>
    <row r="1131">
      <c r="A1131" t="inlineStr">
        <is>
          <t>BL-01184</t>
        </is>
      </c>
      <c r="B1131" t="inlineStr">
        <is>
          <t>OPS</t>
        </is>
      </c>
      <c r="C1131" s="5" t="n">
        <v>46288</v>
      </c>
      <c r="D1131" t="inlineStr">
        <is>
          <t>TFR TO PAYROLL CLEARING PR260924</t>
        </is>
      </c>
      <c r="E1131" s="9" t="n">
        <v>-167264.9</v>
      </c>
      <c r="F1131" t="inlineStr">
        <is>
          <t>OPS-20260923</t>
        </is>
      </c>
      <c r="G1131" t="inlineStr">
        <is>
          <t>G00546</t>
        </is>
      </c>
      <c r="H1131" t="str">
        <f>INDEX('Match Groups'!$C$5:$C$1326,MATCH(G1131,'Match Groups'!$A$5:$A$1326,0))</f>
        <v>R04</v>
      </c>
      <c r="I1131" t="str">
        <f>INDEX('Match Groups'!$D$5:$D$1326,MATCH(G1131,'Match Groups'!$A$5:$A$1326,0))</f>
        <v>MATCH</v>
      </c>
      <c r="J1131">
        <f>IF(I1131="DUPIMP",0,1)</f>
        <v>1</v>
      </c>
    </row>
    <row r="1132">
      <c r="A1132" t="inlineStr">
        <is>
          <t>BL-00401</t>
        </is>
      </c>
      <c r="B1132" t="inlineStr">
        <is>
          <t>OPS</t>
        </is>
      </c>
      <c r="C1132" s="5" t="n">
        <v>46289</v>
      </c>
      <c r="D1132" t="inlineStr">
        <is>
          <t>DIRECT CREDIT BLUEGUM PLAN MGMT RA45198</t>
        </is>
      </c>
      <c r="E1132" s="9" t="n">
        <v>834.16</v>
      </c>
      <c r="F1132" t="inlineStr">
        <is>
          <t>OPS-20260924</t>
        </is>
      </c>
      <c r="G1132" t="inlineStr">
        <is>
          <t>G00477</t>
        </is>
      </c>
      <c r="H1132" t="str">
        <f>INDEX('Match Groups'!$C$5:$C$1326,MATCH(G1132,'Match Groups'!$A$5:$A$1326,0))</f>
        <v>R03</v>
      </c>
      <c r="I1132" t="str">
        <f>INDEX('Match Groups'!$D$5:$D$1326,MATCH(G1132,'Match Groups'!$A$5:$A$1326,0))</f>
        <v>MATCH</v>
      </c>
      <c r="J1132">
        <f>IF(I1132="DUPIMP",0,1)</f>
        <v>1</v>
      </c>
    </row>
    <row r="1133">
      <c r="A1133" t="inlineStr">
        <is>
          <t>BL-00402</t>
        </is>
      </c>
      <c r="B1133" t="inlineStr">
        <is>
          <t>OPS</t>
        </is>
      </c>
      <c r="C1133" s="5" t="n">
        <v>46289</v>
      </c>
      <c r="D1133" t="inlineStr">
        <is>
          <t>DIRECT CREDIT CLEARPATH NDIS PLANS P RA45199</t>
        </is>
      </c>
      <c r="E1133" s="9" t="n">
        <v>1397.63</v>
      </c>
      <c r="F1133" t="inlineStr">
        <is>
          <t>OPS-20260924</t>
        </is>
      </c>
      <c r="G1133" t="inlineStr">
        <is>
          <t>G00478</t>
        </is>
      </c>
      <c r="H1133" t="str">
        <f>INDEX('Match Groups'!$C$5:$C$1326,MATCH(G1133,'Match Groups'!$A$5:$A$1326,0))</f>
        <v>R03</v>
      </c>
      <c r="I1133" t="str">
        <f>INDEX('Match Groups'!$D$5:$D$1326,MATCH(G1133,'Match Groups'!$A$5:$A$1326,0))</f>
        <v>MATCH</v>
      </c>
      <c r="J1133">
        <f>IF(I1133="DUPIMP",0,1)</f>
        <v>1</v>
      </c>
    </row>
    <row r="1134">
      <c r="A1134" t="inlineStr">
        <is>
          <t>BL-00403</t>
        </is>
      </c>
      <c r="B1134" t="inlineStr">
        <is>
          <t>OPS</t>
        </is>
      </c>
      <c r="C1134" s="5" t="n">
        <v>46289</v>
      </c>
      <c r="D1134" t="inlineStr">
        <is>
          <t>DIRECT CREDIT BANKSIA PLAN CO PTY LT RA45200</t>
        </is>
      </c>
      <c r="E1134" s="9" t="n">
        <v>1088.14</v>
      </c>
      <c r="F1134" t="inlineStr">
        <is>
          <t>OPS-20260924</t>
        </is>
      </c>
      <c r="G1134" t="inlineStr">
        <is>
          <t>G00479</t>
        </is>
      </c>
      <c r="H1134" t="str">
        <f>INDEX('Match Groups'!$C$5:$C$1326,MATCH(G1134,'Match Groups'!$A$5:$A$1326,0))</f>
        <v>R03</v>
      </c>
      <c r="I1134" t="str">
        <f>INDEX('Match Groups'!$D$5:$D$1326,MATCH(G1134,'Match Groups'!$A$5:$A$1326,0))</f>
        <v>MATCH</v>
      </c>
      <c r="J1134">
        <f>IF(I1134="DUPIMP",0,1)</f>
        <v>1</v>
      </c>
    </row>
    <row r="1135">
      <c r="A1135" t="inlineStr">
        <is>
          <t>BL-00404</t>
        </is>
      </c>
      <c r="B1135" t="inlineStr">
        <is>
          <t>OPS</t>
        </is>
      </c>
      <c r="C1135" s="5" t="n">
        <v>46289</v>
      </c>
      <c r="D1135" t="inlineStr">
        <is>
          <t>DIRECT CREDIT REDGUM PLAN ADMIN RA45201</t>
        </is>
      </c>
      <c r="E1135" s="9" t="n">
        <v>349.18</v>
      </c>
      <c r="F1135" t="inlineStr">
        <is>
          <t>OPS-20260924</t>
        </is>
      </c>
      <c r="G1135" t="inlineStr">
        <is>
          <t>G00480</t>
        </is>
      </c>
      <c r="H1135" t="str">
        <f>INDEX('Match Groups'!$C$5:$C$1326,MATCH(G1135,'Match Groups'!$A$5:$A$1326,0))</f>
        <v>R03</v>
      </c>
      <c r="I1135" t="str">
        <f>INDEX('Match Groups'!$D$5:$D$1326,MATCH(G1135,'Match Groups'!$A$5:$A$1326,0))</f>
        <v>MATCH</v>
      </c>
      <c r="J1135">
        <f>IF(I1135="DUPIMP",0,1)</f>
        <v>1</v>
      </c>
    </row>
    <row r="1136">
      <c r="A1136" t="inlineStr">
        <is>
          <t>BL-00405</t>
        </is>
      </c>
      <c r="B1136" t="inlineStr">
        <is>
          <t>OPS</t>
        </is>
      </c>
      <c r="C1136" s="5" t="n">
        <v>46289</v>
      </c>
      <c r="D1136" t="inlineStr">
        <is>
          <t>DIRECT CREDIT ACACIA PLAN PARTNERS RA45202</t>
        </is>
      </c>
      <c r="E1136" s="9" t="n">
        <v>193.99</v>
      </c>
      <c r="F1136" t="inlineStr">
        <is>
          <t>OPS-20260924</t>
        </is>
      </c>
      <c r="G1136" t="inlineStr">
        <is>
          <t>G00481</t>
        </is>
      </c>
      <c r="H1136" t="str">
        <f>INDEX('Match Groups'!$C$5:$C$1326,MATCH(G1136,'Match Groups'!$A$5:$A$1326,0))</f>
        <v>R03</v>
      </c>
      <c r="I1136" t="str">
        <f>INDEX('Match Groups'!$D$5:$D$1326,MATCH(G1136,'Match Groups'!$A$5:$A$1326,0))</f>
        <v>MATCH</v>
      </c>
      <c r="J1136">
        <f>IF(I1136="DUPIMP",0,1)</f>
        <v>1</v>
      </c>
    </row>
    <row r="1137">
      <c r="A1137" t="inlineStr">
        <is>
          <t>BL-00507</t>
        </is>
      </c>
      <c r="B1137" t="inlineStr">
        <is>
          <t>OPS</t>
        </is>
      </c>
      <c r="C1137" s="5" t="n">
        <v>46289</v>
      </c>
      <c r="D1137" t="inlineStr">
        <is>
          <t>DIRECT CREDIT PINNACLE CLAIMS SE CLM5801524 INV/2026/03172</t>
        </is>
      </c>
      <c r="E1137" s="9" t="n">
        <v>990</v>
      </c>
      <c r="F1137" t="inlineStr">
        <is>
          <t>OPS-20260924</t>
        </is>
      </c>
      <c r="G1137" t="inlineStr">
        <is>
          <t>G01080</t>
        </is>
      </c>
      <c r="H1137" t="str">
        <f>INDEX('Match Groups'!$C$5:$C$1326,MATCH(G1137,'Match Groups'!$A$5:$A$1326,0))</f>
        <v>R09</v>
      </c>
      <c r="I1137" t="str">
        <f>INDEX('Match Groups'!$D$5:$D$1326,MATCH(G1137,'Match Groups'!$A$5:$A$1326,0))</f>
        <v>MATCH</v>
      </c>
      <c r="J1137">
        <f>IF(I1137="DUPIMP",0,1)</f>
        <v>1</v>
      </c>
    </row>
    <row r="1138">
      <c r="A1138" t="inlineStr">
        <is>
          <t>BL-00748</t>
        </is>
      </c>
      <c r="B1138" t="inlineStr">
        <is>
          <t>OPS</t>
        </is>
      </c>
      <c r="C1138" s="5" t="n">
        <v>46289</v>
      </c>
      <c r="D1138" t="inlineStr">
        <is>
          <t>STRIPE PAYOUT STRIPE po_1Q0062KX</t>
        </is>
      </c>
      <c r="E1138" s="9" t="n">
        <v>2475.41</v>
      </c>
      <c r="F1138" t="inlineStr">
        <is>
          <t>OPS-20260924</t>
        </is>
      </c>
      <c r="G1138" t="inlineStr">
        <is>
          <t>G00075</t>
        </is>
      </c>
      <c r="H1138" t="str">
        <f>INDEX('Match Groups'!$C$5:$C$1326,MATCH(G1138,'Match Groups'!$A$5:$A$1326,0))</f>
        <v>R02</v>
      </c>
      <c r="I1138" t="str">
        <f>INDEX('Match Groups'!$D$5:$D$1326,MATCH(G1138,'Match Groups'!$A$5:$A$1326,0))</f>
        <v>STRIPE-FEE</v>
      </c>
      <c r="J1138">
        <f>IF(I1138="DUPIMP",0,1)</f>
        <v>1</v>
      </c>
    </row>
    <row r="1139">
      <c r="A1139" t="inlineStr">
        <is>
          <t>BL-00406</t>
        </is>
      </c>
      <c r="B1139" t="inlineStr">
        <is>
          <t>OPS</t>
        </is>
      </c>
      <c r="C1139" s="5" t="n">
        <v>46290</v>
      </c>
      <c r="D1139" t="inlineStr">
        <is>
          <t>DIRECT CREDIT CLEARPATHNDISPLA RA45203</t>
        </is>
      </c>
      <c r="E1139" s="9" t="n">
        <v>727.46</v>
      </c>
      <c r="F1139" t="inlineStr">
        <is>
          <t>OPS-20260925</t>
        </is>
      </c>
      <c r="G1139" t="inlineStr">
        <is>
          <t>G00482</t>
        </is>
      </c>
      <c r="H1139" t="str">
        <f>INDEX('Match Groups'!$C$5:$C$1326,MATCH(G1139,'Match Groups'!$A$5:$A$1326,0))</f>
        <v>R03</v>
      </c>
      <c r="I1139" t="str">
        <f>INDEX('Match Groups'!$D$5:$D$1326,MATCH(G1139,'Match Groups'!$A$5:$A$1326,0))</f>
        <v>MATCH</v>
      </c>
      <c r="J1139">
        <f>IF(I1139="DUPIMP",0,1)</f>
        <v>1</v>
      </c>
    </row>
    <row r="1140">
      <c r="A1140" t="inlineStr">
        <is>
          <t>BL-00407</t>
        </is>
      </c>
      <c r="B1140" t="inlineStr">
        <is>
          <t>OPS</t>
        </is>
      </c>
      <c r="C1140" s="5" t="n">
        <v>46290</v>
      </c>
      <c r="D1140" t="inlineStr">
        <is>
          <t>DIRECT CREDIT KOOKABURRA PLAN SUPPOR RA45204</t>
        </is>
      </c>
      <c r="E1140" s="9" t="n">
        <v>1058.14</v>
      </c>
      <c r="F1140" t="inlineStr">
        <is>
          <t>OPS-20260925</t>
        </is>
      </c>
      <c r="G1140" t="inlineStr">
        <is>
          <t>G00483</t>
        </is>
      </c>
      <c r="H1140" t="str">
        <f>INDEX('Match Groups'!$C$5:$C$1326,MATCH(G1140,'Match Groups'!$A$5:$A$1326,0))</f>
        <v>R03</v>
      </c>
      <c r="I1140" t="str">
        <f>INDEX('Match Groups'!$D$5:$D$1326,MATCH(G1140,'Match Groups'!$A$5:$A$1326,0))</f>
        <v>MATCH</v>
      </c>
      <c r="J1140">
        <f>IF(I1140="DUPIMP",0,1)</f>
        <v>1</v>
      </c>
    </row>
    <row r="1141">
      <c r="A1141" t="inlineStr">
        <is>
          <t>BL-00408</t>
        </is>
      </c>
      <c r="B1141" t="inlineStr">
        <is>
          <t>OPS</t>
        </is>
      </c>
      <c r="C1141" s="5" t="n">
        <v>46290</v>
      </c>
      <c r="D1141" t="inlineStr">
        <is>
          <t>DIRECT CREDIT SALTBUSHPLANMANA RA45205</t>
        </is>
      </c>
      <c r="E1141" s="9" t="n">
        <v>728.36</v>
      </c>
      <c r="F1141" t="inlineStr">
        <is>
          <t>OPS-20260925</t>
        </is>
      </c>
      <c r="G1141" t="inlineStr">
        <is>
          <t>G00484</t>
        </is>
      </c>
      <c r="H1141" t="str">
        <f>INDEX('Match Groups'!$C$5:$C$1326,MATCH(G1141,'Match Groups'!$A$5:$A$1326,0))</f>
        <v>R03</v>
      </c>
      <c r="I1141" t="str">
        <f>INDEX('Match Groups'!$D$5:$D$1326,MATCH(G1141,'Match Groups'!$A$5:$A$1326,0))</f>
        <v>MATCH</v>
      </c>
      <c r="J1141">
        <f>IF(I1141="DUPIMP",0,1)</f>
        <v>1</v>
      </c>
    </row>
    <row r="1142">
      <c r="A1142" t="inlineStr">
        <is>
          <t>BL-00409</t>
        </is>
      </c>
      <c r="B1142" t="inlineStr">
        <is>
          <t>OPS</t>
        </is>
      </c>
      <c r="C1142" s="5" t="n">
        <v>46290</v>
      </c>
      <c r="D1142" t="inlineStr">
        <is>
          <t>DIRECT CREDIT REDGUMPLANADMIN RA45206</t>
        </is>
      </c>
      <c r="E1142" s="9" t="n">
        <v>387.98</v>
      </c>
      <c r="F1142" t="inlineStr">
        <is>
          <t>OPS-20260925</t>
        </is>
      </c>
      <c r="G1142" t="inlineStr">
        <is>
          <t>G00485</t>
        </is>
      </c>
      <c r="H1142" t="str">
        <f>INDEX('Match Groups'!$C$5:$C$1326,MATCH(G1142,'Match Groups'!$A$5:$A$1326,0))</f>
        <v>R03</v>
      </c>
      <c r="I1142" t="str">
        <f>INDEX('Match Groups'!$D$5:$D$1326,MATCH(G1142,'Match Groups'!$A$5:$A$1326,0))</f>
        <v>MATCH</v>
      </c>
      <c r="J1142">
        <f>IF(I1142="DUPIMP",0,1)</f>
        <v>1</v>
      </c>
    </row>
    <row r="1143">
      <c r="A1143" t="inlineStr">
        <is>
          <t>BL-00410</t>
        </is>
      </c>
      <c r="B1143" t="inlineStr">
        <is>
          <t>OPS</t>
        </is>
      </c>
      <c r="C1143" s="5" t="n">
        <v>46290</v>
      </c>
      <c r="D1143" t="inlineStr">
        <is>
          <t>DIRECT CREDIT SOUTHERN CROSS PLAN RA45207</t>
        </is>
      </c>
      <c r="E1143" s="9" t="n">
        <v>436.48</v>
      </c>
      <c r="F1143" t="inlineStr">
        <is>
          <t>OPS-20260925</t>
        </is>
      </c>
      <c r="G1143" t="inlineStr">
        <is>
          <t>G00486</t>
        </is>
      </c>
      <c r="H1143" t="str">
        <f>INDEX('Match Groups'!$C$5:$C$1326,MATCH(G1143,'Match Groups'!$A$5:$A$1326,0))</f>
        <v>R03</v>
      </c>
      <c r="I1143" t="str">
        <f>INDEX('Match Groups'!$D$5:$D$1326,MATCH(G1143,'Match Groups'!$A$5:$A$1326,0))</f>
        <v>MATCH</v>
      </c>
      <c r="J1143">
        <f>IF(I1143="DUPIMP",0,1)</f>
        <v>1</v>
      </c>
    </row>
    <row r="1144">
      <c r="A1144" t="inlineStr">
        <is>
          <t>BL-00411</t>
        </is>
      </c>
      <c r="B1144" t="inlineStr">
        <is>
          <t>OPS</t>
        </is>
      </c>
      <c r="C1144" s="5" t="n">
        <v>46290</v>
      </c>
      <c r="D1144" t="inlineStr">
        <is>
          <t>DIRECT CREDIT LYREBIRD PLAN MGMT RA45208</t>
        </is>
      </c>
      <c r="E1144" s="9" t="n">
        <v>864.15</v>
      </c>
      <c r="F1144" t="inlineStr">
        <is>
          <t>OPS-20260925</t>
        </is>
      </c>
      <c r="G1144" t="inlineStr">
        <is>
          <t>G00487</t>
        </is>
      </c>
      <c r="H1144" t="str">
        <f>INDEX('Match Groups'!$C$5:$C$1326,MATCH(G1144,'Match Groups'!$A$5:$A$1326,0))</f>
        <v>R03</v>
      </c>
      <c r="I1144" t="str">
        <f>INDEX('Match Groups'!$D$5:$D$1326,MATCH(G1144,'Match Groups'!$A$5:$A$1326,0))</f>
        <v>MATCH</v>
      </c>
      <c r="J1144">
        <f>IF(I1144="DUPIMP",0,1)</f>
        <v>1</v>
      </c>
    </row>
    <row r="1145">
      <c r="A1145" t="inlineStr">
        <is>
          <t>BL-00444</t>
        </is>
      </c>
      <c r="B1145" t="inlineStr">
        <is>
          <t>OPS</t>
        </is>
      </c>
      <c r="C1145" s="5" t="n">
        <v>46290</v>
      </c>
      <c r="D1145" t="inlineStr">
        <is>
          <t>DIRECT CREDIT HARBOUR MUTUAL HEALT CLM5128539 RE INV 2026 03008</t>
        </is>
      </c>
      <c r="E1145" s="9" t="n">
        <v>264</v>
      </c>
      <c r="F1145" t="inlineStr">
        <is>
          <t>OPS-20260925</t>
        </is>
      </c>
      <c r="G1145" t="inlineStr">
        <is>
          <t>G01081</t>
        </is>
      </c>
      <c r="H1145" t="str">
        <f>INDEX('Match Groups'!$C$5:$C$1326,MATCH(G1145,'Match Groups'!$A$5:$A$1326,0))</f>
        <v>R09</v>
      </c>
      <c r="I1145" t="str">
        <f>INDEX('Match Groups'!$D$5:$D$1326,MATCH(G1145,'Match Groups'!$A$5:$A$1326,0))</f>
        <v>MATCH</v>
      </c>
      <c r="J1145">
        <f>IF(I1145="DUPIMP",0,1)</f>
        <v>1</v>
      </c>
    </row>
    <row r="1146">
      <c r="A1146" t="inlineStr">
        <is>
          <t>BL-00463</t>
        </is>
      </c>
      <c r="B1146" t="inlineStr">
        <is>
          <t>OPS</t>
        </is>
      </c>
      <c r="C1146" s="5" t="n">
        <v>46290</v>
      </c>
      <c r="D1146" t="inlineStr">
        <is>
          <t>DIRECT CREDIT COASTLINE HEALTH FUN CLM5990758 03189</t>
        </is>
      </c>
      <c r="E1146" s="9" t="n">
        <v>264</v>
      </c>
      <c r="F1146" t="inlineStr">
        <is>
          <t>OPS-20260925</t>
        </is>
      </c>
      <c r="G1146" t="inlineStr">
        <is>
          <t>G01205</t>
        </is>
      </c>
      <c r="H1146" t="str">
        <f>INDEX('Match Groups'!$C$5:$C$1326,MATCH(G1146,'Match Groups'!$A$5:$A$1326,0))</f>
        <v>R11</v>
      </c>
      <c r="I1146" t="str">
        <f>INDEX('Match Groups'!$D$5:$D$1326,MATCH(G1146,'Match Groups'!$A$5:$A$1326,0))</f>
        <v>REG</v>
      </c>
      <c r="J1146">
        <f>IF(I1146="DUPIMP",0,1)</f>
        <v>1</v>
      </c>
    </row>
    <row r="1147">
      <c r="A1147" t="inlineStr">
        <is>
          <t>BL-00529</t>
        </is>
      </c>
      <c r="B1147" t="inlineStr">
        <is>
          <t>OPS</t>
        </is>
      </c>
      <c r="C1147" s="5" t="n">
        <v>46290</v>
      </c>
      <c r="D1147" t="inlineStr">
        <is>
          <t>DIRECT CREDIT MERIDIAN HEALTH COVE CLM5584499 INV 2987</t>
        </is>
      </c>
      <c r="E1147" s="9" t="n">
        <v>990</v>
      </c>
      <c r="F1147" t="inlineStr">
        <is>
          <t>OPS-20260925</t>
        </is>
      </c>
      <c r="G1147" t="inlineStr">
        <is>
          <t>G01082</t>
        </is>
      </c>
      <c r="H1147" t="str">
        <f>INDEX('Match Groups'!$C$5:$C$1326,MATCH(G1147,'Match Groups'!$A$5:$A$1326,0))</f>
        <v>R09</v>
      </c>
      <c r="I1147" t="str">
        <f>INDEX('Match Groups'!$D$5:$D$1326,MATCH(G1147,'Match Groups'!$A$5:$A$1326,0))</f>
        <v>MATCH</v>
      </c>
      <c r="J1147">
        <f>IF(I1147="DUPIMP",0,1)</f>
        <v>1</v>
      </c>
    </row>
    <row r="1148">
      <c r="A1148" t="inlineStr">
        <is>
          <t>BL-00552</t>
        </is>
      </c>
      <c r="B1148" t="inlineStr">
        <is>
          <t>OPS</t>
        </is>
      </c>
      <c r="C1148" s="5" t="n">
        <v>46290</v>
      </c>
      <c r="D1148" t="inlineStr">
        <is>
          <t>DIRECT CREDIT NORTHLINE INJURY CLAIM CLM5978463 INV03010</t>
        </is>
      </c>
      <c r="E1148" s="9" t="n">
        <v>990</v>
      </c>
      <c r="F1148" t="inlineStr">
        <is>
          <t>OPS-20260925</t>
        </is>
      </c>
      <c r="G1148" t="inlineStr">
        <is>
          <t>G01083</t>
        </is>
      </c>
      <c r="H1148" t="str">
        <f>INDEX('Match Groups'!$C$5:$C$1326,MATCH(G1148,'Match Groups'!$A$5:$A$1326,0))</f>
        <v>R09</v>
      </c>
      <c r="I1148" t="str">
        <f>INDEX('Match Groups'!$D$5:$D$1326,MATCH(G1148,'Match Groups'!$A$5:$A$1326,0))</f>
        <v>MATCH</v>
      </c>
      <c r="J1148">
        <f>IF(I1148="DUPIMP",0,1)</f>
        <v>1</v>
      </c>
    </row>
    <row r="1149">
      <c r="A1149" t="inlineStr">
        <is>
          <t>BL-00560</t>
        </is>
      </c>
      <c r="B1149" t="inlineStr">
        <is>
          <t>OPS</t>
        </is>
      </c>
      <c r="C1149" s="5" t="n">
        <v>46290</v>
      </c>
      <c r="D1149" t="inlineStr">
        <is>
          <t>DIRECT CREDIT KESTREL LANE FOODS INV03516</t>
        </is>
      </c>
      <c r="E1149" s="9" t="n">
        <v>2791.25</v>
      </c>
      <c r="F1149" t="inlineStr">
        <is>
          <t>OPS-20260925</t>
        </is>
      </c>
      <c r="G1149" t="inlineStr">
        <is>
          <t>G01084</t>
        </is>
      </c>
      <c r="H1149" t="str">
        <f>INDEX('Match Groups'!$C$5:$C$1326,MATCH(G1149,'Match Groups'!$A$5:$A$1326,0))</f>
        <v>R09</v>
      </c>
      <c r="I1149" t="str">
        <f>INDEX('Match Groups'!$D$5:$D$1326,MATCH(G1149,'Match Groups'!$A$5:$A$1326,0))</f>
        <v>MATCH</v>
      </c>
      <c r="J1149">
        <f>IF(I1149="DUPIMP",0,1)</f>
        <v>1</v>
      </c>
    </row>
    <row r="1150">
      <c r="A1150" t="inlineStr">
        <is>
          <t>BL-00588</t>
        </is>
      </c>
      <c r="B1150" t="inlineStr">
        <is>
          <t>OPS</t>
        </is>
      </c>
      <c r="C1150" s="5" t="n">
        <v>46290</v>
      </c>
      <c r="D1150" t="inlineStr">
        <is>
          <t>DIRECT CREDIT MARLOWE PRINT AND PACK</t>
        </is>
      </c>
      <c r="E1150" s="9" t="n">
        <v>3547.5</v>
      </c>
      <c r="F1150" t="inlineStr">
        <is>
          <t>OPS-20260925</t>
        </is>
      </c>
      <c r="G1150" t="inlineStr">
        <is>
          <t>G01165</t>
        </is>
      </c>
      <c r="H1150" t="str">
        <f>INDEX('Match Groups'!$C$5:$C$1326,MATCH(G1150,'Match Groups'!$A$5:$A$1326,0))</f>
        <v>R10</v>
      </c>
      <c r="I1150" t="str">
        <f>INDEX('Match Groups'!$D$5:$D$1326,MATCH(G1150,'Match Groups'!$A$5:$A$1326,0))</f>
        <v>MATCH</v>
      </c>
      <c r="J1150">
        <f>IF(I1150="DUPIMP",0,1)</f>
        <v>1</v>
      </c>
    </row>
    <row r="1151">
      <c r="A1151" t="inlineStr">
        <is>
          <t>BL-00605</t>
        </is>
      </c>
      <c r="B1151" t="inlineStr">
        <is>
          <t>OPS</t>
        </is>
      </c>
      <c r="C1151" s="5" t="n">
        <v>46290</v>
      </c>
      <c r="D1151" t="inlineStr">
        <is>
          <t>DIRECT CREDIT WESTMERECOUNCILS INV 3535</t>
        </is>
      </c>
      <c r="E1151" s="9" t="n">
        <v>16101.25</v>
      </c>
      <c r="F1151" t="inlineStr">
        <is>
          <t>OPS-20260925</t>
        </is>
      </c>
      <c r="G1151" t="inlineStr">
        <is>
          <t>G01206</t>
        </is>
      </c>
      <c r="H1151" t="str">
        <f>INDEX('Match Groups'!$C$5:$C$1326,MATCH(G1151,'Match Groups'!$A$5:$A$1326,0))</f>
        <v>R11</v>
      </c>
      <c r="I1151" t="str">
        <f>INDEX('Match Groups'!$D$5:$D$1326,MATCH(G1151,'Match Groups'!$A$5:$A$1326,0))</f>
        <v>REG</v>
      </c>
      <c r="J1151">
        <f>IF(I1151="DUPIMP",0,1)</f>
        <v>1</v>
      </c>
    </row>
    <row r="1152">
      <c r="A1152" t="inlineStr">
        <is>
          <t>BL-00620</t>
        </is>
      </c>
      <c r="B1152" t="inlineStr">
        <is>
          <t>OPS</t>
        </is>
      </c>
      <c r="C1152" s="5" t="n">
        <v>46290</v>
      </c>
      <c r="D1152" t="inlineStr">
        <is>
          <t>DIRECT CREDIT ASHGROVEACCOUNTI INV 3543</t>
        </is>
      </c>
      <c r="E1152" s="9" t="n">
        <v>2035</v>
      </c>
      <c r="F1152" t="inlineStr">
        <is>
          <t>OPS-20260925</t>
        </is>
      </c>
      <c r="G1152" t="inlineStr">
        <is>
          <t>G01085</t>
        </is>
      </c>
      <c r="H1152" t="str">
        <f>INDEX('Match Groups'!$C$5:$C$1326,MATCH(G1152,'Match Groups'!$A$5:$A$1326,0))</f>
        <v>R09</v>
      </c>
      <c r="I1152" t="str">
        <f>INDEX('Match Groups'!$D$5:$D$1326,MATCH(G1152,'Match Groups'!$A$5:$A$1326,0))</f>
        <v>MATCH</v>
      </c>
      <c r="J1152">
        <f>IF(I1152="DUPIMP",0,1)</f>
        <v>1</v>
      </c>
    </row>
    <row r="1153">
      <c r="A1153" t="inlineStr">
        <is>
          <t>BL-00645</t>
        </is>
      </c>
      <c r="B1153" t="inlineStr">
        <is>
          <t>OPS</t>
        </is>
      </c>
      <c r="C1153" s="5" t="n">
        <v>46290</v>
      </c>
      <c r="D1153" t="inlineStr">
        <is>
          <t>DIRECT CREDIT INGLEWOOD COLD STORAGE INV/2026/03553</t>
        </is>
      </c>
      <c r="E1153" s="9" t="n">
        <v>10725</v>
      </c>
      <c r="F1153" t="inlineStr">
        <is>
          <t>OPS-20260925</t>
        </is>
      </c>
      <c r="G1153" t="inlineStr">
        <is>
          <t>G01086</t>
        </is>
      </c>
      <c r="H1153" t="str">
        <f>INDEX('Match Groups'!$C$5:$C$1326,MATCH(G1153,'Match Groups'!$A$5:$A$1326,0))</f>
        <v>R09</v>
      </c>
      <c r="I1153" t="str">
        <f>INDEX('Match Groups'!$D$5:$D$1326,MATCH(G1153,'Match Groups'!$A$5:$A$1326,0))</f>
        <v>MATCH</v>
      </c>
      <c r="J1153">
        <f>IF(I1153="DUPIMP",0,1)</f>
        <v>1</v>
      </c>
    </row>
    <row r="1154">
      <c r="A1154" t="inlineStr">
        <is>
          <t>BL-00649</t>
        </is>
      </c>
      <c r="B1154" t="inlineStr">
        <is>
          <t>OPS</t>
        </is>
      </c>
      <c r="C1154" s="5" t="n">
        <v>46290</v>
      </c>
      <c r="D1154" t="inlineStr">
        <is>
          <t>DIRECT CREDIT JARRAH RIDGE ESTATES INV03555</t>
        </is>
      </c>
      <c r="E1154" s="9" t="n">
        <v>5280</v>
      </c>
      <c r="F1154" t="inlineStr">
        <is>
          <t>OPS-20260925</t>
        </is>
      </c>
      <c r="G1154" t="inlineStr">
        <is>
          <t>G01087</t>
        </is>
      </c>
      <c r="H1154" t="str">
        <f>INDEX('Match Groups'!$C$5:$C$1326,MATCH(G1154,'Match Groups'!$A$5:$A$1326,0))</f>
        <v>R09</v>
      </c>
      <c r="I1154" t="str">
        <f>INDEX('Match Groups'!$D$5:$D$1326,MATCH(G1154,'Match Groups'!$A$5:$A$1326,0))</f>
        <v>MATCH</v>
      </c>
      <c r="J1154">
        <f>IF(I1154="DUPIMP",0,1)</f>
        <v>1</v>
      </c>
    </row>
    <row r="1155">
      <c r="A1155" t="inlineStr">
        <is>
          <t>BL-00656</t>
        </is>
      </c>
      <c r="B1155" t="inlineStr">
        <is>
          <t>OPS</t>
        </is>
      </c>
      <c r="C1155" s="5" t="n">
        <v>46290</v>
      </c>
      <c r="D1155" t="inlineStr">
        <is>
          <t>DIRECT CREDIT LOCKHARTGLASS 03558</t>
        </is>
      </c>
      <c r="E1155" s="9" t="n">
        <v>2791.25</v>
      </c>
      <c r="F1155" t="inlineStr">
        <is>
          <t>OPS-20260925</t>
        </is>
      </c>
      <c r="G1155" t="inlineStr">
        <is>
          <t>G01088</t>
        </is>
      </c>
      <c r="H1155" t="str">
        <f>INDEX('Match Groups'!$C$5:$C$1326,MATCH(G1155,'Match Groups'!$A$5:$A$1326,0))</f>
        <v>R09</v>
      </c>
      <c r="I1155" t="str">
        <f>INDEX('Match Groups'!$D$5:$D$1326,MATCH(G1155,'Match Groups'!$A$5:$A$1326,0))</f>
        <v>MATCH</v>
      </c>
      <c r="J1155">
        <f>IF(I1155="DUPIMP",0,1)</f>
        <v>1</v>
      </c>
    </row>
    <row r="1156">
      <c r="A1156" t="inlineStr">
        <is>
          <t>BL-00662</t>
        </is>
      </c>
      <c r="B1156" t="inlineStr">
        <is>
          <t>OPS</t>
        </is>
      </c>
      <c r="C1156" s="5" t="n">
        <v>46290</v>
      </c>
      <c r="D1156" t="inlineStr">
        <is>
          <t>DIRECT CREDIT MORNANE ELECTRICAL</t>
        </is>
      </c>
      <c r="E1156" s="9" t="n">
        <v>2722.5</v>
      </c>
      <c r="F1156" t="inlineStr">
        <is>
          <t>OPS-20260925</t>
        </is>
      </c>
      <c r="G1156" t="inlineStr">
        <is>
          <t>G01207</t>
        </is>
      </c>
      <c r="H1156" t="str">
        <f>INDEX('Match Groups'!$C$5:$C$1326,MATCH(G1156,'Match Groups'!$A$5:$A$1326,0))</f>
        <v>R11</v>
      </c>
      <c r="I1156" t="str">
        <f>INDEX('Match Groups'!$D$5:$D$1326,MATCH(G1156,'Match Groups'!$A$5:$A$1326,0))</f>
        <v>REG</v>
      </c>
      <c r="J1156">
        <f>IF(I1156="DUPIMP",0,1)</f>
        <v>1</v>
      </c>
    </row>
    <row r="1157">
      <c r="A1157" t="inlineStr">
        <is>
          <t>BL-00749</t>
        </is>
      </c>
      <c r="B1157" t="inlineStr">
        <is>
          <t>OPS</t>
        </is>
      </c>
      <c r="C1157" s="5" t="n">
        <v>46290</v>
      </c>
      <c r="D1157" t="inlineStr">
        <is>
          <t>STRIPE PAYOUT STRIPE po_1Q0063KX</t>
        </is>
      </c>
      <c r="E1157" s="9" t="n">
        <v>3273.42</v>
      </c>
      <c r="F1157" t="inlineStr">
        <is>
          <t>OPS-20260925</t>
        </is>
      </c>
      <c r="G1157" t="inlineStr">
        <is>
          <t>G00076</t>
        </is>
      </c>
      <c r="H1157" t="str">
        <f>INDEX('Match Groups'!$C$5:$C$1326,MATCH(G1157,'Match Groups'!$A$5:$A$1326,0))</f>
        <v>R02</v>
      </c>
      <c r="I1157" t="str">
        <f>INDEX('Match Groups'!$D$5:$D$1326,MATCH(G1157,'Match Groups'!$A$5:$A$1326,0))</f>
        <v>STRIPE-FEE</v>
      </c>
      <c r="J1157">
        <f>IF(I1157="DUPIMP",0,1)</f>
        <v>1</v>
      </c>
    </row>
    <row r="1158">
      <c r="A1158" t="inlineStr">
        <is>
          <t>BL-00412</t>
        </is>
      </c>
      <c r="B1158" t="inlineStr">
        <is>
          <t>OPS</t>
        </is>
      </c>
      <c r="C1158" s="5" t="n">
        <v>46293</v>
      </c>
      <c r="D1158" t="inlineStr">
        <is>
          <t>DIRECT CREDIT RIVERBEND PLAN PAR RA45209</t>
        </is>
      </c>
      <c r="E1158" s="9" t="n">
        <v>2261.77</v>
      </c>
      <c r="F1158" t="inlineStr">
        <is>
          <t>OPS-20260928</t>
        </is>
      </c>
      <c r="G1158" t="inlineStr">
        <is>
          <t>G00488</t>
        </is>
      </c>
      <c r="H1158" t="str">
        <f>INDEX('Match Groups'!$C$5:$C$1326,MATCH(G1158,'Match Groups'!$A$5:$A$1326,0))</f>
        <v>R03</v>
      </c>
      <c r="I1158" t="str">
        <f>INDEX('Match Groups'!$D$5:$D$1326,MATCH(G1158,'Match Groups'!$A$5:$A$1326,0))</f>
        <v>REG</v>
      </c>
      <c r="J1158">
        <f>IF(I1158="DUPIMP",0,1)</f>
        <v>1</v>
      </c>
    </row>
    <row r="1159">
      <c r="A1159" t="inlineStr">
        <is>
          <t>BL-00413</t>
        </is>
      </c>
      <c r="B1159" t="inlineStr">
        <is>
          <t>OPS</t>
        </is>
      </c>
      <c r="C1159" s="5" t="n">
        <v>46293</v>
      </c>
      <c r="D1159" t="inlineStr">
        <is>
          <t>DIRECT CREDIT BANKSIA PLAN CO RA45210</t>
        </is>
      </c>
      <c r="E1159" s="9" t="n">
        <v>2037.8</v>
      </c>
      <c r="F1159" t="inlineStr">
        <is>
          <t>OPS-20260928</t>
        </is>
      </c>
      <c r="G1159" t="inlineStr">
        <is>
          <t>G00489</t>
        </is>
      </c>
      <c r="H1159" t="str">
        <f>INDEX('Match Groups'!$C$5:$C$1326,MATCH(G1159,'Match Groups'!$A$5:$A$1326,0))</f>
        <v>R03</v>
      </c>
      <c r="I1159" t="str">
        <f>INDEX('Match Groups'!$D$5:$D$1326,MATCH(G1159,'Match Groups'!$A$5:$A$1326,0))</f>
        <v>REG</v>
      </c>
      <c r="J1159">
        <f>IF(I1159="DUPIMP",0,1)</f>
        <v>1</v>
      </c>
    </row>
    <row r="1160">
      <c r="A1160" t="inlineStr">
        <is>
          <t>BL-00414</t>
        </is>
      </c>
      <c r="B1160" t="inlineStr">
        <is>
          <t>OPS</t>
        </is>
      </c>
      <c r="C1160" s="5" t="n">
        <v>46293</v>
      </c>
      <c r="D1160" t="inlineStr">
        <is>
          <t>DIRECT CREDIT KOOKABURRA PLAN SUPP RA45211</t>
        </is>
      </c>
      <c r="E1160" s="9" t="n">
        <v>872.96</v>
      </c>
      <c r="F1160" t="inlineStr">
        <is>
          <t>OPS-20260928</t>
        </is>
      </c>
      <c r="G1160" t="inlineStr">
        <is>
          <t>G00490</t>
        </is>
      </c>
      <c r="H1160" t="str">
        <f>INDEX('Match Groups'!$C$5:$C$1326,MATCH(G1160,'Match Groups'!$A$5:$A$1326,0))</f>
        <v>R03</v>
      </c>
      <c r="I1160" t="str">
        <f>INDEX('Match Groups'!$D$5:$D$1326,MATCH(G1160,'Match Groups'!$A$5:$A$1326,0))</f>
        <v>MATCH</v>
      </c>
      <c r="J1160">
        <f>IF(I1160="DUPIMP",0,1)</f>
        <v>1</v>
      </c>
    </row>
    <row r="1161">
      <c r="A1161" t="inlineStr">
        <is>
          <t>BL-00415</t>
        </is>
      </c>
      <c r="B1161" t="inlineStr">
        <is>
          <t>OPS</t>
        </is>
      </c>
      <c r="C1161" s="5" t="n">
        <v>46293</v>
      </c>
      <c r="D1161" t="inlineStr">
        <is>
          <t>DIRECT CREDIT REDGUM PLAN ADMIN RA45212</t>
        </is>
      </c>
      <c r="E1161" s="9" t="n">
        <v>543.1799999999999</v>
      </c>
      <c r="F1161" t="inlineStr">
        <is>
          <t>OPS-20260928</t>
        </is>
      </c>
      <c r="G1161" t="inlineStr">
        <is>
          <t>G00491</t>
        </is>
      </c>
      <c r="H1161" t="str">
        <f>INDEX('Match Groups'!$C$5:$C$1326,MATCH(G1161,'Match Groups'!$A$5:$A$1326,0))</f>
        <v>R03</v>
      </c>
      <c r="I1161" t="str">
        <f>INDEX('Match Groups'!$D$5:$D$1326,MATCH(G1161,'Match Groups'!$A$5:$A$1326,0))</f>
        <v>MATCH</v>
      </c>
      <c r="J1161">
        <f>IF(I1161="DUPIMP",0,1)</f>
        <v>1</v>
      </c>
    </row>
    <row r="1162">
      <c r="A1162" t="inlineStr">
        <is>
          <t>BL-00416</t>
        </is>
      </c>
      <c r="B1162" t="inlineStr">
        <is>
          <t>OPS</t>
        </is>
      </c>
      <c r="C1162" s="5" t="n">
        <v>46293</v>
      </c>
      <c r="D1162" t="inlineStr">
        <is>
          <t>DIRECT CREDIT SOUTHERN CROSS PLAN MG RA45213</t>
        </is>
      </c>
      <c r="E1162" s="9" t="n">
        <v>339.48</v>
      </c>
      <c r="F1162" t="inlineStr">
        <is>
          <t>OPS-20260928</t>
        </is>
      </c>
      <c r="G1162" t="inlineStr">
        <is>
          <t>G00492</t>
        </is>
      </c>
      <c r="H1162" t="str">
        <f>INDEX('Match Groups'!$C$5:$C$1326,MATCH(G1162,'Match Groups'!$A$5:$A$1326,0))</f>
        <v>R03</v>
      </c>
      <c r="I1162" t="str">
        <f>INDEX('Match Groups'!$D$5:$D$1326,MATCH(G1162,'Match Groups'!$A$5:$A$1326,0))</f>
        <v>MATCH</v>
      </c>
      <c r="J1162">
        <f>IF(I1162="DUPIMP",0,1)</f>
        <v>1</v>
      </c>
    </row>
    <row r="1163">
      <c r="A1163" t="inlineStr">
        <is>
          <t>BL-00417</t>
        </is>
      </c>
      <c r="B1163" t="inlineStr">
        <is>
          <t>OPS</t>
        </is>
      </c>
      <c r="C1163" s="5" t="n">
        <v>46293</v>
      </c>
      <c r="D1163" t="inlineStr">
        <is>
          <t>DIRECT CREDIT TALLOWWOOD PLANS PTY L RA45214</t>
        </is>
      </c>
      <c r="E1163" s="9" t="n">
        <v>640.16</v>
      </c>
      <c r="F1163" t="inlineStr">
        <is>
          <t>OPS-20260928</t>
        </is>
      </c>
      <c r="G1163" t="inlineStr">
        <is>
          <t>G00493</t>
        </is>
      </c>
      <c r="H1163" t="str">
        <f>INDEX('Match Groups'!$C$5:$C$1326,MATCH(G1163,'Match Groups'!$A$5:$A$1326,0))</f>
        <v>R03</v>
      </c>
      <c r="I1163" t="str">
        <f>INDEX('Match Groups'!$D$5:$D$1326,MATCH(G1163,'Match Groups'!$A$5:$A$1326,0))</f>
        <v>MATCH</v>
      </c>
      <c r="J1163">
        <f>IF(I1163="DUPIMP",0,1)</f>
        <v>1</v>
      </c>
    </row>
    <row r="1164">
      <c r="A1164" t="inlineStr">
        <is>
          <t>BL-00418</t>
        </is>
      </c>
      <c r="B1164" t="inlineStr">
        <is>
          <t>OPS</t>
        </is>
      </c>
      <c r="C1164" s="5" t="n">
        <v>46293</v>
      </c>
      <c r="D1164" t="inlineStr">
        <is>
          <t>DIRECT CREDIT ACACIAPLANPARTNE RA45215</t>
        </is>
      </c>
      <c r="E1164" s="9" t="n">
        <v>1125.13</v>
      </c>
      <c r="F1164" t="inlineStr">
        <is>
          <t>OPS-20260928</t>
        </is>
      </c>
      <c r="G1164" t="inlineStr">
        <is>
          <t>G00494</t>
        </is>
      </c>
      <c r="H1164" t="str">
        <f>INDEX('Match Groups'!$C$5:$C$1326,MATCH(G1164,'Match Groups'!$A$5:$A$1326,0))</f>
        <v>R03</v>
      </c>
      <c r="I1164" t="str">
        <f>INDEX('Match Groups'!$D$5:$D$1326,MATCH(G1164,'Match Groups'!$A$5:$A$1326,0))</f>
        <v>MATCH</v>
      </c>
      <c r="J1164">
        <f>IF(I1164="DUPIMP",0,1)</f>
        <v>1</v>
      </c>
    </row>
    <row r="1165">
      <c r="A1165" t="inlineStr">
        <is>
          <t>BL-00506</t>
        </is>
      </c>
      <c r="B1165" t="inlineStr">
        <is>
          <t>OPS</t>
        </is>
      </c>
      <c r="C1165" s="5" t="n">
        <v>46293</v>
      </c>
      <c r="D1165" t="inlineStr">
        <is>
          <t>DIRECT CREDIT PINNACLE CLAIMS SERVIC CLM5775482 INV/2026/03009</t>
        </is>
      </c>
      <c r="E1165" s="9" t="n">
        <v>132</v>
      </c>
      <c r="F1165" t="inlineStr">
        <is>
          <t>OPS-20260928</t>
        </is>
      </c>
      <c r="G1165" t="inlineStr">
        <is>
          <t>G01089</t>
        </is>
      </c>
      <c r="H1165" t="str">
        <f>INDEX('Match Groups'!$C$5:$C$1326,MATCH(G1165,'Match Groups'!$A$5:$A$1326,0))</f>
        <v>R09</v>
      </c>
      <c r="I1165" t="str">
        <f>INDEX('Match Groups'!$D$5:$D$1326,MATCH(G1165,'Match Groups'!$A$5:$A$1326,0))</f>
        <v>MATCH</v>
      </c>
      <c r="J1165">
        <f>IF(I1165="DUPIMP",0,1)</f>
        <v>1</v>
      </c>
    </row>
    <row r="1166">
      <c r="A1166" t="inlineStr">
        <is>
          <t>BL-00571</t>
        </is>
      </c>
      <c r="B1166" t="inlineStr">
        <is>
          <t>OPS</t>
        </is>
      </c>
      <c r="C1166" s="5" t="n">
        <v>46293</v>
      </c>
      <c r="D1166" t="inlineStr">
        <is>
          <t>DIRECT CREDIT CALDER FREIGHT GROUP P INV 3519</t>
        </is>
      </c>
      <c r="E1166" s="9" t="n">
        <v>6971.25</v>
      </c>
      <c r="F1166" t="inlineStr">
        <is>
          <t>OPS-20260928</t>
        </is>
      </c>
      <c r="G1166" t="inlineStr">
        <is>
          <t>G01090</t>
        </is>
      </c>
      <c r="H1166" t="str">
        <f>INDEX('Match Groups'!$C$5:$C$1326,MATCH(G1166,'Match Groups'!$A$5:$A$1326,0))</f>
        <v>R09</v>
      </c>
      <c r="I1166" t="str">
        <f>INDEX('Match Groups'!$D$5:$D$1326,MATCH(G1166,'Match Groups'!$A$5:$A$1326,0))</f>
        <v>MATCH</v>
      </c>
      <c r="J1166">
        <f>IF(I1166="DUPIMP",0,1)</f>
        <v>1</v>
      </c>
    </row>
    <row r="1167">
      <c r="A1167" t="inlineStr">
        <is>
          <t>BL-00578</t>
        </is>
      </c>
      <c r="B1167" t="inlineStr">
        <is>
          <t>OPS</t>
        </is>
      </c>
      <c r="C1167" s="5" t="n">
        <v>46293</v>
      </c>
      <c r="D1167" t="inlineStr">
        <is>
          <t>DIRECT CREDIT PELLUCID SOFTWARE 03523</t>
        </is>
      </c>
      <c r="E1167" s="9" t="n">
        <v>10725</v>
      </c>
      <c r="F1167" t="inlineStr">
        <is>
          <t>OPS-20260928</t>
        </is>
      </c>
      <c r="G1167" t="inlineStr">
        <is>
          <t>G01091</t>
        </is>
      </c>
      <c r="H1167" t="str">
        <f>INDEX('Match Groups'!$C$5:$C$1326,MATCH(G1167,'Match Groups'!$A$5:$A$1326,0))</f>
        <v>R09</v>
      </c>
      <c r="I1167" t="str">
        <f>INDEX('Match Groups'!$D$5:$D$1326,MATCH(G1167,'Match Groups'!$A$5:$A$1326,0))</f>
        <v>MATCH</v>
      </c>
      <c r="J1167">
        <f>IF(I1167="DUPIMP",0,1)</f>
        <v>1</v>
      </c>
    </row>
    <row r="1168">
      <c r="A1168" t="inlineStr">
        <is>
          <t>BL-00630</t>
        </is>
      </c>
      <c r="B1168" t="inlineStr">
        <is>
          <t>OPS</t>
        </is>
      </c>
      <c r="C1168" s="5" t="n">
        <v>46293</v>
      </c>
      <c r="D1168" t="inlineStr">
        <is>
          <t>DIRECT CREDIT DAINTREE PACKAGING PTY INV 3547</t>
        </is>
      </c>
      <c r="E1168" s="9" t="n">
        <v>2722.5</v>
      </c>
      <c r="F1168" t="inlineStr">
        <is>
          <t>OPS-20260928</t>
        </is>
      </c>
      <c r="G1168" t="inlineStr">
        <is>
          <t>G01208</t>
        </is>
      </c>
      <c r="H1168" t="str">
        <f>INDEX('Match Groups'!$C$5:$C$1326,MATCH(G1168,'Match Groups'!$A$5:$A$1326,0))</f>
        <v>R11</v>
      </c>
      <c r="I1168" t="str">
        <f>INDEX('Match Groups'!$D$5:$D$1326,MATCH(G1168,'Match Groups'!$A$5:$A$1326,0))</f>
        <v>REG</v>
      </c>
      <c r="J1168">
        <f>IF(I1168="DUPIMP",0,1)</f>
        <v>1</v>
      </c>
    </row>
    <row r="1169">
      <c r="A1169" t="inlineStr">
        <is>
          <t>BL-00650</t>
        </is>
      </c>
      <c r="B1169" t="inlineStr">
        <is>
          <t>OPS</t>
        </is>
      </c>
      <c r="C1169" s="5" t="n">
        <v>46293</v>
      </c>
      <c r="D1169" t="inlineStr">
        <is>
          <t>DIRECT CREDIT JARRAH RIDGE ESTATES P</t>
        </is>
      </c>
      <c r="E1169" s="9" t="n">
        <v>6902.5</v>
      </c>
      <c r="F1169" t="inlineStr">
        <is>
          <t>OPS-20260928</t>
        </is>
      </c>
      <c r="G1169" t="inlineStr">
        <is>
          <t>G01166</t>
        </is>
      </c>
      <c r="H1169" t="str">
        <f>INDEX('Match Groups'!$C$5:$C$1326,MATCH(G1169,'Match Groups'!$A$5:$A$1326,0))</f>
        <v>R10</v>
      </c>
      <c r="I1169" t="str">
        <f>INDEX('Match Groups'!$D$5:$D$1326,MATCH(G1169,'Match Groups'!$A$5:$A$1326,0))</f>
        <v>MATCH</v>
      </c>
      <c r="J1169">
        <f>IF(I1169="DUPIMP",0,1)</f>
        <v>1</v>
      </c>
    </row>
    <row r="1170">
      <c r="A1170" t="inlineStr">
        <is>
          <t>BL-00657</t>
        </is>
      </c>
      <c r="B1170" t="inlineStr">
        <is>
          <t>OPS</t>
        </is>
      </c>
      <c r="C1170" s="5" t="n">
        <v>46293</v>
      </c>
      <c r="D1170" t="inlineStr">
        <is>
          <t>DIRECT CREDIT LOCKHART GLASS PTY LTD INV/2026/03559</t>
        </is>
      </c>
      <c r="E1170" s="9" t="n">
        <v>6902.5</v>
      </c>
      <c r="F1170" t="inlineStr">
        <is>
          <t>OPS-20260928</t>
        </is>
      </c>
      <c r="G1170" t="inlineStr">
        <is>
          <t>G01092</t>
        </is>
      </c>
      <c r="H1170" t="str">
        <f>INDEX('Match Groups'!$C$5:$C$1326,MATCH(G1170,'Match Groups'!$A$5:$A$1326,0))</f>
        <v>R09</v>
      </c>
      <c r="I1170" t="str">
        <f>INDEX('Match Groups'!$D$5:$D$1326,MATCH(G1170,'Match Groups'!$A$5:$A$1326,0))</f>
        <v>MATCH</v>
      </c>
      <c r="J1170">
        <f>IF(I1170="DUPIMP",0,1)</f>
        <v>1</v>
      </c>
    </row>
    <row r="1171">
      <c r="A1171" t="inlineStr">
        <is>
          <t>BL-00750</t>
        </is>
      </c>
      <c r="B1171" t="inlineStr">
        <is>
          <t>OPS</t>
        </is>
      </c>
      <c r="C1171" s="5" t="n">
        <v>46293</v>
      </c>
      <c r="D1171" t="inlineStr">
        <is>
          <t>STRIPE PAYOUT STRIPE po_1Q0064KX</t>
        </is>
      </c>
      <c r="E1171" s="9" t="n">
        <v>3381.81</v>
      </c>
      <c r="F1171" t="inlineStr">
        <is>
          <t>OPS-20260928</t>
        </is>
      </c>
      <c r="G1171" t="inlineStr">
        <is>
          <t>G00077</t>
        </is>
      </c>
      <c r="H1171" t="str">
        <f>INDEX('Match Groups'!$C$5:$C$1326,MATCH(G1171,'Match Groups'!$A$5:$A$1326,0))</f>
        <v>R02</v>
      </c>
      <c r="I1171" t="str">
        <f>INDEX('Match Groups'!$D$5:$D$1326,MATCH(G1171,'Match Groups'!$A$5:$A$1326,0))</f>
        <v>STRIPE-FEE</v>
      </c>
      <c r="J1171">
        <f>IF(I1171="DUPIMP",0,1)</f>
        <v>1</v>
      </c>
    </row>
    <row r="1172">
      <c r="A1172" t="inlineStr">
        <is>
          <t>BL-00802</t>
        </is>
      </c>
      <c r="B1172" t="inlineStr">
        <is>
          <t>OPS</t>
        </is>
      </c>
      <c r="C1172" s="5" t="n">
        <v>46293</v>
      </c>
      <c r="D1172" t="inlineStr">
        <is>
          <t>DIRECT DEBIT EQUIPMENT FINANCE LOAN 09</t>
        </is>
      </c>
      <c r="E1172" s="9" t="n">
        <v>-4416.75</v>
      </c>
      <c r="F1172" t="inlineStr">
        <is>
          <t>OPS-20260928</t>
        </is>
      </c>
      <c r="G1172" t="inlineStr">
        <is>
          <t>G01167</t>
        </is>
      </c>
      <c r="H1172" t="str">
        <f>INDEX('Match Groups'!$C$5:$C$1326,MATCH(G1172,'Match Groups'!$A$5:$A$1326,0))</f>
        <v>R10</v>
      </c>
      <c r="I1172" t="str">
        <f>INDEX('Match Groups'!$D$5:$D$1326,MATCH(G1172,'Match Groups'!$A$5:$A$1326,0))</f>
        <v>MATCH</v>
      </c>
      <c r="J1172">
        <f>IF(I1172="DUPIMP",0,1)</f>
        <v>1</v>
      </c>
    </row>
    <row r="1173">
      <c r="A1173" t="inlineStr">
        <is>
          <t>BL-01586</t>
        </is>
      </c>
      <c r="B1173" t="inlineStr">
        <is>
          <t>OPS</t>
        </is>
      </c>
      <c r="C1173" s="5" t="n">
        <v>46293</v>
      </c>
      <c r="D1173" t="inlineStr">
        <is>
          <t>SWEEP FROM MERCHANT ACCT</t>
        </is>
      </c>
      <c r="E1173" s="9" t="n">
        <v>34000</v>
      </c>
      <c r="F1173" t="inlineStr">
        <is>
          <t>OPS-20260928</t>
        </is>
      </c>
      <c r="G1173" t="inlineStr">
        <is>
          <t>G00547</t>
        </is>
      </c>
      <c r="H1173" t="str">
        <f>INDEX('Match Groups'!$C$5:$C$1326,MATCH(G1173,'Match Groups'!$A$5:$A$1326,0))</f>
        <v>R04</v>
      </c>
      <c r="I1173" t="str">
        <f>INDEX('Match Groups'!$D$5:$D$1326,MATCH(G1173,'Match Groups'!$A$5:$A$1326,0))</f>
        <v>MATCH</v>
      </c>
      <c r="J1173">
        <f>IF(I1173="DUPIMP",0,1)</f>
        <v>1</v>
      </c>
    </row>
    <row r="1174">
      <c r="A1174" t="inlineStr">
        <is>
          <t>BL-00419</t>
        </is>
      </c>
      <c r="B1174" t="inlineStr">
        <is>
          <t>OPS</t>
        </is>
      </c>
      <c r="C1174" s="5" t="n">
        <v>46294</v>
      </c>
      <c r="D1174" t="inlineStr">
        <is>
          <t>DIRECT CREDIT RIVERBEND PLAN PARTNER RA45216</t>
        </is>
      </c>
      <c r="E1174" s="9" t="n">
        <v>805.95</v>
      </c>
      <c r="F1174" t="inlineStr">
        <is>
          <t>OPS-20260929</t>
        </is>
      </c>
      <c r="G1174" t="inlineStr">
        <is>
          <t>G00495</t>
        </is>
      </c>
      <c r="H1174" t="str">
        <f>INDEX('Match Groups'!$C$5:$C$1326,MATCH(G1174,'Match Groups'!$A$5:$A$1326,0))</f>
        <v>R03</v>
      </c>
      <c r="I1174" t="str">
        <f>INDEX('Match Groups'!$D$5:$D$1326,MATCH(G1174,'Match Groups'!$A$5:$A$1326,0))</f>
        <v>MATCH</v>
      </c>
      <c r="J1174">
        <f>IF(I1174="DUPIMP",0,1)</f>
        <v>1</v>
      </c>
    </row>
    <row r="1175">
      <c r="A1175" t="inlineStr">
        <is>
          <t>BL-00420</t>
        </is>
      </c>
      <c r="B1175" t="inlineStr">
        <is>
          <t>OPS</t>
        </is>
      </c>
      <c r="C1175" s="5" t="n">
        <v>46294</v>
      </c>
      <c r="D1175" t="inlineStr">
        <is>
          <t>DIRECT CREDIT WATTLE PLAN SERVICES RA45217</t>
        </is>
      </c>
      <c r="E1175" s="9" t="n">
        <v>989.34</v>
      </c>
      <c r="F1175" t="inlineStr">
        <is>
          <t>OPS-20260929</t>
        </is>
      </c>
      <c r="G1175" t="inlineStr">
        <is>
          <t>G00496</t>
        </is>
      </c>
      <c r="H1175" t="str">
        <f>INDEX('Match Groups'!$C$5:$C$1326,MATCH(G1175,'Match Groups'!$A$5:$A$1326,0))</f>
        <v>R03</v>
      </c>
      <c r="I1175" t="str">
        <f>INDEX('Match Groups'!$D$5:$D$1326,MATCH(G1175,'Match Groups'!$A$5:$A$1326,0))</f>
        <v>MATCH</v>
      </c>
      <c r="J1175">
        <f>IF(I1175="DUPIMP",0,1)</f>
        <v>1</v>
      </c>
    </row>
    <row r="1176">
      <c r="A1176" t="inlineStr">
        <is>
          <t>BL-00421</t>
        </is>
      </c>
      <c r="B1176" t="inlineStr">
        <is>
          <t>OPS</t>
        </is>
      </c>
      <c r="C1176" s="5" t="n">
        <v>46294</v>
      </c>
      <c r="D1176" t="inlineStr">
        <is>
          <t>DIRECT CREDIT LYREBIRD PLAN MANA RA45218</t>
        </is>
      </c>
      <c r="E1176" s="9" t="n">
        <v>193.99</v>
      </c>
      <c r="F1176" t="inlineStr">
        <is>
          <t>OPS-20260929</t>
        </is>
      </c>
      <c r="G1176" t="inlineStr">
        <is>
          <t>G00497</t>
        </is>
      </c>
      <c r="H1176" t="str">
        <f>INDEX('Match Groups'!$C$5:$C$1326,MATCH(G1176,'Match Groups'!$A$5:$A$1326,0))</f>
        <v>R03</v>
      </c>
      <c r="I1176" t="str">
        <f>INDEX('Match Groups'!$D$5:$D$1326,MATCH(G1176,'Match Groups'!$A$5:$A$1326,0))</f>
        <v>MATCH</v>
      </c>
      <c r="J1176">
        <f>IF(I1176="DUPIMP",0,1)</f>
        <v>1</v>
      </c>
    </row>
    <row r="1177">
      <c r="A1177" t="inlineStr">
        <is>
          <t>BL-00422</t>
        </is>
      </c>
      <c r="B1177" t="inlineStr">
        <is>
          <t>OPS</t>
        </is>
      </c>
      <c r="C1177" s="5" t="n">
        <v>46294</v>
      </c>
      <c r="D1177" t="inlineStr">
        <is>
          <t>DIRECT CREDIT TALLOWWOOD PLANS RA45219</t>
        </is>
      </c>
      <c r="E1177" s="9" t="n">
        <v>630.46</v>
      </c>
      <c r="F1177" t="inlineStr">
        <is>
          <t>OPS-20260929</t>
        </is>
      </c>
      <c r="G1177" t="inlineStr">
        <is>
          <t>G00498</t>
        </is>
      </c>
      <c r="H1177" t="str">
        <f>INDEX('Match Groups'!$C$5:$C$1326,MATCH(G1177,'Match Groups'!$A$5:$A$1326,0))</f>
        <v>R03</v>
      </c>
      <c r="I1177" t="str">
        <f>INDEX('Match Groups'!$D$5:$D$1326,MATCH(G1177,'Match Groups'!$A$5:$A$1326,0))</f>
        <v>MATCH</v>
      </c>
      <c r="J1177">
        <f>IF(I1177="DUPIMP",0,1)</f>
        <v>1</v>
      </c>
    </row>
    <row r="1178">
      <c r="A1178" t="inlineStr">
        <is>
          <t>BL-00483</t>
        </is>
      </c>
      <c r="B1178" t="inlineStr">
        <is>
          <t>OPS</t>
        </is>
      </c>
      <c r="C1178" s="5" t="n">
        <v>46294</v>
      </c>
      <c r="D1178" t="inlineStr">
        <is>
          <t>DIRECT CREDIT UNITYWORKCOVERAG CLM5205792 03094</t>
        </is>
      </c>
      <c r="E1178" s="9" t="n">
        <v>88</v>
      </c>
      <c r="F1178" t="inlineStr">
        <is>
          <t>OPS-20260929</t>
        </is>
      </c>
      <c r="G1178" t="inlineStr">
        <is>
          <t>G01093</t>
        </is>
      </c>
      <c r="H1178" t="str">
        <f>INDEX('Match Groups'!$C$5:$C$1326,MATCH(G1178,'Match Groups'!$A$5:$A$1326,0))</f>
        <v>R09</v>
      </c>
      <c r="I1178" t="str">
        <f>INDEX('Match Groups'!$D$5:$D$1326,MATCH(G1178,'Match Groups'!$A$5:$A$1326,0))</f>
        <v>MATCH</v>
      </c>
      <c r="J1178">
        <f>IF(I1178="DUPIMP",0,1)</f>
        <v>1</v>
      </c>
    </row>
    <row r="1179">
      <c r="A1179" t="inlineStr">
        <is>
          <t>BL-00486</t>
        </is>
      </c>
      <c r="B1179" t="inlineStr">
        <is>
          <t>OPS</t>
        </is>
      </c>
      <c r="C1179" s="5" t="n">
        <v>46294</v>
      </c>
      <c r="D1179" t="inlineStr">
        <is>
          <t>DIRECT CREDIT UNITY WORKCOVER AGEN CLM5107110 INV03171</t>
        </is>
      </c>
      <c r="E1179" s="9" t="n">
        <v>264</v>
      </c>
      <c r="F1179" t="inlineStr">
        <is>
          <t>OPS-20260929</t>
        </is>
      </c>
      <c r="G1179" t="inlineStr">
        <is>
          <t>G01094</t>
        </is>
      </c>
      <c r="H1179" t="str">
        <f>INDEX('Match Groups'!$C$5:$C$1326,MATCH(G1179,'Match Groups'!$A$5:$A$1326,0))</f>
        <v>R09</v>
      </c>
      <c r="I1179" t="str">
        <f>INDEX('Match Groups'!$D$5:$D$1326,MATCH(G1179,'Match Groups'!$A$5:$A$1326,0))</f>
        <v>MATCH</v>
      </c>
      <c r="J1179">
        <f>IF(I1179="DUPIMP",0,1)</f>
        <v>1</v>
      </c>
    </row>
    <row r="1180">
      <c r="A1180" t="inlineStr">
        <is>
          <t>BL-00565</t>
        </is>
      </c>
      <c r="B1180" t="inlineStr">
        <is>
          <t>OPS</t>
        </is>
      </c>
      <c r="C1180" s="5" t="n">
        <v>46294</v>
      </c>
      <c r="D1180" t="inlineStr">
        <is>
          <t>DIRECT CREDIT BRIGHTWATER CIVIL PTY INV/2026/03572</t>
        </is>
      </c>
      <c r="E1180" s="9" t="n">
        <v>10807.5</v>
      </c>
      <c r="F1180" t="inlineStr">
        <is>
          <t>OPS-20260929</t>
        </is>
      </c>
      <c r="G1180" t="inlineStr">
        <is>
          <t>G01095</t>
        </is>
      </c>
      <c r="H1180" t="str">
        <f>INDEX('Match Groups'!$C$5:$C$1326,MATCH(G1180,'Match Groups'!$A$5:$A$1326,0))</f>
        <v>R09</v>
      </c>
      <c r="I1180" t="str">
        <f>INDEX('Match Groups'!$D$5:$D$1326,MATCH(G1180,'Match Groups'!$A$5:$A$1326,0))</f>
        <v>MATCH</v>
      </c>
      <c r="J1180">
        <f>IF(I1180="DUPIMP",0,1)</f>
        <v>1</v>
      </c>
    </row>
    <row r="1181">
      <c r="A1181" t="inlineStr">
        <is>
          <t>BL-00633</t>
        </is>
      </c>
      <c r="B1181" t="inlineStr">
        <is>
          <t>OPS</t>
        </is>
      </c>
      <c r="C1181" s="5" t="n">
        <v>46294</v>
      </c>
      <c r="D1181" t="inlineStr">
        <is>
          <t>DIRECT CREDIT ELMHURST PROPERTY INV/2026/03600</t>
        </is>
      </c>
      <c r="E1181" s="9" t="n">
        <v>2640</v>
      </c>
      <c r="F1181" t="inlineStr">
        <is>
          <t>OPS-20260929</t>
        </is>
      </c>
      <c r="G1181" t="inlineStr">
        <is>
          <t>G01096</t>
        </is>
      </c>
      <c r="H1181" t="str">
        <f>INDEX('Match Groups'!$C$5:$C$1326,MATCH(G1181,'Match Groups'!$A$5:$A$1326,0))</f>
        <v>R09</v>
      </c>
      <c r="I1181" t="str">
        <f>INDEX('Match Groups'!$D$5:$D$1326,MATCH(G1181,'Match Groups'!$A$5:$A$1326,0))</f>
        <v>MATCH</v>
      </c>
      <c r="J1181">
        <f>IF(I1181="DUPIMP",0,1)</f>
        <v>1</v>
      </c>
    </row>
    <row r="1182">
      <c r="A1182" t="inlineStr">
        <is>
          <t>BL-00651</t>
        </is>
      </c>
      <c r="B1182" t="inlineStr">
        <is>
          <t>OPS</t>
        </is>
      </c>
      <c r="C1182" s="5" t="n">
        <v>46294</v>
      </c>
      <c r="D1182" t="inlineStr">
        <is>
          <t>DIRECT CREDIT JARRAH RIDGE ESTATES INV/2026/03607</t>
        </is>
      </c>
      <c r="E1182" s="9" t="n">
        <v>2035</v>
      </c>
      <c r="F1182" t="inlineStr">
        <is>
          <t>OPS-20260929</t>
        </is>
      </c>
      <c r="G1182" t="inlineStr">
        <is>
          <t>G01097</t>
        </is>
      </c>
      <c r="H1182" t="str">
        <f>INDEX('Match Groups'!$C$5:$C$1326,MATCH(G1182,'Match Groups'!$A$5:$A$1326,0))</f>
        <v>R09</v>
      </c>
      <c r="I1182" t="str">
        <f>INDEX('Match Groups'!$D$5:$D$1326,MATCH(G1182,'Match Groups'!$A$5:$A$1326,0))</f>
        <v>MATCH</v>
      </c>
      <c r="J1182">
        <f>IF(I1182="DUPIMP",0,1)</f>
        <v>1</v>
      </c>
    </row>
    <row r="1183">
      <c r="A1183" t="inlineStr">
        <is>
          <t>BL-00671</t>
        </is>
      </c>
      <c r="B1183" t="inlineStr">
        <is>
          <t>OPS</t>
        </is>
      </c>
      <c r="C1183" s="5" t="n">
        <v>46294</v>
      </c>
      <c r="D1183" t="inlineStr">
        <is>
          <t>DIRECT CREDIT QUARRY LANE CONCRETE P</t>
        </is>
      </c>
      <c r="E1183" s="9" t="n">
        <v>16032.5</v>
      </c>
      <c r="F1183" t="inlineStr">
        <is>
          <t>OPS-20260929</t>
        </is>
      </c>
      <c r="G1183" t="inlineStr">
        <is>
          <t>G01168</t>
        </is>
      </c>
      <c r="H1183" t="str">
        <f>INDEX('Match Groups'!$C$5:$C$1326,MATCH(G1183,'Match Groups'!$A$5:$A$1326,0))</f>
        <v>R10</v>
      </c>
      <c r="I1183" t="str">
        <f>INDEX('Match Groups'!$D$5:$D$1326,MATCH(G1183,'Match Groups'!$A$5:$A$1326,0))</f>
        <v>MATCH</v>
      </c>
      <c r="J1183">
        <f>IF(I1183="DUPIMP",0,1)</f>
        <v>1</v>
      </c>
    </row>
    <row r="1184">
      <c r="A1184" t="inlineStr">
        <is>
          <t>BL-00751</t>
        </is>
      </c>
      <c r="B1184" t="inlineStr">
        <is>
          <t>OPS</t>
        </is>
      </c>
      <c r="C1184" s="5" t="n">
        <v>46294</v>
      </c>
      <c r="D1184" t="inlineStr">
        <is>
          <t>STRIPE PAYOUT STRIPE po_1Q0065KX</t>
        </is>
      </c>
      <c r="E1184" s="9" t="n">
        <v>4405.19</v>
      </c>
      <c r="F1184" t="inlineStr">
        <is>
          <t>OPS-20260929</t>
        </is>
      </c>
      <c r="G1184" t="inlineStr">
        <is>
          <t>G00078</t>
        </is>
      </c>
      <c r="H1184" t="str">
        <f>INDEX('Match Groups'!$C$5:$C$1326,MATCH(G1184,'Match Groups'!$A$5:$A$1326,0))</f>
        <v>R02</v>
      </c>
      <c r="I1184" t="str">
        <f>INDEX('Match Groups'!$D$5:$D$1326,MATCH(G1184,'Match Groups'!$A$5:$A$1326,0))</f>
        <v>STRIPE-FEE</v>
      </c>
      <c r="J1184">
        <f>IF(I1184="DUPIMP",0,1)</f>
        <v>1</v>
      </c>
    </row>
    <row r="1185">
      <c r="A1185" t="inlineStr">
        <is>
          <t>BL-00810</t>
        </is>
      </c>
      <c r="B1185" t="inlineStr">
        <is>
          <t>OPS</t>
        </is>
      </c>
      <c r="C1185" s="5" t="n">
        <v>46294</v>
      </c>
      <c r="D1185" t="inlineStr">
        <is>
          <t>CHEQUE 000409</t>
        </is>
      </c>
      <c r="E1185" s="9" t="n">
        <v>-550</v>
      </c>
      <c r="F1185" t="inlineStr">
        <is>
          <t>OPS-20260929</t>
        </is>
      </c>
      <c r="G1185" t="inlineStr">
        <is>
          <t>G00548</t>
        </is>
      </c>
      <c r="H1185" t="str">
        <f>INDEX('Match Groups'!$C$5:$C$1326,MATCH(G1185,'Match Groups'!$A$5:$A$1326,0))</f>
        <v>R07</v>
      </c>
      <c r="I1185" t="str">
        <f>INDEX('Match Groups'!$D$5:$D$1326,MATCH(G1185,'Match Groups'!$A$5:$A$1326,0))</f>
        <v>MATCH</v>
      </c>
      <c r="J1185">
        <f>IF(I1185="DUPIMP",0,1)</f>
        <v>1</v>
      </c>
    </row>
    <row r="1186">
      <c r="A1186" t="inlineStr">
        <is>
          <t>BL-00423</t>
        </is>
      </c>
      <c r="B1186" t="inlineStr">
        <is>
          <t>OPS</t>
        </is>
      </c>
      <c r="C1186" s="5" t="n">
        <v>46295</v>
      </c>
      <c r="D1186" t="inlineStr">
        <is>
          <t>DIRECT CREDIT BLUEGUM PM PTY LTD RA45220</t>
        </is>
      </c>
      <c r="E1186" s="9" t="n">
        <v>660.46</v>
      </c>
      <c r="F1186" t="inlineStr">
        <is>
          <t>OPS-20260930</t>
        </is>
      </c>
      <c r="G1186" t="inlineStr">
        <is>
          <t>G00499</t>
        </is>
      </c>
      <c r="H1186" t="str">
        <f>INDEX('Match Groups'!$C$5:$C$1326,MATCH(G1186,'Match Groups'!$A$5:$A$1326,0))</f>
        <v>R03</v>
      </c>
      <c r="I1186" t="str">
        <f>INDEX('Match Groups'!$D$5:$D$1326,MATCH(G1186,'Match Groups'!$A$5:$A$1326,0))</f>
        <v>MATCH</v>
      </c>
      <c r="J1186">
        <f>IF(I1186="DUPIMP",0,1)</f>
        <v>1</v>
      </c>
    </row>
    <row r="1187">
      <c r="A1187" t="inlineStr">
        <is>
          <t>BL-00424</t>
        </is>
      </c>
      <c r="B1187" t="inlineStr">
        <is>
          <t>OPS</t>
        </is>
      </c>
      <c r="C1187" s="5" t="n">
        <v>46295</v>
      </c>
      <c r="D1187" t="inlineStr">
        <is>
          <t>DIRECT CREDIT SOUTHERNCROSSPLA RA45221</t>
        </is>
      </c>
      <c r="E1187" s="9" t="n">
        <v>242.49</v>
      </c>
      <c r="F1187" t="inlineStr">
        <is>
          <t>OPS-20260930</t>
        </is>
      </c>
      <c r="G1187" t="inlineStr">
        <is>
          <t>G00500</t>
        </is>
      </c>
      <c r="H1187" t="str">
        <f>INDEX('Match Groups'!$C$5:$C$1326,MATCH(G1187,'Match Groups'!$A$5:$A$1326,0))</f>
        <v>R03</v>
      </c>
      <c r="I1187" t="str">
        <f>INDEX('Match Groups'!$D$5:$D$1326,MATCH(G1187,'Match Groups'!$A$5:$A$1326,0))</f>
        <v>MATCH</v>
      </c>
      <c r="J1187">
        <f>IF(I1187="DUPIMP",0,1)</f>
        <v>1</v>
      </c>
    </row>
    <row r="1188">
      <c r="A1188" t="inlineStr">
        <is>
          <t>BL-00425</t>
        </is>
      </c>
      <c r="B1188" t="inlineStr">
        <is>
          <t>OPS</t>
        </is>
      </c>
      <c r="C1188" s="5" t="n">
        <v>46295</v>
      </c>
      <c r="D1188" t="inlineStr">
        <is>
          <t>DIRECT CREDIT ACACIA PLAN PARTNERS RA45222</t>
        </is>
      </c>
      <c r="E1188" s="9" t="n">
        <v>397.68</v>
      </c>
      <c r="F1188" t="inlineStr">
        <is>
          <t>OPS-20260930</t>
        </is>
      </c>
      <c r="G1188" t="inlineStr">
        <is>
          <t>G00501</t>
        </is>
      </c>
      <c r="H1188" t="str">
        <f>INDEX('Match Groups'!$C$5:$C$1326,MATCH(G1188,'Match Groups'!$A$5:$A$1326,0))</f>
        <v>R03</v>
      </c>
      <c r="I1188" t="str">
        <f>INDEX('Match Groups'!$D$5:$D$1326,MATCH(G1188,'Match Groups'!$A$5:$A$1326,0))</f>
        <v>MATCH</v>
      </c>
      <c r="J1188">
        <f>IF(I1188="DUPIMP",0,1)</f>
        <v>1</v>
      </c>
    </row>
    <row r="1189">
      <c r="A1189" t="inlineStr">
        <is>
          <t>BL-00531</t>
        </is>
      </c>
      <c r="B1189" t="inlineStr">
        <is>
          <t>OPS</t>
        </is>
      </c>
      <c r="C1189" s="5" t="n">
        <v>46295</v>
      </c>
      <c r="D1189" t="inlineStr">
        <is>
          <t>DIRECT CREDIT MERIDIAN HEALTH COVER CLM5853317 INV/2026/03190</t>
        </is>
      </c>
      <c r="E1189" s="9" t="n">
        <v>990</v>
      </c>
      <c r="F1189" t="inlineStr">
        <is>
          <t>OPS-20260930</t>
        </is>
      </c>
      <c r="G1189" t="inlineStr">
        <is>
          <t>G01098</t>
        </is>
      </c>
      <c r="H1189" t="str">
        <f>INDEX('Match Groups'!$C$5:$C$1326,MATCH(G1189,'Match Groups'!$A$5:$A$1326,0))</f>
        <v>R09</v>
      </c>
      <c r="I1189" t="str">
        <f>INDEX('Match Groups'!$D$5:$D$1326,MATCH(G1189,'Match Groups'!$A$5:$A$1326,0))</f>
        <v>MATCH</v>
      </c>
      <c r="J1189">
        <f>IF(I1189="DUPIMP",0,1)</f>
        <v>1</v>
      </c>
    </row>
    <row r="1190">
      <c r="A1190" t="inlineStr">
        <is>
          <t>BL-00646</t>
        </is>
      </c>
      <c r="B1190" t="inlineStr">
        <is>
          <t>OPS</t>
        </is>
      </c>
      <c r="C1190" s="5" t="n">
        <v>46295</v>
      </c>
      <c r="D1190" t="inlineStr">
        <is>
          <t>DIRECT CREDIT INGLEWOODCOLDSTO</t>
        </is>
      </c>
      <c r="E1190" s="9" t="n">
        <v>6820</v>
      </c>
      <c r="F1190" t="inlineStr">
        <is>
          <t>OPS-20260930</t>
        </is>
      </c>
      <c r="G1190" t="inlineStr">
        <is>
          <t>G01169</t>
        </is>
      </c>
      <c r="H1190" t="str">
        <f>INDEX('Match Groups'!$C$5:$C$1326,MATCH(G1190,'Match Groups'!$A$5:$A$1326,0))</f>
        <v>R10</v>
      </c>
      <c r="I1190" t="str">
        <f>INDEX('Match Groups'!$D$5:$D$1326,MATCH(G1190,'Match Groups'!$A$5:$A$1326,0))</f>
        <v>MATCH</v>
      </c>
      <c r="J1190">
        <f>IF(I1190="DUPIMP",0,1)</f>
        <v>1</v>
      </c>
    </row>
    <row r="1191">
      <c r="A1191" t="inlineStr">
        <is>
          <t>BL-00752</t>
        </is>
      </c>
      <c r="B1191" t="inlineStr">
        <is>
          <t>OPS</t>
        </is>
      </c>
      <c r="C1191" s="5" t="n">
        <v>46295</v>
      </c>
      <c r="D1191" t="inlineStr">
        <is>
          <t>STRIPE PAYOUT STRIPE po_1Q0066KX</t>
        </is>
      </c>
      <c r="E1191" s="9" t="n">
        <v>3494.49</v>
      </c>
      <c r="F1191" t="inlineStr">
        <is>
          <t>OPS-20260930</t>
        </is>
      </c>
      <c r="G1191" t="inlineStr">
        <is>
          <t>G00079</t>
        </is>
      </c>
      <c r="H1191" t="str">
        <f>INDEX('Match Groups'!$C$5:$C$1326,MATCH(G1191,'Match Groups'!$A$5:$A$1326,0))</f>
        <v>R02</v>
      </c>
      <c r="I1191" t="str">
        <f>INDEX('Match Groups'!$D$5:$D$1326,MATCH(G1191,'Match Groups'!$A$5:$A$1326,0))</f>
        <v>STRIPE-FEE</v>
      </c>
      <c r="J1191">
        <f>IF(I1191="DUPIMP",0,1)</f>
        <v>1</v>
      </c>
    </row>
    <row r="1192">
      <c r="A1192" t="inlineStr">
        <is>
          <t>BL-00767</t>
        </is>
      </c>
      <c r="B1192" t="inlineStr">
        <is>
          <t>OPS</t>
        </is>
      </c>
      <c r="C1192" s="5" t="n">
        <v>46295</v>
      </c>
      <c r="D1192" t="inlineStr">
        <is>
          <t>ABA PAYMENT FILE 0424 10 PAYMENTS</t>
        </is>
      </c>
      <c r="E1192" s="9" t="n">
        <v>-7717.6</v>
      </c>
      <c r="F1192" t="inlineStr">
        <is>
          <t>OPS-20260930</t>
        </is>
      </c>
      <c r="G1192" t="inlineStr">
        <is>
          <t>G00549</t>
        </is>
      </c>
      <c r="H1192" t="str">
        <f>INDEX('Match Groups'!$C$5:$C$1326,MATCH(G1192,'Match Groups'!$A$5:$A$1326,0))</f>
        <v>R06</v>
      </c>
      <c r="I1192" t="str">
        <f>INDEX('Match Groups'!$D$5:$D$1326,MATCH(G1192,'Match Groups'!$A$5:$A$1326,0))</f>
        <v>MATCH</v>
      </c>
      <c r="J1192">
        <f>IF(I1192="DUPIMP",0,1)</f>
        <v>1</v>
      </c>
    </row>
    <row r="1193">
      <c r="A1193" t="inlineStr">
        <is>
          <t>BL-00820</t>
        </is>
      </c>
      <c r="B1193" t="inlineStr">
        <is>
          <t>OPS</t>
        </is>
      </c>
      <c r="C1193" s="5" t="n">
        <v>46295</v>
      </c>
      <c r="D1193" t="inlineStr">
        <is>
          <t>ACCOUNT KEEPING FEE</t>
        </is>
      </c>
      <c r="E1193" s="9" t="n">
        <v>-30</v>
      </c>
      <c r="F1193" t="inlineStr">
        <is>
          <t>OPS-20260930</t>
        </is>
      </c>
      <c r="G1193" t="inlineStr">
        <is>
          <t>G01216</t>
        </is>
      </c>
      <c r="H1193" t="str">
        <f>INDEX('Match Groups'!$C$5:$C$1326,MATCH(G1193,'Match Groups'!$A$5:$A$1326,0))</f>
        <v>R12</v>
      </c>
      <c r="I1193" t="str">
        <f>INDEX('Match Groups'!$D$5:$D$1326,MATCH(G1193,'Match Groups'!$A$5:$A$1326,0))</f>
        <v>FEE</v>
      </c>
      <c r="J1193">
        <f>IF(I1193="DUPIMP",0,1)</f>
        <v>1</v>
      </c>
    </row>
    <row r="1194">
      <c r="A1194" t="inlineStr">
        <is>
          <t>BL-00821</t>
        </is>
      </c>
      <c r="B1194" t="inlineStr">
        <is>
          <t>OPS</t>
        </is>
      </c>
      <c r="C1194" s="5" t="n">
        <v>46295</v>
      </c>
      <c r="D1194" t="inlineStr">
        <is>
          <t>TRANSACTION FEES</t>
        </is>
      </c>
      <c r="E1194" s="9" t="n">
        <v>-45.29</v>
      </c>
      <c r="F1194" t="inlineStr">
        <is>
          <t>OPS-20260930</t>
        </is>
      </c>
      <c r="G1194" t="inlineStr">
        <is>
          <t>G01217</t>
        </is>
      </c>
      <c r="H1194" t="str">
        <f>INDEX('Match Groups'!$C$5:$C$1326,MATCH(G1194,'Match Groups'!$A$5:$A$1326,0))</f>
        <v>R12</v>
      </c>
      <c r="I1194" t="str">
        <f>INDEX('Match Groups'!$D$5:$D$1326,MATCH(G1194,'Match Groups'!$A$5:$A$1326,0))</f>
        <v>FEE</v>
      </c>
      <c r="J1194">
        <f>IF(I1194="DUPIMP",0,1)</f>
        <v>1</v>
      </c>
    </row>
    <row r="1195">
      <c r="A1195" t="inlineStr">
        <is>
          <t>BL-00822</t>
        </is>
      </c>
      <c r="B1195" t="inlineStr">
        <is>
          <t>OPS</t>
        </is>
      </c>
      <c r="C1195" s="5" t="n">
        <v>46295</v>
      </c>
      <c r="D1195" t="inlineStr">
        <is>
          <t>INTEREST CREDIT</t>
        </is>
      </c>
      <c r="E1195" s="9" t="n">
        <v>379.93</v>
      </c>
      <c r="F1195" t="inlineStr">
        <is>
          <t>OPS-20260930</t>
        </is>
      </c>
      <c r="G1195" t="inlineStr">
        <is>
          <t>G01218</t>
        </is>
      </c>
      <c r="H1195" t="str">
        <f>INDEX('Match Groups'!$C$5:$C$1326,MATCH(G1195,'Match Groups'!$A$5:$A$1326,0))</f>
        <v>R12</v>
      </c>
      <c r="I1195" t="str">
        <f>INDEX('Match Groups'!$D$5:$D$1326,MATCH(G1195,'Match Groups'!$A$5:$A$1326,0))</f>
        <v>INT</v>
      </c>
      <c r="J1195">
        <f>IF(I1195="DUPIMP",0,1)</f>
        <v>1</v>
      </c>
    </row>
    <row r="1196">
      <c r="A1196" t="inlineStr">
        <is>
          <t>BL-01598</t>
        </is>
      </c>
      <c r="B1196" t="inlineStr">
        <is>
          <t>OPS</t>
        </is>
      </c>
      <c r="C1196" s="5" t="n">
        <v>46295</v>
      </c>
      <c r="D1196" t="inlineStr">
        <is>
          <t>FX CONVERSION AUD TO USD FX0930</t>
        </is>
      </c>
      <c r="E1196" s="9" t="n">
        <v>-7562.01</v>
      </c>
      <c r="F1196" t="inlineStr">
        <is>
          <t>OPS-20260930</t>
        </is>
      </c>
      <c r="G1196" t="inlineStr">
        <is>
          <t>G00550</t>
        </is>
      </c>
      <c r="H1196" t="str">
        <f>INDEX('Match Groups'!$C$5:$C$1326,MATCH(G1196,'Match Groups'!$A$5:$A$1326,0))</f>
        <v>R04</v>
      </c>
      <c r="I1196" t="str">
        <f>INDEX('Match Groups'!$D$5:$D$1326,MATCH(G1196,'Match Groups'!$A$5:$A$1326,0))</f>
        <v>MATCH</v>
      </c>
      <c r="J1196">
        <f>IF(I1196="DUPIMP",0,1)</f>
        <v>1</v>
      </c>
    </row>
    <row r="1197">
      <c r="A1197" t="inlineStr">
        <is>
          <t>BL-00826</t>
        </is>
      </c>
      <c r="B1197" t="inlineStr">
        <is>
          <t>PAY</t>
        </is>
      </c>
      <c r="C1197" s="5" t="n">
        <v>46204</v>
      </c>
      <c r="D1197" t="inlineStr">
        <is>
          <t>TFR FROM OPERATING PR260702</t>
        </is>
      </c>
      <c r="E1197" s="9" t="n">
        <v>167671.63</v>
      </c>
      <c r="F1197" t="inlineStr">
        <is>
          <t>PAY-20260701</t>
        </is>
      </c>
      <c r="G1197" t="inlineStr">
        <is>
          <t>G00558</t>
        </is>
      </c>
      <c r="H1197" t="str">
        <f>INDEX('Match Groups'!$C$5:$C$1326,MATCH(G1197,'Match Groups'!$A$5:$A$1326,0))</f>
        <v>R04</v>
      </c>
      <c r="I1197" t="str">
        <f>INDEX('Match Groups'!$D$5:$D$1326,MATCH(G1197,'Match Groups'!$A$5:$A$1326,0))</f>
        <v>MATCH</v>
      </c>
      <c r="J1197">
        <f>IF(I1197="DUPIMP",0,1)</f>
        <v>1</v>
      </c>
    </row>
    <row r="1198">
      <c r="A1198" t="inlineStr">
        <is>
          <t>BL-00827</t>
        </is>
      </c>
      <c r="B1198" t="inlineStr">
        <is>
          <t>PAY</t>
        </is>
      </c>
      <c r="C1198" s="5" t="n">
        <v>46205</v>
      </c>
      <c r="D1198" t="inlineStr">
        <is>
          <t>SALARY N. NGUYEN PR260702</t>
        </is>
      </c>
      <c r="E1198" s="9" t="n">
        <v>-1953.54</v>
      </c>
      <c r="F1198" t="inlineStr">
        <is>
          <t>PAY-20260702</t>
        </is>
      </c>
      <c r="G1198" t="inlineStr">
        <is>
          <t>G00551</t>
        </is>
      </c>
      <c r="H1198" t="str">
        <f>INDEX('Match Groups'!$C$5:$C$1326,MATCH(G1198,'Match Groups'!$A$5:$A$1326,0))</f>
        <v>R05</v>
      </c>
      <c r="I1198" t="str">
        <f>INDEX('Match Groups'!$D$5:$D$1326,MATCH(G1198,'Match Groups'!$A$5:$A$1326,0))</f>
        <v>MATCH</v>
      </c>
      <c r="J1198">
        <f>IF(I1198="DUPIMP",0,1)</f>
        <v>1</v>
      </c>
    </row>
    <row r="1199">
      <c r="A1199" t="inlineStr">
        <is>
          <t>BL-00828</t>
        </is>
      </c>
      <c r="B1199" t="inlineStr">
        <is>
          <t>PAY</t>
        </is>
      </c>
      <c r="C1199" s="5" t="n">
        <v>46205</v>
      </c>
      <c r="D1199" t="inlineStr">
        <is>
          <t>SALARY W. OKAFOR PR260702</t>
        </is>
      </c>
      <c r="E1199" s="9" t="n">
        <v>-2698.09</v>
      </c>
      <c r="F1199" t="inlineStr">
        <is>
          <t>PAY-20260702</t>
        </is>
      </c>
      <c r="G1199" t="inlineStr">
        <is>
          <t>G00551</t>
        </is>
      </c>
      <c r="H1199" t="str">
        <f>INDEX('Match Groups'!$C$5:$C$1326,MATCH(G1199,'Match Groups'!$A$5:$A$1326,0))</f>
        <v>R05</v>
      </c>
      <c r="I1199" t="str">
        <f>INDEX('Match Groups'!$D$5:$D$1326,MATCH(G1199,'Match Groups'!$A$5:$A$1326,0))</f>
        <v>MATCH</v>
      </c>
      <c r="J1199">
        <f>IF(I1199="DUPIMP",0,1)</f>
        <v>1</v>
      </c>
    </row>
    <row r="1200">
      <c r="A1200" t="inlineStr">
        <is>
          <t>BL-00829</t>
        </is>
      </c>
      <c r="B1200" t="inlineStr">
        <is>
          <t>PAY</t>
        </is>
      </c>
      <c r="C1200" s="5" t="n">
        <v>46205</v>
      </c>
      <c r="D1200" t="inlineStr">
        <is>
          <t>SALARY L. BRENNAN PR260702</t>
        </is>
      </c>
      <c r="E1200" s="9" t="n">
        <v>-1596.86</v>
      </c>
      <c r="F1200" t="inlineStr">
        <is>
          <t>PAY-20260702</t>
        </is>
      </c>
      <c r="G1200" t="inlineStr">
        <is>
          <t>G00551</t>
        </is>
      </c>
      <c r="H1200" t="str">
        <f>INDEX('Match Groups'!$C$5:$C$1326,MATCH(G1200,'Match Groups'!$A$5:$A$1326,0))</f>
        <v>R05</v>
      </c>
      <c r="I1200" t="str">
        <f>INDEX('Match Groups'!$D$5:$D$1326,MATCH(G1200,'Match Groups'!$A$5:$A$1326,0))</f>
        <v>MATCH</v>
      </c>
      <c r="J1200">
        <f>IF(I1200="DUPIMP",0,1)</f>
        <v>1</v>
      </c>
    </row>
    <row r="1201">
      <c r="A1201" t="inlineStr">
        <is>
          <t>BL-00830</t>
        </is>
      </c>
      <c r="B1201" t="inlineStr">
        <is>
          <t>PAY</t>
        </is>
      </c>
      <c r="C1201" s="5" t="n">
        <v>46205</v>
      </c>
      <c r="D1201" t="inlineStr">
        <is>
          <t>SALARY D. KOWALSKI PR260702</t>
        </is>
      </c>
      <c r="E1201" s="9" t="n">
        <v>-3111.57</v>
      </c>
      <c r="F1201" t="inlineStr">
        <is>
          <t>PAY-20260702</t>
        </is>
      </c>
      <c r="G1201" t="inlineStr">
        <is>
          <t>G00551</t>
        </is>
      </c>
      <c r="H1201" t="str">
        <f>INDEX('Match Groups'!$C$5:$C$1326,MATCH(G1201,'Match Groups'!$A$5:$A$1326,0))</f>
        <v>R05</v>
      </c>
      <c r="I1201" t="str">
        <f>INDEX('Match Groups'!$D$5:$D$1326,MATCH(G1201,'Match Groups'!$A$5:$A$1326,0))</f>
        <v>MATCH</v>
      </c>
      <c r="J1201">
        <f>IF(I1201="DUPIMP",0,1)</f>
        <v>1</v>
      </c>
    </row>
    <row r="1202">
      <c r="A1202" t="inlineStr">
        <is>
          <t>BL-00831</t>
        </is>
      </c>
      <c r="B1202" t="inlineStr">
        <is>
          <t>PAY</t>
        </is>
      </c>
      <c r="C1202" s="5" t="n">
        <v>46205</v>
      </c>
      <c r="D1202" t="inlineStr">
        <is>
          <t>SALARY E. HADDAD PR260702</t>
        </is>
      </c>
      <c r="E1202" s="9" t="n">
        <v>-1568.41</v>
      </c>
      <c r="F1202" t="inlineStr">
        <is>
          <t>PAY-20260702</t>
        </is>
      </c>
      <c r="G1202" t="inlineStr">
        <is>
          <t>G00551</t>
        </is>
      </c>
      <c r="H1202" t="str">
        <f>INDEX('Match Groups'!$C$5:$C$1326,MATCH(G1202,'Match Groups'!$A$5:$A$1326,0))</f>
        <v>R05</v>
      </c>
      <c r="I1202" t="str">
        <f>INDEX('Match Groups'!$D$5:$D$1326,MATCH(G1202,'Match Groups'!$A$5:$A$1326,0))</f>
        <v>MATCH</v>
      </c>
      <c r="J1202">
        <f>IF(I1202="DUPIMP",0,1)</f>
        <v>1</v>
      </c>
    </row>
    <row r="1203">
      <c r="A1203" t="inlineStr">
        <is>
          <t>BL-00832</t>
        </is>
      </c>
      <c r="B1203" t="inlineStr">
        <is>
          <t>PAY</t>
        </is>
      </c>
      <c r="C1203" s="5" t="n">
        <v>46205</v>
      </c>
      <c r="D1203" t="inlineStr">
        <is>
          <t>SALARY D. FITZGERALD PR260702</t>
        </is>
      </c>
      <c r="E1203" s="9" t="n">
        <v>-2676.11</v>
      </c>
      <c r="F1203" t="inlineStr">
        <is>
          <t>PAY-20260702</t>
        </is>
      </c>
      <c r="G1203" t="inlineStr">
        <is>
          <t>G00551</t>
        </is>
      </c>
      <c r="H1203" t="str">
        <f>INDEX('Match Groups'!$C$5:$C$1326,MATCH(G1203,'Match Groups'!$A$5:$A$1326,0))</f>
        <v>R05</v>
      </c>
      <c r="I1203" t="str">
        <f>INDEX('Match Groups'!$D$5:$D$1326,MATCH(G1203,'Match Groups'!$A$5:$A$1326,0))</f>
        <v>MATCH</v>
      </c>
      <c r="J1203">
        <f>IF(I1203="DUPIMP",0,1)</f>
        <v>1</v>
      </c>
    </row>
    <row r="1204">
      <c r="A1204" t="inlineStr">
        <is>
          <t>BL-00833</t>
        </is>
      </c>
      <c r="B1204" t="inlineStr">
        <is>
          <t>PAY</t>
        </is>
      </c>
      <c r="C1204" s="5" t="n">
        <v>46205</v>
      </c>
      <c r="D1204" t="inlineStr">
        <is>
          <t>SALARY N. TRAN PR260702</t>
        </is>
      </c>
      <c r="E1204" s="9" t="n">
        <v>-2204.61</v>
      </c>
      <c r="F1204" t="inlineStr">
        <is>
          <t>PAY-20260702</t>
        </is>
      </c>
      <c r="G1204" t="inlineStr">
        <is>
          <t>G00551</t>
        </is>
      </c>
      <c r="H1204" t="str">
        <f>INDEX('Match Groups'!$C$5:$C$1326,MATCH(G1204,'Match Groups'!$A$5:$A$1326,0))</f>
        <v>R05</v>
      </c>
      <c r="I1204" t="str">
        <f>INDEX('Match Groups'!$D$5:$D$1326,MATCH(G1204,'Match Groups'!$A$5:$A$1326,0))</f>
        <v>MATCH</v>
      </c>
      <c r="J1204">
        <f>IF(I1204="DUPIMP",0,1)</f>
        <v>1</v>
      </c>
    </row>
    <row r="1205">
      <c r="A1205" t="inlineStr">
        <is>
          <t>BL-00834</t>
        </is>
      </c>
      <c r="B1205" t="inlineStr">
        <is>
          <t>PAY</t>
        </is>
      </c>
      <c r="C1205" s="5" t="n">
        <v>46205</v>
      </c>
      <c r="D1205" t="inlineStr">
        <is>
          <t>SALARY A. RAMOS PR260702</t>
        </is>
      </c>
      <c r="E1205" s="9" t="n">
        <v>-2851.54</v>
      </c>
      <c r="F1205" t="inlineStr">
        <is>
          <t>PAY-20260702</t>
        </is>
      </c>
      <c r="G1205" t="inlineStr">
        <is>
          <t>G00551</t>
        </is>
      </c>
      <c r="H1205" t="str">
        <f>INDEX('Match Groups'!$C$5:$C$1326,MATCH(G1205,'Match Groups'!$A$5:$A$1326,0))</f>
        <v>R05</v>
      </c>
      <c r="I1205" t="str">
        <f>INDEX('Match Groups'!$D$5:$D$1326,MATCH(G1205,'Match Groups'!$A$5:$A$1326,0))</f>
        <v>MATCH</v>
      </c>
      <c r="J1205">
        <f>IF(I1205="DUPIMP",0,1)</f>
        <v>1</v>
      </c>
    </row>
    <row r="1206">
      <c r="A1206" t="inlineStr">
        <is>
          <t>BL-00835</t>
        </is>
      </c>
      <c r="B1206" t="inlineStr">
        <is>
          <t>PAY</t>
        </is>
      </c>
      <c r="C1206" s="5" t="n">
        <v>46205</v>
      </c>
      <c r="D1206" t="inlineStr">
        <is>
          <t>SALARY D. LINDQVIST PR260702</t>
        </is>
      </c>
      <c r="E1206" s="9" t="n">
        <v>-2122.07</v>
      </c>
      <c r="F1206" t="inlineStr">
        <is>
          <t>PAY-20260702</t>
        </is>
      </c>
      <c r="G1206" t="inlineStr">
        <is>
          <t>G00551</t>
        </is>
      </c>
      <c r="H1206" t="str">
        <f>INDEX('Match Groups'!$C$5:$C$1326,MATCH(G1206,'Match Groups'!$A$5:$A$1326,0))</f>
        <v>R05</v>
      </c>
      <c r="I1206" t="str">
        <f>INDEX('Match Groups'!$D$5:$D$1326,MATCH(G1206,'Match Groups'!$A$5:$A$1326,0))</f>
        <v>MATCH</v>
      </c>
      <c r="J1206">
        <f>IF(I1206="DUPIMP",0,1)</f>
        <v>1</v>
      </c>
    </row>
    <row r="1207">
      <c r="A1207" t="inlineStr">
        <is>
          <t>BL-00836</t>
        </is>
      </c>
      <c r="B1207" t="inlineStr">
        <is>
          <t>PAY</t>
        </is>
      </c>
      <c r="C1207" s="5" t="n">
        <v>46205</v>
      </c>
      <c r="D1207" t="inlineStr">
        <is>
          <t>SALARY H. MEHTA PR260702</t>
        </is>
      </c>
      <c r="E1207" s="9" t="n">
        <v>-2981.56</v>
      </c>
      <c r="F1207" t="inlineStr">
        <is>
          <t>PAY-20260702</t>
        </is>
      </c>
      <c r="G1207" t="inlineStr">
        <is>
          <t>G00551</t>
        </is>
      </c>
      <c r="H1207" t="str">
        <f>INDEX('Match Groups'!$C$5:$C$1326,MATCH(G1207,'Match Groups'!$A$5:$A$1326,0))</f>
        <v>R05</v>
      </c>
      <c r="I1207" t="str">
        <f>INDEX('Match Groups'!$D$5:$D$1326,MATCH(G1207,'Match Groups'!$A$5:$A$1326,0))</f>
        <v>MATCH</v>
      </c>
      <c r="J1207">
        <f>IF(I1207="DUPIMP",0,1)</f>
        <v>1</v>
      </c>
    </row>
    <row r="1208">
      <c r="A1208" t="inlineStr">
        <is>
          <t>BL-00837</t>
        </is>
      </c>
      <c r="B1208" t="inlineStr">
        <is>
          <t>PAY</t>
        </is>
      </c>
      <c r="C1208" s="5" t="n">
        <v>46205</v>
      </c>
      <c r="D1208" t="inlineStr">
        <is>
          <t>SALARY D. O'ROURKE PR260702</t>
        </is>
      </c>
      <c r="E1208" s="9" t="n">
        <v>-2843.6</v>
      </c>
      <c r="F1208" t="inlineStr">
        <is>
          <t>PAY-20260702</t>
        </is>
      </c>
      <c r="G1208" t="inlineStr">
        <is>
          <t>G00551</t>
        </is>
      </c>
      <c r="H1208" t="str">
        <f>INDEX('Match Groups'!$C$5:$C$1326,MATCH(G1208,'Match Groups'!$A$5:$A$1326,0))</f>
        <v>R05</v>
      </c>
      <c r="I1208" t="str">
        <f>INDEX('Match Groups'!$D$5:$D$1326,MATCH(G1208,'Match Groups'!$A$5:$A$1326,0))</f>
        <v>MATCH</v>
      </c>
      <c r="J1208">
        <f>IF(I1208="DUPIMP",0,1)</f>
        <v>1</v>
      </c>
    </row>
    <row r="1209">
      <c r="A1209" t="inlineStr">
        <is>
          <t>BL-00838</t>
        </is>
      </c>
      <c r="B1209" t="inlineStr">
        <is>
          <t>PAY</t>
        </is>
      </c>
      <c r="C1209" s="5" t="n">
        <v>46205</v>
      </c>
      <c r="D1209" t="inlineStr">
        <is>
          <t>SALARY H. PAPADOPOULOS PR260702</t>
        </is>
      </c>
      <c r="E1209" s="9" t="n">
        <v>-3751.23</v>
      </c>
      <c r="F1209" t="inlineStr">
        <is>
          <t>PAY-20260702</t>
        </is>
      </c>
      <c r="G1209" t="inlineStr">
        <is>
          <t>G00551</t>
        </is>
      </c>
      <c r="H1209" t="str">
        <f>INDEX('Match Groups'!$C$5:$C$1326,MATCH(G1209,'Match Groups'!$A$5:$A$1326,0))</f>
        <v>R05</v>
      </c>
      <c r="I1209" t="str">
        <f>INDEX('Match Groups'!$D$5:$D$1326,MATCH(G1209,'Match Groups'!$A$5:$A$1326,0))</f>
        <v>MATCH</v>
      </c>
      <c r="J1209">
        <f>IF(I1209="DUPIMP",0,1)</f>
        <v>1</v>
      </c>
    </row>
    <row r="1210">
      <c r="A1210" t="inlineStr">
        <is>
          <t>BL-00839</t>
        </is>
      </c>
      <c r="B1210" t="inlineStr">
        <is>
          <t>PAY</t>
        </is>
      </c>
      <c r="C1210" s="5" t="n">
        <v>46205</v>
      </c>
      <c r="D1210" t="inlineStr">
        <is>
          <t>SALARY D. SUTHERLAND PR260702</t>
        </is>
      </c>
      <c r="E1210" s="9" t="n">
        <v>-3336.46</v>
      </c>
      <c r="F1210" t="inlineStr">
        <is>
          <t>PAY-20260702</t>
        </is>
      </c>
      <c r="G1210" t="inlineStr">
        <is>
          <t>G00551</t>
        </is>
      </c>
      <c r="H1210" t="str">
        <f>INDEX('Match Groups'!$C$5:$C$1326,MATCH(G1210,'Match Groups'!$A$5:$A$1326,0))</f>
        <v>R05</v>
      </c>
      <c r="I1210" t="str">
        <f>INDEX('Match Groups'!$D$5:$D$1326,MATCH(G1210,'Match Groups'!$A$5:$A$1326,0))</f>
        <v>MATCH</v>
      </c>
      <c r="J1210">
        <f>IF(I1210="DUPIMP",0,1)</f>
        <v>1</v>
      </c>
    </row>
    <row r="1211">
      <c r="A1211" t="inlineStr">
        <is>
          <t>BL-00840</t>
        </is>
      </c>
      <c r="B1211" t="inlineStr">
        <is>
          <t>PAY</t>
        </is>
      </c>
      <c r="C1211" s="5" t="n">
        <v>46205</v>
      </c>
      <c r="D1211" t="inlineStr">
        <is>
          <t>SALARY C. YAMAMOTO PR260702</t>
        </is>
      </c>
      <c r="E1211" s="9" t="n">
        <v>-1749.04</v>
      </c>
      <c r="F1211" t="inlineStr">
        <is>
          <t>PAY-20260702</t>
        </is>
      </c>
      <c r="G1211" t="inlineStr">
        <is>
          <t>G00551</t>
        </is>
      </c>
      <c r="H1211" t="str">
        <f>INDEX('Match Groups'!$C$5:$C$1326,MATCH(G1211,'Match Groups'!$A$5:$A$1326,0))</f>
        <v>R05</v>
      </c>
      <c r="I1211" t="str">
        <f>INDEX('Match Groups'!$D$5:$D$1326,MATCH(G1211,'Match Groups'!$A$5:$A$1326,0))</f>
        <v>MATCH</v>
      </c>
      <c r="J1211">
        <f>IF(I1211="DUPIMP",0,1)</f>
        <v>1</v>
      </c>
    </row>
    <row r="1212">
      <c r="A1212" t="inlineStr">
        <is>
          <t>BL-00841</t>
        </is>
      </c>
      <c r="B1212" t="inlineStr">
        <is>
          <t>PAY</t>
        </is>
      </c>
      <c r="C1212" s="5" t="n">
        <v>46205</v>
      </c>
      <c r="D1212" t="inlineStr">
        <is>
          <t>SALARY L. ABERNATHY PR260702</t>
        </is>
      </c>
      <c r="E1212" s="9" t="n">
        <v>-3472.07</v>
      </c>
      <c r="F1212" t="inlineStr">
        <is>
          <t>PAY-20260702</t>
        </is>
      </c>
      <c r="G1212" t="inlineStr">
        <is>
          <t>G00551</t>
        </is>
      </c>
      <c r="H1212" t="str">
        <f>INDEX('Match Groups'!$C$5:$C$1326,MATCH(G1212,'Match Groups'!$A$5:$A$1326,0))</f>
        <v>R05</v>
      </c>
      <c r="I1212" t="str">
        <f>INDEX('Match Groups'!$D$5:$D$1326,MATCH(G1212,'Match Groups'!$A$5:$A$1326,0))</f>
        <v>MATCH</v>
      </c>
      <c r="J1212">
        <f>IF(I1212="DUPIMP",0,1)</f>
        <v>1</v>
      </c>
    </row>
    <row r="1213">
      <c r="A1213" t="inlineStr">
        <is>
          <t>BL-00842</t>
        </is>
      </c>
      <c r="B1213" t="inlineStr">
        <is>
          <t>PAY</t>
        </is>
      </c>
      <c r="C1213" s="5" t="n">
        <v>46205</v>
      </c>
      <c r="D1213" t="inlineStr">
        <is>
          <t>SALARY J. CASTELLANO PR260702</t>
        </is>
      </c>
      <c r="E1213" s="9" t="n">
        <v>-2881.94</v>
      </c>
      <c r="F1213" t="inlineStr">
        <is>
          <t>PAY-20260702</t>
        </is>
      </c>
      <c r="G1213" t="inlineStr">
        <is>
          <t>G00551</t>
        </is>
      </c>
      <c r="H1213" t="str">
        <f>INDEX('Match Groups'!$C$5:$C$1326,MATCH(G1213,'Match Groups'!$A$5:$A$1326,0))</f>
        <v>R05</v>
      </c>
      <c r="I1213" t="str">
        <f>INDEX('Match Groups'!$D$5:$D$1326,MATCH(G1213,'Match Groups'!$A$5:$A$1326,0))</f>
        <v>MATCH</v>
      </c>
      <c r="J1213">
        <f>IF(I1213="DUPIMP",0,1)</f>
        <v>1</v>
      </c>
    </row>
    <row r="1214">
      <c r="A1214" t="inlineStr">
        <is>
          <t>BL-00843</t>
        </is>
      </c>
      <c r="B1214" t="inlineStr">
        <is>
          <t>PAY</t>
        </is>
      </c>
      <c r="C1214" s="5" t="n">
        <v>46205</v>
      </c>
      <c r="D1214" t="inlineStr">
        <is>
          <t>SALARY G. DEMPSEY PR260702</t>
        </is>
      </c>
      <c r="E1214" s="9" t="n">
        <v>-1820.11</v>
      </c>
      <c r="F1214" t="inlineStr">
        <is>
          <t>PAY-20260702</t>
        </is>
      </c>
      <c r="G1214" t="inlineStr">
        <is>
          <t>G00551</t>
        </is>
      </c>
      <c r="H1214" t="str">
        <f>INDEX('Match Groups'!$C$5:$C$1326,MATCH(G1214,'Match Groups'!$A$5:$A$1326,0))</f>
        <v>R05</v>
      </c>
      <c r="I1214" t="str">
        <f>INDEX('Match Groups'!$D$5:$D$1326,MATCH(G1214,'Match Groups'!$A$5:$A$1326,0))</f>
        <v>MATCH</v>
      </c>
      <c r="J1214">
        <f>IF(I1214="DUPIMP",0,1)</f>
        <v>1</v>
      </c>
    </row>
    <row r="1215">
      <c r="A1215" t="inlineStr">
        <is>
          <t>BL-00844</t>
        </is>
      </c>
      <c r="B1215" t="inlineStr">
        <is>
          <t>PAY</t>
        </is>
      </c>
      <c r="C1215" s="5" t="n">
        <v>46205</v>
      </c>
      <c r="D1215" t="inlineStr">
        <is>
          <t>SALARY G. ERIKSEN PR260702</t>
        </is>
      </c>
      <c r="E1215" s="9" t="n">
        <v>-1800.67</v>
      </c>
      <c r="F1215" t="inlineStr">
        <is>
          <t>PAY-20260702</t>
        </is>
      </c>
      <c r="G1215" t="inlineStr">
        <is>
          <t>G00551</t>
        </is>
      </c>
      <c r="H1215" t="str">
        <f>INDEX('Match Groups'!$C$5:$C$1326,MATCH(G1215,'Match Groups'!$A$5:$A$1326,0))</f>
        <v>R05</v>
      </c>
      <c r="I1215" t="str">
        <f>INDEX('Match Groups'!$D$5:$D$1326,MATCH(G1215,'Match Groups'!$A$5:$A$1326,0))</f>
        <v>MATCH</v>
      </c>
      <c r="J1215">
        <f>IF(I1215="DUPIMP",0,1)</f>
        <v>1</v>
      </c>
    </row>
    <row r="1216">
      <c r="A1216" t="inlineStr">
        <is>
          <t>BL-00845</t>
        </is>
      </c>
      <c r="B1216" t="inlineStr">
        <is>
          <t>PAY</t>
        </is>
      </c>
      <c r="C1216" s="5" t="n">
        <v>46205</v>
      </c>
      <c r="D1216" t="inlineStr">
        <is>
          <t>SALARY H. FERRARO PR260702</t>
        </is>
      </c>
      <c r="E1216" s="9" t="n">
        <v>-2420.63</v>
      </c>
      <c r="F1216" t="inlineStr">
        <is>
          <t>PAY-20260702</t>
        </is>
      </c>
      <c r="G1216" t="inlineStr">
        <is>
          <t>G00551</t>
        </is>
      </c>
      <c r="H1216" t="str">
        <f>INDEX('Match Groups'!$C$5:$C$1326,MATCH(G1216,'Match Groups'!$A$5:$A$1326,0))</f>
        <v>R05</v>
      </c>
      <c r="I1216" t="str">
        <f>INDEX('Match Groups'!$D$5:$D$1326,MATCH(G1216,'Match Groups'!$A$5:$A$1326,0))</f>
        <v>MATCH</v>
      </c>
      <c r="J1216">
        <f>IF(I1216="DUPIMP",0,1)</f>
        <v>1</v>
      </c>
    </row>
    <row r="1217">
      <c r="A1217" t="inlineStr">
        <is>
          <t>BL-00846</t>
        </is>
      </c>
      <c r="B1217" t="inlineStr">
        <is>
          <t>PAY</t>
        </is>
      </c>
      <c r="C1217" s="5" t="n">
        <v>46205</v>
      </c>
      <c r="D1217" t="inlineStr">
        <is>
          <t>SALARY R. GALLAGHER PR260702</t>
        </is>
      </c>
      <c r="E1217" s="9" t="n">
        <v>-2843.96</v>
      </c>
      <c r="F1217" t="inlineStr">
        <is>
          <t>PAY-20260702</t>
        </is>
      </c>
      <c r="G1217" t="inlineStr">
        <is>
          <t>G00551</t>
        </is>
      </c>
      <c r="H1217" t="str">
        <f>INDEX('Match Groups'!$C$5:$C$1326,MATCH(G1217,'Match Groups'!$A$5:$A$1326,0))</f>
        <v>R05</v>
      </c>
      <c r="I1217" t="str">
        <f>INDEX('Match Groups'!$D$5:$D$1326,MATCH(G1217,'Match Groups'!$A$5:$A$1326,0))</f>
        <v>MATCH</v>
      </c>
      <c r="J1217">
        <f>IF(I1217="DUPIMP",0,1)</f>
        <v>1</v>
      </c>
    </row>
    <row r="1218">
      <c r="A1218" t="inlineStr">
        <is>
          <t>BL-00847</t>
        </is>
      </c>
      <c r="B1218" t="inlineStr">
        <is>
          <t>PAY</t>
        </is>
      </c>
      <c r="C1218" s="5" t="n">
        <v>46205</v>
      </c>
      <c r="D1218" t="inlineStr">
        <is>
          <t>SALARY N. HOSSEINI PR260702</t>
        </is>
      </c>
      <c r="E1218" s="9" t="n">
        <v>-3756.58</v>
      </c>
      <c r="F1218" t="inlineStr">
        <is>
          <t>PAY-20260702</t>
        </is>
      </c>
      <c r="G1218" t="inlineStr">
        <is>
          <t>G00551</t>
        </is>
      </c>
      <c r="H1218" t="str">
        <f>INDEX('Match Groups'!$C$5:$C$1326,MATCH(G1218,'Match Groups'!$A$5:$A$1326,0))</f>
        <v>R05</v>
      </c>
      <c r="I1218" t="str">
        <f>INDEX('Match Groups'!$D$5:$D$1326,MATCH(G1218,'Match Groups'!$A$5:$A$1326,0))</f>
        <v>MATCH</v>
      </c>
      <c r="J1218">
        <f>IF(I1218="DUPIMP",0,1)</f>
        <v>1</v>
      </c>
    </row>
    <row r="1219">
      <c r="A1219" t="inlineStr">
        <is>
          <t>BL-00848</t>
        </is>
      </c>
      <c r="B1219" t="inlineStr">
        <is>
          <t>PAY</t>
        </is>
      </c>
      <c r="C1219" s="5" t="n">
        <v>46205</v>
      </c>
      <c r="D1219" t="inlineStr">
        <is>
          <t>SALARY T. IVANOVA PR260702</t>
        </is>
      </c>
      <c r="E1219" s="9" t="n">
        <v>-2948.93</v>
      </c>
      <c r="F1219" t="inlineStr">
        <is>
          <t>PAY-20260702</t>
        </is>
      </c>
      <c r="G1219" t="inlineStr">
        <is>
          <t>G00551</t>
        </is>
      </c>
      <c r="H1219" t="str">
        <f>INDEX('Match Groups'!$C$5:$C$1326,MATCH(G1219,'Match Groups'!$A$5:$A$1326,0))</f>
        <v>R05</v>
      </c>
      <c r="I1219" t="str">
        <f>INDEX('Match Groups'!$D$5:$D$1326,MATCH(G1219,'Match Groups'!$A$5:$A$1326,0))</f>
        <v>MATCH</v>
      </c>
      <c r="J1219">
        <f>IF(I1219="DUPIMP",0,1)</f>
        <v>1</v>
      </c>
    </row>
    <row r="1220">
      <c r="A1220" t="inlineStr">
        <is>
          <t>BL-00849</t>
        </is>
      </c>
      <c r="B1220" t="inlineStr">
        <is>
          <t>PAY</t>
        </is>
      </c>
      <c r="C1220" s="5" t="n">
        <v>46205</v>
      </c>
      <c r="D1220" t="inlineStr">
        <is>
          <t>SALARY P. JOVANOVIC PR260702</t>
        </is>
      </c>
      <c r="E1220" s="9" t="n">
        <v>-1676.8</v>
      </c>
      <c r="F1220" t="inlineStr">
        <is>
          <t>PAY-20260702</t>
        </is>
      </c>
      <c r="G1220" t="inlineStr">
        <is>
          <t>G00551</t>
        </is>
      </c>
      <c r="H1220" t="str">
        <f>INDEX('Match Groups'!$C$5:$C$1326,MATCH(G1220,'Match Groups'!$A$5:$A$1326,0))</f>
        <v>R05</v>
      </c>
      <c r="I1220" t="str">
        <f>INDEX('Match Groups'!$D$5:$D$1326,MATCH(G1220,'Match Groups'!$A$5:$A$1326,0))</f>
        <v>MATCH</v>
      </c>
      <c r="J1220">
        <f>IF(I1220="DUPIMP",0,1)</f>
        <v>1</v>
      </c>
    </row>
    <row r="1221">
      <c r="A1221" t="inlineStr">
        <is>
          <t>BL-00850</t>
        </is>
      </c>
      <c r="B1221" t="inlineStr">
        <is>
          <t>PAY</t>
        </is>
      </c>
      <c r="C1221" s="5" t="n">
        <v>46205</v>
      </c>
      <c r="D1221" t="inlineStr">
        <is>
          <t>SALARY M. KAUR PR260702</t>
        </is>
      </c>
      <c r="E1221" s="9" t="n">
        <v>-2892.88</v>
      </c>
      <c r="F1221" t="inlineStr">
        <is>
          <t>PAY-20260702</t>
        </is>
      </c>
      <c r="G1221" t="inlineStr">
        <is>
          <t>G00551</t>
        </is>
      </c>
      <c r="H1221" t="str">
        <f>INDEX('Match Groups'!$C$5:$C$1326,MATCH(G1221,'Match Groups'!$A$5:$A$1326,0))</f>
        <v>R05</v>
      </c>
      <c r="I1221" t="str">
        <f>INDEX('Match Groups'!$D$5:$D$1326,MATCH(G1221,'Match Groups'!$A$5:$A$1326,0))</f>
        <v>MATCH</v>
      </c>
      <c r="J1221">
        <f>IF(I1221="DUPIMP",0,1)</f>
        <v>1</v>
      </c>
    </row>
    <row r="1222">
      <c r="A1222" t="inlineStr">
        <is>
          <t>BL-00851</t>
        </is>
      </c>
      <c r="B1222" t="inlineStr">
        <is>
          <t>PAY</t>
        </is>
      </c>
      <c r="C1222" s="5" t="n">
        <v>46205</v>
      </c>
      <c r="D1222" t="inlineStr">
        <is>
          <t>SALARY F. LOMBARDI PR260702</t>
        </is>
      </c>
      <c r="E1222" s="9" t="n">
        <v>-3230.1</v>
      </c>
      <c r="F1222" t="inlineStr">
        <is>
          <t>PAY-20260702</t>
        </is>
      </c>
      <c r="G1222" t="inlineStr">
        <is>
          <t>G00551</t>
        </is>
      </c>
      <c r="H1222" t="str">
        <f>INDEX('Match Groups'!$C$5:$C$1326,MATCH(G1222,'Match Groups'!$A$5:$A$1326,0))</f>
        <v>R05</v>
      </c>
      <c r="I1222" t="str">
        <f>INDEX('Match Groups'!$D$5:$D$1326,MATCH(G1222,'Match Groups'!$A$5:$A$1326,0))</f>
        <v>MATCH</v>
      </c>
      <c r="J1222">
        <f>IF(I1222="DUPIMP",0,1)</f>
        <v>1</v>
      </c>
    </row>
    <row r="1223">
      <c r="A1223" t="inlineStr">
        <is>
          <t>BL-00852</t>
        </is>
      </c>
      <c r="B1223" t="inlineStr">
        <is>
          <t>PAY</t>
        </is>
      </c>
      <c r="C1223" s="5" t="n">
        <v>46205</v>
      </c>
      <c r="D1223" t="inlineStr">
        <is>
          <t>SALARY S. MACINTYRE PR260702</t>
        </is>
      </c>
      <c r="E1223" s="9" t="n">
        <v>-3232.03</v>
      </c>
      <c r="F1223" t="inlineStr">
        <is>
          <t>PAY-20260702</t>
        </is>
      </c>
      <c r="G1223" t="inlineStr">
        <is>
          <t>G00551</t>
        </is>
      </c>
      <c r="H1223" t="str">
        <f>INDEX('Match Groups'!$C$5:$C$1326,MATCH(G1223,'Match Groups'!$A$5:$A$1326,0))</f>
        <v>R05</v>
      </c>
      <c r="I1223" t="str">
        <f>INDEX('Match Groups'!$D$5:$D$1326,MATCH(G1223,'Match Groups'!$A$5:$A$1326,0))</f>
        <v>MATCH</v>
      </c>
      <c r="J1223">
        <f>IF(I1223="DUPIMP",0,1)</f>
        <v>1</v>
      </c>
    </row>
    <row r="1224">
      <c r="A1224" t="inlineStr">
        <is>
          <t>BL-00853</t>
        </is>
      </c>
      <c r="B1224" t="inlineStr">
        <is>
          <t>PAY</t>
        </is>
      </c>
      <c r="C1224" s="5" t="n">
        <v>46205</v>
      </c>
      <c r="D1224" t="inlineStr">
        <is>
          <t>SALARY W. NOVAK PR260702</t>
        </is>
      </c>
      <c r="E1224" s="9" t="n">
        <v>-3158.28</v>
      </c>
      <c r="F1224" t="inlineStr">
        <is>
          <t>PAY-20260702</t>
        </is>
      </c>
      <c r="G1224" t="inlineStr">
        <is>
          <t>G00551</t>
        </is>
      </c>
      <c r="H1224" t="str">
        <f>INDEX('Match Groups'!$C$5:$C$1326,MATCH(G1224,'Match Groups'!$A$5:$A$1326,0))</f>
        <v>R05</v>
      </c>
      <c r="I1224" t="str">
        <f>INDEX('Match Groups'!$D$5:$D$1326,MATCH(G1224,'Match Groups'!$A$5:$A$1326,0))</f>
        <v>MATCH</v>
      </c>
      <c r="J1224">
        <f>IF(I1224="DUPIMP",0,1)</f>
        <v>1</v>
      </c>
    </row>
    <row r="1225">
      <c r="A1225" t="inlineStr">
        <is>
          <t>BL-00854</t>
        </is>
      </c>
      <c r="B1225" t="inlineStr">
        <is>
          <t>PAY</t>
        </is>
      </c>
      <c r="C1225" s="5" t="n">
        <v>46205</v>
      </c>
      <c r="D1225" t="inlineStr">
        <is>
          <t>SALARY D. OYELARAN PR260702</t>
        </is>
      </c>
      <c r="E1225" s="9" t="n">
        <v>-2684.57</v>
      </c>
      <c r="F1225" t="inlineStr">
        <is>
          <t>PAY-20260702</t>
        </is>
      </c>
      <c r="G1225" t="inlineStr">
        <is>
          <t>G00551</t>
        </is>
      </c>
      <c r="H1225" t="str">
        <f>INDEX('Match Groups'!$C$5:$C$1326,MATCH(G1225,'Match Groups'!$A$5:$A$1326,0))</f>
        <v>R05</v>
      </c>
      <c r="I1225" t="str">
        <f>INDEX('Match Groups'!$D$5:$D$1326,MATCH(G1225,'Match Groups'!$A$5:$A$1326,0))</f>
        <v>MATCH</v>
      </c>
      <c r="J1225">
        <f>IF(I1225="DUPIMP",0,1)</f>
        <v>1</v>
      </c>
    </row>
    <row r="1226">
      <c r="A1226" t="inlineStr">
        <is>
          <t>BL-00855</t>
        </is>
      </c>
      <c r="B1226" t="inlineStr">
        <is>
          <t>PAY</t>
        </is>
      </c>
      <c r="C1226" s="5" t="n">
        <v>46205</v>
      </c>
      <c r="D1226" t="inlineStr">
        <is>
          <t>SALARY E. PELLEGRINO PR260702</t>
        </is>
      </c>
      <c r="E1226" s="9" t="n">
        <v>-2357.13</v>
      </c>
      <c r="F1226" t="inlineStr">
        <is>
          <t>PAY-20260702</t>
        </is>
      </c>
      <c r="G1226" t="inlineStr">
        <is>
          <t>G00551</t>
        </is>
      </c>
      <c r="H1226" t="str">
        <f>INDEX('Match Groups'!$C$5:$C$1326,MATCH(G1226,'Match Groups'!$A$5:$A$1326,0))</f>
        <v>R05</v>
      </c>
      <c r="I1226" t="str">
        <f>INDEX('Match Groups'!$D$5:$D$1326,MATCH(G1226,'Match Groups'!$A$5:$A$1326,0))</f>
        <v>MATCH</v>
      </c>
      <c r="J1226">
        <f>IF(I1226="DUPIMP",0,1)</f>
        <v>1</v>
      </c>
    </row>
    <row r="1227">
      <c r="A1227" t="inlineStr">
        <is>
          <t>BL-00856</t>
        </is>
      </c>
      <c r="B1227" t="inlineStr">
        <is>
          <t>PAY</t>
        </is>
      </c>
      <c r="C1227" s="5" t="n">
        <v>46205</v>
      </c>
      <c r="D1227" t="inlineStr">
        <is>
          <t>SALARY T. QUACH PR260702</t>
        </is>
      </c>
      <c r="E1227" s="9" t="n">
        <v>-3723.77</v>
      </c>
      <c r="F1227" t="inlineStr">
        <is>
          <t>PAY-20260702</t>
        </is>
      </c>
      <c r="G1227" t="inlineStr">
        <is>
          <t>G00551</t>
        </is>
      </c>
      <c r="H1227" t="str">
        <f>INDEX('Match Groups'!$C$5:$C$1326,MATCH(G1227,'Match Groups'!$A$5:$A$1326,0))</f>
        <v>R05</v>
      </c>
      <c r="I1227" t="str">
        <f>INDEX('Match Groups'!$D$5:$D$1326,MATCH(G1227,'Match Groups'!$A$5:$A$1326,0))</f>
        <v>MATCH</v>
      </c>
      <c r="J1227">
        <f>IF(I1227="DUPIMP",0,1)</f>
        <v>1</v>
      </c>
    </row>
    <row r="1228">
      <c r="A1228" t="inlineStr">
        <is>
          <t>BL-00857</t>
        </is>
      </c>
      <c r="B1228" t="inlineStr">
        <is>
          <t>PAY</t>
        </is>
      </c>
      <c r="C1228" s="5" t="n">
        <v>46205</v>
      </c>
      <c r="D1228" t="inlineStr">
        <is>
          <t>SALARY S. RASMUSSEN PR260702</t>
        </is>
      </c>
      <c r="E1228" s="9" t="n">
        <v>-2125.57</v>
      </c>
      <c r="F1228" t="inlineStr">
        <is>
          <t>PAY-20260702</t>
        </is>
      </c>
      <c r="G1228" t="inlineStr">
        <is>
          <t>G00551</t>
        </is>
      </c>
      <c r="H1228" t="str">
        <f>INDEX('Match Groups'!$C$5:$C$1326,MATCH(G1228,'Match Groups'!$A$5:$A$1326,0))</f>
        <v>R05</v>
      </c>
      <c r="I1228" t="str">
        <f>INDEX('Match Groups'!$D$5:$D$1326,MATCH(G1228,'Match Groups'!$A$5:$A$1326,0))</f>
        <v>MATCH</v>
      </c>
      <c r="J1228">
        <f>IF(I1228="DUPIMP",0,1)</f>
        <v>1</v>
      </c>
    </row>
    <row r="1229">
      <c r="A1229" t="inlineStr">
        <is>
          <t>BL-00858</t>
        </is>
      </c>
      <c r="B1229" t="inlineStr">
        <is>
          <t>PAY</t>
        </is>
      </c>
      <c r="C1229" s="5" t="n">
        <v>46205</v>
      </c>
      <c r="D1229" t="inlineStr">
        <is>
          <t>SALARY H. SANDOVAL PR260702</t>
        </is>
      </c>
      <c r="E1229" s="9" t="n">
        <v>-3268.64</v>
      </c>
      <c r="F1229" t="inlineStr">
        <is>
          <t>PAY-20260702</t>
        </is>
      </c>
      <c r="G1229" t="inlineStr">
        <is>
          <t>G00551</t>
        </is>
      </c>
      <c r="H1229" t="str">
        <f>INDEX('Match Groups'!$C$5:$C$1326,MATCH(G1229,'Match Groups'!$A$5:$A$1326,0))</f>
        <v>R05</v>
      </c>
      <c r="I1229" t="str">
        <f>INDEX('Match Groups'!$D$5:$D$1326,MATCH(G1229,'Match Groups'!$A$5:$A$1326,0))</f>
        <v>MATCH</v>
      </c>
      <c r="J1229">
        <f>IF(I1229="DUPIMP",0,1)</f>
        <v>1</v>
      </c>
    </row>
    <row r="1230">
      <c r="A1230" t="inlineStr">
        <is>
          <t>BL-00859</t>
        </is>
      </c>
      <c r="B1230" t="inlineStr">
        <is>
          <t>PAY</t>
        </is>
      </c>
      <c r="C1230" s="5" t="n">
        <v>46205</v>
      </c>
      <c r="D1230" t="inlineStr">
        <is>
          <t>SALARY R. TEAGUE PR260702</t>
        </is>
      </c>
      <c r="E1230" s="9" t="n">
        <v>-1816.21</v>
      </c>
      <c r="F1230" t="inlineStr">
        <is>
          <t>PAY-20260702</t>
        </is>
      </c>
      <c r="G1230" t="inlineStr">
        <is>
          <t>G00551</t>
        </is>
      </c>
      <c r="H1230" t="str">
        <f>INDEX('Match Groups'!$C$5:$C$1326,MATCH(G1230,'Match Groups'!$A$5:$A$1326,0))</f>
        <v>R05</v>
      </c>
      <c r="I1230" t="str">
        <f>INDEX('Match Groups'!$D$5:$D$1326,MATCH(G1230,'Match Groups'!$A$5:$A$1326,0))</f>
        <v>MATCH</v>
      </c>
      <c r="J1230">
        <f>IF(I1230="DUPIMP",0,1)</f>
        <v>1</v>
      </c>
    </row>
    <row r="1231">
      <c r="A1231" t="inlineStr">
        <is>
          <t>BL-00860</t>
        </is>
      </c>
      <c r="B1231" t="inlineStr">
        <is>
          <t>PAY</t>
        </is>
      </c>
      <c r="C1231" s="5" t="n">
        <v>46205</v>
      </c>
      <c r="D1231" t="inlineStr">
        <is>
          <t>SALARY M. UPTON PR260702</t>
        </is>
      </c>
      <c r="E1231" s="9" t="n">
        <v>-3728.67</v>
      </c>
      <c r="F1231" t="inlineStr">
        <is>
          <t>PAY-20260702</t>
        </is>
      </c>
      <c r="G1231" t="inlineStr">
        <is>
          <t>G00551</t>
        </is>
      </c>
      <c r="H1231" t="str">
        <f>INDEX('Match Groups'!$C$5:$C$1326,MATCH(G1231,'Match Groups'!$A$5:$A$1326,0))</f>
        <v>R05</v>
      </c>
      <c r="I1231" t="str">
        <f>INDEX('Match Groups'!$D$5:$D$1326,MATCH(G1231,'Match Groups'!$A$5:$A$1326,0))</f>
        <v>MATCH</v>
      </c>
      <c r="J1231">
        <f>IF(I1231="DUPIMP",0,1)</f>
        <v>1</v>
      </c>
    </row>
    <row r="1232">
      <c r="A1232" t="inlineStr">
        <is>
          <t>BL-00861</t>
        </is>
      </c>
      <c r="B1232" t="inlineStr">
        <is>
          <t>PAY</t>
        </is>
      </c>
      <c r="C1232" s="5" t="n">
        <v>46205</v>
      </c>
      <c r="D1232" t="inlineStr">
        <is>
          <t>SALARY K. VASQUEZ PR260702</t>
        </is>
      </c>
      <c r="E1232" s="9" t="n">
        <v>-1628.16</v>
      </c>
      <c r="F1232" t="inlineStr">
        <is>
          <t>PAY-20260702</t>
        </is>
      </c>
      <c r="G1232" t="inlineStr">
        <is>
          <t>G00551</t>
        </is>
      </c>
      <c r="H1232" t="str">
        <f>INDEX('Match Groups'!$C$5:$C$1326,MATCH(G1232,'Match Groups'!$A$5:$A$1326,0))</f>
        <v>R05</v>
      </c>
      <c r="I1232" t="str">
        <f>INDEX('Match Groups'!$D$5:$D$1326,MATCH(G1232,'Match Groups'!$A$5:$A$1326,0))</f>
        <v>MATCH</v>
      </c>
      <c r="J1232">
        <f>IF(I1232="DUPIMP",0,1)</f>
        <v>1</v>
      </c>
    </row>
    <row r="1233">
      <c r="A1233" t="inlineStr">
        <is>
          <t>BL-00862</t>
        </is>
      </c>
      <c r="B1233" t="inlineStr">
        <is>
          <t>PAY</t>
        </is>
      </c>
      <c r="C1233" s="5" t="n">
        <v>46205</v>
      </c>
      <c r="D1233" t="inlineStr">
        <is>
          <t>SALARY M. WHITLOCK PR260702</t>
        </is>
      </c>
      <c r="E1233" s="9" t="n">
        <v>-1619.23</v>
      </c>
      <c r="F1233" t="inlineStr">
        <is>
          <t>PAY-20260702</t>
        </is>
      </c>
      <c r="G1233" t="inlineStr">
        <is>
          <t>G00551</t>
        </is>
      </c>
      <c r="H1233" t="str">
        <f>INDEX('Match Groups'!$C$5:$C$1326,MATCH(G1233,'Match Groups'!$A$5:$A$1326,0))</f>
        <v>R05</v>
      </c>
      <c r="I1233" t="str">
        <f>INDEX('Match Groups'!$D$5:$D$1326,MATCH(G1233,'Match Groups'!$A$5:$A$1326,0))</f>
        <v>MATCH</v>
      </c>
      <c r="J1233">
        <f>IF(I1233="DUPIMP",0,1)</f>
        <v>1</v>
      </c>
    </row>
    <row r="1234">
      <c r="A1234" t="inlineStr">
        <is>
          <t>BL-00863</t>
        </is>
      </c>
      <c r="B1234" t="inlineStr">
        <is>
          <t>PAY</t>
        </is>
      </c>
      <c r="C1234" s="5" t="n">
        <v>46205</v>
      </c>
      <c r="D1234" t="inlineStr">
        <is>
          <t>SALARY P. XU PR260702</t>
        </is>
      </c>
      <c r="E1234" s="9" t="n">
        <v>-1618.82</v>
      </c>
      <c r="F1234" t="inlineStr">
        <is>
          <t>PAY-20260702</t>
        </is>
      </c>
      <c r="G1234" t="inlineStr">
        <is>
          <t>G00551</t>
        </is>
      </c>
      <c r="H1234" t="str">
        <f>INDEX('Match Groups'!$C$5:$C$1326,MATCH(G1234,'Match Groups'!$A$5:$A$1326,0))</f>
        <v>R05</v>
      </c>
      <c r="I1234" t="str">
        <f>INDEX('Match Groups'!$D$5:$D$1326,MATCH(G1234,'Match Groups'!$A$5:$A$1326,0))</f>
        <v>MATCH</v>
      </c>
      <c r="J1234">
        <f>IF(I1234="DUPIMP",0,1)</f>
        <v>1</v>
      </c>
    </row>
    <row r="1235">
      <c r="A1235" t="inlineStr">
        <is>
          <t>BL-00864</t>
        </is>
      </c>
      <c r="B1235" t="inlineStr">
        <is>
          <t>PAY</t>
        </is>
      </c>
      <c r="C1235" s="5" t="n">
        <v>46205</v>
      </c>
      <c r="D1235" t="inlineStr">
        <is>
          <t>SALARY R. YILMAZ PR260702</t>
        </is>
      </c>
      <c r="E1235" s="9" t="n">
        <v>-3221.05</v>
      </c>
      <c r="F1235" t="inlineStr">
        <is>
          <t>PAY-20260702</t>
        </is>
      </c>
      <c r="G1235" t="inlineStr">
        <is>
          <t>G00551</t>
        </is>
      </c>
      <c r="H1235" t="str">
        <f>INDEX('Match Groups'!$C$5:$C$1326,MATCH(G1235,'Match Groups'!$A$5:$A$1326,0))</f>
        <v>R05</v>
      </c>
      <c r="I1235" t="str">
        <f>INDEX('Match Groups'!$D$5:$D$1326,MATCH(G1235,'Match Groups'!$A$5:$A$1326,0))</f>
        <v>MATCH</v>
      </c>
      <c r="J1235">
        <f>IF(I1235="DUPIMP",0,1)</f>
        <v>1</v>
      </c>
    </row>
    <row r="1236">
      <c r="A1236" t="inlineStr">
        <is>
          <t>BL-00865</t>
        </is>
      </c>
      <c r="B1236" t="inlineStr">
        <is>
          <t>PAY</t>
        </is>
      </c>
      <c r="C1236" s="5" t="n">
        <v>46205</v>
      </c>
      <c r="D1236" t="inlineStr">
        <is>
          <t>SALARY E. ZIELINSKI PR260702</t>
        </is>
      </c>
      <c r="E1236" s="9" t="n">
        <v>-2117.66</v>
      </c>
      <c r="F1236" t="inlineStr">
        <is>
          <t>PAY-20260702</t>
        </is>
      </c>
      <c r="G1236" t="inlineStr">
        <is>
          <t>G00551</t>
        </is>
      </c>
      <c r="H1236" t="str">
        <f>INDEX('Match Groups'!$C$5:$C$1326,MATCH(G1236,'Match Groups'!$A$5:$A$1326,0))</f>
        <v>R05</v>
      </c>
      <c r="I1236" t="str">
        <f>INDEX('Match Groups'!$D$5:$D$1326,MATCH(G1236,'Match Groups'!$A$5:$A$1326,0))</f>
        <v>MATCH</v>
      </c>
      <c r="J1236">
        <f>IF(I1236="DUPIMP",0,1)</f>
        <v>1</v>
      </c>
    </row>
    <row r="1237">
      <c r="A1237" t="inlineStr">
        <is>
          <t>BL-00866</t>
        </is>
      </c>
      <c r="B1237" t="inlineStr">
        <is>
          <t>PAY</t>
        </is>
      </c>
      <c r="C1237" s="5" t="n">
        <v>46205</v>
      </c>
      <c r="D1237" t="inlineStr">
        <is>
          <t>SALARY A. ASHBY PR260702</t>
        </is>
      </c>
      <c r="E1237" s="9" t="n">
        <v>-3610.08</v>
      </c>
      <c r="F1237" t="inlineStr">
        <is>
          <t>PAY-20260702</t>
        </is>
      </c>
      <c r="G1237" t="inlineStr">
        <is>
          <t>G00551</t>
        </is>
      </c>
      <c r="H1237" t="str">
        <f>INDEX('Match Groups'!$C$5:$C$1326,MATCH(G1237,'Match Groups'!$A$5:$A$1326,0))</f>
        <v>R05</v>
      </c>
      <c r="I1237" t="str">
        <f>INDEX('Match Groups'!$D$5:$D$1326,MATCH(G1237,'Match Groups'!$A$5:$A$1326,0))</f>
        <v>MATCH</v>
      </c>
      <c r="J1237">
        <f>IF(I1237="DUPIMP",0,1)</f>
        <v>1</v>
      </c>
    </row>
    <row r="1238">
      <c r="A1238" t="inlineStr">
        <is>
          <t>BL-00867</t>
        </is>
      </c>
      <c r="B1238" t="inlineStr">
        <is>
          <t>PAY</t>
        </is>
      </c>
      <c r="C1238" s="5" t="n">
        <v>46205</v>
      </c>
      <c r="D1238" t="inlineStr">
        <is>
          <t>SALARY T. BAROSSA PR260702</t>
        </is>
      </c>
      <c r="E1238" s="9" t="n">
        <v>-2026.74</v>
      </c>
      <c r="F1238" t="inlineStr">
        <is>
          <t>PAY-20260702</t>
        </is>
      </c>
      <c r="G1238" t="inlineStr">
        <is>
          <t>G00551</t>
        </is>
      </c>
      <c r="H1238" t="str">
        <f>INDEX('Match Groups'!$C$5:$C$1326,MATCH(G1238,'Match Groups'!$A$5:$A$1326,0))</f>
        <v>R05</v>
      </c>
      <c r="I1238" t="str">
        <f>INDEX('Match Groups'!$D$5:$D$1326,MATCH(G1238,'Match Groups'!$A$5:$A$1326,0))</f>
        <v>MATCH</v>
      </c>
      <c r="J1238">
        <f>IF(I1238="DUPIMP",0,1)</f>
        <v>1</v>
      </c>
    </row>
    <row r="1239">
      <c r="A1239" t="inlineStr">
        <is>
          <t>BL-00868</t>
        </is>
      </c>
      <c r="B1239" t="inlineStr">
        <is>
          <t>PAY</t>
        </is>
      </c>
      <c r="C1239" s="5" t="n">
        <v>46205</v>
      </c>
      <c r="D1239" t="inlineStr">
        <is>
          <t>SALARY T. COOMBE PR260702</t>
        </is>
      </c>
      <c r="E1239" s="9" t="n">
        <v>-2426.55</v>
      </c>
      <c r="F1239" t="inlineStr">
        <is>
          <t>PAY-20260702</t>
        </is>
      </c>
      <c r="G1239" t="inlineStr">
        <is>
          <t>G00551</t>
        </is>
      </c>
      <c r="H1239" t="str">
        <f>INDEX('Match Groups'!$C$5:$C$1326,MATCH(G1239,'Match Groups'!$A$5:$A$1326,0))</f>
        <v>R05</v>
      </c>
      <c r="I1239" t="str">
        <f>INDEX('Match Groups'!$D$5:$D$1326,MATCH(G1239,'Match Groups'!$A$5:$A$1326,0))</f>
        <v>MATCH</v>
      </c>
      <c r="J1239">
        <f>IF(I1239="DUPIMP",0,1)</f>
        <v>1</v>
      </c>
    </row>
    <row r="1240">
      <c r="A1240" t="inlineStr">
        <is>
          <t>BL-00869</t>
        </is>
      </c>
      <c r="B1240" t="inlineStr">
        <is>
          <t>PAY</t>
        </is>
      </c>
      <c r="C1240" s="5" t="n">
        <v>46205</v>
      </c>
      <c r="D1240" t="inlineStr">
        <is>
          <t>SALARY N. DELACROIX PR260702</t>
        </is>
      </c>
      <c r="E1240" s="9" t="n">
        <v>-3708.98</v>
      </c>
      <c r="F1240" t="inlineStr">
        <is>
          <t>PAY-20260702</t>
        </is>
      </c>
      <c r="G1240" t="inlineStr">
        <is>
          <t>G00551</t>
        </is>
      </c>
      <c r="H1240" t="str">
        <f>INDEX('Match Groups'!$C$5:$C$1326,MATCH(G1240,'Match Groups'!$A$5:$A$1326,0))</f>
        <v>R05</v>
      </c>
      <c r="I1240" t="str">
        <f>INDEX('Match Groups'!$D$5:$D$1326,MATCH(G1240,'Match Groups'!$A$5:$A$1326,0))</f>
        <v>MATCH</v>
      </c>
      <c r="J1240">
        <f>IF(I1240="DUPIMP",0,1)</f>
        <v>1</v>
      </c>
    </row>
    <row r="1241">
      <c r="A1241" t="inlineStr">
        <is>
          <t>BL-00870</t>
        </is>
      </c>
      <c r="B1241" t="inlineStr">
        <is>
          <t>PAY</t>
        </is>
      </c>
      <c r="C1241" s="5" t="n">
        <v>46205</v>
      </c>
      <c r="D1241" t="inlineStr">
        <is>
          <t>SALARY C. ESPOSITO PR260702</t>
        </is>
      </c>
      <c r="E1241" s="9" t="n">
        <v>-3656.5</v>
      </c>
      <c r="F1241" t="inlineStr">
        <is>
          <t>PAY-20260702</t>
        </is>
      </c>
      <c r="G1241" t="inlineStr">
        <is>
          <t>G00551</t>
        </is>
      </c>
      <c r="H1241" t="str">
        <f>INDEX('Match Groups'!$C$5:$C$1326,MATCH(G1241,'Match Groups'!$A$5:$A$1326,0))</f>
        <v>R05</v>
      </c>
      <c r="I1241" t="str">
        <f>INDEX('Match Groups'!$D$5:$D$1326,MATCH(G1241,'Match Groups'!$A$5:$A$1326,0))</f>
        <v>MATCH</v>
      </c>
      <c r="J1241">
        <f>IF(I1241="DUPIMP",0,1)</f>
        <v>1</v>
      </c>
    </row>
    <row r="1242">
      <c r="A1242" t="inlineStr">
        <is>
          <t>BL-00871</t>
        </is>
      </c>
      <c r="B1242" t="inlineStr">
        <is>
          <t>PAY</t>
        </is>
      </c>
      <c r="C1242" s="5" t="n">
        <v>46205</v>
      </c>
      <c r="D1242" t="inlineStr">
        <is>
          <t>SALARY N. FAIRWEATHER PR260702</t>
        </is>
      </c>
      <c r="E1242" s="9" t="n">
        <v>-1987.68</v>
      </c>
      <c r="F1242" t="inlineStr">
        <is>
          <t>PAY-20260702</t>
        </is>
      </c>
      <c r="G1242" t="inlineStr">
        <is>
          <t>G00551</t>
        </is>
      </c>
      <c r="H1242" t="str">
        <f>INDEX('Match Groups'!$C$5:$C$1326,MATCH(G1242,'Match Groups'!$A$5:$A$1326,0))</f>
        <v>R05</v>
      </c>
      <c r="I1242" t="str">
        <f>INDEX('Match Groups'!$D$5:$D$1326,MATCH(G1242,'Match Groups'!$A$5:$A$1326,0))</f>
        <v>MATCH</v>
      </c>
      <c r="J1242">
        <f>IF(I1242="DUPIMP",0,1)</f>
        <v>1</v>
      </c>
    </row>
    <row r="1243">
      <c r="A1243" t="inlineStr">
        <is>
          <t>BL-00872</t>
        </is>
      </c>
      <c r="B1243" t="inlineStr">
        <is>
          <t>PAY</t>
        </is>
      </c>
      <c r="C1243" s="5" t="n">
        <v>46205</v>
      </c>
      <c r="D1243" t="inlineStr">
        <is>
          <t>SALARY T. GRIEVE PR260702</t>
        </is>
      </c>
      <c r="E1243" s="9" t="n">
        <v>-3077.03</v>
      </c>
      <c r="F1243" t="inlineStr">
        <is>
          <t>PAY-20260702</t>
        </is>
      </c>
      <c r="G1243" t="inlineStr">
        <is>
          <t>G00551</t>
        </is>
      </c>
      <c r="H1243" t="str">
        <f>INDEX('Match Groups'!$C$5:$C$1326,MATCH(G1243,'Match Groups'!$A$5:$A$1326,0))</f>
        <v>R05</v>
      </c>
      <c r="I1243" t="str">
        <f>INDEX('Match Groups'!$D$5:$D$1326,MATCH(G1243,'Match Groups'!$A$5:$A$1326,0))</f>
        <v>MATCH</v>
      </c>
      <c r="J1243">
        <f>IF(I1243="DUPIMP",0,1)</f>
        <v>1</v>
      </c>
    </row>
    <row r="1244">
      <c r="A1244" t="inlineStr">
        <is>
          <t>BL-00873</t>
        </is>
      </c>
      <c r="B1244" t="inlineStr">
        <is>
          <t>PAY</t>
        </is>
      </c>
      <c r="C1244" s="5" t="n">
        <v>46205</v>
      </c>
      <c r="D1244" t="inlineStr">
        <is>
          <t>SALARY H. HALLORAN PR260702</t>
        </is>
      </c>
      <c r="E1244" s="9" t="n">
        <v>-2116.57</v>
      </c>
      <c r="F1244" t="inlineStr">
        <is>
          <t>PAY-20260702</t>
        </is>
      </c>
      <c r="G1244" t="inlineStr">
        <is>
          <t>G00551</t>
        </is>
      </c>
      <c r="H1244" t="str">
        <f>INDEX('Match Groups'!$C$5:$C$1326,MATCH(G1244,'Match Groups'!$A$5:$A$1326,0))</f>
        <v>R05</v>
      </c>
      <c r="I1244" t="str">
        <f>INDEX('Match Groups'!$D$5:$D$1326,MATCH(G1244,'Match Groups'!$A$5:$A$1326,0))</f>
        <v>MATCH</v>
      </c>
      <c r="J1244">
        <f>IF(I1244="DUPIMP",0,1)</f>
        <v>1</v>
      </c>
    </row>
    <row r="1245">
      <c r="A1245" t="inlineStr">
        <is>
          <t>BL-00874</t>
        </is>
      </c>
      <c r="B1245" t="inlineStr">
        <is>
          <t>PAY</t>
        </is>
      </c>
      <c r="C1245" s="5" t="n">
        <v>46205</v>
      </c>
      <c r="D1245" t="inlineStr">
        <is>
          <t>SALARY C. IQBAL PR260702</t>
        </is>
      </c>
      <c r="E1245" s="9" t="n">
        <v>-2633.34</v>
      </c>
      <c r="F1245" t="inlineStr">
        <is>
          <t>PAY-20260702</t>
        </is>
      </c>
      <c r="G1245" t="inlineStr">
        <is>
          <t>G00551</t>
        </is>
      </c>
      <c r="H1245" t="str">
        <f>INDEX('Match Groups'!$C$5:$C$1326,MATCH(G1245,'Match Groups'!$A$5:$A$1326,0))</f>
        <v>R05</v>
      </c>
      <c r="I1245" t="str">
        <f>INDEX('Match Groups'!$D$5:$D$1326,MATCH(G1245,'Match Groups'!$A$5:$A$1326,0))</f>
        <v>MATCH</v>
      </c>
      <c r="J1245">
        <f>IF(I1245="DUPIMP",0,1)</f>
        <v>1</v>
      </c>
    </row>
    <row r="1246">
      <c r="A1246" t="inlineStr">
        <is>
          <t>BL-00875</t>
        </is>
      </c>
      <c r="B1246" t="inlineStr">
        <is>
          <t>PAY</t>
        </is>
      </c>
      <c r="C1246" s="5" t="n">
        <v>46205</v>
      </c>
      <c r="D1246" t="inlineStr">
        <is>
          <t>SALARY W. JESSOP PR260702</t>
        </is>
      </c>
      <c r="E1246" s="9" t="n">
        <v>-2945.75</v>
      </c>
      <c r="F1246" t="inlineStr">
        <is>
          <t>PAY-20260702</t>
        </is>
      </c>
      <c r="G1246" t="inlineStr">
        <is>
          <t>G00551</t>
        </is>
      </c>
      <c r="H1246" t="str">
        <f>INDEX('Match Groups'!$C$5:$C$1326,MATCH(G1246,'Match Groups'!$A$5:$A$1326,0))</f>
        <v>R05</v>
      </c>
      <c r="I1246" t="str">
        <f>INDEX('Match Groups'!$D$5:$D$1326,MATCH(G1246,'Match Groups'!$A$5:$A$1326,0))</f>
        <v>MATCH</v>
      </c>
      <c r="J1246">
        <f>IF(I1246="DUPIMP",0,1)</f>
        <v>1</v>
      </c>
    </row>
    <row r="1247">
      <c r="A1247" t="inlineStr">
        <is>
          <t>BL-00876</t>
        </is>
      </c>
      <c r="B1247" t="inlineStr">
        <is>
          <t>PAY</t>
        </is>
      </c>
      <c r="C1247" s="5" t="n">
        <v>46205</v>
      </c>
      <c r="D1247" t="inlineStr">
        <is>
          <t>SALARY K. KERRIGAN PR260702</t>
        </is>
      </c>
      <c r="E1247" s="9" t="n">
        <v>-2343.08</v>
      </c>
      <c r="F1247" t="inlineStr">
        <is>
          <t>PAY-20260702</t>
        </is>
      </c>
      <c r="G1247" t="inlineStr">
        <is>
          <t>G00551</t>
        </is>
      </c>
      <c r="H1247" t="str">
        <f>INDEX('Match Groups'!$C$5:$C$1326,MATCH(G1247,'Match Groups'!$A$5:$A$1326,0))</f>
        <v>R05</v>
      </c>
      <c r="I1247" t="str">
        <f>INDEX('Match Groups'!$D$5:$D$1326,MATCH(G1247,'Match Groups'!$A$5:$A$1326,0))</f>
        <v>MATCH</v>
      </c>
      <c r="J1247">
        <f>IF(I1247="DUPIMP",0,1)</f>
        <v>1</v>
      </c>
    </row>
    <row r="1248">
      <c r="A1248" t="inlineStr">
        <is>
          <t>BL-00877</t>
        </is>
      </c>
      <c r="B1248" t="inlineStr">
        <is>
          <t>PAY</t>
        </is>
      </c>
      <c r="C1248" s="5" t="n">
        <v>46205</v>
      </c>
      <c r="D1248" t="inlineStr">
        <is>
          <t>SALARY D. LACHLAN PR260702</t>
        </is>
      </c>
      <c r="E1248" s="9" t="n">
        <v>-2090.64</v>
      </c>
      <c r="F1248" t="inlineStr">
        <is>
          <t>PAY-20260702</t>
        </is>
      </c>
      <c r="G1248" t="inlineStr">
        <is>
          <t>G00551</t>
        </is>
      </c>
      <c r="H1248" t="str">
        <f>INDEX('Match Groups'!$C$5:$C$1326,MATCH(G1248,'Match Groups'!$A$5:$A$1326,0))</f>
        <v>R05</v>
      </c>
      <c r="I1248" t="str">
        <f>INDEX('Match Groups'!$D$5:$D$1326,MATCH(G1248,'Match Groups'!$A$5:$A$1326,0))</f>
        <v>MATCH</v>
      </c>
      <c r="J1248">
        <f>IF(I1248="DUPIMP",0,1)</f>
        <v>1</v>
      </c>
    </row>
    <row r="1249">
      <c r="A1249" t="inlineStr">
        <is>
          <t>BL-00878</t>
        </is>
      </c>
      <c r="B1249" t="inlineStr">
        <is>
          <t>PAY</t>
        </is>
      </c>
      <c r="C1249" s="5" t="n">
        <v>46205</v>
      </c>
      <c r="D1249" t="inlineStr">
        <is>
          <t>SALARY K. MOREAU PR260702</t>
        </is>
      </c>
      <c r="E1249" s="9" t="n">
        <v>-2679.6</v>
      </c>
      <c r="F1249" t="inlineStr">
        <is>
          <t>PAY-20260702</t>
        </is>
      </c>
      <c r="G1249" t="inlineStr">
        <is>
          <t>G00551</t>
        </is>
      </c>
      <c r="H1249" t="str">
        <f>INDEX('Match Groups'!$C$5:$C$1326,MATCH(G1249,'Match Groups'!$A$5:$A$1326,0))</f>
        <v>R05</v>
      </c>
      <c r="I1249" t="str">
        <f>INDEX('Match Groups'!$D$5:$D$1326,MATCH(G1249,'Match Groups'!$A$5:$A$1326,0))</f>
        <v>MATCH</v>
      </c>
      <c r="J1249">
        <f>IF(I1249="DUPIMP",0,1)</f>
        <v>1</v>
      </c>
    </row>
    <row r="1250">
      <c r="A1250" t="inlineStr">
        <is>
          <t>BL-00879</t>
        </is>
      </c>
      <c r="B1250" t="inlineStr">
        <is>
          <t>PAY</t>
        </is>
      </c>
      <c r="C1250" s="5" t="n">
        <v>46205</v>
      </c>
      <c r="D1250" t="inlineStr">
        <is>
          <t>SALARY E. NAKAMURA PR260702</t>
        </is>
      </c>
      <c r="E1250" s="9" t="n">
        <v>-3511.6</v>
      </c>
      <c r="F1250" t="inlineStr">
        <is>
          <t>PAY-20260702</t>
        </is>
      </c>
      <c r="G1250" t="inlineStr">
        <is>
          <t>G00551</t>
        </is>
      </c>
      <c r="H1250" t="str">
        <f>INDEX('Match Groups'!$C$5:$C$1326,MATCH(G1250,'Match Groups'!$A$5:$A$1326,0))</f>
        <v>R05</v>
      </c>
      <c r="I1250" t="str">
        <f>INDEX('Match Groups'!$D$5:$D$1326,MATCH(G1250,'Match Groups'!$A$5:$A$1326,0))</f>
        <v>MATCH</v>
      </c>
      <c r="J1250">
        <f>IF(I1250="DUPIMP",0,1)</f>
        <v>1</v>
      </c>
    </row>
    <row r="1251">
      <c r="A1251" t="inlineStr">
        <is>
          <t>BL-00880</t>
        </is>
      </c>
      <c r="B1251" t="inlineStr">
        <is>
          <t>PAY</t>
        </is>
      </c>
      <c r="C1251" s="5" t="n">
        <v>46205</v>
      </c>
      <c r="D1251" t="inlineStr">
        <is>
          <t>SALARY C. ORMSBY PR260702</t>
        </is>
      </c>
      <c r="E1251" s="9" t="n">
        <v>-2843.82</v>
      </c>
      <c r="F1251" t="inlineStr">
        <is>
          <t>PAY-20260702</t>
        </is>
      </c>
      <c r="G1251" t="inlineStr">
        <is>
          <t>G00551</t>
        </is>
      </c>
      <c r="H1251" t="str">
        <f>INDEX('Match Groups'!$C$5:$C$1326,MATCH(G1251,'Match Groups'!$A$5:$A$1326,0))</f>
        <v>R05</v>
      </c>
      <c r="I1251" t="str">
        <f>INDEX('Match Groups'!$D$5:$D$1326,MATCH(G1251,'Match Groups'!$A$5:$A$1326,0))</f>
        <v>MATCH</v>
      </c>
      <c r="J1251">
        <f>IF(I1251="DUPIMP",0,1)</f>
        <v>1</v>
      </c>
    </row>
    <row r="1252">
      <c r="A1252" t="inlineStr">
        <is>
          <t>BL-00881</t>
        </is>
      </c>
      <c r="B1252" t="inlineStr">
        <is>
          <t>PAY</t>
        </is>
      </c>
      <c r="C1252" s="5" t="n">
        <v>46205</v>
      </c>
      <c r="D1252" t="inlineStr">
        <is>
          <t>SALARY L. PRENTICE PR260702</t>
        </is>
      </c>
      <c r="E1252" s="9" t="n">
        <v>-2347.37</v>
      </c>
      <c r="F1252" t="inlineStr">
        <is>
          <t>PAY-20260702</t>
        </is>
      </c>
      <c r="G1252" t="inlineStr">
        <is>
          <t>G00551</t>
        </is>
      </c>
      <c r="H1252" t="str">
        <f>INDEX('Match Groups'!$C$5:$C$1326,MATCH(G1252,'Match Groups'!$A$5:$A$1326,0))</f>
        <v>R05</v>
      </c>
      <c r="I1252" t="str">
        <f>INDEX('Match Groups'!$D$5:$D$1326,MATCH(G1252,'Match Groups'!$A$5:$A$1326,0))</f>
        <v>MATCH</v>
      </c>
      <c r="J1252">
        <f>IF(I1252="DUPIMP",0,1)</f>
        <v>1</v>
      </c>
    </row>
    <row r="1253">
      <c r="A1253" t="inlineStr">
        <is>
          <t>BL-00882</t>
        </is>
      </c>
      <c r="B1253" t="inlineStr">
        <is>
          <t>PAY</t>
        </is>
      </c>
      <c r="C1253" s="5" t="n">
        <v>46205</v>
      </c>
      <c r="D1253" t="inlineStr">
        <is>
          <t>SALARY N. REDFERN PR260702</t>
        </is>
      </c>
      <c r="E1253" s="9" t="n">
        <v>-1585.9</v>
      </c>
      <c r="F1253" t="inlineStr">
        <is>
          <t>PAY-20260702</t>
        </is>
      </c>
      <c r="G1253" t="inlineStr">
        <is>
          <t>G00551</t>
        </is>
      </c>
      <c r="H1253" t="str">
        <f>INDEX('Match Groups'!$C$5:$C$1326,MATCH(G1253,'Match Groups'!$A$5:$A$1326,0))</f>
        <v>R05</v>
      </c>
      <c r="I1253" t="str">
        <f>INDEX('Match Groups'!$D$5:$D$1326,MATCH(G1253,'Match Groups'!$A$5:$A$1326,0))</f>
        <v>MATCH</v>
      </c>
      <c r="J1253">
        <f>IF(I1253="DUPIMP",0,1)</f>
        <v>1</v>
      </c>
    </row>
    <row r="1254">
      <c r="A1254" t="inlineStr">
        <is>
          <t>BL-00883</t>
        </is>
      </c>
      <c r="B1254" t="inlineStr">
        <is>
          <t>PAY</t>
        </is>
      </c>
      <c r="C1254" s="5" t="n">
        <v>46212</v>
      </c>
      <c r="D1254" t="inlineStr">
        <is>
          <t>SUPERCHOICE CLEARING PR260702</t>
        </is>
      </c>
      <c r="E1254" s="9" t="n">
        <v>-20591.25</v>
      </c>
      <c r="F1254" t="inlineStr">
        <is>
          <t>PAY-20260709</t>
        </is>
      </c>
      <c r="G1254" t="inlineStr">
        <is>
          <t>G00559</t>
        </is>
      </c>
      <c r="H1254" t="str">
        <f>INDEX('Match Groups'!$C$5:$C$1326,MATCH(G1254,'Match Groups'!$A$5:$A$1326,0))</f>
        <v>R04</v>
      </c>
      <c r="I1254" t="str">
        <f>INDEX('Match Groups'!$D$5:$D$1326,MATCH(G1254,'Match Groups'!$A$5:$A$1326,0))</f>
        <v>MATCH</v>
      </c>
      <c r="J1254">
        <f>IF(I1254="DUPIMP",0,1)</f>
        <v>1</v>
      </c>
    </row>
    <row r="1255">
      <c r="A1255" t="inlineStr">
        <is>
          <t>BL-00885</t>
        </is>
      </c>
      <c r="B1255" t="inlineStr">
        <is>
          <t>PAY</t>
        </is>
      </c>
      <c r="C1255" s="5" t="n">
        <v>46218</v>
      </c>
      <c r="D1255" t="inlineStr">
        <is>
          <t>TFR FROM OPERATING PR260716</t>
        </is>
      </c>
      <c r="E1255" s="9" t="n">
        <v>203128.08</v>
      </c>
      <c r="F1255" t="inlineStr">
        <is>
          <t>PAY-20260715</t>
        </is>
      </c>
      <c r="G1255" t="inlineStr">
        <is>
          <t>G00560</t>
        </is>
      </c>
      <c r="H1255" t="str">
        <f>INDEX('Match Groups'!$C$5:$C$1326,MATCH(G1255,'Match Groups'!$A$5:$A$1326,0))</f>
        <v>R04</v>
      </c>
      <c r="I1255" t="str">
        <f>INDEX('Match Groups'!$D$5:$D$1326,MATCH(G1255,'Match Groups'!$A$5:$A$1326,0))</f>
        <v>MATCH</v>
      </c>
      <c r="J1255">
        <f>IF(I1255="DUPIMP",0,1)</f>
        <v>1</v>
      </c>
    </row>
    <row r="1256">
      <c r="A1256" t="inlineStr">
        <is>
          <t>BL-00886</t>
        </is>
      </c>
      <c r="B1256" t="inlineStr">
        <is>
          <t>PAY</t>
        </is>
      </c>
      <c r="C1256" s="5" t="n">
        <v>46219</v>
      </c>
      <c r="D1256" t="inlineStr">
        <is>
          <t>SALARY N. NGUYEN PR260716</t>
        </is>
      </c>
      <c r="E1256" s="9" t="n">
        <v>-2144.84</v>
      </c>
      <c r="F1256" t="inlineStr">
        <is>
          <t>PAY-20260716</t>
        </is>
      </c>
      <c r="G1256" t="inlineStr">
        <is>
          <t>G00552</t>
        </is>
      </c>
      <c r="H1256" t="str">
        <f>INDEX('Match Groups'!$C$5:$C$1326,MATCH(G1256,'Match Groups'!$A$5:$A$1326,0))</f>
        <v>R05</v>
      </c>
      <c r="I1256" t="str">
        <f>INDEX('Match Groups'!$D$5:$D$1326,MATCH(G1256,'Match Groups'!$A$5:$A$1326,0))</f>
        <v>MATCH</v>
      </c>
      <c r="J1256">
        <f>IF(I1256="DUPIMP",0,1)</f>
        <v>1</v>
      </c>
    </row>
    <row r="1257">
      <c r="A1257" t="inlineStr">
        <is>
          <t>BL-00887</t>
        </is>
      </c>
      <c r="B1257" t="inlineStr">
        <is>
          <t>PAY</t>
        </is>
      </c>
      <c r="C1257" s="5" t="n">
        <v>46219</v>
      </c>
      <c r="D1257" t="inlineStr">
        <is>
          <t>SALARY W. OKAFOR PR260716</t>
        </is>
      </c>
      <c r="E1257" s="9" t="n">
        <v>-2724.02</v>
      </c>
      <c r="F1257" t="inlineStr">
        <is>
          <t>PAY-20260716</t>
        </is>
      </c>
      <c r="G1257" t="inlineStr">
        <is>
          <t>G00552</t>
        </is>
      </c>
      <c r="H1257" t="str">
        <f>INDEX('Match Groups'!$C$5:$C$1326,MATCH(G1257,'Match Groups'!$A$5:$A$1326,0))</f>
        <v>R05</v>
      </c>
      <c r="I1257" t="str">
        <f>INDEX('Match Groups'!$D$5:$D$1326,MATCH(G1257,'Match Groups'!$A$5:$A$1326,0))</f>
        <v>MATCH</v>
      </c>
      <c r="J1257">
        <f>IF(I1257="DUPIMP",0,1)</f>
        <v>1</v>
      </c>
    </row>
    <row r="1258">
      <c r="A1258" t="inlineStr">
        <is>
          <t>BL-00888</t>
        </is>
      </c>
      <c r="B1258" t="inlineStr">
        <is>
          <t>PAY</t>
        </is>
      </c>
      <c r="C1258" s="5" t="n">
        <v>46219</v>
      </c>
      <c r="D1258" t="inlineStr">
        <is>
          <t>SALARY L. BRENNAN PR260716</t>
        </is>
      </c>
      <c r="E1258" s="9" t="n">
        <v>-1560.44</v>
      </c>
      <c r="F1258" t="inlineStr">
        <is>
          <t>PAY-20260716</t>
        </is>
      </c>
      <c r="G1258" t="inlineStr">
        <is>
          <t>G00552</t>
        </is>
      </c>
      <c r="H1258" t="str">
        <f>INDEX('Match Groups'!$C$5:$C$1326,MATCH(G1258,'Match Groups'!$A$5:$A$1326,0))</f>
        <v>R05</v>
      </c>
      <c r="I1258" t="str">
        <f>INDEX('Match Groups'!$D$5:$D$1326,MATCH(G1258,'Match Groups'!$A$5:$A$1326,0))</f>
        <v>MATCH</v>
      </c>
      <c r="J1258">
        <f>IF(I1258="DUPIMP",0,1)</f>
        <v>1</v>
      </c>
    </row>
    <row r="1259">
      <c r="A1259" t="inlineStr">
        <is>
          <t>BL-00889</t>
        </is>
      </c>
      <c r="B1259" t="inlineStr">
        <is>
          <t>PAY</t>
        </is>
      </c>
      <c r="C1259" s="5" t="n">
        <v>46219</v>
      </c>
      <c r="D1259" t="inlineStr">
        <is>
          <t>SALARY D. KOWALSKI PR260716</t>
        </is>
      </c>
      <c r="E1259" s="9" t="n">
        <v>-3288.8</v>
      </c>
      <c r="F1259" t="inlineStr">
        <is>
          <t>PAY-20260716</t>
        </is>
      </c>
      <c r="G1259" t="inlineStr">
        <is>
          <t>G00552</t>
        </is>
      </c>
      <c r="H1259" t="str">
        <f>INDEX('Match Groups'!$C$5:$C$1326,MATCH(G1259,'Match Groups'!$A$5:$A$1326,0))</f>
        <v>R05</v>
      </c>
      <c r="I1259" t="str">
        <f>INDEX('Match Groups'!$D$5:$D$1326,MATCH(G1259,'Match Groups'!$A$5:$A$1326,0))</f>
        <v>MATCH</v>
      </c>
      <c r="J1259">
        <f>IF(I1259="DUPIMP",0,1)</f>
        <v>1</v>
      </c>
    </row>
    <row r="1260">
      <c r="A1260" t="inlineStr">
        <is>
          <t>BL-00890</t>
        </is>
      </c>
      <c r="B1260" t="inlineStr">
        <is>
          <t>PAY</t>
        </is>
      </c>
      <c r="C1260" s="5" t="n">
        <v>46219</v>
      </c>
      <c r="D1260" t="inlineStr">
        <is>
          <t>SALARY E. HADDAD PR260716</t>
        </is>
      </c>
      <c r="E1260" s="9" t="n">
        <v>-1688.4</v>
      </c>
      <c r="F1260" t="inlineStr">
        <is>
          <t>PAY-20260716</t>
        </is>
      </c>
      <c r="G1260" t="inlineStr">
        <is>
          <t>G00552</t>
        </is>
      </c>
      <c r="H1260" t="str">
        <f>INDEX('Match Groups'!$C$5:$C$1326,MATCH(G1260,'Match Groups'!$A$5:$A$1326,0))</f>
        <v>R05</v>
      </c>
      <c r="I1260" t="str">
        <f>INDEX('Match Groups'!$D$5:$D$1326,MATCH(G1260,'Match Groups'!$A$5:$A$1326,0))</f>
        <v>MATCH</v>
      </c>
      <c r="J1260">
        <f>IF(I1260="DUPIMP",0,1)</f>
        <v>1</v>
      </c>
    </row>
    <row r="1261">
      <c r="A1261" t="inlineStr">
        <is>
          <t>BL-00891</t>
        </is>
      </c>
      <c r="B1261" t="inlineStr">
        <is>
          <t>PAY</t>
        </is>
      </c>
      <c r="C1261" s="5" t="n">
        <v>46219</v>
      </c>
      <c r="D1261" t="inlineStr">
        <is>
          <t>SALARY D. FITZGERALD PR260716</t>
        </is>
      </c>
      <c r="E1261" s="9" t="n">
        <v>-2855.82</v>
      </c>
      <c r="F1261" t="inlineStr">
        <is>
          <t>PAY-20260716</t>
        </is>
      </c>
      <c r="G1261" t="inlineStr">
        <is>
          <t>G00552</t>
        </is>
      </c>
      <c r="H1261" t="str">
        <f>INDEX('Match Groups'!$C$5:$C$1326,MATCH(G1261,'Match Groups'!$A$5:$A$1326,0))</f>
        <v>R05</v>
      </c>
      <c r="I1261" t="str">
        <f>INDEX('Match Groups'!$D$5:$D$1326,MATCH(G1261,'Match Groups'!$A$5:$A$1326,0))</f>
        <v>MATCH</v>
      </c>
      <c r="J1261">
        <f>IF(I1261="DUPIMP",0,1)</f>
        <v>1</v>
      </c>
    </row>
    <row r="1262">
      <c r="A1262" t="inlineStr">
        <is>
          <t>BL-00892</t>
        </is>
      </c>
      <c r="B1262" t="inlineStr">
        <is>
          <t>PAY</t>
        </is>
      </c>
      <c r="C1262" s="5" t="n">
        <v>46219</v>
      </c>
      <c r="D1262" t="inlineStr">
        <is>
          <t>SALARY N. TRAN PR260716</t>
        </is>
      </c>
      <c r="E1262" s="9" t="n">
        <v>-2564.97</v>
      </c>
      <c r="F1262" t="inlineStr">
        <is>
          <t>PAY-20260716</t>
        </is>
      </c>
      <c r="G1262" t="inlineStr">
        <is>
          <t>G00552</t>
        </is>
      </c>
      <c r="H1262" t="str">
        <f>INDEX('Match Groups'!$C$5:$C$1326,MATCH(G1262,'Match Groups'!$A$5:$A$1326,0))</f>
        <v>R05</v>
      </c>
      <c r="I1262" t="str">
        <f>INDEX('Match Groups'!$D$5:$D$1326,MATCH(G1262,'Match Groups'!$A$5:$A$1326,0))</f>
        <v>MATCH</v>
      </c>
      <c r="J1262">
        <f>IF(I1262="DUPIMP",0,1)</f>
        <v>1</v>
      </c>
    </row>
    <row r="1263">
      <c r="A1263" t="inlineStr">
        <is>
          <t>BL-00893</t>
        </is>
      </c>
      <c r="B1263" t="inlineStr">
        <is>
          <t>PAY</t>
        </is>
      </c>
      <c r="C1263" s="5" t="n">
        <v>46219</v>
      </c>
      <c r="D1263" t="inlineStr">
        <is>
          <t>SALARY A. RAMOS PR260716</t>
        </is>
      </c>
      <c r="E1263" s="9" t="n">
        <v>-2863.19</v>
      </c>
      <c r="F1263" t="inlineStr">
        <is>
          <t>PAY-20260716</t>
        </is>
      </c>
      <c r="G1263" t="inlineStr">
        <is>
          <t>G00552</t>
        </is>
      </c>
      <c r="H1263" t="str">
        <f>INDEX('Match Groups'!$C$5:$C$1326,MATCH(G1263,'Match Groups'!$A$5:$A$1326,0))</f>
        <v>R05</v>
      </c>
      <c r="I1263" t="str">
        <f>INDEX('Match Groups'!$D$5:$D$1326,MATCH(G1263,'Match Groups'!$A$5:$A$1326,0))</f>
        <v>MATCH</v>
      </c>
      <c r="J1263">
        <f>IF(I1263="DUPIMP",0,1)</f>
        <v>1</v>
      </c>
    </row>
    <row r="1264">
      <c r="A1264" t="inlineStr">
        <is>
          <t>BL-00894</t>
        </is>
      </c>
      <c r="B1264" t="inlineStr">
        <is>
          <t>PAY</t>
        </is>
      </c>
      <c r="C1264" s="5" t="n">
        <v>46219</v>
      </c>
      <c r="D1264" t="inlineStr">
        <is>
          <t>SALARY D. LINDQVIST PR260716</t>
        </is>
      </c>
      <c r="E1264" s="9" t="n">
        <v>-2135.69</v>
      </c>
      <c r="F1264" t="inlineStr">
        <is>
          <t>PAY-20260716</t>
        </is>
      </c>
      <c r="G1264" t="inlineStr">
        <is>
          <t>G00552</t>
        </is>
      </c>
      <c r="H1264" t="str">
        <f>INDEX('Match Groups'!$C$5:$C$1326,MATCH(G1264,'Match Groups'!$A$5:$A$1326,0))</f>
        <v>R05</v>
      </c>
      <c r="I1264" t="str">
        <f>INDEX('Match Groups'!$D$5:$D$1326,MATCH(G1264,'Match Groups'!$A$5:$A$1326,0))</f>
        <v>MATCH</v>
      </c>
      <c r="J1264">
        <f>IF(I1264="DUPIMP",0,1)</f>
        <v>1</v>
      </c>
    </row>
    <row r="1265">
      <c r="A1265" t="inlineStr">
        <is>
          <t>BL-00895</t>
        </is>
      </c>
      <c r="B1265" t="inlineStr">
        <is>
          <t>PAY</t>
        </is>
      </c>
      <c r="C1265" s="5" t="n">
        <v>46219</v>
      </c>
      <c r="D1265" t="inlineStr">
        <is>
          <t>SALARY H. MEHTA PR260716</t>
        </is>
      </c>
      <c r="E1265" s="9" t="n">
        <v>-3132.1</v>
      </c>
      <c r="F1265" t="inlineStr">
        <is>
          <t>PAY-20260716</t>
        </is>
      </c>
      <c r="G1265" t="inlineStr">
        <is>
          <t>G00552</t>
        </is>
      </c>
      <c r="H1265" t="str">
        <f>INDEX('Match Groups'!$C$5:$C$1326,MATCH(G1265,'Match Groups'!$A$5:$A$1326,0))</f>
        <v>R05</v>
      </c>
      <c r="I1265" t="str">
        <f>INDEX('Match Groups'!$D$5:$D$1326,MATCH(G1265,'Match Groups'!$A$5:$A$1326,0))</f>
        <v>MATCH</v>
      </c>
      <c r="J1265">
        <f>IF(I1265="DUPIMP",0,1)</f>
        <v>1</v>
      </c>
    </row>
    <row r="1266">
      <c r="A1266" t="inlineStr">
        <is>
          <t>BL-00896</t>
        </is>
      </c>
      <c r="B1266" t="inlineStr">
        <is>
          <t>PAY</t>
        </is>
      </c>
      <c r="C1266" s="5" t="n">
        <v>46219</v>
      </c>
      <c r="D1266" t="inlineStr">
        <is>
          <t>SALARY D. O'ROURKE PR260716</t>
        </is>
      </c>
      <c r="E1266" s="9" t="n">
        <v>-2888.3</v>
      </c>
      <c r="F1266" t="inlineStr">
        <is>
          <t>PAY-20260716</t>
        </is>
      </c>
      <c r="G1266" t="inlineStr">
        <is>
          <t>G00552</t>
        </is>
      </c>
      <c r="H1266" t="str">
        <f>INDEX('Match Groups'!$C$5:$C$1326,MATCH(G1266,'Match Groups'!$A$5:$A$1326,0))</f>
        <v>R05</v>
      </c>
      <c r="I1266" t="str">
        <f>INDEX('Match Groups'!$D$5:$D$1326,MATCH(G1266,'Match Groups'!$A$5:$A$1326,0))</f>
        <v>MATCH</v>
      </c>
      <c r="J1266">
        <f>IF(I1266="DUPIMP",0,1)</f>
        <v>1</v>
      </c>
    </row>
    <row r="1267">
      <c r="A1267" t="inlineStr">
        <is>
          <t>BL-00897</t>
        </is>
      </c>
      <c r="B1267" t="inlineStr">
        <is>
          <t>PAY</t>
        </is>
      </c>
      <c r="C1267" s="5" t="n">
        <v>46219</v>
      </c>
      <c r="D1267" t="inlineStr">
        <is>
          <t>SALARY H. PAPADOPOULOS PR260716</t>
        </is>
      </c>
      <c r="E1267" s="9" t="n">
        <v>-3765.39</v>
      </c>
      <c r="F1267" t="inlineStr">
        <is>
          <t>PAY-20260716</t>
        </is>
      </c>
      <c r="G1267" t="inlineStr">
        <is>
          <t>G00552</t>
        </is>
      </c>
      <c r="H1267" t="str">
        <f>INDEX('Match Groups'!$C$5:$C$1326,MATCH(G1267,'Match Groups'!$A$5:$A$1326,0))</f>
        <v>R05</v>
      </c>
      <c r="I1267" t="str">
        <f>INDEX('Match Groups'!$D$5:$D$1326,MATCH(G1267,'Match Groups'!$A$5:$A$1326,0))</f>
        <v>MATCH</v>
      </c>
      <c r="J1267">
        <f>IF(I1267="DUPIMP",0,1)</f>
        <v>1</v>
      </c>
    </row>
    <row r="1268">
      <c r="A1268" t="inlineStr">
        <is>
          <t>BL-00898</t>
        </is>
      </c>
      <c r="B1268" t="inlineStr">
        <is>
          <t>PAY</t>
        </is>
      </c>
      <c r="C1268" s="5" t="n">
        <v>46219</v>
      </c>
      <c r="D1268" t="inlineStr">
        <is>
          <t>SALARY D. SUTHERLAND PR260716</t>
        </is>
      </c>
      <c r="E1268" s="9" t="n">
        <v>-2844.94</v>
      </c>
      <c r="F1268" t="inlineStr">
        <is>
          <t>PAY-20260716</t>
        </is>
      </c>
      <c r="G1268" t="inlineStr">
        <is>
          <t>G00552</t>
        </is>
      </c>
      <c r="H1268" t="str">
        <f>INDEX('Match Groups'!$C$5:$C$1326,MATCH(G1268,'Match Groups'!$A$5:$A$1326,0))</f>
        <v>R05</v>
      </c>
      <c r="I1268" t="str">
        <f>INDEX('Match Groups'!$D$5:$D$1326,MATCH(G1268,'Match Groups'!$A$5:$A$1326,0))</f>
        <v>MATCH</v>
      </c>
      <c r="J1268">
        <f>IF(I1268="DUPIMP",0,1)</f>
        <v>1</v>
      </c>
    </row>
    <row r="1269">
      <c r="A1269" t="inlineStr">
        <is>
          <t>BL-00899</t>
        </is>
      </c>
      <c r="B1269" t="inlineStr">
        <is>
          <t>PAY</t>
        </is>
      </c>
      <c r="C1269" s="5" t="n">
        <v>46219</v>
      </c>
      <c r="D1269" t="inlineStr">
        <is>
          <t>SALARY C. YAMAMOTO PR260716</t>
        </is>
      </c>
      <c r="E1269" s="9" t="n">
        <v>-1579.13</v>
      </c>
      <c r="F1269" t="inlineStr">
        <is>
          <t>PAY-20260716</t>
        </is>
      </c>
      <c r="G1269" t="inlineStr">
        <is>
          <t>G00552</t>
        </is>
      </c>
      <c r="H1269" t="str">
        <f>INDEX('Match Groups'!$C$5:$C$1326,MATCH(G1269,'Match Groups'!$A$5:$A$1326,0))</f>
        <v>R05</v>
      </c>
      <c r="I1269" t="str">
        <f>INDEX('Match Groups'!$D$5:$D$1326,MATCH(G1269,'Match Groups'!$A$5:$A$1326,0))</f>
        <v>MATCH</v>
      </c>
      <c r="J1269">
        <f>IF(I1269="DUPIMP",0,1)</f>
        <v>1</v>
      </c>
    </row>
    <row r="1270">
      <c r="A1270" t="inlineStr">
        <is>
          <t>BL-00900</t>
        </is>
      </c>
      <c r="B1270" t="inlineStr">
        <is>
          <t>PAY</t>
        </is>
      </c>
      <c r="C1270" s="5" t="n">
        <v>46219</v>
      </c>
      <c r="D1270" t="inlineStr">
        <is>
          <t>SALARY L. ABERNATHY PR260716</t>
        </is>
      </c>
      <c r="E1270" s="9" t="n">
        <v>-3458.37</v>
      </c>
      <c r="F1270" t="inlineStr">
        <is>
          <t>PAY-20260716</t>
        </is>
      </c>
      <c r="G1270" t="inlineStr">
        <is>
          <t>G00552</t>
        </is>
      </c>
      <c r="H1270" t="str">
        <f>INDEX('Match Groups'!$C$5:$C$1326,MATCH(G1270,'Match Groups'!$A$5:$A$1326,0))</f>
        <v>R05</v>
      </c>
      <c r="I1270" t="str">
        <f>INDEX('Match Groups'!$D$5:$D$1326,MATCH(G1270,'Match Groups'!$A$5:$A$1326,0))</f>
        <v>MATCH</v>
      </c>
      <c r="J1270">
        <f>IF(I1270="DUPIMP",0,1)</f>
        <v>1</v>
      </c>
    </row>
    <row r="1271">
      <c r="A1271" t="inlineStr">
        <is>
          <t>BL-00901</t>
        </is>
      </c>
      <c r="B1271" t="inlineStr">
        <is>
          <t>PAY</t>
        </is>
      </c>
      <c r="C1271" s="5" t="n">
        <v>46219</v>
      </c>
      <c r="D1271" t="inlineStr">
        <is>
          <t>SALARY J. CASTELLANO PR260716</t>
        </is>
      </c>
      <c r="E1271" s="9" t="n">
        <v>-2787.6</v>
      </c>
      <c r="F1271" t="inlineStr">
        <is>
          <t>PAY-20260716</t>
        </is>
      </c>
      <c r="G1271" t="inlineStr">
        <is>
          <t>G00552</t>
        </is>
      </c>
      <c r="H1271" t="str">
        <f>INDEX('Match Groups'!$C$5:$C$1326,MATCH(G1271,'Match Groups'!$A$5:$A$1326,0))</f>
        <v>R05</v>
      </c>
      <c r="I1271" t="str">
        <f>INDEX('Match Groups'!$D$5:$D$1326,MATCH(G1271,'Match Groups'!$A$5:$A$1326,0))</f>
        <v>MATCH</v>
      </c>
      <c r="J1271">
        <f>IF(I1271="DUPIMP",0,1)</f>
        <v>1</v>
      </c>
    </row>
    <row r="1272">
      <c r="A1272" t="inlineStr">
        <is>
          <t>BL-00902</t>
        </is>
      </c>
      <c r="B1272" t="inlineStr">
        <is>
          <t>PAY</t>
        </is>
      </c>
      <c r="C1272" s="5" t="n">
        <v>46219</v>
      </c>
      <c r="D1272" t="inlineStr">
        <is>
          <t>SALARY G. DEMPSEY PR260716</t>
        </is>
      </c>
      <c r="E1272" s="9" t="n">
        <v>-1619.15</v>
      </c>
      <c r="F1272" t="inlineStr">
        <is>
          <t>PAY-20260716</t>
        </is>
      </c>
      <c r="G1272" t="inlineStr">
        <is>
          <t>G00552</t>
        </is>
      </c>
      <c r="H1272" t="str">
        <f>INDEX('Match Groups'!$C$5:$C$1326,MATCH(G1272,'Match Groups'!$A$5:$A$1326,0))</f>
        <v>R05</v>
      </c>
      <c r="I1272" t="str">
        <f>INDEX('Match Groups'!$D$5:$D$1326,MATCH(G1272,'Match Groups'!$A$5:$A$1326,0))</f>
        <v>MATCH</v>
      </c>
      <c r="J1272">
        <f>IF(I1272="DUPIMP",0,1)</f>
        <v>1</v>
      </c>
    </row>
    <row r="1273">
      <c r="A1273" t="inlineStr">
        <is>
          <t>BL-00903</t>
        </is>
      </c>
      <c r="B1273" t="inlineStr">
        <is>
          <t>PAY</t>
        </is>
      </c>
      <c r="C1273" s="5" t="n">
        <v>46219</v>
      </c>
      <c r="D1273" t="inlineStr">
        <is>
          <t>SALARY G. ERIKSEN PR260716</t>
        </is>
      </c>
      <c r="E1273" s="9" t="n">
        <v>-1648.64</v>
      </c>
      <c r="F1273" t="inlineStr">
        <is>
          <t>PAY-20260716</t>
        </is>
      </c>
      <c r="G1273" t="inlineStr">
        <is>
          <t>G00552</t>
        </is>
      </c>
      <c r="H1273" t="str">
        <f>INDEX('Match Groups'!$C$5:$C$1326,MATCH(G1273,'Match Groups'!$A$5:$A$1326,0))</f>
        <v>R05</v>
      </c>
      <c r="I1273" t="str">
        <f>INDEX('Match Groups'!$D$5:$D$1326,MATCH(G1273,'Match Groups'!$A$5:$A$1326,0))</f>
        <v>MATCH</v>
      </c>
      <c r="J1273">
        <f>IF(I1273="DUPIMP",0,1)</f>
        <v>1</v>
      </c>
    </row>
    <row r="1274">
      <c r="A1274" t="inlineStr">
        <is>
          <t>BL-00904</t>
        </is>
      </c>
      <c r="B1274" t="inlineStr">
        <is>
          <t>PAY</t>
        </is>
      </c>
      <c r="C1274" s="5" t="n">
        <v>46219</v>
      </c>
      <c r="D1274" t="inlineStr">
        <is>
          <t>SALARY H. FERRARO PR260716</t>
        </is>
      </c>
      <c r="E1274" s="9" t="n">
        <v>-2638.19</v>
      </c>
      <c r="F1274" t="inlineStr">
        <is>
          <t>PAY-20260716</t>
        </is>
      </c>
      <c r="G1274" t="inlineStr">
        <is>
          <t>G00552</t>
        </is>
      </c>
      <c r="H1274" t="str">
        <f>INDEX('Match Groups'!$C$5:$C$1326,MATCH(G1274,'Match Groups'!$A$5:$A$1326,0))</f>
        <v>R05</v>
      </c>
      <c r="I1274" t="str">
        <f>INDEX('Match Groups'!$D$5:$D$1326,MATCH(G1274,'Match Groups'!$A$5:$A$1326,0))</f>
        <v>MATCH</v>
      </c>
      <c r="J1274">
        <f>IF(I1274="DUPIMP",0,1)</f>
        <v>1</v>
      </c>
    </row>
    <row r="1275">
      <c r="A1275" t="inlineStr">
        <is>
          <t>BL-00905</t>
        </is>
      </c>
      <c r="B1275" t="inlineStr">
        <is>
          <t>PAY</t>
        </is>
      </c>
      <c r="C1275" s="5" t="n">
        <v>46219</v>
      </c>
      <c r="D1275" t="inlineStr">
        <is>
          <t>SALARY R. GALLAGHER PR260716</t>
        </is>
      </c>
      <c r="E1275" s="9" t="n">
        <v>-3319.34</v>
      </c>
      <c r="F1275" t="inlineStr">
        <is>
          <t>PAY-20260716</t>
        </is>
      </c>
      <c r="G1275" t="inlineStr">
        <is>
          <t>G00552</t>
        </is>
      </c>
      <c r="H1275" t="str">
        <f>INDEX('Match Groups'!$C$5:$C$1326,MATCH(G1275,'Match Groups'!$A$5:$A$1326,0))</f>
        <v>R05</v>
      </c>
      <c r="I1275" t="str">
        <f>INDEX('Match Groups'!$D$5:$D$1326,MATCH(G1275,'Match Groups'!$A$5:$A$1326,0))</f>
        <v>MATCH</v>
      </c>
      <c r="J1275">
        <f>IF(I1275="DUPIMP",0,1)</f>
        <v>1</v>
      </c>
    </row>
    <row r="1276">
      <c r="A1276" t="inlineStr">
        <is>
          <t>BL-00906</t>
        </is>
      </c>
      <c r="B1276" t="inlineStr">
        <is>
          <t>PAY</t>
        </is>
      </c>
      <c r="C1276" s="5" t="n">
        <v>46219</v>
      </c>
      <c r="D1276" t="inlineStr">
        <is>
          <t>SALARY N. HOSSEINI PR260716</t>
        </is>
      </c>
      <c r="E1276" s="9" t="n">
        <v>-3317.52</v>
      </c>
      <c r="F1276" t="inlineStr">
        <is>
          <t>PAY-20260716</t>
        </is>
      </c>
      <c r="G1276" t="inlineStr">
        <is>
          <t>G00552</t>
        </is>
      </c>
      <c r="H1276" t="str">
        <f>INDEX('Match Groups'!$C$5:$C$1326,MATCH(G1276,'Match Groups'!$A$5:$A$1326,0))</f>
        <v>R05</v>
      </c>
      <c r="I1276" t="str">
        <f>INDEX('Match Groups'!$D$5:$D$1326,MATCH(G1276,'Match Groups'!$A$5:$A$1326,0))</f>
        <v>MATCH</v>
      </c>
      <c r="J1276">
        <f>IF(I1276="DUPIMP",0,1)</f>
        <v>1</v>
      </c>
    </row>
    <row r="1277">
      <c r="A1277" t="inlineStr">
        <is>
          <t>BL-00907</t>
        </is>
      </c>
      <c r="B1277" t="inlineStr">
        <is>
          <t>PAY</t>
        </is>
      </c>
      <c r="C1277" s="5" t="n">
        <v>46219</v>
      </c>
      <c r="D1277" t="inlineStr">
        <is>
          <t>SALARY T. IVANOVA PR260716</t>
        </is>
      </c>
      <c r="E1277" s="9" t="n">
        <v>-3061.71</v>
      </c>
      <c r="F1277" t="inlineStr">
        <is>
          <t>PAY-20260716</t>
        </is>
      </c>
      <c r="G1277" t="inlineStr">
        <is>
          <t>G00552</t>
        </is>
      </c>
      <c r="H1277" t="str">
        <f>INDEX('Match Groups'!$C$5:$C$1326,MATCH(G1277,'Match Groups'!$A$5:$A$1326,0))</f>
        <v>R05</v>
      </c>
      <c r="I1277" t="str">
        <f>INDEX('Match Groups'!$D$5:$D$1326,MATCH(G1277,'Match Groups'!$A$5:$A$1326,0))</f>
        <v>MATCH</v>
      </c>
      <c r="J1277">
        <f>IF(I1277="DUPIMP",0,1)</f>
        <v>1</v>
      </c>
    </row>
    <row r="1278">
      <c r="A1278" t="inlineStr">
        <is>
          <t>BL-00908</t>
        </is>
      </c>
      <c r="B1278" t="inlineStr">
        <is>
          <t>PAY</t>
        </is>
      </c>
      <c r="C1278" s="5" t="n">
        <v>46219</v>
      </c>
      <c r="D1278" t="inlineStr">
        <is>
          <t>SALARY P. JOVANOVIC PR260716</t>
        </is>
      </c>
      <c r="E1278" s="9" t="n">
        <v>-1842.97</v>
      </c>
      <c r="F1278" t="inlineStr">
        <is>
          <t>PAY-20260716</t>
        </is>
      </c>
      <c r="G1278" t="inlineStr">
        <is>
          <t>G00552</t>
        </is>
      </c>
      <c r="H1278" t="str">
        <f>INDEX('Match Groups'!$C$5:$C$1326,MATCH(G1278,'Match Groups'!$A$5:$A$1326,0))</f>
        <v>R05</v>
      </c>
      <c r="I1278" t="str">
        <f>INDEX('Match Groups'!$D$5:$D$1326,MATCH(G1278,'Match Groups'!$A$5:$A$1326,0))</f>
        <v>MATCH</v>
      </c>
      <c r="J1278">
        <f>IF(I1278="DUPIMP",0,1)</f>
        <v>1</v>
      </c>
    </row>
    <row r="1279">
      <c r="A1279" t="inlineStr">
        <is>
          <t>BL-00909</t>
        </is>
      </c>
      <c r="B1279" t="inlineStr">
        <is>
          <t>PAY</t>
        </is>
      </c>
      <c r="C1279" s="5" t="n">
        <v>46219</v>
      </c>
      <c r="D1279" t="inlineStr">
        <is>
          <t>SALARY M. KAUR PR260716</t>
        </is>
      </c>
      <c r="E1279" s="9" t="n">
        <v>-2669.01</v>
      </c>
      <c r="F1279" t="inlineStr">
        <is>
          <t>PAY-20260716</t>
        </is>
      </c>
      <c r="G1279" t="inlineStr">
        <is>
          <t>G00552</t>
        </is>
      </c>
      <c r="H1279" t="str">
        <f>INDEX('Match Groups'!$C$5:$C$1326,MATCH(G1279,'Match Groups'!$A$5:$A$1326,0))</f>
        <v>R05</v>
      </c>
      <c r="I1279" t="str">
        <f>INDEX('Match Groups'!$D$5:$D$1326,MATCH(G1279,'Match Groups'!$A$5:$A$1326,0))</f>
        <v>MATCH</v>
      </c>
      <c r="J1279">
        <f>IF(I1279="DUPIMP",0,1)</f>
        <v>1</v>
      </c>
    </row>
    <row r="1280">
      <c r="A1280" t="inlineStr">
        <is>
          <t>BL-00910</t>
        </is>
      </c>
      <c r="B1280" t="inlineStr">
        <is>
          <t>PAY</t>
        </is>
      </c>
      <c r="C1280" s="5" t="n">
        <v>46219</v>
      </c>
      <c r="D1280" t="inlineStr">
        <is>
          <t>SALARY F. LOMBARDI PR260716</t>
        </is>
      </c>
      <c r="E1280" s="9" t="n">
        <v>-2868.62</v>
      </c>
      <c r="F1280" t="inlineStr">
        <is>
          <t>PAY-20260716</t>
        </is>
      </c>
      <c r="G1280" t="inlineStr">
        <is>
          <t>G00552</t>
        </is>
      </c>
      <c r="H1280" t="str">
        <f>INDEX('Match Groups'!$C$5:$C$1326,MATCH(G1280,'Match Groups'!$A$5:$A$1326,0))</f>
        <v>R05</v>
      </c>
      <c r="I1280" t="str">
        <f>INDEX('Match Groups'!$D$5:$D$1326,MATCH(G1280,'Match Groups'!$A$5:$A$1326,0))</f>
        <v>MATCH</v>
      </c>
      <c r="J1280">
        <f>IF(I1280="DUPIMP",0,1)</f>
        <v>1</v>
      </c>
    </row>
    <row r="1281">
      <c r="A1281" t="inlineStr">
        <is>
          <t>BL-00911</t>
        </is>
      </c>
      <c r="B1281" t="inlineStr">
        <is>
          <t>PAY</t>
        </is>
      </c>
      <c r="C1281" s="5" t="n">
        <v>46219</v>
      </c>
      <c r="D1281" t="inlineStr">
        <is>
          <t>SALARY S. MACINTYRE PR260716</t>
        </is>
      </c>
      <c r="E1281" s="9" t="n">
        <v>-3109.6</v>
      </c>
      <c r="F1281" t="inlineStr">
        <is>
          <t>PAY-20260716</t>
        </is>
      </c>
      <c r="G1281" t="inlineStr">
        <is>
          <t>G00552</t>
        </is>
      </c>
      <c r="H1281" t="str">
        <f>INDEX('Match Groups'!$C$5:$C$1326,MATCH(G1281,'Match Groups'!$A$5:$A$1326,0))</f>
        <v>R05</v>
      </c>
      <c r="I1281" t="str">
        <f>INDEX('Match Groups'!$D$5:$D$1326,MATCH(G1281,'Match Groups'!$A$5:$A$1326,0))</f>
        <v>MATCH</v>
      </c>
      <c r="J1281">
        <f>IF(I1281="DUPIMP",0,1)</f>
        <v>1</v>
      </c>
    </row>
    <row r="1282">
      <c r="A1282" t="inlineStr">
        <is>
          <t>BL-00912</t>
        </is>
      </c>
      <c r="B1282" t="inlineStr">
        <is>
          <t>PAY</t>
        </is>
      </c>
      <c r="C1282" s="5" t="n">
        <v>46219</v>
      </c>
      <c r="D1282" t="inlineStr">
        <is>
          <t>SALARY W. NOVAK PR260716</t>
        </is>
      </c>
      <c r="E1282" s="9" t="n">
        <v>-3274.34</v>
      </c>
      <c r="F1282" t="inlineStr">
        <is>
          <t>PAY-20260716</t>
        </is>
      </c>
      <c r="G1282" t="inlineStr">
        <is>
          <t>G00552</t>
        </is>
      </c>
      <c r="H1282" t="str">
        <f>INDEX('Match Groups'!$C$5:$C$1326,MATCH(G1282,'Match Groups'!$A$5:$A$1326,0))</f>
        <v>R05</v>
      </c>
      <c r="I1282" t="str">
        <f>INDEX('Match Groups'!$D$5:$D$1326,MATCH(G1282,'Match Groups'!$A$5:$A$1326,0))</f>
        <v>MATCH</v>
      </c>
      <c r="J1282">
        <f>IF(I1282="DUPIMP",0,1)</f>
        <v>1</v>
      </c>
    </row>
    <row r="1283">
      <c r="A1283" t="inlineStr">
        <is>
          <t>BL-00913</t>
        </is>
      </c>
      <c r="B1283" t="inlineStr">
        <is>
          <t>PAY</t>
        </is>
      </c>
      <c r="C1283" s="5" t="n">
        <v>46219</v>
      </c>
      <c r="D1283" t="inlineStr">
        <is>
          <t>SALARY D. OYELARAN PR260716</t>
        </is>
      </c>
      <c r="E1283" s="9" t="n">
        <v>-3104.96</v>
      </c>
      <c r="F1283" t="inlineStr">
        <is>
          <t>PAY-20260716</t>
        </is>
      </c>
      <c r="G1283" t="inlineStr">
        <is>
          <t>G00552</t>
        </is>
      </c>
      <c r="H1283" t="str">
        <f>INDEX('Match Groups'!$C$5:$C$1326,MATCH(G1283,'Match Groups'!$A$5:$A$1326,0))</f>
        <v>R05</v>
      </c>
      <c r="I1283" t="str">
        <f>INDEX('Match Groups'!$D$5:$D$1326,MATCH(G1283,'Match Groups'!$A$5:$A$1326,0))</f>
        <v>MATCH</v>
      </c>
      <c r="J1283">
        <f>IF(I1283="DUPIMP",0,1)</f>
        <v>1</v>
      </c>
    </row>
    <row r="1284">
      <c r="A1284" t="inlineStr">
        <is>
          <t>BL-00914</t>
        </is>
      </c>
      <c r="B1284" t="inlineStr">
        <is>
          <t>PAY</t>
        </is>
      </c>
      <c r="C1284" s="5" t="n">
        <v>46219</v>
      </c>
      <c r="D1284" t="inlineStr">
        <is>
          <t>SALARY E. PELLEGRINO PR260716</t>
        </is>
      </c>
      <c r="E1284" s="9" t="n">
        <v>-2244.79</v>
      </c>
      <c r="F1284" t="inlineStr">
        <is>
          <t>PAY-20260716</t>
        </is>
      </c>
      <c r="G1284" t="inlineStr">
        <is>
          <t>G00552</t>
        </is>
      </c>
      <c r="H1284" t="str">
        <f>INDEX('Match Groups'!$C$5:$C$1326,MATCH(G1284,'Match Groups'!$A$5:$A$1326,0))</f>
        <v>R05</v>
      </c>
      <c r="I1284" t="str">
        <f>INDEX('Match Groups'!$D$5:$D$1326,MATCH(G1284,'Match Groups'!$A$5:$A$1326,0))</f>
        <v>MATCH</v>
      </c>
      <c r="J1284">
        <f>IF(I1284="DUPIMP",0,1)</f>
        <v>1</v>
      </c>
    </row>
    <row r="1285">
      <c r="A1285" t="inlineStr">
        <is>
          <t>BL-00915</t>
        </is>
      </c>
      <c r="B1285" t="inlineStr">
        <is>
          <t>PAY</t>
        </is>
      </c>
      <c r="C1285" s="5" t="n">
        <v>46219</v>
      </c>
      <c r="D1285" t="inlineStr">
        <is>
          <t>SALARY T. QUACH PR260716</t>
        </is>
      </c>
      <c r="E1285" s="9" t="n">
        <v>-3313.53</v>
      </c>
      <c r="F1285" t="inlineStr">
        <is>
          <t>PAY-20260716</t>
        </is>
      </c>
      <c r="G1285" t="inlineStr">
        <is>
          <t>G00552</t>
        </is>
      </c>
      <c r="H1285" t="str">
        <f>INDEX('Match Groups'!$C$5:$C$1326,MATCH(G1285,'Match Groups'!$A$5:$A$1326,0))</f>
        <v>R05</v>
      </c>
      <c r="I1285" t="str">
        <f>INDEX('Match Groups'!$D$5:$D$1326,MATCH(G1285,'Match Groups'!$A$5:$A$1326,0))</f>
        <v>MATCH</v>
      </c>
      <c r="J1285">
        <f>IF(I1285="DUPIMP",0,1)</f>
        <v>1</v>
      </c>
    </row>
    <row r="1286">
      <c r="A1286" t="inlineStr">
        <is>
          <t>BL-00916</t>
        </is>
      </c>
      <c r="B1286" t="inlineStr">
        <is>
          <t>PAY</t>
        </is>
      </c>
      <c r="C1286" s="5" t="n">
        <v>46219</v>
      </c>
      <c r="D1286" t="inlineStr">
        <is>
          <t>SALARY S. RASMUSSEN PR260716</t>
        </is>
      </c>
      <c r="E1286" s="9" t="n">
        <v>-2035.45</v>
      </c>
      <c r="F1286" t="inlineStr">
        <is>
          <t>PAY-20260716</t>
        </is>
      </c>
      <c r="G1286" t="inlineStr">
        <is>
          <t>G00552</t>
        </is>
      </c>
      <c r="H1286" t="str">
        <f>INDEX('Match Groups'!$C$5:$C$1326,MATCH(G1286,'Match Groups'!$A$5:$A$1326,0))</f>
        <v>R05</v>
      </c>
      <c r="I1286" t="str">
        <f>INDEX('Match Groups'!$D$5:$D$1326,MATCH(G1286,'Match Groups'!$A$5:$A$1326,0))</f>
        <v>MATCH</v>
      </c>
      <c r="J1286">
        <f>IF(I1286="DUPIMP",0,1)</f>
        <v>1</v>
      </c>
    </row>
    <row r="1287">
      <c r="A1287" t="inlineStr">
        <is>
          <t>BL-00917</t>
        </is>
      </c>
      <c r="B1287" t="inlineStr">
        <is>
          <t>PAY</t>
        </is>
      </c>
      <c r="C1287" s="5" t="n">
        <v>46219</v>
      </c>
      <c r="D1287" t="inlineStr">
        <is>
          <t>SALARY H. SANDOVAL PR260716</t>
        </is>
      </c>
      <c r="E1287" s="9" t="n">
        <v>-2899.52</v>
      </c>
      <c r="F1287" t="inlineStr">
        <is>
          <t>PAY-20260716</t>
        </is>
      </c>
      <c r="G1287" t="inlineStr">
        <is>
          <t>G00552</t>
        </is>
      </c>
      <c r="H1287" t="str">
        <f>INDEX('Match Groups'!$C$5:$C$1326,MATCH(G1287,'Match Groups'!$A$5:$A$1326,0))</f>
        <v>R05</v>
      </c>
      <c r="I1287" t="str">
        <f>INDEX('Match Groups'!$D$5:$D$1326,MATCH(G1287,'Match Groups'!$A$5:$A$1326,0))</f>
        <v>MATCH</v>
      </c>
      <c r="J1287">
        <f>IF(I1287="DUPIMP",0,1)</f>
        <v>1</v>
      </c>
    </row>
    <row r="1288">
      <c r="A1288" t="inlineStr">
        <is>
          <t>BL-00918</t>
        </is>
      </c>
      <c r="B1288" t="inlineStr">
        <is>
          <t>PAY</t>
        </is>
      </c>
      <c r="C1288" s="5" t="n">
        <v>46219</v>
      </c>
      <c r="D1288" t="inlineStr">
        <is>
          <t>SALARY R. TEAGUE PR260716</t>
        </is>
      </c>
      <c r="E1288" s="9" t="n">
        <v>-2100.41</v>
      </c>
      <c r="F1288" t="inlineStr">
        <is>
          <t>PAY-20260716</t>
        </is>
      </c>
      <c r="G1288" t="inlineStr">
        <is>
          <t>G00552</t>
        </is>
      </c>
      <c r="H1288" t="str">
        <f>INDEX('Match Groups'!$C$5:$C$1326,MATCH(G1288,'Match Groups'!$A$5:$A$1326,0))</f>
        <v>R05</v>
      </c>
      <c r="I1288" t="str">
        <f>INDEX('Match Groups'!$D$5:$D$1326,MATCH(G1288,'Match Groups'!$A$5:$A$1326,0))</f>
        <v>MATCH</v>
      </c>
      <c r="J1288">
        <f>IF(I1288="DUPIMP",0,1)</f>
        <v>1</v>
      </c>
    </row>
    <row r="1289">
      <c r="A1289" t="inlineStr">
        <is>
          <t>BL-00919</t>
        </is>
      </c>
      <c r="B1289" t="inlineStr">
        <is>
          <t>PAY</t>
        </is>
      </c>
      <c r="C1289" s="5" t="n">
        <v>46219</v>
      </c>
      <c r="D1289" t="inlineStr">
        <is>
          <t>SALARY M. UPTON PR260716</t>
        </is>
      </c>
      <c r="E1289" s="9" t="n">
        <v>-3395.48</v>
      </c>
      <c r="F1289" t="inlineStr">
        <is>
          <t>PAY-20260716</t>
        </is>
      </c>
      <c r="G1289" t="inlineStr">
        <is>
          <t>G00552</t>
        </is>
      </c>
      <c r="H1289" t="str">
        <f>INDEX('Match Groups'!$C$5:$C$1326,MATCH(G1289,'Match Groups'!$A$5:$A$1326,0))</f>
        <v>R05</v>
      </c>
      <c r="I1289" t="str">
        <f>INDEX('Match Groups'!$D$5:$D$1326,MATCH(G1289,'Match Groups'!$A$5:$A$1326,0))</f>
        <v>MATCH</v>
      </c>
      <c r="J1289">
        <f>IF(I1289="DUPIMP",0,1)</f>
        <v>1</v>
      </c>
    </row>
    <row r="1290">
      <c r="A1290" t="inlineStr">
        <is>
          <t>BL-00920</t>
        </is>
      </c>
      <c r="B1290" t="inlineStr">
        <is>
          <t>PAY</t>
        </is>
      </c>
      <c r="C1290" s="5" t="n">
        <v>46219</v>
      </c>
      <c r="D1290" t="inlineStr">
        <is>
          <t>SALARY K. VASQUEZ PR260716</t>
        </is>
      </c>
      <c r="E1290" s="9" t="n">
        <v>-1696.01</v>
      </c>
      <c r="F1290" t="inlineStr">
        <is>
          <t>PAY-20260716</t>
        </is>
      </c>
      <c r="G1290" t="inlineStr">
        <is>
          <t>G00552</t>
        </is>
      </c>
      <c r="H1290" t="str">
        <f>INDEX('Match Groups'!$C$5:$C$1326,MATCH(G1290,'Match Groups'!$A$5:$A$1326,0))</f>
        <v>R05</v>
      </c>
      <c r="I1290" t="str">
        <f>INDEX('Match Groups'!$D$5:$D$1326,MATCH(G1290,'Match Groups'!$A$5:$A$1326,0))</f>
        <v>MATCH</v>
      </c>
      <c r="J1290">
        <f>IF(I1290="DUPIMP",0,1)</f>
        <v>1</v>
      </c>
    </row>
    <row r="1291">
      <c r="A1291" t="inlineStr">
        <is>
          <t>BL-00921</t>
        </is>
      </c>
      <c r="B1291" t="inlineStr">
        <is>
          <t>PAY</t>
        </is>
      </c>
      <c r="C1291" s="5" t="n">
        <v>46219</v>
      </c>
      <c r="D1291" t="inlineStr">
        <is>
          <t>SALARY M. WHITLOCK PR260716</t>
        </is>
      </c>
      <c r="E1291" s="9" t="n">
        <v>-1687.97</v>
      </c>
      <c r="F1291" t="inlineStr">
        <is>
          <t>PAY-20260716</t>
        </is>
      </c>
      <c r="G1291" t="inlineStr">
        <is>
          <t>G00552</t>
        </is>
      </c>
      <c r="H1291" t="str">
        <f>INDEX('Match Groups'!$C$5:$C$1326,MATCH(G1291,'Match Groups'!$A$5:$A$1326,0))</f>
        <v>R05</v>
      </c>
      <c r="I1291" t="str">
        <f>INDEX('Match Groups'!$D$5:$D$1326,MATCH(G1291,'Match Groups'!$A$5:$A$1326,0))</f>
        <v>MATCH</v>
      </c>
      <c r="J1291">
        <f>IF(I1291="DUPIMP",0,1)</f>
        <v>1</v>
      </c>
    </row>
    <row r="1292">
      <c r="A1292" t="inlineStr">
        <is>
          <t>BL-00922</t>
        </is>
      </c>
      <c r="B1292" t="inlineStr">
        <is>
          <t>PAY</t>
        </is>
      </c>
      <c r="C1292" s="5" t="n">
        <v>46219</v>
      </c>
      <c r="D1292" t="inlineStr">
        <is>
          <t>SALARY P. XU PR260716</t>
        </is>
      </c>
      <c r="E1292" s="9" t="n">
        <v>-1598.15</v>
      </c>
      <c r="F1292" t="inlineStr">
        <is>
          <t>PAY-20260716</t>
        </is>
      </c>
      <c r="G1292" t="inlineStr">
        <is>
          <t>G00552</t>
        </is>
      </c>
      <c r="H1292" t="str">
        <f>INDEX('Match Groups'!$C$5:$C$1326,MATCH(G1292,'Match Groups'!$A$5:$A$1326,0))</f>
        <v>R05</v>
      </c>
      <c r="I1292" t="str">
        <f>INDEX('Match Groups'!$D$5:$D$1326,MATCH(G1292,'Match Groups'!$A$5:$A$1326,0))</f>
        <v>MATCH</v>
      </c>
      <c r="J1292">
        <f>IF(I1292="DUPIMP",0,1)</f>
        <v>1</v>
      </c>
    </row>
    <row r="1293">
      <c r="A1293" t="inlineStr">
        <is>
          <t>BL-00923</t>
        </is>
      </c>
      <c r="B1293" t="inlineStr">
        <is>
          <t>PAY</t>
        </is>
      </c>
      <c r="C1293" s="5" t="n">
        <v>46219</v>
      </c>
      <c r="D1293" t="inlineStr">
        <is>
          <t>SALARY R. YILMAZ PR260716</t>
        </is>
      </c>
      <c r="E1293" s="9" t="n">
        <v>-3135.23</v>
      </c>
      <c r="F1293" t="inlineStr">
        <is>
          <t>PAY-20260716</t>
        </is>
      </c>
      <c r="G1293" t="inlineStr">
        <is>
          <t>G00552</t>
        </is>
      </c>
      <c r="H1293" t="str">
        <f>INDEX('Match Groups'!$C$5:$C$1326,MATCH(G1293,'Match Groups'!$A$5:$A$1326,0))</f>
        <v>R05</v>
      </c>
      <c r="I1293" t="str">
        <f>INDEX('Match Groups'!$D$5:$D$1326,MATCH(G1293,'Match Groups'!$A$5:$A$1326,0))</f>
        <v>MATCH</v>
      </c>
      <c r="J1293">
        <f>IF(I1293="DUPIMP",0,1)</f>
        <v>1</v>
      </c>
    </row>
    <row r="1294">
      <c r="A1294" t="inlineStr">
        <is>
          <t>BL-00924</t>
        </is>
      </c>
      <c r="B1294" t="inlineStr">
        <is>
          <t>PAY</t>
        </is>
      </c>
      <c r="C1294" s="5" t="n">
        <v>46219</v>
      </c>
      <c r="D1294" t="inlineStr">
        <is>
          <t>SALARY E. ZIELINSKI PR260716</t>
        </is>
      </c>
      <c r="E1294" s="9" t="n">
        <v>-2294.2</v>
      </c>
      <c r="F1294" t="inlineStr">
        <is>
          <t>PAY-20260716</t>
        </is>
      </c>
      <c r="G1294" t="inlineStr">
        <is>
          <t>G00552</t>
        </is>
      </c>
      <c r="H1294" t="str">
        <f>INDEX('Match Groups'!$C$5:$C$1326,MATCH(G1294,'Match Groups'!$A$5:$A$1326,0))</f>
        <v>R05</v>
      </c>
      <c r="I1294" t="str">
        <f>INDEX('Match Groups'!$D$5:$D$1326,MATCH(G1294,'Match Groups'!$A$5:$A$1326,0))</f>
        <v>MATCH</v>
      </c>
      <c r="J1294">
        <f>IF(I1294="DUPIMP",0,1)</f>
        <v>1</v>
      </c>
    </row>
    <row r="1295">
      <c r="A1295" t="inlineStr">
        <is>
          <t>BL-00925</t>
        </is>
      </c>
      <c r="B1295" t="inlineStr">
        <is>
          <t>PAY</t>
        </is>
      </c>
      <c r="C1295" s="5" t="n">
        <v>46219</v>
      </c>
      <c r="D1295" t="inlineStr">
        <is>
          <t>SALARY A. ASHBY PR260716</t>
        </is>
      </c>
      <c r="E1295" s="9" t="n">
        <v>-3411.78</v>
      </c>
      <c r="F1295" t="inlineStr">
        <is>
          <t>PAY-20260716</t>
        </is>
      </c>
      <c r="G1295" t="inlineStr">
        <is>
          <t>G00552</t>
        </is>
      </c>
      <c r="H1295" t="str">
        <f>INDEX('Match Groups'!$C$5:$C$1326,MATCH(G1295,'Match Groups'!$A$5:$A$1326,0))</f>
        <v>R05</v>
      </c>
      <c r="I1295" t="str">
        <f>INDEX('Match Groups'!$D$5:$D$1326,MATCH(G1295,'Match Groups'!$A$5:$A$1326,0))</f>
        <v>MATCH</v>
      </c>
      <c r="J1295">
        <f>IF(I1295="DUPIMP",0,1)</f>
        <v>1</v>
      </c>
    </row>
    <row r="1296">
      <c r="A1296" t="inlineStr">
        <is>
          <t>BL-00926</t>
        </is>
      </c>
      <c r="B1296" t="inlineStr">
        <is>
          <t>PAY</t>
        </is>
      </c>
      <c r="C1296" s="5" t="n">
        <v>46219</v>
      </c>
      <c r="D1296" t="inlineStr">
        <is>
          <t>SALARY T. BAROSSA PR260716</t>
        </is>
      </c>
      <c r="E1296" s="9" t="n">
        <v>-2364.94</v>
      </c>
      <c r="F1296" t="inlineStr">
        <is>
          <t>PAY-20260716</t>
        </is>
      </c>
      <c r="G1296" t="inlineStr">
        <is>
          <t>G00552</t>
        </is>
      </c>
      <c r="H1296" t="str">
        <f>INDEX('Match Groups'!$C$5:$C$1326,MATCH(G1296,'Match Groups'!$A$5:$A$1326,0))</f>
        <v>R05</v>
      </c>
      <c r="I1296" t="str">
        <f>INDEX('Match Groups'!$D$5:$D$1326,MATCH(G1296,'Match Groups'!$A$5:$A$1326,0))</f>
        <v>MATCH</v>
      </c>
      <c r="J1296">
        <f>IF(I1296="DUPIMP",0,1)</f>
        <v>1</v>
      </c>
    </row>
    <row r="1297">
      <c r="A1297" t="inlineStr">
        <is>
          <t>BL-00927</t>
        </is>
      </c>
      <c r="B1297" t="inlineStr">
        <is>
          <t>PAY</t>
        </is>
      </c>
      <c r="C1297" s="5" t="n">
        <v>46219</v>
      </c>
      <c r="D1297" t="inlineStr">
        <is>
          <t>SALARY T. COOMBE PR260716</t>
        </is>
      </c>
      <c r="E1297" s="9" t="n">
        <v>-2453.86</v>
      </c>
      <c r="F1297" t="inlineStr">
        <is>
          <t>PAY-20260716</t>
        </is>
      </c>
      <c r="G1297" t="inlineStr">
        <is>
          <t>G00552</t>
        </is>
      </c>
      <c r="H1297" t="str">
        <f>INDEX('Match Groups'!$C$5:$C$1326,MATCH(G1297,'Match Groups'!$A$5:$A$1326,0))</f>
        <v>R05</v>
      </c>
      <c r="I1297" t="str">
        <f>INDEX('Match Groups'!$D$5:$D$1326,MATCH(G1297,'Match Groups'!$A$5:$A$1326,0))</f>
        <v>MATCH</v>
      </c>
      <c r="J1297">
        <f>IF(I1297="DUPIMP",0,1)</f>
        <v>1</v>
      </c>
    </row>
    <row r="1298">
      <c r="A1298" t="inlineStr">
        <is>
          <t>BL-00928</t>
        </is>
      </c>
      <c r="B1298" t="inlineStr">
        <is>
          <t>PAY</t>
        </is>
      </c>
      <c r="C1298" s="5" t="n">
        <v>46219</v>
      </c>
      <c r="D1298" t="inlineStr">
        <is>
          <t>SALARY N. DELACROIX PR260716</t>
        </is>
      </c>
      <c r="E1298" s="9" t="n">
        <v>-3348.25</v>
      </c>
      <c r="F1298" t="inlineStr">
        <is>
          <t>PAY-20260716</t>
        </is>
      </c>
      <c r="G1298" t="inlineStr">
        <is>
          <t>G00552</t>
        </is>
      </c>
      <c r="H1298" t="str">
        <f>INDEX('Match Groups'!$C$5:$C$1326,MATCH(G1298,'Match Groups'!$A$5:$A$1326,0))</f>
        <v>R05</v>
      </c>
      <c r="I1298" t="str">
        <f>INDEX('Match Groups'!$D$5:$D$1326,MATCH(G1298,'Match Groups'!$A$5:$A$1326,0))</f>
        <v>MATCH</v>
      </c>
      <c r="J1298">
        <f>IF(I1298="DUPIMP",0,1)</f>
        <v>1</v>
      </c>
    </row>
    <row r="1299">
      <c r="A1299" t="inlineStr">
        <is>
          <t>BL-00929</t>
        </is>
      </c>
      <c r="B1299" t="inlineStr">
        <is>
          <t>PAY</t>
        </is>
      </c>
      <c r="C1299" s="5" t="n">
        <v>46219</v>
      </c>
      <c r="D1299" t="inlineStr">
        <is>
          <t>SALARY C. ESPOSITO PR260716</t>
        </is>
      </c>
      <c r="E1299" s="9" t="n">
        <v>-3132.93</v>
      </c>
      <c r="F1299" t="inlineStr">
        <is>
          <t>PAY-20260716</t>
        </is>
      </c>
      <c r="G1299" t="inlineStr">
        <is>
          <t>G00552</t>
        </is>
      </c>
      <c r="H1299" t="str">
        <f>INDEX('Match Groups'!$C$5:$C$1326,MATCH(G1299,'Match Groups'!$A$5:$A$1326,0))</f>
        <v>R05</v>
      </c>
      <c r="I1299" t="str">
        <f>INDEX('Match Groups'!$D$5:$D$1326,MATCH(G1299,'Match Groups'!$A$5:$A$1326,0))</f>
        <v>MATCH</v>
      </c>
      <c r="J1299">
        <f>IF(I1299="DUPIMP",0,1)</f>
        <v>1</v>
      </c>
    </row>
    <row r="1300">
      <c r="A1300" t="inlineStr">
        <is>
          <t>BL-00930</t>
        </is>
      </c>
      <c r="B1300" t="inlineStr">
        <is>
          <t>PAY</t>
        </is>
      </c>
      <c r="C1300" s="5" t="n">
        <v>46219</v>
      </c>
      <c r="D1300" t="inlineStr">
        <is>
          <t>SALARY N. FAIRWEATHER PR260716</t>
        </is>
      </c>
      <c r="E1300" s="9" t="n">
        <v>-2033.2</v>
      </c>
      <c r="F1300" t="inlineStr">
        <is>
          <t>PAY-20260716</t>
        </is>
      </c>
      <c r="G1300" t="inlineStr">
        <is>
          <t>G00552</t>
        </is>
      </c>
      <c r="H1300" t="str">
        <f>INDEX('Match Groups'!$C$5:$C$1326,MATCH(G1300,'Match Groups'!$A$5:$A$1326,0))</f>
        <v>R05</v>
      </c>
      <c r="I1300" t="str">
        <f>INDEX('Match Groups'!$D$5:$D$1326,MATCH(G1300,'Match Groups'!$A$5:$A$1326,0))</f>
        <v>MATCH</v>
      </c>
      <c r="J1300">
        <f>IF(I1300="DUPIMP",0,1)</f>
        <v>1</v>
      </c>
    </row>
    <row r="1301">
      <c r="A1301" t="inlineStr">
        <is>
          <t>BL-00931</t>
        </is>
      </c>
      <c r="B1301" t="inlineStr">
        <is>
          <t>PAY</t>
        </is>
      </c>
      <c r="C1301" s="5" t="n">
        <v>46219</v>
      </c>
      <c r="D1301" t="inlineStr">
        <is>
          <t>SALARY T. GRIEVE PR260716</t>
        </is>
      </c>
      <c r="E1301" s="9" t="n">
        <v>-3143.35</v>
      </c>
      <c r="F1301" t="inlineStr">
        <is>
          <t>PAY-20260716</t>
        </is>
      </c>
      <c r="G1301" t="inlineStr">
        <is>
          <t>G00552</t>
        </is>
      </c>
      <c r="H1301" t="str">
        <f>INDEX('Match Groups'!$C$5:$C$1326,MATCH(G1301,'Match Groups'!$A$5:$A$1326,0))</f>
        <v>R05</v>
      </c>
      <c r="I1301" t="str">
        <f>INDEX('Match Groups'!$D$5:$D$1326,MATCH(G1301,'Match Groups'!$A$5:$A$1326,0))</f>
        <v>MATCH</v>
      </c>
      <c r="J1301">
        <f>IF(I1301="DUPIMP",0,1)</f>
        <v>1</v>
      </c>
    </row>
    <row r="1302">
      <c r="A1302" t="inlineStr">
        <is>
          <t>BL-00932</t>
        </is>
      </c>
      <c r="B1302" t="inlineStr">
        <is>
          <t>PAY</t>
        </is>
      </c>
      <c r="C1302" s="5" t="n">
        <v>46219</v>
      </c>
      <c r="D1302" t="inlineStr">
        <is>
          <t>SALARY H. HALLORAN PR260716</t>
        </is>
      </c>
      <c r="E1302" s="9" t="n">
        <v>-2174.94</v>
      </c>
      <c r="F1302" t="inlineStr">
        <is>
          <t>PAY-20260716</t>
        </is>
      </c>
      <c r="G1302" t="inlineStr">
        <is>
          <t>G00552</t>
        </is>
      </c>
      <c r="H1302" t="str">
        <f>INDEX('Match Groups'!$C$5:$C$1326,MATCH(G1302,'Match Groups'!$A$5:$A$1326,0))</f>
        <v>R05</v>
      </c>
      <c r="I1302" t="str">
        <f>INDEX('Match Groups'!$D$5:$D$1326,MATCH(G1302,'Match Groups'!$A$5:$A$1326,0))</f>
        <v>MATCH</v>
      </c>
      <c r="J1302">
        <f>IF(I1302="DUPIMP",0,1)</f>
        <v>1</v>
      </c>
    </row>
    <row r="1303">
      <c r="A1303" t="inlineStr">
        <is>
          <t>BL-00933</t>
        </is>
      </c>
      <c r="B1303" t="inlineStr">
        <is>
          <t>PAY</t>
        </is>
      </c>
      <c r="C1303" s="5" t="n">
        <v>46219</v>
      </c>
      <c r="D1303" t="inlineStr">
        <is>
          <t>SALARY C. IQBAL PR260716</t>
        </is>
      </c>
      <c r="E1303" s="9" t="n">
        <v>-2913.09</v>
      </c>
      <c r="F1303" t="inlineStr">
        <is>
          <t>PAY-20260716</t>
        </is>
      </c>
      <c r="G1303" t="inlineStr">
        <is>
          <t>G00552</t>
        </is>
      </c>
      <c r="H1303" t="str">
        <f>INDEX('Match Groups'!$C$5:$C$1326,MATCH(G1303,'Match Groups'!$A$5:$A$1326,0))</f>
        <v>R05</v>
      </c>
      <c r="I1303" t="str">
        <f>INDEX('Match Groups'!$D$5:$D$1326,MATCH(G1303,'Match Groups'!$A$5:$A$1326,0))</f>
        <v>MATCH</v>
      </c>
      <c r="J1303">
        <f>IF(I1303="DUPIMP",0,1)</f>
        <v>1</v>
      </c>
    </row>
    <row r="1304">
      <c r="A1304" t="inlineStr">
        <is>
          <t>BL-00934</t>
        </is>
      </c>
      <c r="B1304" t="inlineStr">
        <is>
          <t>PAY</t>
        </is>
      </c>
      <c r="C1304" s="5" t="n">
        <v>46219</v>
      </c>
      <c r="D1304" t="inlineStr">
        <is>
          <t>SALARY W. JESSOP PR260716</t>
        </is>
      </c>
      <c r="E1304" s="9" t="n">
        <v>-3163.33</v>
      </c>
      <c r="F1304" t="inlineStr">
        <is>
          <t>PAY-20260716</t>
        </is>
      </c>
      <c r="G1304" t="inlineStr">
        <is>
          <t>G00552</t>
        </is>
      </c>
      <c r="H1304" t="str">
        <f>INDEX('Match Groups'!$C$5:$C$1326,MATCH(G1304,'Match Groups'!$A$5:$A$1326,0))</f>
        <v>R05</v>
      </c>
      <c r="I1304" t="str">
        <f>INDEX('Match Groups'!$D$5:$D$1326,MATCH(G1304,'Match Groups'!$A$5:$A$1326,0))</f>
        <v>MATCH</v>
      </c>
      <c r="J1304">
        <f>IF(I1304="DUPIMP",0,1)</f>
        <v>1</v>
      </c>
    </row>
    <row r="1305">
      <c r="A1305" t="inlineStr">
        <is>
          <t>BL-00935</t>
        </is>
      </c>
      <c r="B1305" t="inlineStr">
        <is>
          <t>PAY</t>
        </is>
      </c>
      <c r="C1305" s="5" t="n">
        <v>46219</v>
      </c>
      <c r="D1305" t="inlineStr">
        <is>
          <t>SALARY K. KERRIGAN PR260716</t>
        </is>
      </c>
      <c r="E1305" s="9" t="n">
        <v>-2649.62</v>
      </c>
      <c r="F1305" t="inlineStr">
        <is>
          <t>PAY-20260716</t>
        </is>
      </c>
      <c r="G1305" t="inlineStr">
        <is>
          <t>G00552</t>
        </is>
      </c>
      <c r="H1305" t="str">
        <f>INDEX('Match Groups'!$C$5:$C$1326,MATCH(G1305,'Match Groups'!$A$5:$A$1326,0))</f>
        <v>R05</v>
      </c>
      <c r="I1305" t="str">
        <f>INDEX('Match Groups'!$D$5:$D$1326,MATCH(G1305,'Match Groups'!$A$5:$A$1326,0))</f>
        <v>MATCH</v>
      </c>
      <c r="J1305">
        <f>IF(I1305="DUPIMP",0,1)</f>
        <v>1</v>
      </c>
    </row>
    <row r="1306">
      <c r="A1306" t="inlineStr">
        <is>
          <t>BL-00936</t>
        </is>
      </c>
      <c r="B1306" t="inlineStr">
        <is>
          <t>PAY</t>
        </is>
      </c>
      <c r="C1306" s="5" t="n">
        <v>46219</v>
      </c>
      <c r="D1306" t="inlineStr">
        <is>
          <t>SALARY D. LACHLAN PR260716</t>
        </is>
      </c>
      <c r="E1306" s="9" t="n">
        <v>-2094.68</v>
      </c>
      <c r="F1306" t="inlineStr">
        <is>
          <t>PAY-20260716</t>
        </is>
      </c>
      <c r="G1306" t="inlineStr">
        <is>
          <t>G00552</t>
        </is>
      </c>
      <c r="H1306" t="str">
        <f>INDEX('Match Groups'!$C$5:$C$1326,MATCH(G1306,'Match Groups'!$A$5:$A$1326,0))</f>
        <v>R05</v>
      </c>
      <c r="I1306" t="str">
        <f>INDEX('Match Groups'!$D$5:$D$1326,MATCH(G1306,'Match Groups'!$A$5:$A$1326,0))</f>
        <v>MATCH</v>
      </c>
      <c r="J1306">
        <f>IF(I1306="DUPIMP",0,1)</f>
        <v>1</v>
      </c>
    </row>
    <row r="1307">
      <c r="A1307" t="inlineStr">
        <is>
          <t>BL-00937</t>
        </is>
      </c>
      <c r="B1307" t="inlineStr">
        <is>
          <t>PAY</t>
        </is>
      </c>
      <c r="C1307" s="5" t="n">
        <v>46219</v>
      </c>
      <c r="D1307" t="inlineStr">
        <is>
          <t>SALARY K. MOREAU PR260716</t>
        </is>
      </c>
      <c r="E1307" s="9" t="n">
        <v>-2816.72</v>
      </c>
      <c r="F1307" t="inlineStr">
        <is>
          <t>PAY-20260716</t>
        </is>
      </c>
      <c r="G1307" t="inlineStr">
        <is>
          <t>G00552</t>
        </is>
      </c>
      <c r="H1307" t="str">
        <f>INDEX('Match Groups'!$C$5:$C$1326,MATCH(G1307,'Match Groups'!$A$5:$A$1326,0))</f>
        <v>R05</v>
      </c>
      <c r="I1307" t="str">
        <f>INDEX('Match Groups'!$D$5:$D$1326,MATCH(G1307,'Match Groups'!$A$5:$A$1326,0))</f>
        <v>MATCH</v>
      </c>
      <c r="J1307">
        <f>IF(I1307="DUPIMP",0,1)</f>
        <v>1</v>
      </c>
    </row>
    <row r="1308">
      <c r="A1308" t="inlineStr">
        <is>
          <t>BL-00938</t>
        </is>
      </c>
      <c r="B1308" t="inlineStr">
        <is>
          <t>PAY</t>
        </is>
      </c>
      <c r="C1308" s="5" t="n">
        <v>46219</v>
      </c>
      <c r="D1308" t="inlineStr">
        <is>
          <t>SALARY E. NAKAMURA PR260716</t>
        </is>
      </c>
      <c r="E1308" s="9" t="n">
        <v>-3405.97</v>
      </c>
      <c r="F1308" t="inlineStr">
        <is>
          <t>PAY-20260716</t>
        </is>
      </c>
      <c r="G1308" t="inlineStr">
        <is>
          <t>G00552</t>
        </is>
      </c>
      <c r="H1308" t="str">
        <f>INDEX('Match Groups'!$C$5:$C$1326,MATCH(G1308,'Match Groups'!$A$5:$A$1326,0))</f>
        <v>R05</v>
      </c>
      <c r="I1308" t="str">
        <f>INDEX('Match Groups'!$D$5:$D$1326,MATCH(G1308,'Match Groups'!$A$5:$A$1326,0))</f>
        <v>MATCH</v>
      </c>
      <c r="J1308">
        <f>IF(I1308="DUPIMP",0,1)</f>
        <v>1</v>
      </c>
    </row>
    <row r="1309">
      <c r="A1309" t="inlineStr">
        <is>
          <t>BL-00939</t>
        </is>
      </c>
      <c r="B1309" t="inlineStr">
        <is>
          <t>PAY</t>
        </is>
      </c>
      <c r="C1309" s="5" t="n">
        <v>46219</v>
      </c>
      <c r="D1309" t="inlineStr">
        <is>
          <t>SALARY C. ORMSBY PR260716</t>
        </is>
      </c>
      <c r="E1309" s="9" t="n">
        <v>-3072.54</v>
      </c>
      <c r="F1309" t="inlineStr">
        <is>
          <t>PAY-20260716</t>
        </is>
      </c>
      <c r="G1309" t="inlineStr">
        <is>
          <t>G00552</t>
        </is>
      </c>
      <c r="H1309" t="str">
        <f>INDEX('Match Groups'!$C$5:$C$1326,MATCH(G1309,'Match Groups'!$A$5:$A$1326,0))</f>
        <v>R05</v>
      </c>
      <c r="I1309" t="str">
        <f>INDEX('Match Groups'!$D$5:$D$1326,MATCH(G1309,'Match Groups'!$A$5:$A$1326,0))</f>
        <v>MATCH</v>
      </c>
      <c r="J1309">
        <f>IF(I1309="DUPIMP",0,1)</f>
        <v>1</v>
      </c>
    </row>
    <row r="1310">
      <c r="A1310" t="inlineStr">
        <is>
          <t>BL-00940</t>
        </is>
      </c>
      <c r="B1310" t="inlineStr">
        <is>
          <t>PAY</t>
        </is>
      </c>
      <c r="C1310" s="5" t="n">
        <v>46219</v>
      </c>
      <c r="D1310" t="inlineStr">
        <is>
          <t>SALARY L. PRENTICE PR260716</t>
        </is>
      </c>
      <c r="E1310" s="9" t="n">
        <v>-2076.28</v>
      </c>
      <c r="F1310" t="inlineStr">
        <is>
          <t>PAY-20260716</t>
        </is>
      </c>
      <c r="G1310" t="inlineStr">
        <is>
          <t>G00552</t>
        </is>
      </c>
      <c r="H1310" t="str">
        <f>INDEX('Match Groups'!$C$5:$C$1326,MATCH(G1310,'Match Groups'!$A$5:$A$1326,0))</f>
        <v>R05</v>
      </c>
      <c r="I1310" t="str">
        <f>INDEX('Match Groups'!$D$5:$D$1326,MATCH(G1310,'Match Groups'!$A$5:$A$1326,0))</f>
        <v>MATCH</v>
      </c>
      <c r="J1310">
        <f>IF(I1310="DUPIMP",0,1)</f>
        <v>1</v>
      </c>
    </row>
    <row r="1311">
      <c r="A1311" t="inlineStr">
        <is>
          <t>BL-00941</t>
        </is>
      </c>
      <c r="B1311" t="inlineStr">
        <is>
          <t>PAY</t>
        </is>
      </c>
      <c r="C1311" s="5" t="n">
        <v>46219</v>
      </c>
      <c r="D1311" t="inlineStr">
        <is>
          <t>SALARY N. REDFERN PR260716</t>
        </is>
      </c>
      <c r="E1311" s="9" t="n">
        <v>-1781.99</v>
      </c>
      <c r="F1311" t="inlineStr">
        <is>
          <t>PAY-20260716</t>
        </is>
      </c>
      <c r="G1311" t="inlineStr">
        <is>
          <t>G00552</t>
        </is>
      </c>
      <c r="H1311" t="str">
        <f>INDEX('Match Groups'!$C$5:$C$1326,MATCH(G1311,'Match Groups'!$A$5:$A$1326,0))</f>
        <v>R05</v>
      </c>
      <c r="I1311" t="str">
        <f>INDEX('Match Groups'!$D$5:$D$1326,MATCH(G1311,'Match Groups'!$A$5:$A$1326,0))</f>
        <v>MATCH</v>
      </c>
      <c r="J1311">
        <f>IF(I1311="DUPIMP",0,1)</f>
        <v>1</v>
      </c>
    </row>
    <row r="1312">
      <c r="A1312" t="inlineStr">
        <is>
          <t>BL-00942</t>
        </is>
      </c>
      <c r="B1312" t="inlineStr">
        <is>
          <t>PAY</t>
        </is>
      </c>
      <c r="C1312" s="5" t="n">
        <v>46223</v>
      </c>
      <c r="D1312" t="inlineStr">
        <is>
          <t>SUPERCHOICE CLEARING PR260716</t>
        </is>
      </c>
      <c r="E1312" s="9" t="n">
        <v>-20607.2</v>
      </c>
      <c r="F1312" t="inlineStr">
        <is>
          <t>PAY-20260720</t>
        </is>
      </c>
      <c r="G1312" t="inlineStr">
        <is>
          <t>G01240</t>
        </is>
      </c>
      <c r="H1312" t="str">
        <f>INDEX('Match Groups'!$C$5:$C$1326,MATCH(G1312,'Match Groups'!$A$5:$A$1326,0))</f>
        <v>R13</v>
      </c>
      <c r="I1312" t="str">
        <f>INDEX('Match Groups'!$D$5:$D$1326,MATCH(G1312,'Match Groups'!$A$5:$A$1326,0))</f>
        <v>MATCH</v>
      </c>
      <c r="J1312">
        <f>IF(I1312="DUPIMP",0,1)</f>
        <v>1</v>
      </c>
    </row>
    <row r="1313">
      <c r="A1313" t="inlineStr">
        <is>
          <t>BL-00943</t>
        </is>
      </c>
      <c r="B1313" t="inlineStr">
        <is>
          <t>PAY</t>
        </is>
      </c>
      <c r="C1313" s="5" t="n">
        <v>46224</v>
      </c>
      <c r="D1313" t="inlineStr">
        <is>
          <t>BPAY ATO PAYG W1</t>
        </is>
      </c>
      <c r="E1313" s="9" t="n">
        <v>-35326.62</v>
      </c>
      <c r="F1313" t="inlineStr">
        <is>
          <t>PAY-20260721</t>
        </is>
      </c>
      <c r="G1313" t="inlineStr">
        <is>
          <t>G01241</t>
        </is>
      </c>
      <c r="H1313" t="str">
        <f>INDEX('Match Groups'!$C$5:$C$1326,MATCH(G1313,'Match Groups'!$A$5:$A$1326,0))</f>
        <v>R13</v>
      </c>
      <c r="I1313" t="str">
        <f>INDEX('Match Groups'!$D$5:$D$1326,MATCH(G1313,'Match Groups'!$A$5:$A$1326,0))</f>
        <v>MATCH</v>
      </c>
      <c r="J1313">
        <f>IF(I1313="DUPIMP",0,1)</f>
        <v>1</v>
      </c>
    </row>
    <row r="1314">
      <c r="A1314" t="inlineStr">
        <is>
          <t>BL-00945</t>
        </is>
      </c>
      <c r="B1314" t="inlineStr">
        <is>
          <t>PAY</t>
        </is>
      </c>
      <c r="C1314" s="5" t="n">
        <v>46232</v>
      </c>
      <c r="D1314" t="inlineStr">
        <is>
          <t>TFR FROM OPERATING PR260730</t>
        </is>
      </c>
      <c r="E1314" s="9" t="n">
        <v>166344.16</v>
      </c>
      <c r="F1314" t="inlineStr">
        <is>
          <t>PAY-20260729</t>
        </is>
      </c>
      <c r="G1314" t="inlineStr">
        <is>
          <t>G00561</t>
        </is>
      </c>
      <c r="H1314" t="str">
        <f>INDEX('Match Groups'!$C$5:$C$1326,MATCH(G1314,'Match Groups'!$A$5:$A$1326,0))</f>
        <v>R04</v>
      </c>
      <c r="I1314" t="str">
        <f>INDEX('Match Groups'!$D$5:$D$1326,MATCH(G1314,'Match Groups'!$A$5:$A$1326,0))</f>
        <v>MATCH</v>
      </c>
      <c r="J1314">
        <f>IF(I1314="DUPIMP",0,1)</f>
        <v>1</v>
      </c>
    </row>
    <row r="1315">
      <c r="A1315" t="inlineStr">
        <is>
          <t>BL-00946</t>
        </is>
      </c>
      <c r="B1315" t="inlineStr">
        <is>
          <t>PAY</t>
        </is>
      </c>
      <c r="C1315" s="5" t="n">
        <v>46233</v>
      </c>
      <c r="D1315" t="inlineStr">
        <is>
          <t>SALARY N. NGUYEN PR260730</t>
        </is>
      </c>
      <c r="E1315" s="9" t="n">
        <v>-1945.25</v>
      </c>
      <c r="F1315" t="inlineStr">
        <is>
          <t>PAY-20260730</t>
        </is>
      </c>
      <c r="G1315" t="inlineStr">
        <is>
          <t>G00553</t>
        </is>
      </c>
      <c r="H1315" t="str">
        <f>INDEX('Match Groups'!$C$5:$C$1326,MATCH(G1315,'Match Groups'!$A$5:$A$1326,0))</f>
        <v>R05</v>
      </c>
      <c r="I1315" t="str">
        <f>INDEX('Match Groups'!$D$5:$D$1326,MATCH(G1315,'Match Groups'!$A$5:$A$1326,0))</f>
        <v>MATCH</v>
      </c>
      <c r="J1315">
        <f>IF(I1315="DUPIMP",0,1)</f>
        <v>1</v>
      </c>
    </row>
    <row r="1316">
      <c r="A1316" t="inlineStr">
        <is>
          <t>BL-00947</t>
        </is>
      </c>
      <c r="B1316" t="inlineStr">
        <is>
          <t>PAY</t>
        </is>
      </c>
      <c r="C1316" s="5" t="n">
        <v>46233</v>
      </c>
      <c r="D1316" t="inlineStr">
        <is>
          <t>SALARY W. OKAFOR PR260730</t>
        </is>
      </c>
      <c r="E1316" s="9" t="n">
        <v>-2580.61</v>
      </c>
      <c r="F1316" t="inlineStr">
        <is>
          <t>PAY-20260730</t>
        </is>
      </c>
      <c r="G1316" t="inlineStr">
        <is>
          <t>G00553</t>
        </is>
      </c>
      <c r="H1316" t="str">
        <f>INDEX('Match Groups'!$C$5:$C$1326,MATCH(G1316,'Match Groups'!$A$5:$A$1326,0))</f>
        <v>R05</v>
      </c>
      <c r="I1316" t="str">
        <f>INDEX('Match Groups'!$D$5:$D$1326,MATCH(G1316,'Match Groups'!$A$5:$A$1326,0))</f>
        <v>MATCH</v>
      </c>
      <c r="J1316">
        <f>IF(I1316="DUPIMP",0,1)</f>
        <v>1</v>
      </c>
    </row>
    <row r="1317">
      <c r="A1317" t="inlineStr">
        <is>
          <t>BL-00948</t>
        </is>
      </c>
      <c r="B1317" t="inlineStr">
        <is>
          <t>PAY</t>
        </is>
      </c>
      <c r="C1317" s="5" t="n">
        <v>46233</v>
      </c>
      <c r="D1317" t="inlineStr">
        <is>
          <t>SALARY L. BRENNAN PR260730</t>
        </is>
      </c>
      <c r="E1317" s="9" t="n">
        <v>-1794.38</v>
      </c>
      <c r="F1317" t="inlineStr">
        <is>
          <t>PAY-20260730</t>
        </is>
      </c>
      <c r="G1317" t="inlineStr">
        <is>
          <t>G00553</t>
        </is>
      </c>
      <c r="H1317" t="str">
        <f>INDEX('Match Groups'!$C$5:$C$1326,MATCH(G1317,'Match Groups'!$A$5:$A$1326,0))</f>
        <v>R05</v>
      </c>
      <c r="I1317" t="str">
        <f>INDEX('Match Groups'!$D$5:$D$1326,MATCH(G1317,'Match Groups'!$A$5:$A$1326,0))</f>
        <v>MATCH</v>
      </c>
      <c r="J1317">
        <f>IF(I1317="DUPIMP",0,1)</f>
        <v>1</v>
      </c>
    </row>
    <row r="1318">
      <c r="A1318" t="inlineStr">
        <is>
          <t>BL-00949</t>
        </is>
      </c>
      <c r="B1318" t="inlineStr">
        <is>
          <t>PAY</t>
        </is>
      </c>
      <c r="C1318" s="5" t="n">
        <v>46233</v>
      </c>
      <c r="D1318" t="inlineStr">
        <is>
          <t>SALARY D. KOWALSKI PR260730</t>
        </is>
      </c>
      <c r="E1318" s="9" t="n">
        <v>-2992.53</v>
      </c>
      <c r="F1318" t="inlineStr">
        <is>
          <t>PAY-20260730</t>
        </is>
      </c>
      <c r="G1318" t="inlineStr">
        <is>
          <t>G00553</t>
        </is>
      </c>
      <c r="H1318" t="str">
        <f>INDEX('Match Groups'!$C$5:$C$1326,MATCH(G1318,'Match Groups'!$A$5:$A$1326,0))</f>
        <v>R05</v>
      </c>
      <c r="I1318" t="str">
        <f>INDEX('Match Groups'!$D$5:$D$1326,MATCH(G1318,'Match Groups'!$A$5:$A$1326,0))</f>
        <v>MATCH</v>
      </c>
      <c r="J1318">
        <f>IF(I1318="DUPIMP",0,1)</f>
        <v>1</v>
      </c>
    </row>
    <row r="1319">
      <c r="A1319" t="inlineStr">
        <is>
          <t>BL-00950</t>
        </is>
      </c>
      <c r="B1319" t="inlineStr">
        <is>
          <t>PAY</t>
        </is>
      </c>
      <c r="C1319" s="5" t="n">
        <v>46233</v>
      </c>
      <c r="D1319" t="inlineStr">
        <is>
          <t>SALARY E. HADDAD PR260730</t>
        </is>
      </c>
      <c r="E1319" s="9" t="n">
        <v>-1694.59</v>
      </c>
      <c r="F1319" t="inlineStr">
        <is>
          <t>PAY-20260730</t>
        </is>
      </c>
      <c r="G1319" t="inlineStr">
        <is>
          <t>G00553</t>
        </is>
      </c>
      <c r="H1319" t="str">
        <f>INDEX('Match Groups'!$C$5:$C$1326,MATCH(G1319,'Match Groups'!$A$5:$A$1326,0))</f>
        <v>R05</v>
      </c>
      <c r="I1319" t="str">
        <f>INDEX('Match Groups'!$D$5:$D$1326,MATCH(G1319,'Match Groups'!$A$5:$A$1326,0))</f>
        <v>MATCH</v>
      </c>
      <c r="J1319">
        <f>IF(I1319="DUPIMP",0,1)</f>
        <v>1</v>
      </c>
    </row>
    <row r="1320">
      <c r="A1320" t="inlineStr">
        <is>
          <t>BL-00951</t>
        </is>
      </c>
      <c r="B1320" t="inlineStr">
        <is>
          <t>PAY</t>
        </is>
      </c>
      <c r="C1320" s="5" t="n">
        <v>46233</v>
      </c>
      <c r="D1320" t="inlineStr">
        <is>
          <t>SALARY D. FITZGERALD PR260730</t>
        </is>
      </c>
      <c r="E1320" s="9" t="n">
        <v>-2793.99</v>
      </c>
      <c r="F1320" t="inlineStr">
        <is>
          <t>PAY-20260730</t>
        </is>
      </c>
      <c r="G1320" t="inlineStr">
        <is>
          <t>G00553</t>
        </is>
      </c>
      <c r="H1320" t="str">
        <f>INDEX('Match Groups'!$C$5:$C$1326,MATCH(G1320,'Match Groups'!$A$5:$A$1326,0))</f>
        <v>R05</v>
      </c>
      <c r="I1320" t="str">
        <f>INDEX('Match Groups'!$D$5:$D$1326,MATCH(G1320,'Match Groups'!$A$5:$A$1326,0))</f>
        <v>MATCH</v>
      </c>
      <c r="J1320">
        <f>IF(I1320="DUPIMP",0,1)</f>
        <v>1</v>
      </c>
    </row>
    <row r="1321">
      <c r="A1321" t="inlineStr">
        <is>
          <t>BL-00952</t>
        </is>
      </c>
      <c r="B1321" t="inlineStr">
        <is>
          <t>PAY</t>
        </is>
      </c>
      <c r="C1321" s="5" t="n">
        <v>46233</v>
      </c>
      <c r="D1321" t="inlineStr">
        <is>
          <t>SALARY N. TRAN PR260730</t>
        </is>
      </c>
      <c r="E1321" s="9" t="n">
        <v>-2335.81</v>
      </c>
      <c r="F1321" t="inlineStr">
        <is>
          <t>PAY-20260730</t>
        </is>
      </c>
      <c r="G1321" t="inlineStr">
        <is>
          <t>G00553</t>
        </is>
      </c>
      <c r="H1321" t="str">
        <f>INDEX('Match Groups'!$C$5:$C$1326,MATCH(G1321,'Match Groups'!$A$5:$A$1326,0))</f>
        <v>R05</v>
      </c>
      <c r="I1321" t="str">
        <f>INDEX('Match Groups'!$D$5:$D$1326,MATCH(G1321,'Match Groups'!$A$5:$A$1326,0))</f>
        <v>MATCH</v>
      </c>
      <c r="J1321">
        <f>IF(I1321="DUPIMP",0,1)</f>
        <v>1</v>
      </c>
    </row>
    <row r="1322">
      <c r="A1322" t="inlineStr">
        <is>
          <t>BL-00953</t>
        </is>
      </c>
      <c r="B1322" t="inlineStr">
        <is>
          <t>PAY</t>
        </is>
      </c>
      <c r="C1322" s="5" t="n">
        <v>46233</v>
      </c>
      <c r="D1322" t="inlineStr">
        <is>
          <t>SALARY A. RAMOS PR260730</t>
        </is>
      </c>
      <c r="E1322" s="9" t="n">
        <v>-3334.36</v>
      </c>
      <c r="F1322" t="inlineStr">
        <is>
          <t>PAY-20260730</t>
        </is>
      </c>
      <c r="G1322" t="inlineStr">
        <is>
          <t>G00553</t>
        </is>
      </c>
      <c r="H1322" t="str">
        <f>INDEX('Match Groups'!$C$5:$C$1326,MATCH(G1322,'Match Groups'!$A$5:$A$1326,0))</f>
        <v>R05</v>
      </c>
      <c r="I1322" t="str">
        <f>INDEX('Match Groups'!$D$5:$D$1326,MATCH(G1322,'Match Groups'!$A$5:$A$1326,0))</f>
        <v>MATCH</v>
      </c>
      <c r="J1322">
        <f>IF(I1322="DUPIMP",0,1)</f>
        <v>1</v>
      </c>
    </row>
    <row r="1323">
      <c r="A1323" t="inlineStr">
        <is>
          <t>BL-00954</t>
        </is>
      </c>
      <c r="B1323" t="inlineStr">
        <is>
          <t>PAY</t>
        </is>
      </c>
      <c r="C1323" s="5" t="n">
        <v>46233</v>
      </c>
      <c r="D1323" t="inlineStr">
        <is>
          <t>SALARY D. LINDQVIST PR260730</t>
        </is>
      </c>
      <c r="E1323" s="9" t="n">
        <v>-1907.37</v>
      </c>
      <c r="F1323" t="inlineStr">
        <is>
          <t>PAY-20260730</t>
        </is>
      </c>
      <c r="G1323" t="inlineStr">
        <is>
          <t>G00553</t>
        </is>
      </c>
      <c r="H1323" t="str">
        <f>INDEX('Match Groups'!$C$5:$C$1326,MATCH(G1323,'Match Groups'!$A$5:$A$1326,0))</f>
        <v>R05</v>
      </c>
      <c r="I1323" t="str">
        <f>INDEX('Match Groups'!$D$5:$D$1326,MATCH(G1323,'Match Groups'!$A$5:$A$1326,0))</f>
        <v>MATCH</v>
      </c>
      <c r="J1323">
        <f>IF(I1323="DUPIMP",0,1)</f>
        <v>1</v>
      </c>
    </row>
    <row r="1324">
      <c r="A1324" t="inlineStr">
        <is>
          <t>BL-00955</t>
        </is>
      </c>
      <c r="B1324" t="inlineStr">
        <is>
          <t>PAY</t>
        </is>
      </c>
      <c r="C1324" s="5" t="n">
        <v>46233</v>
      </c>
      <c r="D1324" t="inlineStr">
        <is>
          <t>SALARY H. MEHTA PR260730</t>
        </is>
      </c>
      <c r="E1324" s="9" t="n">
        <v>-2702.36</v>
      </c>
      <c r="F1324" t="inlineStr">
        <is>
          <t>PAY-20260730</t>
        </is>
      </c>
      <c r="G1324" t="inlineStr">
        <is>
          <t>G00553</t>
        </is>
      </c>
      <c r="H1324" t="str">
        <f>INDEX('Match Groups'!$C$5:$C$1326,MATCH(G1324,'Match Groups'!$A$5:$A$1326,0))</f>
        <v>R05</v>
      </c>
      <c r="I1324" t="str">
        <f>INDEX('Match Groups'!$D$5:$D$1326,MATCH(G1324,'Match Groups'!$A$5:$A$1326,0))</f>
        <v>MATCH</v>
      </c>
      <c r="J1324">
        <f>IF(I1324="DUPIMP",0,1)</f>
        <v>1</v>
      </c>
    </row>
    <row r="1325">
      <c r="A1325" t="inlineStr">
        <is>
          <t>BL-00956</t>
        </is>
      </c>
      <c r="B1325" t="inlineStr">
        <is>
          <t>PAY</t>
        </is>
      </c>
      <c r="C1325" s="5" t="n">
        <v>46233</v>
      </c>
      <c r="D1325" t="inlineStr">
        <is>
          <t>SALARY D. O'ROURKE PR260730</t>
        </is>
      </c>
      <c r="E1325" s="9" t="n">
        <v>-2674.21</v>
      </c>
      <c r="F1325" t="inlineStr">
        <is>
          <t>PAY-20260730</t>
        </is>
      </c>
      <c r="G1325" t="inlineStr">
        <is>
          <t>G00553</t>
        </is>
      </c>
      <c r="H1325" t="str">
        <f>INDEX('Match Groups'!$C$5:$C$1326,MATCH(G1325,'Match Groups'!$A$5:$A$1326,0))</f>
        <v>R05</v>
      </c>
      <c r="I1325" t="str">
        <f>INDEX('Match Groups'!$D$5:$D$1326,MATCH(G1325,'Match Groups'!$A$5:$A$1326,0))</f>
        <v>MATCH</v>
      </c>
      <c r="J1325">
        <f>IF(I1325="DUPIMP",0,1)</f>
        <v>1</v>
      </c>
    </row>
    <row r="1326">
      <c r="A1326" t="inlineStr">
        <is>
          <t>BL-00957</t>
        </is>
      </c>
      <c r="B1326" t="inlineStr">
        <is>
          <t>PAY</t>
        </is>
      </c>
      <c r="C1326" s="5" t="n">
        <v>46233</v>
      </c>
      <c r="D1326" t="inlineStr">
        <is>
          <t>SALARY H. PAPADOPOULOS PR260730</t>
        </is>
      </c>
      <c r="E1326" s="9" t="n">
        <v>-3512.36</v>
      </c>
      <c r="F1326" t="inlineStr">
        <is>
          <t>PAY-20260730</t>
        </is>
      </c>
      <c r="G1326" t="inlineStr">
        <is>
          <t>G00553</t>
        </is>
      </c>
      <c r="H1326" t="str">
        <f>INDEX('Match Groups'!$C$5:$C$1326,MATCH(G1326,'Match Groups'!$A$5:$A$1326,0))</f>
        <v>R05</v>
      </c>
      <c r="I1326" t="str">
        <f>INDEX('Match Groups'!$D$5:$D$1326,MATCH(G1326,'Match Groups'!$A$5:$A$1326,0))</f>
        <v>MATCH</v>
      </c>
      <c r="J1326">
        <f>IF(I1326="DUPIMP",0,1)</f>
        <v>1</v>
      </c>
    </row>
    <row r="1327">
      <c r="A1327" t="inlineStr">
        <is>
          <t>BL-00958</t>
        </is>
      </c>
      <c r="B1327" t="inlineStr">
        <is>
          <t>PAY</t>
        </is>
      </c>
      <c r="C1327" s="5" t="n">
        <v>46233</v>
      </c>
      <c r="D1327" t="inlineStr">
        <is>
          <t>SALARY D. SUTHERLAND PR260730</t>
        </is>
      </c>
      <c r="E1327" s="9" t="n">
        <v>-3294.75</v>
      </c>
      <c r="F1327" t="inlineStr">
        <is>
          <t>PAY-20260730</t>
        </is>
      </c>
      <c r="G1327" t="inlineStr">
        <is>
          <t>G00553</t>
        </is>
      </c>
      <c r="H1327" t="str">
        <f>INDEX('Match Groups'!$C$5:$C$1326,MATCH(G1327,'Match Groups'!$A$5:$A$1326,0))</f>
        <v>R05</v>
      </c>
      <c r="I1327" t="str">
        <f>INDEX('Match Groups'!$D$5:$D$1326,MATCH(G1327,'Match Groups'!$A$5:$A$1326,0))</f>
        <v>MATCH</v>
      </c>
      <c r="J1327">
        <f>IF(I1327="DUPIMP",0,1)</f>
        <v>1</v>
      </c>
    </row>
    <row r="1328">
      <c r="A1328" t="inlineStr">
        <is>
          <t>BL-00959</t>
        </is>
      </c>
      <c r="B1328" t="inlineStr">
        <is>
          <t>PAY</t>
        </is>
      </c>
      <c r="C1328" s="5" t="n">
        <v>46233</v>
      </c>
      <c r="D1328" t="inlineStr">
        <is>
          <t>SALARY C. YAMAMOTO PR260730</t>
        </is>
      </c>
      <c r="E1328" s="9" t="n">
        <v>-1776.56</v>
      </c>
      <c r="F1328" t="inlineStr">
        <is>
          <t>PAY-20260730</t>
        </is>
      </c>
      <c r="G1328" t="inlineStr">
        <is>
          <t>G00553</t>
        </is>
      </c>
      <c r="H1328" t="str">
        <f>INDEX('Match Groups'!$C$5:$C$1326,MATCH(G1328,'Match Groups'!$A$5:$A$1326,0))</f>
        <v>R05</v>
      </c>
      <c r="I1328" t="str">
        <f>INDEX('Match Groups'!$D$5:$D$1326,MATCH(G1328,'Match Groups'!$A$5:$A$1326,0))</f>
        <v>MATCH</v>
      </c>
      <c r="J1328">
        <f>IF(I1328="DUPIMP",0,1)</f>
        <v>1</v>
      </c>
    </row>
    <row r="1329">
      <c r="A1329" t="inlineStr">
        <is>
          <t>BL-00960</t>
        </is>
      </c>
      <c r="B1329" t="inlineStr">
        <is>
          <t>PAY</t>
        </is>
      </c>
      <c r="C1329" s="5" t="n">
        <v>46233</v>
      </c>
      <c r="D1329" t="inlineStr">
        <is>
          <t>SALARY L. ABERNATHY PR260730</t>
        </is>
      </c>
      <c r="E1329" s="9" t="n">
        <v>-3216.51</v>
      </c>
      <c r="F1329" t="inlineStr">
        <is>
          <t>PAY-20260730</t>
        </is>
      </c>
      <c r="G1329" t="inlineStr">
        <is>
          <t>G00553</t>
        </is>
      </c>
      <c r="H1329" t="str">
        <f>INDEX('Match Groups'!$C$5:$C$1326,MATCH(G1329,'Match Groups'!$A$5:$A$1326,0))</f>
        <v>R05</v>
      </c>
      <c r="I1329" t="str">
        <f>INDEX('Match Groups'!$D$5:$D$1326,MATCH(G1329,'Match Groups'!$A$5:$A$1326,0))</f>
        <v>MATCH</v>
      </c>
      <c r="J1329">
        <f>IF(I1329="DUPIMP",0,1)</f>
        <v>1</v>
      </c>
    </row>
    <row r="1330">
      <c r="A1330" t="inlineStr">
        <is>
          <t>BL-00961</t>
        </is>
      </c>
      <c r="B1330" t="inlineStr">
        <is>
          <t>PAY</t>
        </is>
      </c>
      <c r="C1330" s="5" t="n">
        <v>46233</v>
      </c>
      <c r="D1330" t="inlineStr">
        <is>
          <t>SALARY J. CASTELLANO PR260730</t>
        </is>
      </c>
      <c r="E1330" s="9" t="n">
        <v>-2721.89</v>
      </c>
      <c r="F1330" t="inlineStr">
        <is>
          <t>PAY-20260730</t>
        </is>
      </c>
      <c r="G1330" t="inlineStr">
        <is>
          <t>G00553</t>
        </is>
      </c>
      <c r="H1330" t="str">
        <f>INDEX('Match Groups'!$C$5:$C$1326,MATCH(G1330,'Match Groups'!$A$5:$A$1326,0))</f>
        <v>R05</v>
      </c>
      <c r="I1330" t="str">
        <f>INDEX('Match Groups'!$D$5:$D$1326,MATCH(G1330,'Match Groups'!$A$5:$A$1326,0))</f>
        <v>MATCH</v>
      </c>
      <c r="J1330">
        <f>IF(I1330="DUPIMP",0,1)</f>
        <v>1</v>
      </c>
    </row>
    <row r="1331">
      <c r="A1331" t="inlineStr">
        <is>
          <t>BL-00962</t>
        </is>
      </c>
      <c r="B1331" t="inlineStr">
        <is>
          <t>PAY</t>
        </is>
      </c>
      <c r="C1331" s="5" t="n">
        <v>46233</v>
      </c>
      <c r="D1331" t="inlineStr">
        <is>
          <t>SALARY G. DEMPSEY PR260730</t>
        </is>
      </c>
      <c r="E1331" s="9" t="n">
        <v>-1704.65</v>
      </c>
      <c r="F1331" t="inlineStr">
        <is>
          <t>PAY-20260730</t>
        </is>
      </c>
      <c r="G1331" t="inlineStr">
        <is>
          <t>G00553</t>
        </is>
      </c>
      <c r="H1331" t="str">
        <f>INDEX('Match Groups'!$C$5:$C$1326,MATCH(G1331,'Match Groups'!$A$5:$A$1326,0))</f>
        <v>R05</v>
      </c>
      <c r="I1331" t="str">
        <f>INDEX('Match Groups'!$D$5:$D$1326,MATCH(G1331,'Match Groups'!$A$5:$A$1326,0))</f>
        <v>MATCH</v>
      </c>
      <c r="J1331">
        <f>IF(I1331="DUPIMP",0,1)</f>
        <v>1</v>
      </c>
    </row>
    <row r="1332">
      <c r="A1332" t="inlineStr">
        <is>
          <t>BL-00963</t>
        </is>
      </c>
      <c r="B1332" t="inlineStr">
        <is>
          <t>PAY</t>
        </is>
      </c>
      <c r="C1332" s="5" t="n">
        <v>46233</v>
      </c>
      <c r="D1332" t="inlineStr">
        <is>
          <t>SALARY G. ERIKSEN PR260730</t>
        </is>
      </c>
      <c r="E1332" s="9" t="n">
        <v>-1651.27</v>
      </c>
      <c r="F1332" t="inlineStr">
        <is>
          <t>PAY-20260730</t>
        </is>
      </c>
      <c r="G1332" t="inlineStr">
        <is>
          <t>G00553</t>
        </is>
      </c>
      <c r="H1332" t="str">
        <f>INDEX('Match Groups'!$C$5:$C$1326,MATCH(G1332,'Match Groups'!$A$5:$A$1326,0))</f>
        <v>R05</v>
      </c>
      <c r="I1332" t="str">
        <f>INDEX('Match Groups'!$D$5:$D$1326,MATCH(G1332,'Match Groups'!$A$5:$A$1326,0))</f>
        <v>MATCH</v>
      </c>
      <c r="J1332">
        <f>IF(I1332="DUPIMP",0,1)</f>
        <v>1</v>
      </c>
    </row>
    <row r="1333">
      <c r="A1333" t="inlineStr">
        <is>
          <t>BL-00964</t>
        </is>
      </c>
      <c r="B1333" t="inlineStr">
        <is>
          <t>PAY</t>
        </is>
      </c>
      <c r="C1333" s="5" t="n">
        <v>46233</v>
      </c>
      <c r="D1333" t="inlineStr">
        <is>
          <t>SALARY H. FERRARO PR260730</t>
        </is>
      </c>
      <c r="E1333" s="9" t="n">
        <v>-2572.32</v>
      </c>
      <c r="F1333" t="inlineStr">
        <is>
          <t>PAY-20260730</t>
        </is>
      </c>
      <c r="G1333" t="inlineStr">
        <is>
          <t>G00553</t>
        </is>
      </c>
      <c r="H1333" t="str">
        <f>INDEX('Match Groups'!$C$5:$C$1326,MATCH(G1333,'Match Groups'!$A$5:$A$1326,0))</f>
        <v>R05</v>
      </c>
      <c r="I1333" t="str">
        <f>INDEX('Match Groups'!$D$5:$D$1326,MATCH(G1333,'Match Groups'!$A$5:$A$1326,0))</f>
        <v>MATCH</v>
      </c>
      <c r="J1333">
        <f>IF(I1333="DUPIMP",0,1)</f>
        <v>1</v>
      </c>
    </row>
    <row r="1334">
      <c r="A1334" t="inlineStr">
        <is>
          <t>BL-00965</t>
        </is>
      </c>
      <c r="B1334" t="inlineStr">
        <is>
          <t>PAY</t>
        </is>
      </c>
      <c r="C1334" s="5" t="n">
        <v>46233</v>
      </c>
      <c r="D1334" t="inlineStr">
        <is>
          <t>SALARY R. GALLAGHER PR260730</t>
        </is>
      </c>
      <c r="E1334" s="9" t="n">
        <v>-2887.16</v>
      </c>
      <c r="F1334" t="inlineStr">
        <is>
          <t>PAY-20260730</t>
        </is>
      </c>
      <c r="G1334" t="inlineStr">
        <is>
          <t>G00553</t>
        </is>
      </c>
      <c r="H1334" t="str">
        <f>INDEX('Match Groups'!$C$5:$C$1326,MATCH(G1334,'Match Groups'!$A$5:$A$1326,0))</f>
        <v>R05</v>
      </c>
      <c r="I1334" t="str">
        <f>INDEX('Match Groups'!$D$5:$D$1326,MATCH(G1334,'Match Groups'!$A$5:$A$1326,0))</f>
        <v>MATCH</v>
      </c>
      <c r="J1334">
        <f>IF(I1334="DUPIMP",0,1)</f>
        <v>1</v>
      </c>
    </row>
    <row r="1335">
      <c r="A1335" t="inlineStr">
        <is>
          <t>BL-00966</t>
        </is>
      </c>
      <c r="B1335" t="inlineStr">
        <is>
          <t>PAY</t>
        </is>
      </c>
      <c r="C1335" s="5" t="n">
        <v>46233</v>
      </c>
      <c r="D1335" t="inlineStr">
        <is>
          <t>SALARY N. HOSSEINI PR260730</t>
        </is>
      </c>
      <c r="E1335" s="9" t="n">
        <v>-3654.95</v>
      </c>
      <c r="F1335" t="inlineStr">
        <is>
          <t>PAY-20260730</t>
        </is>
      </c>
      <c r="G1335" t="inlineStr">
        <is>
          <t>G00553</t>
        </is>
      </c>
      <c r="H1335" t="str">
        <f>INDEX('Match Groups'!$C$5:$C$1326,MATCH(G1335,'Match Groups'!$A$5:$A$1326,0))</f>
        <v>R05</v>
      </c>
      <c r="I1335" t="str">
        <f>INDEX('Match Groups'!$D$5:$D$1326,MATCH(G1335,'Match Groups'!$A$5:$A$1326,0))</f>
        <v>MATCH</v>
      </c>
      <c r="J1335">
        <f>IF(I1335="DUPIMP",0,1)</f>
        <v>1</v>
      </c>
    </row>
    <row r="1336">
      <c r="A1336" t="inlineStr">
        <is>
          <t>BL-00967</t>
        </is>
      </c>
      <c r="B1336" t="inlineStr">
        <is>
          <t>PAY</t>
        </is>
      </c>
      <c r="C1336" s="5" t="n">
        <v>46233</v>
      </c>
      <c r="D1336" t="inlineStr">
        <is>
          <t>SALARY T. IVANOVA PR260730</t>
        </is>
      </c>
      <c r="E1336" s="9" t="n">
        <v>-3127.61</v>
      </c>
      <c r="F1336" t="inlineStr">
        <is>
          <t>PAY-20260730</t>
        </is>
      </c>
      <c r="G1336" t="inlineStr">
        <is>
          <t>G00553</t>
        </is>
      </c>
      <c r="H1336" t="str">
        <f>INDEX('Match Groups'!$C$5:$C$1326,MATCH(G1336,'Match Groups'!$A$5:$A$1326,0))</f>
        <v>R05</v>
      </c>
      <c r="I1336" t="str">
        <f>INDEX('Match Groups'!$D$5:$D$1326,MATCH(G1336,'Match Groups'!$A$5:$A$1326,0))</f>
        <v>MATCH</v>
      </c>
      <c r="J1336">
        <f>IF(I1336="DUPIMP",0,1)</f>
        <v>1</v>
      </c>
    </row>
    <row r="1337">
      <c r="A1337" t="inlineStr">
        <is>
          <t>BL-00968</t>
        </is>
      </c>
      <c r="B1337" t="inlineStr">
        <is>
          <t>PAY</t>
        </is>
      </c>
      <c r="C1337" s="5" t="n">
        <v>46233</v>
      </c>
      <c r="D1337" t="inlineStr">
        <is>
          <t>SALARY P. JOVANOVIC PR260730</t>
        </is>
      </c>
      <c r="E1337" s="9" t="n">
        <v>-1610.21</v>
      </c>
      <c r="F1337" t="inlineStr">
        <is>
          <t>PAY-20260730</t>
        </is>
      </c>
      <c r="G1337" t="inlineStr">
        <is>
          <t>G00553</t>
        </is>
      </c>
      <c r="H1337" t="str">
        <f>INDEX('Match Groups'!$C$5:$C$1326,MATCH(G1337,'Match Groups'!$A$5:$A$1326,0))</f>
        <v>R05</v>
      </c>
      <c r="I1337" t="str">
        <f>INDEX('Match Groups'!$D$5:$D$1326,MATCH(G1337,'Match Groups'!$A$5:$A$1326,0))</f>
        <v>MATCH</v>
      </c>
      <c r="J1337">
        <f>IF(I1337="DUPIMP",0,1)</f>
        <v>1</v>
      </c>
    </row>
    <row r="1338">
      <c r="A1338" t="inlineStr">
        <is>
          <t>BL-00969</t>
        </is>
      </c>
      <c r="B1338" t="inlineStr">
        <is>
          <t>PAY</t>
        </is>
      </c>
      <c r="C1338" s="5" t="n">
        <v>46233</v>
      </c>
      <c r="D1338" t="inlineStr">
        <is>
          <t>SALARY M. KAUR PR260730</t>
        </is>
      </c>
      <c r="E1338" s="9" t="n">
        <v>-2645.83</v>
      </c>
      <c r="F1338" t="inlineStr">
        <is>
          <t>PAY-20260730</t>
        </is>
      </c>
      <c r="G1338" t="inlineStr">
        <is>
          <t>G00553</t>
        </is>
      </c>
      <c r="H1338" t="str">
        <f>INDEX('Match Groups'!$C$5:$C$1326,MATCH(G1338,'Match Groups'!$A$5:$A$1326,0))</f>
        <v>R05</v>
      </c>
      <c r="I1338" t="str">
        <f>INDEX('Match Groups'!$D$5:$D$1326,MATCH(G1338,'Match Groups'!$A$5:$A$1326,0))</f>
        <v>MATCH</v>
      </c>
      <c r="J1338">
        <f>IF(I1338="DUPIMP",0,1)</f>
        <v>1</v>
      </c>
    </row>
    <row r="1339">
      <c r="A1339" t="inlineStr">
        <is>
          <t>BL-00970</t>
        </is>
      </c>
      <c r="B1339" t="inlineStr">
        <is>
          <t>PAY</t>
        </is>
      </c>
      <c r="C1339" s="5" t="n">
        <v>46233</v>
      </c>
      <c r="D1339" t="inlineStr">
        <is>
          <t>SALARY F. LOMBARDI PR260730</t>
        </is>
      </c>
      <c r="E1339" s="9" t="n">
        <v>-3108.94</v>
      </c>
      <c r="F1339" t="inlineStr">
        <is>
          <t>PAY-20260730</t>
        </is>
      </c>
      <c r="G1339" t="inlineStr">
        <is>
          <t>G00553</t>
        </is>
      </c>
      <c r="H1339" t="str">
        <f>INDEX('Match Groups'!$C$5:$C$1326,MATCH(G1339,'Match Groups'!$A$5:$A$1326,0))</f>
        <v>R05</v>
      </c>
      <c r="I1339" t="str">
        <f>INDEX('Match Groups'!$D$5:$D$1326,MATCH(G1339,'Match Groups'!$A$5:$A$1326,0))</f>
        <v>MATCH</v>
      </c>
      <c r="J1339">
        <f>IF(I1339="DUPIMP",0,1)</f>
        <v>1</v>
      </c>
    </row>
    <row r="1340">
      <c r="A1340" t="inlineStr">
        <is>
          <t>BL-00971</t>
        </is>
      </c>
      <c r="B1340" t="inlineStr">
        <is>
          <t>PAY</t>
        </is>
      </c>
      <c r="C1340" s="5" t="n">
        <v>46233</v>
      </c>
      <c r="D1340" t="inlineStr">
        <is>
          <t>SALARY S. MACINTYRE PR260730</t>
        </is>
      </c>
      <c r="E1340" s="9" t="n">
        <v>-3063.27</v>
      </c>
      <c r="F1340" t="inlineStr">
        <is>
          <t>PAY-20260730</t>
        </is>
      </c>
      <c r="G1340" t="inlineStr">
        <is>
          <t>G00553</t>
        </is>
      </c>
      <c r="H1340" t="str">
        <f>INDEX('Match Groups'!$C$5:$C$1326,MATCH(G1340,'Match Groups'!$A$5:$A$1326,0))</f>
        <v>R05</v>
      </c>
      <c r="I1340" t="str">
        <f>INDEX('Match Groups'!$D$5:$D$1326,MATCH(G1340,'Match Groups'!$A$5:$A$1326,0))</f>
        <v>MATCH</v>
      </c>
      <c r="J1340">
        <f>IF(I1340="DUPIMP",0,1)</f>
        <v>1</v>
      </c>
    </row>
    <row r="1341">
      <c r="A1341" t="inlineStr">
        <is>
          <t>BL-00972</t>
        </is>
      </c>
      <c r="B1341" t="inlineStr">
        <is>
          <t>PAY</t>
        </is>
      </c>
      <c r="C1341" s="5" t="n">
        <v>46233</v>
      </c>
      <c r="D1341" t="inlineStr">
        <is>
          <t>SALARY W. NOVAK PR260730</t>
        </is>
      </c>
      <c r="E1341" s="9" t="n">
        <v>-3078.14</v>
      </c>
      <c r="F1341" t="inlineStr">
        <is>
          <t>PAY-20260730</t>
        </is>
      </c>
      <c r="G1341" t="inlineStr">
        <is>
          <t>G00553</t>
        </is>
      </c>
      <c r="H1341" t="str">
        <f>INDEX('Match Groups'!$C$5:$C$1326,MATCH(G1341,'Match Groups'!$A$5:$A$1326,0))</f>
        <v>R05</v>
      </c>
      <c r="I1341" t="str">
        <f>INDEX('Match Groups'!$D$5:$D$1326,MATCH(G1341,'Match Groups'!$A$5:$A$1326,0))</f>
        <v>MATCH</v>
      </c>
      <c r="J1341">
        <f>IF(I1341="DUPIMP",0,1)</f>
        <v>1</v>
      </c>
    </row>
    <row r="1342">
      <c r="A1342" t="inlineStr">
        <is>
          <t>BL-00973</t>
        </is>
      </c>
      <c r="B1342" t="inlineStr">
        <is>
          <t>PAY</t>
        </is>
      </c>
      <c r="C1342" s="5" t="n">
        <v>46233</v>
      </c>
      <c r="D1342" t="inlineStr">
        <is>
          <t>SALARY D. OYELARAN PR260730</t>
        </is>
      </c>
      <c r="E1342" s="9" t="n">
        <v>-3106.81</v>
      </c>
      <c r="F1342" t="inlineStr">
        <is>
          <t>PAY-20260730</t>
        </is>
      </c>
      <c r="G1342" t="inlineStr">
        <is>
          <t>G00553</t>
        </is>
      </c>
      <c r="H1342" t="str">
        <f>INDEX('Match Groups'!$C$5:$C$1326,MATCH(G1342,'Match Groups'!$A$5:$A$1326,0))</f>
        <v>R05</v>
      </c>
      <c r="I1342" t="str">
        <f>INDEX('Match Groups'!$D$5:$D$1326,MATCH(G1342,'Match Groups'!$A$5:$A$1326,0))</f>
        <v>MATCH</v>
      </c>
      <c r="J1342">
        <f>IF(I1342="DUPIMP",0,1)</f>
        <v>1</v>
      </c>
    </row>
    <row r="1343">
      <c r="A1343" t="inlineStr">
        <is>
          <t>BL-00974</t>
        </is>
      </c>
      <c r="B1343" t="inlineStr">
        <is>
          <t>PAY</t>
        </is>
      </c>
      <c r="C1343" s="5" t="n">
        <v>46233</v>
      </c>
      <c r="D1343" t="inlineStr">
        <is>
          <t>SALARY E. PELLEGRINO PR260730</t>
        </is>
      </c>
      <c r="E1343" s="9" t="n">
        <v>-2228.17</v>
      </c>
      <c r="F1343" t="inlineStr">
        <is>
          <t>PAY-20260730</t>
        </is>
      </c>
      <c r="G1343" t="inlineStr">
        <is>
          <t>G00553</t>
        </is>
      </c>
      <c r="H1343" t="str">
        <f>INDEX('Match Groups'!$C$5:$C$1326,MATCH(G1343,'Match Groups'!$A$5:$A$1326,0))</f>
        <v>R05</v>
      </c>
      <c r="I1343" t="str">
        <f>INDEX('Match Groups'!$D$5:$D$1326,MATCH(G1343,'Match Groups'!$A$5:$A$1326,0))</f>
        <v>MATCH</v>
      </c>
      <c r="J1343">
        <f>IF(I1343="DUPIMP",0,1)</f>
        <v>1</v>
      </c>
    </row>
    <row r="1344">
      <c r="A1344" t="inlineStr">
        <is>
          <t>BL-00975</t>
        </is>
      </c>
      <c r="B1344" t="inlineStr">
        <is>
          <t>PAY</t>
        </is>
      </c>
      <c r="C1344" s="5" t="n">
        <v>46233</v>
      </c>
      <c r="D1344" t="inlineStr">
        <is>
          <t>SALARY T. QUACH PR260730</t>
        </is>
      </c>
      <c r="E1344" s="9" t="n">
        <v>-3147.37</v>
      </c>
      <c r="F1344" t="inlineStr">
        <is>
          <t>PAY-20260730</t>
        </is>
      </c>
      <c r="G1344" t="inlineStr">
        <is>
          <t>G00553</t>
        </is>
      </c>
      <c r="H1344" t="str">
        <f>INDEX('Match Groups'!$C$5:$C$1326,MATCH(G1344,'Match Groups'!$A$5:$A$1326,0))</f>
        <v>R05</v>
      </c>
      <c r="I1344" t="str">
        <f>INDEX('Match Groups'!$D$5:$D$1326,MATCH(G1344,'Match Groups'!$A$5:$A$1326,0))</f>
        <v>MATCH</v>
      </c>
      <c r="J1344">
        <f>IF(I1344="DUPIMP",0,1)</f>
        <v>1</v>
      </c>
    </row>
    <row r="1345">
      <c r="A1345" t="inlineStr">
        <is>
          <t>BL-00976</t>
        </is>
      </c>
      <c r="B1345" t="inlineStr">
        <is>
          <t>PAY</t>
        </is>
      </c>
      <c r="C1345" s="5" t="n">
        <v>46233</v>
      </c>
      <c r="D1345" t="inlineStr">
        <is>
          <t>SALARY S. RASMUSSEN PR260730</t>
        </is>
      </c>
      <c r="E1345" s="9" t="n">
        <v>-2061.44</v>
      </c>
      <c r="F1345" t="inlineStr">
        <is>
          <t>PAY-20260730</t>
        </is>
      </c>
      <c r="G1345" t="inlineStr">
        <is>
          <t>G00553</t>
        </is>
      </c>
      <c r="H1345" t="str">
        <f>INDEX('Match Groups'!$C$5:$C$1326,MATCH(G1345,'Match Groups'!$A$5:$A$1326,0))</f>
        <v>R05</v>
      </c>
      <c r="I1345" t="str">
        <f>INDEX('Match Groups'!$D$5:$D$1326,MATCH(G1345,'Match Groups'!$A$5:$A$1326,0))</f>
        <v>MATCH</v>
      </c>
      <c r="J1345">
        <f>IF(I1345="DUPIMP",0,1)</f>
        <v>1</v>
      </c>
    </row>
    <row r="1346">
      <c r="A1346" t="inlineStr">
        <is>
          <t>BL-00977</t>
        </is>
      </c>
      <c r="B1346" t="inlineStr">
        <is>
          <t>PAY</t>
        </is>
      </c>
      <c r="C1346" s="5" t="n">
        <v>46233</v>
      </c>
      <c r="D1346" t="inlineStr">
        <is>
          <t>SALARY H. SANDOVAL PR260730</t>
        </is>
      </c>
      <c r="E1346" s="9" t="n">
        <v>-3201.32</v>
      </c>
      <c r="F1346" t="inlineStr">
        <is>
          <t>PAY-20260730</t>
        </is>
      </c>
      <c r="G1346" t="inlineStr">
        <is>
          <t>G00553</t>
        </is>
      </c>
      <c r="H1346" t="str">
        <f>INDEX('Match Groups'!$C$5:$C$1326,MATCH(G1346,'Match Groups'!$A$5:$A$1326,0))</f>
        <v>R05</v>
      </c>
      <c r="I1346" t="str">
        <f>INDEX('Match Groups'!$D$5:$D$1326,MATCH(G1346,'Match Groups'!$A$5:$A$1326,0))</f>
        <v>MATCH</v>
      </c>
      <c r="J1346">
        <f>IF(I1346="DUPIMP",0,1)</f>
        <v>1</v>
      </c>
    </row>
    <row r="1347">
      <c r="A1347" t="inlineStr">
        <is>
          <t>BL-00978</t>
        </is>
      </c>
      <c r="B1347" t="inlineStr">
        <is>
          <t>PAY</t>
        </is>
      </c>
      <c r="C1347" s="5" t="n">
        <v>46233</v>
      </c>
      <c r="D1347" t="inlineStr">
        <is>
          <t>SALARY R. TEAGUE PR260730</t>
        </is>
      </c>
      <c r="E1347" s="9" t="n">
        <v>-2033.08</v>
      </c>
      <c r="F1347" t="inlineStr">
        <is>
          <t>PAY-20260730</t>
        </is>
      </c>
      <c r="G1347" t="inlineStr">
        <is>
          <t>G00553</t>
        </is>
      </c>
      <c r="H1347" t="str">
        <f>INDEX('Match Groups'!$C$5:$C$1326,MATCH(G1347,'Match Groups'!$A$5:$A$1326,0))</f>
        <v>R05</v>
      </c>
      <c r="I1347" t="str">
        <f>INDEX('Match Groups'!$D$5:$D$1326,MATCH(G1347,'Match Groups'!$A$5:$A$1326,0))</f>
        <v>MATCH</v>
      </c>
      <c r="J1347">
        <f>IF(I1347="DUPIMP",0,1)</f>
        <v>1</v>
      </c>
    </row>
    <row r="1348">
      <c r="A1348" t="inlineStr">
        <is>
          <t>BL-00979</t>
        </is>
      </c>
      <c r="B1348" t="inlineStr">
        <is>
          <t>PAY</t>
        </is>
      </c>
      <c r="C1348" s="5" t="n">
        <v>46233</v>
      </c>
      <c r="D1348" t="inlineStr">
        <is>
          <t>SALARY M. UPTON PR260730</t>
        </is>
      </c>
      <c r="E1348" s="9" t="n">
        <v>-3443.19</v>
      </c>
      <c r="F1348" t="inlineStr">
        <is>
          <t>PAY-20260730</t>
        </is>
      </c>
      <c r="G1348" t="inlineStr">
        <is>
          <t>G00553</t>
        </is>
      </c>
      <c r="H1348" t="str">
        <f>INDEX('Match Groups'!$C$5:$C$1326,MATCH(G1348,'Match Groups'!$A$5:$A$1326,0))</f>
        <v>R05</v>
      </c>
      <c r="I1348" t="str">
        <f>INDEX('Match Groups'!$D$5:$D$1326,MATCH(G1348,'Match Groups'!$A$5:$A$1326,0))</f>
        <v>MATCH</v>
      </c>
      <c r="J1348">
        <f>IF(I1348="DUPIMP",0,1)</f>
        <v>1</v>
      </c>
    </row>
    <row r="1349">
      <c r="A1349" t="inlineStr">
        <is>
          <t>BL-00980</t>
        </is>
      </c>
      <c r="B1349" t="inlineStr">
        <is>
          <t>PAY</t>
        </is>
      </c>
      <c r="C1349" s="5" t="n">
        <v>46233</v>
      </c>
      <c r="D1349" t="inlineStr">
        <is>
          <t>SALARY K. VASQUEZ PR260730</t>
        </is>
      </c>
      <c r="E1349" s="9" t="n">
        <v>-1592.06</v>
      </c>
      <c r="F1349" t="inlineStr">
        <is>
          <t>PAY-20260730</t>
        </is>
      </c>
      <c r="G1349" t="inlineStr">
        <is>
          <t>G00553</t>
        </is>
      </c>
      <c r="H1349" t="str">
        <f>INDEX('Match Groups'!$C$5:$C$1326,MATCH(G1349,'Match Groups'!$A$5:$A$1326,0))</f>
        <v>R05</v>
      </c>
      <c r="I1349" t="str">
        <f>INDEX('Match Groups'!$D$5:$D$1326,MATCH(G1349,'Match Groups'!$A$5:$A$1326,0))</f>
        <v>MATCH</v>
      </c>
      <c r="J1349">
        <f>IF(I1349="DUPIMP",0,1)</f>
        <v>1</v>
      </c>
    </row>
    <row r="1350">
      <c r="A1350" t="inlineStr">
        <is>
          <t>BL-00981</t>
        </is>
      </c>
      <c r="B1350" t="inlineStr">
        <is>
          <t>PAY</t>
        </is>
      </c>
      <c r="C1350" s="5" t="n">
        <v>46233</v>
      </c>
      <c r="D1350" t="inlineStr">
        <is>
          <t>SALARY M. WHITLOCK PR260730</t>
        </is>
      </c>
      <c r="E1350" s="9" t="n">
        <v>-1728.67</v>
      </c>
      <c r="F1350" t="inlineStr">
        <is>
          <t>PAY-20260730</t>
        </is>
      </c>
      <c r="G1350" t="inlineStr">
        <is>
          <t>G00553</t>
        </is>
      </c>
      <c r="H1350" t="str">
        <f>INDEX('Match Groups'!$C$5:$C$1326,MATCH(G1350,'Match Groups'!$A$5:$A$1326,0))</f>
        <v>R05</v>
      </c>
      <c r="I1350" t="str">
        <f>INDEX('Match Groups'!$D$5:$D$1326,MATCH(G1350,'Match Groups'!$A$5:$A$1326,0))</f>
        <v>MATCH</v>
      </c>
      <c r="J1350">
        <f>IF(I1350="DUPIMP",0,1)</f>
        <v>1</v>
      </c>
    </row>
    <row r="1351">
      <c r="A1351" t="inlineStr">
        <is>
          <t>BL-00982</t>
        </is>
      </c>
      <c r="B1351" t="inlineStr">
        <is>
          <t>PAY</t>
        </is>
      </c>
      <c r="C1351" s="5" t="n">
        <v>46233</v>
      </c>
      <c r="D1351" t="inlineStr">
        <is>
          <t>SALARY P. XU PR260730</t>
        </is>
      </c>
      <c r="E1351" s="9" t="n">
        <v>-1876.44</v>
      </c>
      <c r="F1351" t="inlineStr">
        <is>
          <t>PAY-20260730</t>
        </is>
      </c>
      <c r="G1351" t="inlineStr">
        <is>
          <t>G00553</t>
        </is>
      </c>
      <c r="H1351" t="str">
        <f>INDEX('Match Groups'!$C$5:$C$1326,MATCH(G1351,'Match Groups'!$A$5:$A$1326,0))</f>
        <v>R05</v>
      </c>
      <c r="I1351" t="str">
        <f>INDEX('Match Groups'!$D$5:$D$1326,MATCH(G1351,'Match Groups'!$A$5:$A$1326,0))</f>
        <v>MATCH</v>
      </c>
      <c r="J1351">
        <f>IF(I1351="DUPIMP",0,1)</f>
        <v>1</v>
      </c>
    </row>
    <row r="1352">
      <c r="A1352" t="inlineStr">
        <is>
          <t>BL-00983</t>
        </is>
      </c>
      <c r="B1352" t="inlineStr">
        <is>
          <t>PAY</t>
        </is>
      </c>
      <c r="C1352" s="5" t="n">
        <v>46233</v>
      </c>
      <c r="D1352" t="inlineStr">
        <is>
          <t>SALARY R. YILMAZ PR260730</t>
        </is>
      </c>
      <c r="E1352" s="9" t="n">
        <v>-3175.35</v>
      </c>
      <c r="F1352" t="inlineStr">
        <is>
          <t>PAY-20260730</t>
        </is>
      </c>
      <c r="G1352" t="inlineStr">
        <is>
          <t>G00553</t>
        </is>
      </c>
      <c r="H1352" t="str">
        <f>INDEX('Match Groups'!$C$5:$C$1326,MATCH(G1352,'Match Groups'!$A$5:$A$1326,0))</f>
        <v>R05</v>
      </c>
      <c r="I1352" t="str">
        <f>INDEX('Match Groups'!$D$5:$D$1326,MATCH(G1352,'Match Groups'!$A$5:$A$1326,0))</f>
        <v>MATCH</v>
      </c>
      <c r="J1352">
        <f>IF(I1352="DUPIMP",0,1)</f>
        <v>1</v>
      </c>
    </row>
    <row r="1353">
      <c r="A1353" t="inlineStr">
        <is>
          <t>BL-00984</t>
        </is>
      </c>
      <c r="B1353" t="inlineStr">
        <is>
          <t>PAY</t>
        </is>
      </c>
      <c r="C1353" s="5" t="n">
        <v>46233</v>
      </c>
      <c r="D1353" t="inlineStr">
        <is>
          <t>SALARY E. ZIELINSKI PR260730</t>
        </is>
      </c>
      <c r="E1353" s="9" t="n">
        <v>-2015.76</v>
      </c>
      <c r="F1353" t="inlineStr">
        <is>
          <t>PAY-20260730</t>
        </is>
      </c>
      <c r="G1353" t="inlineStr">
        <is>
          <t>G00553</t>
        </is>
      </c>
      <c r="H1353" t="str">
        <f>INDEX('Match Groups'!$C$5:$C$1326,MATCH(G1353,'Match Groups'!$A$5:$A$1326,0))</f>
        <v>R05</v>
      </c>
      <c r="I1353" t="str">
        <f>INDEX('Match Groups'!$D$5:$D$1326,MATCH(G1353,'Match Groups'!$A$5:$A$1326,0))</f>
        <v>MATCH</v>
      </c>
      <c r="J1353">
        <f>IF(I1353="DUPIMP",0,1)</f>
        <v>1</v>
      </c>
    </row>
    <row r="1354">
      <c r="A1354" t="inlineStr">
        <is>
          <t>BL-00985</t>
        </is>
      </c>
      <c r="B1354" t="inlineStr">
        <is>
          <t>PAY</t>
        </is>
      </c>
      <c r="C1354" s="5" t="n">
        <v>46233</v>
      </c>
      <c r="D1354" t="inlineStr">
        <is>
          <t>SALARY A. ASHBY PR260730</t>
        </is>
      </c>
      <c r="E1354" s="9" t="n">
        <v>-3471.82</v>
      </c>
      <c r="F1354" t="inlineStr">
        <is>
          <t>PAY-20260730</t>
        </is>
      </c>
      <c r="G1354" t="inlineStr">
        <is>
          <t>G00553</t>
        </is>
      </c>
      <c r="H1354" t="str">
        <f>INDEX('Match Groups'!$C$5:$C$1326,MATCH(G1354,'Match Groups'!$A$5:$A$1326,0))</f>
        <v>R05</v>
      </c>
      <c r="I1354" t="str">
        <f>INDEX('Match Groups'!$D$5:$D$1326,MATCH(G1354,'Match Groups'!$A$5:$A$1326,0))</f>
        <v>MATCH</v>
      </c>
      <c r="J1354">
        <f>IF(I1354="DUPIMP",0,1)</f>
        <v>1</v>
      </c>
    </row>
    <row r="1355">
      <c r="A1355" t="inlineStr">
        <is>
          <t>BL-00986</t>
        </is>
      </c>
      <c r="B1355" t="inlineStr">
        <is>
          <t>PAY</t>
        </is>
      </c>
      <c r="C1355" s="5" t="n">
        <v>46233</v>
      </c>
      <c r="D1355" t="inlineStr">
        <is>
          <t>SALARY T. BAROSSA PR260730</t>
        </is>
      </c>
      <c r="E1355" s="9" t="n">
        <v>-2257.26</v>
      </c>
      <c r="F1355" t="inlineStr">
        <is>
          <t>PAY-20260730</t>
        </is>
      </c>
      <c r="G1355" t="inlineStr">
        <is>
          <t>G00553</t>
        </is>
      </c>
      <c r="H1355" t="str">
        <f>INDEX('Match Groups'!$C$5:$C$1326,MATCH(G1355,'Match Groups'!$A$5:$A$1326,0))</f>
        <v>R05</v>
      </c>
      <c r="I1355" t="str">
        <f>INDEX('Match Groups'!$D$5:$D$1326,MATCH(G1355,'Match Groups'!$A$5:$A$1326,0))</f>
        <v>MATCH</v>
      </c>
      <c r="J1355">
        <f>IF(I1355="DUPIMP",0,1)</f>
        <v>1</v>
      </c>
    </row>
    <row r="1356">
      <c r="A1356" t="inlineStr">
        <is>
          <t>BL-00987</t>
        </is>
      </c>
      <c r="B1356" t="inlineStr">
        <is>
          <t>PAY</t>
        </is>
      </c>
      <c r="C1356" s="5" t="n">
        <v>46233</v>
      </c>
      <c r="D1356" t="inlineStr">
        <is>
          <t>SALARY T. COOMBE PR260730</t>
        </is>
      </c>
      <c r="E1356" s="9" t="n">
        <v>-2762.16</v>
      </c>
      <c r="F1356" t="inlineStr">
        <is>
          <t>PAY-20260730</t>
        </is>
      </c>
      <c r="G1356" t="inlineStr">
        <is>
          <t>G00553</t>
        </is>
      </c>
      <c r="H1356" t="str">
        <f>INDEX('Match Groups'!$C$5:$C$1326,MATCH(G1356,'Match Groups'!$A$5:$A$1326,0))</f>
        <v>R05</v>
      </c>
      <c r="I1356" t="str">
        <f>INDEX('Match Groups'!$D$5:$D$1326,MATCH(G1356,'Match Groups'!$A$5:$A$1326,0))</f>
        <v>MATCH</v>
      </c>
      <c r="J1356">
        <f>IF(I1356="DUPIMP",0,1)</f>
        <v>1</v>
      </c>
    </row>
    <row r="1357">
      <c r="A1357" t="inlineStr">
        <is>
          <t>BL-00988</t>
        </is>
      </c>
      <c r="B1357" t="inlineStr">
        <is>
          <t>PAY</t>
        </is>
      </c>
      <c r="C1357" s="5" t="n">
        <v>46233</v>
      </c>
      <c r="D1357" t="inlineStr">
        <is>
          <t>SALARY N. DELACROIX PR260730</t>
        </is>
      </c>
      <c r="E1357" s="9" t="n">
        <v>-3548.28</v>
      </c>
      <c r="F1357" t="inlineStr">
        <is>
          <t>PAY-20260730</t>
        </is>
      </c>
      <c r="G1357" t="inlineStr">
        <is>
          <t>G00553</t>
        </is>
      </c>
      <c r="H1357" t="str">
        <f>INDEX('Match Groups'!$C$5:$C$1326,MATCH(G1357,'Match Groups'!$A$5:$A$1326,0))</f>
        <v>R05</v>
      </c>
      <c r="I1357" t="str">
        <f>INDEX('Match Groups'!$D$5:$D$1326,MATCH(G1357,'Match Groups'!$A$5:$A$1326,0))</f>
        <v>MATCH</v>
      </c>
      <c r="J1357">
        <f>IF(I1357="DUPIMP",0,1)</f>
        <v>1</v>
      </c>
    </row>
    <row r="1358">
      <c r="A1358" t="inlineStr">
        <is>
          <t>BL-00989</t>
        </is>
      </c>
      <c r="B1358" t="inlineStr">
        <is>
          <t>PAY</t>
        </is>
      </c>
      <c r="C1358" s="5" t="n">
        <v>46233</v>
      </c>
      <c r="D1358" t="inlineStr">
        <is>
          <t>SALARY C. ESPOSITO PR260730</t>
        </is>
      </c>
      <c r="E1358" s="9" t="n">
        <v>-3469.81</v>
      </c>
      <c r="F1358" t="inlineStr">
        <is>
          <t>PAY-20260730</t>
        </is>
      </c>
      <c r="G1358" t="inlineStr">
        <is>
          <t>G00553</t>
        </is>
      </c>
      <c r="H1358" t="str">
        <f>INDEX('Match Groups'!$C$5:$C$1326,MATCH(G1358,'Match Groups'!$A$5:$A$1326,0))</f>
        <v>R05</v>
      </c>
      <c r="I1358" t="str">
        <f>INDEX('Match Groups'!$D$5:$D$1326,MATCH(G1358,'Match Groups'!$A$5:$A$1326,0))</f>
        <v>MATCH</v>
      </c>
      <c r="J1358">
        <f>IF(I1358="DUPIMP",0,1)</f>
        <v>1</v>
      </c>
    </row>
    <row r="1359">
      <c r="A1359" t="inlineStr">
        <is>
          <t>BL-00990</t>
        </is>
      </c>
      <c r="B1359" t="inlineStr">
        <is>
          <t>PAY</t>
        </is>
      </c>
      <c r="C1359" s="5" t="n">
        <v>46233</v>
      </c>
      <c r="D1359" t="inlineStr">
        <is>
          <t>SALARY N. FAIRWEATHER PR260730</t>
        </is>
      </c>
      <c r="E1359" s="9" t="n">
        <v>-1913.88</v>
      </c>
      <c r="F1359" t="inlineStr">
        <is>
          <t>PAY-20260730</t>
        </is>
      </c>
      <c r="G1359" t="inlineStr">
        <is>
          <t>G00553</t>
        </is>
      </c>
      <c r="H1359" t="str">
        <f>INDEX('Match Groups'!$C$5:$C$1326,MATCH(G1359,'Match Groups'!$A$5:$A$1326,0))</f>
        <v>R05</v>
      </c>
      <c r="I1359" t="str">
        <f>INDEX('Match Groups'!$D$5:$D$1326,MATCH(G1359,'Match Groups'!$A$5:$A$1326,0))</f>
        <v>MATCH</v>
      </c>
      <c r="J1359">
        <f>IF(I1359="DUPIMP",0,1)</f>
        <v>1</v>
      </c>
    </row>
    <row r="1360">
      <c r="A1360" t="inlineStr">
        <is>
          <t>BL-00991</t>
        </is>
      </c>
      <c r="B1360" t="inlineStr">
        <is>
          <t>PAY</t>
        </is>
      </c>
      <c r="C1360" s="5" t="n">
        <v>46233</v>
      </c>
      <c r="D1360" t="inlineStr">
        <is>
          <t>SALARY T. GRIEVE PR260730</t>
        </is>
      </c>
      <c r="E1360" s="9" t="n">
        <v>-3045.01</v>
      </c>
      <c r="F1360" t="inlineStr">
        <is>
          <t>PAY-20260730</t>
        </is>
      </c>
      <c r="G1360" t="inlineStr">
        <is>
          <t>G00553</t>
        </is>
      </c>
      <c r="H1360" t="str">
        <f>INDEX('Match Groups'!$C$5:$C$1326,MATCH(G1360,'Match Groups'!$A$5:$A$1326,0))</f>
        <v>R05</v>
      </c>
      <c r="I1360" t="str">
        <f>INDEX('Match Groups'!$D$5:$D$1326,MATCH(G1360,'Match Groups'!$A$5:$A$1326,0))</f>
        <v>MATCH</v>
      </c>
      <c r="J1360">
        <f>IF(I1360="DUPIMP",0,1)</f>
        <v>1</v>
      </c>
    </row>
    <row r="1361">
      <c r="A1361" t="inlineStr">
        <is>
          <t>BL-00992</t>
        </is>
      </c>
      <c r="B1361" t="inlineStr">
        <is>
          <t>PAY</t>
        </is>
      </c>
      <c r="C1361" s="5" t="n">
        <v>46233</v>
      </c>
      <c r="D1361" t="inlineStr">
        <is>
          <t>SALARY H. HALLORAN PR260730</t>
        </is>
      </c>
      <c r="E1361" s="9" t="n">
        <v>-2081.49</v>
      </c>
      <c r="F1361" t="inlineStr">
        <is>
          <t>PAY-20260730</t>
        </is>
      </c>
      <c r="G1361" t="inlineStr">
        <is>
          <t>G00553</t>
        </is>
      </c>
      <c r="H1361" t="str">
        <f>INDEX('Match Groups'!$C$5:$C$1326,MATCH(G1361,'Match Groups'!$A$5:$A$1326,0))</f>
        <v>R05</v>
      </c>
      <c r="I1361" t="str">
        <f>INDEX('Match Groups'!$D$5:$D$1326,MATCH(G1361,'Match Groups'!$A$5:$A$1326,0))</f>
        <v>MATCH</v>
      </c>
      <c r="J1361">
        <f>IF(I1361="DUPIMP",0,1)</f>
        <v>1</v>
      </c>
    </row>
    <row r="1362">
      <c r="A1362" t="inlineStr">
        <is>
          <t>BL-00993</t>
        </is>
      </c>
      <c r="B1362" t="inlineStr">
        <is>
          <t>PAY</t>
        </is>
      </c>
      <c r="C1362" s="5" t="n">
        <v>46233</v>
      </c>
      <c r="D1362" t="inlineStr">
        <is>
          <t>SALARY C. IQBAL PR260730</t>
        </is>
      </c>
      <c r="E1362" s="9" t="n">
        <v>-2832.49</v>
      </c>
      <c r="F1362" t="inlineStr">
        <is>
          <t>PAY-20260730</t>
        </is>
      </c>
      <c r="G1362" t="inlineStr">
        <is>
          <t>G00553</t>
        </is>
      </c>
      <c r="H1362" t="str">
        <f>INDEX('Match Groups'!$C$5:$C$1326,MATCH(G1362,'Match Groups'!$A$5:$A$1326,0))</f>
        <v>R05</v>
      </c>
      <c r="I1362" t="str">
        <f>INDEX('Match Groups'!$D$5:$D$1326,MATCH(G1362,'Match Groups'!$A$5:$A$1326,0))</f>
        <v>MATCH</v>
      </c>
      <c r="J1362">
        <f>IF(I1362="DUPIMP",0,1)</f>
        <v>1</v>
      </c>
    </row>
    <row r="1363">
      <c r="A1363" t="inlineStr">
        <is>
          <t>BL-00994</t>
        </is>
      </c>
      <c r="B1363" t="inlineStr">
        <is>
          <t>PAY</t>
        </is>
      </c>
      <c r="C1363" s="5" t="n">
        <v>46233</v>
      </c>
      <c r="D1363" t="inlineStr">
        <is>
          <t>SALARY W. JESSOP PR260730</t>
        </is>
      </c>
      <c r="E1363" s="9" t="n">
        <v>-2827.83</v>
      </c>
      <c r="F1363" t="inlineStr">
        <is>
          <t>PAY-20260730</t>
        </is>
      </c>
      <c r="G1363" t="inlineStr">
        <is>
          <t>G00553</t>
        </is>
      </c>
      <c r="H1363" t="str">
        <f>INDEX('Match Groups'!$C$5:$C$1326,MATCH(G1363,'Match Groups'!$A$5:$A$1326,0))</f>
        <v>R05</v>
      </c>
      <c r="I1363" t="str">
        <f>INDEX('Match Groups'!$D$5:$D$1326,MATCH(G1363,'Match Groups'!$A$5:$A$1326,0))</f>
        <v>MATCH</v>
      </c>
      <c r="J1363">
        <f>IF(I1363="DUPIMP",0,1)</f>
        <v>1</v>
      </c>
    </row>
    <row r="1364">
      <c r="A1364" t="inlineStr">
        <is>
          <t>BL-00995</t>
        </is>
      </c>
      <c r="B1364" t="inlineStr">
        <is>
          <t>PAY</t>
        </is>
      </c>
      <c r="C1364" s="5" t="n">
        <v>46233</v>
      </c>
      <c r="D1364" t="inlineStr">
        <is>
          <t>SALARY K. KERRIGAN PR260730</t>
        </is>
      </c>
      <c r="E1364" s="9" t="n">
        <v>-2494.93</v>
      </c>
      <c r="F1364" t="inlineStr">
        <is>
          <t>PAY-20260730</t>
        </is>
      </c>
      <c r="G1364" t="inlineStr">
        <is>
          <t>G00553</t>
        </is>
      </c>
      <c r="H1364" t="str">
        <f>INDEX('Match Groups'!$C$5:$C$1326,MATCH(G1364,'Match Groups'!$A$5:$A$1326,0))</f>
        <v>R05</v>
      </c>
      <c r="I1364" t="str">
        <f>INDEX('Match Groups'!$D$5:$D$1326,MATCH(G1364,'Match Groups'!$A$5:$A$1326,0))</f>
        <v>MATCH</v>
      </c>
      <c r="J1364">
        <f>IF(I1364="DUPIMP",0,1)</f>
        <v>1</v>
      </c>
    </row>
    <row r="1365">
      <c r="A1365" t="inlineStr">
        <is>
          <t>BL-00996</t>
        </is>
      </c>
      <c r="B1365" t="inlineStr">
        <is>
          <t>PAY</t>
        </is>
      </c>
      <c r="C1365" s="5" t="n">
        <v>46233</v>
      </c>
      <c r="D1365" t="inlineStr">
        <is>
          <t>SALARY D. LACHLAN PR260730</t>
        </is>
      </c>
      <c r="E1365" s="9" t="n">
        <v>-2113.53</v>
      </c>
      <c r="F1365" t="inlineStr">
        <is>
          <t>PAY-20260730</t>
        </is>
      </c>
      <c r="G1365" t="inlineStr">
        <is>
          <t>G00553</t>
        </is>
      </c>
      <c r="H1365" t="str">
        <f>INDEX('Match Groups'!$C$5:$C$1326,MATCH(G1365,'Match Groups'!$A$5:$A$1326,0))</f>
        <v>R05</v>
      </c>
      <c r="I1365" t="str">
        <f>INDEX('Match Groups'!$D$5:$D$1326,MATCH(G1365,'Match Groups'!$A$5:$A$1326,0))</f>
        <v>MATCH</v>
      </c>
      <c r="J1365">
        <f>IF(I1365="DUPIMP",0,1)</f>
        <v>1</v>
      </c>
    </row>
    <row r="1366">
      <c r="A1366" t="inlineStr">
        <is>
          <t>BL-00997</t>
        </is>
      </c>
      <c r="B1366" t="inlineStr">
        <is>
          <t>PAY</t>
        </is>
      </c>
      <c r="C1366" s="5" t="n">
        <v>46233</v>
      </c>
      <c r="D1366" t="inlineStr">
        <is>
          <t>SALARY K. MOREAU PR260730</t>
        </is>
      </c>
      <c r="E1366" s="9" t="n">
        <v>-2831.88</v>
      </c>
      <c r="F1366" t="inlineStr">
        <is>
          <t>PAY-20260730</t>
        </is>
      </c>
      <c r="G1366" t="inlineStr">
        <is>
          <t>G00553</t>
        </is>
      </c>
      <c r="H1366" t="str">
        <f>INDEX('Match Groups'!$C$5:$C$1326,MATCH(G1366,'Match Groups'!$A$5:$A$1326,0))</f>
        <v>R05</v>
      </c>
      <c r="I1366" t="str">
        <f>INDEX('Match Groups'!$D$5:$D$1326,MATCH(G1366,'Match Groups'!$A$5:$A$1326,0))</f>
        <v>MATCH</v>
      </c>
      <c r="J1366">
        <f>IF(I1366="DUPIMP",0,1)</f>
        <v>1</v>
      </c>
    </row>
    <row r="1367">
      <c r="A1367" t="inlineStr">
        <is>
          <t>BL-00998</t>
        </is>
      </c>
      <c r="B1367" t="inlineStr">
        <is>
          <t>PAY</t>
        </is>
      </c>
      <c r="C1367" s="5" t="n">
        <v>46233</v>
      </c>
      <c r="D1367" t="inlineStr">
        <is>
          <t>SALARY E. NAKAMURA PR260730</t>
        </is>
      </c>
      <c r="E1367" s="9" t="n">
        <v>-3721.76</v>
      </c>
      <c r="F1367" t="inlineStr">
        <is>
          <t>PAY-20260730</t>
        </is>
      </c>
      <c r="G1367" t="inlineStr">
        <is>
          <t>G00553</t>
        </is>
      </c>
      <c r="H1367" t="str">
        <f>INDEX('Match Groups'!$C$5:$C$1326,MATCH(G1367,'Match Groups'!$A$5:$A$1326,0))</f>
        <v>R05</v>
      </c>
      <c r="I1367" t="str">
        <f>INDEX('Match Groups'!$D$5:$D$1326,MATCH(G1367,'Match Groups'!$A$5:$A$1326,0))</f>
        <v>MATCH</v>
      </c>
      <c r="J1367">
        <f>IF(I1367="DUPIMP",0,1)</f>
        <v>1</v>
      </c>
    </row>
    <row r="1368">
      <c r="A1368" t="inlineStr">
        <is>
          <t>BL-00999</t>
        </is>
      </c>
      <c r="B1368" t="inlineStr">
        <is>
          <t>PAY</t>
        </is>
      </c>
      <c r="C1368" s="5" t="n">
        <v>46233</v>
      </c>
      <c r="D1368" t="inlineStr">
        <is>
          <t>SALARY C. ORMSBY PR260730</t>
        </is>
      </c>
      <c r="E1368" s="9" t="n">
        <v>-2711.49</v>
      </c>
      <c r="F1368" t="inlineStr">
        <is>
          <t>PAY-20260730</t>
        </is>
      </c>
      <c r="G1368" t="inlineStr">
        <is>
          <t>G00553</t>
        </is>
      </c>
      <c r="H1368" t="str">
        <f>INDEX('Match Groups'!$C$5:$C$1326,MATCH(G1368,'Match Groups'!$A$5:$A$1326,0))</f>
        <v>R05</v>
      </c>
      <c r="I1368" t="str">
        <f>INDEX('Match Groups'!$D$5:$D$1326,MATCH(G1368,'Match Groups'!$A$5:$A$1326,0))</f>
        <v>MATCH</v>
      </c>
      <c r="J1368">
        <f>IF(I1368="DUPIMP",0,1)</f>
        <v>1</v>
      </c>
    </row>
    <row r="1369">
      <c r="A1369" t="inlineStr">
        <is>
          <t>BL-01000</t>
        </is>
      </c>
      <c r="B1369" t="inlineStr">
        <is>
          <t>PAY</t>
        </is>
      </c>
      <c r="C1369" s="5" t="n">
        <v>46233</v>
      </c>
      <c r="D1369" t="inlineStr">
        <is>
          <t>SALARY L. PRENTICE PR260730</t>
        </is>
      </c>
      <c r="E1369" s="9" t="n">
        <v>-2056.8</v>
      </c>
      <c r="F1369" t="inlineStr">
        <is>
          <t>PAY-20260730</t>
        </is>
      </c>
      <c r="G1369" t="inlineStr">
        <is>
          <t>G00553</t>
        </is>
      </c>
      <c r="H1369" t="str">
        <f>INDEX('Match Groups'!$C$5:$C$1326,MATCH(G1369,'Match Groups'!$A$5:$A$1326,0))</f>
        <v>R05</v>
      </c>
      <c r="I1369" t="str">
        <f>INDEX('Match Groups'!$D$5:$D$1326,MATCH(G1369,'Match Groups'!$A$5:$A$1326,0))</f>
        <v>MATCH</v>
      </c>
      <c r="J1369">
        <f>IF(I1369="DUPIMP",0,1)</f>
        <v>1</v>
      </c>
    </row>
    <row r="1370">
      <c r="A1370" t="inlineStr">
        <is>
          <t>BL-01001</t>
        </is>
      </c>
      <c r="B1370" t="inlineStr">
        <is>
          <t>PAY</t>
        </is>
      </c>
      <c r="C1370" s="5" t="n">
        <v>46233</v>
      </c>
      <c r="D1370" t="inlineStr">
        <is>
          <t>SALARY N. REDFERN PR260730</t>
        </is>
      </c>
      <c r="E1370" s="9" t="n">
        <v>-1783.97</v>
      </c>
      <c r="F1370" t="inlineStr">
        <is>
          <t>PAY-20260730</t>
        </is>
      </c>
      <c r="G1370" t="inlineStr">
        <is>
          <t>G00553</t>
        </is>
      </c>
      <c r="H1370" t="str">
        <f>INDEX('Match Groups'!$C$5:$C$1326,MATCH(G1370,'Match Groups'!$A$5:$A$1326,0))</f>
        <v>R05</v>
      </c>
      <c r="I1370" t="str">
        <f>INDEX('Match Groups'!$D$5:$D$1326,MATCH(G1370,'Match Groups'!$A$5:$A$1326,0))</f>
        <v>MATCH</v>
      </c>
      <c r="J1370">
        <f>IF(I1370="DUPIMP",0,1)</f>
        <v>1</v>
      </c>
    </row>
    <row r="1371">
      <c r="A1371" t="inlineStr">
        <is>
          <t>BL-01242</t>
        </is>
      </c>
      <c r="B1371" t="inlineStr">
        <is>
          <t>PAY</t>
        </is>
      </c>
      <c r="C1371" s="5" t="n">
        <v>46234</v>
      </c>
      <c r="D1371" t="inlineStr">
        <is>
          <t>ACCOUNT KEEPING FEE</t>
        </is>
      </c>
      <c r="E1371" s="9" t="n">
        <v>-10</v>
      </c>
      <c r="F1371" t="inlineStr">
        <is>
          <t>PAY-20260731</t>
        </is>
      </c>
      <c r="G1371" t="inlineStr">
        <is>
          <t>G01219</t>
        </is>
      </c>
      <c r="H1371" t="str">
        <f>INDEX('Match Groups'!$C$5:$C$1326,MATCH(G1371,'Match Groups'!$A$5:$A$1326,0))</f>
        <v>R12</v>
      </c>
      <c r="I1371" t="str">
        <f>INDEX('Match Groups'!$D$5:$D$1326,MATCH(G1371,'Match Groups'!$A$5:$A$1326,0))</f>
        <v>FEE</v>
      </c>
      <c r="J1371">
        <f>IF(I1371="DUPIMP",0,1)</f>
        <v>1</v>
      </c>
    </row>
    <row r="1372">
      <c r="A1372" t="inlineStr">
        <is>
          <t>BL-01002</t>
        </is>
      </c>
      <c r="B1372" t="inlineStr">
        <is>
          <t>PAY</t>
        </is>
      </c>
      <c r="C1372" s="5" t="n">
        <v>46238</v>
      </c>
      <c r="D1372" t="inlineStr">
        <is>
          <t>SUPERCHOICE CLEARING PR260730</t>
        </is>
      </c>
      <c r="E1372" s="9" t="n">
        <v>-20428.23</v>
      </c>
      <c r="F1372" t="inlineStr">
        <is>
          <t>PAY-20260804</t>
        </is>
      </c>
      <c r="G1372" t="inlineStr">
        <is>
          <t>G00562</t>
        </is>
      </c>
      <c r="H1372" t="str">
        <f>INDEX('Match Groups'!$C$5:$C$1326,MATCH(G1372,'Match Groups'!$A$5:$A$1326,0))</f>
        <v>R04</v>
      </c>
      <c r="I1372" t="str">
        <f>INDEX('Match Groups'!$D$5:$D$1326,MATCH(G1372,'Match Groups'!$A$5:$A$1326,0))</f>
        <v>MATCH</v>
      </c>
      <c r="J1372">
        <f>IF(I1372="DUPIMP",0,1)</f>
        <v>1</v>
      </c>
    </row>
    <row r="1373">
      <c r="A1373" t="inlineStr">
        <is>
          <t>BL-01004</t>
        </is>
      </c>
      <c r="B1373" t="inlineStr">
        <is>
          <t>PAY</t>
        </is>
      </c>
      <c r="C1373" s="5" t="n">
        <v>46246</v>
      </c>
      <c r="D1373" t="inlineStr">
        <is>
          <t>TFR FROM OPERATING PR260813</t>
        </is>
      </c>
      <c r="E1373" s="9" t="n">
        <v>201473.62</v>
      </c>
      <c r="F1373" t="inlineStr">
        <is>
          <t>PAY-20260812</t>
        </is>
      </c>
      <c r="G1373" t="inlineStr">
        <is>
          <t>G00563</t>
        </is>
      </c>
      <c r="H1373" t="str">
        <f>INDEX('Match Groups'!$C$5:$C$1326,MATCH(G1373,'Match Groups'!$A$5:$A$1326,0))</f>
        <v>R04</v>
      </c>
      <c r="I1373" t="str">
        <f>INDEX('Match Groups'!$D$5:$D$1326,MATCH(G1373,'Match Groups'!$A$5:$A$1326,0))</f>
        <v>MATCH</v>
      </c>
      <c r="J1373">
        <f>IF(I1373="DUPIMP",0,1)</f>
        <v>1</v>
      </c>
    </row>
    <row r="1374">
      <c r="A1374" t="inlineStr">
        <is>
          <t>BL-01005</t>
        </is>
      </c>
      <c r="B1374" t="inlineStr">
        <is>
          <t>PAY</t>
        </is>
      </c>
      <c r="C1374" s="5" t="n">
        <v>46247</v>
      </c>
      <c r="D1374" t="inlineStr">
        <is>
          <t>SALARY N. NGUYEN PR260813</t>
        </is>
      </c>
      <c r="E1374" s="9" t="n">
        <v>-2108.43</v>
      </c>
      <c r="F1374" t="inlineStr">
        <is>
          <t>PAY-20260813</t>
        </is>
      </c>
      <c r="G1374" t="inlineStr">
        <is>
          <t>G00554</t>
        </is>
      </c>
      <c r="H1374" t="str">
        <f>INDEX('Match Groups'!$C$5:$C$1326,MATCH(G1374,'Match Groups'!$A$5:$A$1326,0))</f>
        <v>R05</v>
      </c>
      <c r="I1374" t="str">
        <f>INDEX('Match Groups'!$D$5:$D$1326,MATCH(G1374,'Match Groups'!$A$5:$A$1326,0))</f>
        <v>MATCH</v>
      </c>
      <c r="J1374">
        <f>IF(I1374="DUPIMP",0,1)</f>
        <v>1</v>
      </c>
    </row>
    <row r="1375">
      <c r="A1375" t="inlineStr">
        <is>
          <t>BL-01006</t>
        </is>
      </c>
      <c r="B1375" t="inlineStr">
        <is>
          <t>PAY</t>
        </is>
      </c>
      <c r="C1375" s="5" t="n">
        <v>46247</v>
      </c>
      <c r="D1375" t="inlineStr">
        <is>
          <t>SALARY W. OKAFOR PR260813</t>
        </is>
      </c>
      <c r="E1375" s="9" t="n">
        <v>-2523.79</v>
      </c>
      <c r="F1375" t="inlineStr">
        <is>
          <t>PAY-20260813</t>
        </is>
      </c>
      <c r="G1375" t="inlineStr">
        <is>
          <t>G00554</t>
        </is>
      </c>
      <c r="H1375" t="str">
        <f>INDEX('Match Groups'!$C$5:$C$1326,MATCH(G1375,'Match Groups'!$A$5:$A$1326,0))</f>
        <v>R05</v>
      </c>
      <c r="I1375" t="str">
        <f>INDEX('Match Groups'!$D$5:$D$1326,MATCH(G1375,'Match Groups'!$A$5:$A$1326,0))</f>
        <v>MATCH</v>
      </c>
      <c r="J1375">
        <f>IF(I1375="DUPIMP",0,1)</f>
        <v>1</v>
      </c>
    </row>
    <row r="1376">
      <c r="A1376" t="inlineStr">
        <is>
          <t>BL-01007</t>
        </is>
      </c>
      <c r="B1376" t="inlineStr">
        <is>
          <t>PAY</t>
        </is>
      </c>
      <c r="C1376" s="5" t="n">
        <v>46247</v>
      </c>
      <c r="D1376" t="inlineStr">
        <is>
          <t>SALARY L. BRENNAN PR260813</t>
        </is>
      </c>
      <c r="E1376" s="9" t="n">
        <v>-1788.36</v>
      </c>
      <c r="F1376" t="inlineStr">
        <is>
          <t>PAY-20260813</t>
        </is>
      </c>
      <c r="G1376" t="inlineStr">
        <is>
          <t>G00554</t>
        </is>
      </c>
      <c r="H1376" t="str">
        <f>INDEX('Match Groups'!$C$5:$C$1326,MATCH(G1376,'Match Groups'!$A$5:$A$1326,0))</f>
        <v>R05</v>
      </c>
      <c r="I1376" t="str">
        <f>INDEX('Match Groups'!$D$5:$D$1326,MATCH(G1376,'Match Groups'!$A$5:$A$1326,0))</f>
        <v>MATCH</v>
      </c>
      <c r="J1376">
        <f>IF(I1376="DUPIMP",0,1)</f>
        <v>1</v>
      </c>
    </row>
    <row r="1377">
      <c r="A1377" t="inlineStr">
        <is>
          <t>BL-01008</t>
        </is>
      </c>
      <c r="B1377" t="inlineStr">
        <is>
          <t>PAY</t>
        </is>
      </c>
      <c r="C1377" s="5" t="n">
        <v>46247</v>
      </c>
      <c r="D1377" t="inlineStr">
        <is>
          <t>SALARY D. KOWALSKI PR260813</t>
        </is>
      </c>
      <c r="E1377" s="9" t="n">
        <v>-3177.12</v>
      </c>
      <c r="F1377" t="inlineStr">
        <is>
          <t>PAY-20260813</t>
        </is>
      </c>
      <c r="G1377" t="inlineStr">
        <is>
          <t>G00554</t>
        </is>
      </c>
      <c r="H1377" t="str">
        <f>INDEX('Match Groups'!$C$5:$C$1326,MATCH(G1377,'Match Groups'!$A$5:$A$1326,0))</f>
        <v>R05</v>
      </c>
      <c r="I1377" t="str">
        <f>INDEX('Match Groups'!$D$5:$D$1326,MATCH(G1377,'Match Groups'!$A$5:$A$1326,0))</f>
        <v>MATCH</v>
      </c>
      <c r="J1377">
        <f>IF(I1377="DUPIMP",0,1)</f>
        <v>1</v>
      </c>
    </row>
    <row r="1378">
      <c r="A1378" t="inlineStr">
        <is>
          <t>BL-01009</t>
        </is>
      </c>
      <c r="B1378" t="inlineStr">
        <is>
          <t>PAY</t>
        </is>
      </c>
      <c r="C1378" s="5" t="n">
        <v>46247</v>
      </c>
      <c r="D1378" t="inlineStr">
        <is>
          <t>SALARY E. HADDAD PR260813</t>
        </is>
      </c>
      <c r="E1378" s="9" t="n">
        <v>-1818.97</v>
      </c>
      <c r="F1378" t="inlineStr">
        <is>
          <t>PAY-20260813</t>
        </is>
      </c>
      <c r="G1378" t="inlineStr">
        <is>
          <t>G00554</t>
        </is>
      </c>
      <c r="H1378" t="str">
        <f>INDEX('Match Groups'!$C$5:$C$1326,MATCH(G1378,'Match Groups'!$A$5:$A$1326,0))</f>
        <v>R05</v>
      </c>
      <c r="I1378" t="str">
        <f>INDEX('Match Groups'!$D$5:$D$1326,MATCH(G1378,'Match Groups'!$A$5:$A$1326,0))</f>
        <v>MATCH</v>
      </c>
      <c r="J1378">
        <f>IF(I1378="DUPIMP",0,1)</f>
        <v>1</v>
      </c>
    </row>
    <row r="1379">
      <c r="A1379" t="inlineStr">
        <is>
          <t>BL-01010</t>
        </is>
      </c>
      <c r="B1379" t="inlineStr">
        <is>
          <t>PAY</t>
        </is>
      </c>
      <c r="C1379" s="5" t="n">
        <v>46247</v>
      </c>
      <c r="D1379" t="inlineStr">
        <is>
          <t>SALARY D. FITZGERALD PR260813</t>
        </is>
      </c>
      <c r="E1379" s="9" t="n">
        <v>-2785.66</v>
      </c>
      <c r="F1379" t="inlineStr">
        <is>
          <t>PAY-20260813</t>
        </is>
      </c>
      <c r="G1379" t="inlineStr">
        <is>
          <t>G00554</t>
        </is>
      </c>
      <c r="H1379" t="str">
        <f>INDEX('Match Groups'!$C$5:$C$1326,MATCH(G1379,'Match Groups'!$A$5:$A$1326,0))</f>
        <v>R05</v>
      </c>
      <c r="I1379" t="str">
        <f>INDEX('Match Groups'!$D$5:$D$1326,MATCH(G1379,'Match Groups'!$A$5:$A$1326,0))</f>
        <v>MATCH</v>
      </c>
      <c r="J1379">
        <f>IF(I1379="DUPIMP",0,1)</f>
        <v>1</v>
      </c>
    </row>
    <row r="1380">
      <c r="A1380" t="inlineStr">
        <is>
          <t>BL-01011</t>
        </is>
      </c>
      <c r="B1380" t="inlineStr">
        <is>
          <t>PAY</t>
        </is>
      </c>
      <c r="C1380" s="5" t="n">
        <v>46247</v>
      </c>
      <c r="D1380" t="inlineStr">
        <is>
          <t>SALARY N. TRAN PR260813</t>
        </is>
      </c>
      <c r="E1380" s="9" t="n">
        <v>-2342.52</v>
      </c>
      <c r="F1380" t="inlineStr">
        <is>
          <t>PAY-20260813</t>
        </is>
      </c>
      <c r="G1380" t="inlineStr">
        <is>
          <t>G00554</t>
        </is>
      </c>
      <c r="H1380" t="str">
        <f>INDEX('Match Groups'!$C$5:$C$1326,MATCH(G1380,'Match Groups'!$A$5:$A$1326,0))</f>
        <v>R05</v>
      </c>
      <c r="I1380" t="str">
        <f>INDEX('Match Groups'!$D$5:$D$1326,MATCH(G1380,'Match Groups'!$A$5:$A$1326,0))</f>
        <v>MATCH</v>
      </c>
      <c r="J1380">
        <f>IF(I1380="DUPIMP",0,1)</f>
        <v>1</v>
      </c>
    </row>
    <row r="1381">
      <c r="A1381" t="inlineStr">
        <is>
          <t>BL-01012</t>
        </is>
      </c>
      <c r="B1381" t="inlineStr">
        <is>
          <t>PAY</t>
        </is>
      </c>
      <c r="C1381" s="5" t="n">
        <v>46247</v>
      </c>
      <c r="D1381" t="inlineStr">
        <is>
          <t>SALARY A. RAMOS PR260813</t>
        </is>
      </c>
      <c r="E1381" s="9" t="n">
        <v>-3380.55</v>
      </c>
      <c r="F1381" t="inlineStr">
        <is>
          <t>PAY-20260813</t>
        </is>
      </c>
      <c r="G1381" t="inlineStr">
        <is>
          <t>G00554</t>
        </is>
      </c>
      <c r="H1381" t="str">
        <f>INDEX('Match Groups'!$C$5:$C$1326,MATCH(G1381,'Match Groups'!$A$5:$A$1326,0))</f>
        <v>R05</v>
      </c>
      <c r="I1381" t="str">
        <f>INDEX('Match Groups'!$D$5:$D$1326,MATCH(G1381,'Match Groups'!$A$5:$A$1326,0))</f>
        <v>MATCH</v>
      </c>
      <c r="J1381">
        <f>IF(I1381="DUPIMP",0,1)</f>
        <v>1</v>
      </c>
    </row>
    <row r="1382">
      <c r="A1382" t="inlineStr">
        <is>
          <t>BL-01013</t>
        </is>
      </c>
      <c r="B1382" t="inlineStr">
        <is>
          <t>PAY</t>
        </is>
      </c>
      <c r="C1382" s="5" t="n">
        <v>46247</v>
      </c>
      <c r="D1382" t="inlineStr">
        <is>
          <t>SALARY D. LINDQVIST PR260813</t>
        </is>
      </c>
      <c r="E1382" s="9" t="n">
        <v>-1813.62</v>
      </c>
      <c r="F1382" t="inlineStr">
        <is>
          <t>PAY-20260813</t>
        </is>
      </c>
      <c r="G1382" t="inlineStr">
        <is>
          <t>G00554</t>
        </is>
      </c>
      <c r="H1382" t="str">
        <f>INDEX('Match Groups'!$C$5:$C$1326,MATCH(G1382,'Match Groups'!$A$5:$A$1326,0))</f>
        <v>R05</v>
      </c>
      <c r="I1382" t="str">
        <f>INDEX('Match Groups'!$D$5:$D$1326,MATCH(G1382,'Match Groups'!$A$5:$A$1326,0))</f>
        <v>MATCH</v>
      </c>
      <c r="J1382">
        <f>IF(I1382="DUPIMP",0,1)</f>
        <v>1</v>
      </c>
    </row>
    <row r="1383">
      <c r="A1383" t="inlineStr">
        <is>
          <t>BL-01014</t>
        </is>
      </c>
      <c r="B1383" t="inlineStr">
        <is>
          <t>PAY</t>
        </is>
      </c>
      <c r="C1383" s="5" t="n">
        <v>46247</v>
      </c>
      <c r="D1383" t="inlineStr">
        <is>
          <t>SALARY H. MEHTA PR260813</t>
        </is>
      </c>
      <c r="E1383" s="9" t="n">
        <v>-2623.68</v>
      </c>
      <c r="F1383" t="inlineStr">
        <is>
          <t>PAY-20260813</t>
        </is>
      </c>
      <c r="G1383" t="inlineStr">
        <is>
          <t>G00554</t>
        </is>
      </c>
      <c r="H1383" t="str">
        <f>INDEX('Match Groups'!$C$5:$C$1326,MATCH(G1383,'Match Groups'!$A$5:$A$1326,0))</f>
        <v>R05</v>
      </c>
      <c r="I1383" t="str">
        <f>INDEX('Match Groups'!$D$5:$D$1326,MATCH(G1383,'Match Groups'!$A$5:$A$1326,0))</f>
        <v>MATCH</v>
      </c>
      <c r="J1383">
        <f>IF(I1383="DUPIMP",0,1)</f>
        <v>1</v>
      </c>
    </row>
    <row r="1384">
      <c r="A1384" t="inlineStr">
        <is>
          <t>BL-01015</t>
        </is>
      </c>
      <c r="B1384" t="inlineStr">
        <is>
          <t>PAY</t>
        </is>
      </c>
      <c r="C1384" s="5" t="n">
        <v>46247</v>
      </c>
      <c r="D1384" t="inlineStr">
        <is>
          <t>SALARY D. O'ROURKE PR260813</t>
        </is>
      </c>
      <c r="E1384" s="9" t="n">
        <v>-2740.15</v>
      </c>
      <c r="F1384" t="inlineStr">
        <is>
          <t>PAY-20260813</t>
        </is>
      </c>
      <c r="G1384" t="inlineStr">
        <is>
          <t>G00554</t>
        </is>
      </c>
      <c r="H1384" t="str">
        <f>INDEX('Match Groups'!$C$5:$C$1326,MATCH(G1384,'Match Groups'!$A$5:$A$1326,0))</f>
        <v>R05</v>
      </c>
      <c r="I1384" t="str">
        <f>INDEX('Match Groups'!$D$5:$D$1326,MATCH(G1384,'Match Groups'!$A$5:$A$1326,0))</f>
        <v>MATCH</v>
      </c>
      <c r="J1384">
        <f>IF(I1384="DUPIMP",0,1)</f>
        <v>1</v>
      </c>
    </row>
    <row r="1385">
      <c r="A1385" t="inlineStr">
        <is>
          <t>BL-01016</t>
        </is>
      </c>
      <c r="B1385" t="inlineStr">
        <is>
          <t>PAY</t>
        </is>
      </c>
      <c r="C1385" s="5" t="n">
        <v>46247</v>
      </c>
      <c r="D1385" t="inlineStr">
        <is>
          <t>SALARY H. PAPADOPOULOS PR260813</t>
        </is>
      </c>
      <c r="E1385" s="9" t="n">
        <v>-3342.33</v>
      </c>
      <c r="F1385" t="inlineStr">
        <is>
          <t>PAY-20260813</t>
        </is>
      </c>
      <c r="G1385" t="inlineStr">
        <is>
          <t>G00554</t>
        </is>
      </c>
      <c r="H1385" t="str">
        <f>INDEX('Match Groups'!$C$5:$C$1326,MATCH(G1385,'Match Groups'!$A$5:$A$1326,0))</f>
        <v>R05</v>
      </c>
      <c r="I1385" t="str">
        <f>INDEX('Match Groups'!$D$5:$D$1326,MATCH(G1385,'Match Groups'!$A$5:$A$1326,0))</f>
        <v>MATCH</v>
      </c>
      <c r="J1385">
        <f>IF(I1385="DUPIMP",0,1)</f>
        <v>1</v>
      </c>
    </row>
    <row r="1386">
      <c r="A1386" t="inlineStr">
        <is>
          <t>BL-01017</t>
        </is>
      </c>
      <c r="B1386" t="inlineStr">
        <is>
          <t>PAY</t>
        </is>
      </c>
      <c r="C1386" s="5" t="n">
        <v>46247</v>
      </c>
      <c r="D1386" t="inlineStr">
        <is>
          <t>SALARY D. SUTHERLAND PR260813</t>
        </is>
      </c>
      <c r="E1386" s="9" t="n">
        <v>-3158.66</v>
      </c>
      <c r="F1386" t="inlineStr">
        <is>
          <t>PAY-20260813</t>
        </is>
      </c>
      <c r="G1386" t="inlineStr">
        <is>
          <t>G00554</t>
        </is>
      </c>
      <c r="H1386" t="str">
        <f>INDEX('Match Groups'!$C$5:$C$1326,MATCH(G1386,'Match Groups'!$A$5:$A$1326,0))</f>
        <v>R05</v>
      </c>
      <c r="I1386" t="str">
        <f>INDEX('Match Groups'!$D$5:$D$1326,MATCH(G1386,'Match Groups'!$A$5:$A$1326,0))</f>
        <v>MATCH</v>
      </c>
      <c r="J1386">
        <f>IF(I1386="DUPIMP",0,1)</f>
        <v>1</v>
      </c>
    </row>
    <row r="1387">
      <c r="A1387" t="inlineStr">
        <is>
          <t>BL-01018</t>
        </is>
      </c>
      <c r="B1387" t="inlineStr">
        <is>
          <t>PAY</t>
        </is>
      </c>
      <c r="C1387" s="5" t="n">
        <v>46247</v>
      </c>
      <c r="D1387" t="inlineStr">
        <is>
          <t>SALARY C. YAMAMOTO PR260813</t>
        </is>
      </c>
      <c r="E1387" s="9" t="n">
        <v>-1563.05</v>
      </c>
      <c r="F1387" t="inlineStr">
        <is>
          <t>PAY-20260813</t>
        </is>
      </c>
      <c r="G1387" t="inlineStr">
        <is>
          <t>G00554</t>
        </is>
      </c>
      <c r="H1387" t="str">
        <f>INDEX('Match Groups'!$C$5:$C$1326,MATCH(G1387,'Match Groups'!$A$5:$A$1326,0))</f>
        <v>R05</v>
      </c>
      <c r="I1387" t="str">
        <f>INDEX('Match Groups'!$D$5:$D$1326,MATCH(G1387,'Match Groups'!$A$5:$A$1326,0))</f>
        <v>MATCH</v>
      </c>
      <c r="J1387">
        <f>IF(I1387="DUPIMP",0,1)</f>
        <v>1</v>
      </c>
    </row>
    <row r="1388">
      <c r="A1388" t="inlineStr">
        <is>
          <t>BL-01019</t>
        </is>
      </c>
      <c r="B1388" t="inlineStr">
        <is>
          <t>PAY</t>
        </is>
      </c>
      <c r="C1388" s="5" t="n">
        <v>46247</v>
      </c>
      <c r="D1388" t="inlineStr">
        <is>
          <t>SALARY L. ABERNATHY PR260813</t>
        </is>
      </c>
      <c r="E1388" s="9" t="n">
        <v>-3184.88</v>
      </c>
      <c r="F1388" t="inlineStr">
        <is>
          <t>PAY-20260813</t>
        </is>
      </c>
      <c r="G1388" t="inlineStr">
        <is>
          <t>G00554</t>
        </is>
      </c>
      <c r="H1388" t="str">
        <f>INDEX('Match Groups'!$C$5:$C$1326,MATCH(G1388,'Match Groups'!$A$5:$A$1326,0))</f>
        <v>R05</v>
      </c>
      <c r="I1388" t="str">
        <f>INDEX('Match Groups'!$D$5:$D$1326,MATCH(G1388,'Match Groups'!$A$5:$A$1326,0))</f>
        <v>MATCH</v>
      </c>
      <c r="J1388">
        <f>IF(I1388="DUPIMP",0,1)</f>
        <v>1</v>
      </c>
    </row>
    <row r="1389">
      <c r="A1389" t="inlineStr">
        <is>
          <t>BL-01020</t>
        </is>
      </c>
      <c r="B1389" t="inlineStr">
        <is>
          <t>PAY</t>
        </is>
      </c>
      <c r="C1389" s="5" t="n">
        <v>46247</v>
      </c>
      <c r="D1389" t="inlineStr">
        <is>
          <t>SALARY J. CASTELLANO PR260813</t>
        </is>
      </c>
      <c r="E1389" s="9" t="n">
        <v>-2638.15</v>
      </c>
      <c r="F1389" t="inlineStr">
        <is>
          <t>PAY-20260813</t>
        </is>
      </c>
      <c r="G1389" t="inlineStr">
        <is>
          <t>G00554</t>
        </is>
      </c>
      <c r="H1389" t="str">
        <f>INDEX('Match Groups'!$C$5:$C$1326,MATCH(G1389,'Match Groups'!$A$5:$A$1326,0))</f>
        <v>R05</v>
      </c>
      <c r="I1389" t="str">
        <f>INDEX('Match Groups'!$D$5:$D$1326,MATCH(G1389,'Match Groups'!$A$5:$A$1326,0))</f>
        <v>MATCH</v>
      </c>
      <c r="J1389">
        <f>IF(I1389="DUPIMP",0,1)</f>
        <v>1</v>
      </c>
    </row>
    <row r="1390">
      <c r="A1390" t="inlineStr">
        <is>
          <t>BL-01021</t>
        </is>
      </c>
      <c r="B1390" t="inlineStr">
        <is>
          <t>PAY</t>
        </is>
      </c>
      <c r="C1390" s="5" t="n">
        <v>46247</v>
      </c>
      <c r="D1390" t="inlineStr">
        <is>
          <t>SALARY G. DEMPSEY PR260813</t>
        </is>
      </c>
      <c r="E1390" s="9" t="n">
        <v>-1625.29</v>
      </c>
      <c r="F1390" t="inlineStr">
        <is>
          <t>PAY-20260813</t>
        </is>
      </c>
      <c r="G1390" t="inlineStr">
        <is>
          <t>G00554</t>
        </is>
      </c>
      <c r="H1390" t="str">
        <f>INDEX('Match Groups'!$C$5:$C$1326,MATCH(G1390,'Match Groups'!$A$5:$A$1326,0))</f>
        <v>R05</v>
      </c>
      <c r="I1390" t="str">
        <f>INDEX('Match Groups'!$D$5:$D$1326,MATCH(G1390,'Match Groups'!$A$5:$A$1326,0))</f>
        <v>MATCH</v>
      </c>
      <c r="J1390">
        <f>IF(I1390="DUPIMP",0,1)</f>
        <v>1</v>
      </c>
    </row>
    <row r="1391">
      <c r="A1391" t="inlineStr">
        <is>
          <t>BL-01022</t>
        </is>
      </c>
      <c r="B1391" t="inlineStr">
        <is>
          <t>PAY</t>
        </is>
      </c>
      <c r="C1391" s="5" t="n">
        <v>46247</v>
      </c>
      <c r="D1391" t="inlineStr">
        <is>
          <t>SALARY G. ERIKSEN PR260813</t>
        </is>
      </c>
      <c r="E1391" s="9" t="n">
        <v>-1692.09</v>
      </c>
      <c r="F1391" t="inlineStr">
        <is>
          <t>PAY-20260813</t>
        </is>
      </c>
      <c r="G1391" t="inlineStr">
        <is>
          <t>G00554</t>
        </is>
      </c>
      <c r="H1391" t="str">
        <f>INDEX('Match Groups'!$C$5:$C$1326,MATCH(G1391,'Match Groups'!$A$5:$A$1326,0))</f>
        <v>R05</v>
      </c>
      <c r="I1391" t="str">
        <f>INDEX('Match Groups'!$D$5:$D$1326,MATCH(G1391,'Match Groups'!$A$5:$A$1326,0))</f>
        <v>MATCH</v>
      </c>
      <c r="J1391">
        <f>IF(I1391="DUPIMP",0,1)</f>
        <v>1</v>
      </c>
    </row>
    <row r="1392">
      <c r="A1392" t="inlineStr">
        <is>
          <t>BL-01023</t>
        </is>
      </c>
      <c r="B1392" t="inlineStr">
        <is>
          <t>PAY</t>
        </is>
      </c>
      <c r="C1392" s="5" t="n">
        <v>46247</v>
      </c>
      <c r="D1392" t="inlineStr">
        <is>
          <t>SALARY H. FERRARO PR260813</t>
        </is>
      </c>
      <c r="E1392" s="9" t="n">
        <v>-2477.41</v>
      </c>
      <c r="F1392" t="inlineStr">
        <is>
          <t>PAY-20260813</t>
        </is>
      </c>
      <c r="G1392" t="inlineStr">
        <is>
          <t>G00554</t>
        </is>
      </c>
      <c r="H1392" t="str">
        <f>INDEX('Match Groups'!$C$5:$C$1326,MATCH(G1392,'Match Groups'!$A$5:$A$1326,0))</f>
        <v>R05</v>
      </c>
      <c r="I1392" t="str">
        <f>INDEX('Match Groups'!$D$5:$D$1326,MATCH(G1392,'Match Groups'!$A$5:$A$1326,0))</f>
        <v>MATCH</v>
      </c>
      <c r="J1392">
        <f>IF(I1392="DUPIMP",0,1)</f>
        <v>1</v>
      </c>
    </row>
    <row r="1393">
      <c r="A1393" t="inlineStr">
        <is>
          <t>BL-01024</t>
        </is>
      </c>
      <c r="B1393" t="inlineStr">
        <is>
          <t>PAY</t>
        </is>
      </c>
      <c r="C1393" s="5" t="n">
        <v>46247</v>
      </c>
      <c r="D1393" t="inlineStr">
        <is>
          <t>SALARY R. GALLAGHER PR260813</t>
        </is>
      </c>
      <c r="E1393" s="9" t="n">
        <v>-3006.63</v>
      </c>
      <c r="F1393" t="inlineStr">
        <is>
          <t>PAY-20260813</t>
        </is>
      </c>
      <c r="G1393" t="inlineStr">
        <is>
          <t>G00554</t>
        </is>
      </c>
      <c r="H1393" t="str">
        <f>INDEX('Match Groups'!$C$5:$C$1326,MATCH(G1393,'Match Groups'!$A$5:$A$1326,0))</f>
        <v>R05</v>
      </c>
      <c r="I1393" t="str">
        <f>INDEX('Match Groups'!$D$5:$D$1326,MATCH(G1393,'Match Groups'!$A$5:$A$1326,0))</f>
        <v>MATCH</v>
      </c>
      <c r="J1393">
        <f>IF(I1393="DUPIMP",0,1)</f>
        <v>1</v>
      </c>
    </row>
    <row r="1394">
      <c r="A1394" t="inlineStr">
        <is>
          <t>BL-01025</t>
        </is>
      </c>
      <c r="B1394" t="inlineStr">
        <is>
          <t>PAY</t>
        </is>
      </c>
      <c r="C1394" s="5" t="n">
        <v>46247</v>
      </c>
      <c r="D1394" t="inlineStr">
        <is>
          <t>SALARY N. HOSSEINI PR260813</t>
        </is>
      </c>
      <c r="E1394" s="9" t="n">
        <v>-3460.42</v>
      </c>
      <c r="F1394" t="inlineStr">
        <is>
          <t>PAY-20260813</t>
        </is>
      </c>
      <c r="G1394" t="inlineStr">
        <is>
          <t>G00554</t>
        </is>
      </c>
      <c r="H1394" t="str">
        <f>INDEX('Match Groups'!$C$5:$C$1326,MATCH(G1394,'Match Groups'!$A$5:$A$1326,0))</f>
        <v>R05</v>
      </c>
      <c r="I1394" t="str">
        <f>INDEX('Match Groups'!$D$5:$D$1326,MATCH(G1394,'Match Groups'!$A$5:$A$1326,0))</f>
        <v>MATCH</v>
      </c>
      <c r="J1394">
        <f>IF(I1394="DUPIMP",0,1)</f>
        <v>1</v>
      </c>
    </row>
    <row r="1395">
      <c r="A1395" t="inlineStr">
        <is>
          <t>BL-01026</t>
        </is>
      </c>
      <c r="B1395" t="inlineStr">
        <is>
          <t>PAY</t>
        </is>
      </c>
      <c r="C1395" s="5" t="n">
        <v>46247</v>
      </c>
      <c r="D1395" t="inlineStr">
        <is>
          <t>SALARY T. IVANOVA PR260813</t>
        </is>
      </c>
      <c r="E1395" s="9" t="n">
        <v>-2881.17</v>
      </c>
      <c r="F1395" t="inlineStr">
        <is>
          <t>PAY-20260813</t>
        </is>
      </c>
      <c r="G1395" t="inlineStr">
        <is>
          <t>G00554</t>
        </is>
      </c>
      <c r="H1395" t="str">
        <f>INDEX('Match Groups'!$C$5:$C$1326,MATCH(G1395,'Match Groups'!$A$5:$A$1326,0))</f>
        <v>R05</v>
      </c>
      <c r="I1395" t="str">
        <f>INDEX('Match Groups'!$D$5:$D$1326,MATCH(G1395,'Match Groups'!$A$5:$A$1326,0))</f>
        <v>MATCH</v>
      </c>
      <c r="J1395">
        <f>IF(I1395="DUPIMP",0,1)</f>
        <v>1</v>
      </c>
    </row>
    <row r="1396">
      <c r="A1396" t="inlineStr">
        <is>
          <t>BL-01027</t>
        </is>
      </c>
      <c r="B1396" t="inlineStr">
        <is>
          <t>PAY</t>
        </is>
      </c>
      <c r="C1396" s="5" t="n">
        <v>46247</v>
      </c>
      <c r="D1396" t="inlineStr">
        <is>
          <t>SALARY P. JOVANOVIC PR260813</t>
        </is>
      </c>
      <c r="E1396" s="9" t="n">
        <v>-1805.02</v>
      </c>
      <c r="F1396" t="inlineStr">
        <is>
          <t>PAY-20260813</t>
        </is>
      </c>
      <c r="G1396" t="inlineStr">
        <is>
          <t>G00554</t>
        </is>
      </c>
      <c r="H1396" t="str">
        <f>INDEX('Match Groups'!$C$5:$C$1326,MATCH(G1396,'Match Groups'!$A$5:$A$1326,0))</f>
        <v>R05</v>
      </c>
      <c r="I1396" t="str">
        <f>INDEX('Match Groups'!$D$5:$D$1326,MATCH(G1396,'Match Groups'!$A$5:$A$1326,0))</f>
        <v>MATCH</v>
      </c>
      <c r="J1396">
        <f>IF(I1396="DUPIMP",0,1)</f>
        <v>1</v>
      </c>
    </row>
    <row r="1397">
      <c r="A1397" t="inlineStr">
        <is>
          <t>BL-01028</t>
        </is>
      </c>
      <c r="B1397" t="inlineStr">
        <is>
          <t>PAY</t>
        </is>
      </c>
      <c r="C1397" s="5" t="n">
        <v>46247</v>
      </c>
      <c r="D1397" t="inlineStr">
        <is>
          <t>SALARY M. KAUR PR260813</t>
        </is>
      </c>
      <c r="E1397" s="9" t="n">
        <v>-3124.09</v>
      </c>
      <c r="F1397" t="inlineStr">
        <is>
          <t>PAY-20260813</t>
        </is>
      </c>
      <c r="G1397" t="inlineStr">
        <is>
          <t>G00554</t>
        </is>
      </c>
      <c r="H1397" t="str">
        <f>INDEX('Match Groups'!$C$5:$C$1326,MATCH(G1397,'Match Groups'!$A$5:$A$1326,0))</f>
        <v>R05</v>
      </c>
      <c r="I1397" t="str">
        <f>INDEX('Match Groups'!$D$5:$D$1326,MATCH(G1397,'Match Groups'!$A$5:$A$1326,0))</f>
        <v>MATCH</v>
      </c>
      <c r="J1397">
        <f>IF(I1397="DUPIMP",0,1)</f>
        <v>1</v>
      </c>
    </row>
    <row r="1398">
      <c r="A1398" t="inlineStr">
        <is>
          <t>BL-01029</t>
        </is>
      </c>
      <c r="B1398" t="inlineStr">
        <is>
          <t>PAY</t>
        </is>
      </c>
      <c r="C1398" s="5" t="n">
        <v>46247</v>
      </c>
      <c r="D1398" t="inlineStr">
        <is>
          <t>SALARY F. LOMBARDI PR260813</t>
        </is>
      </c>
      <c r="E1398" s="9" t="n">
        <v>-2982.89</v>
      </c>
      <c r="F1398" t="inlineStr">
        <is>
          <t>PAY-20260813</t>
        </is>
      </c>
      <c r="G1398" t="inlineStr">
        <is>
          <t>G00554</t>
        </is>
      </c>
      <c r="H1398" t="str">
        <f>INDEX('Match Groups'!$C$5:$C$1326,MATCH(G1398,'Match Groups'!$A$5:$A$1326,0))</f>
        <v>R05</v>
      </c>
      <c r="I1398" t="str">
        <f>INDEX('Match Groups'!$D$5:$D$1326,MATCH(G1398,'Match Groups'!$A$5:$A$1326,0))</f>
        <v>MATCH</v>
      </c>
      <c r="J1398">
        <f>IF(I1398="DUPIMP",0,1)</f>
        <v>1</v>
      </c>
    </row>
    <row r="1399">
      <c r="A1399" t="inlineStr">
        <is>
          <t>BL-01030</t>
        </is>
      </c>
      <c r="B1399" t="inlineStr">
        <is>
          <t>PAY</t>
        </is>
      </c>
      <c r="C1399" s="5" t="n">
        <v>46247</v>
      </c>
      <c r="D1399" t="inlineStr">
        <is>
          <t>SALARY S. MACINTYRE PR260813</t>
        </is>
      </c>
      <c r="E1399" s="9" t="n">
        <v>-3209.55</v>
      </c>
      <c r="F1399" t="inlineStr">
        <is>
          <t>PAY-20260813</t>
        </is>
      </c>
      <c r="G1399" t="inlineStr">
        <is>
          <t>G00554</t>
        </is>
      </c>
      <c r="H1399" t="str">
        <f>INDEX('Match Groups'!$C$5:$C$1326,MATCH(G1399,'Match Groups'!$A$5:$A$1326,0))</f>
        <v>R05</v>
      </c>
      <c r="I1399" t="str">
        <f>INDEX('Match Groups'!$D$5:$D$1326,MATCH(G1399,'Match Groups'!$A$5:$A$1326,0))</f>
        <v>MATCH</v>
      </c>
      <c r="J1399">
        <f>IF(I1399="DUPIMP",0,1)</f>
        <v>1</v>
      </c>
    </row>
    <row r="1400">
      <c r="A1400" t="inlineStr">
        <is>
          <t>BL-01031</t>
        </is>
      </c>
      <c r="B1400" t="inlineStr">
        <is>
          <t>PAY</t>
        </is>
      </c>
      <c r="C1400" s="5" t="n">
        <v>46247</v>
      </c>
      <c r="D1400" t="inlineStr">
        <is>
          <t>SALARY W. NOVAK PR260813</t>
        </is>
      </c>
      <c r="E1400" s="9" t="n">
        <v>-3359.01</v>
      </c>
      <c r="F1400" t="inlineStr">
        <is>
          <t>PAY-20260813</t>
        </is>
      </c>
      <c r="G1400" t="inlineStr">
        <is>
          <t>G00554</t>
        </is>
      </c>
      <c r="H1400" t="str">
        <f>INDEX('Match Groups'!$C$5:$C$1326,MATCH(G1400,'Match Groups'!$A$5:$A$1326,0))</f>
        <v>R05</v>
      </c>
      <c r="I1400" t="str">
        <f>INDEX('Match Groups'!$D$5:$D$1326,MATCH(G1400,'Match Groups'!$A$5:$A$1326,0))</f>
        <v>MATCH</v>
      </c>
      <c r="J1400">
        <f>IF(I1400="DUPIMP",0,1)</f>
        <v>1</v>
      </c>
    </row>
    <row r="1401">
      <c r="A1401" t="inlineStr">
        <is>
          <t>BL-01032</t>
        </is>
      </c>
      <c r="B1401" t="inlineStr">
        <is>
          <t>PAY</t>
        </is>
      </c>
      <c r="C1401" s="5" t="n">
        <v>46247</v>
      </c>
      <c r="D1401" t="inlineStr">
        <is>
          <t>SALARY D. OYELARAN PR260813</t>
        </is>
      </c>
      <c r="E1401" s="9" t="n">
        <v>-3160.61</v>
      </c>
      <c r="F1401" t="inlineStr">
        <is>
          <t>PAY-20260813</t>
        </is>
      </c>
      <c r="G1401" t="inlineStr">
        <is>
          <t>G00554</t>
        </is>
      </c>
      <c r="H1401" t="str">
        <f>INDEX('Match Groups'!$C$5:$C$1326,MATCH(G1401,'Match Groups'!$A$5:$A$1326,0))</f>
        <v>R05</v>
      </c>
      <c r="I1401" t="str">
        <f>INDEX('Match Groups'!$D$5:$D$1326,MATCH(G1401,'Match Groups'!$A$5:$A$1326,0))</f>
        <v>MATCH</v>
      </c>
      <c r="J1401">
        <f>IF(I1401="DUPIMP",0,1)</f>
        <v>1</v>
      </c>
    </row>
    <row r="1402">
      <c r="A1402" t="inlineStr">
        <is>
          <t>BL-01033</t>
        </is>
      </c>
      <c r="B1402" t="inlineStr">
        <is>
          <t>PAY</t>
        </is>
      </c>
      <c r="C1402" s="5" t="n">
        <v>46247</v>
      </c>
      <c r="D1402" t="inlineStr">
        <is>
          <t>SALARY E. PELLEGRINO PR260813</t>
        </is>
      </c>
      <c r="E1402" s="9" t="n">
        <v>-2637.08</v>
      </c>
      <c r="F1402" t="inlineStr">
        <is>
          <t>PAY-20260813</t>
        </is>
      </c>
      <c r="G1402" t="inlineStr">
        <is>
          <t>G00554</t>
        </is>
      </c>
      <c r="H1402" t="str">
        <f>INDEX('Match Groups'!$C$5:$C$1326,MATCH(G1402,'Match Groups'!$A$5:$A$1326,0))</f>
        <v>R05</v>
      </c>
      <c r="I1402" t="str">
        <f>INDEX('Match Groups'!$D$5:$D$1326,MATCH(G1402,'Match Groups'!$A$5:$A$1326,0))</f>
        <v>MATCH</v>
      </c>
      <c r="J1402">
        <f>IF(I1402="DUPIMP",0,1)</f>
        <v>1</v>
      </c>
    </row>
    <row r="1403">
      <c r="A1403" t="inlineStr">
        <is>
          <t>BL-01034</t>
        </is>
      </c>
      <c r="B1403" t="inlineStr">
        <is>
          <t>PAY</t>
        </is>
      </c>
      <c r="C1403" s="5" t="n">
        <v>46247</v>
      </c>
      <c r="D1403" t="inlineStr">
        <is>
          <t>SALARY T. QUACH PR260813</t>
        </is>
      </c>
      <c r="E1403" s="9" t="n">
        <v>-3311.62</v>
      </c>
      <c r="F1403" t="inlineStr">
        <is>
          <t>PAY-20260813</t>
        </is>
      </c>
      <c r="G1403" t="inlineStr">
        <is>
          <t>G00554</t>
        </is>
      </c>
      <c r="H1403" t="str">
        <f>INDEX('Match Groups'!$C$5:$C$1326,MATCH(G1403,'Match Groups'!$A$5:$A$1326,0))</f>
        <v>R05</v>
      </c>
      <c r="I1403" t="str">
        <f>INDEX('Match Groups'!$D$5:$D$1326,MATCH(G1403,'Match Groups'!$A$5:$A$1326,0))</f>
        <v>MATCH</v>
      </c>
      <c r="J1403">
        <f>IF(I1403="DUPIMP",0,1)</f>
        <v>1</v>
      </c>
    </row>
    <row r="1404">
      <c r="A1404" t="inlineStr">
        <is>
          <t>BL-01035</t>
        </is>
      </c>
      <c r="B1404" t="inlineStr">
        <is>
          <t>PAY</t>
        </is>
      </c>
      <c r="C1404" s="5" t="n">
        <v>46247</v>
      </c>
      <c r="D1404" t="inlineStr">
        <is>
          <t>SALARY S. RASMUSSEN PR260813</t>
        </is>
      </c>
      <c r="E1404" s="9" t="n">
        <v>-1801.54</v>
      </c>
      <c r="F1404" t="inlineStr">
        <is>
          <t>PAY-20260813</t>
        </is>
      </c>
      <c r="G1404" t="inlineStr">
        <is>
          <t>G00554</t>
        </is>
      </c>
      <c r="H1404" t="str">
        <f>INDEX('Match Groups'!$C$5:$C$1326,MATCH(G1404,'Match Groups'!$A$5:$A$1326,0))</f>
        <v>R05</v>
      </c>
      <c r="I1404" t="str">
        <f>INDEX('Match Groups'!$D$5:$D$1326,MATCH(G1404,'Match Groups'!$A$5:$A$1326,0))</f>
        <v>MATCH</v>
      </c>
      <c r="J1404">
        <f>IF(I1404="DUPIMP",0,1)</f>
        <v>1</v>
      </c>
    </row>
    <row r="1405">
      <c r="A1405" t="inlineStr">
        <is>
          <t>BL-01036</t>
        </is>
      </c>
      <c r="B1405" t="inlineStr">
        <is>
          <t>PAY</t>
        </is>
      </c>
      <c r="C1405" s="5" t="n">
        <v>46247</v>
      </c>
      <c r="D1405" t="inlineStr">
        <is>
          <t>SALARY H. SANDOVAL PR260813</t>
        </is>
      </c>
      <c r="E1405" s="9" t="n">
        <v>-3270.19</v>
      </c>
      <c r="F1405" t="inlineStr">
        <is>
          <t>PAY-20260813</t>
        </is>
      </c>
      <c r="G1405" t="inlineStr">
        <is>
          <t>G00554</t>
        </is>
      </c>
      <c r="H1405" t="str">
        <f>INDEX('Match Groups'!$C$5:$C$1326,MATCH(G1405,'Match Groups'!$A$5:$A$1326,0))</f>
        <v>R05</v>
      </c>
      <c r="I1405" t="str">
        <f>INDEX('Match Groups'!$D$5:$D$1326,MATCH(G1405,'Match Groups'!$A$5:$A$1326,0))</f>
        <v>MATCH</v>
      </c>
      <c r="J1405">
        <f>IF(I1405="DUPIMP",0,1)</f>
        <v>1</v>
      </c>
    </row>
    <row r="1406">
      <c r="A1406" t="inlineStr">
        <is>
          <t>BL-01037</t>
        </is>
      </c>
      <c r="B1406" t="inlineStr">
        <is>
          <t>PAY</t>
        </is>
      </c>
      <c r="C1406" s="5" t="n">
        <v>46247</v>
      </c>
      <c r="D1406" t="inlineStr">
        <is>
          <t>SALARY R. TEAGUE PR260813</t>
        </is>
      </c>
      <c r="E1406" s="9" t="n">
        <v>-1888.87</v>
      </c>
      <c r="F1406" t="inlineStr">
        <is>
          <t>PAY-20260813</t>
        </is>
      </c>
      <c r="G1406" t="inlineStr">
        <is>
          <t>G00554</t>
        </is>
      </c>
      <c r="H1406" t="str">
        <f>INDEX('Match Groups'!$C$5:$C$1326,MATCH(G1406,'Match Groups'!$A$5:$A$1326,0))</f>
        <v>R05</v>
      </c>
      <c r="I1406" t="str">
        <f>INDEX('Match Groups'!$D$5:$D$1326,MATCH(G1406,'Match Groups'!$A$5:$A$1326,0))</f>
        <v>MATCH</v>
      </c>
      <c r="J1406">
        <f>IF(I1406="DUPIMP",0,1)</f>
        <v>1</v>
      </c>
    </row>
    <row r="1407">
      <c r="A1407" t="inlineStr">
        <is>
          <t>BL-01038</t>
        </is>
      </c>
      <c r="B1407" t="inlineStr">
        <is>
          <t>PAY</t>
        </is>
      </c>
      <c r="C1407" s="5" t="n">
        <v>46247</v>
      </c>
      <c r="D1407" t="inlineStr">
        <is>
          <t>SALARY M. UPTON PR260813</t>
        </is>
      </c>
      <c r="E1407" s="9" t="n">
        <v>-3677.92</v>
      </c>
      <c r="F1407" t="inlineStr">
        <is>
          <t>PAY-20260813</t>
        </is>
      </c>
      <c r="G1407" t="inlineStr">
        <is>
          <t>G00554</t>
        </is>
      </c>
      <c r="H1407" t="str">
        <f>INDEX('Match Groups'!$C$5:$C$1326,MATCH(G1407,'Match Groups'!$A$5:$A$1326,0))</f>
        <v>R05</v>
      </c>
      <c r="I1407" t="str">
        <f>INDEX('Match Groups'!$D$5:$D$1326,MATCH(G1407,'Match Groups'!$A$5:$A$1326,0))</f>
        <v>MATCH</v>
      </c>
      <c r="J1407">
        <f>IF(I1407="DUPIMP",0,1)</f>
        <v>1</v>
      </c>
    </row>
    <row r="1408">
      <c r="A1408" t="inlineStr">
        <is>
          <t>BL-01039</t>
        </is>
      </c>
      <c r="B1408" t="inlineStr">
        <is>
          <t>PAY</t>
        </is>
      </c>
      <c r="C1408" s="5" t="n">
        <v>46247</v>
      </c>
      <c r="D1408" t="inlineStr">
        <is>
          <t>SALARY K. VASQUEZ PR260813</t>
        </is>
      </c>
      <c r="E1408" s="9" t="n">
        <v>-1574.74</v>
      </c>
      <c r="F1408" t="inlineStr">
        <is>
          <t>PAY-20260813</t>
        </is>
      </c>
      <c r="G1408" t="inlineStr">
        <is>
          <t>G00554</t>
        </is>
      </c>
      <c r="H1408" t="str">
        <f>INDEX('Match Groups'!$C$5:$C$1326,MATCH(G1408,'Match Groups'!$A$5:$A$1326,0))</f>
        <v>R05</v>
      </c>
      <c r="I1408" t="str">
        <f>INDEX('Match Groups'!$D$5:$D$1326,MATCH(G1408,'Match Groups'!$A$5:$A$1326,0))</f>
        <v>MATCH</v>
      </c>
      <c r="J1408">
        <f>IF(I1408="DUPIMP",0,1)</f>
        <v>1</v>
      </c>
    </row>
    <row r="1409">
      <c r="A1409" t="inlineStr">
        <is>
          <t>BL-01040</t>
        </is>
      </c>
      <c r="B1409" t="inlineStr">
        <is>
          <t>PAY</t>
        </is>
      </c>
      <c r="C1409" s="5" t="n">
        <v>46247</v>
      </c>
      <c r="D1409" t="inlineStr">
        <is>
          <t>SALARY M. WHITLOCK PR260813</t>
        </is>
      </c>
      <c r="E1409" s="9" t="n">
        <v>-1605.35</v>
      </c>
      <c r="F1409" t="inlineStr">
        <is>
          <t>PAY-20260813</t>
        </is>
      </c>
      <c r="G1409" t="inlineStr">
        <is>
          <t>G00554</t>
        </is>
      </c>
      <c r="H1409" t="str">
        <f>INDEX('Match Groups'!$C$5:$C$1326,MATCH(G1409,'Match Groups'!$A$5:$A$1326,0))</f>
        <v>R05</v>
      </c>
      <c r="I1409" t="str">
        <f>INDEX('Match Groups'!$D$5:$D$1326,MATCH(G1409,'Match Groups'!$A$5:$A$1326,0))</f>
        <v>MATCH</v>
      </c>
      <c r="J1409">
        <f>IF(I1409="DUPIMP",0,1)</f>
        <v>1</v>
      </c>
    </row>
    <row r="1410">
      <c r="A1410" t="inlineStr">
        <is>
          <t>BL-01041</t>
        </is>
      </c>
      <c r="B1410" t="inlineStr">
        <is>
          <t>PAY</t>
        </is>
      </c>
      <c r="C1410" s="5" t="n">
        <v>46247</v>
      </c>
      <c r="D1410" t="inlineStr">
        <is>
          <t>SALARY P. XU PR260813</t>
        </is>
      </c>
      <c r="E1410" s="9" t="n">
        <v>-1699.32</v>
      </c>
      <c r="F1410" t="inlineStr">
        <is>
          <t>PAY-20260813</t>
        </is>
      </c>
      <c r="G1410" t="inlineStr">
        <is>
          <t>G00554</t>
        </is>
      </c>
      <c r="H1410" t="str">
        <f>INDEX('Match Groups'!$C$5:$C$1326,MATCH(G1410,'Match Groups'!$A$5:$A$1326,0))</f>
        <v>R05</v>
      </c>
      <c r="I1410" t="str">
        <f>INDEX('Match Groups'!$D$5:$D$1326,MATCH(G1410,'Match Groups'!$A$5:$A$1326,0))</f>
        <v>MATCH</v>
      </c>
      <c r="J1410">
        <f>IF(I1410="DUPIMP",0,1)</f>
        <v>1</v>
      </c>
    </row>
    <row r="1411">
      <c r="A1411" t="inlineStr">
        <is>
          <t>BL-01042</t>
        </is>
      </c>
      <c r="B1411" t="inlineStr">
        <is>
          <t>PAY</t>
        </is>
      </c>
      <c r="C1411" s="5" t="n">
        <v>46247</v>
      </c>
      <c r="D1411" t="inlineStr">
        <is>
          <t>SALARY R. YILMAZ PR260813</t>
        </is>
      </c>
      <c r="E1411" s="9" t="n">
        <v>-3293.27</v>
      </c>
      <c r="F1411" t="inlineStr">
        <is>
          <t>PAY-20260813</t>
        </is>
      </c>
      <c r="G1411" t="inlineStr">
        <is>
          <t>G00554</t>
        </is>
      </c>
      <c r="H1411" t="str">
        <f>INDEX('Match Groups'!$C$5:$C$1326,MATCH(G1411,'Match Groups'!$A$5:$A$1326,0))</f>
        <v>R05</v>
      </c>
      <c r="I1411" t="str">
        <f>INDEX('Match Groups'!$D$5:$D$1326,MATCH(G1411,'Match Groups'!$A$5:$A$1326,0))</f>
        <v>MATCH</v>
      </c>
      <c r="J1411">
        <f>IF(I1411="DUPIMP",0,1)</f>
        <v>1</v>
      </c>
    </row>
    <row r="1412">
      <c r="A1412" t="inlineStr">
        <is>
          <t>BL-01043</t>
        </is>
      </c>
      <c r="B1412" t="inlineStr">
        <is>
          <t>PAY</t>
        </is>
      </c>
      <c r="C1412" s="5" t="n">
        <v>46247</v>
      </c>
      <c r="D1412" t="inlineStr">
        <is>
          <t>SALARY E. ZIELINSKI PR260813</t>
        </is>
      </c>
      <c r="E1412" s="9" t="n">
        <v>-2080.53</v>
      </c>
      <c r="F1412" t="inlineStr">
        <is>
          <t>PAY-20260813</t>
        </is>
      </c>
      <c r="G1412" t="inlineStr">
        <is>
          <t>G00554</t>
        </is>
      </c>
      <c r="H1412" t="str">
        <f>INDEX('Match Groups'!$C$5:$C$1326,MATCH(G1412,'Match Groups'!$A$5:$A$1326,0))</f>
        <v>R05</v>
      </c>
      <c r="I1412" t="str">
        <f>INDEX('Match Groups'!$D$5:$D$1326,MATCH(G1412,'Match Groups'!$A$5:$A$1326,0))</f>
        <v>MATCH</v>
      </c>
      <c r="J1412">
        <f>IF(I1412="DUPIMP",0,1)</f>
        <v>1</v>
      </c>
    </row>
    <row r="1413">
      <c r="A1413" t="inlineStr">
        <is>
          <t>BL-01044</t>
        </is>
      </c>
      <c r="B1413" t="inlineStr">
        <is>
          <t>PAY</t>
        </is>
      </c>
      <c r="C1413" s="5" t="n">
        <v>46247</v>
      </c>
      <c r="D1413" t="inlineStr">
        <is>
          <t>SALARY A. ASHBY PR260813</t>
        </is>
      </c>
      <c r="E1413" s="9" t="n">
        <v>-3254.25</v>
      </c>
      <c r="F1413" t="inlineStr">
        <is>
          <t>PAY-20260813</t>
        </is>
      </c>
      <c r="G1413" t="inlineStr">
        <is>
          <t>G00554</t>
        </is>
      </c>
      <c r="H1413" t="str">
        <f>INDEX('Match Groups'!$C$5:$C$1326,MATCH(G1413,'Match Groups'!$A$5:$A$1326,0))</f>
        <v>R05</v>
      </c>
      <c r="I1413" t="str">
        <f>INDEX('Match Groups'!$D$5:$D$1326,MATCH(G1413,'Match Groups'!$A$5:$A$1326,0))</f>
        <v>MATCH</v>
      </c>
      <c r="J1413">
        <f>IF(I1413="DUPIMP",0,1)</f>
        <v>1</v>
      </c>
    </row>
    <row r="1414">
      <c r="A1414" t="inlineStr">
        <is>
          <t>BL-01045</t>
        </is>
      </c>
      <c r="B1414" t="inlineStr">
        <is>
          <t>PAY</t>
        </is>
      </c>
      <c r="C1414" s="5" t="n">
        <v>46247</v>
      </c>
      <c r="D1414" t="inlineStr">
        <is>
          <t>SALARY T. BAROSSA PR260813</t>
        </is>
      </c>
      <c r="E1414" s="9" t="n">
        <v>-2097.62</v>
      </c>
      <c r="F1414" t="inlineStr">
        <is>
          <t>PAY-20260813</t>
        </is>
      </c>
      <c r="G1414" t="inlineStr">
        <is>
          <t>G00554</t>
        </is>
      </c>
      <c r="H1414" t="str">
        <f>INDEX('Match Groups'!$C$5:$C$1326,MATCH(G1414,'Match Groups'!$A$5:$A$1326,0))</f>
        <v>R05</v>
      </c>
      <c r="I1414" t="str">
        <f>INDEX('Match Groups'!$D$5:$D$1326,MATCH(G1414,'Match Groups'!$A$5:$A$1326,0))</f>
        <v>MATCH</v>
      </c>
      <c r="J1414">
        <f>IF(I1414="DUPIMP",0,1)</f>
        <v>1</v>
      </c>
    </row>
    <row r="1415">
      <c r="A1415" t="inlineStr">
        <is>
          <t>BL-01046</t>
        </is>
      </c>
      <c r="B1415" t="inlineStr">
        <is>
          <t>PAY</t>
        </is>
      </c>
      <c r="C1415" s="5" t="n">
        <v>46247</v>
      </c>
      <c r="D1415" t="inlineStr">
        <is>
          <t>SALARY T. COOMBE PR260813</t>
        </is>
      </c>
      <c r="E1415" s="9" t="n">
        <v>-2418.47</v>
      </c>
      <c r="F1415" t="inlineStr">
        <is>
          <t>PAY-20260813</t>
        </is>
      </c>
      <c r="G1415" t="inlineStr">
        <is>
          <t>G00554</t>
        </is>
      </c>
      <c r="H1415" t="str">
        <f>INDEX('Match Groups'!$C$5:$C$1326,MATCH(G1415,'Match Groups'!$A$5:$A$1326,0))</f>
        <v>R05</v>
      </c>
      <c r="I1415" t="str">
        <f>INDEX('Match Groups'!$D$5:$D$1326,MATCH(G1415,'Match Groups'!$A$5:$A$1326,0))</f>
        <v>MATCH</v>
      </c>
      <c r="J1415">
        <f>IF(I1415="DUPIMP",0,1)</f>
        <v>1</v>
      </c>
    </row>
    <row r="1416">
      <c r="A1416" t="inlineStr">
        <is>
          <t>BL-01047</t>
        </is>
      </c>
      <c r="B1416" t="inlineStr">
        <is>
          <t>PAY</t>
        </is>
      </c>
      <c r="C1416" s="5" t="n">
        <v>46247</v>
      </c>
      <c r="D1416" t="inlineStr">
        <is>
          <t>SALARY N. DELACROIX PR260813</t>
        </is>
      </c>
      <c r="E1416" s="9" t="n">
        <v>-3513.11</v>
      </c>
      <c r="F1416" t="inlineStr">
        <is>
          <t>PAY-20260813</t>
        </is>
      </c>
      <c r="G1416" t="inlineStr">
        <is>
          <t>G00554</t>
        </is>
      </c>
      <c r="H1416" t="str">
        <f>INDEX('Match Groups'!$C$5:$C$1326,MATCH(G1416,'Match Groups'!$A$5:$A$1326,0))</f>
        <v>R05</v>
      </c>
      <c r="I1416" t="str">
        <f>INDEX('Match Groups'!$D$5:$D$1326,MATCH(G1416,'Match Groups'!$A$5:$A$1326,0))</f>
        <v>MATCH</v>
      </c>
      <c r="J1416">
        <f>IF(I1416="DUPIMP",0,1)</f>
        <v>1</v>
      </c>
    </row>
    <row r="1417">
      <c r="A1417" t="inlineStr">
        <is>
          <t>BL-01048</t>
        </is>
      </c>
      <c r="B1417" t="inlineStr">
        <is>
          <t>PAY</t>
        </is>
      </c>
      <c r="C1417" s="5" t="n">
        <v>46247</v>
      </c>
      <c r="D1417" t="inlineStr">
        <is>
          <t>SALARY C. ESPOSITO PR260813</t>
        </is>
      </c>
      <c r="E1417" s="9" t="n">
        <v>-3546.72</v>
      </c>
      <c r="F1417" t="inlineStr">
        <is>
          <t>PAY-20260813</t>
        </is>
      </c>
      <c r="G1417" t="inlineStr">
        <is>
          <t>G00554</t>
        </is>
      </c>
      <c r="H1417" t="str">
        <f>INDEX('Match Groups'!$C$5:$C$1326,MATCH(G1417,'Match Groups'!$A$5:$A$1326,0))</f>
        <v>R05</v>
      </c>
      <c r="I1417" t="str">
        <f>INDEX('Match Groups'!$D$5:$D$1326,MATCH(G1417,'Match Groups'!$A$5:$A$1326,0))</f>
        <v>MATCH</v>
      </c>
      <c r="J1417">
        <f>IF(I1417="DUPIMP",0,1)</f>
        <v>1</v>
      </c>
    </row>
    <row r="1418">
      <c r="A1418" t="inlineStr">
        <is>
          <t>BL-01049</t>
        </is>
      </c>
      <c r="B1418" t="inlineStr">
        <is>
          <t>PAY</t>
        </is>
      </c>
      <c r="C1418" s="5" t="n">
        <v>46247</v>
      </c>
      <c r="D1418" t="inlineStr">
        <is>
          <t>SALARY N. FAIRWEATHER PR260813</t>
        </is>
      </c>
      <c r="E1418" s="9" t="n">
        <v>-2041.05</v>
      </c>
      <c r="F1418" t="inlineStr">
        <is>
          <t>PAY-20260813</t>
        </is>
      </c>
      <c r="G1418" t="inlineStr">
        <is>
          <t>G00554</t>
        </is>
      </c>
      <c r="H1418" t="str">
        <f>INDEX('Match Groups'!$C$5:$C$1326,MATCH(G1418,'Match Groups'!$A$5:$A$1326,0))</f>
        <v>R05</v>
      </c>
      <c r="I1418" t="str">
        <f>INDEX('Match Groups'!$D$5:$D$1326,MATCH(G1418,'Match Groups'!$A$5:$A$1326,0))</f>
        <v>MATCH</v>
      </c>
      <c r="J1418">
        <f>IF(I1418="DUPIMP",0,1)</f>
        <v>1</v>
      </c>
    </row>
    <row r="1419">
      <c r="A1419" t="inlineStr">
        <is>
          <t>BL-01050</t>
        </is>
      </c>
      <c r="B1419" t="inlineStr">
        <is>
          <t>PAY</t>
        </is>
      </c>
      <c r="C1419" s="5" t="n">
        <v>46247</v>
      </c>
      <c r="D1419" t="inlineStr">
        <is>
          <t>SALARY T. GRIEVE PR260813</t>
        </is>
      </c>
      <c r="E1419" s="9" t="n">
        <v>-2847.05</v>
      </c>
      <c r="F1419" t="inlineStr">
        <is>
          <t>PAY-20260813</t>
        </is>
      </c>
      <c r="G1419" t="inlineStr">
        <is>
          <t>G00554</t>
        </is>
      </c>
      <c r="H1419" t="str">
        <f>INDEX('Match Groups'!$C$5:$C$1326,MATCH(G1419,'Match Groups'!$A$5:$A$1326,0))</f>
        <v>R05</v>
      </c>
      <c r="I1419" t="str">
        <f>INDEX('Match Groups'!$D$5:$D$1326,MATCH(G1419,'Match Groups'!$A$5:$A$1326,0))</f>
        <v>MATCH</v>
      </c>
      <c r="J1419">
        <f>IF(I1419="DUPIMP",0,1)</f>
        <v>1</v>
      </c>
    </row>
    <row r="1420">
      <c r="A1420" t="inlineStr">
        <is>
          <t>BL-01051</t>
        </is>
      </c>
      <c r="B1420" t="inlineStr">
        <is>
          <t>PAY</t>
        </is>
      </c>
      <c r="C1420" s="5" t="n">
        <v>46247</v>
      </c>
      <c r="D1420" t="inlineStr">
        <is>
          <t>SALARY H. HALLORAN PR260813</t>
        </is>
      </c>
      <c r="E1420" s="9" t="n">
        <v>-2288.61</v>
      </c>
      <c r="F1420" t="inlineStr">
        <is>
          <t>PAY-20260813</t>
        </is>
      </c>
      <c r="G1420" t="inlineStr">
        <is>
          <t>G00554</t>
        </is>
      </c>
      <c r="H1420" t="str">
        <f>INDEX('Match Groups'!$C$5:$C$1326,MATCH(G1420,'Match Groups'!$A$5:$A$1326,0))</f>
        <v>R05</v>
      </c>
      <c r="I1420" t="str">
        <f>INDEX('Match Groups'!$D$5:$D$1326,MATCH(G1420,'Match Groups'!$A$5:$A$1326,0))</f>
        <v>MATCH</v>
      </c>
      <c r="J1420">
        <f>IF(I1420="DUPIMP",0,1)</f>
        <v>1</v>
      </c>
    </row>
    <row r="1421">
      <c r="A1421" t="inlineStr">
        <is>
          <t>BL-01052</t>
        </is>
      </c>
      <c r="B1421" t="inlineStr">
        <is>
          <t>PAY</t>
        </is>
      </c>
      <c r="C1421" s="5" t="n">
        <v>46247</v>
      </c>
      <c r="D1421" t="inlineStr">
        <is>
          <t>SALARY C. IQBAL PR260813</t>
        </is>
      </c>
      <c r="E1421" s="9" t="n">
        <v>-3027.87</v>
      </c>
      <c r="F1421" t="inlineStr">
        <is>
          <t>PAY-20260813</t>
        </is>
      </c>
      <c r="G1421" t="inlineStr">
        <is>
          <t>G00554</t>
        </is>
      </c>
      <c r="H1421" t="str">
        <f>INDEX('Match Groups'!$C$5:$C$1326,MATCH(G1421,'Match Groups'!$A$5:$A$1326,0))</f>
        <v>R05</v>
      </c>
      <c r="I1421" t="str">
        <f>INDEX('Match Groups'!$D$5:$D$1326,MATCH(G1421,'Match Groups'!$A$5:$A$1326,0))</f>
        <v>MATCH</v>
      </c>
      <c r="J1421">
        <f>IF(I1421="DUPIMP",0,1)</f>
        <v>1</v>
      </c>
    </row>
    <row r="1422">
      <c r="A1422" t="inlineStr">
        <is>
          <t>BL-01053</t>
        </is>
      </c>
      <c r="B1422" t="inlineStr">
        <is>
          <t>PAY</t>
        </is>
      </c>
      <c r="C1422" s="5" t="n">
        <v>46247</v>
      </c>
      <c r="D1422" t="inlineStr">
        <is>
          <t>SALARY W. JESSOP PR260813</t>
        </is>
      </c>
      <c r="E1422" s="9" t="n">
        <v>-2983.79</v>
      </c>
      <c r="F1422" t="inlineStr">
        <is>
          <t>PAY-20260813</t>
        </is>
      </c>
      <c r="G1422" t="inlineStr">
        <is>
          <t>G00554</t>
        </is>
      </c>
      <c r="H1422" t="str">
        <f>INDEX('Match Groups'!$C$5:$C$1326,MATCH(G1422,'Match Groups'!$A$5:$A$1326,0))</f>
        <v>R05</v>
      </c>
      <c r="I1422" t="str">
        <f>INDEX('Match Groups'!$D$5:$D$1326,MATCH(G1422,'Match Groups'!$A$5:$A$1326,0))</f>
        <v>MATCH</v>
      </c>
      <c r="J1422">
        <f>IF(I1422="DUPIMP",0,1)</f>
        <v>1</v>
      </c>
    </row>
    <row r="1423">
      <c r="A1423" t="inlineStr">
        <is>
          <t>BL-01054</t>
        </is>
      </c>
      <c r="B1423" t="inlineStr">
        <is>
          <t>PAY</t>
        </is>
      </c>
      <c r="C1423" s="5" t="n">
        <v>46247</v>
      </c>
      <c r="D1423" t="inlineStr">
        <is>
          <t>SALARY K. KERRIGAN PR260813</t>
        </is>
      </c>
      <c r="E1423" s="9" t="n">
        <v>-2309.29</v>
      </c>
      <c r="F1423" t="inlineStr">
        <is>
          <t>PAY-20260813</t>
        </is>
      </c>
      <c r="G1423" t="inlineStr">
        <is>
          <t>G00554</t>
        </is>
      </c>
      <c r="H1423" t="str">
        <f>INDEX('Match Groups'!$C$5:$C$1326,MATCH(G1423,'Match Groups'!$A$5:$A$1326,0))</f>
        <v>R05</v>
      </c>
      <c r="I1423" t="str">
        <f>INDEX('Match Groups'!$D$5:$D$1326,MATCH(G1423,'Match Groups'!$A$5:$A$1326,0))</f>
        <v>MATCH</v>
      </c>
      <c r="J1423">
        <f>IF(I1423="DUPIMP",0,1)</f>
        <v>1</v>
      </c>
    </row>
    <row r="1424">
      <c r="A1424" t="inlineStr">
        <is>
          <t>BL-01055</t>
        </is>
      </c>
      <c r="B1424" t="inlineStr">
        <is>
          <t>PAY</t>
        </is>
      </c>
      <c r="C1424" s="5" t="n">
        <v>46247</v>
      </c>
      <c r="D1424" t="inlineStr">
        <is>
          <t>SALARY D. LACHLAN PR260813</t>
        </is>
      </c>
      <c r="E1424" s="9" t="n">
        <v>-2135.24</v>
      </c>
      <c r="F1424" t="inlineStr">
        <is>
          <t>PAY-20260813</t>
        </is>
      </c>
      <c r="G1424" t="inlineStr">
        <is>
          <t>G00554</t>
        </is>
      </c>
      <c r="H1424" t="str">
        <f>INDEX('Match Groups'!$C$5:$C$1326,MATCH(G1424,'Match Groups'!$A$5:$A$1326,0))</f>
        <v>R05</v>
      </c>
      <c r="I1424" t="str">
        <f>INDEX('Match Groups'!$D$5:$D$1326,MATCH(G1424,'Match Groups'!$A$5:$A$1326,0))</f>
        <v>MATCH</v>
      </c>
      <c r="J1424">
        <f>IF(I1424="DUPIMP",0,1)</f>
        <v>1</v>
      </c>
    </row>
    <row r="1425">
      <c r="A1425" t="inlineStr">
        <is>
          <t>BL-01056</t>
        </is>
      </c>
      <c r="B1425" t="inlineStr">
        <is>
          <t>PAY</t>
        </is>
      </c>
      <c r="C1425" s="5" t="n">
        <v>46247</v>
      </c>
      <c r="D1425" t="inlineStr">
        <is>
          <t>SALARY K. MOREAU PR260813</t>
        </is>
      </c>
      <c r="E1425" s="9" t="n">
        <v>-2642.79</v>
      </c>
      <c r="F1425" t="inlineStr">
        <is>
          <t>PAY-20260813</t>
        </is>
      </c>
      <c r="G1425" t="inlineStr">
        <is>
          <t>G00554</t>
        </is>
      </c>
      <c r="H1425" t="str">
        <f>INDEX('Match Groups'!$C$5:$C$1326,MATCH(G1425,'Match Groups'!$A$5:$A$1326,0))</f>
        <v>R05</v>
      </c>
      <c r="I1425" t="str">
        <f>INDEX('Match Groups'!$D$5:$D$1326,MATCH(G1425,'Match Groups'!$A$5:$A$1326,0))</f>
        <v>MATCH</v>
      </c>
      <c r="J1425">
        <f>IF(I1425="DUPIMP",0,1)</f>
        <v>1</v>
      </c>
    </row>
    <row r="1426">
      <c r="A1426" t="inlineStr">
        <is>
          <t>BL-01057</t>
        </is>
      </c>
      <c r="B1426" t="inlineStr">
        <is>
          <t>PAY</t>
        </is>
      </c>
      <c r="C1426" s="5" t="n">
        <v>46247</v>
      </c>
      <c r="D1426" t="inlineStr">
        <is>
          <t>SALARY E. NAKAMURA PR260813</t>
        </is>
      </c>
      <c r="E1426" s="9" t="n">
        <v>-3345.52</v>
      </c>
      <c r="F1426" t="inlineStr">
        <is>
          <t>PAY-20260813</t>
        </is>
      </c>
      <c r="G1426" t="inlineStr">
        <is>
          <t>G00554</t>
        </is>
      </c>
      <c r="H1426" t="str">
        <f>INDEX('Match Groups'!$C$5:$C$1326,MATCH(G1426,'Match Groups'!$A$5:$A$1326,0))</f>
        <v>R05</v>
      </c>
      <c r="I1426" t="str">
        <f>INDEX('Match Groups'!$D$5:$D$1326,MATCH(G1426,'Match Groups'!$A$5:$A$1326,0))</f>
        <v>MATCH</v>
      </c>
      <c r="J1426">
        <f>IF(I1426="DUPIMP",0,1)</f>
        <v>1</v>
      </c>
    </row>
    <row r="1427">
      <c r="A1427" t="inlineStr">
        <is>
          <t>BL-01058</t>
        </is>
      </c>
      <c r="B1427" t="inlineStr">
        <is>
          <t>PAY</t>
        </is>
      </c>
      <c r="C1427" s="5" t="n">
        <v>46247</v>
      </c>
      <c r="D1427" t="inlineStr">
        <is>
          <t>SALARY C. ORMSBY PR260813</t>
        </is>
      </c>
      <c r="E1427" s="9" t="n">
        <v>-2939.85</v>
      </c>
      <c r="F1427" t="inlineStr">
        <is>
          <t>PAY-20260813</t>
        </is>
      </c>
      <c r="G1427" t="inlineStr">
        <is>
          <t>G00554</t>
        </is>
      </c>
      <c r="H1427" t="str">
        <f>INDEX('Match Groups'!$C$5:$C$1326,MATCH(G1427,'Match Groups'!$A$5:$A$1326,0))</f>
        <v>R05</v>
      </c>
      <c r="I1427" t="str">
        <f>INDEX('Match Groups'!$D$5:$D$1326,MATCH(G1427,'Match Groups'!$A$5:$A$1326,0))</f>
        <v>MATCH</v>
      </c>
      <c r="J1427">
        <f>IF(I1427="DUPIMP",0,1)</f>
        <v>1</v>
      </c>
    </row>
    <row r="1428">
      <c r="A1428" t="inlineStr">
        <is>
          <t>BL-01059</t>
        </is>
      </c>
      <c r="B1428" t="inlineStr">
        <is>
          <t>PAY</t>
        </is>
      </c>
      <c r="C1428" s="5" t="n">
        <v>46247</v>
      </c>
      <c r="D1428" t="inlineStr">
        <is>
          <t>SALARY L. PRENTICE PR260813</t>
        </is>
      </c>
      <c r="E1428" s="9" t="n">
        <v>-2264.31</v>
      </c>
      <c r="F1428" t="inlineStr">
        <is>
          <t>PAY-20260813</t>
        </is>
      </c>
      <c r="G1428" t="inlineStr">
        <is>
          <t>G00554</t>
        </is>
      </c>
      <c r="H1428" t="str">
        <f>INDEX('Match Groups'!$C$5:$C$1326,MATCH(G1428,'Match Groups'!$A$5:$A$1326,0))</f>
        <v>R05</v>
      </c>
      <c r="I1428" t="str">
        <f>INDEX('Match Groups'!$D$5:$D$1326,MATCH(G1428,'Match Groups'!$A$5:$A$1326,0))</f>
        <v>MATCH</v>
      </c>
      <c r="J1428">
        <f>IF(I1428="DUPIMP",0,1)</f>
        <v>1</v>
      </c>
    </row>
    <row r="1429">
      <c r="A1429" t="inlineStr">
        <is>
          <t>BL-01060</t>
        </is>
      </c>
      <c r="B1429" t="inlineStr">
        <is>
          <t>PAY</t>
        </is>
      </c>
      <c r="C1429" s="5" t="n">
        <v>46247</v>
      </c>
      <c r="D1429" t="inlineStr">
        <is>
          <t>SALARY N. REDFERN PR260813</t>
        </is>
      </c>
      <c r="E1429" s="9" t="n">
        <v>-1725.31</v>
      </c>
      <c r="F1429" t="inlineStr">
        <is>
          <t>PAY-20260813</t>
        </is>
      </c>
      <c r="G1429" t="inlineStr">
        <is>
          <t>G00554</t>
        </is>
      </c>
      <c r="H1429" t="str">
        <f>INDEX('Match Groups'!$C$5:$C$1326,MATCH(G1429,'Match Groups'!$A$5:$A$1326,0))</f>
        <v>R05</v>
      </c>
      <c r="I1429" t="str">
        <f>INDEX('Match Groups'!$D$5:$D$1326,MATCH(G1429,'Match Groups'!$A$5:$A$1326,0))</f>
        <v>MATCH</v>
      </c>
      <c r="J1429">
        <f>IF(I1429="DUPIMP",0,1)</f>
        <v>1</v>
      </c>
    </row>
    <row r="1430">
      <c r="A1430" t="inlineStr">
        <is>
          <t>BL-01061</t>
        </is>
      </c>
      <c r="B1430" t="inlineStr">
        <is>
          <t>PAY</t>
        </is>
      </c>
      <c r="C1430" s="5" t="n">
        <v>46248</v>
      </c>
      <c r="D1430" t="inlineStr">
        <is>
          <t>RETURN SALARY G. ERIKSEN PR260813 INVALID BSB</t>
        </is>
      </c>
      <c r="E1430" s="9" t="n">
        <v>1692.09</v>
      </c>
      <c r="F1430" t="inlineStr">
        <is>
          <t>PAY-20260814</t>
        </is>
      </c>
      <c r="G1430" t="inlineStr">
        <is>
          <t>G01222</t>
        </is>
      </c>
      <c r="H1430" t="str">
        <f>INDEX('Match Groups'!$C$5:$C$1326,MATCH(G1430,'Match Groups'!$A$5:$A$1326,0))</f>
        <v>R12</v>
      </c>
      <c r="I1430" t="str">
        <f>INDEX('Match Groups'!$D$5:$D$1326,MATCH(G1430,'Match Groups'!$A$5:$A$1326,0))</f>
        <v>RETPAY-PAY</v>
      </c>
      <c r="J1430">
        <f>IF(I1430="DUPIMP",0,1)</f>
        <v>1</v>
      </c>
    </row>
    <row r="1431">
      <c r="A1431" t="inlineStr">
        <is>
          <t>BL-01062</t>
        </is>
      </c>
      <c r="B1431" t="inlineStr">
        <is>
          <t>PAY</t>
        </is>
      </c>
      <c r="C1431" s="5" t="n">
        <v>46251</v>
      </c>
      <c r="D1431" t="inlineStr">
        <is>
          <t>SALARY G. ERIKSEN PR260813 REISSUE</t>
        </is>
      </c>
      <c r="E1431" s="9" t="n">
        <v>-1692.09</v>
      </c>
      <c r="F1431" t="inlineStr">
        <is>
          <t>PAY-20260817</t>
        </is>
      </c>
      <c r="G1431" t="inlineStr">
        <is>
          <t>G01222</t>
        </is>
      </c>
      <c r="H1431" t="str">
        <f>INDEX('Match Groups'!$C$5:$C$1326,MATCH(G1431,'Match Groups'!$A$5:$A$1326,0))</f>
        <v>R12</v>
      </c>
      <c r="I1431" t="str">
        <f>INDEX('Match Groups'!$D$5:$D$1326,MATCH(G1431,'Match Groups'!$A$5:$A$1326,0))</f>
        <v>RETPAY-PAY</v>
      </c>
      <c r="J1431">
        <f>IF(I1431="DUPIMP",0,1)</f>
        <v>1</v>
      </c>
    </row>
    <row r="1432">
      <c r="A1432" t="inlineStr">
        <is>
          <t>BL-01063</t>
        </is>
      </c>
      <c r="B1432" t="inlineStr">
        <is>
          <t>PAY</t>
        </is>
      </c>
      <c r="C1432" s="5" t="n">
        <v>46251</v>
      </c>
      <c r="D1432" t="inlineStr">
        <is>
          <t>SUPERCHOICE CLEARING PR260813</t>
        </is>
      </c>
      <c r="E1432" s="9" t="n">
        <v>-20439.35</v>
      </c>
      <c r="F1432" t="inlineStr">
        <is>
          <t>PAY-20260817</t>
        </is>
      </c>
      <c r="G1432" t="inlineStr">
        <is>
          <t>G01242</t>
        </is>
      </c>
      <c r="H1432" t="str">
        <f>INDEX('Match Groups'!$C$5:$C$1326,MATCH(G1432,'Match Groups'!$A$5:$A$1326,0))</f>
        <v>R13</v>
      </c>
      <c r="I1432" t="str">
        <f>INDEX('Match Groups'!$D$5:$D$1326,MATCH(G1432,'Match Groups'!$A$5:$A$1326,0))</f>
        <v>MATCH</v>
      </c>
      <c r="J1432">
        <f>IF(I1432="DUPIMP",0,1)</f>
        <v>1</v>
      </c>
    </row>
    <row r="1433">
      <c r="A1433" t="inlineStr">
        <is>
          <t>BL-01064</t>
        </is>
      </c>
      <c r="B1433" t="inlineStr">
        <is>
          <t>PAY</t>
        </is>
      </c>
      <c r="C1433" s="5" t="n">
        <v>46255</v>
      </c>
      <c r="D1433" t="inlineStr">
        <is>
          <t>BPAY ATO PAYG W1</t>
        </is>
      </c>
      <c r="E1433" s="9" t="n">
        <v>-35038.89</v>
      </c>
      <c r="F1433" t="inlineStr">
        <is>
          <t>PAY-20260821</t>
        </is>
      </c>
      <c r="G1433" t="inlineStr">
        <is>
          <t>G01243</t>
        </is>
      </c>
      <c r="H1433" t="str">
        <f>INDEX('Match Groups'!$C$5:$C$1326,MATCH(G1433,'Match Groups'!$A$5:$A$1326,0))</f>
        <v>R13</v>
      </c>
      <c r="I1433" t="str">
        <f>INDEX('Match Groups'!$D$5:$D$1326,MATCH(G1433,'Match Groups'!$A$5:$A$1326,0))</f>
        <v>MATCH</v>
      </c>
      <c r="J1433">
        <f>IF(I1433="DUPIMP",0,1)</f>
        <v>1</v>
      </c>
    </row>
    <row r="1434">
      <c r="A1434" t="inlineStr">
        <is>
          <t>BL-01066</t>
        </is>
      </c>
      <c r="B1434" t="inlineStr">
        <is>
          <t>PAY</t>
        </is>
      </c>
      <c r="C1434" s="5" t="n">
        <v>46260</v>
      </c>
      <c r="D1434" t="inlineStr">
        <is>
          <t>TFR FROM OPERATING PR260827</t>
        </is>
      </c>
      <c r="E1434" s="9" t="n">
        <v>166350.27</v>
      </c>
      <c r="F1434" t="inlineStr">
        <is>
          <t>PAY-20260826</t>
        </is>
      </c>
      <c r="G1434" t="inlineStr">
        <is>
          <t>G00564</t>
        </is>
      </c>
      <c r="H1434" t="str">
        <f>INDEX('Match Groups'!$C$5:$C$1326,MATCH(G1434,'Match Groups'!$A$5:$A$1326,0))</f>
        <v>R04</v>
      </c>
      <c r="I1434" t="str">
        <f>INDEX('Match Groups'!$D$5:$D$1326,MATCH(G1434,'Match Groups'!$A$5:$A$1326,0))</f>
        <v>MATCH</v>
      </c>
      <c r="J1434">
        <f>IF(I1434="DUPIMP",0,1)</f>
        <v>1</v>
      </c>
    </row>
    <row r="1435">
      <c r="A1435" t="inlineStr">
        <is>
          <t>BL-01067</t>
        </is>
      </c>
      <c r="B1435" t="inlineStr">
        <is>
          <t>PAY</t>
        </is>
      </c>
      <c r="C1435" s="5" t="n">
        <v>46261</v>
      </c>
      <c r="D1435" t="inlineStr">
        <is>
          <t>SALARY N. NGUYEN PR260827</t>
        </is>
      </c>
      <c r="E1435" s="9" t="n">
        <v>-1919.78</v>
      </c>
      <c r="F1435" t="inlineStr">
        <is>
          <t>PAY-20260827</t>
        </is>
      </c>
      <c r="G1435" t="inlineStr">
        <is>
          <t>G00555</t>
        </is>
      </c>
      <c r="H1435" t="str">
        <f>INDEX('Match Groups'!$C$5:$C$1326,MATCH(G1435,'Match Groups'!$A$5:$A$1326,0))</f>
        <v>R05</v>
      </c>
      <c r="I1435" t="str">
        <f>INDEX('Match Groups'!$D$5:$D$1326,MATCH(G1435,'Match Groups'!$A$5:$A$1326,0))</f>
        <v>MATCH</v>
      </c>
      <c r="J1435">
        <f>IF(I1435="DUPIMP",0,1)</f>
        <v>1</v>
      </c>
    </row>
    <row r="1436">
      <c r="A1436" t="inlineStr">
        <is>
          <t>BL-01068</t>
        </is>
      </c>
      <c r="B1436" t="inlineStr">
        <is>
          <t>PAY</t>
        </is>
      </c>
      <c r="C1436" s="5" t="n">
        <v>46261</v>
      </c>
      <c r="D1436" t="inlineStr">
        <is>
          <t>SALARY W. OKAFOR PR260827</t>
        </is>
      </c>
      <c r="E1436" s="9" t="n">
        <v>-2674.61</v>
      </c>
      <c r="F1436" t="inlineStr">
        <is>
          <t>PAY-20260827</t>
        </is>
      </c>
      <c r="G1436" t="inlineStr">
        <is>
          <t>G00555</t>
        </is>
      </c>
      <c r="H1436" t="str">
        <f>INDEX('Match Groups'!$C$5:$C$1326,MATCH(G1436,'Match Groups'!$A$5:$A$1326,0))</f>
        <v>R05</v>
      </c>
      <c r="I1436" t="str">
        <f>INDEX('Match Groups'!$D$5:$D$1326,MATCH(G1436,'Match Groups'!$A$5:$A$1326,0))</f>
        <v>MATCH</v>
      </c>
      <c r="J1436">
        <f>IF(I1436="DUPIMP",0,1)</f>
        <v>1</v>
      </c>
    </row>
    <row r="1437">
      <c r="A1437" t="inlineStr">
        <is>
          <t>BL-01069</t>
        </is>
      </c>
      <c r="B1437" t="inlineStr">
        <is>
          <t>PAY</t>
        </is>
      </c>
      <c r="C1437" s="5" t="n">
        <v>46261</v>
      </c>
      <c r="D1437" t="inlineStr">
        <is>
          <t>SALARY L. BRENNAN PR260827</t>
        </is>
      </c>
      <c r="E1437" s="9" t="n">
        <v>-1554.66</v>
      </c>
      <c r="F1437" t="inlineStr">
        <is>
          <t>PAY-20260827</t>
        </is>
      </c>
      <c r="G1437" t="inlineStr">
        <is>
          <t>G00555</t>
        </is>
      </c>
      <c r="H1437" t="str">
        <f>INDEX('Match Groups'!$C$5:$C$1326,MATCH(G1437,'Match Groups'!$A$5:$A$1326,0))</f>
        <v>R05</v>
      </c>
      <c r="I1437" t="str">
        <f>INDEX('Match Groups'!$D$5:$D$1326,MATCH(G1437,'Match Groups'!$A$5:$A$1326,0))</f>
        <v>MATCH</v>
      </c>
      <c r="J1437">
        <f>IF(I1437="DUPIMP",0,1)</f>
        <v>1</v>
      </c>
    </row>
    <row r="1438">
      <c r="A1438" t="inlineStr">
        <is>
          <t>BL-01070</t>
        </is>
      </c>
      <c r="B1438" t="inlineStr">
        <is>
          <t>PAY</t>
        </is>
      </c>
      <c r="C1438" s="5" t="n">
        <v>46261</v>
      </c>
      <c r="D1438" t="inlineStr">
        <is>
          <t>SALARY D. KOWALSKI PR260827</t>
        </is>
      </c>
      <c r="E1438" s="9" t="n">
        <v>-3269.21</v>
      </c>
      <c r="F1438" t="inlineStr">
        <is>
          <t>PAY-20260827</t>
        </is>
      </c>
      <c r="G1438" t="inlineStr">
        <is>
          <t>G00555</t>
        </is>
      </c>
      <c r="H1438" t="str">
        <f>INDEX('Match Groups'!$C$5:$C$1326,MATCH(G1438,'Match Groups'!$A$5:$A$1326,0))</f>
        <v>R05</v>
      </c>
      <c r="I1438" t="str">
        <f>INDEX('Match Groups'!$D$5:$D$1326,MATCH(G1438,'Match Groups'!$A$5:$A$1326,0))</f>
        <v>MATCH</v>
      </c>
      <c r="J1438">
        <f>IF(I1438="DUPIMP",0,1)</f>
        <v>1</v>
      </c>
    </row>
    <row r="1439">
      <c r="A1439" t="inlineStr">
        <is>
          <t>BL-01071</t>
        </is>
      </c>
      <c r="B1439" t="inlineStr">
        <is>
          <t>PAY</t>
        </is>
      </c>
      <c r="C1439" s="5" t="n">
        <v>46261</v>
      </c>
      <c r="D1439" t="inlineStr">
        <is>
          <t>SALARY E. HADDAD PR260827</t>
        </is>
      </c>
      <c r="E1439" s="9" t="n">
        <v>-1699</v>
      </c>
      <c r="F1439" t="inlineStr">
        <is>
          <t>PAY-20260827</t>
        </is>
      </c>
      <c r="G1439" t="inlineStr">
        <is>
          <t>G00555</t>
        </is>
      </c>
      <c r="H1439" t="str">
        <f>INDEX('Match Groups'!$C$5:$C$1326,MATCH(G1439,'Match Groups'!$A$5:$A$1326,0))</f>
        <v>R05</v>
      </c>
      <c r="I1439" t="str">
        <f>INDEX('Match Groups'!$D$5:$D$1326,MATCH(G1439,'Match Groups'!$A$5:$A$1326,0))</f>
        <v>MATCH</v>
      </c>
      <c r="J1439">
        <f>IF(I1439="DUPIMP",0,1)</f>
        <v>1</v>
      </c>
    </row>
    <row r="1440">
      <c r="A1440" t="inlineStr">
        <is>
          <t>BL-01072</t>
        </is>
      </c>
      <c r="B1440" t="inlineStr">
        <is>
          <t>PAY</t>
        </is>
      </c>
      <c r="C1440" s="5" t="n">
        <v>46261</v>
      </c>
      <c r="D1440" t="inlineStr">
        <is>
          <t>SALARY D. FITZGERALD PR260827</t>
        </is>
      </c>
      <c r="E1440" s="9" t="n">
        <v>-2655.68</v>
      </c>
      <c r="F1440" t="inlineStr">
        <is>
          <t>PAY-20260827</t>
        </is>
      </c>
      <c r="G1440" t="inlineStr">
        <is>
          <t>G00555</t>
        </is>
      </c>
      <c r="H1440" t="str">
        <f>INDEX('Match Groups'!$C$5:$C$1326,MATCH(G1440,'Match Groups'!$A$5:$A$1326,0))</f>
        <v>R05</v>
      </c>
      <c r="I1440" t="str">
        <f>INDEX('Match Groups'!$D$5:$D$1326,MATCH(G1440,'Match Groups'!$A$5:$A$1326,0))</f>
        <v>MATCH</v>
      </c>
      <c r="J1440">
        <f>IF(I1440="DUPIMP",0,1)</f>
        <v>1</v>
      </c>
    </row>
    <row r="1441">
      <c r="A1441" t="inlineStr">
        <is>
          <t>BL-01073</t>
        </is>
      </c>
      <c r="B1441" t="inlineStr">
        <is>
          <t>PAY</t>
        </is>
      </c>
      <c r="C1441" s="5" t="n">
        <v>46261</v>
      </c>
      <c r="D1441" t="inlineStr">
        <is>
          <t>SALARY N. TRAN PR260827</t>
        </is>
      </c>
      <c r="E1441" s="9" t="n">
        <v>-2410.65</v>
      </c>
      <c r="F1441" t="inlineStr">
        <is>
          <t>PAY-20260827</t>
        </is>
      </c>
      <c r="G1441" t="inlineStr">
        <is>
          <t>G00555</t>
        </is>
      </c>
      <c r="H1441" t="str">
        <f>INDEX('Match Groups'!$C$5:$C$1326,MATCH(G1441,'Match Groups'!$A$5:$A$1326,0))</f>
        <v>R05</v>
      </c>
      <c r="I1441" t="str">
        <f>INDEX('Match Groups'!$D$5:$D$1326,MATCH(G1441,'Match Groups'!$A$5:$A$1326,0))</f>
        <v>MATCH</v>
      </c>
      <c r="J1441">
        <f>IF(I1441="DUPIMP",0,1)</f>
        <v>1</v>
      </c>
    </row>
    <row r="1442">
      <c r="A1442" t="inlineStr">
        <is>
          <t>BL-01074</t>
        </is>
      </c>
      <c r="B1442" t="inlineStr">
        <is>
          <t>PAY</t>
        </is>
      </c>
      <c r="C1442" s="5" t="n">
        <v>46261</v>
      </c>
      <c r="D1442" t="inlineStr">
        <is>
          <t>SALARY A. RAMOS PR260827</t>
        </is>
      </c>
      <c r="E1442" s="9" t="n">
        <v>-3203.13</v>
      </c>
      <c r="F1442" t="inlineStr">
        <is>
          <t>PAY-20260827</t>
        </is>
      </c>
      <c r="G1442" t="inlineStr">
        <is>
          <t>G00555</t>
        </is>
      </c>
      <c r="H1442" t="str">
        <f>INDEX('Match Groups'!$C$5:$C$1326,MATCH(G1442,'Match Groups'!$A$5:$A$1326,0))</f>
        <v>R05</v>
      </c>
      <c r="I1442" t="str">
        <f>INDEX('Match Groups'!$D$5:$D$1326,MATCH(G1442,'Match Groups'!$A$5:$A$1326,0))</f>
        <v>MATCH</v>
      </c>
      <c r="J1442">
        <f>IF(I1442="DUPIMP",0,1)</f>
        <v>1</v>
      </c>
    </row>
    <row r="1443">
      <c r="A1443" t="inlineStr">
        <is>
          <t>BL-01075</t>
        </is>
      </c>
      <c r="B1443" t="inlineStr">
        <is>
          <t>PAY</t>
        </is>
      </c>
      <c r="C1443" s="5" t="n">
        <v>46261</v>
      </c>
      <c r="D1443" t="inlineStr">
        <is>
          <t>SALARY D. LINDQVIST PR260827</t>
        </is>
      </c>
      <c r="E1443" s="9" t="n">
        <v>-2038.4</v>
      </c>
      <c r="F1443" t="inlineStr">
        <is>
          <t>PAY-20260827</t>
        </is>
      </c>
      <c r="G1443" t="inlineStr">
        <is>
          <t>G00555</t>
        </is>
      </c>
      <c r="H1443" t="str">
        <f>INDEX('Match Groups'!$C$5:$C$1326,MATCH(G1443,'Match Groups'!$A$5:$A$1326,0))</f>
        <v>R05</v>
      </c>
      <c r="I1443" t="str">
        <f>INDEX('Match Groups'!$D$5:$D$1326,MATCH(G1443,'Match Groups'!$A$5:$A$1326,0))</f>
        <v>MATCH</v>
      </c>
      <c r="J1443">
        <f>IF(I1443="DUPIMP",0,1)</f>
        <v>1</v>
      </c>
    </row>
    <row r="1444">
      <c r="A1444" t="inlineStr">
        <is>
          <t>BL-01076</t>
        </is>
      </c>
      <c r="B1444" t="inlineStr">
        <is>
          <t>PAY</t>
        </is>
      </c>
      <c r="C1444" s="5" t="n">
        <v>46261</v>
      </c>
      <c r="D1444" t="inlineStr">
        <is>
          <t>SALARY H. MEHTA PR260827</t>
        </is>
      </c>
      <c r="E1444" s="9" t="n">
        <v>-3041.23</v>
      </c>
      <c r="F1444" t="inlineStr">
        <is>
          <t>PAY-20260827</t>
        </is>
      </c>
      <c r="G1444" t="inlineStr">
        <is>
          <t>G00555</t>
        </is>
      </c>
      <c r="H1444" t="str">
        <f>INDEX('Match Groups'!$C$5:$C$1326,MATCH(G1444,'Match Groups'!$A$5:$A$1326,0))</f>
        <v>R05</v>
      </c>
      <c r="I1444" t="str">
        <f>INDEX('Match Groups'!$D$5:$D$1326,MATCH(G1444,'Match Groups'!$A$5:$A$1326,0))</f>
        <v>MATCH</v>
      </c>
      <c r="J1444">
        <f>IF(I1444="DUPIMP",0,1)</f>
        <v>1</v>
      </c>
    </row>
    <row r="1445">
      <c r="A1445" t="inlineStr">
        <is>
          <t>BL-01077</t>
        </is>
      </c>
      <c r="B1445" t="inlineStr">
        <is>
          <t>PAY</t>
        </is>
      </c>
      <c r="C1445" s="5" t="n">
        <v>46261</v>
      </c>
      <c r="D1445" t="inlineStr">
        <is>
          <t>SALARY D. O'ROURKE PR260827</t>
        </is>
      </c>
      <c r="E1445" s="9" t="n">
        <v>-2515.82</v>
      </c>
      <c r="F1445" t="inlineStr">
        <is>
          <t>PAY-20260827</t>
        </is>
      </c>
      <c r="G1445" t="inlineStr">
        <is>
          <t>G00555</t>
        </is>
      </c>
      <c r="H1445" t="str">
        <f>INDEX('Match Groups'!$C$5:$C$1326,MATCH(G1445,'Match Groups'!$A$5:$A$1326,0))</f>
        <v>R05</v>
      </c>
      <c r="I1445" t="str">
        <f>INDEX('Match Groups'!$D$5:$D$1326,MATCH(G1445,'Match Groups'!$A$5:$A$1326,0))</f>
        <v>MATCH</v>
      </c>
      <c r="J1445">
        <f>IF(I1445="DUPIMP",0,1)</f>
        <v>1</v>
      </c>
    </row>
    <row r="1446">
      <c r="A1446" t="inlineStr">
        <is>
          <t>BL-01078</t>
        </is>
      </c>
      <c r="B1446" t="inlineStr">
        <is>
          <t>PAY</t>
        </is>
      </c>
      <c r="C1446" s="5" t="n">
        <v>46261</v>
      </c>
      <c r="D1446" t="inlineStr">
        <is>
          <t>SALARY H. PAPADOPOULOS PR260827</t>
        </is>
      </c>
      <c r="E1446" s="9" t="n">
        <v>-3567.62</v>
      </c>
      <c r="F1446" t="inlineStr">
        <is>
          <t>PAY-20260827</t>
        </is>
      </c>
      <c r="G1446" t="inlineStr">
        <is>
          <t>G00555</t>
        </is>
      </c>
      <c r="H1446" t="str">
        <f>INDEX('Match Groups'!$C$5:$C$1326,MATCH(G1446,'Match Groups'!$A$5:$A$1326,0))</f>
        <v>R05</v>
      </c>
      <c r="I1446" t="str">
        <f>INDEX('Match Groups'!$D$5:$D$1326,MATCH(G1446,'Match Groups'!$A$5:$A$1326,0))</f>
        <v>MATCH</v>
      </c>
      <c r="J1446">
        <f>IF(I1446="DUPIMP",0,1)</f>
        <v>1</v>
      </c>
    </row>
    <row r="1447">
      <c r="A1447" t="inlineStr">
        <is>
          <t>BL-01079</t>
        </is>
      </c>
      <c r="B1447" t="inlineStr">
        <is>
          <t>PAY</t>
        </is>
      </c>
      <c r="C1447" s="5" t="n">
        <v>46261</v>
      </c>
      <c r="D1447" t="inlineStr">
        <is>
          <t>SALARY D. SUTHERLAND PR260827</t>
        </is>
      </c>
      <c r="E1447" s="9" t="n">
        <v>-2959.76</v>
      </c>
      <c r="F1447" t="inlineStr">
        <is>
          <t>PAY-20260827</t>
        </is>
      </c>
      <c r="G1447" t="inlineStr">
        <is>
          <t>G00555</t>
        </is>
      </c>
      <c r="H1447" t="str">
        <f>INDEX('Match Groups'!$C$5:$C$1326,MATCH(G1447,'Match Groups'!$A$5:$A$1326,0))</f>
        <v>R05</v>
      </c>
      <c r="I1447" t="str">
        <f>INDEX('Match Groups'!$D$5:$D$1326,MATCH(G1447,'Match Groups'!$A$5:$A$1326,0))</f>
        <v>MATCH</v>
      </c>
      <c r="J1447">
        <f>IF(I1447="DUPIMP",0,1)</f>
        <v>1</v>
      </c>
    </row>
    <row r="1448">
      <c r="A1448" t="inlineStr">
        <is>
          <t>BL-01080</t>
        </is>
      </c>
      <c r="B1448" t="inlineStr">
        <is>
          <t>PAY</t>
        </is>
      </c>
      <c r="C1448" s="5" t="n">
        <v>46261</v>
      </c>
      <c r="D1448" t="inlineStr">
        <is>
          <t>SALARY C. YAMAMOTO PR260827</t>
        </is>
      </c>
      <c r="E1448" s="9" t="n">
        <v>-1801.1</v>
      </c>
      <c r="F1448" t="inlineStr">
        <is>
          <t>PAY-20260827</t>
        </is>
      </c>
      <c r="G1448" t="inlineStr">
        <is>
          <t>G00555</t>
        </is>
      </c>
      <c r="H1448" t="str">
        <f>INDEX('Match Groups'!$C$5:$C$1326,MATCH(G1448,'Match Groups'!$A$5:$A$1326,0))</f>
        <v>R05</v>
      </c>
      <c r="I1448" t="str">
        <f>INDEX('Match Groups'!$D$5:$D$1326,MATCH(G1448,'Match Groups'!$A$5:$A$1326,0))</f>
        <v>MATCH</v>
      </c>
      <c r="J1448">
        <f>IF(I1448="DUPIMP",0,1)</f>
        <v>1</v>
      </c>
    </row>
    <row r="1449">
      <c r="A1449" t="inlineStr">
        <is>
          <t>BL-01081</t>
        </is>
      </c>
      <c r="B1449" t="inlineStr">
        <is>
          <t>PAY</t>
        </is>
      </c>
      <c r="C1449" s="5" t="n">
        <v>46261</v>
      </c>
      <c r="D1449" t="inlineStr">
        <is>
          <t>SALARY L. ABERNATHY PR260827</t>
        </is>
      </c>
      <c r="E1449" s="9" t="n">
        <v>-3409.44</v>
      </c>
      <c r="F1449" t="inlineStr">
        <is>
          <t>PAY-20260827</t>
        </is>
      </c>
      <c r="G1449" t="inlineStr">
        <is>
          <t>G00555</t>
        </is>
      </c>
      <c r="H1449" t="str">
        <f>INDEX('Match Groups'!$C$5:$C$1326,MATCH(G1449,'Match Groups'!$A$5:$A$1326,0))</f>
        <v>R05</v>
      </c>
      <c r="I1449" t="str">
        <f>INDEX('Match Groups'!$D$5:$D$1326,MATCH(G1449,'Match Groups'!$A$5:$A$1326,0))</f>
        <v>MATCH</v>
      </c>
      <c r="J1449">
        <f>IF(I1449="DUPIMP",0,1)</f>
        <v>1</v>
      </c>
    </row>
    <row r="1450">
      <c r="A1450" t="inlineStr">
        <is>
          <t>BL-01082</t>
        </is>
      </c>
      <c r="B1450" t="inlineStr">
        <is>
          <t>PAY</t>
        </is>
      </c>
      <c r="C1450" s="5" t="n">
        <v>46261</v>
      </c>
      <c r="D1450" t="inlineStr">
        <is>
          <t>SALARY J. CASTELLANO PR260827</t>
        </is>
      </c>
      <c r="E1450" s="9" t="n">
        <v>-2605.12</v>
      </c>
      <c r="F1450" t="inlineStr">
        <is>
          <t>PAY-20260827</t>
        </is>
      </c>
      <c r="G1450" t="inlineStr">
        <is>
          <t>G00555</t>
        </is>
      </c>
      <c r="H1450" t="str">
        <f>INDEX('Match Groups'!$C$5:$C$1326,MATCH(G1450,'Match Groups'!$A$5:$A$1326,0))</f>
        <v>R05</v>
      </c>
      <c r="I1450" t="str">
        <f>INDEX('Match Groups'!$D$5:$D$1326,MATCH(G1450,'Match Groups'!$A$5:$A$1326,0))</f>
        <v>MATCH</v>
      </c>
      <c r="J1450">
        <f>IF(I1450="DUPIMP",0,1)</f>
        <v>1</v>
      </c>
    </row>
    <row r="1451">
      <c r="A1451" t="inlineStr">
        <is>
          <t>BL-01083</t>
        </is>
      </c>
      <c r="B1451" t="inlineStr">
        <is>
          <t>PAY</t>
        </is>
      </c>
      <c r="C1451" s="5" t="n">
        <v>46261</v>
      </c>
      <c r="D1451" t="inlineStr">
        <is>
          <t>SALARY G. DEMPSEY PR260827</t>
        </is>
      </c>
      <c r="E1451" s="9" t="n">
        <v>-1871.33</v>
      </c>
      <c r="F1451" t="inlineStr">
        <is>
          <t>PAY-20260827</t>
        </is>
      </c>
      <c r="G1451" t="inlineStr">
        <is>
          <t>G00555</t>
        </is>
      </c>
      <c r="H1451" t="str">
        <f>INDEX('Match Groups'!$C$5:$C$1326,MATCH(G1451,'Match Groups'!$A$5:$A$1326,0))</f>
        <v>R05</v>
      </c>
      <c r="I1451" t="str">
        <f>INDEX('Match Groups'!$D$5:$D$1326,MATCH(G1451,'Match Groups'!$A$5:$A$1326,0))</f>
        <v>MATCH</v>
      </c>
      <c r="J1451">
        <f>IF(I1451="DUPIMP",0,1)</f>
        <v>1</v>
      </c>
    </row>
    <row r="1452">
      <c r="A1452" t="inlineStr">
        <is>
          <t>BL-01084</t>
        </is>
      </c>
      <c r="B1452" t="inlineStr">
        <is>
          <t>PAY</t>
        </is>
      </c>
      <c r="C1452" s="5" t="n">
        <v>46261</v>
      </c>
      <c r="D1452" t="inlineStr">
        <is>
          <t>SALARY G. ERIKSEN PR260827</t>
        </is>
      </c>
      <c r="E1452" s="9" t="n">
        <v>-1638.69</v>
      </c>
      <c r="F1452" t="inlineStr">
        <is>
          <t>PAY-20260827</t>
        </is>
      </c>
      <c r="G1452" t="inlineStr">
        <is>
          <t>G00555</t>
        </is>
      </c>
      <c r="H1452" t="str">
        <f>INDEX('Match Groups'!$C$5:$C$1326,MATCH(G1452,'Match Groups'!$A$5:$A$1326,0))</f>
        <v>R05</v>
      </c>
      <c r="I1452" t="str">
        <f>INDEX('Match Groups'!$D$5:$D$1326,MATCH(G1452,'Match Groups'!$A$5:$A$1326,0))</f>
        <v>MATCH</v>
      </c>
      <c r="J1452">
        <f>IF(I1452="DUPIMP",0,1)</f>
        <v>1</v>
      </c>
    </row>
    <row r="1453">
      <c r="A1453" t="inlineStr">
        <is>
          <t>BL-01085</t>
        </is>
      </c>
      <c r="B1453" t="inlineStr">
        <is>
          <t>PAY</t>
        </is>
      </c>
      <c r="C1453" s="5" t="n">
        <v>46261</v>
      </c>
      <c r="D1453" t="inlineStr">
        <is>
          <t>SALARY H. FERRARO PR260827</t>
        </is>
      </c>
      <c r="E1453" s="9" t="n">
        <v>-2904.71</v>
      </c>
      <c r="F1453" t="inlineStr">
        <is>
          <t>PAY-20260827</t>
        </is>
      </c>
      <c r="G1453" t="inlineStr">
        <is>
          <t>G00555</t>
        </is>
      </c>
      <c r="H1453" t="str">
        <f>INDEX('Match Groups'!$C$5:$C$1326,MATCH(G1453,'Match Groups'!$A$5:$A$1326,0))</f>
        <v>R05</v>
      </c>
      <c r="I1453" t="str">
        <f>INDEX('Match Groups'!$D$5:$D$1326,MATCH(G1453,'Match Groups'!$A$5:$A$1326,0))</f>
        <v>MATCH</v>
      </c>
      <c r="J1453">
        <f>IF(I1453="DUPIMP",0,1)</f>
        <v>1</v>
      </c>
    </row>
    <row r="1454">
      <c r="A1454" t="inlineStr">
        <is>
          <t>BL-01086</t>
        </is>
      </c>
      <c r="B1454" t="inlineStr">
        <is>
          <t>PAY</t>
        </is>
      </c>
      <c r="C1454" s="5" t="n">
        <v>46261</v>
      </c>
      <c r="D1454" t="inlineStr">
        <is>
          <t>SALARY R. GALLAGHER PR260827</t>
        </is>
      </c>
      <c r="E1454" s="9" t="n">
        <v>-3377.77</v>
      </c>
      <c r="F1454" t="inlineStr">
        <is>
          <t>PAY-20260827</t>
        </is>
      </c>
      <c r="G1454" t="inlineStr">
        <is>
          <t>G00555</t>
        </is>
      </c>
      <c r="H1454" t="str">
        <f>INDEX('Match Groups'!$C$5:$C$1326,MATCH(G1454,'Match Groups'!$A$5:$A$1326,0))</f>
        <v>R05</v>
      </c>
      <c r="I1454" t="str">
        <f>INDEX('Match Groups'!$D$5:$D$1326,MATCH(G1454,'Match Groups'!$A$5:$A$1326,0))</f>
        <v>MATCH</v>
      </c>
      <c r="J1454">
        <f>IF(I1454="DUPIMP",0,1)</f>
        <v>1</v>
      </c>
    </row>
    <row r="1455">
      <c r="A1455" t="inlineStr">
        <is>
          <t>BL-01087</t>
        </is>
      </c>
      <c r="B1455" t="inlineStr">
        <is>
          <t>PAY</t>
        </is>
      </c>
      <c r="C1455" s="5" t="n">
        <v>46261</v>
      </c>
      <c r="D1455" t="inlineStr">
        <is>
          <t>SALARY N. HOSSEINI PR260827</t>
        </is>
      </c>
      <c r="E1455" s="9" t="n">
        <v>-3359.02</v>
      </c>
      <c r="F1455" t="inlineStr">
        <is>
          <t>PAY-20260827</t>
        </is>
      </c>
      <c r="G1455" t="inlineStr">
        <is>
          <t>G00555</t>
        </is>
      </c>
      <c r="H1455" t="str">
        <f>INDEX('Match Groups'!$C$5:$C$1326,MATCH(G1455,'Match Groups'!$A$5:$A$1326,0))</f>
        <v>R05</v>
      </c>
      <c r="I1455" t="str">
        <f>INDEX('Match Groups'!$D$5:$D$1326,MATCH(G1455,'Match Groups'!$A$5:$A$1326,0))</f>
        <v>MATCH</v>
      </c>
      <c r="J1455">
        <f>IF(I1455="DUPIMP",0,1)</f>
        <v>1</v>
      </c>
    </row>
    <row r="1456">
      <c r="A1456" t="inlineStr">
        <is>
          <t>BL-01088</t>
        </is>
      </c>
      <c r="B1456" t="inlineStr">
        <is>
          <t>PAY</t>
        </is>
      </c>
      <c r="C1456" s="5" t="n">
        <v>46261</v>
      </c>
      <c r="D1456" t="inlineStr">
        <is>
          <t>SALARY T. IVANOVA PR260827</t>
        </is>
      </c>
      <c r="E1456" s="9" t="n">
        <v>-2618.67</v>
      </c>
      <c r="F1456" t="inlineStr">
        <is>
          <t>PAY-20260827</t>
        </is>
      </c>
      <c r="G1456" t="inlineStr">
        <is>
          <t>G00555</t>
        </is>
      </c>
      <c r="H1456" t="str">
        <f>INDEX('Match Groups'!$C$5:$C$1326,MATCH(G1456,'Match Groups'!$A$5:$A$1326,0))</f>
        <v>R05</v>
      </c>
      <c r="I1456" t="str">
        <f>INDEX('Match Groups'!$D$5:$D$1326,MATCH(G1456,'Match Groups'!$A$5:$A$1326,0))</f>
        <v>MATCH</v>
      </c>
      <c r="J1456">
        <f>IF(I1456="DUPIMP",0,1)</f>
        <v>1</v>
      </c>
    </row>
    <row r="1457">
      <c r="A1457" t="inlineStr">
        <is>
          <t>BL-01089</t>
        </is>
      </c>
      <c r="B1457" t="inlineStr">
        <is>
          <t>PAY</t>
        </is>
      </c>
      <c r="C1457" s="5" t="n">
        <v>46261</v>
      </c>
      <c r="D1457" t="inlineStr">
        <is>
          <t>SALARY P. JOVANOVIC PR260827</t>
        </is>
      </c>
      <c r="E1457" s="9" t="n">
        <v>-1549.67</v>
      </c>
      <c r="F1457" t="inlineStr">
        <is>
          <t>PAY-20260827</t>
        </is>
      </c>
      <c r="G1457" t="inlineStr">
        <is>
          <t>G00555</t>
        </is>
      </c>
      <c r="H1457" t="str">
        <f>INDEX('Match Groups'!$C$5:$C$1326,MATCH(G1457,'Match Groups'!$A$5:$A$1326,0))</f>
        <v>R05</v>
      </c>
      <c r="I1457" t="str">
        <f>INDEX('Match Groups'!$D$5:$D$1326,MATCH(G1457,'Match Groups'!$A$5:$A$1326,0))</f>
        <v>MATCH</v>
      </c>
      <c r="J1457">
        <f>IF(I1457="DUPIMP",0,1)</f>
        <v>1</v>
      </c>
    </row>
    <row r="1458">
      <c r="A1458" t="inlineStr">
        <is>
          <t>BL-01090</t>
        </is>
      </c>
      <c r="B1458" t="inlineStr">
        <is>
          <t>PAY</t>
        </is>
      </c>
      <c r="C1458" s="5" t="n">
        <v>46261</v>
      </c>
      <c r="D1458" t="inlineStr">
        <is>
          <t>SALARY M. KAUR PR260827</t>
        </is>
      </c>
      <c r="E1458" s="9" t="n">
        <v>-2874.5</v>
      </c>
      <c r="F1458" t="inlineStr">
        <is>
          <t>PAY-20260827</t>
        </is>
      </c>
      <c r="G1458" t="inlineStr">
        <is>
          <t>G00555</t>
        </is>
      </c>
      <c r="H1458" t="str">
        <f>INDEX('Match Groups'!$C$5:$C$1326,MATCH(G1458,'Match Groups'!$A$5:$A$1326,0))</f>
        <v>R05</v>
      </c>
      <c r="I1458" t="str">
        <f>INDEX('Match Groups'!$D$5:$D$1326,MATCH(G1458,'Match Groups'!$A$5:$A$1326,0))</f>
        <v>MATCH</v>
      </c>
      <c r="J1458">
        <f>IF(I1458="DUPIMP",0,1)</f>
        <v>1</v>
      </c>
    </row>
    <row r="1459">
      <c r="A1459" t="inlineStr">
        <is>
          <t>BL-01091</t>
        </is>
      </c>
      <c r="B1459" t="inlineStr">
        <is>
          <t>PAY</t>
        </is>
      </c>
      <c r="C1459" s="5" t="n">
        <v>46261</v>
      </c>
      <c r="D1459" t="inlineStr">
        <is>
          <t>SALARY F. LOMBARDI PR260827</t>
        </is>
      </c>
      <c r="E1459" s="9" t="n">
        <v>-3302.97</v>
      </c>
      <c r="F1459" t="inlineStr">
        <is>
          <t>PAY-20260827</t>
        </is>
      </c>
      <c r="G1459" t="inlineStr">
        <is>
          <t>G00555</t>
        </is>
      </c>
      <c r="H1459" t="str">
        <f>INDEX('Match Groups'!$C$5:$C$1326,MATCH(G1459,'Match Groups'!$A$5:$A$1326,0))</f>
        <v>R05</v>
      </c>
      <c r="I1459" t="str">
        <f>INDEX('Match Groups'!$D$5:$D$1326,MATCH(G1459,'Match Groups'!$A$5:$A$1326,0))</f>
        <v>MATCH</v>
      </c>
      <c r="J1459">
        <f>IF(I1459="DUPIMP",0,1)</f>
        <v>1</v>
      </c>
    </row>
    <row r="1460">
      <c r="A1460" t="inlineStr">
        <is>
          <t>BL-01092</t>
        </is>
      </c>
      <c r="B1460" t="inlineStr">
        <is>
          <t>PAY</t>
        </is>
      </c>
      <c r="C1460" s="5" t="n">
        <v>46261</v>
      </c>
      <c r="D1460" t="inlineStr">
        <is>
          <t>SALARY S. MACINTYRE PR260827</t>
        </is>
      </c>
      <c r="E1460" s="9" t="n">
        <v>-3068.67</v>
      </c>
      <c r="F1460" t="inlineStr">
        <is>
          <t>PAY-20260827</t>
        </is>
      </c>
      <c r="G1460" t="inlineStr">
        <is>
          <t>G00555</t>
        </is>
      </c>
      <c r="H1460" t="str">
        <f>INDEX('Match Groups'!$C$5:$C$1326,MATCH(G1460,'Match Groups'!$A$5:$A$1326,0))</f>
        <v>R05</v>
      </c>
      <c r="I1460" t="str">
        <f>INDEX('Match Groups'!$D$5:$D$1326,MATCH(G1460,'Match Groups'!$A$5:$A$1326,0))</f>
        <v>MATCH</v>
      </c>
      <c r="J1460">
        <f>IF(I1460="DUPIMP",0,1)</f>
        <v>1</v>
      </c>
    </row>
    <row r="1461">
      <c r="A1461" t="inlineStr">
        <is>
          <t>BL-01093</t>
        </is>
      </c>
      <c r="B1461" t="inlineStr">
        <is>
          <t>PAY</t>
        </is>
      </c>
      <c r="C1461" s="5" t="n">
        <v>46261</v>
      </c>
      <c r="D1461" t="inlineStr">
        <is>
          <t>SALARY W. NOVAK PR260827</t>
        </is>
      </c>
      <c r="E1461" s="9" t="n">
        <v>-3179.01</v>
      </c>
      <c r="F1461" t="inlineStr">
        <is>
          <t>PAY-20260827</t>
        </is>
      </c>
      <c r="G1461" t="inlineStr">
        <is>
          <t>G00555</t>
        </is>
      </c>
      <c r="H1461" t="str">
        <f>INDEX('Match Groups'!$C$5:$C$1326,MATCH(G1461,'Match Groups'!$A$5:$A$1326,0))</f>
        <v>R05</v>
      </c>
      <c r="I1461" t="str">
        <f>INDEX('Match Groups'!$D$5:$D$1326,MATCH(G1461,'Match Groups'!$A$5:$A$1326,0))</f>
        <v>MATCH</v>
      </c>
      <c r="J1461">
        <f>IF(I1461="DUPIMP",0,1)</f>
        <v>1</v>
      </c>
    </row>
    <row r="1462">
      <c r="A1462" t="inlineStr">
        <is>
          <t>BL-01094</t>
        </is>
      </c>
      <c r="B1462" t="inlineStr">
        <is>
          <t>PAY</t>
        </is>
      </c>
      <c r="C1462" s="5" t="n">
        <v>46261</v>
      </c>
      <c r="D1462" t="inlineStr">
        <is>
          <t>SALARY D. OYELARAN PR260827</t>
        </is>
      </c>
      <c r="E1462" s="9" t="n">
        <v>-2722.53</v>
      </c>
      <c r="F1462" t="inlineStr">
        <is>
          <t>PAY-20260827</t>
        </is>
      </c>
      <c r="G1462" t="inlineStr">
        <is>
          <t>G00555</t>
        </is>
      </c>
      <c r="H1462" t="str">
        <f>INDEX('Match Groups'!$C$5:$C$1326,MATCH(G1462,'Match Groups'!$A$5:$A$1326,0))</f>
        <v>R05</v>
      </c>
      <c r="I1462" t="str">
        <f>INDEX('Match Groups'!$D$5:$D$1326,MATCH(G1462,'Match Groups'!$A$5:$A$1326,0))</f>
        <v>MATCH</v>
      </c>
      <c r="J1462">
        <f>IF(I1462="DUPIMP",0,1)</f>
        <v>1</v>
      </c>
    </row>
    <row r="1463">
      <c r="A1463" t="inlineStr">
        <is>
          <t>BL-01095</t>
        </is>
      </c>
      <c r="B1463" t="inlineStr">
        <is>
          <t>PAY</t>
        </is>
      </c>
      <c r="C1463" s="5" t="n">
        <v>46261</v>
      </c>
      <c r="D1463" t="inlineStr">
        <is>
          <t>SALARY E. PELLEGRINO PR260827</t>
        </is>
      </c>
      <c r="E1463" s="9" t="n">
        <v>-2355.7</v>
      </c>
      <c r="F1463" t="inlineStr">
        <is>
          <t>PAY-20260827</t>
        </is>
      </c>
      <c r="G1463" t="inlineStr">
        <is>
          <t>G00555</t>
        </is>
      </c>
      <c r="H1463" t="str">
        <f>INDEX('Match Groups'!$C$5:$C$1326,MATCH(G1463,'Match Groups'!$A$5:$A$1326,0))</f>
        <v>R05</v>
      </c>
      <c r="I1463" t="str">
        <f>INDEX('Match Groups'!$D$5:$D$1326,MATCH(G1463,'Match Groups'!$A$5:$A$1326,0))</f>
        <v>MATCH</v>
      </c>
      <c r="J1463">
        <f>IF(I1463="DUPIMP",0,1)</f>
        <v>1</v>
      </c>
    </row>
    <row r="1464">
      <c r="A1464" t="inlineStr">
        <is>
          <t>BL-01096</t>
        </is>
      </c>
      <c r="B1464" t="inlineStr">
        <is>
          <t>PAY</t>
        </is>
      </c>
      <c r="C1464" s="5" t="n">
        <v>46261</v>
      </c>
      <c r="D1464" t="inlineStr">
        <is>
          <t>SALARY T. QUACH PR260827</t>
        </is>
      </c>
      <c r="E1464" s="9" t="n">
        <v>-3561.89</v>
      </c>
      <c r="F1464" t="inlineStr">
        <is>
          <t>PAY-20260827</t>
        </is>
      </c>
      <c r="G1464" t="inlineStr">
        <is>
          <t>G00555</t>
        </is>
      </c>
      <c r="H1464" t="str">
        <f>INDEX('Match Groups'!$C$5:$C$1326,MATCH(G1464,'Match Groups'!$A$5:$A$1326,0))</f>
        <v>R05</v>
      </c>
      <c r="I1464" t="str">
        <f>INDEX('Match Groups'!$D$5:$D$1326,MATCH(G1464,'Match Groups'!$A$5:$A$1326,0))</f>
        <v>MATCH</v>
      </c>
      <c r="J1464">
        <f>IF(I1464="DUPIMP",0,1)</f>
        <v>1</v>
      </c>
    </row>
    <row r="1465">
      <c r="A1465" t="inlineStr">
        <is>
          <t>BL-01097</t>
        </is>
      </c>
      <c r="B1465" t="inlineStr">
        <is>
          <t>PAY</t>
        </is>
      </c>
      <c r="C1465" s="5" t="n">
        <v>46261</v>
      </c>
      <c r="D1465" t="inlineStr">
        <is>
          <t>SALARY S. RASMUSSEN PR260827</t>
        </is>
      </c>
      <c r="E1465" s="9" t="n">
        <v>-2108.3</v>
      </c>
      <c r="F1465" t="inlineStr">
        <is>
          <t>PAY-20260827</t>
        </is>
      </c>
      <c r="G1465" t="inlineStr">
        <is>
          <t>G00555</t>
        </is>
      </c>
      <c r="H1465" t="str">
        <f>INDEX('Match Groups'!$C$5:$C$1326,MATCH(G1465,'Match Groups'!$A$5:$A$1326,0))</f>
        <v>R05</v>
      </c>
      <c r="I1465" t="str">
        <f>INDEX('Match Groups'!$D$5:$D$1326,MATCH(G1465,'Match Groups'!$A$5:$A$1326,0))</f>
        <v>MATCH</v>
      </c>
      <c r="J1465">
        <f>IF(I1465="DUPIMP",0,1)</f>
        <v>1</v>
      </c>
    </row>
    <row r="1466">
      <c r="A1466" t="inlineStr">
        <is>
          <t>BL-01098</t>
        </is>
      </c>
      <c r="B1466" t="inlineStr">
        <is>
          <t>PAY</t>
        </is>
      </c>
      <c r="C1466" s="5" t="n">
        <v>46261</v>
      </c>
      <c r="D1466" t="inlineStr">
        <is>
          <t>SALARY H. SANDOVAL PR260827</t>
        </is>
      </c>
      <c r="E1466" s="9" t="n">
        <v>-2878.57</v>
      </c>
      <c r="F1466" t="inlineStr">
        <is>
          <t>PAY-20260827</t>
        </is>
      </c>
      <c r="G1466" t="inlineStr">
        <is>
          <t>G00555</t>
        </is>
      </c>
      <c r="H1466" t="str">
        <f>INDEX('Match Groups'!$C$5:$C$1326,MATCH(G1466,'Match Groups'!$A$5:$A$1326,0))</f>
        <v>R05</v>
      </c>
      <c r="I1466" t="str">
        <f>INDEX('Match Groups'!$D$5:$D$1326,MATCH(G1466,'Match Groups'!$A$5:$A$1326,0))</f>
        <v>MATCH</v>
      </c>
      <c r="J1466">
        <f>IF(I1466="DUPIMP",0,1)</f>
        <v>1</v>
      </c>
    </row>
    <row r="1467">
      <c r="A1467" t="inlineStr">
        <is>
          <t>BL-01099</t>
        </is>
      </c>
      <c r="B1467" t="inlineStr">
        <is>
          <t>PAY</t>
        </is>
      </c>
      <c r="C1467" s="5" t="n">
        <v>46261</v>
      </c>
      <c r="D1467" t="inlineStr">
        <is>
          <t>SALARY R. TEAGUE PR260827</t>
        </is>
      </c>
      <c r="E1467" s="9" t="n">
        <v>-1926.11</v>
      </c>
      <c r="F1467" t="inlineStr">
        <is>
          <t>PAY-20260827</t>
        </is>
      </c>
      <c r="G1467" t="inlineStr">
        <is>
          <t>G00555</t>
        </is>
      </c>
      <c r="H1467" t="str">
        <f>INDEX('Match Groups'!$C$5:$C$1326,MATCH(G1467,'Match Groups'!$A$5:$A$1326,0))</f>
        <v>R05</v>
      </c>
      <c r="I1467" t="str">
        <f>INDEX('Match Groups'!$D$5:$D$1326,MATCH(G1467,'Match Groups'!$A$5:$A$1326,0))</f>
        <v>MATCH</v>
      </c>
      <c r="J1467">
        <f>IF(I1467="DUPIMP",0,1)</f>
        <v>1</v>
      </c>
    </row>
    <row r="1468">
      <c r="A1468" t="inlineStr">
        <is>
          <t>BL-01100</t>
        </is>
      </c>
      <c r="B1468" t="inlineStr">
        <is>
          <t>PAY</t>
        </is>
      </c>
      <c r="C1468" s="5" t="n">
        <v>46261</v>
      </c>
      <c r="D1468" t="inlineStr">
        <is>
          <t>SALARY M. UPTON PR260827</t>
        </is>
      </c>
      <c r="E1468" s="9" t="n">
        <v>-3650.28</v>
      </c>
      <c r="F1468" t="inlineStr">
        <is>
          <t>PAY-20260827</t>
        </is>
      </c>
      <c r="G1468" t="inlineStr">
        <is>
          <t>G00555</t>
        </is>
      </c>
      <c r="H1468" t="str">
        <f>INDEX('Match Groups'!$C$5:$C$1326,MATCH(G1468,'Match Groups'!$A$5:$A$1326,0))</f>
        <v>R05</v>
      </c>
      <c r="I1468" t="str">
        <f>INDEX('Match Groups'!$D$5:$D$1326,MATCH(G1468,'Match Groups'!$A$5:$A$1326,0))</f>
        <v>MATCH</v>
      </c>
      <c r="J1468">
        <f>IF(I1468="DUPIMP",0,1)</f>
        <v>1</v>
      </c>
    </row>
    <row r="1469">
      <c r="A1469" t="inlineStr">
        <is>
          <t>BL-01101</t>
        </is>
      </c>
      <c r="B1469" t="inlineStr">
        <is>
          <t>PAY</t>
        </is>
      </c>
      <c r="C1469" s="5" t="n">
        <v>46261</v>
      </c>
      <c r="D1469" t="inlineStr">
        <is>
          <t>SALARY K. VASQUEZ PR260827</t>
        </is>
      </c>
      <c r="E1469" s="9" t="n">
        <v>-1783.91</v>
      </c>
      <c r="F1469" t="inlineStr">
        <is>
          <t>PAY-20260827</t>
        </is>
      </c>
      <c r="G1469" t="inlineStr">
        <is>
          <t>G00555</t>
        </is>
      </c>
      <c r="H1469" t="str">
        <f>INDEX('Match Groups'!$C$5:$C$1326,MATCH(G1469,'Match Groups'!$A$5:$A$1326,0))</f>
        <v>R05</v>
      </c>
      <c r="I1469" t="str">
        <f>INDEX('Match Groups'!$D$5:$D$1326,MATCH(G1469,'Match Groups'!$A$5:$A$1326,0))</f>
        <v>MATCH</v>
      </c>
      <c r="J1469">
        <f>IF(I1469="DUPIMP",0,1)</f>
        <v>1</v>
      </c>
    </row>
    <row r="1470">
      <c r="A1470" t="inlineStr">
        <is>
          <t>BL-01102</t>
        </is>
      </c>
      <c r="B1470" t="inlineStr">
        <is>
          <t>PAY</t>
        </is>
      </c>
      <c r="C1470" s="5" t="n">
        <v>46261</v>
      </c>
      <c r="D1470" t="inlineStr">
        <is>
          <t>SALARY M. WHITLOCK PR260827</t>
        </is>
      </c>
      <c r="E1470" s="9" t="n">
        <v>-1805.18</v>
      </c>
      <c r="F1470" t="inlineStr">
        <is>
          <t>PAY-20260827</t>
        </is>
      </c>
      <c r="G1470" t="inlineStr">
        <is>
          <t>G00555</t>
        </is>
      </c>
      <c r="H1470" t="str">
        <f>INDEX('Match Groups'!$C$5:$C$1326,MATCH(G1470,'Match Groups'!$A$5:$A$1326,0))</f>
        <v>R05</v>
      </c>
      <c r="I1470" t="str">
        <f>INDEX('Match Groups'!$D$5:$D$1326,MATCH(G1470,'Match Groups'!$A$5:$A$1326,0))</f>
        <v>MATCH</v>
      </c>
      <c r="J1470">
        <f>IF(I1470="DUPIMP",0,1)</f>
        <v>1</v>
      </c>
    </row>
    <row r="1471">
      <c r="A1471" t="inlineStr">
        <is>
          <t>BL-01103</t>
        </is>
      </c>
      <c r="B1471" t="inlineStr">
        <is>
          <t>PAY</t>
        </is>
      </c>
      <c r="C1471" s="5" t="n">
        <v>46261</v>
      </c>
      <c r="D1471" t="inlineStr">
        <is>
          <t>SALARY P. XU PR260827</t>
        </is>
      </c>
      <c r="E1471" s="9" t="n">
        <v>-1585.05</v>
      </c>
      <c r="F1471" t="inlineStr">
        <is>
          <t>PAY-20260827</t>
        </is>
      </c>
      <c r="G1471" t="inlineStr">
        <is>
          <t>G00555</t>
        </is>
      </c>
      <c r="H1471" t="str">
        <f>INDEX('Match Groups'!$C$5:$C$1326,MATCH(G1471,'Match Groups'!$A$5:$A$1326,0))</f>
        <v>R05</v>
      </c>
      <c r="I1471" t="str">
        <f>INDEX('Match Groups'!$D$5:$D$1326,MATCH(G1471,'Match Groups'!$A$5:$A$1326,0))</f>
        <v>MATCH</v>
      </c>
      <c r="J1471">
        <f>IF(I1471="DUPIMP",0,1)</f>
        <v>1</v>
      </c>
    </row>
    <row r="1472">
      <c r="A1472" t="inlineStr">
        <is>
          <t>BL-01104</t>
        </is>
      </c>
      <c r="B1472" t="inlineStr">
        <is>
          <t>PAY</t>
        </is>
      </c>
      <c r="C1472" s="5" t="n">
        <v>46261</v>
      </c>
      <c r="D1472" t="inlineStr">
        <is>
          <t>SALARY R. YILMAZ PR260827</t>
        </is>
      </c>
      <c r="E1472" s="9" t="n">
        <v>-3401.69</v>
      </c>
      <c r="F1472" t="inlineStr">
        <is>
          <t>PAY-20260827</t>
        </is>
      </c>
      <c r="G1472" t="inlineStr">
        <is>
          <t>G00555</t>
        </is>
      </c>
      <c r="H1472" t="str">
        <f>INDEX('Match Groups'!$C$5:$C$1326,MATCH(G1472,'Match Groups'!$A$5:$A$1326,0))</f>
        <v>R05</v>
      </c>
      <c r="I1472" t="str">
        <f>INDEX('Match Groups'!$D$5:$D$1326,MATCH(G1472,'Match Groups'!$A$5:$A$1326,0))</f>
        <v>MATCH</v>
      </c>
      <c r="J1472">
        <f>IF(I1472="DUPIMP",0,1)</f>
        <v>1</v>
      </c>
    </row>
    <row r="1473">
      <c r="A1473" t="inlineStr">
        <is>
          <t>BL-01105</t>
        </is>
      </c>
      <c r="B1473" t="inlineStr">
        <is>
          <t>PAY</t>
        </is>
      </c>
      <c r="C1473" s="5" t="n">
        <v>46261</v>
      </c>
      <c r="D1473" t="inlineStr">
        <is>
          <t>SALARY E. ZIELINSKI PR260827</t>
        </is>
      </c>
      <c r="E1473" s="9" t="n">
        <v>-2151.12</v>
      </c>
      <c r="F1473" t="inlineStr">
        <is>
          <t>PAY-20260827</t>
        </is>
      </c>
      <c r="G1473" t="inlineStr">
        <is>
          <t>G00555</t>
        </is>
      </c>
      <c r="H1473" t="str">
        <f>INDEX('Match Groups'!$C$5:$C$1326,MATCH(G1473,'Match Groups'!$A$5:$A$1326,0))</f>
        <v>R05</v>
      </c>
      <c r="I1473" t="str">
        <f>INDEX('Match Groups'!$D$5:$D$1326,MATCH(G1473,'Match Groups'!$A$5:$A$1326,0))</f>
        <v>MATCH</v>
      </c>
      <c r="J1473">
        <f>IF(I1473="DUPIMP",0,1)</f>
        <v>1</v>
      </c>
    </row>
    <row r="1474">
      <c r="A1474" t="inlineStr">
        <is>
          <t>BL-01106</t>
        </is>
      </c>
      <c r="B1474" t="inlineStr">
        <is>
          <t>PAY</t>
        </is>
      </c>
      <c r="C1474" s="5" t="n">
        <v>46261</v>
      </c>
      <c r="D1474" t="inlineStr">
        <is>
          <t>SALARY A. ASHBY PR260827</t>
        </is>
      </c>
      <c r="E1474" s="9" t="n">
        <v>-3226.49</v>
      </c>
      <c r="F1474" t="inlineStr">
        <is>
          <t>PAY-20260827</t>
        </is>
      </c>
      <c r="G1474" t="inlineStr">
        <is>
          <t>G00555</t>
        </is>
      </c>
      <c r="H1474" t="str">
        <f>INDEX('Match Groups'!$C$5:$C$1326,MATCH(G1474,'Match Groups'!$A$5:$A$1326,0))</f>
        <v>R05</v>
      </c>
      <c r="I1474" t="str">
        <f>INDEX('Match Groups'!$D$5:$D$1326,MATCH(G1474,'Match Groups'!$A$5:$A$1326,0))</f>
        <v>MATCH</v>
      </c>
      <c r="J1474">
        <f>IF(I1474="DUPIMP",0,1)</f>
        <v>1</v>
      </c>
    </row>
    <row r="1475">
      <c r="A1475" t="inlineStr">
        <is>
          <t>BL-01107</t>
        </is>
      </c>
      <c r="B1475" t="inlineStr">
        <is>
          <t>PAY</t>
        </is>
      </c>
      <c r="C1475" s="5" t="n">
        <v>46261</v>
      </c>
      <c r="D1475" t="inlineStr">
        <is>
          <t>SALARY T. BAROSSA PR260827</t>
        </is>
      </c>
      <c r="E1475" s="9" t="n">
        <v>-2008.75</v>
      </c>
      <c r="F1475" t="inlineStr">
        <is>
          <t>PAY-20260827</t>
        </is>
      </c>
      <c r="G1475" t="inlineStr">
        <is>
          <t>G00555</t>
        </is>
      </c>
      <c r="H1475" t="str">
        <f>INDEX('Match Groups'!$C$5:$C$1326,MATCH(G1475,'Match Groups'!$A$5:$A$1326,0))</f>
        <v>R05</v>
      </c>
      <c r="I1475" t="str">
        <f>INDEX('Match Groups'!$D$5:$D$1326,MATCH(G1475,'Match Groups'!$A$5:$A$1326,0))</f>
        <v>MATCH</v>
      </c>
      <c r="J1475">
        <f>IF(I1475="DUPIMP",0,1)</f>
        <v>1</v>
      </c>
    </row>
    <row r="1476">
      <c r="A1476" t="inlineStr">
        <is>
          <t>BL-01108</t>
        </is>
      </c>
      <c r="B1476" t="inlineStr">
        <is>
          <t>PAY</t>
        </is>
      </c>
      <c r="C1476" s="5" t="n">
        <v>46261</v>
      </c>
      <c r="D1476" t="inlineStr">
        <is>
          <t>SALARY T. COOMBE PR260827</t>
        </is>
      </c>
      <c r="E1476" s="9" t="n">
        <v>-2649.84</v>
      </c>
      <c r="F1476" t="inlineStr">
        <is>
          <t>PAY-20260827</t>
        </is>
      </c>
      <c r="G1476" t="inlineStr">
        <is>
          <t>G00555</t>
        </is>
      </c>
      <c r="H1476" t="str">
        <f>INDEX('Match Groups'!$C$5:$C$1326,MATCH(G1476,'Match Groups'!$A$5:$A$1326,0))</f>
        <v>R05</v>
      </c>
      <c r="I1476" t="str">
        <f>INDEX('Match Groups'!$D$5:$D$1326,MATCH(G1476,'Match Groups'!$A$5:$A$1326,0))</f>
        <v>MATCH</v>
      </c>
      <c r="J1476">
        <f>IF(I1476="DUPIMP",0,1)</f>
        <v>1</v>
      </c>
    </row>
    <row r="1477">
      <c r="A1477" t="inlineStr">
        <is>
          <t>BL-01109</t>
        </is>
      </c>
      <c r="B1477" t="inlineStr">
        <is>
          <t>PAY</t>
        </is>
      </c>
      <c r="C1477" s="5" t="n">
        <v>46261</v>
      </c>
      <c r="D1477" t="inlineStr">
        <is>
          <t>SALARY N. DELACROIX PR260827</t>
        </is>
      </c>
      <c r="E1477" s="9" t="n">
        <v>-3521.07</v>
      </c>
      <c r="F1477" t="inlineStr">
        <is>
          <t>PAY-20260827</t>
        </is>
      </c>
      <c r="G1477" t="inlineStr">
        <is>
          <t>G00555</t>
        </is>
      </c>
      <c r="H1477" t="str">
        <f>INDEX('Match Groups'!$C$5:$C$1326,MATCH(G1477,'Match Groups'!$A$5:$A$1326,0))</f>
        <v>R05</v>
      </c>
      <c r="I1477" t="str">
        <f>INDEX('Match Groups'!$D$5:$D$1326,MATCH(G1477,'Match Groups'!$A$5:$A$1326,0))</f>
        <v>MATCH</v>
      </c>
      <c r="J1477">
        <f>IF(I1477="DUPIMP",0,1)</f>
        <v>1</v>
      </c>
    </row>
    <row r="1478">
      <c r="A1478" t="inlineStr">
        <is>
          <t>BL-01110</t>
        </is>
      </c>
      <c r="B1478" t="inlineStr">
        <is>
          <t>PAY</t>
        </is>
      </c>
      <c r="C1478" s="5" t="n">
        <v>46261</v>
      </c>
      <c r="D1478" t="inlineStr">
        <is>
          <t>SALARY C. ESPOSITO PR260827</t>
        </is>
      </c>
      <c r="E1478" s="9" t="n">
        <v>-3617.26</v>
      </c>
      <c r="F1478" t="inlineStr">
        <is>
          <t>PAY-20260827</t>
        </is>
      </c>
      <c r="G1478" t="inlineStr">
        <is>
          <t>G00555</t>
        </is>
      </c>
      <c r="H1478" t="str">
        <f>INDEX('Match Groups'!$C$5:$C$1326,MATCH(G1478,'Match Groups'!$A$5:$A$1326,0))</f>
        <v>R05</v>
      </c>
      <c r="I1478" t="str">
        <f>INDEX('Match Groups'!$D$5:$D$1326,MATCH(G1478,'Match Groups'!$A$5:$A$1326,0))</f>
        <v>MATCH</v>
      </c>
      <c r="J1478">
        <f>IF(I1478="DUPIMP",0,1)</f>
        <v>1</v>
      </c>
    </row>
    <row r="1479">
      <c r="A1479" t="inlineStr">
        <is>
          <t>BL-01111</t>
        </is>
      </c>
      <c r="B1479" t="inlineStr">
        <is>
          <t>PAY</t>
        </is>
      </c>
      <c r="C1479" s="5" t="n">
        <v>46261</v>
      </c>
      <c r="D1479" t="inlineStr">
        <is>
          <t>SALARY N. FAIRWEATHER PR260827</t>
        </is>
      </c>
      <c r="E1479" s="9" t="n">
        <v>-2007.16</v>
      </c>
      <c r="F1479" t="inlineStr">
        <is>
          <t>PAY-20260827</t>
        </is>
      </c>
      <c r="G1479" t="inlineStr">
        <is>
          <t>G00555</t>
        </is>
      </c>
      <c r="H1479" t="str">
        <f>INDEX('Match Groups'!$C$5:$C$1326,MATCH(G1479,'Match Groups'!$A$5:$A$1326,0))</f>
        <v>R05</v>
      </c>
      <c r="I1479" t="str">
        <f>INDEX('Match Groups'!$D$5:$D$1326,MATCH(G1479,'Match Groups'!$A$5:$A$1326,0))</f>
        <v>MATCH</v>
      </c>
      <c r="J1479">
        <f>IF(I1479="DUPIMP",0,1)</f>
        <v>1</v>
      </c>
    </row>
    <row r="1480">
      <c r="A1480" t="inlineStr">
        <is>
          <t>BL-01112</t>
        </is>
      </c>
      <c r="B1480" t="inlineStr">
        <is>
          <t>PAY</t>
        </is>
      </c>
      <c r="C1480" s="5" t="n">
        <v>46261</v>
      </c>
      <c r="D1480" t="inlineStr">
        <is>
          <t>SALARY T. GRIEVE PR260827</t>
        </is>
      </c>
      <c r="E1480" s="9" t="n">
        <v>-2892.21</v>
      </c>
      <c r="F1480" t="inlineStr">
        <is>
          <t>PAY-20260827</t>
        </is>
      </c>
      <c r="G1480" t="inlineStr">
        <is>
          <t>G00555</t>
        </is>
      </c>
      <c r="H1480" t="str">
        <f>INDEX('Match Groups'!$C$5:$C$1326,MATCH(G1480,'Match Groups'!$A$5:$A$1326,0))</f>
        <v>R05</v>
      </c>
      <c r="I1480" t="str">
        <f>INDEX('Match Groups'!$D$5:$D$1326,MATCH(G1480,'Match Groups'!$A$5:$A$1326,0))</f>
        <v>MATCH</v>
      </c>
      <c r="J1480">
        <f>IF(I1480="DUPIMP",0,1)</f>
        <v>1</v>
      </c>
    </row>
    <row r="1481">
      <c r="A1481" t="inlineStr">
        <is>
          <t>BL-01113</t>
        </is>
      </c>
      <c r="B1481" t="inlineStr">
        <is>
          <t>PAY</t>
        </is>
      </c>
      <c r="C1481" s="5" t="n">
        <v>46261</v>
      </c>
      <c r="D1481" t="inlineStr">
        <is>
          <t>SALARY H. HALLORAN PR260827</t>
        </is>
      </c>
      <c r="E1481" s="9" t="n">
        <v>-2225.88</v>
      </c>
      <c r="F1481" t="inlineStr">
        <is>
          <t>PAY-20260827</t>
        </is>
      </c>
      <c r="G1481" t="inlineStr">
        <is>
          <t>G00555</t>
        </is>
      </c>
      <c r="H1481" t="str">
        <f>INDEX('Match Groups'!$C$5:$C$1326,MATCH(G1481,'Match Groups'!$A$5:$A$1326,0))</f>
        <v>R05</v>
      </c>
      <c r="I1481" t="str">
        <f>INDEX('Match Groups'!$D$5:$D$1326,MATCH(G1481,'Match Groups'!$A$5:$A$1326,0))</f>
        <v>MATCH</v>
      </c>
      <c r="J1481">
        <f>IF(I1481="DUPIMP",0,1)</f>
        <v>1</v>
      </c>
    </row>
    <row r="1482">
      <c r="A1482" t="inlineStr">
        <is>
          <t>BL-01114</t>
        </is>
      </c>
      <c r="B1482" t="inlineStr">
        <is>
          <t>PAY</t>
        </is>
      </c>
      <c r="C1482" s="5" t="n">
        <v>46261</v>
      </c>
      <c r="D1482" t="inlineStr">
        <is>
          <t>SALARY C. IQBAL PR260827</t>
        </is>
      </c>
      <c r="E1482" s="9" t="n">
        <v>-2763.07</v>
      </c>
      <c r="F1482" t="inlineStr">
        <is>
          <t>PAY-20260827</t>
        </is>
      </c>
      <c r="G1482" t="inlineStr">
        <is>
          <t>G00555</t>
        </is>
      </c>
      <c r="H1482" t="str">
        <f>INDEX('Match Groups'!$C$5:$C$1326,MATCH(G1482,'Match Groups'!$A$5:$A$1326,0))</f>
        <v>R05</v>
      </c>
      <c r="I1482" t="str">
        <f>INDEX('Match Groups'!$D$5:$D$1326,MATCH(G1482,'Match Groups'!$A$5:$A$1326,0))</f>
        <v>MATCH</v>
      </c>
      <c r="J1482">
        <f>IF(I1482="DUPIMP",0,1)</f>
        <v>1</v>
      </c>
    </row>
    <row r="1483">
      <c r="A1483" t="inlineStr">
        <is>
          <t>BL-01115</t>
        </is>
      </c>
      <c r="B1483" t="inlineStr">
        <is>
          <t>PAY</t>
        </is>
      </c>
      <c r="C1483" s="5" t="n">
        <v>46261</v>
      </c>
      <c r="D1483" t="inlineStr">
        <is>
          <t>SALARY W. JESSOP PR260827</t>
        </is>
      </c>
      <c r="E1483" s="9" t="n">
        <v>-2828.71</v>
      </c>
      <c r="F1483" t="inlineStr">
        <is>
          <t>PAY-20260827</t>
        </is>
      </c>
      <c r="G1483" t="inlineStr">
        <is>
          <t>G00555</t>
        </is>
      </c>
      <c r="H1483" t="str">
        <f>INDEX('Match Groups'!$C$5:$C$1326,MATCH(G1483,'Match Groups'!$A$5:$A$1326,0))</f>
        <v>R05</v>
      </c>
      <c r="I1483" t="str">
        <f>INDEX('Match Groups'!$D$5:$D$1326,MATCH(G1483,'Match Groups'!$A$5:$A$1326,0))</f>
        <v>MATCH</v>
      </c>
      <c r="J1483">
        <f>IF(I1483="DUPIMP",0,1)</f>
        <v>1</v>
      </c>
    </row>
    <row r="1484">
      <c r="A1484" t="inlineStr">
        <is>
          <t>BL-01116</t>
        </is>
      </c>
      <c r="B1484" t="inlineStr">
        <is>
          <t>PAY</t>
        </is>
      </c>
      <c r="C1484" s="5" t="n">
        <v>46261</v>
      </c>
      <c r="D1484" t="inlineStr">
        <is>
          <t>SALARY K. KERRIGAN PR260827</t>
        </is>
      </c>
      <c r="E1484" s="9" t="n">
        <v>-2248.96</v>
      </c>
      <c r="F1484" t="inlineStr">
        <is>
          <t>PAY-20260827</t>
        </is>
      </c>
      <c r="G1484" t="inlineStr">
        <is>
          <t>G00555</t>
        </is>
      </c>
      <c r="H1484" t="str">
        <f>INDEX('Match Groups'!$C$5:$C$1326,MATCH(G1484,'Match Groups'!$A$5:$A$1326,0))</f>
        <v>R05</v>
      </c>
      <c r="I1484" t="str">
        <f>INDEX('Match Groups'!$D$5:$D$1326,MATCH(G1484,'Match Groups'!$A$5:$A$1326,0))</f>
        <v>MATCH</v>
      </c>
      <c r="J1484">
        <f>IF(I1484="DUPIMP",0,1)</f>
        <v>1</v>
      </c>
    </row>
    <row r="1485">
      <c r="A1485" t="inlineStr">
        <is>
          <t>BL-01117</t>
        </is>
      </c>
      <c r="B1485" t="inlineStr">
        <is>
          <t>PAY</t>
        </is>
      </c>
      <c r="C1485" s="5" t="n">
        <v>46261</v>
      </c>
      <c r="D1485" t="inlineStr">
        <is>
          <t>SALARY D. LACHLAN PR260827</t>
        </is>
      </c>
      <c r="E1485" s="9" t="n">
        <v>-1902.42</v>
      </c>
      <c r="F1485" t="inlineStr">
        <is>
          <t>PAY-20260827</t>
        </is>
      </c>
      <c r="G1485" t="inlineStr">
        <is>
          <t>G00555</t>
        </is>
      </c>
      <c r="H1485" t="str">
        <f>INDEX('Match Groups'!$C$5:$C$1326,MATCH(G1485,'Match Groups'!$A$5:$A$1326,0))</f>
        <v>R05</v>
      </c>
      <c r="I1485" t="str">
        <f>INDEX('Match Groups'!$D$5:$D$1326,MATCH(G1485,'Match Groups'!$A$5:$A$1326,0))</f>
        <v>MATCH</v>
      </c>
      <c r="J1485">
        <f>IF(I1485="DUPIMP",0,1)</f>
        <v>1</v>
      </c>
    </row>
    <row r="1486">
      <c r="A1486" t="inlineStr">
        <is>
          <t>BL-01118</t>
        </is>
      </c>
      <c r="B1486" t="inlineStr">
        <is>
          <t>PAY</t>
        </is>
      </c>
      <c r="C1486" s="5" t="n">
        <v>46261</v>
      </c>
      <c r="D1486" t="inlineStr">
        <is>
          <t>SALARY K. MOREAU PR260827</t>
        </is>
      </c>
      <c r="E1486" s="9" t="n">
        <v>-2971.22</v>
      </c>
      <c r="F1486" t="inlineStr">
        <is>
          <t>PAY-20260827</t>
        </is>
      </c>
      <c r="G1486" t="inlineStr">
        <is>
          <t>G00555</t>
        </is>
      </c>
      <c r="H1486" t="str">
        <f>INDEX('Match Groups'!$C$5:$C$1326,MATCH(G1486,'Match Groups'!$A$5:$A$1326,0))</f>
        <v>R05</v>
      </c>
      <c r="I1486" t="str">
        <f>INDEX('Match Groups'!$D$5:$D$1326,MATCH(G1486,'Match Groups'!$A$5:$A$1326,0))</f>
        <v>MATCH</v>
      </c>
      <c r="J1486">
        <f>IF(I1486="DUPIMP",0,1)</f>
        <v>1</v>
      </c>
    </row>
    <row r="1487">
      <c r="A1487" t="inlineStr">
        <is>
          <t>BL-01119</t>
        </is>
      </c>
      <c r="B1487" t="inlineStr">
        <is>
          <t>PAY</t>
        </is>
      </c>
      <c r="C1487" s="5" t="n">
        <v>46261</v>
      </c>
      <c r="D1487" t="inlineStr">
        <is>
          <t>SALARY E. NAKAMURA PR260827</t>
        </is>
      </c>
      <c r="E1487" s="9" t="n">
        <v>-3485.86</v>
      </c>
      <c r="F1487" t="inlineStr">
        <is>
          <t>PAY-20260827</t>
        </is>
      </c>
      <c r="G1487" t="inlineStr">
        <is>
          <t>G00555</t>
        </is>
      </c>
      <c r="H1487" t="str">
        <f>INDEX('Match Groups'!$C$5:$C$1326,MATCH(G1487,'Match Groups'!$A$5:$A$1326,0))</f>
        <v>R05</v>
      </c>
      <c r="I1487" t="str">
        <f>INDEX('Match Groups'!$D$5:$D$1326,MATCH(G1487,'Match Groups'!$A$5:$A$1326,0))</f>
        <v>MATCH</v>
      </c>
      <c r="J1487">
        <f>IF(I1487="DUPIMP",0,1)</f>
        <v>1</v>
      </c>
    </row>
    <row r="1488">
      <c r="A1488" t="inlineStr">
        <is>
          <t>BL-01120</t>
        </is>
      </c>
      <c r="B1488" t="inlineStr">
        <is>
          <t>PAY</t>
        </is>
      </c>
      <c r="C1488" s="5" t="n">
        <v>46261</v>
      </c>
      <c r="D1488" t="inlineStr">
        <is>
          <t>SALARY C. ORMSBY PR260827</t>
        </is>
      </c>
      <c r="E1488" s="9" t="n">
        <v>-2891.42</v>
      </c>
      <c r="F1488" t="inlineStr">
        <is>
          <t>PAY-20260827</t>
        </is>
      </c>
      <c r="G1488" t="inlineStr">
        <is>
          <t>G00555</t>
        </is>
      </c>
      <c r="H1488" t="str">
        <f>INDEX('Match Groups'!$C$5:$C$1326,MATCH(G1488,'Match Groups'!$A$5:$A$1326,0))</f>
        <v>R05</v>
      </c>
      <c r="I1488" t="str">
        <f>INDEX('Match Groups'!$D$5:$D$1326,MATCH(G1488,'Match Groups'!$A$5:$A$1326,0))</f>
        <v>MATCH</v>
      </c>
      <c r="J1488">
        <f>IF(I1488="DUPIMP",0,1)</f>
        <v>1</v>
      </c>
    </row>
    <row r="1489">
      <c r="A1489" t="inlineStr">
        <is>
          <t>BL-01121</t>
        </is>
      </c>
      <c r="B1489" t="inlineStr">
        <is>
          <t>PAY</t>
        </is>
      </c>
      <c r="C1489" s="5" t="n">
        <v>46261</v>
      </c>
      <c r="D1489" t="inlineStr">
        <is>
          <t>SALARY L. PRENTICE PR260827</t>
        </is>
      </c>
      <c r="E1489" s="9" t="n">
        <v>-2054.31</v>
      </c>
      <c r="F1489" t="inlineStr">
        <is>
          <t>PAY-20260827</t>
        </is>
      </c>
      <c r="G1489" t="inlineStr">
        <is>
          <t>G00555</t>
        </is>
      </c>
      <c r="H1489" t="str">
        <f>INDEX('Match Groups'!$C$5:$C$1326,MATCH(G1489,'Match Groups'!$A$5:$A$1326,0))</f>
        <v>R05</v>
      </c>
      <c r="I1489" t="str">
        <f>INDEX('Match Groups'!$D$5:$D$1326,MATCH(G1489,'Match Groups'!$A$5:$A$1326,0))</f>
        <v>MATCH</v>
      </c>
      <c r="J1489">
        <f>IF(I1489="DUPIMP",0,1)</f>
        <v>1</v>
      </c>
    </row>
    <row r="1490">
      <c r="A1490" t="inlineStr">
        <is>
          <t>BL-01122</t>
        </is>
      </c>
      <c r="B1490" t="inlineStr">
        <is>
          <t>PAY</t>
        </is>
      </c>
      <c r="C1490" s="5" t="n">
        <v>46261</v>
      </c>
      <c r="D1490" t="inlineStr">
        <is>
          <t>SALARY N. REDFERN PR260827</t>
        </is>
      </c>
      <c r="E1490" s="9" t="n">
        <v>-1626.11</v>
      </c>
      <c r="F1490" t="inlineStr">
        <is>
          <t>PAY-20260827</t>
        </is>
      </c>
      <c r="G1490" t="inlineStr">
        <is>
          <t>G00555</t>
        </is>
      </c>
      <c r="H1490" t="str">
        <f>INDEX('Match Groups'!$C$5:$C$1326,MATCH(G1490,'Match Groups'!$A$5:$A$1326,0))</f>
        <v>R05</v>
      </c>
      <c r="I1490" t="str">
        <f>INDEX('Match Groups'!$D$5:$D$1326,MATCH(G1490,'Match Groups'!$A$5:$A$1326,0))</f>
        <v>MATCH</v>
      </c>
      <c r="J1490">
        <f>IF(I1490="DUPIMP",0,1)</f>
        <v>1</v>
      </c>
    </row>
    <row r="1491">
      <c r="A1491" t="inlineStr">
        <is>
          <t>BL-01123</t>
        </is>
      </c>
      <c r="B1491" t="inlineStr">
        <is>
          <t>PAY</t>
        </is>
      </c>
      <c r="C1491" s="5" t="n">
        <v>46265</v>
      </c>
      <c r="D1491" t="inlineStr">
        <is>
          <t>SUPERCHOICE CLEARING PR260827</t>
        </is>
      </c>
      <c r="E1491" s="9" t="n">
        <v>-20428.98</v>
      </c>
      <c r="F1491" t="inlineStr">
        <is>
          <t>PAY-20260831</t>
        </is>
      </c>
      <c r="G1491" t="inlineStr">
        <is>
          <t>G00565</t>
        </is>
      </c>
      <c r="H1491" t="str">
        <f>INDEX('Match Groups'!$C$5:$C$1326,MATCH(G1491,'Match Groups'!$A$5:$A$1326,0))</f>
        <v>R04</v>
      </c>
      <c r="I1491" t="str">
        <f>INDEX('Match Groups'!$D$5:$D$1326,MATCH(G1491,'Match Groups'!$A$5:$A$1326,0))</f>
        <v>MATCH</v>
      </c>
      <c r="J1491">
        <f>IF(I1491="DUPIMP",0,1)</f>
        <v>1</v>
      </c>
    </row>
    <row r="1492">
      <c r="A1492" t="inlineStr">
        <is>
          <t>BL-01243</t>
        </is>
      </c>
      <c r="B1492" t="inlineStr">
        <is>
          <t>PAY</t>
        </is>
      </c>
      <c r="C1492" s="5" t="n">
        <v>46265</v>
      </c>
      <c r="D1492" t="inlineStr">
        <is>
          <t>ACCOUNT KEEPING FEE</t>
        </is>
      </c>
      <c r="E1492" s="9" t="n">
        <v>-10</v>
      </c>
      <c r="F1492" t="inlineStr">
        <is>
          <t>PAY-20260831</t>
        </is>
      </c>
      <c r="G1492" t="inlineStr">
        <is>
          <t>G01220</t>
        </is>
      </c>
      <c r="H1492" t="str">
        <f>INDEX('Match Groups'!$C$5:$C$1326,MATCH(G1492,'Match Groups'!$A$5:$A$1326,0))</f>
        <v>R12</v>
      </c>
      <c r="I1492" t="str">
        <f>INDEX('Match Groups'!$D$5:$D$1326,MATCH(G1492,'Match Groups'!$A$5:$A$1326,0))</f>
        <v>FEE</v>
      </c>
      <c r="J1492">
        <f>IF(I1492="DUPIMP",0,1)</f>
        <v>1</v>
      </c>
    </row>
    <row r="1493">
      <c r="A1493" t="inlineStr">
        <is>
          <t>BL-01125</t>
        </is>
      </c>
      <c r="B1493" t="inlineStr">
        <is>
          <t>PAY</t>
        </is>
      </c>
      <c r="C1493" s="5" t="n">
        <v>46274</v>
      </c>
      <c r="D1493" t="inlineStr">
        <is>
          <t>TFR FROM OPERATING PR260910</t>
        </is>
      </c>
      <c r="E1493" s="9" t="n">
        <v>205404.05</v>
      </c>
      <c r="F1493" t="inlineStr">
        <is>
          <t>PAY-20260909</t>
        </is>
      </c>
      <c r="G1493" t="inlineStr">
        <is>
          <t>G00566</t>
        </is>
      </c>
      <c r="H1493" t="str">
        <f>INDEX('Match Groups'!$C$5:$C$1326,MATCH(G1493,'Match Groups'!$A$5:$A$1326,0))</f>
        <v>R04</v>
      </c>
      <c r="I1493" t="str">
        <f>INDEX('Match Groups'!$D$5:$D$1326,MATCH(G1493,'Match Groups'!$A$5:$A$1326,0))</f>
        <v>MATCH</v>
      </c>
      <c r="J1493">
        <f>IF(I1493="DUPIMP",0,1)</f>
        <v>1</v>
      </c>
    </row>
    <row r="1494">
      <c r="A1494" t="inlineStr">
        <is>
          <t>BL-01126</t>
        </is>
      </c>
      <c r="B1494" t="inlineStr">
        <is>
          <t>PAY</t>
        </is>
      </c>
      <c r="C1494" s="5" t="n">
        <v>46275</v>
      </c>
      <c r="D1494" t="inlineStr">
        <is>
          <t>SALARY N. NGUYEN PR260910</t>
        </is>
      </c>
      <c r="E1494" s="9" t="n">
        <v>-2137.56</v>
      </c>
      <c r="F1494" t="inlineStr">
        <is>
          <t>PAY-20260910</t>
        </is>
      </c>
      <c r="G1494" t="inlineStr">
        <is>
          <t>G00556</t>
        </is>
      </c>
      <c r="H1494" t="str">
        <f>INDEX('Match Groups'!$C$5:$C$1326,MATCH(G1494,'Match Groups'!$A$5:$A$1326,0))</f>
        <v>R05</v>
      </c>
      <c r="I1494" t="str">
        <f>INDEX('Match Groups'!$D$5:$D$1326,MATCH(G1494,'Match Groups'!$A$5:$A$1326,0))</f>
        <v>MATCH</v>
      </c>
      <c r="J1494">
        <f>IF(I1494="DUPIMP",0,1)</f>
        <v>1</v>
      </c>
    </row>
    <row r="1495">
      <c r="A1495" t="inlineStr">
        <is>
          <t>BL-01127</t>
        </is>
      </c>
      <c r="B1495" t="inlineStr">
        <is>
          <t>PAY</t>
        </is>
      </c>
      <c r="C1495" s="5" t="n">
        <v>46275</v>
      </c>
      <c r="D1495" t="inlineStr">
        <is>
          <t>SALARY W. OKAFOR PR260910</t>
        </is>
      </c>
      <c r="E1495" s="9" t="n">
        <v>-2877.28</v>
      </c>
      <c r="F1495" t="inlineStr">
        <is>
          <t>PAY-20260910</t>
        </is>
      </c>
      <c r="G1495" t="inlineStr">
        <is>
          <t>G00556</t>
        </is>
      </c>
      <c r="H1495" t="str">
        <f>INDEX('Match Groups'!$C$5:$C$1326,MATCH(G1495,'Match Groups'!$A$5:$A$1326,0))</f>
        <v>R05</v>
      </c>
      <c r="I1495" t="str">
        <f>INDEX('Match Groups'!$D$5:$D$1326,MATCH(G1495,'Match Groups'!$A$5:$A$1326,0))</f>
        <v>MATCH</v>
      </c>
      <c r="J1495">
        <f>IF(I1495="DUPIMP",0,1)</f>
        <v>1</v>
      </c>
    </row>
    <row r="1496">
      <c r="A1496" t="inlineStr">
        <is>
          <t>BL-01128</t>
        </is>
      </c>
      <c r="B1496" t="inlineStr">
        <is>
          <t>PAY</t>
        </is>
      </c>
      <c r="C1496" s="5" t="n">
        <v>46275</v>
      </c>
      <c r="D1496" t="inlineStr">
        <is>
          <t>SALARY L. BRENNAN PR260910</t>
        </is>
      </c>
      <c r="E1496" s="9" t="n">
        <v>-1716.95</v>
      </c>
      <c r="F1496" t="inlineStr">
        <is>
          <t>PAY-20260910</t>
        </is>
      </c>
      <c r="G1496" t="inlineStr">
        <is>
          <t>G00556</t>
        </is>
      </c>
      <c r="H1496" t="str">
        <f>INDEX('Match Groups'!$C$5:$C$1326,MATCH(G1496,'Match Groups'!$A$5:$A$1326,0))</f>
        <v>R05</v>
      </c>
      <c r="I1496" t="str">
        <f>INDEX('Match Groups'!$D$5:$D$1326,MATCH(G1496,'Match Groups'!$A$5:$A$1326,0))</f>
        <v>MATCH</v>
      </c>
      <c r="J1496">
        <f>IF(I1496="DUPIMP",0,1)</f>
        <v>1</v>
      </c>
    </row>
    <row r="1497">
      <c r="A1497" t="inlineStr">
        <is>
          <t>BL-01129</t>
        </is>
      </c>
      <c r="B1497" t="inlineStr">
        <is>
          <t>PAY</t>
        </is>
      </c>
      <c r="C1497" s="5" t="n">
        <v>46275</v>
      </c>
      <c r="D1497" t="inlineStr">
        <is>
          <t>SALARY D. KOWALSKI PR260910</t>
        </is>
      </c>
      <c r="E1497" s="9" t="n">
        <v>-2949.83</v>
      </c>
      <c r="F1497" t="inlineStr">
        <is>
          <t>PAY-20260910</t>
        </is>
      </c>
      <c r="G1497" t="inlineStr">
        <is>
          <t>G00556</t>
        </is>
      </c>
      <c r="H1497" t="str">
        <f>INDEX('Match Groups'!$C$5:$C$1326,MATCH(G1497,'Match Groups'!$A$5:$A$1326,0))</f>
        <v>R05</v>
      </c>
      <c r="I1497" t="str">
        <f>INDEX('Match Groups'!$D$5:$D$1326,MATCH(G1497,'Match Groups'!$A$5:$A$1326,0))</f>
        <v>MATCH</v>
      </c>
      <c r="J1497">
        <f>IF(I1497="DUPIMP",0,1)</f>
        <v>1</v>
      </c>
    </row>
    <row r="1498">
      <c r="A1498" t="inlineStr">
        <is>
          <t>BL-01130</t>
        </is>
      </c>
      <c r="B1498" t="inlineStr">
        <is>
          <t>PAY</t>
        </is>
      </c>
      <c r="C1498" s="5" t="n">
        <v>46275</v>
      </c>
      <c r="D1498" t="inlineStr">
        <is>
          <t>SALARY E. HADDAD PR260910</t>
        </is>
      </c>
      <c r="E1498" s="9" t="n">
        <v>-1656.72</v>
      </c>
      <c r="F1498" t="inlineStr">
        <is>
          <t>PAY-20260910</t>
        </is>
      </c>
      <c r="G1498" t="inlineStr">
        <is>
          <t>G00556</t>
        </is>
      </c>
      <c r="H1498" t="str">
        <f>INDEX('Match Groups'!$C$5:$C$1326,MATCH(G1498,'Match Groups'!$A$5:$A$1326,0))</f>
        <v>R05</v>
      </c>
      <c r="I1498" t="str">
        <f>INDEX('Match Groups'!$D$5:$D$1326,MATCH(G1498,'Match Groups'!$A$5:$A$1326,0))</f>
        <v>MATCH</v>
      </c>
      <c r="J1498">
        <f>IF(I1498="DUPIMP",0,1)</f>
        <v>1</v>
      </c>
    </row>
    <row r="1499">
      <c r="A1499" t="inlineStr">
        <is>
          <t>BL-01131</t>
        </is>
      </c>
      <c r="B1499" t="inlineStr">
        <is>
          <t>PAY</t>
        </is>
      </c>
      <c r="C1499" s="5" t="n">
        <v>46275</v>
      </c>
      <c r="D1499" t="inlineStr">
        <is>
          <t>SALARY D. FITZGERALD PR260910</t>
        </is>
      </c>
      <c r="E1499" s="9" t="n">
        <v>-3019.61</v>
      </c>
      <c r="F1499" t="inlineStr">
        <is>
          <t>PAY-20260910</t>
        </is>
      </c>
      <c r="G1499" t="inlineStr">
        <is>
          <t>G00556</t>
        </is>
      </c>
      <c r="H1499" t="str">
        <f>INDEX('Match Groups'!$C$5:$C$1326,MATCH(G1499,'Match Groups'!$A$5:$A$1326,0))</f>
        <v>R05</v>
      </c>
      <c r="I1499" t="str">
        <f>INDEX('Match Groups'!$D$5:$D$1326,MATCH(G1499,'Match Groups'!$A$5:$A$1326,0))</f>
        <v>MATCH</v>
      </c>
      <c r="J1499">
        <f>IF(I1499="DUPIMP",0,1)</f>
        <v>1</v>
      </c>
    </row>
    <row r="1500">
      <c r="A1500" t="inlineStr">
        <is>
          <t>BL-01132</t>
        </is>
      </c>
      <c r="B1500" t="inlineStr">
        <is>
          <t>PAY</t>
        </is>
      </c>
      <c r="C1500" s="5" t="n">
        <v>46275</v>
      </c>
      <c r="D1500" t="inlineStr">
        <is>
          <t>SALARY N. TRAN PR260910</t>
        </is>
      </c>
      <c r="E1500" s="9" t="n">
        <v>-2623.62</v>
      </c>
      <c r="F1500" t="inlineStr">
        <is>
          <t>PAY-20260910</t>
        </is>
      </c>
      <c r="G1500" t="inlineStr">
        <is>
          <t>G00556</t>
        </is>
      </c>
      <c r="H1500" t="str">
        <f>INDEX('Match Groups'!$C$5:$C$1326,MATCH(G1500,'Match Groups'!$A$5:$A$1326,0))</f>
        <v>R05</v>
      </c>
      <c r="I1500" t="str">
        <f>INDEX('Match Groups'!$D$5:$D$1326,MATCH(G1500,'Match Groups'!$A$5:$A$1326,0))</f>
        <v>MATCH</v>
      </c>
      <c r="J1500">
        <f>IF(I1500="DUPIMP",0,1)</f>
        <v>1</v>
      </c>
    </row>
    <row r="1501">
      <c r="A1501" t="inlineStr">
        <is>
          <t>BL-01133</t>
        </is>
      </c>
      <c r="B1501" t="inlineStr">
        <is>
          <t>PAY</t>
        </is>
      </c>
      <c r="C1501" s="5" t="n">
        <v>46275</v>
      </c>
      <c r="D1501" t="inlineStr">
        <is>
          <t>SALARY A. RAMOS PR260910</t>
        </is>
      </c>
      <c r="E1501" s="9" t="n">
        <v>-2882.61</v>
      </c>
      <c r="F1501" t="inlineStr">
        <is>
          <t>PAY-20260910</t>
        </is>
      </c>
      <c r="G1501" t="inlineStr">
        <is>
          <t>G00556</t>
        </is>
      </c>
      <c r="H1501" t="str">
        <f>INDEX('Match Groups'!$C$5:$C$1326,MATCH(G1501,'Match Groups'!$A$5:$A$1326,0))</f>
        <v>R05</v>
      </c>
      <c r="I1501" t="str">
        <f>INDEX('Match Groups'!$D$5:$D$1326,MATCH(G1501,'Match Groups'!$A$5:$A$1326,0))</f>
        <v>MATCH</v>
      </c>
      <c r="J1501">
        <f>IF(I1501="DUPIMP",0,1)</f>
        <v>1</v>
      </c>
    </row>
    <row r="1502">
      <c r="A1502" t="inlineStr">
        <is>
          <t>BL-01134</t>
        </is>
      </c>
      <c r="B1502" t="inlineStr">
        <is>
          <t>PAY</t>
        </is>
      </c>
      <c r="C1502" s="5" t="n">
        <v>46275</v>
      </c>
      <c r="D1502" t="inlineStr">
        <is>
          <t>SALARY D. LINDQVIST PR260910</t>
        </is>
      </c>
      <c r="E1502" s="9" t="n">
        <v>-1992.93</v>
      </c>
      <c r="F1502" t="inlineStr">
        <is>
          <t>PAY-20260910</t>
        </is>
      </c>
      <c r="G1502" t="inlineStr">
        <is>
          <t>G00556</t>
        </is>
      </c>
      <c r="H1502" t="str">
        <f>INDEX('Match Groups'!$C$5:$C$1326,MATCH(G1502,'Match Groups'!$A$5:$A$1326,0))</f>
        <v>R05</v>
      </c>
      <c r="I1502" t="str">
        <f>INDEX('Match Groups'!$D$5:$D$1326,MATCH(G1502,'Match Groups'!$A$5:$A$1326,0))</f>
        <v>MATCH</v>
      </c>
      <c r="J1502">
        <f>IF(I1502="DUPIMP",0,1)</f>
        <v>1</v>
      </c>
    </row>
    <row r="1503">
      <c r="A1503" t="inlineStr">
        <is>
          <t>BL-01135</t>
        </is>
      </c>
      <c r="B1503" t="inlineStr">
        <is>
          <t>PAY</t>
        </is>
      </c>
      <c r="C1503" s="5" t="n">
        <v>46275</v>
      </c>
      <c r="D1503" t="inlineStr">
        <is>
          <t>SALARY H. MEHTA PR260910</t>
        </is>
      </c>
      <c r="E1503" s="9" t="n">
        <v>-2658.71</v>
      </c>
      <c r="F1503" t="inlineStr">
        <is>
          <t>PAY-20260910</t>
        </is>
      </c>
      <c r="G1503" t="inlineStr">
        <is>
          <t>G00556</t>
        </is>
      </c>
      <c r="H1503" t="str">
        <f>INDEX('Match Groups'!$C$5:$C$1326,MATCH(G1503,'Match Groups'!$A$5:$A$1326,0))</f>
        <v>R05</v>
      </c>
      <c r="I1503" t="str">
        <f>INDEX('Match Groups'!$D$5:$D$1326,MATCH(G1503,'Match Groups'!$A$5:$A$1326,0))</f>
        <v>MATCH</v>
      </c>
      <c r="J1503">
        <f>IF(I1503="DUPIMP",0,1)</f>
        <v>1</v>
      </c>
    </row>
    <row r="1504">
      <c r="A1504" t="inlineStr">
        <is>
          <t>BL-01136</t>
        </is>
      </c>
      <c r="B1504" t="inlineStr">
        <is>
          <t>PAY</t>
        </is>
      </c>
      <c r="C1504" s="5" t="n">
        <v>46275</v>
      </c>
      <c r="D1504" t="inlineStr">
        <is>
          <t>SALARY D. O'ROURKE PR260910</t>
        </is>
      </c>
      <c r="E1504" s="9" t="n">
        <v>-2912.35</v>
      </c>
      <c r="F1504" t="inlineStr">
        <is>
          <t>PAY-20260910</t>
        </is>
      </c>
      <c r="G1504" t="inlineStr">
        <is>
          <t>G00556</t>
        </is>
      </c>
      <c r="H1504" t="str">
        <f>INDEX('Match Groups'!$C$5:$C$1326,MATCH(G1504,'Match Groups'!$A$5:$A$1326,0))</f>
        <v>R05</v>
      </c>
      <c r="I1504" t="str">
        <f>INDEX('Match Groups'!$D$5:$D$1326,MATCH(G1504,'Match Groups'!$A$5:$A$1326,0))</f>
        <v>MATCH</v>
      </c>
      <c r="J1504">
        <f>IF(I1504="DUPIMP",0,1)</f>
        <v>1</v>
      </c>
    </row>
    <row r="1505">
      <c r="A1505" t="inlineStr">
        <is>
          <t>BL-01137</t>
        </is>
      </c>
      <c r="B1505" t="inlineStr">
        <is>
          <t>PAY</t>
        </is>
      </c>
      <c r="C1505" s="5" t="n">
        <v>46275</v>
      </c>
      <c r="D1505" t="inlineStr">
        <is>
          <t>SALARY H. PAPADOPOULOS PR260910</t>
        </is>
      </c>
      <c r="E1505" s="9" t="n">
        <v>-3628.75</v>
      </c>
      <c r="F1505" t="inlineStr">
        <is>
          <t>PAY-20260910</t>
        </is>
      </c>
      <c r="G1505" t="inlineStr">
        <is>
          <t>G00556</t>
        </is>
      </c>
      <c r="H1505" t="str">
        <f>INDEX('Match Groups'!$C$5:$C$1326,MATCH(G1505,'Match Groups'!$A$5:$A$1326,0))</f>
        <v>R05</v>
      </c>
      <c r="I1505" t="str">
        <f>INDEX('Match Groups'!$D$5:$D$1326,MATCH(G1505,'Match Groups'!$A$5:$A$1326,0))</f>
        <v>MATCH</v>
      </c>
      <c r="J1505">
        <f>IF(I1505="DUPIMP",0,1)</f>
        <v>1</v>
      </c>
    </row>
    <row r="1506">
      <c r="A1506" t="inlineStr">
        <is>
          <t>BL-01138</t>
        </is>
      </c>
      <c r="B1506" t="inlineStr">
        <is>
          <t>PAY</t>
        </is>
      </c>
      <c r="C1506" s="5" t="n">
        <v>46275</v>
      </c>
      <c r="D1506" t="inlineStr">
        <is>
          <t>SALARY D. SUTHERLAND PR260910</t>
        </is>
      </c>
      <c r="E1506" s="9" t="n">
        <v>-2874.22</v>
      </c>
      <c r="F1506" t="inlineStr">
        <is>
          <t>PAY-20260910</t>
        </is>
      </c>
      <c r="G1506" t="inlineStr">
        <is>
          <t>G00556</t>
        </is>
      </c>
      <c r="H1506" t="str">
        <f>INDEX('Match Groups'!$C$5:$C$1326,MATCH(G1506,'Match Groups'!$A$5:$A$1326,0))</f>
        <v>R05</v>
      </c>
      <c r="I1506" t="str">
        <f>INDEX('Match Groups'!$D$5:$D$1326,MATCH(G1506,'Match Groups'!$A$5:$A$1326,0))</f>
        <v>MATCH</v>
      </c>
      <c r="J1506">
        <f>IF(I1506="DUPIMP",0,1)</f>
        <v>1</v>
      </c>
    </row>
    <row r="1507">
      <c r="A1507" t="inlineStr">
        <is>
          <t>BL-01139</t>
        </is>
      </c>
      <c r="B1507" t="inlineStr">
        <is>
          <t>PAY</t>
        </is>
      </c>
      <c r="C1507" s="5" t="n">
        <v>46275</v>
      </c>
      <c r="D1507" t="inlineStr">
        <is>
          <t>SALARY C. YAMAMOTO PR260910</t>
        </is>
      </c>
      <c r="E1507" s="9" t="n">
        <v>-1798.84</v>
      </c>
      <c r="F1507" t="inlineStr">
        <is>
          <t>PAY-20260910</t>
        </is>
      </c>
      <c r="G1507" t="inlineStr">
        <is>
          <t>G00556</t>
        </is>
      </c>
      <c r="H1507" t="str">
        <f>INDEX('Match Groups'!$C$5:$C$1326,MATCH(G1507,'Match Groups'!$A$5:$A$1326,0))</f>
        <v>R05</v>
      </c>
      <c r="I1507" t="str">
        <f>INDEX('Match Groups'!$D$5:$D$1326,MATCH(G1507,'Match Groups'!$A$5:$A$1326,0))</f>
        <v>MATCH</v>
      </c>
      <c r="J1507">
        <f>IF(I1507="DUPIMP",0,1)</f>
        <v>1</v>
      </c>
    </row>
    <row r="1508">
      <c r="A1508" t="inlineStr">
        <is>
          <t>BL-01140</t>
        </is>
      </c>
      <c r="B1508" t="inlineStr">
        <is>
          <t>PAY</t>
        </is>
      </c>
      <c r="C1508" s="5" t="n">
        <v>46275</v>
      </c>
      <c r="D1508" t="inlineStr">
        <is>
          <t>SALARY L. ABERNATHY PR260910</t>
        </is>
      </c>
      <c r="E1508" s="9" t="n">
        <v>-3519.43</v>
      </c>
      <c r="F1508" t="inlineStr">
        <is>
          <t>PAY-20260910</t>
        </is>
      </c>
      <c r="G1508" t="inlineStr">
        <is>
          <t>G00556</t>
        </is>
      </c>
      <c r="H1508" t="str">
        <f>INDEX('Match Groups'!$C$5:$C$1326,MATCH(G1508,'Match Groups'!$A$5:$A$1326,0))</f>
        <v>R05</v>
      </c>
      <c r="I1508" t="str">
        <f>INDEX('Match Groups'!$D$5:$D$1326,MATCH(G1508,'Match Groups'!$A$5:$A$1326,0))</f>
        <v>MATCH</v>
      </c>
      <c r="J1508">
        <f>IF(I1508="DUPIMP",0,1)</f>
        <v>1</v>
      </c>
    </row>
    <row r="1509">
      <c r="A1509" t="inlineStr">
        <is>
          <t>BL-01141</t>
        </is>
      </c>
      <c r="B1509" t="inlineStr">
        <is>
          <t>PAY</t>
        </is>
      </c>
      <c r="C1509" s="5" t="n">
        <v>46275</v>
      </c>
      <c r="D1509" t="inlineStr">
        <is>
          <t>SALARY J. CASTELLANO PR260910</t>
        </is>
      </c>
      <c r="E1509" s="9" t="n">
        <v>-2424.1</v>
      </c>
      <c r="F1509" t="inlineStr">
        <is>
          <t>PAY-20260910</t>
        </is>
      </c>
      <c r="G1509" t="inlineStr">
        <is>
          <t>G00556</t>
        </is>
      </c>
      <c r="H1509" t="str">
        <f>INDEX('Match Groups'!$C$5:$C$1326,MATCH(G1509,'Match Groups'!$A$5:$A$1326,0))</f>
        <v>R05</v>
      </c>
      <c r="I1509" t="str">
        <f>INDEX('Match Groups'!$D$5:$D$1326,MATCH(G1509,'Match Groups'!$A$5:$A$1326,0))</f>
        <v>MATCH</v>
      </c>
      <c r="J1509">
        <f>IF(I1509="DUPIMP",0,1)</f>
        <v>1</v>
      </c>
    </row>
    <row r="1510">
      <c r="A1510" t="inlineStr">
        <is>
          <t>BL-01142</t>
        </is>
      </c>
      <c r="B1510" t="inlineStr">
        <is>
          <t>PAY</t>
        </is>
      </c>
      <c r="C1510" s="5" t="n">
        <v>46275</v>
      </c>
      <c r="D1510" t="inlineStr">
        <is>
          <t>SALARY G. DEMPSEY PR260910</t>
        </is>
      </c>
      <c r="E1510" s="9" t="n">
        <v>-1698.94</v>
      </c>
      <c r="F1510" t="inlineStr">
        <is>
          <t>PAY-20260910</t>
        </is>
      </c>
      <c r="G1510" t="inlineStr">
        <is>
          <t>G00556</t>
        </is>
      </c>
      <c r="H1510" t="str">
        <f>INDEX('Match Groups'!$C$5:$C$1326,MATCH(G1510,'Match Groups'!$A$5:$A$1326,0))</f>
        <v>R05</v>
      </c>
      <c r="I1510" t="str">
        <f>INDEX('Match Groups'!$D$5:$D$1326,MATCH(G1510,'Match Groups'!$A$5:$A$1326,0))</f>
        <v>MATCH</v>
      </c>
      <c r="J1510">
        <f>IF(I1510="DUPIMP",0,1)</f>
        <v>1</v>
      </c>
    </row>
    <row r="1511">
      <c r="A1511" t="inlineStr">
        <is>
          <t>BL-01143</t>
        </is>
      </c>
      <c r="B1511" t="inlineStr">
        <is>
          <t>PAY</t>
        </is>
      </c>
      <c r="C1511" s="5" t="n">
        <v>46275</v>
      </c>
      <c r="D1511" t="inlineStr">
        <is>
          <t>SALARY G. ERIKSEN PR260910</t>
        </is>
      </c>
      <c r="E1511" s="9" t="n">
        <v>-1804.22</v>
      </c>
      <c r="F1511" t="inlineStr">
        <is>
          <t>PAY-20260910</t>
        </is>
      </c>
      <c r="G1511" t="inlineStr">
        <is>
          <t>G00556</t>
        </is>
      </c>
      <c r="H1511" t="str">
        <f>INDEX('Match Groups'!$C$5:$C$1326,MATCH(G1511,'Match Groups'!$A$5:$A$1326,0))</f>
        <v>R05</v>
      </c>
      <c r="I1511" t="str">
        <f>INDEX('Match Groups'!$D$5:$D$1326,MATCH(G1511,'Match Groups'!$A$5:$A$1326,0))</f>
        <v>MATCH</v>
      </c>
      <c r="J1511">
        <f>IF(I1511="DUPIMP",0,1)</f>
        <v>1</v>
      </c>
    </row>
    <row r="1512">
      <c r="A1512" t="inlineStr">
        <is>
          <t>BL-01144</t>
        </is>
      </c>
      <c r="B1512" t="inlineStr">
        <is>
          <t>PAY</t>
        </is>
      </c>
      <c r="C1512" s="5" t="n">
        <v>46275</v>
      </c>
      <c r="D1512" t="inlineStr">
        <is>
          <t>SALARY H. FERRARO PR260910</t>
        </is>
      </c>
      <c r="E1512" s="9" t="n">
        <v>-2575.75</v>
      </c>
      <c r="F1512" t="inlineStr">
        <is>
          <t>PAY-20260910</t>
        </is>
      </c>
      <c r="G1512" t="inlineStr">
        <is>
          <t>G00556</t>
        </is>
      </c>
      <c r="H1512" t="str">
        <f>INDEX('Match Groups'!$C$5:$C$1326,MATCH(G1512,'Match Groups'!$A$5:$A$1326,0))</f>
        <v>R05</v>
      </c>
      <c r="I1512" t="str">
        <f>INDEX('Match Groups'!$D$5:$D$1326,MATCH(G1512,'Match Groups'!$A$5:$A$1326,0))</f>
        <v>MATCH</v>
      </c>
      <c r="J1512">
        <f>IF(I1512="DUPIMP",0,1)</f>
        <v>1</v>
      </c>
    </row>
    <row r="1513">
      <c r="A1513" t="inlineStr">
        <is>
          <t>BL-01145</t>
        </is>
      </c>
      <c r="B1513" t="inlineStr">
        <is>
          <t>PAY</t>
        </is>
      </c>
      <c r="C1513" s="5" t="n">
        <v>46275</v>
      </c>
      <c r="D1513" t="inlineStr">
        <is>
          <t>SALARY R. GALLAGHER PR260910</t>
        </is>
      </c>
      <c r="E1513" s="9" t="n">
        <v>-3123.89</v>
      </c>
      <c r="F1513" t="inlineStr">
        <is>
          <t>PAY-20260910</t>
        </is>
      </c>
      <c r="G1513" t="inlineStr">
        <is>
          <t>G00556</t>
        </is>
      </c>
      <c r="H1513" t="str">
        <f>INDEX('Match Groups'!$C$5:$C$1326,MATCH(G1513,'Match Groups'!$A$5:$A$1326,0))</f>
        <v>R05</v>
      </c>
      <c r="I1513" t="str">
        <f>INDEX('Match Groups'!$D$5:$D$1326,MATCH(G1513,'Match Groups'!$A$5:$A$1326,0))</f>
        <v>MATCH</v>
      </c>
      <c r="J1513">
        <f>IF(I1513="DUPIMP",0,1)</f>
        <v>1</v>
      </c>
    </row>
    <row r="1514">
      <c r="A1514" t="inlineStr">
        <is>
          <t>BL-01146</t>
        </is>
      </c>
      <c r="B1514" t="inlineStr">
        <is>
          <t>PAY</t>
        </is>
      </c>
      <c r="C1514" s="5" t="n">
        <v>46275</v>
      </c>
      <c r="D1514" t="inlineStr">
        <is>
          <t>SALARY N. HOSSEINI PR260910</t>
        </is>
      </c>
      <c r="E1514" s="9" t="n">
        <v>-3340.42</v>
      </c>
      <c r="F1514" t="inlineStr">
        <is>
          <t>PAY-20260910</t>
        </is>
      </c>
      <c r="G1514" t="inlineStr">
        <is>
          <t>G00556</t>
        </is>
      </c>
      <c r="H1514" t="str">
        <f>INDEX('Match Groups'!$C$5:$C$1326,MATCH(G1514,'Match Groups'!$A$5:$A$1326,0))</f>
        <v>R05</v>
      </c>
      <c r="I1514" t="str">
        <f>INDEX('Match Groups'!$D$5:$D$1326,MATCH(G1514,'Match Groups'!$A$5:$A$1326,0))</f>
        <v>MATCH</v>
      </c>
      <c r="J1514">
        <f>IF(I1514="DUPIMP",0,1)</f>
        <v>1</v>
      </c>
    </row>
    <row r="1515">
      <c r="A1515" t="inlineStr">
        <is>
          <t>BL-01147</t>
        </is>
      </c>
      <c r="B1515" t="inlineStr">
        <is>
          <t>PAY</t>
        </is>
      </c>
      <c r="C1515" s="5" t="n">
        <v>46275</v>
      </c>
      <c r="D1515" t="inlineStr">
        <is>
          <t>SALARY T. IVANOVA PR260910</t>
        </is>
      </c>
      <c r="E1515" s="9" t="n">
        <v>-2790.53</v>
      </c>
      <c r="F1515" t="inlineStr">
        <is>
          <t>PAY-20260910</t>
        </is>
      </c>
      <c r="G1515" t="inlineStr">
        <is>
          <t>G00556</t>
        </is>
      </c>
      <c r="H1515" t="str">
        <f>INDEX('Match Groups'!$C$5:$C$1326,MATCH(G1515,'Match Groups'!$A$5:$A$1326,0))</f>
        <v>R05</v>
      </c>
      <c r="I1515" t="str">
        <f>INDEX('Match Groups'!$D$5:$D$1326,MATCH(G1515,'Match Groups'!$A$5:$A$1326,0))</f>
        <v>MATCH</v>
      </c>
      <c r="J1515">
        <f>IF(I1515="DUPIMP",0,1)</f>
        <v>1</v>
      </c>
    </row>
    <row r="1516">
      <c r="A1516" t="inlineStr">
        <is>
          <t>BL-01148</t>
        </is>
      </c>
      <c r="B1516" t="inlineStr">
        <is>
          <t>PAY</t>
        </is>
      </c>
      <c r="C1516" s="5" t="n">
        <v>46275</v>
      </c>
      <c r="D1516" t="inlineStr">
        <is>
          <t>SALARY P. JOVANOVIC PR260910</t>
        </is>
      </c>
      <c r="E1516" s="9" t="n">
        <v>-1686.31</v>
      </c>
      <c r="F1516" t="inlineStr">
        <is>
          <t>PAY-20260910</t>
        </is>
      </c>
      <c r="G1516" t="inlineStr">
        <is>
          <t>G00556</t>
        </is>
      </c>
      <c r="H1516" t="str">
        <f>INDEX('Match Groups'!$C$5:$C$1326,MATCH(G1516,'Match Groups'!$A$5:$A$1326,0))</f>
        <v>R05</v>
      </c>
      <c r="I1516" t="str">
        <f>INDEX('Match Groups'!$D$5:$D$1326,MATCH(G1516,'Match Groups'!$A$5:$A$1326,0))</f>
        <v>MATCH</v>
      </c>
      <c r="J1516">
        <f>IF(I1516="DUPIMP",0,1)</f>
        <v>1</v>
      </c>
    </row>
    <row r="1517">
      <c r="A1517" t="inlineStr">
        <is>
          <t>BL-01149</t>
        </is>
      </c>
      <c r="B1517" t="inlineStr">
        <is>
          <t>PAY</t>
        </is>
      </c>
      <c r="C1517" s="5" t="n">
        <v>46275</v>
      </c>
      <c r="D1517" t="inlineStr">
        <is>
          <t>SALARY M. KAUR PR260910</t>
        </is>
      </c>
      <c r="E1517" s="9" t="n">
        <v>-3060.98</v>
      </c>
      <c r="F1517" t="inlineStr">
        <is>
          <t>PAY-20260910</t>
        </is>
      </c>
      <c r="G1517" t="inlineStr">
        <is>
          <t>G00556</t>
        </is>
      </c>
      <c r="H1517" t="str">
        <f>INDEX('Match Groups'!$C$5:$C$1326,MATCH(G1517,'Match Groups'!$A$5:$A$1326,0))</f>
        <v>R05</v>
      </c>
      <c r="I1517" t="str">
        <f>INDEX('Match Groups'!$D$5:$D$1326,MATCH(G1517,'Match Groups'!$A$5:$A$1326,0))</f>
        <v>MATCH</v>
      </c>
      <c r="J1517">
        <f>IF(I1517="DUPIMP",0,1)</f>
        <v>1</v>
      </c>
    </row>
    <row r="1518">
      <c r="A1518" t="inlineStr">
        <is>
          <t>BL-01150</t>
        </is>
      </c>
      <c r="B1518" t="inlineStr">
        <is>
          <t>PAY</t>
        </is>
      </c>
      <c r="C1518" s="5" t="n">
        <v>46275</v>
      </c>
      <c r="D1518" t="inlineStr">
        <is>
          <t>SALARY F. LOMBARDI PR260910</t>
        </is>
      </c>
      <c r="E1518" s="9" t="n">
        <v>-3307.71</v>
      </c>
      <c r="F1518" t="inlineStr">
        <is>
          <t>PAY-20260910</t>
        </is>
      </c>
      <c r="G1518" t="inlineStr">
        <is>
          <t>G00556</t>
        </is>
      </c>
      <c r="H1518" t="str">
        <f>INDEX('Match Groups'!$C$5:$C$1326,MATCH(G1518,'Match Groups'!$A$5:$A$1326,0))</f>
        <v>R05</v>
      </c>
      <c r="I1518" t="str">
        <f>INDEX('Match Groups'!$D$5:$D$1326,MATCH(G1518,'Match Groups'!$A$5:$A$1326,0))</f>
        <v>MATCH</v>
      </c>
      <c r="J1518">
        <f>IF(I1518="DUPIMP",0,1)</f>
        <v>1</v>
      </c>
    </row>
    <row r="1519">
      <c r="A1519" t="inlineStr">
        <is>
          <t>BL-01151</t>
        </is>
      </c>
      <c r="B1519" t="inlineStr">
        <is>
          <t>PAY</t>
        </is>
      </c>
      <c r="C1519" s="5" t="n">
        <v>46275</v>
      </c>
      <c r="D1519" t="inlineStr">
        <is>
          <t>SALARY S. MACINTYRE PR260910</t>
        </is>
      </c>
      <c r="E1519" s="9" t="n">
        <v>-3099.2</v>
      </c>
      <c r="F1519" t="inlineStr">
        <is>
          <t>PAY-20260910</t>
        </is>
      </c>
      <c r="G1519" t="inlineStr">
        <is>
          <t>G00556</t>
        </is>
      </c>
      <c r="H1519" t="str">
        <f>INDEX('Match Groups'!$C$5:$C$1326,MATCH(G1519,'Match Groups'!$A$5:$A$1326,0))</f>
        <v>R05</v>
      </c>
      <c r="I1519" t="str">
        <f>INDEX('Match Groups'!$D$5:$D$1326,MATCH(G1519,'Match Groups'!$A$5:$A$1326,0))</f>
        <v>MATCH</v>
      </c>
      <c r="J1519">
        <f>IF(I1519="DUPIMP",0,1)</f>
        <v>1</v>
      </c>
    </row>
    <row r="1520">
      <c r="A1520" t="inlineStr">
        <is>
          <t>BL-01152</t>
        </is>
      </c>
      <c r="B1520" t="inlineStr">
        <is>
          <t>PAY</t>
        </is>
      </c>
      <c r="C1520" s="5" t="n">
        <v>46275</v>
      </c>
      <c r="D1520" t="inlineStr">
        <is>
          <t>SALARY W. NOVAK PR260910</t>
        </is>
      </c>
      <c r="E1520" s="9" t="n">
        <v>-3170.92</v>
      </c>
      <c r="F1520" t="inlineStr">
        <is>
          <t>PAY-20260910</t>
        </is>
      </c>
      <c r="G1520" t="inlineStr">
        <is>
          <t>G00556</t>
        </is>
      </c>
      <c r="H1520" t="str">
        <f>INDEX('Match Groups'!$C$5:$C$1326,MATCH(G1520,'Match Groups'!$A$5:$A$1326,0))</f>
        <v>R05</v>
      </c>
      <c r="I1520" t="str">
        <f>INDEX('Match Groups'!$D$5:$D$1326,MATCH(G1520,'Match Groups'!$A$5:$A$1326,0))</f>
        <v>MATCH</v>
      </c>
      <c r="J1520">
        <f>IF(I1520="DUPIMP",0,1)</f>
        <v>1</v>
      </c>
    </row>
    <row r="1521">
      <c r="A1521" t="inlineStr">
        <is>
          <t>BL-01153</t>
        </is>
      </c>
      <c r="B1521" t="inlineStr">
        <is>
          <t>PAY</t>
        </is>
      </c>
      <c r="C1521" s="5" t="n">
        <v>46275</v>
      </c>
      <c r="D1521" t="inlineStr">
        <is>
          <t>SALARY D. OYELARAN PR260910</t>
        </is>
      </c>
      <c r="E1521" s="9" t="n">
        <v>-3161.36</v>
      </c>
      <c r="F1521" t="inlineStr">
        <is>
          <t>PAY-20260910</t>
        </is>
      </c>
      <c r="G1521" t="inlineStr">
        <is>
          <t>G00556</t>
        </is>
      </c>
      <c r="H1521" t="str">
        <f>INDEX('Match Groups'!$C$5:$C$1326,MATCH(G1521,'Match Groups'!$A$5:$A$1326,0))</f>
        <v>R05</v>
      </c>
      <c r="I1521" t="str">
        <f>INDEX('Match Groups'!$D$5:$D$1326,MATCH(G1521,'Match Groups'!$A$5:$A$1326,0))</f>
        <v>MATCH</v>
      </c>
      <c r="J1521">
        <f>IF(I1521="DUPIMP",0,1)</f>
        <v>1</v>
      </c>
    </row>
    <row r="1522">
      <c r="A1522" t="inlineStr">
        <is>
          <t>BL-01154</t>
        </is>
      </c>
      <c r="B1522" t="inlineStr">
        <is>
          <t>PAY</t>
        </is>
      </c>
      <c r="C1522" s="5" t="n">
        <v>46275</v>
      </c>
      <c r="D1522" t="inlineStr">
        <is>
          <t>SALARY E. PELLEGRINO PR260910</t>
        </is>
      </c>
      <c r="E1522" s="9" t="n">
        <v>-2542.12</v>
      </c>
      <c r="F1522" t="inlineStr">
        <is>
          <t>PAY-20260910</t>
        </is>
      </c>
      <c r="G1522" t="inlineStr">
        <is>
          <t>G00556</t>
        </is>
      </c>
      <c r="H1522" t="str">
        <f>INDEX('Match Groups'!$C$5:$C$1326,MATCH(G1522,'Match Groups'!$A$5:$A$1326,0))</f>
        <v>R05</v>
      </c>
      <c r="I1522" t="str">
        <f>INDEX('Match Groups'!$D$5:$D$1326,MATCH(G1522,'Match Groups'!$A$5:$A$1326,0))</f>
        <v>MATCH</v>
      </c>
      <c r="J1522">
        <f>IF(I1522="DUPIMP",0,1)</f>
        <v>1</v>
      </c>
    </row>
    <row r="1523">
      <c r="A1523" t="inlineStr">
        <is>
          <t>BL-01155</t>
        </is>
      </c>
      <c r="B1523" t="inlineStr">
        <is>
          <t>PAY</t>
        </is>
      </c>
      <c r="C1523" s="5" t="n">
        <v>46275</v>
      </c>
      <c r="D1523" t="inlineStr">
        <is>
          <t>SALARY T. QUACH PR260910</t>
        </is>
      </c>
      <c r="E1523" s="9" t="n">
        <v>-3462.3</v>
      </c>
      <c r="F1523" t="inlineStr">
        <is>
          <t>PAY-20260910</t>
        </is>
      </c>
      <c r="G1523" t="inlineStr">
        <is>
          <t>G00556</t>
        </is>
      </c>
      <c r="H1523" t="str">
        <f>INDEX('Match Groups'!$C$5:$C$1326,MATCH(G1523,'Match Groups'!$A$5:$A$1326,0))</f>
        <v>R05</v>
      </c>
      <c r="I1523" t="str">
        <f>INDEX('Match Groups'!$D$5:$D$1326,MATCH(G1523,'Match Groups'!$A$5:$A$1326,0))</f>
        <v>MATCH</v>
      </c>
      <c r="J1523">
        <f>IF(I1523="DUPIMP",0,1)</f>
        <v>1</v>
      </c>
    </row>
    <row r="1524">
      <c r="A1524" t="inlineStr">
        <is>
          <t>BL-01156</t>
        </is>
      </c>
      <c r="B1524" t="inlineStr">
        <is>
          <t>PAY</t>
        </is>
      </c>
      <c r="C1524" s="5" t="n">
        <v>46275</v>
      </c>
      <c r="D1524" t="inlineStr">
        <is>
          <t>SALARY S. RASMUSSEN PR260910</t>
        </is>
      </c>
      <c r="E1524" s="9" t="n">
        <v>-1905.62</v>
      </c>
      <c r="F1524" t="inlineStr">
        <is>
          <t>PAY-20260910</t>
        </is>
      </c>
      <c r="G1524" t="inlineStr">
        <is>
          <t>G00556</t>
        </is>
      </c>
      <c r="H1524" t="str">
        <f>INDEX('Match Groups'!$C$5:$C$1326,MATCH(G1524,'Match Groups'!$A$5:$A$1326,0))</f>
        <v>R05</v>
      </c>
      <c r="I1524" t="str">
        <f>INDEX('Match Groups'!$D$5:$D$1326,MATCH(G1524,'Match Groups'!$A$5:$A$1326,0))</f>
        <v>MATCH</v>
      </c>
      <c r="J1524">
        <f>IF(I1524="DUPIMP",0,1)</f>
        <v>1</v>
      </c>
    </row>
    <row r="1525">
      <c r="A1525" t="inlineStr">
        <is>
          <t>BL-01157</t>
        </is>
      </c>
      <c r="B1525" t="inlineStr">
        <is>
          <t>PAY</t>
        </is>
      </c>
      <c r="C1525" s="5" t="n">
        <v>46275</v>
      </c>
      <c r="D1525" t="inlineStr">
        <is>
          <t>SALARY H. SANDOVAL PR260910</t>
        </is>
      </c>
      <c r="E1525" s="9" t="n">
        <v>-3168.25</v>
      </c>
      <c r="F1525" t="inlineStr">
        <is>
          <t>PAY-20260910</t>
        </is>
      </c>
      <c r="G1525" t="inlineStr">
        <is>
          <t>G00556</t>
        </is>
      </c>
      <c r="H1525" t="str">
        <f>INDEX('Match Groups'!$C$5:$C$1326,MATCH(G1525,'Match Groups'!$A$5:$A$1326,0))</f>
        <v>R05</v>
      </c>
      <c r="I1525" t="str">
        <f>INDEX('Match Groups'!$D$5:$D$1326,MATCH(G1525,'Match Groups'!$A$5:$A$1326,0))</f>
        <v>MATCH</v>
      </c>
      <c r="J1525">
        <f>IF(I1525="DUPIMP",0,1)</f>
        <v>1</v>
      </c>
    </row>
    <row r="1526">
      <c r="A1526" t="inlineStr">
        <is>
          <t>BL-01158</t>
        </is>
      </c>
      <c r="B1526" t="inlineStr">
        <is>
          <t>PAY</t>
        </is>
      </c>
      <c r="C1526" s="5" t="n">
        <v>46275</v>
      </c>
      <c r="D1526" t="inlineStr">
        <is>
          <t>SALARY R. TEAGUE PR260910</t>
        </is>
      </c>
      <c r="E1526" s="9" t="n">
        <v>-2086.62</v>
      </c>
      <c r="F1526" t="inlineStr">
        <is>
          <t>PAY-20260910</t>
        </is>
      </c>
      <c r="G1526" t="inlineStr">
        <is>
          <t>G00556</t>
        </is>
      </c>
      <c r="H1526" t="str">
        <f>INDEX('Match Groups'!$C$5:$C$1326,MATCH(G1526,'Match Groups'!$A$5:$A$1326,0))</f>
        <v>R05</v>
      </c>
      <c r="I1526" t="str">
        <f>INDEX('Match Groups'!$D$5:$D$1326,MATCH(G1526,'Match Groups'!$A$5:$A$1326,0))</f>
        <v>MATCH</v>
      </c>
      <c r="J1526">
        <f>IF(I1526="DUPIMP",0,1)</f>
        <v>1</v>
      </c>
    </row>
    <row r="1527">
      <c r="A1527" t="inlineStr">
        <is>
          <t>BL-01159</t>
        </is>
      </c>
      <c r="B1527" t="inlineStr">
        <is>
          <t>PAY</t>
        </is>
      </c>
      <c r="C1527" s="5" t="n">
        <v>46275</v>
      </c>
      <c r="D1527" t="inlineStr">
        <is>
          <t>SALARY M. UPTON PR260910</t>
        </is>
      </c>
      <c r="E1527" s="9" t="n">
        <v>-3443.7</v>
      </c>
      <c r="F1527" t="inlineStr">
        <is>
          <t>PAY-20260910</t>
        </is>
      </c>
      <c r="G1527" t="inlineStr">
        <is>
          <t>G00556</t>
        </is>
      </c>
      <c r="H1527" t="str">
        <f>INDEX('Match Groups'!$C$5:$C$1326,MATCH(G1527,'Match Groups'!$A$5:$A$1326,0))</f>
        <v>R05</v>
      </c>
      <c r="I1527" t="str">
        <f>INDEX('Match Groups'!$D$5:$D$1326,MATCH(G1527,'Match Groups'!$A$5:$A$1326,0))</f>
        <v>MATCH</v>
      </c>
      <c r="J1527">
        <f>IF(I1527="DUPIMP",0,1)</f>
        <v>1</v>
      </c>
    </row>
    <row r="1528">
      <c r="A1528" t="inlineStr">
        <is>
          <t>BL-01160</t>
        </is>
      </c>
      <c r="B1528" t="inlineStr">
        <is>
          <t>PAY</t>
        </is>
      </c>
      <c r="C1528" s="5" t="n">
        <v>46275</v>
      </c>
      <c r="D1528" t="inlineStr">
        <is>
          <t>SALARY K. VASQUEZ PR260910</t>
        </is>
      </c>
      <c r="E1528" s="9" t="n">
        <v>-1864.83</v>
      </c>
      <c r="F1528" t="inlineStr">
        <is>
          <t>PAY-20260910</t>
        </is>
      </c>
      <c r="G1528" t="inlineStr">
        <is>
          <t>G00556</t>
        </is>
      </c>
      <c r="H1528" t="str">
        <f>INDEX('Match Groups'!$C$5:$C$1326,MATCH(G1528,'Match Groups'!$A$5:$A$1326,0))</f>
        <v>R05</v>
      </c>
      <c r="I1528" t="str">
        <f>INDEX('Match Groups'!$D$5:$D$1326,MATCH(G1528,'Match Groups'!$A$5:$A$1326,0))</f>
        <v>MATCH</v>
      </c>
      <c r="J1528">
        <f>IF(I1528="DUPIMP",0,1)</f>
        <v>1</v>
      </c>
    </row>
    <row r="1529">
      <c r="A1529" t="inlineStr">
        <is>
          <t>BL-01161</t>
        </is>
      </c>
      <c r="B1529" t="inlineStr">
        <is>
          <t>PAY</t>
        </is>
      </c>
      <c r="C1529" s="5" t="n">
        <v>46275</v>
      </c>
      <c r="D1529" t="inlineStr">
        <is>
          <t>SALARY M. WHITLOCK PR260910</t>
        </is>
      </c>
      <c r="E1529" s="9" t="n">
        <v>-1580.38</v>
      </c>
      <c r="F1529" t="inlineStr">
        <is>
          <t>PAY-20260910</t>
        </is>
      </c>
      <c r="G1529" t="inlineStr">
        <is>
          <t>G00556</t>
        </is>
      </c>
      <c r="H1529" t="str">
        <f>INDEX('Match Groups'!$C$5:$C$1326,MATCH(G1529,'Match Groups'!$A$5:$A$1326,0))</f>
        <v>R05</v>
      </c>
      <c r="I1529" t="str">
        <f>INDEX('Match Groups'!$D$5:$D$1326,MATCH(G1529,'Match Groups'!$A$5:$A$1326,0))</f>
        <v>MATCH</v>
      </c>
      <c r="J1529">
        <f>IF(I1529="DUPIMP",0,1)</f>
        <v>1</v>
      </c>
    </row>
    <row r="1530">
      <c r="A1530" t="inlineStr">
        <is>
          <t>BL-01162</t>
        </is>
      </c>
      <c r="B1530" t="inlineStr">
        <is>
          <t>PAY</t>
        </is>
      </c>
      <c r="C1530" s="5" t="n">
        <v>46275</v>
      </c>
      <c r="D1530" t="inlineStr">
        <is>
          <t>SALARY P. XU PR260910</t>
        </is>
      </c>
      <c r="E1530" s="9" t="n">
        <v>-1870.26</v>
      </c>
      <c r="F1530" t="inlineStr">
        <is>
          <t>PAY-20260910</t>
        </is>
      </c>
      <c r="G1530" t="inlineStr">
        <is>
          <t>G00556</t>
        </is>
      </c>
      <c r="H1530" t="str">
        <f>INDEX('Match Groups'!$C$5:$C$1326,MATCH(G1530,'Match Groups'!$A$5:$A$1326,0))</f>
        <v>R05</v>
      </c>
      <c r="I1530" t="str">
        <f>INDEX('Match Groups'!$D$5:$D$1326,MATCH(G1530,'Match Groups'!$A$5:$A$1326,0))</f>
        <v>MATCH</v>
      </c>
      <c r="J1530">
        <f>IF(I1530="DUPIMP",0,1)</f>
        <v>1</v>
      </c>
    </row>
    <row r="1531">
      <c r="A1531" t="inlineStr">
        <is>
          <t>BL-01163</t>
        </is>
      </c>
      <c r="B1531" t="inlineStr">
        <is>
          <t>PAY</t>
        </is>
      </c>
      <c r="C1531" s="5" t="n">
        <v>46275</v>
      </c>
      <c r="D1531" t="inlineStr">
        <is>
          <t>SALARY R. YILMAZ PR260910</t>
        </is>
      </c>
      <c r="E1531" s="9" t="n">
        <v>-3384.1</v>
      </c>
      <c r="F1531" t="inlineStr">
        <is>
          <t>PAY-20260910</t>
        </is>
      </c>
      <c r="G1531" t="inlineStr">
        <is>
          <t>G00556</t>
        </is>
      </c>
      <c r="H1531" t="str">
        <f>INDEX('Match Groups'!$C$5:$C$1326,MATCH(G1531,'Match Groups'!$A$5:$A$1326,0))</f>
        <v>R05</v>
      </c>
      <c r="I1531" t="str">
        <f>INDEX('Match Groups'!$D$5:$D$1326,MATCH(G1531,'Match Groups'!$A$5:$A$1326,0))</f>
        <v>MATCH</v>
      </c>
      <c r="J1531">
        <f>IF(I1531="DUPIMP",0,1)</f>
        <v>1</v>
      </c>
    </row>
    <row r="1532">
      <c r="A1532" t="inlineStr">
        <is>
          <t>BL-01164</t>
        </is>
      </c>
      <c r="B1532" t="inlineStr">
        <is>
          <t>PAY</t>
        </is>
      </c>
      <c r="C1532" s="5" t="n">
        <v>46275</v>
      </c>
      <c r="D1532" t="inlineStr">
        <is>
          <t>SALARY E. ZIELINSKI PR260910</t>
        </is>
      </c>
      <c r="E1532" s="9" t="n">
        <v>-2295.29</v>
      </c>
      <c r="F1532" t="inlineStr">
        <is>
          <t>PAY-20260910</t>
        </is>
      </c>
      <c r="G1532" t="inlineStr">
        <is>
          <t>G00556</t>
        </is>
      </c>
      <c r="H1532" t="str">
        <f>INDEX('Match Groups'!$C$5:$C$1326,MATCH(G1532,'Match Groups'!$A$5:$A$1326,0))</f>
        <v>R05</v>
      </c>
      <c r="I1532" t="str">
        <f>INDEX('Match Groups'!$D$5:$D$1326,MATCH(G1532,'Match Groups'!$A$5:$A$1326,0))</f>
        <v>MATCH</v>
      </c>
      <c r="J1532">
        <f>IF(I1532="DUPIMP",0,1)</f>
        <v>1</v>
      </c>
    </row>
    <row r="1533">
      <c r="A1533" t="inlineStr">
        <is>
          <t>BL-01165</t>
        </is>
      </c>
      <c r="B1533" t="inlineStr">
        <is>
          <t>PAY</t>
        </is>
      </c>
      <c r="C1533" s="5" t="n">
        <v>46275</v>
      </c>
      <c r="D1533" t="inlineStr">
        <is>
          <t>SALARY A. ASHBY PR260910</t>
        </is>
      </c>
      <c r="E1533" s="9" t="n">
        <v>-3775.71</v>
      </c>
      <c r="F1533" t="inlineStr">
        <is>
          <t>PAY-20260910</t>
        </is>
      </c>
      <c r="G1533" t="inlineStr">
        <is>
          <t>G00556</t>
        </is>
      </c>
      <c r="H1533" t="str">
        <f>INDEX('Match Groups'!$C$5:$C$1326,MATCH(G1533,'Match Groups'!$A$5:$A$1326,0))</f>
        <v>R05</v>
      </c>
      <c r="I1533" t="str">
        <f>INDEX('Match Groups'!$D$5:$D$1326,MATCH(G1533,'Match Groups'!$A$5:$A$1326,0))</f>
        <v>MATCH</v>
      </c>
      <c r="J1533">
        <f>IF(I1533="DUPIMP",0,1)</f>
        <v>1</v>
      </c>
    </row>
    <row r="1534">
      <c r="A1534" t="inlineStr">
        <is>
          <t>BL-01166</t>
        </is>
      </c>
      <c r="B1534" t="inlineStr">
        <is>
          <t>PAY</t>
        </is>
      </c>
      <c r="C1534" s="5" t="n">
        <v>46275</v>
      </c>
      <c r="D1534" t="inlineStr">
        <is>
          <t>SALARY T. BAROSSA PR260910</t>
        </is>
      </c>
      <c r="E1534" s="9" t="n">
        <v>-2140.04</v>
      </c>
      <c r="F1534" t="inlineStr">
        <is>
          <t>PAY-20260910</t>
        </is>
      </c>
      <c r="G1534" t="inlineStr">
        <is>
          <t>G00556</t>
        </is>
      </c>
      <c r="H1534" t="str">
        <f>INDEX('Match Groups'!$C$5:$C$1326,MATCH(G1534,'Match Groups'!$A$5:$A$1326,0))</f>
        <v>R05</v>
      </c>
      <c r="I1534" t="str">
        <f>INDEX('Match Groups'!$D$5:$D$1326,MATCH(G1534,'Match Groups'!$A$5:$A$1326,0))</f>
        <v>MATCH</v>
      </c>
      <c r="J1534">
        <f>IF(I1534="DUPIMP",0,1)</f>
        <v>1</v>
      </c>
    </row>
    <row r="1535">
      <c r="A1535" t="inlineStr">
        <is>
          <t>BL-01167</t>
        </is>
      </c>
      <c r="B1535" t="inlineStr">
        <is>
          <t>PAY</t>
        </is>
      </c>
      <c r="C1535" s="5" t="n">
        <v>46275</v>
      </c>
      <c r="D1535" t="inlineStr">
        <is>
          <t>SALARY T. COOMBE PR260910</t>
        </is>
      </c>
      <c r="E1535" s="9" t="n">
        <v>-2799.1</v>
      </c>
      <c r="F1535" t="inlineStr">
        <is>
          <t>PAY-20260910</t>
        </is>
      </c>
      <c r="G1535" t="inlineStr">
        <is>
          <t>G00556</t>
        </is>
      </c>
      <c r="H1535" t="str">
        <f>INDEX('Match Groups'!$C$5:$C$1326,MATCH(G1535,'Match Groups'!$A$5:$A$1326,0))</f>
        <v>R05</v>
      </c>
      <c r="I1535" t="str">
        <f>INDEX('Match Groups'!$D$5:$D$1326,MATCH(G1535,'Match Groups'!$A$5:$A$1326,0))</f>
        <v>MATCH</v>
      </c>
      <c r="J1535">
        <f>IF(I1535="DUPIMP",0,1)</f>
        <v>1</v>
      </c>
    </row>
    <row r="1536">
      <c r="A1536" t="inlineStr">
        <is>
          <t>BL-01168</t>
        </is>
      </c>
      <c r="B1536" t="inlineStr">
        <is>
          <t>PAY</t>
        </is>
      </c>
      <c r="C1536" s="5" t="n">
        <v>46275</v>
      </c>
      <c r="D1536" t="inlineStr">
        <is>
          <t>SALARY N. DELACROIX PR260910</t>
        </is>
      </c>
      <c r="E1536" s="9" t="n">
        <v>-3248.12</v>
      </c>
      <c r="F1536" t="inlineStr">
        <is>
          <t>PAY-20260910</t>
        </is>
      </c>
      <c r="G1536" t="inlineStr">
        <is>
          <t>G00556</t>
        </is>
      </c>
      <c r="H1536" t="str">
        <f>INDEX('Match Groups'!$C$5:$C$1326,MATCH(G1536,'Match Groups'!$A$5:$A$1326,0))</f>
        <v>R05</v>
      </c>
      <c r="I1536" t="str">
        <f>INDEX('Match Groups'!$D$5:$D$1326,MATCH(G1536,'Match Groups'!$A$5:$A$1326,0))</f>
        <v>MATCH</v>
      </c>
      <c r="J1536">
        <f>IF(I1536="DUPIMP",0,1)</f>
        <v>1</v>
      </c>
    </row>
    <row r="1537">
      <c r="A1537" t="inlineStr">
        <is>
          <t>BL-01169</t>
        </is>
      </c>
      <c r="B1537" t="inlineStr">
        <is>
          <t>PAY</t>
        </is>
      </c>
      <c r="C1537" s="5" t="n">
        <v>46275</v>
      </c>
      <c r="D1537" t="inlineStr">
        <is>
          <t>SALARY C. ESPOSITO PR260910</t>
        </is>
      </c>
      <c r="E1537" s="9" t="n">
        <v>-3795.39</v>
      </c>
      <c r="F1537" t="inlineStr">
        <is>
          <t>PAY-20260910</t>
        </is>
      </c>
      <c r="G1537" t="inlineStr">
        <is>
          <t>G00556</t>
        </is>
      </c>
      <c r="H1537" t="str">
        <f>INDEX('Match Groups'!$C$5:$C$1326,MATCH(G1537,'Match Groups'!$A$5:$A$1326,0))</f>
        <v>R05</v>
      </c>
      <c r="I1537" t="str">
        <f>INDEX('Match Groups'!$D$5:$D$1326,MATCH(G1537,'Match Groups'!$A$5:$A$1326,0))</f>
        <v>MATCH</v>
      </c>
      <c r="J1537">
        <f>IF(I1537="DUPIMP",0,1)</f>
        <v>1</v>
      </c>
    </row>
    <row r="1538">
      <c r="A1538" t="inlineStr">
        <is>
          <t>BL-01170</t>
        </is>
      </c>
      <c r="B1538" t="inlineStr">
        <is>
          <t>PAY</t>
        </is>
      </c>
      <c r="C1538" s="5" t="n">
        <v>46275</v>
      </c>
      <c r="D1538" t="inlineStr">
        <is>
          <t>SALARY N. FAIRWEATHER PR260910</t>
        </is>
      </c>
      <c r="E1538" s="9" t="n">
        <v>-2143.62</v>
      </c>
      <c r="F1538" t="inlineStr">
        <is>
          <t>PAY-20260910</t>
        </is>
      </c>
      <c r="G1538" t="inlineStr">
        <is>
          <t>G00556</t>
        </is>
      </c>
      <c r="H1538" t="str">
        <f>INDEX('Match Groups'!$C$5:$C$1326,MATCH(G1538,'Match Groups'!$A$5:$A$1326,0))</f>
        <v>R05</v>
      </c>
      <c r="I1538" t="str">
        <f>INDEX('Match Groups'!$D$5:$D$1326,MATCH(G1538,'Match Groups'!$A$5:$A$1326,0))</f>
        <v>MATCH</v>
      </c>
      <c r="J1538">
        <f>IF(I1538="DUPIMP",0,1)</f>
        <v>1</v>
      </c>
    </row>
    <row r="1539">
      <c r="A1539" t="inlineStr">
        <is>
          <t>BL-01171</t>
        </is>
      </c>
      <c r="B1539" t="inlineStr">
        <is>
          <t>PAY</t>
        </is>
      </c>
      <c r="C1539" s="5" t="n">
        <v>46275</v>
      </c>
      <c r="D1539" t="inlineStr">
        <is>
          <t>SALARY T. GRIEVE PR260910</t>
        </is>
      </c>
      <c r="E1539" s="9" t="n">
        <v>-2897.31</v>
      </c>
      <c r="F1539" t="inlineStr">
        <is>
          <t>PAY-20260910</t>
        </is>
      </c>
      <c r="G1539" t="inlineStr">
        <is>
          <t>G00556</t>
        </is>
      </c>
      <c r="H1539" t="str">
        <f>INDEX('Match Groups'!$C$5:$C$1326,MATCH(G1539,'Match Groups'!$A$5:$A$1326,0))</f>
        <v>R05</v>
      </c>
      <c r="I1539" t="str">
        <f>INDEX('Match Groups'!$D$5:$D$1326,MATCH(G1539,'Match Groups'!$A$5:$A$1326,0))</f>
        <v>MATCH</v>
      </c>
      <c r="J1539">
        <f>IF(I1539="DUPIMP",0,1)</f>
        <v>1</v>
      </c>
    </row>
    <row r="1540">
      <c r="A1540" t="inlineStr">
        <is>
          <t>BL-01172</t>
        </is>
      </c>
      <c r="B1540" t="inlineStr">
        <is>
          <t>PAY</t>
        </is>
      </c>
      <c r="C1540" s="5" t="n">
        <v>46275</v>
      </c>
      <c r="D1540" t="inlineStr">
        <is>
          <t>SALARY H. HALLORAN PR260910</t>
        </is>
      </c>
      <c r="E1540" s="9" t="n">
        <v>-1994.1</v>
      </c>
      <c r="F1540" t="inlineStr">
        <is>
          <t>PAY-20260910</t>
        </is>
      </c>
      <c r="G1540" t="inlineStr">
        <is>
          <t>G00556</t>
        </is>
      </c>
      <c r="H1540" t="str">
        <f>INDEX('Match Groups'!$C$5:$C$1326,MATCH(G1540,'Match Groups'!$A$5:$A$1326,0))</f>
        <v>R05</v>
      </c>
      <c r="I1540" t="str">
        <f>INDEX('Match Groups'!$D$5:$D$1326,MATCH(G1540,'Match Groups'!$A$5:$A$1326,0))</f>
        <v>MATCH</v>
      </c>
      <c r="J1540">
        <f>IF(I1540="DUPIMP",0,1)</f>
        <v>1</v>
      </c>
    </row>
    <row r="1541">
      <c r="A1541" t="inlineStr">
        <is>
          <t>BL-01173</t>
        </is>
      </c>
      <c r="B1541" t="inlineStr">
        <is>
          <t>PAY</t>
        </is>
      </c>
      <c r="C1541" s="5" t="n">
        <v>46275</v>
      </c>
      <c r="D1541" t="inlineStr">
        <is>
          <t>SALARY C. IQBAL PR260910</t>
        </is>
      </c>
      <c r="E1541" s="9" t="n">
        <v>-2865.17</v>
      </c>
      <c r="F1541" t="inlineStr">
        <is>
          <t>PAY-20260910</t>
        </is>
      </c>
      <c r="G1541" t="inlineStr">
        <is>
          <t>G00556</t>
        </is>
      </c>
      <c r="H1541" t="str">
        <f>INDEX('Match Groups'!$C$5:$C$1326,MATCH(G1541,'Match Groups'!$A$5:$A$1326,0))</f>
        <v>R05</v>
      </c>
      <c r="I1541" t="str">
        <f>INDEX('Match Groups'!$D$5:$D$1326,MATCH(G1541,'Match Groups'!$A$5:$A$1326,0))</f>
        <v>MATCH</v>
      </c>
      <c r="J1541">
        <f>IF(I1541="DUPIMP",0,1)</f>
        <v>1</v>
      </c>
    </row>
    <row r="1542">
      <c r="A1542" t="inlineStr">
        <is>
          <t>BL-01174</t>
        </is>
      </c>
      <c r="B1542" t="inlineStr">
        <is>
          <t>PAY</t>
        </is>
      </c>
      <c r="C1542" s="5" t="n">
        <v>46275</v>
      </c>
      <c r="D1542" t="inlineStr">
        <is>
          <t>SALARY W. JESSOP PR260910</t>
        </is>
      </c>
      <c r="E1542" s="9" t="n">
        <v>-3366.72</v>
      </c>
      <c r="F1542" t="inlineStr">
        <is>
          <t>PAY-20260910</t>
        </is>
      </c>
      <c r="G1542" t="inlineStr">
        <is>
          <t>G00556</t>
        </is>
      </c>
      <c r="H1542" t="str">
        <f>INDEX('Match Groups'!$C$5:$C$1326,MATCH(G1542,'Match Groups'!$A$5:$A$1326,0))</f>
        <v>R05</v>
      </c>
      <c r="I1542" t="str">
        <f>INDEX('Match Groups'!$D$5:$D$1326,MATCH(G1542,'Match Groups'!$A$5:$A$1326,0))</f>
        <v>MATCH</v>
      </c>
      <c r="J1542">
        <f>IF(I1542="DUPIMP",0,1)</f>
        <v>1</v>
      </c>
    </row>
    <row r="1543">
      <c r="A1543" t="inlineStr">
        <is>
          <t>BL-01175</t>
        </is>
      </c>
      <c r="B1543" t="inlineStr">
        <is>
          <t>PAY</t>
        </is>
      </c>
      <c r="C1543" s="5" t="n">
        <v>46275</v>
      </c>
      <c r="D1543" t="inlineStr">
        <is>
          <t>SALARY K. KERRIGAN PR260910</t>
        </is>
      </c>
      <c r="E1543" s="9" t="n">
        <v>-2425.9</v>
      </c>
      <c r="F1543" t="inlineStr">
        <is>
          <t>PAY-20260910</t>
        </is>
      </c>
      <c r="G1543" t="inlineStr">
        <is>
          <t>G00556</t>
        </is>
      </c>
      <c r="H1543" t="str">
        <f>INDEX('Match Groups'!$C$5:$C$1326,MATCH(G1543,'Match Groups'!$A$5:$A$1326,0))</f>
        <v>R05</v>
      </c>
      <c r="I1543" t="str">
        <f>INDEX('Match Groups'!$D$5:$D$1326,MATCH(G1543,'Match Groups'!$A$5:$A$1326,0))</f>
        <v>MATCH</v>
      </c>
      <c r="J1543">
        <f>IF(I1543="DUPIMP",0,1)</f>
        <v>1</v>
      </c>
    </row>
    <row r="1544">
      <c r="A1544" t="inlineStr">
        <is>
          <t>BL-01176</t>
        </is>
      </c>
      <c r="B1544" t="inlineStr">
        <is>
          <t>PAY</t>
        </is>
      </c>
      <c r="C1544" s="5" t="n">
        <v>46275</v>
      </c>
      <c r="D1544" t="inlineStr">
        <is>
          <t>SALARY D. LACHLAN PR260910</t>
        </is>
      </c>
      <c r="E1544" s="9" t="n">
        <v>-2007.86</v>
      </c>
      <c r="F1544" t="inlineStr">
        <is>
          <t>PAY-20260910</t>
        </is>
      </c>
      <c r="G1544" t="inlineStr">
        <is>
          <t>G00556</t>
        </is>
      </c>
      <c r="H1544" t="str">
        <f>INDEX('Match Groups'!$C$5:$C$1326,MATCH(G1544,'Match Groups'!$A$5:$A$1326,0))</f>
        <v>R05</v>
      </c>
      <c r="I1544" t="str">
        <f>INDEX('Match Groups'!$D$5:$D$1326,MATCH(G1544,'Match Groups'!$A$5:$A$1326,0))</f>
        <v>MATCH</v>
      </c>
      <c r="J1544">
        <f>IF(I1544="DUPIMP",0,1)</f>
        <v>1</v>
      </c>
    </row>
    <row r="1545">
      <c r="A1545" t="inlineStr">
        <is>
          <t>BL-01177</t>
        </is>
      </c>
      <c r="B1545" t="inlineStr">
        <is>
          <t>PAY</t>
        </is>
      </c>
      <c r="C1545" s="5" t="n">
        <v>46275</v>
      </c>
      <c r="D1545" t="inlineStr">
        <is>
          <t>SALARY K. MOREAU PR260910</t>
        </is>
      </c>
      <c r="E1545" s="9" t="n">
        <v>-2822.48</v>
      </c>
      <c r="F1545" t="inlineStr">
        <is>
          <t>PAY-20260910</t>
        </is>
      </c>
      <c r="G1545" t="inlineStr">
        <is>
          <t>G00556</t>
        </is>
      </c>
      <c r="H1545" t="str">
        <f>INDEX('Match Groups'!$C$5:$C$1326,MATCH(G1545,'Match Groups'!$A$5:$A$1326,0))</f>
        <v>R05</v>
      </c>
      <c r="I1545" t="str">
        <f>INDEX('Match Groups'!$D$5:$D$1326,MATCH(G1545,'Match Groups'!$A$5:$A$1326,0))</f>
        <v>MATCH</v>
      </c>
      <c r="J1545">
        <f>IF(I1545="DUPIMP",0,1)</f>
        <v>1</v>
      </c>
    </row>
    <row r="1546">
      <c r="A1546" t="inlineStr">
        <is>
          <t>BL-01178</t>
        </is>
      </c>
      <c r="B1546" t="inlineStr">
        <is>
          <t>PAY</t>
        </is>
      </c>
      <c r="C1546" s="5" t="n">
        <v>46275</v>
      </c>
      <c r="D1546" t="inlineStr">
        <is>
          <t>SALARY E. NAKAMURA PR260910</t>
        </is>
      </c>
      <c r="E1546" s="9" t="n">
        <v>-3636.5</v>
      </c>
      <c r="F1546" t="inlineStr">
        <is>
          <t>PAY-20260910</t>
        </is>
      </c>
      <c r="G1546" t="inlineStr">
        <is>
          <t>G00556</t>
        </is>
      </c>
      <c r="H1546" t="str">
        <f>INDEX('Match Groups'!$C$5:$C$1326,MATCH(G1546,'Match Groups'!$A$5:$A$1326,0))</f>
        <v>R05</v>
      </c>
      <c r="I1546" t="str">
        <f>INDEX('Match Groups'!$D$5:$D$1326,MATCH(G1546,'Match Groups'!$A$5:$A$1326,0))</f>
        <v>MATCH</v>
      </c>
      <c r="J1546">
        <f>IF(I1546="DUPIMP",0,1)</f>
        <v>1</v>
      </c>
    </row>
    <row r="1547">
      <c r="A1547" t="inlineStr">
        <is>
          <t>BL-01179</t>
        </is>
      </c>
      <c r="B1547" t="inlineStr">
        <is>
          <t>PAY</t>
        </is>
      </c>
      <c r="C1547" s="5" t="n">
        <v>46275</v>
      </c>
      <c r="D1547" t="inlineStr">
        <is>
          <t>SALARY C. ORMSBY PR260910</t>
        </is>
      </c>
      <c r="E1547" s="9" t="n">
        <v>-2787.77</v>
      </c>
      <c r="F1547" t="inlineStr">
        <is>
          <t>PAY-20260910</t>
        </is>
      </c>
      <c r="G1547" t="inlineStr">
        <is>
          <t>G00556</t>
        </is>
      </c>
      <c r="H1547" t="str">
        <f>INDEX('Match Groups'!$C$5:$C$1326,MATCH(G1547,'Match Groups'!$A$5:$A$1326,0))</f>
        <v>R05</v>
      </c>
      <c r="I1547" t="str">
        <f>INDEX('Match Groups'!$D$5:$D$1326,MATCH(G1547,'Match Groups'!$A$5:$A$1326,0))</f>
        <v>MATCH</v>
      </c>
      <c r="J1547">
        <f>IF(I1547="DUPIMP",0,1)</f>
        <v>1</v>
      </c>
    </row>
    <row r="1548">
      <c r="A1548" t="inlineStr">
        <is>
          <t>BL-01180</t>
        </is>
      </c>
      <c r="B1548" t="inlineStr">
        <is>
          <t>PAY</t>
        </is>
      </c>
      <c r="C1548" s="5" t="n">
        <v>46275</v>
      </c>
      <c r="D1548" t="inlineStr">
        <is>
          <t>SALARY L. PRENTICE PR260910</t>
        </is>
      </c>
      <c r="E1548" s="9" t="n">
        <v>-2322.62</v>
      </c>
      <c r="F1548" t="inlineStr">
        <is>
          <t>PAY-20260910</t>
        </is>
      </c>
      <c r="G1548" t="inlineStr">
        <is>
          <t>G00556</t>
        </is>
      </c>
      <c r="H1548" t="str">
        <f>INDEX('Match Groups'!$C$5:$C$1326,MATCH(G1548,'Match Groups'!$A$5:$A$1326,0))</f>
        <v>R05</v>
      </c>
      <c r="I1548" t="str">
        <f>INDEX('Match Groups'!$D$5:$D$1326,MATCH(G1548,'Match Groups'!$A$5:$A$1326,0))</f>
        <v>MATCH</v>
      </c>
      <c r="J1548">
        <f>IF(I1548="DUPIMP",0,1)</f>
        <v>1</v>
      </c>
    </row>
    <row r="1549">
      <c r="A1549" t="inlineStr">
        <is>
          <t>BL-01181</t>
        </is>
      </c>
      <c r="B1549" t="inlineStr">
        <is>
          <t>PAY</t>
        </is>
      </c>
      <c r="C1549" s="5" t="n">
        <v>46275</v>
      </c>
      <c r="D1549" t="inlineStr">
        <is>
          <t>SALARY N. REDFERN PR260910</t>
        </is>
      </c>
      <c r="E1549" s="9" t="n">
        <v>-1717.9</v>
      </c>
      <c r="F1549" t="inlineStr">
        <is>
          <t>PAY-20260910</t>
        </is>
      </c>
      <c r="G1549" t="inlineStr">
        <is>
          <t>G00556</t>
        </is>
      </c>
      <c r="H1549" t="str">
        <f>INDEX('Match Groups'!$C$5:$C$1326,MATCH(G1549,'Match Groups'!$A$5:$A$1326,0))</f>
        <v>R05</v>
      </c>
      <c r="I1549" t="str">
        <f>INDEX('Match Groups'!$D$5:$D$1326,MATCH(G1549,'Match Groups'!$A$5:$A$1326,0))</f>
        <v>MATCH</v>
      </c>
      <c r="J1549">
        <f>IF(I1549="DUPIMP",0,1)</f>
        <v>1</v>
      </c>
    </row>
    <row r="1550">
      <c r="A1550" t="inlineStr">
        <is>
          <t>BL-01182</t>
        </is>
      </c>
      <c r="B1550" t="inlineStr">
        <is>
          <t>PAY</t>
        </is>
      </c>
      <c r="C1550" s="5" t="n">
        <v>46282</v>
      </c>
      <c r="D1550" t="inlineStr">
        <is>
          <t>SUPERCHOICE CLEARING PR260910</t>
        </is>
      </c>
      <c r="E1550" s="9" t="n">
        <v>-20838.09</v>
      </c>
      <c r="F1550" t="inlineStr">
        <is>
          <t>PAY-20260917</t>
        </is>
      </c>
      <c r="G1550" t="inlineStr">
        <is>
          <t>G01244</t>
        </is>
      </c>
      <c r="H1550" t="str">
        <f>INDEX('Match Groups'!$C$5:$C$1326,MATCH(G1550,'Match Groups'!$A$5:$A$1326,0))</f>
        <v>R13</v>
      </c>
      <c r="I1550" t="str">
        <f>INDEX('Match Groups'!$D$5:$D$1326,MATCH(G1550,'Match Groups'!$A$5:$A$1326,0))</f>
        <v>MATCH</v>
      </c>
      <c r="J1550">
        <f>IF(I1550="DUPIMP",0,1)</f>
        <v>1</v>
      </c>
    </row>
    <row r="1551">
      <c r="A1551" t="inlineStr">
        <is>
          <t>BL-01183</t>
        </is>
      </c>
      <c r="B1551" t="inlineStr">
        <is>
          <t>PAY</t>
        </is>
      </c>
      <c r="C1551" s="5" t="n">
        <v>46286</v>
      </c>
      <c r="D1551" t="inlineStr">
        <is>
          <t>BPAY ATO PAYG W1</t>
        </is>
      </c>
      <c r="E1551" s="9" t="n">
        <v>-35722.44</v>
      </c>
      <c r="F1551" t="inlineStr">
        <is>
          <t>PAY-20260921</t>
        </is>
      </c>
      <c r="G1551" t="inlineStr">
        <is>
          <t>G01245</t>
        </is>
      </c>
      <c r="H1551" t="str">
        <f>INDEX('Match Groups'!$C$5:$C$1326,MATCH(G1551,'Match Groups'!$A$5:$A$1326,0))</f>
        <v>R13</v>
      </c>
      <c r="I1551" t="str">
        <f>INDEX('Match Groups'!$D$5:$D$1326,MATCH(G1551,'Match Groups'!$A$5:$A$1326,0))</f>
        <v>MATCH</v>
      </c>
      <c r="J1551">
        <f>IF(I1551="DUPIMP",0,1)</f>
        <v>1</v>
      </c>
    </row>
    <row r="1552">
      <c r="A1552" t="inlineStr">
        <is>
          <t>BL-01185</t>
        </is>
      </c>
      <c r="B1552" t="inlineStr">
        <is>
          <t>PAY</t>
        </is>
      </c>
      <c r="C1552" s="5" t="n">
        <v>46288</v>
      </c>
      <c r="D1552" t="inlineStr">
        <is>
          <t>TFR FROM OPERATING PR260924</t>
        </is>
      </c>
      <c r="E1552" s="9" t="n">
        <v>167264.9</v>
      </c>
      <c r="F1552" t="inlineStr">
        <is>
          <t>PAY-20260923</t>
        </is>
      </c>
      <c r="G1552" t="inlineStr">
        <is>
          <t>G00567</t>
        </is>
      </c>
      <c r="H1552" t="str">
        <f>INDEX('Match Groups'!$C$5:$C$1326,MATCH(G1552,'Match Groups'!$A$5:$A$1326,0))</f>
        <v>R04</v>
      </c>
      <c r="I1552" t="str">
        <f>INDEX('Match Groups'!$D$5:$D$1326,MATCH(G1552,'Match Groups'!$A$5:$A$1326,0))</f>
        <v>MATCH</v>
      </c>
      <c r="J1552">
        <f>IF(I1552="DUPIMP",0,1)</f>
        <v>1</v>
      </c>
    </row>
    <row r="1553">
      <c r="A1553" t="inlineStr">
        <is>
          <t>BL-01186</t>
        </is>
      </c>
      <c r="B1553" t="inlineStr">
        <is>
          <t>PAY</t>
        </is>
      </c>
      <c r="C1553" s="5" t="n">
        <v>46289</v>
      </c>
      <c r="D1553" t="inlineStr">
        <is>
          <t>SALARY N. NGUYEN PR260924</t>
        </is>
      </c>
      <c r="E1553" s="9" t="n">
        <v>-1945.6</v>
      </c>
      <c r="F1553" t="inlineStr">
        <is>
          <t>PAY-20260924</t>
        </is>
      </c>
      <c r="G1553" t="inlineStr">
        <is>
          <t>G00557</t>
        </is>
      </c>
      <c r="H1553" t="str">
        <f>INDEX('Match Groups'!$C$5:$C$1326,MATCH(G1553,'Match Groups'!$A$5:$A$1326,0))</f>
        <v>R05</v>
      </c>
      <c r="I1553" t="str">
        <f>INDEX('Match Groups'!$D$5:$D$1326,MATCH(G1553,'Match Groups'!$A$5:$A$1326,0))</f>
        <v>MATCH</v>
      </c>
      <c r="J1553">
        <f>IF(I1553="DUPIMP",0,1)</f>
        <v>1</v>
      </c>
    </row>
    <row r="1554">
      <c r="A1554" t="inlineStr">
        <is>
          <t>BL-01187</t>
        </is>
      </c>
      <c r="B1554" t="inlineStr">
        <is>
          <t>PAY</t>
        </is>
      </c>
      <c r="C1554" s="5" t="n">
        <v>46289</v>
      </c>
      <c r="D1554" t="inlineStr">
        <is>
          <t>SALARY W. OKAFOR PR260924</t>
        </is>
      </c>
      <c r="E1554" s="9" t="n">
        <v>-2881.77</v>
      </c>
      <c r="F1554" t="inlineStr">
        <is>
          <t>PAY-20260924</t>
        </is>
      </c>
      <c r="G1554" t="inlineStr">
        <is>
          <t>G00557</t>
        </is>
      </c>
      <c r="H1554" t="str">
        <f>INDEX('Match Groups'!$C$5:$C$1326,MATCH(G1554,'Match Groups'!$A$5:$A$1326,0))</f>
        <v>R05</v>
      </c>
      <c r="I1554" t="str">
        <f>INDEX('Match Groups'!$D$5:$D$1326,MATCH(G1554,'Match Groups'!$A$5:$A$1326,0))</f>
        <v>MATCH</v>
      </c>
      <c r="J1554">
        <f>IF(I1554="DUPIMP",0,1)</f>
        <v>1</v>
      </c>
    </row>
    <row r="1555">
      <c r="A1555" t="inlineStr">
        <is>
          <t>BL-01188</t>
        </is>
      </c>
      <c r="B1555" t="inlineStr">
        <is>
          <t>PAY</t>
        </is>
      </c>
      <c r="C1555" s="5" t="n">
        <v>46289</v>
      </c>
      <c r="D1555" t="inlineStr">
        <is>
          <t>SALARY L. BRENNAN PR260924</t>
        </is>
      </c>
      <c r="E1555" s="9" t="n">
        <v>-1822.22</v>
      </c>
      <c r="F1555" t="inlineStr">
        <is>
          <t>PAY-20260924</t>
        </is>
      </c>
      <c r="G1555" t="inlineStr">
        <is>
          <t>G00557</t>
        </is>
      </c>
      <c r="H1555" t="str">
        <f>INDEX('Match Groups'!$C$5:$C$1326,MATCH(G1555,'Match Groups'!$A$5:$A$1326,0))</f>
        <v>R05</v>
      </c>
      <c r="I1555" t="str">
        <f>INDEX('Match Groups'!$D$5:$D$1326,MATCH(G1555,'Match Groups'!$A$5:$A$1326,0))</f>
        <v>MATCH</v>
      </c>
      <c r="J1555">
        <f>IF(I1555="DUPIMP",0,1)</f>
        <v>1</v>
      </c>
    </row>
    <row r="1556">
      <c r="A1556" t="inlineStr">
        <is>
          <t>BL-01189</t>
        </is>
      </c>
      <c r="B1556" t="inlineStr">
        <is>
          <t>PAY</t>
        </is>
      </c>
      <c r="C1556" s="5" t="n">
        <v>46289</v>
      </c>
      <c r="D1556" t="inlineStr">
        <is>
          <t>SALARY D. KOWALSKI PR260924</t>
        </is>
      </c>
      <c r="E1556" s="9" t="n">
        <v>-2993.58</v>
      </c>
      <c r="F1556" t="inlineStr">
        <is>
          <t>PAY-20260924</t>
        </is>
      </c>
      <c r="G1556" t="inlineStr">
        <is>
          <t>G00557</t>
        </is>
      </c>
      <c r="H1556" t="str">
        <f>INDEX('Match Groups'!$C$5:$C$1326,MATCH(G1556,'Match Groups'!$A$5:$A$1326,0))</f>
        <v>R05</v>
      </c>
      <c r="I1556" t="str">
        <f>INDEX('Match Groups'!$D$5:$D$1326,MATCH(G1556,'Match Groups'!$A$5:$A$1326,0))</f>
        <v>MATCH</v>
      </c>
      <c r="J1556">
        <f>IF(I1556="DUPIMP",0,1)</f>
        <v>1</v>
      </c>
    </row>
    <row r="1557">
      <c r="A1557" t="inlineStr">
        <is>
          <t>BL-01190</t>
        </is>
      </c>
      <c r="B1557" t="inlineStr">
        <is>
          <t>PAY</t>
        </is>
      </c>
      <c r="C1557" s="5" t="n">
        <v>46289</v>
      </c>
      <c r="D1557" t="inlineStr">
        <is>
          <t>SALARY E. HADDAD PR260924</t>
        </is>
      </c>
      <c r="E1557" s="9" t="n">
        <v>-1601.63</v>
      </c>
      <c r="F1557" t="inlineStr">
        <is>
          <t>PAY-20260924</t>
        </is>
      </c>
      <c r="G1557" t="inlineStr">
        <is>
          <t>G00557</t>
        </is>
      </c>
      <c r="H1557" t="str">
        <f>INDEX('Match Groups'!$C$5:$C$1326,MATCH(G1557,'Match Groups'!$A$5:$A$1326,0))</f>
        <v>R05</v>
      </c>
      <c r="I1557" t="str">
        <f>INDEX('Match Groups'!$D$5:$D$1326,MATCH(G1557,'Match Groups'!$A$5:$A$1326,0))</f>
        <v>MATCH</v>
      </c>
      <c r="J1557">
        <f>IF(I1557="DUPIMP",0,1)</f>
        <v>1</v>
      </c>
    </row>
    <row r="1558">
      <c r="A1558" t="inlineStr">
        <is>
          <t>BL-01191</t>
        </is>
      </c>
      <c r="B1558" t="inlineStr">
        <is>
          <t>PAY</t>
        </is>
      </c>
      <c r="C1558" s="5" t="n">
        <v>46289</v>
      </c>
      <c r="D1558" t="inlineStr">
        <is>
          <t>SALARY D. FITZGERALD PR260924</t>
        </is>
      </c>
      <c r="E1558" s="9" t="n">
        <v>-2719.3</v>
      </c>
      <c r="F1558" t="inlineStr">
        <is>
          <t>PAY-20260924</t>
        </is>
      </c>
      <c r="G1558" t="inlineStr">
        <is>
          <t>G00557</t>
        </is>
      </c>
      <c r="H1558" t="str">
        <f>INDEX('Match Groups'!$C$5:$C$1326,MATCH(G1558,'Match Groups'!$A$5:$A$1326,0))</f>
        <v>R05</v>
      </c>
      <c r="I1558" t="str">
        <f>INDEX('Match Groups'!$D$5:$D$1326,MATCH(G1558,'Match Groups'!$A$5:$A$1326,0))</f>
        <v>MATCH</v>
      </c>
      <c r="J1558">
        <f>IF(I1558="DUPIMP",0,1)</f>
        <v>1</v>
      </c>
    </row>
    <row r="1559">
      <c r="A1559" t="inlineStr">
        <is>
          <t>BL-01192</t>
        </is>
      </c>
      <c r="B1559" t="inlineStr">
        <is>
          <t>PAY</t>
        </is>
      </c>
      <c r="C1559" s="5" t="n">
        <v>46289</v>
      </c>
      <c r="D1559" t="inlineStr">
        <is>
          <t>SALARY N. TRAN PR260924</t>
        </is>
      </c>
      <c r="E1559" s="9" t="n">
        <v>-2300.98</v>
      </c>
      <c r="F1559" t="inlineStr">
        <is>
          <t>PAY-20260924</t>
        </is>
      </c>
      <c r="G1559" t="inlineStr">
        <is>
          <t>G00557</t>
        </is>
      </c>
      <c r="H1559" t="str">
        <f>INDEX('Match Groups'!$C$5:$C$1326,MATCH(G1559,'Match Groups'!$A$5:$A$1326,0))</f>
        <v>R05</v>
      </c>
      <c r="I1559" t="str">
        <f>INDEX('Match Groups'!$D$5:$D$1326,MATCH(G1559,'Match Groups'!$A$5:$A$1326,0))</f>
        <v>MATCH</v>
      </c>
      <c r="J1559">
        <f>IF(I1559="DUPIMP",0,1)</f>
        <v>1</v>
      </c>
    </row>
    <row r="1560">
      <c r="A1560" t="inlineStr">
        <is>
          <t>BL-01193</t>
        </is>
      </c>
      <c r="B1560" t="inlineStr">
        <is>
          <t>PAY</t>
        </is>
      </c>
      <c r="C1560" s="5" t="n">
        <v>46289</v>
      </c>
      <c r="D1560" t="inlineStr">
        <is>
          <t>SALARY A. RAMOS PR260924</t>
        </is>
      </c>
      <c r="E1560" s="9" t="n">
        <v>-3088.84</v>
      </c>
      <c r="F1560" t="inlineStr">
        <is>
          <t>PAY-20260924</t>
        </is>
      </c>
      <c r="G1560" t="inlineStr">
        <is>
          <t>G00557</t>
        </is>
      </c>
      <c r="H1560" t="str">
        <f>INDEX('Match Groups'!$C$5:$C$1326,MATCH(G1560,'Match Groups'!$A$5:$A$1326,0))</f>
        <v>R05</v>
      </c>
      <c r="I1560" t="str">
        <f>INDEX('Match Groups'!$D$5:$D$1326,MATCH(G1560,'Match Groups'!$A$5:$A$1326,0))</f>
        <v>MATCH</v>
      </c>
      <c r="J1560">
        <f>IF(I1560="DUPIMP",0,1)</f>
        <v>1</v>
      </c>
    </row>
    <row r="1561">
      <c r="A1561" t="inlineStr">
        <is>
          <t>BL-01194</t>
        </is>
      </c>
      <c r="B1561" t="inlineStr">
        <is>
          <t>PAY</t>
        </is>
      </c>
      <c r="C1561" s="5" t="n">
        <v>46289</v>
      </c>
      <c r="D1561" t="inlineStr">
        <is>
          <t>SALARY D. LINDQVIST PR260924</t>
        </is>
      </c>
      <c r="E1561" s="9" t="n">
        <v>-1845.35</v>
      </c>
      <c r="F1561" t="inlineStr">
        <is>
          <t>PAY-20260924</t>
        </is>
      </c>
      <c r="G1561" t="inlineStr">
        <is>
          <t>G00557</t>
        </is>
      </c>
      <c r="H1561" t="str">
        <f>INDEX('Match Groups'!$C$5:$C$1326,MATCH(G1561,'Match Groups'!$A$5:$A$1326,0))</f>
        <v>R05</v>
      </c>
      <c r="I1561" t="str">
        <f>INDEX('Match Groups'!$D$5:$D$1326,MATCH(G1561,'Match Groups'!$A$5:$A$1326,0))</f>
        <v>MATCH</v>
      </c>
      <c r="J1561">
        <f>IF(I1561="DUPIMP",0,1)</f>
        <v>1</v>
      </c>
    </row>
    <row r="1562">
      <c r="A1562" t="inlineStr">
        <is>
          <t>BL-01195</t>
        </is>
      </c>
      <c r="B1562" t="inlineStr">
        <is>
          <t>PAY</t>
        </is>
      </c>
      <c r="C1562" s="5" t="n">
        <v>46289</v>
      </c>
      <c r="D1562" t="inlineStr">
        <is>
          <t>SALARY H. MEHTA PR260924</t>
        </is>
      </c>
      <c r="E1562" s="9" t="n">
        <v>-3139.46</v>
      </c>
      <c r="F1562" t="inlineStr">
        <is>
          <t>PAY-20260924</t>
        </is>
      </c>
      <c r="G1562" t="inlineStr">
        <is>
          <t>G00557</t>
        </is>
      </c>
      <c r="H1562" t="str">
        <f>INDEX('Match Groups'!$C$5:$C$1326,MATCH(G1562,'Match Groups'!$A$5:$A$1326,0))</f>
        <v>R05</v>
      </c>
      <c r="I1562" t="str">
        <f>INDEX('Match Groups'!$D$5:$D$1326,MATCH(G1562,'Match Groups'!$A$5:$A$1326,0))</f>
        <v>MATCH</v>
      </c>
      <c r="J1562">
        <f>IF(I1562="DUPIMP",0,1)</f>
        <v>1</v>
      </c>
    </row>
    <row r="1563">
      <c r="A1563" t="inlineStr">
        <is>
          <t>BL-01196</t>
        </is>
      </c>
      <c r="B1563" t="inlineStr">
        <is>
          <t>PAY</t>
        </is>
      </c>
      <c r="C1563" s="5" t="n">
        <v>46289</v>
      </c>
      <c r="D1563" t="inlineStr">
        <is>
          <t>SALARY D. O'ROURKE PR260924</t>
        </is>
      </c>
      <c r="E1563" s="9" t="n">
        <v>-2917.76</v>
      </c>
      <c r="F1563" t="inlineStr">
        <is>
          <t>PAY-20260924</t>
        </is>
      </c>
      <c r="G1563" t="inlineStr">
        <is>
          <t>G00557</t>
        </is>
      </c>
      <c r="H1563" t="str">
        <f>INDEX('Match Groups'!$C$5:$C$1326,MATCH(G1563,'Match Groups'!$A$5:$A$1326,0))</f>
        <v>R05</v>
      </c>
      <c r="I1563" t="str">
        <f>INDEX('Match Groups'!$D$5:$D$1326,MATCH(G1563,'Match Groups'!$A$5:$A$1326,0))</f>
        <v>MATCH</v>
      </c>
      <c r="J1563">
        <f>IF(I1563="DUPIMP",0,1)</f>
        <v>1</v>
      </c>
    </row>
    <row r="1564">
      <c r="A1564" t="inlineStr">
        <is>
          <t>BL-01197</t>
        </is>
      </c>
      <c r="B1564" t="inlineStr">
        <is>
          <t>PAY</t>
        </is>
      </c>
      <c r="C1564" s="5" t="n">
        <v>46289</v>
      </c>
      <c r="D1564" t="inlineStr">
        <is>
          <t>SALARY H. PAPADOPOULOS PR260924</t>
        </is>
      </c>
      <c r="E1564" s="9" t="n">
        <v>-3648.79</v>
      </c>
      <c r="F1564" t="inlineStr">
        <is>
          <t>PAY-20260924</t>
        </is>
      </c>
      <c r="G1564" t="inlineStr">
        <is>
          <t>G00557</t>
        </is>
      </c>
      <c r="H1564" t="str">
        <f>INDEX('Match Groups'!$C$5:$C$1326,MATCH(G1564,'Match Groups'!$A$5:$A$1326,0))</f>
        <v>R05</v>
      </c>
      <c r="I1564" t="str">
        <f>INDEX('Match Groups'!$D$5:$D$1326,MATCH(G1564,'Match Groups'!$A$5:$A$1326,0))</f>
        <v>MATCH</v>
      </c>
      <c r="J1564">
        <f>IF(I1564="DUPIMP",0,1)</f>
        <v>1</v>
      </c>
    </row>
    <row r="1565">
      <c r="A1565" t="inlineStr">
        <is>
          <t>BL-01198</t>
        </is>
      </c>
      <c r="B1565" t="inlineStr">
        <is>
          <t>PAY</t>
        </is>
      </c>
      <c r="C1565" s="5" t="n">
        <v>46289</v>
      </c>
      <c r="D1565" t="inlineStr">
        <is>
          <t>SALARY D. SUTHERLAND PR260924</t>
        </is>
      </c>
      <c r="E1565" s="9" t="n">
        <v>-3385.99</v>
      </c>
      <c r="F1565" t="inlineStr">
        <is>
          <t>PAY-20260924</t>
        </is>
      </c>
      <c r="G1565" t="inlineStr">
        <is>
          <t>G00557</t>
        </is>
      </c>
      <c r="H1565" t="str">
        <f>INDEX('Match Groups'!$C$5:$C$1326,MATCH(G1565,'Match Groups'!$A$5:$A$1326,0))</f>
        <v>R05</v>
      </c>
      <c r="I1565" t="str">
        <f>INDEX('Match Groups'!$D$5:$D$1326,MATCH(G1565,'Match Groups'!$A$5:$A$1326,0))</f>
        <v>MATCH</v>
      </c>
      <c r="J1565">
        <f>IF(I1565="DUPIMP",0,1)</f>
        <v>1</v>
      </c>
    </row>
    <row r="1566">
      <c r="A1566" t="inlineStr">
        <is>
          <t>BL-01199</t>
        </is>
      </c>
      <c r="B1566" t="inlineStr">
        <is>
          <t>PAY</t>
        </is>
      </c>
      <c r="C1566" s="5" t="n">
        <v>46289</v>
      </c>
      <c r="D1566" t="inlineStr">
        <is>
          <t>SALARY C. YAMAMOTO PR260924</t>
        </is>
      </c>
      <c r="E1566" s="9" t="n">
        <v>-1829.55</v>
      </c>
      <c r="F1566" t="inlineStr">
        <is>
          <t>PAY-20260924</t>
        </is>
      </c>
      <c r="G1566" t="inlineStr">
        <is>
          <t>G00557</t>
        </is>
      </c>
      <c r="H1566" t="str">
        <f>INDEX('Match Groups'!$C$5:$C$1326,MATCH(G1566,'Match Groups'!$A$5:$A$1326,0))</f>
        <v>R05</v>
      </c>
      <c r="I1566" t="str">
        <f>INDEX('Match Groups'!$D$5:$D$1326,MATCH(G1566,'Match Groups'!$A$5:$A$1326,0))</f>
        <v>MATCH</v>
      </c>
      <c r="J1566">
        <f>IF(I1566="DUPIMP",0,1)</f>
        <v>1</v>
      </c>
    </row>
    <row r="1567">
      <c r="A1567" t="inlineStr">
        <is>
          <t>BL-01200</t>
        </is>
      </c>
      <c r="B1567" t="inlineStr">
        <is>
          <t>PAY</t>
        </is>
      </c>
      <c r="C1567" s="5" t="n">
        <v>46289</v>
      </c>
      <c r="D1567" t="inlineStr">
        <is>
          <t>SALARY L. ABERNATHY PR260924</t>
        </is>
      </c>
      <c r="E1567" s="9" t="n">
        <v>-3210.63</v>
      </c>
      <c r="F1567" t="inlineStr">
        <is>
          <t>PAY-20260924</t>
        </is>
      </c>
      <c r="G1567" t="inlineStr">
        <is>
          <t>G00557</t>
        </is>
      </c>
      <c r="H1567" t="str">
        <f>INDEX('Match Groups'!$C$5:$C$1326,MATCH(G1567,'Match Groups'!$A$5:$A$1326,0))</f>
        <v>R05</v>
      </c>
      <c r="I1567" t="str">
        <f>INDEX('Match Groups'!$D$5:$D$1326,MATCH(G1567,'Match Groups'!$A$5:$A$1326,0))</f>
        <v>MATCH</v>
      </c>
      <c r="J1567">
        <f>IF(I1567="DUPIMP",0,1)</f>
        <v>1</v>
      </c>
    </row>
    <row r="1568">
      <c r="A1568" t="inlineStr">
        <is>
          <t>BL-01201</t>
        </is>
      </c>
      <c r="B1568" t="inlineStr">
        <is>
          <t>PAY</t>
        </is>
      </c>
      <c r="C1568" s="5" t="n">
        <v>46289</v>
      </c>
      <c r="D1568" t="inlineStr">
        <is>
          <t>SALARY J. CASTELLANO PR260924</t>
        </is>
      </c>
      <c r="E1568" s="9" t="n">
        <v>-2883.56</v>
      </c>
      <c r="F1568" t="inlineStr">
        <is>
          <t>PAY-20260924</t>
        </is>
      </c>
      <c r="G1568" t="inlineStr">
        <is>
          <t>G00557</t>
        </is>
      </c>
      <c r="H1568" t="str">
        <f>INDEX('Match Groups'!$C$5:$C$1326,MATCH(G1568,'Match Groups'!$A$5:$A$1326,0))</f>
        <v>R05</v>
      </c>
      <c r="I1568" t="str">
        <f>INDEX('Match Groups'!$D$5:$D$1326,MATCH(G1568,'Match Groups'!$A$5:$A$1326,0))</f>
        <v>MATCH</v>
      </c>
      <c r="J1568">
        <f>IF(I1568="DUPIMP",0,1)</f>
        <v>1</v>
      </c>
    </row>
    <row r="1569">
      <c r="A1569" t="inlineStr">
        <is>
          <t>BL-01202</t>
        </is>
      </c>
      <c r="B1569" t="inlineStr">
        <is>
          <t>PAY</t>
        </is>
      </c>
      <c r="C1569" s="5" t="n">
        <v>46289</v>
      </c>
      <c r="D1569" t="inlineStr">
        <is>
          <t>SALARY G. DEMPSEY PR260924</t>
        </is>
      </c>
      <c r="E1569" s="9" t="n">
        <v>-1685.04</v>
      </c>
      <c r="F1569" t="inlineStr">
        <is>
          <t>PAY-20260924</t>
        </is>
      </c>
      <c r="G1569" t="inlineStr">
        <is>
          <t>G00557</t>
        </is>
      </c>
      <c r="H1569" t="str">
        <f>INDEX('Match Groups'!$C$5:$C$1326,MATCH(G1569,'Match Groups'!$A$5:$A$1326,0))</f>
        <v>R05</v>
      </c>
      <c r="I1569" t="str">
        <f>INDEX('Match Groups'!$D$5:$D$1326,MATCH(G1569,'Match Groups'!$A$5:$A$1326,0))</f>
        <v>MATCH</v>
      </c>
      <c r="J1569">
        <f>IF(I1569="DUPIMP",0,1)</f>
        <v>1</v>
      </c>
    </row>
    <row r="1570">
      <c r="A1570" t="inlineStr">
        <is>
          <t>BL-01203</t>
        </is>
      </c>
      <c r="B1570" t="inlineStr">
        <is>
          <t>PAY</t>
        </is>
      </c>
      <c r="C1570" s="5" t="n">
        <v>46289</v>
      </c>
      <c r="D1570" t="inlineStr">
        <is>
          <t>SALARY G. ERIKSEN PR260924</t>
        </is>
      </c>
      <c r="E1570" s="9" t="n">
        <v>-1634.21</v>
      </c>
      <c r="F1570" t="inlineStr">
        <is>
          <t>PAY-20260924</t>
        </is>
      </c>
      <c r="G1570" t="inlineStr">
        <is>
          <t>G00557</t>
        </is>
      </c>
      <c r="H1570" t="str">
        <f>INDEX('Match Groups'!$C$5:$C$1326,MATCH(G1570,'Match Groups'!$A$5:$A$1326,0))</f>
        <v>R05</v>
      </c>
      <c r="I1570" t="str">
        <f>INDEX('Match Groups'!$D$5:$D$1326,MATCH(G1570,'Match Groups'!$A$5:$A$1326,0))</f>
        <v>MATCH</v>
      </c>
      <c r="J1570">
        <f>IF(I1570="DUPIMP",0,1)</f>
        <v>1</v>
      </c>
    </row>
    <row r="1571">
      <c r="A1571" t="inlineStr">
        <is>
          <t>BL-01204</t>
        </is>
      </c>
      <c r="B1571" t="inlineStr">
        <is>
          <t>PAY</t>
        </is>
      </c>
      <c r="C1571" s="5" t="n">
        <v>46289</v>
      </c>
      <c r="D1571" t="inlineStr">
        <is>
          <t>SALARY H. FERRARO PR260924</t>
        </is>
      </c>
      <c r="E1571" s="9" t="n">
        <v>-2739.51</v>
      </c>
      <c r="F1571" t="inlineStr">
        <is>
          <t>PAY-20260924</t>
        </is>
      </c>
      <c r="G1571" t="inlineStr">
        <is>
          <t>G00557</t>
        </is>
      </c>
      <c r="H1571" t="str">
        <f>INDEX('Match Groups'!$C$5:$C$1326,MATCH(G1571,'Match Groups'!$A$5:$A$1326,0))</f>
        <v>R05</v>
      </c>
      <c r="I1571" t="str">
        <f>INDEX('Match Groups'!$D$5:$D$1326,MATCH(G1571,'Match Groups'!$A$5:$A$1326,0))</f>
        <v>MATCH</v>
      </c>
      <c r="J1571">
        <f>IF(I1571="DUPIMP",0,1)</f>
        <v>1</v>
      </c>
    </row>
    <row r="1572">
      <c r="A1572" t="inlineStr">
        <is>
          <t>BL-01205</t>
        </is>
      </c>
      <c r="B1572" t="inlineStr">
        <is>
          <t>PAY</t>
        </is>
      </c>
      <c r="C1572" s="5" t="n">
        <v>46289</v>
      </c>
      <c r="D1572" t="inlineStr">
        <is>
          <t>SALARY R. GALLAGHER PR260924</t>
        </is>
      </c>
      <c r="E1572" s="9" t="n">
        <v>-3038.96</v>
      </c>
      <c r="F1572" t="inlineStr">
        <is>
          <t>PAY-20260924</t>
        </is>
      </c>
      <c r="G1572" t="inlineStr">
        <is>
          <t>G00557</t>
        </is>
      </c>
      <c r="H1572" t="str">
        <f>INDEX('Match Groups'!$C$5:$C$1326,MATCH(G1572,'Match Groups'!$A$5:$A$1326,0))</f>
        <v>R05</v>
      </c>
      <c r="I1572" t="str">
        <f>INDEX('Match Groups'!$D$5:$D$1326,MATCH(G1572,'Match Groups'!$A$5:$A$1326,0))</f>
        <v>MATCH</v>
      </c>
      <c r="J1572">
        <f>IF(I1572="DUPIMP",0,1)</f>
        <v>1</v>
      </c>
    </row>
    <row r="1573">
      <c r="A1573" t="inlineStr">
        <is>
          <t>BL-01206</t>
        </is>
      </c>
      <c r="B1573" t="inlineStr">
        <is>
          <t>PAY</t>
        </is>
      </c>
      <c r="C1573" s="5" t="n">
        <v>46289</v>
      </c>
      <c r="D1573" t="inlineStr">
        <is>
          <t>SALARY N. HOSSEINI PR260924</t>
        </is>
      </c>
      <c r="E1573" s="9" t="n">
        <v>-3482.49</v>
      </c>
      <c r="F1573" t="inlineStr">
        <is>
          <t>PAY-20260924</t>
        </is>
      </c>
      <c r="G1573" t="inlineStr">
        <is>
          <t>G00557</t>
        </is>
      </c>
      <c r="H1573" t="str">
        <f>INDEX('Match Groups'!$C$5:$C$1326,MATCH(G1573,'Match Groups'!$A$5:$A$1326,0))</f>
        <v>R05</v>
      </c>
      <c r="I1573" t="str">
        <f>INDEX('Match Groups'!$D$5:$D$1326,MATCH(G1573,'Match Groups'!$A$5:$A$1326,0))</f>
        <v>MATCH</v>
      </c>
      <c r="J1573">
        <f>IF(I1573="DUPIMP",0,1)</f>
        <v>1</v>
      </c>
    </row>
    <row r="1574">
      <c r="A1574" t="inlineStr">
        <is>
          <t>BL-01207</t>
        </is>
      </c>
      <c r="B1574" t="inlineStr">
        <is>
          <t>PAY</t>
        </is>
      </c>
      <c r="C1574" s="5" t="n">
        <v>46289</v>
      </c>
      <c r="D1574" t="inlineStr">
        <is>
          <t>SALARY T. IVANOVA PR260924</t>
        </is>
      </c>
      <c r="E1574" s="9" t="n">
        <v>-2964.28</v>
      </c>
      <c r="F1574" t="inlineStr">
        <is>
          <t>PAY-20260924</t>
        </is>
      </c>
      <c r="G1574" t="inlineStr">
        <is>
          <t>G00557</t>
        </is>
      </c>
      <c r="H1574" t="str">
        <f>INDEX('Match Groups'!$C$5:$C$1326,MATCH(G1574,'Match Groups'!$A$5:$A$1326,0))</f>
        <v>R05</v>
      </c>
      <c r="I1574" t="str">
        <f>INDEX('Match Groups'!$D$5:$D$1326,MATCH(G1574,'Match Groups'!$A$5:$A$1326,0))</f>
        <v>MATCH</v>
      </c>
      <c r="J1574">
        <f>IF(I1574="DUPIMP",0,1)</f>
        <v>1</v>
      </c>
    </row>
    <row r="1575">
      <c r="A1575" t="inlineStr">
        <is>
          <t>BL-01208</t>
        </is>
      </c>
      <c r="B1575" t="inlineStr">
        <is>
          <t>PAY</t>
        </is>
      </c>
      <c r="C1575" s="5" t="n">
        <v>46289</v>
      </c>
      <c r="D1575" t="inlineStr">
        <is>
          <t>SALARY P. JOVANOVIC PR260924</t>
        </is>
      </c>
      <c r="E1575" s="9" t="n">
        <v>-1684.71</v>
      </c>
      <c r="F1575" t="inlineStr">
        <is>
          <t>PAY-20260924</t>
        </is>
      </c>
      <c r="G1575" t="inlineStr">
        <is>
          <t>G00557</t>
        </is>
      </c>
      <c r="H1575" t="str">
        <f>INDEX('Match Groups'!$C$5:$C$1326,MATCH(G1575,'Match Groups'!$A$5:$A$1326,0))</f>
        <v>R05</v>
      </c>
      <c r="I1575" t="str">
        <f>INDEX('Match Groups'!$D$5:$D$1326,MATCH(G1575,'Match Groups'!$A$5:$A$1326,0))</f>
        <v>MATCH</v>
      </c>
      <c r="J1575">
        <f>IF(I1575="DUPIMP",0,1)</f>
        <v>1</v>
      </c>
    </row>
    <row r="1576">
      <c r="A1576" t="inlineStr">
        <is>
          <t>BL-01209</t>
        </is>
      </c>
      <c r="B1576" t="inlineStr">
        <is>
          <t>PAY</t>
        </is>
      </c>
      <c r="C1576" s="5" t="n">
        <v>46289</v>
      </c>
      <c r="D1576" t="inlineStr">
        <is>
          <t>SALARY M. KAUR PR260924</t>
        </is>
      </c>
      <c r="E1576" s="9" t="n">
        <v>-2650.72</v>
      </c>
      <c r="F1576" t="inlineStr">
        <is>
          <t>PAY-20260924</t>
        </is>
      </c>
      <c r="G1576" t="inlineStr">
        <is>
          <t>G00557</t>
        </is>
      </c>
      <c r="H1576" t="str">
        <f>INDEX('Match Groups'!$C$5:$C$1326,MATCH(G1576,'Match Groups'!$A$5:$A$1326,0))</f>
        <v>R05</v>
      </c>
      <c r="I1576" t="str">
        <f>INDEX('Match Groups'!$D$5:$D$1326,MATCH(G1576,'Match Groups'!$A$5:$A$1326,0))</f>
        <v>MATCH</v>
      </c>
      <c r="J1576">
        <f>IF(I1576="DUPIMP",0,1)</f>
        <v>1</v>
      </c>
    </row>
    <row r="1577">
      <c r="A1577" t="inlineStr">
        <is>
          <t>BL-01210</t>
        </is>
      </c>
      <c r="B1577" t="inlineStr">
        <is>
          <t>PAY</t>
        </is>
      </c>
      <c r="C1577" s="5" t="n">
        <v>46289</v>
      </c>
      <c r="D1577" t="inlineStr">
        <is>
          <t>SALARY F. LOMBARDI PR260924</t>
        </is>
      </c>
      <c r="E1577" s="9" t="n">
        <v>-3087.09</v>
      </c>
      <c r="F1577" t="inlineStr">
        <is>
          <t>PAY-20260924</t>
        </is>
      </c>
      <c r="G1577" t="inlineStr">
        <is>
          <t>G00557</t>
        </is>
      </c>
      <c r="H1577" t="str">
        <f>INDEX('Match Groups'!$C$5:$C$1326,MATCH(G1577,'Match Groups'!$A$5:$A$1326,0))</f>
        <v>R05</v>
      </c>
      <c r="I1577" t="str">
        <f>INDEX('Match Groups'!$D$5:$D$1326,MATCH(G1577,'Match Groups'!$A$5:$A$1326,0))</f>
        <v>MATCH</v>
      </c>
      <c r="J1577">
        <f>IF(I1577="DUPIMP",0,1)</f>
        <v>1</v>
      </c>
    </row>
    <row r="1578">
      <c r="A1578" t="inlineStr">
        <is>
          <t>BL-01211</t>
        </is>
      </c>
      <c r="B1578" t="inlineStr">
        <is>
          <t>PAY</t>
        </is>
      </c>
      <c r="C1578" s="5" t="n">
        <v>46289</v>
      </c>
      <c r="D1578" t="inlineStr">
        <is>
          <t>SALARY S. MACINTYRE PR260924</t>
        </is>
      </c>
      <c r="E1578" s="9" t="n">
        <v>-3201.3</v>
      </c>
      <c r="F1578" t="inlineStr">
        <is>
          <t>PAY-20260924</t>
        </is>
      </c>
      <c r="G1578" t="inlineStr">
        <is>
          <t>G00557</t>
        </is>
      </c>
      <c r="H1578" t="str">
        <f>INDEX('Match Groups'!$C$5:$C$1326,MATCH(G1578,'Match Groups'!$A$5:$A$1326,0))</f>
        <v>R05</v>
      </c>
      <c r="I1578" t="str">
        <f>INDEX('Match Groups'!$D$5:$D$1326,MATCH(G1578,'Match Groups'!$A$5:$A$1326,0))</f>
        <v>MATCH</v>
      </c>
      <c r="J1578">
        <f>IF(I1578="DUPIMP",0,1)</f>
        <v>1</v>
      </c>
    </row>
    <row r="1579">
      <c r="A1579" t="inlineStr">
        <is>
          <t>BL-01212</t>
        </is>
      </c>
      <c r="B1579" t="inlineStr">
        <is>
          <t>PAY</t>
        </is>
      </c>
      <c r="C1579" s="5" t="n">
        <v>46289</v>
      </c>
      <c r="D1579" t="inlineStr">
        <is>
          <t>SALARY W. NOVAK PR260924</t>
        </is>
      </c>
      <c r="E1579" s="9" t="n">
        <v>-3340.14</v>
      </c>
      <c r="F1579" t="inlineStr">
        <is>
          <t>PAY-20260924</t>
        </is>
      </c>
      <c r="G1579" t="inlineStr">
        <is>
          <t>G00557</t>
        </is>
      </c>
      <c r="H1579" t="str">
        <f>INDEX('Match Groups'!$C$5:$C$1326,MATCH(G1579,'Match Groups'!$A$5:$A$1326,0))</f>
        <v>R05</v>
      </c>
      <c r="I1579" t="str">
        <f>INDEX('Match Groups'!$D$5:$D$1326,MATCH(G1579,'Match Groups'!$A$5:$A$1326,0))</f>
        <v>MATCH</v>
      </c>
      <c r="J1579">
        <f>IF(I1579="DUPIMP",0,1)</f>
        <v>1</v>
      </c>
    </row>
    <row r="1580">
      <c r="A1580" t="inlineStr">
        <is>
          <t>BL-01213</t>
        </is>
      </c>
      <c r="B1580" t="inlineStr">
        <is>
          <t>PAY</t>
        </is>
      </c>
      <c r="C1580" s="5" t="n">
        <v>46289</v>
      </c>
      <c r="D1580" t="inlineStr">
        <is>
          <t>SALARY D. OYELARAN PR260924</t>
        </is>
      </c>
      <c r="E1580" s="9" t="n">
        <v>-2657.29</v>
      </c>
      <c r="F1580" t="inlineStr">
        <is>
          <t>PAY-20260924</t>
        </is>
      </c>
      <c r="G1580" t="inlineStr">
        <is>
          <t>G00557</t>
        </is>
      </c>
      <c r="H1580" t="str">
        <f>INDEX('Match Groups'!$C$5:$C$1326,MATCH(G1580,'Match Groups'!$A$5:$A$1326,0))</f>
        <v>R05</v>
      </c>
      <c r="I1580" t="str">
        <f>INDEX('Match Groups'!$D$5:$D$1326,MATCH(G1580,'Match Groups'!$A$5:$A$1326,0))</f>
        <v>MATCH</v>
      </c>
      <c r="J1580">
        <f>IF(I1580="DUPIMP",0,1)</f>
        <v>1</v>
      </c>
    </row>
    <row r="1581">
      <c r="A1581" t="inlineStr">
        <is>
          <t>BL-01214</t>
        </is>
      </c>
      <c r="B1581" t="inlineStr">
        <is>
          <t>PAY</t>
        </is>
      </c>
      <c r="C1581" s="5" t="n">
        <v>46289</v>
      </c>
      <c r="D1581" t="inlineStr">
        <is>
          <t>SALARY E. PELLEGRINO PR260924</t>
        </is>
      </c>
      <c r="E1581" s="9" t="n">
        <v>-2267.57</v>
      </c>
      <c r="F1581" t="inlineStr">
        <is>
          <t>PAY-20260924</t>
        </is>
      </c>
      <c r="G1581" t="inlineStr">
        <is>
          <t>G00557</t>
        </is>
      </c>
      <c r="H1581" t="str">
        <f>INDEX('Match Groups'!$C$5:$C$1326,MATCH(G1581,'Match Groups'!$A$5:$A$1326,0))</f>
        <v>R05</v>
      </c>
      <c r="I1581" t="str">
        <f>INDEX('Match Groups'!$D$5:$D$1326,MATCH(G1581,'Match Groups'!$A$5:$A$1326,0))</f>
        <v>MATCH</v>
      </c>
      <c r="J1581">
        <f>IF(I1581="DUPIMP",0,1)</f>
        <v>1</v>
      </c>
    </row>
    <row r="1582">
      <c r="A1582" t="inlineStr">
        <is>
          <t>BL-01215</t>
        </is>
      </c>
      <c r="B1582" t="inlineStr">
        <is>
          <t>PAY</t>
        </is>
      </c>
      <c r="C1582" s="5" t="n">
        <v>46289</v>
      </c>
      <c r="D1582" t="inlineStr">
        <is>
          <t>SALARY T. QUACH PR260924</t>
        </is>
      </c>
      <c r="E1582" s="9" t="n">
        <v>-3484.79</v>
      </c>
      <c r="F1582" t="inlineStr">
        <is>
          <t>PAY-20260924</t>
        </is>
      </c>
      <c r="G1582" t="inlineStr">
        <is>
          <t>G00557</t>
        </is>
      </c>
      <c r="H1582" t="str">
        <f>INDEX('Match Groups'!$C$5:$C$1326,MATCH(G1582,'Match Groups'!$A$5:$A$1326,0))</f>
        <v>R05</v>
      </c>
      <c r="I1582" t="str">
        <f>INDEX('Match Groups'!$D$5:$D$1326,MATCH(G1582,'Match Groups'!$A$5:$A$1326,0))</f>
        <v>MATCH</v>
      </c>
      <c r="J1582">
        <f>IF(I1582="DUPIMP",0,1)</f>
        <v>1</v>
      </c>
    </row>
    <row r="1583">
      <c r="A1583" t="inlineStr">
        <is>
          <t>BL-01216</t>
        </is>
      </c>
      <c r="B1583" t="inlineStr">
        <is>
          <t>PAY</t>
        </is>
      </c>
      <c r="C1583" s="5" t="n">
        <v>46289</v>
      </c>
      <c r="D1583" t="inlineStr">
        <is>
          <t>SALARY S. RASMUSSEN PR260924</t>
        </is>
      </c>
      <c r="E1583" s="9" t="n">
        <v>-2053.08</v>
      </c>
      <c r="F1583" t="inlineStr">
        <is>
          <t>PAY-20260924</t>
        </is>
      </c>
      <c r="G1583" t="inlineStr">
        <is>
          <t>G00557</t>
        </is>
      </c>
      <c r="H1583" t="str">
        <f>INDEX('Match Groups'!$C$5:$C$1326,MATCH(G1583,'Match Groups'!$A$5:$A$1326,0))</f>
        <v>R05</v>
      </c>
      <c r="I1583" t="str">
        <f>INDEX('Match Groups'!$D$5:$D$1326,MATCH(G1583,'Match Groups'!$A$5:$A$1326,0))</f>
        <v>MATCH</v>
      </c>
      <c r="J1583">
        <f>IF(I1583="DUPIMP",0,1)</f>
        <v>1</v>
      </c>
    </row>
    <row r="1584">
      <c r="A1584" t="inlineStr">
        <is>
          <t>BL-01217</t>
        </is>
      </c>
      <c r="B1584" t="inlineStr">
        <is>
          <t>PAY</t>
        </is>
      </c>
      <c r="C1584" s="5" t="n">
        <v>46289</v>
      </c>
      <c r="D1584" t="inlineStr">
        <is>
          <t>SALARY H. SANDOVAL PR260924</t>
        </is>
      </c>
      <c r="E1584" s="9" t="n">
        <v>-3098.1</v>
      </c>
      <c r="F1584" t="inlineStr">
        <is>
          <t>PAY-20260924</t>
        </is>
      </c>
      <c r="G1584" t="inlineStr">
        <is>
          <t>G00557</t>
        </is>
      </c>
      <c r="H1584" t="str">
        <f>INDEX('Match Groups'!$C$5:$C$1326,MATCH(G1584,'Match Groups'!$A$5:$A$1326,0))</f>
        <v>R05</v>
      </c>
      <c r="I1584" t="str">
        <f>INDEX('Match Groups'!$D$5:$D$1326,MATCH(G1584,'Match Groups'!$A$5:$A$1326,0))</f>
        <v>MATCH</v>
      </c>
      <c r="J1584">
        <f>IF(I1584="DUPIMP",0,1)</f>
        <v>1</v>
      </c>
    </row>
    <row r="1585">
      <c r="A1585" t="inlineStr">
        <is>
          <t>BL-01218</t>
        </is>
      </c>
      <c r="B1585" t="inlineStr">
        <is>
          <t>PAY</t>
        </is>
      </c>
      <c r="C1585" s="5" t="n">
        <v>46289</v>
      </c>
      <c r="D1585" t="inlineStr">
        <is>
          <t>SALARY R. TEAGUE PR260924</t>
        </is>
      </c>
      <c r="E1585" s="9" t="n">
        <v>-1874.27</v>
      </c>
      <c r="F1585" t="inlineStr">
        <is>
          <t>PAY-20260924</t>
        </is>
      </c>
      <c r="G1585" t="inlineStr">
        <is>
          <t>G00557</t>
        </is>
      </c>
      <c r="H1585" t="str">
        <f>INDEX('Match Groups'!$C$5:$C$1326,MATCH(G1585,'Match Groups'!$A$5:$A$1326,0))</f>
        <v>R05</v>
      </c>
      <c r="I1585" t="str">
        <f>INDEX('Match Groups'!$D$5:$D$1326,MATCH(G1585,'Match Groups'!$A$5:$A$1326,0))</f>
        <v>MATCH</v>
      </c>
      <c r="J1585">
        <f>IF(I1585="DUPIMP",0,1)</f>
        <v>1</v>
      </c>
    </row>
    <row r="1586">
      <c r="A1586" t="inlineStr">
        <is>
          <t>BL-01219</t>
        </is>
      </c>
      <c r="B1586" t="inlineStr">
        <is>
          <t>PAY</t>
        </is>
      </c>
      <c r="C1586" s="5" t="n">
        <v>46289</v>
      </c>
      <c r="D1586" t="inlineStr">
        <is>
          <t>SALARY M. UPTON PR260924</t>
        </is>
      </c>
      <c r="E1586" s="9" t="n">
        <v>-3571.18</v>
      </c>
      <c r="F1586" t="inlineStr">
        <is>
          <t>PAY-20260924</t>
        </is>
      </c>
      <c r="G1586" t="inlineStr">
        <is>
          <t>G00557</t>
        </is>
      </c>
      <c r="H1586" t="str">
        <f>INDEX('Match Groups'!$C$5:$C$1326,MATCH(G1586,'Match Groups'!$A$5:$A$1326,0))</f>
        <v>R05</v>
      </c>
      <c r="I1586" t="str">
        <f>INDEX('Match Groups'!$D$5:$D$1326,MATCH(G1586,'Match Groups'!$A$5:$A$1326,0))</f>
        <v>MATCH</v>
      </c>
      <c r="J1586">
        <f>IF(I1586="DUPIMP",0,1)</f>
        <v>1</v>
      </c>
    </row>
    <row r="1587">
      <c r="A1587" t="inlineStr">
        <is>
          <t>BL-01220</t>
        </is>
      </c>
      <c r="B1587" t="inlineStr">
        <is>
          <t>PAY</t>
        </is>
      </c>
      <c r="C1587" s="5" t="n">
        <v>46289</v>
      </c>
      <c r="D1587" t="inlineStr">
        <is>
          <t>SALARY K. VASQUEZ PR260924</t>
        </is>
      </c>
      <c r="E1587" s="9" t="n">
        <v>-1651.06</v>
      </c>
      <c r="F1587" t="inlineStr">
        <is>
          <t>PAY-20260924</t>
        </is>
      </c>
      <c r="G1587" t="inlineStr">
        <is>
          <t>G00557</t>
        </is>
      </c>
      <c r="H1587" t="str">
        <f>INDEX('Match Groups'!$C$5:$C$1326,MATCH(G1587,'Match Groups'!$A$5:$A$1326,0))</f>
        <v>R05</v>
      </c>
      <c r="I1587" t="str">
        <f>INDEX('Match Groups'!$D$5:$D$1326,MATCH(G1587,'Match Groups'!$A$5:$A$1326,0))</f>
        <v>MATCH</v>
      </c>
      <c r="J1587">
        <f>IF(I1587="DUPIMP",0,1)</f>
        <v>1</v>
      </c>
    </row>
    <row r="1588">
      <c r="A1588" t="inlineStr">
        <is>
          <t>BL-01221</t>
        </is>
      </c>
      <c r="B1588" t="inlineStr">
        <is>
          <t>PAY</t>
        </is>
      </c>
      <c r="C1588" s="5" t="n">
        <v>46289</v>
      </c>
      <c r="D1588" t="inlineStr">
        <is>
          <t>SALARY M. WHITLOCK PR260924</t>
        </is>
      </c>
      <c r="E1588" s="9" t="n">
        <v>-1688.73</v>
      </c>
      <c r="F1588" t="inlineStr">
        <is>
          <t>PAY-20260924</t>
        </is>
      </c>
      <c r="G1588" t="inlineStr">
        <is>
          <t>G00557</t>
        </is>
      </c>
      <c r="H1588" t="str">
        <f>INDEX('Match Groups'!$C$5:$C$1326,MATCH(G1588,'Match Groups'!$A$5:$A$1326,0))</f>
        <v>R05</v>
      </c>
      <c r="I1588" t="str">
        <f>INDEX('Match Groups'!$D$5:$D$1326,MATCH(G1588,'Match Groups'!$A$5:$A$1326,0))</f>
        <v>MATCH</v>
      </c>
      <c r="J1588">
        <f>IF(I1588="DUPIMP",0,1)</f>
        <v>1</v>
      </c>
    </row>
    <row r="1589">
      <c r="A1589" t="inlineStr">
        <is>
          <t>BL-01222</t>
        </is>
      </c>
      <c r="B1589" t="inlineStr">
        <is>
          <t>PAY</t>
        </is>
      </c>
      <c r="C1589" s="5" t="n">
        <v>46289</v>
      </c>
      <c r="D1589" t="inlineStr">
        <is>
          <t>SALARY P. XU PR260924</t>
        </is>
      </c>
      <c r="E1589" s="9" t="n">
        <v>-1737.65</v>
      </c>
      <c r="F1589" t="inlineStr">
        <is>
          <t>PAY-20260924</t>
        </is>
      </c>
      <c r="G1589" t="inlineStr">
        <is>
          <t>G00557</t>
        </is>
      </c>
      <c r="H1589" t="str">
        <f>INDEX('Match Groups'!$C$5:$C$1326,MATCH(G1589,'Match Groups'!$A$5:$A$1326,0))</f>
        <v>R05</v>
      </c>
      <c r="I1589" t="str">
        <f>INDEX('Match Groups'!$D$5:$D$1326,MATCH(G1589,'Match Groups'!$A$5:$A$1326,0))</f>
        <v>MATCH</v>
      </c>
      <c r="J1589">
        <f>IF(I1589="DUPIMP",0,1)</f>
        <v>1</v>
      </c>
    </row>
    <row r="1590">
      <c r="A1590" t="inlineStr">
        <is>
          <t>BL-01223</t>
        </is>
      </c>
      <c r="B1590" t="inlineStr">
        <is>
          <t>PAY</t>
        </is>
      </c>
      <c r="C1590" s="5" t="n">
        <v>46289</v>
      </c>
      <c r="D1590" t="inlineStr">
        <is>
          <t>SALARY R. YILMAZ PR260924</t>
        </is>
      </c>
      <c r="E1590" s="9" t="n">
        <v>-2831.78</v>
      </c>
      <c r="F1590" t="inlineStr">
        <is>
          <t>PAY-20260924</t>
        </is>
      </c>
      <c r="G1590" t="inlineStr">
        <is>
          <t>G00557</t>
        </is>
      </c>
      <c r="H1590" t="str">
        <f>INDEX('Match Groups'!$C$5:$C$1326,MATCH(G1590,'Match Groups'!$A$5:$A$1326,0))</f>
        <v>R05</v>
      </c>
      <c r="I1590" t="str">
        <f>INDEX('Match Groups'!$D$5:$D$1326,MATCH(G1590,'Match Groups'!$A$5:$A$1326,0))</f>
        <v>MATCH</v>
      </c>
      <c r="J1590">
        <f>IF(I1590="DUPIMP",0,1)</f>
        <v>1</v>
      </c>
    </row>
    <row r="1591">
      <c r="A1591" t="inlineStr">
        <is>
          <t>BL-01224</t>
        </is>
      </c>
      <c r="B1591" t="inlineStr">
        <is>
          <t>PAY</t>
        </is>
      </c>
      <c r="C1591" s="5" t="n">
        <v>46289</v>
      </c>
      <c r="D1591" t="inlineStr">
        <is>
          <t>SALARY E. ZIELINSKI PR260924</t>
        </is>
      </c>
      <c r="E1591" s="9" t="n">
        <v>-2217.43</v>
      </c>
      <c r="F1591" t="inlineStr">
        <is>
          <t>PAY-20260924</t>
        </is>
      </c>
      <c r="G1591" t="inlineStr">
        <is>
          <t>G00557</t>
        </is>
      </c>
      <c r="H1591" t="str">
        <f>INDEX('Match Groups'!$C$5:$C$1326,MATCH(G1591,'Match Groups'!$A$5:$A$1326,0))</f>
        <v>R05</v>
      </c>
      <c r="I1591" t="str">
        <f>INDEX('Match Groups'!$D$5:$D$1326,MATCH(G1591,'Match Groups'!$A$5:$A$1326,0))</f>
        <v>MATCH</v>
      </c>
      <c r="J1591">
        <f>IF(I1591="DUPIMP",0,1)</f>
        <v>1</v>
      </c>
    </row>
    <row r="1592">
      <c r="A1592" t="inlineStr">
        <is>
          <t>BL-01225</t>
        </is>
      </c>
      <c r="B1592" t="inlineStr">
        <is>
          <t>PAY</t>
        </is>
      </c>
      <c r="C1592" s="5" t="n">
        <v>46289</v>
      </c>
      <c r="D1592" t="inlineStr">
        <is>
          <t>SALARY A. ASHBY PR260924</t>
        </is>
      </c>
      <c r="E1592" s="9" t="n">
        <v>-3235.16</v>
      </c>
      <c r="F1592" t="inlineStr">
        <is>
          <t>PAY-20260924</t>
        </is>
      </c>
      <c r="G1592" t="inlineStr">
        <is>
          <t>G00557</t>
        </is>
      </c>
      <c r="H1592" t="str">
        <f>INDEX('Match Groups'!$C$5:$C$1326,MATCH(G1592,'Match Groups'!$A$5:$A$1326,0))</f>
        <v>R05</v>
      </c>
      <c r="I1592" t="str">
        <f>INDEX('Match Groups'!$D$5:$D$1326,MATCH(G1592,'Match Groups'!$A$5:$A$1326,0))</f>
        <v>MATCH</v>
      </c>
      <c r="J1592">
        <f>IF(I1592="DUPIMP",0,1)</f>
        <v>1</v>
      </c>
    </row>
    <row r="1593">
      <c r="A1593" t="inlineStr">
        <is>
          <t>BL-01226</t>
        </is>
      </c>
      <c r="B1593" t="inlineStr">
        <is>
          <t>PAY</t>
        </is>
      </c>
      <c r="C1593" s="5" t="n">
        <v>46289</v>
      </c>
      <c r="D1593" t="inlineStr">
        <is>
          <t>SALARY T. BAROSSA PR260924</t>
        </is>
      </c>
      <c r="E1593" s="9" t="n">
        <v>-2068.45</v>
      </c>
      <c r="F1593" t="inlineStr">
        <is>
          <t>PAY-20260924</t>
        </is>
      </c>
      <c r="G1593" t="inlineStr">
        <is>
          <t>G00557</t>
        </is>
      </c>
      <c r="H1593" t="str">
        <f>INDEX('Match Groups'!$C$5:$C$1326,MATCH(G1593,'Match Groups'!$A$5:$A$1326,0))</f>
        <v>R05</v>
      </c>
      <c r="I1593" t="str">
        <f>INDEX('Match Groups'!$D$5:$D$1326,MATCH(G1593,'Match Groups'!$A$5:$A$1326,0))</f>
        <v>MATCH</v>
      </c>
      <c r="J1593">
        <f>IF(I1593="DUPIMP",0,1)</f>
        <v>1</v>
      </c>
    </row>
    <row r="1594">
      <c r="A1594" t="inlineStr">
        <is>
          <t>BL-01227</t>
        </is>
      </c>
      <c r="B1594" t="inlineStr">
        <is>
          <t>PAY</t>
        </is>
      </c>
      <c r="C1594" s="5" t="n">
        <v>46289</v>
      </c>
      <c r="D1594" t="inlineStr">
        <is>
          <t>SALARY T. COOMBE PR260924</t>
        </is>
      </c>
      <c r="E1594" s="9" t="n">
        <v>-2795.43</v>
      </c>
      <c r="F1594" t="inlineStr">
        <is>
          <t>PAY-20260924</t>
        </is>
      </c>
      <c r="G1594" t="inlineStr">
        <is>
          <t>G00557</t>
        </is>
      </c>
      <c r="H1594" t="str">
        <f>INDEX('Match Groups'!$C$5:$C$1326,MATCH(G1594,'Match Groups'!$A$5:$A$1326,0))</f>
        <v>R05</v>
      </c>
      <c r="I1594" t="str">
        <f>INDEX('Match Groups'!$D$5:$D$1326,MATCH(G1594,'Match Groups'!$A$5:$A$1326,0))</f>
        <v>MATCH</v>
      </c>
      <c r="J1594">
        <f>IF(I1594="DUPIMP",0,1)</f>
        <v>1</v>
      </c>
    </row>
    <row r="1595">
      <c r="A1595" t="inlineStr">
        <is>
          <t>BL-01228</t>
        </is>
      </c>
      <c r="B1595" t="inlineStr">
        <is>
          <t>PAY</t>
        </is>
      </c>
      <c r="C1595" s="5" t="n">
        <v>46289</v>
      </c>
      <c r="D1595" t="inlineStr">
        <is>
          <t>SALARY N. DELACROIX PR260924</t>
        </is>
      </c>
      <c r="E1595" s="9" t="n">
        <v>-3743.3</v>
      </c>
      <c r="F1595" t="inlineStr">
        <is>
          <t>PAY-20260924</t>
        </is>
      </c>
      <c r="G1595" t="inlineStr">
        <is>
          <t>G00557</t>
        </is>
      </c>
      <c r="H1595" t="str">
        <f>INDEX('Match Groups'!$C$5:$C$1326,MATCH(G1595,'Match Groups'!$A$5:$A$1326,0))</f>
        <v>R05</v>
      </c>
      <c r="I1595" t="str">
        <f>INDEX('Match Groups'!$D$5:$D$1326,MATCH(G1595,'Match Groups'!$A$5:$A$1326,0))</f>
        <v>MATCH</v>
      </c>
      <c r="J1595">
        <f>IF(I1595="DUPIMP",0,1)</f>
        <v>1</v>
      </c>
    </row>
    <row r="1596">
      <c r="A1596" t="inlineStr">
        <is>
          <t>BL-01229</t>
        </is>
      </c>
      <c r="B1596" t="inlineStr">
        <is>
          <t>PAY</t>
        </is>
      </c>
      <c r="C1596" s="5" t="n">
        <v>46289</v>
      </c>
      <c r="D1596" t="inlineStr">
        <is>
          <t>SALARY C. ESPOSITO PR260924</t>
        </is>
      </c>
      <c r="E1596" s="9" t="n">
        <v>-3718.7</v>
      </c>
      <c r="F1596" t="inlineStr">
        <is>
          <t>PAY-20260924</t>
        </is>
      </c>
      <c r="G1596" t="inlineStr">
        <is>
          <t>G00557</t>
        </is>
      </c>
      <c r="H1596" t="str">
        <f>INDEX('Match Groups'!$C$5:$C$1326,MATCH(G1596,'Match Groups'!$A$5:$A$1326,0))</f>
        <v>R05</v>
      </c>
      <c r="I1596" t="str">
        <f>INDEX('Match Groups'!$D$5:$D$1326,MATCH(G1596,'Match Groups'!$A$5:$A$1326,0))</f>
        <v>MATCH</v>
      </c>
      <c r="J1596">
        <f>IF(I1596="DUPIMP",0,1)</f>
        <v>1</v>
      </c>
    </row>
    <row r="1597">
      <c r="A1597" t="inlineStr">
        <is>
          <t>BL-01230</t>
        </is>
      </c>
      <c r="B1597" t="inlineStr">
        <is>
          <t>PAY</t>
        </is>
      </c>
      <c r="C1597" s="5" t="n">
        <v>46289</v>
      </c>
      <c r="D1597" t="inlineStr">
        <is>
          <t>SALARY N. FAIRWEATHER PR260924</t>
        </is>
      </c>
      <c r="E1597" s="9" t="n">
        <v>-1858.19</v>
      </c>
      <c r="F1597" t="inlineStr">
        <is>
          <t>PAY-20260924</t>
        </is>
      </c>
      <c r="G1597" t="inlineStr">
        <is>
          <t>G00557</t>
        </is>
      </c>
      <c r="H1597" t="str">
        <f>INDEX('Match Groups'!$C$5:$C$1326,MATCH(G1597,'Match Groups'!$A$5:$A$1326,0))</f>
        <v>R05</v>
      </c>
      <c r="I1597" t="str">
        <f>INDEX('Match Groups'!$D$5:$D$1326,MATCH(G1597,'Match Groups'!$A$5:$A$1326,0))</f>
        <v>MATCH</v>
      </c>
      <c r="J1597">
        <f>IF(I1597="DUPIMP",0,1)</f>
        <v>1</v>
      </c>
    </row>
    <row r="1598">
      <c r="A1598" t="inlineStr">
        <is>
          <t>BL-01231</t>
        </is>
      </c>
      <c r="B1598" t="inlineStr">
        <is>
          <t>PAY</t>
        </is>
      </c>
      <c r="C1598" s="5" t="n">
        <v>46289</v>
      </c>
      <c r="D1598" t="inlineStr">
        <is>
          <t>SALARY T. GRIEVE PR260924</t>
        </is>
      </c>
      <c r="E1598" s="9" t="n">
        <v>-2696.61</v>
      </c>
      <c r="F1598" t="inlineStr">
        <is>
          <t>PAY-20260924</t>
        </is>
      </c>
      <c r="G1598" t="inlineStr">
        <is>
          <t>G00557</t>
        </is>
      </c>
      <c r="H1598" t="str">
        <f>INDEX('Match Groups'!$C$5:$C$1326,MATCH(G1598,'Match Groups'!$A$5:$A$1326,0))</f>
        <v>R05</v>
      </c>
      <c r="I1598" t="str">
        <f>INDEX('Match Groups'!$D$5:$D$1326,MATCH(G1598,'Match Groups'!$A$5:$A$1326,0))</f>
        <v>MATCH</v>
      </c>
      <c r="J1598">
        <f>IF(I1598="DUPIMP",0,1)</f>
        <v>1</v>
      </c>
    </row>
    <row r="1599">
      <c r="A1599" t="inlineStr">
        <is>
          <t>BL-01232</t>
        </is>
      </c>
      <c r="B1599" t="inlineStr">
        <is>
          <t>PAY</t>
        </is>
      </c>
      <c r="C1599" s="5" t="n">
        <v>46289</v>
      </c>
      <c r="D1599" t="inlineStr">
        <is>
          <t>SALARY H. HALLORAN PR260924</t>
        </is>
      </c>
      <c r="E1599" s="9" t="n">
        <v>-2340.11</v>
      </c>
      <c r="F1599" t="inlineStr">
        <is>
          <t>PAY-20260924</t>
        </is>
      </c>
      <c r="G1599" t="inlineStr">
        <is>
          <t>G00557</t>
        </is>
      </c>
      <c r="H1599" t="str">
        <f>INDEX('Match Groups'!$C$5:$C$1326,MATCH(G1599,'Match Groups'!$A$5:$A$1326,0))</f>
        <v>R05</v>
      </c>
      <c r="I1599" t="str">
        <f>INDEX('Match Groups'!$D$5:$D$1326,MATCH(G1599,'Match Groups'!$A$5:$A$1326,0))</f>
        <v>MATCH</v>
      </c>
      <c r="J1599">
        <f>IF(I1599="DUPIMP",0,1)</f>
        <v>1</v>
      </c>
    </row>
    <row r="1600">
      <c r="A1600" t="inlineStr">
        <is>
          <t>BL-01233</t>
        </is>
      </c>
      <c r="B1600" t="inlineStr">
        <is>
          <t>PAY</t>
        </is>
      </c>
      <c r="C1600" s="5" t="n">
        <v>46289</v>
      </c>
      <c r="D1600" t="inlineStr">
        <is>
          <t>SALARY C. IQBAL PR260924</t>
        </is>
      </c>
      <c r="E1600" s="9" t="n">
        <v>-3124.99</v>
      </c>
      <c r="F1600" t="inlineStr">
        <is>
          <t>PAY-20260924</t>
        </is>
      </c>
      <c r="G1600" t="inlineStr">
        <is>
          <t>G00557</t>
        </is>
      </c>
      <c r="H1600" t="str">
        <f>INDEX('Match Groups'!$C$5:$C$1326,MATCH(G1600,'Match Groups'!$A$5:$A$1326,0))</f>
        <v>R05</v>
      </c>
      <c r="I1600" t="str">
        <f>INDEX('Match Groups'!$D$5:$D$1326,MATCH(G1600,'Match Groups'!$A$5:$A$1326,0))</f>
        <v>MATCH</v>
      </c>
      <c r="J1600">
        <f>IF(I1600="DUPIMP",0,1)</f>
        <v>1</v>
      </c>
    </row>
    <row r="1601">
      <c r="A1601" t="inlineStr">
        <is>
          <t>BL-01234</t>
        </is>
      </c>
      <c r="B1601" t="inlineStr">
        <is>
          <t>PAY</t>
        </is>
      </c>
      <c r="C1601" s="5" t="n">
        <v>46289</v>
      </c>
      <c r="D1601" t="inlineStr">
        <is>
          <t>SALARY W. JESSOP PR260924</t>
        </is>
      </c>
      <c r="E1601" s="9" t="n">
        <v>-3313.26</v>
      </c>
      <c r="F1601" t="inlineStr">
        <is>
          <t>PAY-20260924</t>
        </is>
      </c>
      <c r="G1601" t="inlineStr">
        <is>
          <t>G00557</t>
        </is>
      </c>
      <c r="H1601" t="str">
        <f>INDEX('Match Groups'!$C$5:$C$1326,MATCH(G1601,'Match Groups'!$A$5:$A$1326,0))</f>
        <v>R05</v>
      </c>
      <c r="I1601" t="str">
        <f>INDEX('Match Groups'!$D$5:$D$1326,MATCH(G1601,'Match Groups'!$A$5:$A$1326,0))</f>
        <v>MATCH</v>
      </c>
      <c r="J1601">
        <f>IF(I1601="DUPIMP",0,1)</f>
        <v>1</v>
      </c>
    </row>
    <row r="1602">
      <c r="A1602" t="inlineStr">
        <is>
          <t>BL-01235</t>
        </is>
      </c>
      <c r="B1602" t="inlineStr">
        <is>
          <t>PAY</t>
        </is>
      </c>
      <c r="C1602" s="5" t="n">
        <v>46289</v>
      </c>
      <c r="D1602" t="inlineStr">
        <is>
          <t>SALARY K. KERRIGAN PR260924</t>
        </is>
      </c>
      <c r="E1602" s="9" t="n">
        <v>-2472.88</v>
      </c>
      <c r="F1602" t="inlineStr">
        <is>
          <t>PAY-20260924</t>
        </is>
      </c>
      <c r="G1602" t="inlineStr">
        <is>
          <t>G00557</t>
        </is>
      </c>
      <c r="H1602" t="str">
        <f>INDEX('Match Groups'!$C$5:$C$1326,MATCH(G1602,'Match Groups'!$A$5:$A$1326,0))</f>
        <v>R05</v>
      </c>
      <c r="I1602" t="str">
        <f>INDEX('Match Groups'!$D$5:$D$1326,MATCH(G1602,'Match Groups'!$A$5:$A$1326,0))</f>
        <v>MATCH</v>
      </c>
      <c r="J1602">
        <f>IF(I1602="DUPIMP",0,1)</f>
        <v>1</v>
      </c>
    </row>
    <row r="1603">
      <c r="A1603" t="inlineStr">
        <is>
          <t>BL-01236</t>
        </is>
      </c>
      <c r="B1603" t="inlineStr">
        <is>
          <t>PAY</t>
        </is>
      </c>
      <c r="C1603" s="5" t="n">
        <v>46289</v>
      </c>
      <c r="D1603" t="inlineStr">
        <is>
          <t>SALARY D. LACHLAN PR260924</t>
        </is>
      </c>
      <c r="E1603" s="9" t="n">
        <v>-1866.47</v>
      </c>
      <c r="F1603" t="inlineStr">
        <is>
          <t>PAY-20260924</t>
        </is>
      </c>
      <c r="G1603" t="inlineStr">
        <is>
          <t>G00557</t>
        </is>
      </c>
      <c r="H1603" t="str">
        <f>INDEX('Match Groups'!$C$5:$C$1326,MATCH(G1603,'Match Groups'!$A$5:$A$1326,0))</f>
        <v>R05</v>
      </c>
      <c r="I1603" t="str">
        <f>INDEX('Match Groups'!$D$5:$D$1326,MATCH(G1603,'Match Groups'!$A$5:$A$1326,0))</f>
        <v>MATCH</v>
      </c>
      <c r="J1603">
        <f>IF(I1603="DUPIMP",0,1)</f>
        <v>1</v>
      </c>
    </row>
    <row r="1604">
      <c r="A1604" t="inlineStr">
        <is>
          <t>BL-01237</t>
        </is>
      </c>
      <c r="B1604" t="inlineStr">
        <is>
          <t>PAY</t>
        </is>
      </c>
      <c r="C1604" s="5" t="n">
        <v>46289</v>
      </c>
      <c r="D1604" t="inlineStr">
        <is>
          <t>SALARY K. MOREAU PR260924</t>
        </is>
      </c>
      <c r="E1604" s="9" t="n">
        <v>-2828.17</v>
      </c>
      <c r="F1604" t="inlineStr">
        <is>
          <t>PAY-20260924</t>
        </is>
      </c>
      <c r="G1604" t="inlineStr">
        <is>
          <t>G00557</t>
        </is>
      </c>
      <c r="H1604" t="str">
        <f>INDEX('Match Groups'!$C$5:$C$1326,MATCH(G1604,'Match Groups'!$A$5:$A$1326,0))</f>
        <v>R05</v>
      </c>
      <c r="I1604" t="str">
        <f>INDEX('Match Groups'!$D$5:$D$1326,MATCH(G1604,'Match Groups'!$A$5:$A$1326,0))</f>
        <v>MATCH</v>
      </c>
      <c r="J1604">
        <f>IF(I1604="DUPIMP",0,1)</f>
        <v>1</v>
      </c>
    </row>
    <row r="1605">
      <c r="A1605" t="inlineStr">
        <is>
          <t>BL-01238</t>
        </is>
      </c>
      <c r="B1605" t="inlineStr">
        <is>
          <t>PAY</t>
        </is>
      </c>
      <c r="C1605" s="5" t="n">
        <v>46289</v>
      </c>
      <c r="D1605" t="inlineStr">
        <is>
          <t>SALARY E. NAKAMURA PR260924</t>
        </is>
      </c>
      <c r="E1605" s="9" t="n">
        <v>-3163.99</v>
      </c>
      <c r="F1605" t="inlineStr">
        <is>
          <t>PAY-20260924</t>
        </is>
      </c>
      <c r="G1605" t="inlineStr">
        <is>
          <t>G00557</t>
        </is>
      </c>
      <c r="H1605" t="str">
        <f>INDEX('Match Groups'!$C$5:$C$1326,MATCH(G1605,'Match Groups'!$A$5:$A$1326,0))</f>
        <v>R05</v>
      </c>
      <c r="I1605" t="str">
        <f>INDEX('Match Groups'!$D$5:$D$1326,MATCH(G1605,'Match Groups'!$A$5:$A$1326,0))</f>
        <v>MATCH</v>
      </c>
      <c r="J1605">
        <f>IF(I1605="DUPIMP",0,1)</f>
        <v>1</v>
      </c>
    </row>
    <row r="1606">
      <c r="A1606" t="inlineStr">
        <is>
          <t>BL-01239</t>
        </is>
      </c>
      <c r="B1606" t="inlineStr">
        <is>
          <t>PAY</t>
        </is>
      </c>
      <c r="C1606" s="5" t="n">
        <v>46289</v>
      </c>
      <c r="D1606" t="inlineStr">
        <is>
          <t>SALARY C. ORMSBY PR260924</t>
        </is>
      </c>
      <c r="E1606" s="9" t="n">
        <v>-2698.52</v>
      </c>
      <c r="F1606" t="inlineStr">
        <is>
          <t>PAY-20260924</t>
        </is>
      </c>
      <c r="G1606" t="inlineStr">
        <is>
          <t>G00557</t>
        </is>
      </c>
      <c r="H1606" t="str">
        <f>INDEX('Match Groups'!$C$5:$C$1326,MATCH(G1606,'Match Groups'!$A$5:$A$1326,0))</f>
        <v>R05</v>
      </c>
      <c r="I1606" t="str">
        <f>INDEX('Match Groups'!$D$5:$D$1326,MATCH(G1606,'Match Groups'!$A$5:$A$1326,0))</f>
        <v>MATCH</v>
      </c>
      <c r="J1606">
        <f>IF(I1606="DUPIMP",0,1)</f>
        <v>1</v>
      </c>
    </row>
    <row r="1607">
      <c r="A1607" t="inlineStr">
        <is>
          <t>BL-01240</t>
        </is>
      </c>
      <c r="B1607" t="inlineStr">
        <is>
          <t>PAY</t>
        </is>
      </c>
      <c r="C1607" s="5" t="n">
        <v>46289</v>
      </c>
      <c r="D1607" t="inlineStr">
        <is>
          <t>SALARY L. PRENTICE PR260924</t>
        </is>
      </c>
      <c r="E1607" s="9" t="n">
        <v>-2393.98</v>
      </c>
      <c r="F1607" t="inlineStr">
        <is>
          <t>PAY-20260924</t>
        </is>
      </c>
      <c r="G1607" t="inlineStr">
        <is>
          <t>G00557</t>
        </is>
      </c>
      <c r="H1607" t="str">
        <f>INDEX('Match Groups'!$C$5:$C$1326,MATCH(G1607,'Match Groups'!$A$5:$A$1326,0))</f>
        <v>R05</v>
      </c>
      <c r="I1607" t="str">
        <f>INDEX('Match Groups'!$D$5:$D$1326,MATCH(G1607,'Match Groups'!$A$5:$A$1326,0))</f>
        <v>MATCH</v>
      </c>
      <c r="J1607">
        <f>IF(I1607="DUPIMP",0,1)</f>
        <v>1</v>
      </c>
    </row>
    <row r="1608">
      <c r="A1608" t="inlineStr">
        <is>
          <t>BL-01241</t>
        </is>
      </c>
      <c r="B1608" t="inlineStr">
        <is>
          <t>PAY</t>
        </is>
      </c>
      <c r="C1608" s="5" t="n">
        <v>46289</v>
      </c>
      <c r="D1608" t="inlineStr">
        <is>
          <t>SALARY N. REDFERN PR260924</t>
        </is>
      </c>
      <c r="E1608" s="9" t="n">
        <v>-1549</v>
      </c>
      <c r="F1608" t="inlineStr">
        <is>
          <t>PAY-20260924</t>
        </is>
      </c>
      <c r="G1608" t="inlineStr">
        <is>
          <t>G00557</t>
        </is>
      </c>
      <c r="H1608" t="str">
        <f>INDEX('Match Groups'!$C$5:$C$1326,MATCH(G1608,'Match Groups'!$A$5:$A$1326,0))</f>
        <v>R05</v>
      </c>
      <c r="I1608" t="str">
        <f>INDEX('Match Groups'!$D$5:$D$1326,MATCH(G1608,'Match Groups'!$A$5:$A$1326,0))</f>
        <v>MATCH</v>
      </c>
      <c r="J1608">
        <f>IF(I1608="DUPIMP",0,1)</f>
        <v>1</v>
      </c>
    </row>
    <row r="1609">
      <c r="A1609" t="inlineStr">
        <is>
          <t>BL-01244</t>
        </is>
      </c>
      <c r="B1609" t="inlineStr">
        <is>
          <t>PAY</t>
        </is>
      </c>
      <c r="C1609" s="5" t="n">
        <v>46295</v>
      </c>
      <c r="D1609" t="inlineStr">
        <is>
          <t>ACCOUNT KEEPING FEE</t>
        </is>
      </c>
      <c r="E1609" s="9" t="n">
        <v>-10</v>
      </c>
      <c r="F1609" t="inlineStr">
        <is>
          <t>PAY-20260930</t>
        </is>
      </c>
      <c r="G1609" t="inlineStr">
        <is>
          <t>G01221</t>
        </is>
      </c>
      <c r="H1609" t="str">
        <f>INDEX('Match Groups'!$C$5:$C$1326,MATCH(G1609,'Match Groups'!$A$5:$A$1326,0))</f>
        <v>R12</v>
      </c>
      <c r="I1609" t="str">
        <f>INDEX('Match Groups'!$D$5:$D$1326,MATCH(G1609,'Match Groups'!$A$5:$A$1326,0))</f>
        <v>FEE</v>
      </c>
      <c r="J1609">
        <f>IF(I1609="DUPIMP",0,1)</f>
        <v>1</v>
      </c>
    </row>
    <row r="1610">
      <c r="A1610" t="inlineStr">
        <is>
          <t>BL-01599</t>
        </is>
      </c>
      <c r="B1610" t="inlineStr">
        <is>
          <t>USD</t>
        </is>
      </c>
      <c r="C1610" s="5" t="n">
        <v>46209</v>
      </c>
      <c r="D1610" t="inlineStr">
        <is>
          <t>OUTWARD TT TELEHEALTHPLATFO BILL20261041</t>
        </is>
      </c>
      <c r="E1610" s="9" t="n">
        <v>-2400</v>
      </c>
      <c r="F1610" t="inlineStr">
        <is>
          <t>USD-20260706</t>
        </is>
      </c>
      <c r="G1610" t="inlineStr">
        <is>
          <t>G01099</t>
        </is>
      </c>
      <c r="H1610" t="str">
        <f>INDEX('Match Groups'!$C$5:$C$1326,MATCH(G1610,'Match Groups'!$A$5:$A$1326,0))</f>
        <v>R09</v>
      </c>
      <c r="I1610" t="str">
        <f>INDEX('Match Groups'!$D$5:$D$1326,MATCH(G1610,'Match Groups'!$A$5:$A$1326,0))</f>
        <v>MATCH</v>
      </c>
      <c r="J1610">
        <f>IF(I1610="DUPIMP",0,1)</f>
        <v>1</v>
      </c>
    </row>
    <row r="1611">
      <c r="A1611" t="inlineStr">
        <is>
          <t>BL-01600</t>
        </is>
      </c>
      <c r="B1611" t="inlineStr">
        <is>
          <t>USD</t>
        </is>
      </c>
      <c r="C1611" s="5" t="n">
        <v>46209</v>
      </c>
      <c r="D1611" t="inlineStr">
        <is>
          <t>INTL TRANSFER FEE</t>
        </is>
      </c>
      <c r="E1611" s="9" t="n">
        <v>-15</v>
      </c>
      <c r="F1611" t="inlineStr">
        <is>
          <t>USD-20260706</t>
        </is>
      </c>
      <c r="G1611" t="inlineStr">
        <is>
          <t>G01227</t>
        </is>
      </c>
      <c r="H1611" t="str">
        <f>INDEX('Match Groups'!$C$5:$C$1326,MATCH(G1611,'Match Groups'!$A$5:$A$1326,0))</f>
        <v>R12</v>
      </c>
      <c r="I1611" t="str">
        <f>INDEX('Match Groups'!$D$5:$D$1326,MATCH(G1611,'Match Groups'!$A$5:$A$1326,0))</f>
        <v>FEE</v>
      </c>
      <c r="J1611">
        <f>IF(I1611="DUPIMP",0,1)</f>
        <v>1</v>
      </c>
    </row>
    <row r="1612">
      <c r="A1612" t="inlineStr">
        <is>
          <t>BL-01593</t>
        </is>
      </c>
      <c r="B1612" t="inlineStr">
        <is>
          <t>USD</t>
        </is>
      </c>
      <c r="C1612" s="5" t="n">
        <v>46213</v>
      </c>
      <c r="D1612" t="inlineStr">
        <is>
          <t>FX CONVERSION FROM AUD FX0710</t>
        </is>
      </c>
      <c r="E1612" s="9" t="n">
        <v>9000</v>
      </c>
      <c r="F1612" t="inlineStr">
        <is>
          <t>USD-20260710</t>
        </is>
      </c>
      <c r="G1612" t="inlineStr">
        <is>
          <t>G00897</t>
        </is>
      </c>
      <c r="H1612" t="str">
        <f>INDEX('Match Groups'!$C$5:$C$1326,MATCH(G1612,'Match Groups'!$A$5:$A$1326,0))</f>
        <v>R04</v>
      </c>
      <c r="I1612" t="str">
        <f>INDEX('Match Groups'!$D$5:$D$1326,MATCH(G1612,'Match Groups'!$A$5:$A$1326,0))</f>
        <v>MATCH</v>
      </c>
      <c r="J1612">
        <f>IF(I1612="DUPIMP",0,1)</f>
        <v>1</v>
      </c>
    </row>
    <row r="1613">
      <c r="A1613" t="inlineStr">
        <is>
          <t>BL-01601</t>
        </is>
      </c>
      <c r="B1613" t="inlineStr">
        <is>
          <t>USD</t>
        </is>
      </c>
      <c r="C1613" s="5" t="n">
        <v>46217</v>
      </c>
      <c r="D1613" t="inlineStr">
        <is>
          <t>OUTWARD TT CLINICAL NOTES CLO BILL20261042</t>
        </is>
      </c>
      <c r="E1613" s="9" t="n">
        <v>-1180</v>
      </c>
      <c r="F1613" t="inlineStr">
        <is>
          <t>USD-20260714</t>
        </is>
      </c>
      <c r="G1613" t="inlineStr">
        <is>
          <t>G01100</t>
        </is>
      </c>
      <c r="H1613" t="str">
        <f>INDEX('Match Groups'!$C$5:$C$1326,MATCH(G1613,'Match Groups'!$A$5:$A$1326,0))</f>
        <v>R09</v>
      </c>
      <c r="I1613" t="str">
        <f>INDEX('Match Groups'!$D$5:$D$1326,MATCH(G1613,'Match Groups'!$A$5:$A$1326,0))</f>
        <v>MATCH</v>
      </c>
      <c r="J1613">
        <f>IF(I1613="DUPIMP",0,1)</f>
        <v>1</v>
      </c>
    </row>
    <row r="1614">
      <c r="A1614" t="inlineStr">
        <is>
          <t>BL-01602</t>
        </is>
      </c>
      <c r="B1614" t="inlineStr">
        <is>
          <t>USD</t>
        </is>
      </c>
      <c r="C1614" s="5" t="n">
        <v>46217</v>
      </c>
      <c r="D1614" t="inlineStr">
        <is>
          <t>INTL TRANSFER FEE</t>
        </is>
      </c>
      <c r="E1614" s="9" t="n">
        <v>-15</v>
      </c>
      <c r="F1614" t="inlineStr">
        <is>
          <t>USD-20260714</t>
        </is>
      </c>
      <c r="G1614" t="inlineStr">
        <is>
          <t>G01228</t>
        </is>
      </c>
      <c r="H1614" t="str">
        <f>INDEX('Match Groups'!$C$5:$C$1326,MATCH(G1614,'Match Groups'!$A$5:$A$1326,0))</f>
        <v>R12</v>
      </c>
      <c r="I1614" t="str">
        <f>INDEX('Match Groups'!$D$5:$D$1326,MATCH(G1614,'Match Groups'!$A$5:$A$1326,0))</f>
        <v>FEE</v>
      </c>
      <c r="J1614">
        <f>IF(I1614="DUPIMP",0,1)</f>
        <v>1</v>
      </c>
    </row>
    <row r="1615">
      <c r="A1615" t="inlineStr">
        <is>
          <t>BL-00684</t>
        </is>
      </c>
      <c r="B1615" t="inlineStr">
        <is>
          <t>USD</t>
        </is>
      </c>
      <c r="C1615" s="5" t="n">
        <v>46220</v>
      </c>
      <c r="D1615" t="inlineStr">
        <is>
          <t>INWARD TT CASCADIA HEALTH ANALY INV/2026/03623</t>
        </is>
      </c>
      <c r="E1615" s="9" t="n">
        <v>6782</v>
      </c>
      <c r="F1615" t="inlineStr">
        <is>
          <t>USD-20260717</t>
        </is>
      </c>
      <c r="G1615" t="inlineStr">
        <is>
          <t>G01101</t>
        </is>
      </c>
      <c r="H1615" t="str">
        <f>INDEX('Match Groups'!$C$5:$C$1326,MATCH(G1615,'Match Groups'!$A$5:$A$1326,0))</f>
        <v>R09</v>
      </c>
      <c r="I1615" t="str">
        <f>INDEX('Match Groups'!$D$5:$D$1326,MATCH(G1615,'Match Groups'!$A$5:$A$1326,0))</f>
        <v>FEE-DIFF</v>
      </c>
      <c r="J1615">
        <f>IF(I1615="DUPIMP",0,1)</f>
        <v>1</v>
      </c>
    </row>
    <row r="1616">
      <c r="A1616" t="inlineStr">
        <is>
          <t>BL-01603</t>
        </is>
      </c>
      <c r="B1616" t="inlineStr">
        <is>
          <t>USD</t>
        </is>
      </c>
      <c r="C1616" s="5" t="n">
        <v>46223</v>
      </c>
      <c r="D1616" t="inlineStr">
        <is>
          <t>OUTWARD TT OUTCOME MEASURES CO BILL20261043</t>
        </is>
      </c>
      <c r="E1616" s="9" t="n">
        <v>-640</v>
      </c>
      <c r="F1616" t="inlineStr">
        <is>
          <t>USD-20260720</t>
        </is>
      </c>
      <c r="G1616" t="inlineStr">
        <is>
          <t>G01102</t>
        </is>
      </c>
      <c r="H1616" t="str">
        <f>INDEX('Match Groups'!$C$5:$C$1326,MATCH(G1616,'Match Groups'!$A$5:$A$1326,0))</f>
        <v>R09</v>
      </c>
      <c r="I1616" t="str">
        <f>INDEX('Match Groups'!$D$5:$D$1326,MATCH(G1616,'Match Groups'!$A$5:$A$1326,0))</f>
        <v>MATCH</v>
      </c>
      <c r="J1616">
        <f>IF(I1616="DUPIMP",0,1)</f>
        <v>1</v>
      </c>
    </row>
    <row r="1617">
      <c r="A1617" t="inlineStr">
        <is>
          <t>BL-01604</t>
        </is>
      </c>
      <c r="B1617" t="inlineStr">
        <is>
          <t>USD</t>
        </is>
      </c>
      <c r="C1617" s="5" t="n">
        <v>46223</v>
      </c>
      <c r="D1617" t="inlineStr">
        <is>
          <t>INTL TRANSFER FEE</t>
        </is>
      </c>
      <c r="E1617" s="9" t="n">
        <v>-15</v>
      </c>
      <c r="F1617" t="inlineStr">
        <is>
          <t>USD-20260720</t>
        </is>
      </c>
      <c r="G1617" t="inlineStr">
        <is>
          <t>G01229</t>
        </is>
      </c>
      <c r="H1617" t="str">
        <f>INDEX('Match Groups'!$C$5:$C$1326,MATCH(G1617,'Match Groups'!$A$5:$A$1326,0))</f>
        <v>R12</v>
      </c>
      <c r="I1617" t="str">
        <f>INDEX('Match Groups'!$D$5:$D$1326,MATCH(G1617,'Match Groups'!$A$5:$A$1326,0))</f>
        <v>FEE</v>
      </c>
      <c r="J1617">
        <f>IF(I1617="DUPIMP",0,1)</f>
        <v>1</v>
      </c>
    </row>
    <row r="1618">
      <c r="A1618" t="inlineStr">
        <is>
          <t>BL-01605</t>
        </is>
      </c>
      <c r="B1618" t="inlineStr">
        <is>
          <t>USD</t>
        </is>
      </c>
      <c r="C1618" s="5" t="n">
        <v>46230</v>
      </c>
      <c r="D1618" t="inlineStr">
        <is>
          <t>OUTWARD TT VIDEO VISIT SYSTEMS PT BILL20261044</t>
        </is>
      </c>
      <c r="E1618" s="9" t="n">
        <v>-960</v>
      </c>
      <c r="F1618" t="inlineStr">
        <is>
          <t>USD-20260727</t>
        </is>
      </c>
      <c r="G1618" t="inlineStr">
        <is>
          <t>G01103</t>
        </is>
      </c>
      <c r="H1618" t="str">
        <f>INDEX('Match Groups'!$C$5:$C$1326,MATCH(G1618,'Match Groups'!$A$5:$A$1326,0))</f>
        <v>R09</v>
      </c>
      <c r="I1618" t="str">
        <f>INDEX('Match Groups'!$D$5:$D$1326,MATCH(G1618,'Match Groups'!$A$5:$A$1326,0))</f>
        <v>MATCH</v>
      </c>
      <c r="J1618">
        <f>IF(I1618="DUPIMP",0,1)</f>
        <v>1</v>
      </c>
    </row>
    <row r="1619">
      <c r="A1619" t="inlineStr">
        <is>
          <t>BL-01606</t>
        </is>
      </c>
      <c r="B1619" t="inlineStr">
        <is>
          <t>USD</t>
        </is>
      </c>
      <c r="C1619" s="5" t="n">
        <v>46230</v>
      </c>
      <c r="D1619" t="inlineStr">
        <is>
          <t>INTL TRANSFER FEE</t>
        </is>
      </c>
      <c r="E1619" s="9" t="n">
        <v>-15</v>
      </c>
      <c r="F1619" t="inlineStr">
        <is>
          <t>USD-20260727</t>
        </is>
      </c>
      <c r="G1619" t="inlineStr">
        <is>
          <t>G01230</t>
        </is>
      </c>
      <c r="H1619" t="str">
        <f>INDEX('Match Groups'!$C$5:$C$1326,MATCH(G1619,'Match Groups'!$A$5:$A$1326,0))</f>
        <v>R12</v>
      </c>
      <c r="I1619" t="str">
        <f>INDEX('Match Groups'!$D$5:$D$1326,MATCH(G1619,'Match Groups'!$A$5:$A$1326,0))</f>
        <v>FEE</v>
      </c>
      <c r="J1619">
        <f>IF(I1619="DUPIMP",0,1)</f>
        <v>1</v>
      </c>
    </row>
    <row r="1620">
      <c r="A1620" t="inlineStr">
        <is>
          <t>BL-01607</t>
        </is>
      </c>
      <c r="B1620" t="inlineStr">
        <is>
          <t>USD</t>
        </is>
      </c>
      <c r="C1620" s="5" t="n">
        <v>46240</v>
      </c>
      <c r="D1620" t="inlineStr">
        <is>
          <t>OUTWARD TT TELEHEALTH PLATFOR BILL20261045</t>
        </is>
      </c>
      <c r="E1620" s="9" t="n">
        <v>-2400</v>
      </c>
      <c r="F1620" t="inlineStr">
        <is>
          <t>USD-20260806</t>
        </is>
      </c>
      <c r="G1620" t="inlineStr">
        <is>
          <t>G01104</t>
        </is>
      </c>
      <c r="H1620" t="str">
        <f>INDEX('Match Groups'!$C$5:$C$1326,MATCH(G1620,'Match Groups'!$A$5:$A$1326,0))</f>
        <v>R09</v>
      </c>
      <c r="I1620" t="str">
        <f>INDEX('Match Groups'!$D$5:$D$1326,MATCH(G1620,'Match Groups'!$A$5:$A$1326,0))</f>
        <v>MATCH</v>
      </c>
      <c r="J1620">
        <f>IF(I1620="DUPIMP",0,1)</f>
        <v>1</v>
      </c>
    </row>
    <row r="1621">
      <c r="A1621" t="inlineStr">
        <is>
          <t>BL-01608</t>
        </is>
      </c>
      <c r="B1621" t="inlineStr">
        <is>
          <t>USD</t>
        </is>
      </c>
      <c r="C1621" s="5" t="n">
        <v>46240</v>
      </c>
      <c r="D1621" t="inlineStr">
        <is>
          <t>INTL TRANSFER FEE</t>
        </is>
      </c>
      <c r="E1621" s="9" t="n">
        <v>-15</v>
      </c>
      <c r="F1621" t="inlineStr">
        <is>
          <t>USD-20260806</t>
        </is>
      </c>
      <c r="G1621" t="inlineStr">
        <is>
          <t>G01231</t>
        </is>
      </c>
      <c r="H1621" t="str">
        <f>INDEX('Match Groups'!$C$5:$C$1326,MATCH(G1621,'Match Groups'!$A$5:$A$1326,0))</f>
        <v>R12</v>
      </c>
      <c r="I1621" t="str">
        <f>INDEX('Match Groups'!$D$5:$D$1326,MATCH(G1621,'Match Groups'!$A$5:$A$1326,0))</f>
        <v>FEE</v>
      </c>
      <c r="J1621">
        <f>IF(I1621="DUPIMP",0,1)</f>
        <v>1</v>
      </c>
    </row>
    <row r="1622">
      <c r="A1622" t="inlineStr">
        <is>
          <t>BL-01595</t>
        </is>
      </c>
      <c r="B1622" t="inlineStr">
        <is>
          <t>USD</t>
        </is>
      </c>
      <c r="C1622" s="5" t="n">
        <v>46244</v>
      </c>
      <c r="D1622" t="inlineStr">
        <is>
          <t>FX CONVERSION FROM AUD FX0810</t>
        </is>
      </c>
      <c r="E1622" s="9" t="n">
        <v>9000</v>
      </c>
      <c r="F1622" t="inlineStr">
        <is>
          <t>USD-20260810</t>
        </is>
      </c>
      <c r="G1622" t="inlineStr">
        <is>
          <t>G00898</t>
        </is>
      </c>
      <c r="H1622" t="str">
        <f>INDEX('Match Groups'!$C$5:$C$1326,MATCH(G1622,'Match Groups'!$A$5:$A$1326,0))</f>
        <v>R04</v>
      </c>
      <c r="I1622" t="str">
        <f>INDEX('Match Groups'!$D$5:$D$1326,MATCH(G1622,'Match Groups'!$A$5:$A$1326,0))</f>
        <v>MATCH</v>
      </c>
      <c r="J1622">
        <f>IF(I1622="DUPIMP",0,1)</f>
        <v>1</v>
      </c>
    </row>
    <row r="1623">
      <c r="A1623" t="inlineStr">
        <is>
          <t>BL-00685</t>
        </is>
      </c>
      <c r="B1623" t="inlineStr">
        <is>
          <t>USD</t>
        </is>
      </c>
      <c r="C1623" s="5" t="n">
        <v>46248</v>
      </c>
      <c r="D1623" t="inlineStr">
        <is>
          <t>INWARD TT CASCADIA HEALTH ANALY INV/2026/03624</t>
        </is>
      </c>
      <c r="E1623" s="9" t="n">
        <v>6782</v>
      </c>
      <c r="F1623" t="inlineStr">
        <is>
          <t>USD-20260814</t>
        </is>
      </c>
      <c r="G1623" t="inlineStr">
        <is>
          <t>G01105</t>
        </is>
      </c>
      <c r="H1623" t="str">
        <f>INDEX('Match Groups'!$C$5:$C$1326,MATCH(G1623,'Match Groups'!$A$5:$A$1326,0))</f>
        <v>R09</v>
      </c>
      <c r="I1623" t="str">
        <f>INDEX('Match Groups'!$D$5:$D$1326,MATCH(G1623,'Match Groups'!$A$5:$A$1326,0))</f>
        <v>FEE-DIFF</v>
      </c>
      <c r="J1623">
        <f>IF(I1623="DUPIMP",0,1)</f>
        <v>1</v>
      </c>
    </row>
    <row r="1624">
      <c r="A1624" t="inlineStr">
        <is>
          <t>BL-01609</t>
        </is>
      </c>
      <c r="B1624" t="inlineStr">
        <is>
          <t>USD</t>
        </is>
      </c>
      <c r="C1624" s="5" t="n">
        <v>46248</v>
      </c>
      <c r="D1624" t="inlineStr">
        <is>
          <t>OUTWARD TT CLINICAL NOTES CLOUD L BILL20261046</t>
        </is>
      </c>
      <c r="E1624" s="9" t="n">
        <v>-1180</v>
      </c>
      <c r="F1624" t="inlineStr">
        <is>
          <t>USD-20260814</t>
        </is>
      </c>
      <c r="G1624" t="inlineStr">
        <is>
          <t>G01106</t>
        </is>
      </c>
      <c r="H1624" t="str">
        <f>INDEX('Match Groups'!$C$5:$C$1326,MATCH(G1624,'Match Groups'!$A$5:$A$1326,0))</f>
        <v>R09</v>
      </c>
      <c r="I1624" t="str">
        <f>INDEX('Match Groups'!$D$5:$D$1326,MATCH(G1624,'Match Groups'!$A$5:$A$1326,0))</f>
        <v>MATCH</v>
      </c>
      <c r="J1624">
        <f>IF(I1624="DUPIMP",0,1)</f>
        <v>1</v>
      </c>
    </row>
    <row r="1625">
      <c r="A1625" t="inlineStr">
        <is>
          <t>BL-01610</t>
        </is>
      </c>
      <c r="B1625" t="inlineStr">
        <is>
          <t>USD</t>
        </is>
      </c>
      <c r="C1625" s="5" t="n">
        <v>46248</v>
      </c>
      <c r="D1625" t="inlineStr">
        <is>
          <t>INTL TRANSFER FEE</t>
        </is>
      </c>
      <c r="E1625" s="9" t="n">
        <v>-15</v>
      </c>
      <c r="F1625" t="inlineStr">
        <is>
          <t>USD-20260814</t>
        </is>
      </c>
      <c r="G1625" t="inlineStr">
        <is>
          <t>G01232</t>
        </is>
      </c>
      <c r="H1625" t="str">
        <f>INDEX('Match Groups'!$C$5:$C$1326,MATCH(G1625,'Match Groups'!$A$5:$A$1326,0))</f>
        <v>R12</v>
      </c>
      <c r="I1625" t="str">
        <f>INDEX('Match Groups'!$D$5:$D$1326,MATCH(G1625,'Match Groups'!$A$5:$A$1326,0))</f>
        <v>FEE</v>
      </c>
      <c r="J1625">
        <f>IF(I1625="DUPIMP",0,1)</f>
        <v>1</v>
      </c>
    </row>
    <row r="1626">
      <c r="A1626" t="inlineStr">
        <is>
          <t>BL-01611</t>
        </is>
      </c>
      <c r="B1626" t="inlineStr">
        <is>
          <t>USD</t>
        </is>
      </c>
      <c r="C1626" s="5" t="n">
        <v>46254</v>
      </c>
      <c r="D1626" t="inlineStr">
        <is>
          <t>OUTWARD TT OUTCOME MEASURES CO BILL20261047</t>
        </is>
      </c>
      <c r="E1626" s="9" t="n">
        <v>-640</v>
      </c>
      <c r="F1626" t="inlineStr">
        <is>
          <t>USD-20260820</t>
        </is>
      </c>
      <c r="G1626" t="inlineStr">
        <is>
          <t>G01107</t>
        </is>
      </c>
      <c r="H1626" t="str">
        <f>INDEX('Match Groups'!$C$5:$C$1326,MATCH(G1626,'Match Groups'!$A$5:$A$1326,0))</f>
        <v>R09</v>
      </c>
      <c r="I1626" t="str">
        <f>INDEX('Match Groups'!$D$5:$D$1326,MATCH(G1626,'Match Groups'!$A$5:$A$1326,0))</f>
        <v>MATCH</v>
      </c>
      <c r="J1626">
        <f>IF(I1626="DUPIMP",0,1)</f>
        <v>1</v>
      </c>
    </row>
    <row r="1627">
      <c r="A1627" t="inlineStr">
        <is>
          <t>BL-01612</t>
        </is>
      </c>
      <c r="B1627" t="inlineStr">
        <is>
          <t>USD</t>
        </is>
      </c>
      <c r="C1627" s="5" t="n">
        <v>46254</v>
      </c>
      <c r="D1627" t="inlineStr">
        <is>
          <t>INTL TRANSFER FEE</t>
        </is>
      </c>
      <c r="E1627" s="9" t="n">
        <v>-15</v>
      </c>
      <c r="F1627" t="inlineStr">
        <is>
          <t>USD-20260820</t>
        </is>
      </c>
      <c r="G1627" t="inlineStr">
        <is>
          <t>G01233</t>
        </is>
      </c>
      <c r="H1627" t="str">
        <f>INDEX('Match Groups'!$C$5:$C$1326,MATCH(G1627,'Match Groups'!$A$5:$A$1326,0))</f>
        <v>R12</v>
      </c>
      <c r="I1627" t="str">
        <f>INDEX('Match Groups'!$D$5:$D$1326,MATCH(G1627,'Match Groups'!$A$5:$A$1326,0))</f>
        <v>FEE</v>
      </c>
      <c r="J1627">
        <f>IF(I1627="DUPIMP",0,1)</f>
        <v>1</v>
      </c>
    </row>
    <row r="1628">
      <c r="A1628" t="inlineStr">
        <is>
          <t>BL-01613</t>
        </is>
      </c>
      <c r="B1628" t="inlineStr">
        <is>
          <t>USD</t>
        </is>
      </c>
      <c r="C1628" s="5" t="n">
        <v>46259</v>
      </c>
      <c r="D1628" t="inlineStr">
        <is>
          <t>OUTWARD TT VIDEO VISIT SYSTEMS PT BILL20261048</t>
        </is>
      </c>
      <c r="E1628" s="9" t="n">
        <v>-960</v>
      </c>
      <c r="F1628" t="inlineStr">
        <is>
          <t>USD-20260825</t>
        </is>
      </c>
      <c r="G1628" t="inlineStr">
        <is>
          <t>G01108</t>
        </is>
      </c>
      <c r="H1628" t="str">
        <f>INDEX('Match Groups'!$C$5:$C$1326,MATCH(G1628,'Match Groups'!$A$5:$A$1326,0))</f>
        <v>R09</v>
      </c>
      <c r="I1628" t="str">
        <f>INDEX('Match Groups'!$D$5:$D$1326,MATCH(G1628,'Match Groups'!$A$5:$A$1326,0))</f>
        <v>MATCH</v>
      </c>
      <c r="J1628">
        <f>IF(I1628="DUPIMP",0,1)</f>
        <v>1</v>
      </c>
    </row>
    <row r="1629">
      <c r="A1629" t="inlineStr">
        <is>
          <t>BL-01614</t>
        </is>
      </c>
      <c r="B1629" t="inlineStr">
        <is>
          <t>USD</t>
        </is>
      </c>
      <c r="C1629" s="5" t="n">
        <v>46259</v>
      </c>
      <c r="D1629" t="inlineStr">
        <is>
          <t>INTL TRANSFER FEE</t>
        </is>
      </c>
      <c r="E1629" s="9" t="n">
        <v>-15</v>
      </c>
      <c r="F1629" t="inlineStr">
        <is>
          <t>USD-20260825</t>
        </is>
      </c>
      <c r="G1629" t="inlineStr">
        <is>
          <t>G01234</t>
        </is>
      </c>
      <c r="H1629" t="str">
        <f>INDEX('Match Groups'!$C$5:$C$1326,MATCH(G1629,'Match Groups'!$A$5:$A$1326,0))</f>
        <v>R12</v>
      </c>
      <c r="I1629" t="str">
        <f>INDEX('Match Groups'!$D$5:$D$1326,MATCH(G1629,'Match Groups'!$A$5:$A$1326,0))</f>
        <v>FEE</v>
      </c>
      <c r="J1629">
        <f>IF(I1629="DUPIMP",0,1)</f>
        <v>1</v>
      </c>
    </row>
    <row r="1630">
      <c r="A1630" t="inlineStr">
        <is>
          <t>BL-01615</t>
        </is>
      </c>
      <c r="B1630" t="inlineStr">
        <is>
          <t>USD</t>
        </is>
      </c>
      <c r="C1630" s="5" t="n">
        <v>46272</v>
      </c>
      <c r="D1630" t="inlineStr">
        <is>
          <t>OUTWARD TT TELEHEALTHPLATFO BILL20261049</t>
        </is>
      </c>
      <c r="E1630" s="9" t="n">
        <v>-2400</v>
      </c>
      <c r="F1630" t="inlineStr">
        <is>
          <t>USD-20260907</t>
        </is>
      </c>
      <c r="G1630" t="inlineStr">
        <is>
          <t>G01109</t>
        </is>
      </c>
      <c r="H1630" t="str">
        <f>INDEX('Match Groups'!$C$5:$C$1326,MATCH(G1630,'Match Groups'!$A$5:$A$1326,0))</f>
        <v>R09</v>
      </c>
      <c r="I1630" t="str">
        <f>INDEX('Match Groups'!$D$5:$D$1326,MATCH(G1630,'Match Groups'!$A$5:$A$1326,0))</f>
        <v>MATCH</v>
      </c>
      <c r="J1630">
        <f>IF(I1630="DUPIMP",0,1)</f>
        <v>1</v>
      </c>
    </row>
    <row r="1631">
      <c r="A1631" t="inlineStr">
        <is>
          <t>BL-01616</t>
        </is>
      </c>
      <c r="B1631" t="inlineStr">
        <is>
          <t>USD</t>
        </is>
      </c>
      <c r="C1631" s="5" t="n">
        <v>46272</v>
      </c>
      <c r="D1631" t="inlineStr">
        <is>
          <t>INTL TRANSFER FEE</t>
        </is>
      </c>
      <c r="E1631" s="9" t="n">
        <v>-15</v>
      </c>
      <c r="F1631" t="inlineStr">
        <is>
          <t>USD-20260907</t>
        </is>
      </c>
      <c r="G1631" t="inlineStr">
        <is>
          <t>G01235</t>
        </is>
      </c>
      <c r="H1631" t="str">
        <f>INDEX('Match Groups'!$C$5:$C$1326,MATCH(G1631,'Match Groups'!$A$5:$A$1326,0))</f>
        <v>R12</v>
      </c>
      <c r="I1631" t="str">
        <f>INDEX('Match Groups'!$D$5:$D$1326,MATCH(G1631,'Match Groups'!$A$5:$A$1326,0))</f>
        <v>FEE</v>
      </c>
      <c r="J1631">
        <f>IF(I1631="DUPIMP",0,1)</f>
        <v>1</v>
      </c>
    </row>
    <row r="1632">
      <c r="A1632" t="inlineStr">
        <is>
          <t>BL-01597</t>
        </is>
      </c>
      <c r="B1632" t="inlineStr">
        <is>
          <t>USD</t>
        </is>
      </c>
      <c r="C1632" s="5" t="n">
        <v>46275</v>
      </c>
      <c r="D1632" t="inlineStr">
        <is>
          <t>FX CONVERSION FROM AUD FX0910</t>
        </is>
      </c>
      <c r="E1632" s="9" t="n">
        <v>9000</v>
      </c>
      <c r="F1632" t="inlineStr">
        <is>
          <t>USD-20260910</t>
        </is>
      </c>
      <c r="G1632" t="inlineStr">
        <is>
          <t>G00899</t>
        </is>
      </c>
      <c r="H1632" t="str">
        <f>INDEX('Match Groups'!$C$5:$C$1326,MATCH(G1632,'Match Groups'!$A$5:$A$1326,0))</f>
        <v>R04</v>
      </c>
      <c r="I1632" t="str">
        <f>INDEX('Match Groups'!$D$5:$D$1326,MATCH(G1632,'Match Groups'!$A$5:$A$1326,0))</f>
        <v>MATCH</v>
      </c>
      <c r="J1632">
        <f>IF(I1632="DUPIMP",0,1)</f>
        <v>1</v>
      </c>
    </row>
    <row r="1633">
      <c r="A1633" t="inlineStr">
        <is>
          <t>BL-01617</t>
        </is>
      </c>
      <c r="B1633" t="inlineStr">
        <is>
          <t>USD</t>
        </is>
      </c>
      <c r="C1633" s="5" t="n">
        <v>46279</v>
      </c>
      <c r="D1633" t="inlineStr">
        <is>
          <t>OUTWARD TT CLINICAL NOTES CLOUD BILL20261050</t>
        </is>
      </c>
      <c r="E1633" s="9" t="n">
        <v>-1180</v>
      </c>
      <c r="F1633" t="inlineStr">
        <is>
          <t>USD-20260914</t>
        </is>
      </c>
      <c r="G1633" t="inlineStr">
        <is>
          <t>G01110</t>
        </is>
      </c>
      <c r="H1633" t="str">
        <f>INDEX('Match Groups'!$C$5:$C$1326,MATCH(G1633,'Match Groups'!$A$5:$A$1326,0))</f>
        <v>R09</v>
      </c>
      <c r="I1633" t="str">
        <f>INDEX('Match Groups'!$D$5:$D$1326,MATCH(G1633,'Match Groups'!$A$5:$A$1326,0))</f>
        <v>MATCH</v>
      </c>
      <c r="J1633">
        <f>IF(I1633="DUPIMP",0,1)</f>
        <v>1</v>
      </c>
    </row>
    <row r="1634">
      <c r="A1634" t="inlineStr">
        <is>
          <t>BL-01618</t>
        </is>
      </c>
      <c r="B1634" t="inlineStr">
        <is>
          <t>USD</t>
        </is>
      </c>
      <c r="C1634" s="5" t="n">
        <v>46279</v>
      </c>
      <c r="D1634" t="inlineStr">
        <is>
          <t>INTL TRANSFER FEE</t>
        </is>
      </c>
      <c r="E1634" s="9" t="n">
        <v>-15</v>
      </c>
      <c r="F1634" t="inlineStr">
        <is>
          <t>USD-20260914</t>
        </is>
      </c>
      <c r="G1634" t="inlineStr">
        <is>
          <t>G01236</t>
        </is>
      </c>
      <c r="H1634" t="str">
        <f>INDEX('Match Groups'!$C$5:$C$1326,MATCH(G1634,'Match Groups'!$A$5:$A$1326,0))</f>
        <v>R12</v>
      </c>
      <c r="I1634" t="str">
        <f>INDEX('Match Groups'!$D$5:$D$1326,MATCH(G1634,'Match Groups'!$A$5:$A$1326,0))</f>
        <v>FEE</v>
      </c>
      <c r="J1634">
        <f>IF(I1634="DUPIMP",0,1)</f>
        <v>1</v>
      </c>
    </row>
    <row r="1635">
      <c r="A1635" t="inlineStr">
        <is>
          <t>BL-00686</t>
        </is>
      </c>
      <c r="B1635" t="inlineStr">
        <is>
          <t>USD</t>
        </is>
      </c>
      <c r="C1635" s="5" t="n">
        <v>46281</v>
      </c>
      <c r="D1635" t="inlineStr">
        <is>
          <t>INWARD TT CASCADIA HEALTH ANALY INV/2026/03625</t>
        </is>
      </c>
      <c r="E1635" s="9" t="n">
        <v>6782</v>
      </c>
      <c r="F1635" t="inlineStr">
        <is>
          <t>USD-20260916</t>
        </is>
      </c>
      <c r="G1635" t="inlineStr">
        <is>
          <t>G01111</t>
        </is>
      </c>
      <c r="H1635" t="str">
        <f>INDEX('Match Groups'!$C$5:$C$1326,MATCH(G1635,'Match Groups'!$A$5:$A$1326,0))</f>
        <v>R09</v>
      </c>
      <c r="I1635" t="str">
        <f>INDEX('Match Groups'!$D$5:$D$1326,MATCH(G1635,'Match Groups'!$A$5:$A$1326,0))</f>
        <v>FEE-DIFF</v>
      </c>
      <c r="J1635">
        <f>IF(I1635="DUPIMP",0,1)</f>
        <v>1</v>
      </c>
    </row>
    <row r="1636">
      <c r="A1636" t="inlineStr">
        <is>
          <t>BL-01619</t>
        </is>
      </c>
      <c r="B1636" t="inlineStr">
        <is>
          <t>USD</t>
        </is>
      </c>
      <c r="C1636" s="5" t="n">
        <v>46286</v>
      </c>
      <c r="D1636" t="inlineStr">
        <is>
          <t>OUTWARD TT OUTCOME MEASURES C BILL20261051</t>
        </is>
      </c>
      <c r="E1636" s="9" t="n">
        <v>-640</v>
      </c>
      <c r="F1636" t="inlineStr">
        <is>
          <t>USD-20260921</t>
        </is>
      </c>
      <c r="G1636" t="inlineStr">
        <is>
          <t>G01112</t>
        </is>
      </c>
      <c r="H1636" t="str">
        <f>INDEX('Match Groups'!$C$5:$C$1326,MATCH(G1636,'Match Groups'!$A$5:$A$1326,0))</f>
        <v>R09</v>
      </c>
      <c r="I1636" t="str">
        <f>INDEX('Match Groups'!$D$5:$D$1326,MATCH(G1636,'Match Groups'!$A$5:$A$1326,0))</f>
        <v>MATCH</v>
      </c>
      <c r="J1636">
        <f>IF(I1636="DUPIMP",0,1)</f>
        <v>1</v>
      </c>
    </row>
    <row r="1637">
      <c r="A1637" t="inlineStr">
        <is>
          <t>BL-01620</t>
        </is>
      </c>
      <c r="B1637" t="inlineStr">
        <is>
          <t>USD</t>
        </is>
      </c>
      <c r="C1637" s="5" t="n">
        <v>46286</v>
      </c>
      <c r="D1637" t="inlineStr">
        <is>
          <t>INTL TRANSFER FEE</t>
        </is>
      </c>
      <c r="E1637" s="9" t="n">
        <v>-15</v>
      </c>
      <c r="F1637" t="inlineStr">
        <is>
          <t>USD-20260921</t>
        </is>
      </c>
      <c r="G1637" t="inlineStr">
        <is>
          <t>G01237</t>
        </is>
      </c>
      <c r="H1637" t="str">
        <f>INDEX('Match Groups'!$C$5:$C$1326,MATCH(G1637,'Match Groups'!$A$5:$A$1326,0))</f>
        <v>R12</v>
      </c>
      <c r="I1637" t="str">
        <f>INDEX('Match Groups'!$D$5:$D$1326,MATCH(G1637,'Match Groups'!$A$5:$A$1326,0))</f>
        <v>FEE</v>
      </c>
      <c r="J1637">
        <f>IF(I1637="DUPIMP",0,1)</f>
        <v>1</v>
      </c>
    </row>
    <row r="1638">
      <c r="A1638" t="inlineStr">
        <is>
          <t>BL-01623</t>
        </is>
      </c>
      <c r="B1638" t="inlineStr">
        <is>
          <t>USD</t>
        </is>
      </c>
      <c r="C1638" s="5" t="n">
        <v>46287</v>
      </c>
      <c r="D1638" t="inlineStr">
        <is>
          <t>INWARD TT REF 7781 ORIGINATOR UNKNOWN</t>
        </is>
      </c>
      <c r="E1638" s="9" t="n">
        <v>1200</v>
      </c>
      <c r="F1638" t="inlineStr">
        <is>
          <t>USD-20260922</t>
        </is>
      </c>
      <c r="G1638" t="inlineStr">
        <is>
          <t>G01321</t>
        </is>
      </c>
      <c r="H1638" t="str">
        <f>INDEX('Match Groups'!$C$5:$C$1326,MATCH(G1638,'Match Groups'!$A$5:$A$1326,0))</f>
        <v>R99</v>
      </c>
      <c r="I1638" t="str">
        <f>INDEX('Match Groups'!$D$5:$D$1326,MATCH(G1638,'Match Groups'!$A$5:$A$1326,0))</f>
        <v>UNEXP</v>
      </c>
      <c r="J1638">
        <f>IF(I1638="DUPIMP",0,1)</f>
        <v>1</v>
      </c>
    </row>
    <row r="1639">
      <c r="A1639" t="inlineStr">
        <is>
          <t>BL-01621</t>
        </is>
      </c>
      <c r="B1639" t="inlineStr">
        <is>
          <t>USD</t>
        </is>
      </c>
      <c r="C1639" s="5" t="n">
        <v>46290</v>
      </c>
      <c r="D1639" t="inlineStr">
        <is>
          <t>OUTWARD TT VIDEOVISITSYSTEM BILL20261052</t>
        </is>
      </c>
      <c r="E1639" s="9" t="n">
        <v>-960</v>
      </c>
      <c r="F1639" t="inlineStr">
        <is>
          <t>USD-20260925</t>
        </is>
      </c>
      <c r="G1639" t="inlineStr">
        <is>
          <t>G01113</t>
        </is>
      </c>
      <c r="H1639" t="str">
        <f>INDEX('Match Groups'!$C$5:$C$1326,MATCH(G1639,'Match Groups'!$A$5:$A$1326,0))</f>
        <v>R09</v>
      </c>
      <c r="I1639" t="str">
        <f>INDEX('Match Groups'!$D$5:$D$1326,MATCH(G1639,'Match Groups'!$A$5:$A$1326,0))</f>
        <v>MATCH</v>
      </c>
      <c r="J1639">
        <f>IF(I1639="DUPIMP",0,1)</f>
        <v>1</v>
      </c>
    </row>
    <row r="1640">
      <c r="A1640" t="inlineStr">
        <is>
          <t>BL-01622</t>
        </is>
      </c>
      <c r="B1640" t="inlineStr">
        <is>
          <t>USD</t>
        </is>
      </c>
      <c r="C1640" s="5" t="n">
        <v>46290</v>
      </c>
      <c r="D1640" t="inlineStr">
        <is>
          <t>INTL TRANSFER FEE</t>
        </is>
      </c>
      <c r="E1640" s="9" t="n">
        <v>-15</v>
      </c>
      <c r="F1640" t="inlineStr">
        <is>
          <t>USD-20260925</t>
        </is>
      </c>
      <c r="G1640" t="inlineStr">
        <is>
          <t>G01238</t>
        </is>
      </c>
      <c r="H1640" t="str">
        <f>INDEX('Match Groups'!$C$5:$C$1326,MATCH(G1640,'Match Groups'!$A$5:$A$1326,0))</f>
        <v>R12</v>
      </c>
      <c r="I1640" t="str">
        <f>INDEX('Match Groups'!$D$5:$D$1326,MATCH(G1640,'Match Groups'!$A$5:$A$1326,0))</f>
        <v>FEE</v>
      </c>
      <c r="J1640">
        <f>IF(I1640="DUPIMP",0,1)</f>
        <v>1</v>
      </c>
    </row>
  </sheetData>
  <autoFilter ref="A4:J1640"/>
  <conditionalFormatting sqref="A5:J1640">
    <cfRule type="expression" priority="1" dxfId="0">
      <formula>$J5=0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3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1" customWidth="1" min="3" max="3"/>
    <col width="30" customWidth="1" min="4" max="4"/>
    <col width="18" customWidth="1" min="5" max="5"/>
    <col width="40" customWidth="1" min="6" max="6"/>
    <col width="13" customWidth="1" min="7" max="7"/>
    <col width="16" customWidth="1" min="8" max="8"/>
    <col width="16" customWidth="1" min="9" max="9"/>
    <col width="9" customWidth="1" min="10" max="10"/>
    <col width="12" customWidth="1" min="11" max="11"/>
  </cols>
  <sheetData>
    <row r="1">
      <c r="A1" s="7" t="inlineStr">
        <is>
          <t>Odoo bank journal items (export at 30 Sep 2026)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Sample build: realistic data, built to show how I'd handle this work. Not client data.</t>
        </is>
      </c>
    </row>
    <row r="4">
      <c r="A4" s="8" t="inlineStr">
        <is>
          <t>Entry</t>
        </is>
      </c>
      <c r="B4" s="8" t="inlineStr">
        <is>
          <t>Journal</t>
        </is>
      </c>
      <c r="C4" s="8" t="inlineStr">
        <is>
          <t>Date</t>
        </is>
      </c>
      <c r="D4" s="8" t="inlineStr">
        <is>
          <t>Partner</t>
        </is>
      </c>
      <c r="E4" s="8" t="inlineStr">
        <is>
          <t>Reference</t>
        </is>
      </c>
      <c r="F4" s="8" t="inlineStr">
        <is>
          <t>Label</t>
        </is>
      </c>
      <c r="G4" s="8" t="inlineStr">
        <is>
          <t>Amount</t>
        </is>
      </c>
      <c r="H4" s="8" t="inlineStr">
        <is>
          <t>Type</t>
        </is>
      </c>
      <c r="I4" s="8" t="inlineStr">
        <is>
          <t>Batch</t>
        </is>
      </c>
      <c r="J4" s="8" t="inlineStr">
        <is>
          <t>Group</t>
        </is>
      </c>
      <c r="K4" s="8" t="inlineStr">
        <is>
          <t>Reason</t>
        </is>
      </c>
    </row>
    <row r="5">
      <c r="A5" t="inlineStr">
        <is>
          <t>JI-03962</t>
        </is>
      </c>
      <c r="B5" t="inlineStr">
        <is>
          <t>MER</t>
        </is>
      </c>
      <c r="C5" s="5" t="n">
        <v>46203</v>
      </c>
      <c r="D5" t="inlineStr">
        <is>
          <t>Carlton clinic takings</t>
        </is>
      </c>
      <c r="E5" t="inlineStr">
        <is>
          <t>POS T401 300626</t>
        </is>
      </c>
      <c r="F5" t="inlineStr">
        <is>
          <t>Daily card takings Carlton 30/06</t>
        </is>
      </c>
      <c r="G5" s="9" t="n">
        <v>2248.03</v>
      </c>
      <c r="H5" t="inlineStr">
        <is>
          <t>entry</t>
        </is>
      </c>
      <c r="I5" t="inlineStr"/>
      <c r="J5" t="inlineStr">
        <is>
          <t>G00568</t>
        </is>
      </c>
      <c r="K5" t="str">
        <f>INDEX('Match Groups'!$D$5:$D$1326,MATCH(J5,'Match Groups'!$A$5:$A$1326,0))</f>
        <v>MATCH</v>
      </c>
    </row>
    <row r="6">
      <c r="A6" t="inlineStr">
        <is>
          <t>JI-03963</t>
        </is>
      </c>
      <c r="B6" t="inlineStr">
        <is>
          <t>MER</t>
        </is>
      </c>
      <c r="C6" s="5" t="n">
        <v>46203</v>
      </c>
      <c r="D6" t="inlineStr">
        <is>
          <t>Footscray clinic takings</t>
        </is>
      </c>
      <c r="E6" t="inlineStr">
        <is>
          <t>POS T402 300626</t>
        </is>
      </c>
      <c r="F6" t="inlineStr">
        <is>
          <t>Daily card takings Footscray 30/06</t>
        </is>
      </c>
      <c r="G6" s="9" t="n">
        <v>1591.18</v>
      </c>
      <c r="H6" t="inlineStr">
        <is>
          <t>entry</t>
        </is>
      </c>
      <c r="I6" t="inlineStr"/>
      <c r="J6" t="inlineStr">
        <is>
          <t>G00569</t>
        </is>
      </c>
      <c r="K6" t="str">
        <f>INDEX('Match Groups'!$D$5:$D$1326,MATCH(J6,'Match Groups'!$A$5:$A$1326,0))</f>
        <v>MATCH</v>
      </c>
    </row>
    <row r="7">
      <c r="A7" t="inlineStr">
        <is>
          <t>JI-03964</t>
        </is>
      </c>
      <c r="B7" t="inlineStr">
        <is>
          <t>MER</t>
        </is>
      </c>
      <c r="C7" s="5" t="n">
        <v>46203</v>
      </c>
      <c r="D7" t="inlineStr">
        <is>
          <t>Box Hill clinic takings</t>
        </is>
      </c>
      <c r="E7" t="inlineStr">
        <is>
          <t>POS T403 300626</t>
        </is>
      </c>
      <c r="F7" t="inlineStr">
        <is>
          <t>Daily card takings Box Hill 30/06</t>
        </is>
      </c>
      <c r="G7" s="9" t="n">
        <v>2084.73</v>
      </c>
      <c r="H7" t="inlineStr">
        <is>
          <t>entry</t>
        </is>
      </c>
      <c r="I7" t="inlineStr"/>
      <c r="J7" t="inlineStr">
        <is>
          <t>G00570</t>
        </is>
      </c>
      <c r="K7" t="str">
        <f>INDEX('Match Groups'!$D$5:$D$1326,MATCH(J7,'Match Groups'!$A$5:$A$1326,0))</f>
        <v>MATCH</v>
      </c>
    </row>
    <row r="8">
      <c r="A8" t="inlineStr">
        <is>
          <t>JI-03965</t>
        </is>
      </c>
      <c r="B8" t="inlineStr">
        <is>
          <t>MER</t>
        </is>
      </c>
      <c r="C8" s="5" t="n">
        <v>46203</v>
      </c>
      <c r="D8" t="inlineStr">
        <is>
          <t>Frankston clinic takings</t>
        </is>
      </c>
      <c r="E8" t="inlineStr">
        <is>
          <t>POS T404 300626</t>
        </is>
      </c>
      <c r="F8" t="inlineStr">
        <is>
          <t>Daily card takings Frankston 30/06</t>
        </is>
      </c>
      <c r="G8" s="9" t="n">
        <v>1193.87</v>
      </c>
      <c r="H8" t="inlineStr">
        <is>
          <t>entry</t>
        </is>
      </c>
      <c r="I8" t="inlineStr"/>
      <c r="J8" t="inlineStr">
        <is>
          <t>G00571</t>
        </is>
      </c>
      <c r="K8" t="str">
        <f>INDEX('Match Groups'!$D$5:$D$1326,MATCH(J8,'Match Groups'!$A$5:$A$1326,0))</f>
        <v>MATCH</v>
      </c>
    </row>
    <row r="9">
      <c r="A9" t="inlineStr">
        <is>
          <t>JI-03966</t>
        </is>
      </c>
      <c r="B9" t="inlineStr">
        <is>
          <t>MER</t>
        </is>
      </c>
      <c r="C9" s="5" t="n">
        <v>46204</v>
      </c>
      <c r="D9" t="inlineStr">
        <is>
          <t>Carlton clinic takings</t>
        </is>
      </c>
      <c r="E9" t="inlineStr">
        <is>
          <t>POS T401 010726</t>
        </is>
      </c>
      <c r="F9" t="inlineStr">
        <is>
          <t>Daily card takings Carlton 01/07</t>
        </is>
      </c>
      <c r="G9" s="9" t="n">
        <v>3559.89</v>
      </c>
      <c r="H9" t="inlineStr">
        <is>
          <t>entry</t>
        </is>
      </c>
      <c r="I9" t="inlineStr"/>
      <c r="J9" t="inlineStr">
        <is>
          <t>G00572</t>
        </is>
      </c>
      <c r="K9" t="str">
        <f>INDEX('Match Groups'!$D$5:$D$1326,MATCH(J9,'Match Groups'!$A$5:$A$1326,0))</f>
        <v>MATCH</v>
      </c>
    </row>
    <row r="10">
      <c r="A10" t="inlineStr">
        <is>
          <t>JI-03967</t>
        </is>
      </c>
      <c r="B10" t="inlineStr">
        <is>
          <t>MER</t>
        </is>
      </c>
      <c r="C10" s="5" t="n">
        <v>46204</v>
      </c>
      <c r="D10" t="inlineStr">
        <is>
          <t>Footscray clinic takings</t>
        </is>
      </c>
      <c r="E10" t="inlineStr">
        <is>
          <t>POS T402 010726</t>
        </is>
      </c>
      <c r="F10" t="inlineStr">
        <is>
          <t>Daily card takings Footscray 01/07</t>
        </is>
      </c>
      <c r="G10" s="9" t="n">
        <v>2655.07</v>
      </c>
      <c r="H10" t="inlineStr">
        <is>
          <t>entry</t>
        </is>
      </c>
      <c r="I10" t="inlineStr"/>
      <c r="J10" t="inlineStr">
        <is>
          <t>G00573</t>
        </is>
      </c>
      <c r="K10" t="str">
        <f>INDEX('Match Groups'!$D$5:$D$1326,MATCH(J10,'Match Groups'!$A$5:$A$1326,0))</f>
        <v>MATCH</v>
      </c>
    </row>
    <row r="11">
      <c r="A11" t="inlineStr">
        <is>
          <t>JI-03968</t>
        </is>
      </c>
      <c r="B11" t="inlineStr">
        <is>
          <t>MER</t>
        </is>
      </c>
      <c r="C11" s="5" t="n">
        <v>46204</v>
      </c>
      <c r="D11" t="inlineStr">
        <is>
          <t>Box Hill clinic takings</t>
        </is>
      </c>
      <c r="E11" t="inlineStr">
        <is>
          <t>POS T403 010726</t>
        </is>
      </c>
      <c r="F11" t="inlineStr">
        <is>
          <t>Daily card takings Box Hill 01/07</t>
        </is>
      </c>
      <c r="G11" s="9" t="n">
        <v>2587.21</v>
      </c>
      <c r="H11" t="inlineStr">
        <is>
          <t>entry</t>
        </is>
      </c>
      <c r="I11" t="inlineStr"/>
      <c r="J11" t="inlineStr">
        <is>
          <t>G00574</t>
        </is>
      </c>
      <c r="K11" t="str">
        <f>INDEX('Match Groups'!$D$5:$D$1326,MATCH(J11,'Match Groups'!$A$5:$A$1326,0))</f>
        <v>MATCH</v>
      </c>
    </row>
    <row r="12">
      <c r="A12" t="inlineStr">
        <is>
          <t>JI-03969</t>
        </is>
      </c>
      <c r="B12" t="inlineStr">
        <is>
          <t>MER</t>
        </is>
      </c>
      <c r="C12" s="5" t="n">
        <v>46204</v>
      </c>
      <c r="D12" t="inlineStr">
        <is>
          <t>Frankston clinic takings</t>
        </is>
      </c>
      <c r="E12" t="inlineStr">
        <is>
          <t>POS T404 010726</t>
        </is>
      </c>
      <c r="F12" t="inlineStr">
        <is>
          <t>Daily card takings Frankston 01/07</t>
        </is>
      </c>
      <c r="G12" s="9" t="n">
        <v>3585.6</v>
      </c>
      <c r="H12" t="inlineStr">
        <is>
          <t>entry</t>
        </is>
      </c>
      <c r="I12" t="inlineStr"/>
      <c r="J12" t="inlineStr">
        <is>
          <t>G00575</t>
        </is>
      </c>
      <c r="K12" t="str">
        <f>INDEX('Match Groups'!$D$5:$D$1326,MATCH(J12,'Match Groups'!$A$5:$A$1326,0))</f>
        <v>MATCH</v>
      </c>
    </row>
    <row r="13">
      <c r="A13" t="inlineStr">
        <is>
          <t>JI-03970</t>
        </is>
      </c>
      <c r="B13" t="inlineStr">
        <is>
          <t>MER</t>
        </is>
      </c>
      <c r="C13" s="5" t="n">
        <v>46205</v>
      </c>
      <c r="D13" t="inlineStr">
        <is>
          <t>Carlton clinic takings</t>
        </is>
      </c>
      <c r="E13" t="inlineStr">
        <is>
          <t>POS T401 020726</t>
        </is>
      </c>
      <c r="F13" t="inlineStr">
        <is>
          <t>Daily card takings Carlton 02/07</t>
        </is>
      </c>
      <c r="G13" s="9" t="n">
        <v>1862.65</v>
      </c>
      <c r="H13" t="inlineStr">
        <is>
          <t>entry</t>
        </is>
      </c>
      <c r="I13" t="inlineStr"/>
      <c r="J13" t="inlineStr">
        <is>
          <t>G00576</t>
        </is>
      </c>
      <c r="K13" t="str">
        <f>INDEX('Match Groups'!$D$5:$D$1326,MATCH(J13,'Match Groups'!$A$5:$A$1326,0))</f>
        <v>MATCH</v>
      </c>
    </row>
    <row r="14">
      <c r="A14" t="inlineStr">
        <is>
          <t>JI-03971</t>
        </is>
      </c>
      <c r="B14" t="inlineStr">
        <is>
          <t>MER</t>
        </is>
      </c>
      <c r="C14" s="5" t="n">
        <v>46205</v>
      </c>
      <c r="D14" t="inlineStr">
        <is>
          <t>Footscray clinic takings</t>
        </is>
      </c>
      <c r="E14" t="inlineStr">
        <is>
          <t>POS T402 020726</t>
        </is>
      </c>
      <c r="F14" t="inlineStr">
        <is>
          <t>Daily card takings Footscray 02/07</t>
        </is>
      </c>
      <c r="G14" s="9" t="n">
        <v>2135.57</v>
      </c>
      <c r="H14" t="inlineStr">
        <is>
          <t>entry</t>
        </is>
      </c>
      <c r="I14" t="inlineStr"/>
      <c r="J14" t="inlineStr">
        <is>
          <t>G00577</t>
        </is>
      </c>
      <c r="K14" t="str">
        <f>INDEX('Match Groups'!$D$5:$D$1326,MATCH(J14,'Match Groups'!$A$5:$A$1326,0))</f>
        <v>MATCH</v>
      </c>
    </row>
    <row r="15">
      <c r="A15" t="inlineStr">
        <is>
          <t>JI-03972</t>
        </is>
      </c>
      <c r="B15" t="inlineStr">
        <is>
          <t>MER</t>
        </is>
      </c>
      <c r="C15" s="5" t="n">
        <v>46205</v>
      </c>
      <c r="D15" t="inlineStr">
        <is>
          <t>Box Hill clinic takings</t>
        </is>
      </c>
      <c r="E15" t="inlineStr">
        <is>
          <t>POS T403 020726</t>
        </is>
      </c>
      <c r="F15" t="inlineStr">
        <is>
          <t>Daily card takings Box Hill 02/07</t>
        </is>
      </c>
      <c r="G15" s="9" t="n">
        <v>2873.86</v>
      </c>
      <c r="H15" t="inlineStr">
        <is>
          <t>entry</t>
        </is>
      </c>
      <c r="I15" t="inlineStr"/>
      <c r="J15" t="inlineStr">
        <is>
          <t>G00578</t>
        </is>
      </c>
      <c r="K15" t="str">
        <f>INDEX('Match Groups'!$D$5:$D$1326,MATCH(J15,'Match Groups'!$A$5:$A$1326,0))</f>
        <v>MATCH</v>
      </c>
    </row>
    <row r="16">
      <c r="A16" t="inlineStr">
        <is>
          <t>JI-03973</t>
        </is>
      </c>
      <c r="B16" t="inlineStr">
        <is>
          <t>MER</t>
        </is>
      </c>
      <c r="C16" s="5" t="n">
        <v>46205</v>
      </c>
      <c r="D16" t="inlineStr">
        <is>
          <t>Frankston clinic takings</t>
        </is>
      </c>
      <c r="E16" t="inlineStr">
        <is>
          <t>POS T404 020726</t>
        </is>
      </c>
      <c r="F16" t="inlineStr">
        <is>
          <t>Daily card takings Frankston 02/07</t>
        </is>
      </c>
      <c r="G16" s="9" t="n">
        <v>1010.7</v>
      </c>
      <c r="H16" t="inlineStr">
        <is>
          <t>entry</t>
        </is>
      </c>
      <c r="I16" t="inlineStr"/>
      <c r="J16" t="inlineStr">
        <is>
          <t>G00579</t>
        </is>
      </c>
      <c r="K16" t="str">
        <f>INDEX('Match Groups'!$D$5:$D$1326,MATCH(J16,'Match Groups'!$A$5:$A$1326,0))</f>
        <v>MATCH</v>
      </c>
    </row>
    <row r="17">
      <c r="A17" t="inlineStr">
        <is>
          <t>JI-03974</t>
        </is>
      </c>
      <c r="B17" t="inlineStr">
        <is>
          <t>MER</t>
        </is>
      </c>
      <c r="C17" s="5" t="n">
        <v>46206</v>
      </c>
      <c r="D17" t="inlineStr">
        <is>
          <t>Carlton clinic takings</t>
        </is>
      </c>
      <c r="E17" t="inlineStr">
        <is>
          <t>POS T401 030726</t>
        </is>
      </c>
      <c r="F17" t="inlineStr">
        <is>
          <t>Daily card takings Carlton 03/07</t>
        </is>
      </c>
      <c r="G17" s="9" t="n">
        <v>3366.94</v>
      </c>
      <c r="H17" t="inlineStr">
        <is>
          <t>entry</t>
        </is>
      </c>
      <c r="I17" t="inlineStr"/>
      <c r="J17" t="inlineStr">
        <is>
          <t>G00580</t>
        </is>
      </c>
      <c r="K17" t="str">
        <f>INDEX('Match Groups'!$D$5:$D$1326,MATCH(J17,'Match Groups'!$A$5:$A$1326,0))</f>
        <v>MATCH</v>
      </c>
    </row>
    <row r="18">
      <c r="A18" t="inlineStr">
        <is>
          <t>JI-03975</t>
        </is>
      </c>
      <c r="B18" t="inlineStr">
        <is>
          <t>MER</t>
        </is>
      </c>
      <c r="C18" s="5" t="n">
        <v>46206</v>
      </c>
      <c r="D18" t="inlineStr">
        <is>
          <t>Footscray clinic takings</t>
        </is>
      </c>
      <c r="E18" t="inlineStr">
        <is>
          <t>POS T402 030726</t>
        </is>
      </c>
      <c r="F18" t="inlineStr">
        <is>
          <t>Daily card takings Footscray 03/07</t>
        </is>
      </c>
      <c r="G18" s="9" t="n">
        <v>1587.65</v>
      </c>
      <c r="H18" t="inlineStr">
        <is>
          <t>entry</t>
        </is>
      </c>
      <c r="I18" t="inlineStr"/>
      <c r="J18" t="inlineStr">
        <is>
          <t>G00581</t>
        </is>
      </c>
      <c r="K18" t="str">
        <f>INDEX('Match Groups'!$D$5:$D$1326,MATCH(J18,'Match Groups'!$A$5:$A$1326,0))</f>
        <v>MATCH</v>
      </c>
    </row>
    <row r="19">
      <c r="A19" t="inlineStr">
        <is>
          <t>JI-03976</t>
        </is>
      </c>
      <c r="B19" t="inlineStr">
        <is>
          <t>MER</t>
        </is>
      </c>
      <c r="C19" s="5" t="n">
        <v>46206</v>
      </c>
      <c r="D19" t="inlineStr">
        <is>
          <t>Box Hill clinic takings</t>
        </is>
      </c>
      <c r="E19" t="inlineStr">
        <is>
          <t>POS T403 030726</t>
        </is>
      </c>
      <c r="F19" t="inlineStr">
        <is>
          <t>Daily card takings Box Hill 03/07</t>
        </is>
      </c>
      <c r="G19" s="9" t="n">
        <v>1960.84</v>
      </c>
      <c r="H19" t="inlineStr">
        <is>
          <t>entry</t>
        </is>
      </c>
      <c r="I19" t="inlineStr"/>
      <c r="J19" t="inlineStr">
        <is>
          <t>G00582</t>
        </is>
      </c>
      <c r="K19" t="str">
        <f>INDEX('Match Groups'!$D$5:$D$1326,MATCH(J19,'Match Groups'!$A$5:$A$1326,0))</f>
        <v>MATCH</v>
      </c>
    </row>
    <row r="20">
      <c r="A20" t="inlineStr">
        <is>
          <t>JI-03977</t>
        </is>
      </c>
      <c r="B20" t="inlineStr">
        <is>
          <t>MER</t>
        </is>
      </c>
      <c r="C20" s="5" t="n">
        <v>46206</v>
      </c>
      <c r="D20" t="inlineStr">
        <is>
          <t>Frankston clinic takings</t>
        </is>
      </c>
      <c r="E20" t="inlineStr">
        <is>
          <t>POS T404 030726</t>
        </is>
      </c>
      <c r="F20" t="inlineStr">
        <is>
          <t>Daily card takings Frankston 03/07</t>
        </is>
      </c>
      <c r="G20" s="9" t="n">
        <v>1348.62</v>
      </c>
      <c r="H20" t="inlineStr">
        <is>
          <t>entry</t>
        </is>
      </c>
      <c r="I20" t="inlineStr"/>
      <c r="J20" t="inlineStr">
        <is>
          <t>G00583</t>
        </is>
      </c>
      <c r="K20" t="str">
        <f>INDEX('Match Groups'!$D$5:$D$1326,MATCH(J20,'Match Groups'!$A$5:$A$1326,0))</f>
        <v>MATCH</v>
      </c>
    </row>
    <row r="21">
      <c r="A21" t="inlineStr">
        <is>
          <t>JI-03978</t>
        </is>
      </c>
      <c r="B21" t="inlineStr">
        <is>
          <t>MER</t>
        </is>
      </c>
      <c r="C21" s="5" t="n">
        <v>46207</v>
      </c>
      <c r="D21" t="inlineStr">
        <is>
          <t>Carlton clinic takings</t>
        </is>
      </c>
      <c r="E21" t="inlineStr">
        <is>
          <t>POS T401 040726</t>
        </is>
      </c>
      <c r="F21" t="inlineStr">
        <is>
          <t>Daily card takings Carlton 04/07</t>
        </is>
      </c>
      <c r="G21" s="9" t="n">
        <v>1004.06</v>
      </c>
      <c r="H21" t="inlineStr">
        <is>
          <t>entry</t>
        </is>
      </c>
      <c r="I21" t="inlineStr"/>
      <c r="J21" t="inlineStr">
        <is>
          <t>G00584</t>
        </is>
      </c>
      <c r="K21" t="str">
        <f>INDEX('Match Groups'!$D$5:$D$1326,MATCH(J21,'Match Groups'!$A$5:$A$1326,0))</f>
        <v>MATCH</v>
      </c>
    </row>
    <row r="22">
      <c r="A22" t="inlineStr">
        <is>
          <t>JI-03979</t>
        </is>
      </c>
      <c r="B22" t="inlineStr">
        <is>
          <t>MER</t>
        </is>
      </c>
      <c r="C22" s="5" t="n">
        <v>46207</v>
      </c>
      <c r="D22" t="inlineStr">
        <is>
          <t>Footscray clinic takings</t>
        </is>
      </c>
      <c r="E22" t="inlineStr">
        <is>
          <t>POS T402 040726</t>
        </is>
      </c>
      <c r="F22" t="inlineStr">
        <is>
          <t>Daily card takings Footscray 04/07</t>
        </is>
      </c>
      <c r="G22" s="9" t="n">
        <v>720.09</v>
      </c>
      <c r="H22" t="inlineStr">
        <is>
          <t>entry</t>
        </is>
      </c>
      <c r="I22" t="inlineStr"/>
      <c r="J22" t="inlineStr">
        <is>
          <t>G00585</t>
        </is>
      </c>
      <c r="K22" t="str">
        <f>INDEX('Match Groups'!$D$5:$D$1326,MATCH(J22,'Match Groups'!$A$5:$A$1326,0))</f>
        <v>MATCH</v>
      </c>
    </row>
    <row r="23">
      <c r="A23" t="inlineStr">
        <is>
          <t>JI-03980</t>
        </is>
      </c>
      <c r="B23" t="inlineStr">
        <is>
          <t>MER</t>
        </is>
      </c>
      <c r="C23" s="5" t="n">
        <v>46207</v>
      </c>
      <c r="D23" t="inlineStr">
        <is>
          <t>Box Hill clinic takings</t>
        </is>
      </c>
      <c r="E23" t="inlineStr">
        <is>
          <t>POS T403 040726</t>
        </is>
      </c>
      <c r="F23" t="inlineStr">
        <is>
          <t>Daily card takings Box Hill 04/07</t>
        </is>
      </c>
      <c r="G23" s="9" t="n">
        <v>1220.49</v>
      </c>
      <c r="H23" t="inlineStr">
        <is>
          <t>entry</t>
        </is>
      </c>
      <c r="I23" t="inlineStr"/>
      <c r="J23" t="inlineStr">
        <is>
          <t>G00586</t>
        </is>
      </c>
      <c r="K23" t="str">
        <f>INDEX('Match Groups'!$D$5:$D$1326,MATCH(J23,'Match Groups'!$A$5:$A$1326,0))</f>
        <v>MATCH</v>
      </c>
    </row>
    <row r="24">
      <c r="A24" t="inlineStr">
        <is>
          <t>JI-03981</t>
        </is>
      </c>
      <c r="B24" t="inlineStr">
        <is>
          <t>MER</t>
        </is>
      </c>
      <c r="C24" s="5" t="n">
        <v>46207</v>
      </c>
      <c r="D24" t="inlineStr">
        <is>
          <t>Frankston clinic takings</t>
        </is>
      </c>
      <c r="E24" t="inlineStr">
        <is>
          <t>POS T404 040726</t>
        </is>
      </c>
      <c r="F24" t="inlineStr">
        <is>
          <t>Daily card takings Frankston 04/07</t>
        </is>
      </c>
      <c r="G24" s="9" t="n">
        <v>1295.82</v>
      </c>
      <c r="H24" t="inlineStr">
        <is>
          <t>entry</t>
        </is>
      </c>
      <c r="I24" t="inlineStr"/>
      <c r="J24" t="inlineStr">
        <is>
          <t>G00587</t>
        </is>
      </c>
      <c r="K24" t="str">
        <f>INDEX('Match Groups'!$D$5:$D$1326,MATCH(J24,'Match Groups'!$A$5:$A$1326,0))</f>
        <v>MATCH</v>
      </c>
    </row>
    <row r="25">
      <c r="A25" t="inlineStr">
        <is>
          <t>JI-03982</t>
        </is>
      </c>
      <c r="B25" t="inlineStr">
        <is>
          <t>MER</t>
        </is>
      </c>
      <c r="C25" s="5" t="n">
        <v>46209</v>
      </c>
      <c r="D25" t="inlineStr">
        <is>
          <t>Carlton clinic takings</t>
        </is>
      </c>
      <c r="E25" t="inlineStr">
        <is>
          <t>POS T401 060726</t>
        </is>
      </c>
      <c r="F25" t="inlineStr">
        <is>
          <t>Daily card takings Carlton 06/07</t>
        </is>
      </c>
      <c r="G25" s="9" t="n">
        <v>3599.12</v>
      </c>
      <c r="H25" t="inlineStr">
        <is>
          <t>entry</t>
        </is>
      </c>
      <c r="I25" t="inlineStr"/>
      <c r="J25" t="inlineStr">
        <is>
          <t>G00589</t>
        </is>
      </c>
      <c r="K25" t="str">
        <f>INDEX('Match Groups'!$D$5:$D$1326,MATCH(J25,'Match Groups'!$A$5:$A$1326,0))</f>
        <v>MATCH</v>
      </c>
    </row>
    <row r="26">
      <c r="A26" t="inlineStr">
        <is>
          <t>JI-03983</t>
        </is>
      </c>
      <c r="B26" t="inlineStr">
        <is>
          <t>MER</t>
        </is>
      </c>
      <c r="C26" s="5" t="n">
        <v>46209</v>
      </c>
      <c r="D26" t="inlineStr">
        <is>
          <t>Footscray clinic takings</t>
        </is>
      </c>
      <c r="E26" t="inlineStr">
        <is>
          <t>POS T402 060726</t>
        </is>
      </c>
      <c r="F26" t="inlineStr">
        <is>
          <t>Daily card takings Footscray 06/07</t>
        </is>
      </c>
      <c r="G26" s="9" t="n">
        <v>2932.56</v>
      </c>
      <c r="H26" t="inlineStr">
        <is>
          <t>entry</t>
        </is>
      </c>
      <c r="I26" t="inlineStr"/>
      <c r="J26" t="inlineStr">
        <is>
          <t>G00590</t>
        </is>
      </c>
      <c r="K26" t="str">
        <f>INDEX('Match Groups'!$D$5:$D$1326,MATCH(J26,'Match Groups'!$A$5:$A$1326,0))</f>
        <v>MATCH</v>
      </c>
    </row>
    <row r="27">
      <c r="A27" t="inlineStr">
        <is>
          <t>JI-03984</t>
        </is>
      </c>
      <c r="B27" t="inlineStr">
        <is>
          <t>MER</t>
        </is>
      </c>
      <c r="C27" s="5" t="n">
        <v>46209</v>
      </c>
      <c r="D27" t="inlineStr">
        <is>
          <t>Box Hill clinic takings</t>
        </is>
      </c>
      <c r="E27" t="inlineStr">
        <is>
          <t>POS T403 060726</t>
        </is>
      </c>
      <c r="F27" t="inlineStr">
        <is>
          <t>Daily card takings Box Hill 06/07</t>
        </is>
      </c>
      <c r="G27" s="9" t="n">
        <v>1995.18</v>
      </c>
      <c r="H27" t="inlineStr">
        <is>
          <t>entry</t>
        </is>
      </c>
      <c r="I27" t="inlineStr"/>
      <c r="J27" t="inlineStr">
        <is>
          <t>G00591</t>
        </is>
      </c>
      <c r="K27" t="str">
        <f>INDEX('Match Groups'!$D$5:$D$1326,MATCH(J27,'Match Groups'!$A$5:$A$1326,0))</f>
        <v>MATCH</v>
      </c>
    </row>
    <row r="28">
      <c r="A28" t="inlineStr">
        <is>
          <t>JI-03985</t>
        </is>
      </c>
      <c r="B28" t="inlineStr">
        <is>
          <t>MER</t>
        </is>
      </c>
      <c r="C28" s="5" t="n">
        <v>46209</v>
      </c>
      <c r="D28" t="inlineStr">
        <is>
          <t>Frankston clinic takings</t>
        </is>
      </c>
      <c r="E28" t="inlineStr">
        <is>
          <t>POS T404 060726</t>
        </is>
      </c>
      <c r="F28" t="inlineStr">
        <is>
          <t>Daily card takings Frankston 06/07</t>
        </is>
      </c>
      <c r="G28" s="9" t="n">
        <v>1286.69</v>
      </c>
      <c r="H28" t="inlineStr">
        <is>
          <t>entry</t>
        </is>
      </c>
      <c r="I28" t="inlineStr"/>
      <c r="J28" t="inlineStr">
        <is>
          <t>G00592</t>
        </is>
      </c>
      <c r="K28" t="str">
        <f>INDEX('Match Groups'!$D$5:$D$1326,MATCH(J28,'Match Groups'!$A$5:$A$1326,0))</f>
        <v>MATCH</v>
      </c>
    </row>
    <row r="29">
      <c r="A29" t="inlineStr">
        <is>
          <t>JI-04282</t>
        </is>
      </c>
      <c r="B29" t="inlineStr">
        <is>
          <t>MER</t>
        </is>
      </c>
      <c r="C29" s="5" t="n">
        <v>46209</v>
      </c>
      <c r="D29" t="inlineStr">
        <is>
          <t>Internal transfer</t>
        </is>
      </c>
      <c r="E29" t="inlineStr">
        <is>
          <t>SWEEP 0607</t>
        </is>
      </c>
      <c r="F29" t="inlineStr">
        <is>
          <t>Sweep to operating</t>
        </is>
      </c>
      <c r="G29" s="9" t="n">
        <v>-22000</v>
      </c>
      <c r="H29" t="inlineStr">
        <is>
          <t>transfer</t>
        </is>
      </c>
      <c r="I29" t="inlineStr"/>
      <c r="J29" t="inlineStr">
        <is>
          <t>G00588</t>
        </is>
      </c>
      <c r="K29" t="str">
        <f>INDEX('Match Groups'!$D$5:$D$1326,MATCH(J29,'Match Groups'!$A$5:$A$1326,0))</f>
        <v>MATCH</v>
      </c>
    </row>
    <row r="30">
      <c r="A30" t="inlineStr">
        <is>
          <t>JI-03986</t>
        </is>
      </c>
      <c r="B30" t="inlineStr">
        <is>
          <t>MER</t>
        </is>
      </c>
      <c r="C30" s="5" t="n">
        <v>46210</v>
      </c>
      <c r="D30" t="inlineStr">
        <is>
          <t>Carlton clinic takings</t>
        </is>
      </c>
      <c r="E30" t="inlineStr">
        <is>
          <t>POS T401 070726</t>
        </is>
      </c>
      <c r="F30" t="inlineStr">
        <is>
          <t>Daily card takings Carlton 07/07</t>
        </is>
      </c>
      <c r="G30" s="9" t="n">
        <v>2589.9</v>
      </c>
      <c r="H30" t="inlineStr">
        <is>
          <t>entry</t>
        </is>
      </c>
      <c r="I30" t="inlineStr"/>
      <c r="J30" t="inlineStr">
        <is>
          <t>G00593</t>
        </is>
      </c>
      <c r="K30" t="str">
        <f>INDEX('Match Groups'!$D$5:$D$1326,MATCH(J30,'Match Groups'!$A$5:$A$1326,0))</f>
        <v>MATCH</v>
      </c>
    </row>
    <row r="31">
      <c r="A31" t="inlineStr">
        <is>
          <t>JI-03987</t>
        </is>
      </c>
      <c r="B31" t="inlineStr">
        <is>
          <t>MER</t>
        </is>
      </c>
      <c r="C31" s="5" t="n">
        <v>46210</v>
      </c>
      <c r="D31" t="inlineStr">
        <is>
          <t>Footscray clinic takings</t>
        </is>
      </c>
      <c r="E31" t="inlineStr">
        <is>
          <t>POS T402 070726</t>
        </is>
      </c>
      <c r="F31" t="inlineStr">
        <is>
          <t>Daily card takings Footscray 07/07</t>
        </is>
      </c>
      <c r="G31" s="9" t="n">
        <v>1249.37</v>
      </c>
      <c r="H31" t="inlineStr">
        <is>
          <t>entry</t>
        </is>
      </c>
      <c r="I31" t="inlineStr"/>
      <c r="J31" t="inlineStr">
        <is>
          <t>G00594</t>
        </is>
      </c>
      <c r="K31" t="str">
        <f>INDEX('Match Groups'!$D$5:$D$1326,MATCH(J31,'Match Groups'!$A$5:$A$1326,0))</f>
        <v>MATCH</v>
      </c>
    </row>
    <row r="32">
      <c r="A32" t="inlineStr">
        <is>
          <t>JI-03988</t>
        </is>
      </c>
      <c r="B32" t="inlineStr">
        <is>
          <t>MER</t>
        </is>
      </c>
      <c r="C32" s="5" t="n">
        <v>46210</v>
      </c>
      <c r="D32" t="inlineStr">
        <is>
          <t>Box Hill clinic takings</t>
        </is>
      </c>
      <c r="E32" t="inlineStr">
        <is>
          <t>POS T403 070726</t>
        </is>
      </c>
      <c r="F32" t="inlineStr">
        <is>
          <t>Daily card takings Box Hill 07/07</t>
        </is>
      </c>
      <c r="G32" s="9" t="n">
        <v>2290.78</v>
      </c>
      <c r="H32" t="inlineStr">
        <is>
          <t>entry</t>
        </is>
      </c>
      <c r="I32" t="inlineStr"/>
      <c r="J32" t="inlineStr">
        <is>
          <t>G00595</t>
        </is>
      </c>
      <c r="K32" t="str">
        <f>INDEX('Match Groups'!$D$5:$D$1326,MATCH(J32,'Match Groups'!$A$5:$A$1326,0))</f>
        <v>MATCH</v>
      </c>
    </row>
    <row r="33">
      <c r="A33" t="inlineStr">
        <is>
          <t>JI-03989</t>
        </is>
      </c>
      <c r="B33" t="inlineStr">
        <is>
          <t>MER</t>
        </is>
      </c>
      <c r="C33" s="5" t="n">
        <v>46210</v>
      </c>
      <c r="D33" t="inlineStr">
        <is>
          <t>Frankston clinic takings</t>
        </is>
      </c>
      <c r="E33" t="inlineStr">
        <is>
          <t>POS T404 070726</t>
        </is>
      </c>
      <c r="F33" t="inlineStr">
        <is>
          <t>Daily card takings Frankston 07/07</t>
        </is>
      </c>
      <c r="G33" s="9" t="n">
        <v>2382.13</v>
      </c>
      <c r="H33" t="inlineStr">
        <is>
          <t>entry</t>
        </is>
      </c>
      <c r="I33" t="inlineStr"/>
      <c r="J33" t="inlineStr">
        <is>
          <t>G00596</t>
        </is>
      </c>
      <c r="K33" t="str">
        <f>INDEX('Match Groups'!$D$5:$D$1326,MATCH(J33,'Match Groups'!$A$5:$A$1326,0))</f>
        <v>MATCH</v>
      </c>
    </row>
    <row r="34">
      <c r="A34" t="inlineStr">
        <is>
          <t>JI-03990</t>
        </is>
      </c>
      <c r="B34" t="inlineStr">
        <is>
          <t>MER</t>
        </is>
      </c>
      <c r="C34" s="5" t="n">
        <v>46211</v>
      </c>
      <c r="D34" t="inlineStr">
        <is>
          <t>Carlton clinic takings</t>
        </is>
      </c>
      <c r="E34" t="inlineStr">
        <is>
          <t>POS T401 080726</t>
        </is>
      </c>
      <c r="F34" t="inlineStr">
        <is>
          <t>Daily card takings Carlton 08/07</t>
        </is>
      </c>
      <c r="G34" s="9" t="n">
        <v>1549.86</v>
      </c>
      <c r="H34" t="inlineStr">
        <is>
          <t>entry</t>
        </is>
      </c>
      <c r="I34" t="inlineStr"/>
      <c r="J34" t="inlineStr">
        <is>
          <t>G00597</t>
        </is>
      </c>
      <c r="K34" t="str">
        <f>INDEX('Match Groups'!$D$5:$D$1326,MATCH(J34,'Match Groups'!$A$5:$A$1326,0))</f>
        <v>MATCH</v>
      </c>
    </row>
    <row r="35">
      <c r="A35" t="inlineStr">
        <is>
          <t>JI-03991</t>
        </is>
      </c>
      <c r="B35" t="inlineStr">
        <is>
          <t>MER</t>
        </is>
      </c>
      <c r="C35" s="5" t="n">
        <v>46211</v>
      </c>
      <c r="D35" t="inlineStr">
        <is>
          <t>Footscray clinic takings</t>
        </is>
      </c>
      <c r="E35" t="inlineStr">
        <is>
          <t>POS T402 080726</t>
        </is>
      </c>
      <c r="F35" t="inlineStr">
        <is>
          <t>Daily card takings Footscray 08/07</t>
        </is>
      </c>
      <c r="G35" s="9" t="n">
        <v>1808.04</v>
      </c>
      <c r="H35" t="inlineStr">
        <is>
          <t>entry</t>
        </is>
      </c>
      <c r="I35" t="inlineStr"/>
      <c r="J35" t="inlineStr">
        <is>
          <t>G00598</t>
        </is>
      </c>
      <c r="K35" t="str">
        <f>INDEX('Match Groups'!$D$5:$D$1326,MATCH(J35,'Match Groups'!$A$5:$A$1326,0))</f>
        <v>MATCH</v>
      </c>
    </row>
    <row r="36">
      <c r="A36" t="inlineStr">
        <is>
          <t>JI-03992</t>
        </is>
      </c>
      <c r="B36" t="inlineStr">
        <is>
          <t>MER</t>
        </is>
      </c>
      <c r="C36" s="5" t="n">
        <v>46211</v>
      </c>
      <c r="D36" t="inlineStr">
        <is>
          <t>Box Hill clinic takings</t>
        </is>
      </c>
      <c r="E36" t="inlineStr">
        <is>
          <t>POS T403 080726</t>
        </is>
      </c>
      <c r="F36" t="inlineStr">
        <is>
          <t>Daily card takings Box Hill 08/07</t>
        </is>
      </c>
      <c r="G36" s="9" t="n">
        <v>2694.35</v>
      </c>
      <c r="H36" t="inlineStr">
        <is>
          <t>entry</t>
        </is>
      </c>
      <c r="I36" t="inlineStr"/>
      <c r="J36" t="inlineStr">
        <is>
          <t>G00599</t>
        </is>
      </c>
      <c r="K36" t="str">
        <f>INDEX('Match Groups'!$D$5:$D$1326,MATCH(J36,'Match Groups'!$A$5:$A$1326,0))</f>
        <v>MATCH</v>
      </c>
    </row>
    <row r="37">
      <c r="A37" t="inlineStr">
        <is>
          <t>JI-03993</t>
        </is>
      </c>
      <c r="B37" t="inlineStr">
        <is>
          <t>MER</t>
        </is>
      </c>
      <c r="C37" s="5" t="n">
        <v>46211</v>
      </c>
      <c r="D37" t="inlineStr">
        <is>
          <t>Frankston clinic takings</t>
        </is>
      </c>
      <c r="E37" t="inlineStr">
        <is>
          <t>POS T404 080726</t>
        </is>
      </c>
      <c r="F37" t="inlineStr">
        <is>
          <t>Daily card takings Frankston 08/07</t>
        </is>
      </c>
      <c r="G37" s="9" t="n">
        <v>1471.53</v>
      </c>
      <c r="H37" t="inlineStr">
        <is>
          <t>entry</t>
        </is>
      </c>
      <c r="I37" t="inlineStr"/>
      <c r="J37" t="inlineStr">
        <is>
          <t>G00600</t>
        </is>
      </c>
      <c r="K37" t="str">
        <f>INDEX('Match Groups'!$D$5:$D$1326,MATCH(J37,'Match Groups'!$A$5:$A$1326,0))</f>
        <v>MATCH</v>
      </c>
    </row>
    <row r="38">
      <c r="A38" t="inlineStr">
        <is>
          <t>JI-03994</t>
        </is>
      </c>
      <c r="B38" t="inlineStr">
        <is>
          <t>MER</t>
        </is>
      </c>
      <c r="C38" s="5" t="n">
        <v>46212</v>
      </c>
      <c r="D38" t="inlineStr">
        <is>
          <t>Carlton clinic takings</t>
        </is>
      </c>
      <c r="E38" t="inlineStr">
        <is>
          <t>POS T401 090726</t>
        </is>
      </c>
      <c r="F38" t="inlineStr">
        <is>
          <t>Daily card takings Carlton 09/07</t>
        </is>
      </c>
      <c r="G38" s="9" t="n">
        <v>1296.69</v>
      </c>
      <c r="H38" t="inlineStr">
        <is>
          <t>entry</t>
        </is>
      </c>
      <c r="I38" t="inlineStr"/>
      <c r="J38" t="inlineStr">
        <is>
          <t>G00601</t>
        </is>
      </c>
      <c r="K38" t="str">
        <f>INDEX('Match Groups'!$D$5:$D$1326,MATCH(J38,'Match Groups'!$A$5:$A$1326,0))</f>
        <v>MATCH</v>
      </c>
    </row>
    <row r="39">
      <c r="A39" t="inlineStr">
        <is>
          <t>JI-03995</t>
        </is>
      </c>
      <c r="B39" t="inlineStr">
        <is>
          <t>MER</t>
        </is>
      </c>
      <c r="C39" s="5" t="n">
        <v>46212</v>
      </c>
      <c r="D39" t="inlineStr">
        <is>
          <t>Footscray clinic takings</t>
        </is>
      </c>
      <c r="E39" t="inlineStr">
        <is>
          <t>POS T402 090726</t>
        </is>
      </c>
      <c r="F39" t="inlineStr">
        <is>
          <t>Daily card takings Footscray 09/07</t>
        </is>
      </c>
      <c r="G39" s="9" t="n">
        <v>3331.23</v>
      </c>
      <c r="H39" t="inlineStr">
        <is>
          <t>entry</t>
        </is>
      </c>
      <c r="I39" t="inlineStr"/>
      <c r="J39" t="inlineStr">
        <is>
          <t>G00602</t>
        </is>
      </c>
      <c r="K39" t="str">
        <f>INDEX('Match Groups'!$D$5:$D$1326,MATCH(J39,'Match Groups'!$A$5:$A$1326,0))</f>
        <v>MATCH</v>
      </c>
    </row>
    <row r="40">
      <c r="A40" t="inlineStr">
        <is>
          <t>JI-03996</t>
        </is>
      </c>
      <c r="B40" t="inlineStr">
        <is>
          <t>MER</t>
        </is>
      </c>
      <c r="C40" s="5" t="n">
        <v>46212</v>
      </c>
      <c r="D40" t="inlineStr">
        <is>
          <t>Box Hill clinic takings</t>
        </is>
      </c>
      <c r="E40" t="inlineStr">
        <is>
          <t>POS T403 090726</t>
        </is>
      </c>
      <c r="F40" t="inlineStr">
        <is>
          <t>Daily card takings Box Hill 09/07</t>
        </is>
      </c>
      <c r="G40" s="9" t="n">
        <v>2486.28</v>
      </c>
      <c r="H40" t="inlineStr">
        <is>
          <t>entry</t>
        </is>
      </c>
      <c r="I40" t="inlineStr"/>
      <c r="J40" t="inlineStr">
        <is>
          <t>G00603</t>
        </is>
      </c>
      <c r="K40" t="str">
        <f>INDEX('Match Groups'!$D$5:$D$1326,MATCH(J40,'Match Groups'!$A$5:$A$1326,0))</f>
        <v>MATCH</v>
      </c>
    </row>
    <row r="41">
      <c r="A41" t="inlineStr">
        <is>
          <t>JI-03997</t>
        </is>
      </c>
      <c r="B41" t="inlineStr">
        <is>
          <t>MER</t>
        </is>
      </c>
      <c r="C41" s="5" t="n">
        <v>46212</v>
      </c>
      <c r="D41" t="inlineStr">
        <is>
          <t>Frankston clinic takings</t>
        </is>
      </c>
      <c r="E41" t="inlineStr">
        <is>
          <t>POS T404 090726</t>
        </is>
      </c>
      <c r="F41" t="inlineStr">
        <is>
          <t>Daily card takings Frankston 09/07</t>
        </is>
      </c>
      <c r="G41" s="9" t="n">
        <v>1391.59</v>
      </c>
      <c r="H41" t="inlineStr">
        <is>
          <t>entry</t>
        </is>
      </c>
      <c r="I41" t="inlineStr"/>
      <c r="J41" t="inlineStr">
        <is>
          <t>G00604</t>
        </is>
      </c>
      <c r="K41" t="str">
        <f>INDEX('Match Groups'!$D$5:$D$1326,MATCH(J41,'Match Groups'!$A$5:$A$1326,0))</f>
        <v>MATCH</v>
      </c>
    </row>
    <row r="42">
      <c r="A42" t="inlineStr">
        <is>
          <t>JI-03998</t>
        </is>
      </c>
      <c r="B42" t="inlineStr">
        <is>
          <t>MER</t>
        </is>
      </c>
      <c r="C42" s="5" t="n">
        <v>46213</v>
      </c>
      <c r="D42" t="inlineStr">
        <is>
          <t>Carlton clinic takings</t>
        </is>
      </c>
      <c r="E42" t="inlineStr">
        <is>
          <t>POS T401 100726</t>
        </is>
      </c>
      <c r="F42" t="inlineStr">
        <is>
          <t>Daily card takings Carlton 10/07</t>
        </is>
      </c>
      <c r="G42" s="9" t="n">
        <v>2210.29</v>
      </c>
      <c r="H42" t="inlineStr">
        <is>
          <t>entry</t>
        </is>
      </c>
      <c r="I42" t="inlineStr"/>
      <c r="J42" t="inlineStr">
        <is>
          <t>G00605</t>
        </is>
      </c>
      <c r="K42" t="str">
        <f>INDEX('Match Groups'!$D$5:$D$1326,MATCH(J42,'Match Groups'!$A$5:$A$1326,0))</f>
        <v>MATCH</v>
      </c>
    </row>
    <row r="43">
      <c r="A43" t="inlineStr">
        <is>
          <t>JI-03999</t>
        </is>
      </c>
      <c r="B43" t="inlineStr">
        <is>
          <t>MER</t>
        </is>
      </c>
      <c r="C43" s="5" t="n">
        <v>46213</v>
      </c>
      <c r="D43" t="inlineStr">
        <is>
          <t>Footscray clinic takings</t>
        </is>
      </c>
      <c r="E43" t="inlineStr">
        <is>
          <t>POS T402 100726</t>
        </is>
      </c>
      <c r="F43" t="inlineStr">
        <is>
          <t>Daily card takings Footscray 10/07</t>
        </is>
      </c>
      <c r="G43" s="9" t="n">
        <v>1631.84</v>
      </c>
      <c r="H43" t="inlineStr">
        <is>
          <t>entry</t>
        </is>
      </c>
      <c r="I43" t="inlineStr"/>
      <c r="J43" t="inlineStr">
        <is>
          <t>G00606</t>
        </is>
      </c>
      <c r="K43" t="str">
        <f>INDEX('Match Groups'!$D$5:$D$1326,MATCH(J43,'Match Groups'!$A$5:$A$1326,0))</f>
        <v>MATCH</v>
      </c>
    </row>
    <row r="44">
      <c r="A44" t="inlineStr">
        <is>
          <t>JI-04000</t>
        </is>
      </c>
      <c r="B44" t="inlineStr">
        <is>
          <t>MER</t>
        </is>
      </c>
      <c r="C44" s="5" t="n">
        <v>46213</v>
      </c>
      <c r="D44" t="inlineStr">
        <is>
          <t>Box Hill clinic takings</t>
        </is>
      </c>
      <c r="E44" t="inlineStr">
        <is>
          <t>POS T403 100726</t>
        </is>
      </c>
      <c r="F44" t="inlineStr">
        <is>
          <t>Daily card takings Box Hill 10/07</t>
        </is>
      </c>
      <c r="G44" s="9" t="n">
        <v>3219.28</v>
      </c>
      <c r="H44" t="inlineStr">
        <is>
          <t>entry</t>
        </is>
      </c>
      <c r="I44" t="inlineStr"/>
      <c r="J44" t="inlineStr">
        <is>
          <t>G00607</t>
        </is>
      </c>
      <c r="K44" t="str">
        <f>INDEX('Match Groups'!$D$5:$D$1326,MATCH(J44,'Match Groups'!$A$5:$A$1326,0))</f>
        <v>MATCH</v>
      </c>
    </row>
    <row r="45">
      <c r="A45" t="inlineStr">
        <is>
          <t>JI-04001</t>
        </is>
      </c>
      <c r="B45" t="inlineStr">
        <is>
          <t>MER</t>
        </is>
      </c>
      <c r="C45" s="5" t="n">
        <v>46213</v>
      </c>
      <c r="D45" t="inlineStr">
        <is>
          <t>Frankston clinic takings</t>
        </is>
      </c>
      <c r="E45" t="inlineStr">
        <is>
          <t>POS T404 100726</t>
        </is>
      </c>
      <c r="F45" t="inlineStr">
        <is>
          <t>Daily card takings Frankston 10/07</t>
        </is>
      </c>
      <c r="G45" s="9" t="n">
        <v>3112.88</v>
      </c>
      <c r="H45" t="inlineStr">
        <is>
          <t>entry</t>
        </is>
      </c>
      <c r="I45" t="inlineStr"/>
      <c r="J45" t="inlineStr">
        <is>
          <t>G00608</t>
        </is>
      </c>
      <c r="K45" t="str">
        <f>INDEX('Match Groups'!$D$5:$D$1326,MATCH(J45,'Match Groups'!$A$5:$A$1326,0))</f>
        <v>MATCH</v>
      </c>
    </row>
    <row r="46">
      <c r="A46" t="inlineStr">
        <is>
          <t>JI-04002</t>
        </is>
      </c>
      <c r="B46" t="inlineStr">
        <is>
          <t>MER</t>
        </is>
      </c>
      <c r="C46" s="5" t="n">
        <v>46214</v>
      </c>
      <c r="D46" t="inlineStr">
        <is>
          <t>Carlton clinic takings</t>
        </is>
      </c>
      <c r="E46" t="inlineStr">
        <is>
          <t>POS T401 110726</t>
        </is>
      </c>
      <c r="F46" t="inlineStr">
        <is>
          <t>Daily card takings Carlton 11/07</t>
        </is>
      </c>
      <c r="G46" s="9" t="n">
        <v>985.5599999999999</v>
      </c>
      <c r="H46" t="inlineStr">
        <is>
          <t>entry</t>
        </is>
      </c>
      <c r="I46" t="inlineStr"/>
      <c r="J46" t="inlineStr">
        <is>
          <t>G00609</t>
        </is>
      </c>
      <c r="K46" t="str">
        <f>INDEX('Match Groups'!$D$5:$D$1326,MATCH(J46,'Match Groups'!$A$5:$A$1326,0))</f>
        <v>MATCH</v>
      </c>
    </row>
    <row r="47">
      <c r="A47" t="inlineStr">
        <is>
          <t>JI-04003</t>
        </is>
      </c>
      <c r="B47" t="inlineStr">
        <is>
          <t>MER</t>
        </is>
      </c>
      <c r="C47" s="5" t="n">
        <v>46214</v>
      </c>
      <c r="D47" t="inlineStr">
        <is>
          <t>Footscray clinic takings</t>
        </is>
      </c>
      <c r="E47" t="inlineStr">
        <is>
          <t>POS T402 110726</t>
        </is>
      </c>
      <c r="F47" t="inlineStr">
        <is>
          <t>Daily card takings Footscray 11/07</t>
        </is>
      </c>
      <c r="G47" s="9" t="n">
        <v>968.99</v>
      </c>
      <c r="H47" t="inlineStr">
        <is>
          <t>entry</t>
        </is>
      </c>
      <c r="I47" t="inlineStr"/>
      <c r="J47" t="inlineStr">
        <is>
          <t>G00610</t>
        </is>
      </c>
      <c r="K47" t="str">
        <f>INDEX('Match Groups'!$D$5:$D$1326,MATCH(J47,'Match Groups'!$A$5:$A$1326,0))</f>
        <v>MATCH</v>
      </c>
    </row>
    <row r="48">
      <c r="A48" t="inlineStr">
        <is>
          <t>JI-04004</t>
        </is>
      </c>
      <c r="B48" t="inlineStr">
        <is>
          <t>MER</t>
        </is>
      </c>
      <c r="C48" s="5" t="n">
        <v>46214</v>
      </c>
      <c r="D48" t="inlineStr">
        <is>
          <t>Box Hill clinic takings</t>
        </is>
      </c>
      <c r="E48" t="inlineStr">
        <is>
          <t>POS T403 110726</t>
        </is>
      </c>
      <c r="F48" t="inlineStr">
        <is>
          <t>Daily card takings Box Hill 11/07</t>
        </is>
      </c>
      <c r="G48" s="9" t="n">
        <v>713.96</v>
      </c>
      <c r="H48" t="inlineStr">
        <is>
          <t>entry</t>
        </is>
      </c>
      <c r="I48" t="inlineStr"/>
      <c r="J48" t="inlineStr">
        <is>
          <t>G00611</t>
        </is>
      </c>
      <c r="K48" t="str">
        <f>INDEX('Match Groups'!$D$5:$D$1326,MATCH(J48,'Match Groups'!$A$5:$A$1326,0))</f>
        <v>MATCH</v>
      </c>
    </row>
    <row r="49">
      <c r="A49" t="inlineStr">
        <is>
          <t>JI-04005</t>
        </is>
      </c>
      <c r="B49" t="inlineStr">
        <is>
          <t>MER</t>
        </is>
      </c>
      <c r="C49" s="5" t="n">
        <v>46214</v>
      </c>
      <c r="D49" t="inlineStr">
        <is>
          <t>Frankston clinic takings</t>
        </is>
      </c>
      <c r="E49" t="inlineStr">
        <is>
          <t>POS T404 110726</t>
        </is>
      </c>
      <c r="F49" t="inlineStr">
        <is>
          <t>Daily card takings Frankston 11/07</t>
        </is>
      </c>
      <c r="G49" s="9" t="n">
        <v>1082.25</v>
      </c>
      <c r="H49" t="inlineStr">
        <is>
          <t>entry</t>
        </is>
      </c>
      <c r="I49" t="inlineStr"/>
      <c r="J49" t="inlineStr">
        <is>
          <t>G00612</t>
        </is>
      </c>
      <c r="K49" t="str">
        <f>INDEX('Match Groups'!$D$5:$D$1326,MATCH(J49,'Match Groups'!$A$5:$A$1326,0))</f>
        <v>MATCH</v>
      </c>
    </row>
    <row r="50">
      <c r="A50" t="inlineStr">
        <is>
          <t>JI-04006</t>
        </is>
      </c>
      <c r="B50" t="inlineStr">
        <is>
          <t>MER</t>
        </is>
      </c>
      <c r="C50" s="5" t="n">
        <v>46216</v>
      </c>
      <c r="D50" t="inlineStr">
        <is>
          <t>Carlton clinic takings</t>
        </is>
      </c>
      <c r="E50" t="inlineStr">
        <is>
          <t>POS T401 130726</t>
        </is>
      </c>
      <c r="F50" t="inlineStr">
        <is>
          <t>Daily card takings Carlton 13/07</t>
        </is>
      </c>
      <c r="G50" s="9" t="n">
        <v>2143.96</v>
      </c>
      <c r="H50" t="inlineStr">
        <is>
          <t>entry</t>
        </is>
      </c>
      <c r="I50" t="inlineStr"/>
      <c r="J50" t="inlineStr">
        <is>
          <t>G00614</t>
        </is>
      </c>
      <c r="K50" t="str">
        <f>INDEX('Match Groups'!$D$5:$D$1326,MATCH(J50,'Match Groups'!$A$5:$A$1326,0))</f>
        <v>MATCH</v>
      </c>
    </row>
    <row r="51">
      <c r="A51" t="inlineStr">
        <is>
          <t>JI-04007</t>
        </is>
      </c>
      <c r="B51" t="inlineStr">
        <is>
          <t>MER</t>
        </is>
      </c>
      <c r="C51" s="5" t="n">
        <v>46216</v>
      </c>
      <c r="D51" t="inlineStr">
        <is>
          <t>Footscray clinic takings</t>
        </is>
      </c>
      <c r="E51" t="inlineStr">
        <is>
          <t>POS T402 130726</t>
        </is>
      </c>
      <c r="F51" t="inlineStr">
        <is>
          <t>Daily card takings Footscray 13/07</t>
        </is>
      </c>
      <c r="G51" s="9" t="n">
        <v>2035.84</v>
      </c>
      <c r="H51" t="inlineStr">
        <is>
          <t>entry</t>
        </is>
      </c>
      <c r="I51" t="inlineStr"/>
      <c r="J51" t="inlineStr">
        <is>
          <t>G00615</t>
        </is>
      </c>
      <c r="K51" t="str">
        <f>INDEX('Match Groups'!$D$5:$D$1326,MATCH(J51,'Match Groups'!$A$5:$A$1326,0))</f>
        <v>MATCH</v>
      </c>
    </row>
    <row r="52">
      <c r="A52" t="inlineStr">
        <is>
          <t>JI-04008</t>
        </is>
      </c>
      <c r="B52" t="inlineStr">
        <is>
          <t>MER</t>
        </is>
      </c>
      <c r="C52" s="5" t="n">
        <v>46216</v>
      </c>
      <c r="D52" t="inlineStr">
        <is>
          <t>Box Hill clinic takings</t>
        </is>
      </c>
      <c r="E52" t="inlineStr">
        <is>
          <t>POS T403 130726</t>
        </is>
      </c>
      <c r="F52" t="inlineStr">
        <is>
          <t>Daily card takings Box Hill 13/07</t>
        </is>
      </c>
      <c r="G52" s="9" t="n">
        <v>2728.08</v>
      </c>
      <c r="H52" t="inlineStr">
        <is>
          <t>entry</t>
        </is>
      </c>
      <c r="I52" t="inlineStr"/>
      <c r="J52" t="inlineStr">
        <is>
          <t>G00616</t>
        </is>
      </c>
      <c r="K52" t="str">
        <f>INDEX('Match Groups'!$D$5:$D$1326,MATCH(J52,'Match Groups'!$A$5:$A$1326,0))</f>
        <v>MATCH</v>
      </c>
    </row>
    <row r="53">
      <c r="A53" t="inlineStr">
        <is>
          <t>JI-04009</t>
        </is>
      </c>
      <c r="B53" t="inlineStr">
        <is>
          <t>MER</t>
        </is>
      </c>
      <c r="C53" s="5" t="n">
        <v>46216</v>
      </c>
      <c r="D53" t="inlineStr">
        <is>
          <t>Frankston clinic takings</t>
        </is>
      </c>
      <c r="E53" t="inlineStr">
        <is>
          <t>POS T404 130726</t>
        </is>
      </c>
      <c r="F53" t="inlineStr">
        <is>
          <t>Daily card takings Frankston 13/07</t>
        </is>
      </c>
      <c r="G53" s="9" t="n">
        <v>3099.25</v>
      </c>
      <c r="H53" t="inlineStr">
        <is>
          <t>entry</t>
        </is>
      </c>
      <c r="I53" t="inlineStr"/>
      <c r="J53" t="inlineStr">
        <is>
          <t>G00617</t>
        </is>
      </c>
      <c r="K53" t="str">
        <f>INDEX('Match Groups'!$D$5:$D$1326,MATCH(J53,'Match Groups'!$A$5:$A$1326,0))</f>
        <v>MATCH</v>
      </c>
    </row>
    <row r="54">
      <c r="A54" t="inlineStr">
        <is>
          <t>JI-04284</t>
        </is>
      </c>
      <c r="B54" t="inlineStr">
        <is>
          <t>MER</t>
        </is>
      </c>
      <c r="C54" s="5" t="n">
        <v>46216</v>
      </c>
      <c r="D54" t="inlineStr">
        <is>
          <t>Internal transfer</t>
        </is>
      </c>
      <c r="E54" t="inlineStr">
        <is>
          <t>SWEEP 1307</t>
        </is>
      </c>
      <c r="F54" t="inlineStr">
        <is>
          <t>Sweep to operating</t>
        </is>
      </c>
      <c r="G54" s="9" t="n">
        <v>-34000</v>
      </c>
      <c r="H54" t="inlineStr">
        <is>
          <t>transfer</t>
        </is>
      </c>
      <c r="I54" t="inlineStr"/>
      <c r="J54" t="inlineStr">
        <is>
          <t>G00613</t>
        </is>
      </c>
      <c r="K54" t="str">
        <f>INDEX('Match Groups'!$D$5:$D$1326,MATCH(J54,'Match Groups'!$A$5:$A$1326,0))</f>
        <v>MATCH</v>
      </c>
    </row>
    <row r="55">
      <c r="A55" t="inlineStr">
        <is>
          <t>JI-04010</t>
        </is>
      </c>
      <c r="B55" t="inlineStr">
        <is>
          <t>MER</t>
        </is>
      </c>
      <c r="C55" s="5" t="n">
        <v>46217</v>
      </c>
      <c r="D55" t="inlineStr">
        <is>
          <t>Carlton clinic takings</t>
        </is>
      </c>
      <c r="E55" t="inlineStr">
        <is>
          <t>POS T401 140726</t>
        </is>
      </c>
      <c r="F55" t="inlineStr">
        <is>
          <t>Daily card takings Carlton 14/07</t>
        </is>
      </c>
      <c r="G55" s="9" t="n">
        <v>1044.45</v>
      </c>
      <c r="H55" t="inlineStr">
        <is>
          <t>entry</t>
        </is>
      </c>
      <c r="I55" t="inlineStr"/>
      <c r="J55" t="inlineStr">
        <is>
          <t>G00618</t>
        </is>
      </c>
      <c r="K55" t="str">
        <f>INDEX('Match Groups'!$D$5:$D$1326,MATCH(J55,'Match Groups'!$A$5:$A$1326,0))</f>
        <v>MATCH</v>
      </c>
    </row>
    <row r="56">
      <c r="A56" t="inlineStr">
        <is>
          <t>JI-04011</t>
        </is>
      </c>
      <c r="B56" t="inlineStr">
        <is>
          <t>MER</t>
        </is>
      </c>
      <c r="C56" s="5" t="n">
        <v>46217</v>
      </c>
      <c r="D56" t="inlineStr">
        <is>
          <t>Footscray clinic takings</t>
        </is>
      </c>
      <c r="E56" t="inlineStr">
        <is>
          <t>POS T402 140726</t>
        </is>
      </c>
      <c r="F56" t="inlineStr">
        <is>
          <t>Daily card takings Footscray 14/07</t>
        </is>
      </c>
      <c r="G56" s="9" t="n">
        <v>3336.14</v>
      </c>
      <c r="H56" t="inlineStr">
        <is>
          <t>entry</t>
        </is>
      </c>
      <c r="I56" t="inlineStr"/>
      <c r="J56" t="inlineStr">
        <is>
          <t>G00619</t>
        </is>
      </c>
      <c r="K56" t="str">
        <f>INDEX('Match Groups'!$D$5:$D$1326,MATCH(J56,'Match Groups'!$A$5:$A$1326,0))</f>
        <v>MATCH</v>
      </c>
    </row>
    <row r="57">
      <c r="A57" t="inlineStr">
        <is>
          <t>JI-04012</t>
        </is>
      </c>
      <c r="B57" t="inlineStr">
        <is>
          <t>MER</t>
        </is>
      </c>
      <c r="C57" s="5" t="n">
        <v>46217</v>
      </c>
      <c r="D57" t="inlineStr">
        <is>
          <t>Box Hill clinic takings</t>
        </is>
      </c>
      <c r="E57" t="inlineStr">
        <is>
          <t>POS T403 140726</t>
        </is>
      </c>
      <c r="F57" t="inlineStr">
        <is>
          <t>Daily card takings Box Hill 14/07</t>
        </is>
      </c>
      <c r="G57" s="9" t="n">
        <v>2592.49</v>
      </c>
      <c r="H57" t="inlineStr">
        <is>
          <t>entry</t>
        </is>
      </c>
      <c r="I57" t="inlineStr"/>
      <c r="J57" t="inlineStr">
        <is>
          <t>G00620</t>
        </is>
      </c>
      <c r="K57" t="str">
        <f>INDEX('Match Groups'!$D$5:$D$1326,MATCH(J57,'Match Groups'!$A$5:$A$1326,0))</f>
        <v>MATCH</v>
      </c>
    </row>
    <row r="58">
      <c r="A58" t="inlineStr">
        <is>
          <t>JI-04013</t>
        </is>
      </c>
      <c r="B58" t="inlineStr">
        <is>
          <t>MER</t>
        </is>
      </c>
      <c r="C58" s="5" t="n">
        <v>46217</v>
      </c>
      <c r="D58" t="inlineStr">
        <is>
          <t>Frankston clinic takings</t>
        </is>
      </c>
      <c r="E58" t="inlineStr">
        <is>
          <t>POS T404 140726</t>
        </is>
      </c>
      <c r="F58" t="inlineStr">
        <is>
          <t>Daily card takings Frankston 14/07</t>
        </is>
      </c>
      <c r="G58" s="9" t="n">
        <v>2453.07</v>
      </c>
      <c r="H58" t="inlineStr">
        <is>
          <t>entry</t>
        </is>
      </c>
      <c r="I58" t="inlineStr"/>
      <c r="J58" t="inlineStr">
        <is>
          <t>G00621</t>
        </is>
      </c>
      <c r="K58" t="str">
        <f>INDEX('Match Groups'!$D$5:$D$1326,MATCH(J58,'Match Groups'!$A$5:$A$1326,0))</f>
        <v>MATCH</v>
      </c>
    </row>
    <row r="59">
      <c r="A59" t="inlineStr">
        <is>
          <t>JI-04014</t>
        </is>
      </c>
      <c r="B59" t="inlineStr">
        <is>
          <t>MER</t>
        </is>
      </c>
      <c r="C59" s="5" t="n">
        <v>46218</v>
      </c>
      <c r="D59" t="inlineStr">
        <is>
          <t>Carlton clinic takings</t>
        </is>
      </c>
      <c r="E59" t="inlineStr">
        <is>
          <t>POS T401 150726</t>
        </is>
      </c>
      <c r="F59" t="inlineStr">
        <is>
          <t>Daily card takings Carlton 15/07</t>
        </is>
      </c>
      <c r="G59" s="9" t="n">
        <v>2990.45</v>
      </c>
      <c r="H59" t="inlineStr">
        <is>
          <t>entry</t>
        </is>
      </c>
      <c r="I59" t="inlineStr"/>
      <c r="J59" t="inlineStr">
        <is>
          <t>G00622</t>
        </is>
      </c>
      <c r="K59" t="str">
        <f>INDEX('Match Groups'!$D$5:$D$1326,MATCH(J59,'Match Groups'!$A$5:$A$1326,0))</f>
        <v>MATCH</v>
      </c>
    </row>
    <row r="60">
      <c r="A60" t="inlineStr">
        <is>
          <t>JI-04015</t>
        </is>
      </c>
      <c r="B60" t="inlineStr">
        <is>
          <t>MER</t>
        </is>
      </c>
      <c r="C60" s="5" t="n">
        <v>46218</v>
      </c>
      <c r="D60" t="inlineStr">
        <is>
          <t>Footscray clinic takings</t>
        </is>
      </c>
      <c r="E60" t="inlineStr">
        <is>
          <t>POS T402 150726</t>
        </is>
      </c>
      <c r="F60" t="inlineStr">
        <is>
          <t>Daily card takings Footscray 15/07</t>
        </is>
      </c>
      <c r="G60" s="9" t="n">
        <v>1412.81</v>
      </c>
      <c r="H60" t="inlineStr">
        <is>
          <t>entry</t>
        </is>
      </c>
      <c r="I60" t="inlineStr"/>
      <c r="J60" t="inlineStr">
        <is>
          <t>G00623</t>
        </is>
      </c>
      <c r="K60" t="str">
        <f>INDEX('Match Groups'!$D$5:$D$1326,MATCH(J60,'Match Groups'!$A$5:$A$1326,0))</f>
        <v>MATCH</v>
      </c>
    </row>
    <row r="61">
      <c r="A61" t="inlineStr">
        <is>
          <t>JI-04016</t>
        </is>
      </c>
      <c r="B61" t="inlineStr">
        <is>
          <t>MER</t>
        </is>
      </c>
      <c r="C61" s="5" t="n">
        <v>46218</v>
      </c>
      <c r="D61" t="inlineStr">
        <is>
          <t>Box Hill clinic takings</t>
        </is>
      </c>
      <c r="E61" t="inlineStr">
        <is>
          <t>POS T403 150726</t>
        </is>
      </c>
      <c r="F61" t="inlineStr">
        <is>
          <t>Daily card takings Box Hill 15/07</t>
        </is>
      </c>
      <c r="G61" s="9" t="n">
        <v>2543.78</v>
      </c>
      <c r="H61" t="inlineStr">
        <is>
          <t>entry</t>
        </is>
      </c>
      <c r="I61" t="inlineStr"/>
      <c r="J61" t="inlineStr">
        <is>
          <t>G00624</t>
        </is>
      </c>
      <c r="K61" t="str">
        <f>INDEX('Match Groups'!$D$5:$D$1326,MATCH(J61,'Match Groups'!$A$5:$A$1326,0))</f>
        <v>MATCH</v>
      </c>
    </row>
    <row r="62">
      <c r="A62" t="inlineStr">
        <is>
          <t>JI-04017</t>
        </is>
      </c>
      <c r="B62" t="inlineStr">
        <is>
          <t>MER</t>
        </is>
      </c>
      <c r="C62" s="5" t="n">
        <v>46218</v>
      </c>
      <c r="D62" t="inlineStr">
        <is>
          <t>Frankston clinic takings</t>
        </is>
      </c>
      <c r="E62" t="inlineStr">
        <is>
          <t>POS T404 150726</t>
        </is>
      </c>
      <c r="F62" t="inlineStr">
        <is>
          <t>Daily card takings Frankston 15/07</t>
        </is>
      </c>
      <c r="G62" s="9" t="n">
        <v>2646.6</v>
      </c>
      <c r="H62" t="inlineStr">
        <is>
          <t>entry</t>
        </is>
      </c>
      <c r="I62" t="inlineStr"/>
      <c r="J62" t="inlineStr">
        <is>
          <t>G00625</t>
        </is>
      </c>
      <c r="K62" t="str">
        <f>INDEX('Match Groups'!$D$5:$D$1326,MATCH(J62,'Match Groups'!$A$5:$A$1326,0))</f>
        <v>MATCH</v>
      </c>
    </row>
    <row r="63">
      <c r="A63" t="inlineStr">
        <is>
          <t>JI-04018</t>
        </is>
      </c>
      <c r="B63" t="inlineStr">
        <is>
          <t>MER</t>
        </is>
      </c>
      <c r="C63" s="5" t="n">
        <v>46219</v>
      </c>
      <c r="D63" t="inlineStr">
        <is>
          <t>Carlton clinic takings</t>
        </is>
      </c>
      <c r="E63" t="inlineStr">
        <is>
          <t>POS T401 160726</t>
        </is>
      </c>
      <c r="F63" t="inlineStr">
        <is>
          <t>Daily card takings Carlton 16/07</t>
        </is>
      </c>
      <c r="G63" s="9" t="n">
        <v>3302.4</v>
      </c>
      <c r="H63" t="inlineStr">
        <is>
          <t>entry</t>
        </is>
      </c>
      <c r="I63" t="inlineStr"/>
      <c r="J63" t="inlineStr">
        <is>
          <t>G00626</t>
        </is>
      </c>
      <c r="K63" t="str">
        <f>INDEX('Match Groups'!$D$5:$D$1326,MATCH(J63,'Match Groups'!$A$5:$A$1326,0))</f>
        <v>MATCH</v>
      </c>
    </row>
    <row r="64">
      <c r="A64" t="inlineStr">
        <is>
          <t>JI-04019</t>
        </is>
      </c>
      <c r="B64" t="inlineStr">
        <is>
          <t>MER</t>
        </is>
      </c>
      <c r="C64" s="5" t="n">
        <v>46219</v>
      </c>
      <c r="D64" t="inlineStr">
        <is>
          <t>Footscray clinic takings</t>
        </is>
      </c>
      <c r="E64" t="inlineStr">
        <is>
          <t>POS T402 160726</t>
        </is>
      </c>
      <c r="F64" t="inlineStr">
        <is>
          <t>Daily card takings Footscray 16/07</t>
        </is>
      </c>
      <c r="G64" s="9" t="n">
        <v>3042.74</v>
      </c>
      <c r="H64" t="inlineStr">
        <is>
          <t>entry</t>
        </is>
      </c>
      <c r="I64" t="inlineStr"/>
      <c r="J64" t="inlineStr">
        <is>
          <t>G00627</t>
        </is>
      </c>
      <c r="K64" t="str">
        <f>INDEX('Match Groups'!$D$5:$D$1326,MATCH(J64,'Match Groups'!$A$5:$A$1326,0))</f>
        <v>MATCH</v>
      </c>
    </row>
    <row r="65">
      <c r="A65" t="inlineStr">
        <is>
          <t>JI-04020</t>
        </is>
      </c>
      <c r="B65" t="inlineStr">
        <is>
          <t>MER</t>
        </is>
      </c>
      <c r="C65" s="5" t="n">
        <v>46219</v>
      </c>
      <c r="D65" t="inlineStr">
        <is>
          <t>Box Hill clinic takings</t>
        </is>
      </c>
      <c r="E65" t="inlineStr">
        <is>
          <t>POS T403 160726</t>
        </is>
      </c>
      <c r="F65" t="inlineStr">
        <is>
          <t>Daily card takings Box Hill 16/07</t>
        </is>
      </c>
      <c r="G65" s="9" t="n">
        <v>2715.97</v>
      </c>
      <c r="H65" t="inlineStr">
        <is>
          <t>entry</t>
        </is>
      </c>
      <c r="I65" t="inlineStr"/>
      <c r="J65" t="inlineStr">
        <is>
          <t>G00628</t>
        </is>
      </c>
      <c r="K65" t="str">
        <f>INDEX('Match Groups'!$D$5:$D$1326,MATCH(J65,'Match Groups'!$A$5:$A$1326,0))</f>
        <v>MATCH</v>
      </c>
    </row>
    <row r="66">
      <c r="A66" t="inlineStr">
        <is>
          <t>JI-04021</t>
        </is>
      </c>
      <c r="B66" t="inlineStr">
        <is>
          <t>MER</t>
        </is>
      </c>
      <c r="C66" s="5" t="n">
        <v>46219</v>
      </c>
      <c r="D66" t="inlineStr">
        <is>
          <t>Frankston clinic takings</t>
        </is>
      </c>
      <c r="E66" t="inlineStr">
        <is>
          <t>POS T404 160726</t>
        </is>
      </c>
      <c r="F66" t="inlineStr">
        <is>
          <t>Daily card takings Frankston 16/07</t>
        </is>
      </c>
      <c r="G66" s="9" t="n">
        <v>1058.51</v>
      </c>
      <c r="H66" t="inlineStr">
        <is>
          <t>entry</t>
        </is>
      </c>
      <c r="I66" t="inlineStr"/>
      <c r="J66" t="inlineStr">
        <is>
          <t>G00629</t>
        </is>
      </c>
      <c r="K66" t="str">
        <f>INDEX('Match Groups'!$D$5:$D$1326,MATCH(J66,'Match Groups'!$A$5:$A$1326,0))</f>
        <v>MATCH</v>
      </c>
    </row>
    <row r="67">
      <c r="A67" t="inlineStr">
        <is>
          <t>JI-04022</t>
        </is>
      </c>
      <c r="B67" t="inlineStr">
        <is>
          <t>MER</t>
        </is>
      </c>
      <c r="C67" s="5" t="n">
        <v>46220</v>
      </c>
      <c r="D67" t="inlineStr">
        <is>
          <t>Carlton clinic takings</t>
        </is>
      </c>
      <c r="E67" t="inlineStr">
        <is>
          <t>POS T401 170726</t>
        </is>
      </c>
      <c r="F67" t="inlineStr">
        <is>
          <t>Daily card takings Carlton 17/07</t>
        </is>
      </c>
      <c r="G67" s="9" t="n">
        <v>3492.5</v>
      </c>
      <c r="H67" t="inlineStr">
        <is>
          <t>entry</t>
        </is>
      </c>
      <c r="I67" t="inlineStr"/>
      <c r="J67" t="inlineStr">
        <is>
          <t>G00630</t>
        </is>
      </c>
      <c r="K67" t="str">
        <f>INDEX('Match Groups'!$D$5:$D$1326,MATCH(J67,'Match Groups'!$A$5:$A$1326,0))</f>
        <v>MATCH</v>
      </c>
    </row>
    <row r="68">
      <c r="A68" t="inlineStr">
        <is>
          <t>JI-04023</t>
        </is>
      </c>
      <c r="B68" t="inlineStr">
        <is>
          <t>MER</t>
        </is>
      </c>
      <c r="C68" s="5" t="n">
        <v>46220</v>
      </c>
      <c r="D68" t="inlineStr">
        <is>
          <t>Footscray clinic takings</t>
        </is>
      </c>
      <c r="E68" t="inlineStr">
        <is>
          <t>POS T402 170726</t>
        </is>
      </c>
      <c r="F68" t="inlineStr">
        <is>
          <t>Daily card takings Footscray 17/07</t>
        </is>
      </c>
      <c r="G68" s="9" t="n">
        <v>2391.2</v>
      </c>
      <c r="H68" t="inlineStr">
        <is>
          <t>entry</t>
        </is>
      </c>
      <c r="I68" t="inlineStr"/>
      <c r="J68" t="inlineStr">
        <is>
          <t>G00631</t>
        </is>
      </c>
      <c r="K68" t="str">
        <f>INDEX('Match Groups'!$D$5:$D$1326,MATCH(J68,'Match Groups'!$A$5:$A$1326,0))</f>
        <v>MATCH</v>
      </c>
    </row>
    <row r="69">
      <c r="A69" t="inlineStr">
        <is>
          <t>JI-04024</t>
        </is>
      </c>
      <c r="B69" t="inlineStr">
        <is>
          <t>MER</t>
        </is>
      </c>
      <c r="C69" s="5" t="n">
        <v>46220</v>
      </c>
      <c r="D69" t="inlineStr">
        <is>
          <t>Box Hill clinic takings</t>
        </is>
      </c>
      <c r="E69" t="inlineStr">
        <is>
          <t>POS T403 170726</t>
        </is>
      </c>
      <c r="F69" t="inlineStr">
        <is>
          <t>Daily card takings Box Hill 17/07</t>
        </is>
      </c>
      <c r="G69" s="9" t="n">
        <v>3569.32</v>
      </c>
      <c r="H69" t="inlineStr">
        <is>
          <t>entry</t>
        </is>
      </c>
      <c r="I69" t="inlineStr"/>
      <c r="J69" t="inlineStr">
        <is>
          <t>G00632</t>
        </is>
      </c>
      <c r="K69" t="str">
        <f>INDEX('Match Groups'!$D$5:$D$1326,MATCH(J69,'Match Groups'!$A$5:$A$1326,0))</f>
        <v>MATCH</v>
      </c>
    </row>
    <row r="70">
      <c r="A70" t="inlineStr">
        <is>
          <t>JI-04025</t>
        </is>
      </c>
      <c r="B70" t="inlineStr">
        <is>
          <t>MER</t>
        </is>
      </c>
      <c r="C70" s="5" t="n">
        <v>46220</v>
      </c>
      <c r="D70" t="inlineStr">
        <is>
          <t>Frankston clinic takings</t>
        </is>
      </c>
      <c r="E70" t="inlineStr">
        <is>
          <t>POS T404 170726</t>
        </is>
      </c>
      <c r="F70" t="inlineStr">
        <is>
          <t>Daily card takings Frankston 17/07</t>
        </is>
      </c>
      <c r="G70" s="9" t="n">
        <v>2677.25</v>
      </c>
      <c r="H70" t="inlineStr">
        <is>
          <t>entry</t>
        </is>
      </c>
      <c r="I70" t="inlineStr"/>
      <c r="J70" t="inlineStr">
        <is>
          <t>G00633</t>
        </is>
      </c>
      <c r="K70" t="str">
        <f>INDEX('Match Groups'!$D$5:$D$1326,MATCH(J70,'Match Groups'!$A$5:$A$1326,0))</f>
        <v>MATCH</v>
      </c>
    </row>
    <row r="71">
      <c r="A71" t="inlineStr">
        <is>
          <t>JI-04026</t>
        </is>
      </c>
      <c r="B71" t="inlineStr">
        <is>
          <t>MER</t>
        </is>
      </c>
      <c r="C71" s="5" t="n">
        <v>46221</v>
      </c>
      <c r="D71" t="inlineStr">
        <is>
          <t>Carlton clinic takings</t>
        </is>
      </c>
      <c r="E71" t="inlineStr">
        <is>
          <t>POS T401 180726</t>
        </is>
      </c>
      <c r="F71" t="inlineStr">
        <is>
          <t>Daily card takings Carlton 18/07</t>
        </is>
      </c>
      <c r="G71" s="9" t="n">
        <v>433.71</v>
      </c>
      <c r="H71" t="inlineStr">
        <is>
          <t>entry</t>
        </is>
      </c>
      <c r="I71" t="inlineStr"/>
      <c r="J71" t="inlineStr">
        <is>
          <t>G00634</t>
        </is>
      </c>
      <c r="K71" t="str">
        <f>INDEX('Match Groups'!$D$5:$D$1326,MATCH(J71,'Match Groups'!$A$5:$A$1326,0))</f>
        <v>MATCH</v>
      </c>
    </row>
    <row r="72">
      <c r="A72" t="inlineStr">
        <is>
          <t>JI-04027</t>
        </is>
      </c>
      <c r="B72" t="inlineStr">
        <is>
          <t>MER</t>
        </is>
      </c>
      <c r="C72" s="5" t="n">
        <v>46221</v>
      </c>
      <c r="D72" t="inlineStr">
        <is>
          <t>Footscray clinic takings</t>
        </is>
      </c>
      <c r="E72" t="inlineStr">
        <is>
          <t>POS T402 180726</t>
        </is>
      </c>
      <c r="F72" t="inlineStr">
        <is>
          <t>Daily card takings Footscray 18/07</t>
        </is>
      </c>
      <c r="G72" s="9" t="n">
        <v>905.3099999999999</v>
      </c>
      <c r="H72" t="inlineStr">
        <is>
          <t>entry</t>
        </is>
      </c>
      <c r="I72" t="inlineStr"/>
      <c r="J72" t="inlineStr">
        <is>
          <t>G00635</t>
        </is>
      </c>
      <c r="K72" t="str">
        <f>INDEX('Match Groups'!$D$5:$D$1326,MATCH(J72,'Match Groups'!$A$5:$A$1326,0))</f>
        <v>MATCH</v>
      </c>
    </row>
    <row r="73">
      <c r="A73" t="inlineStr">
        <is>
          <t>JI-04028</t>
        </is>
      </c>
      <c r="B73" t="inlineStr">
        <is>
          <t>MER</t>
        </is>
      </c>
      <c r="C73" s="5" t="n">
        <v>46221</v>
      </c>
      <c r="D73" t="inlineStr">
        <is>
          <t>Box Hill clinic takings</t>
        </is>
      </c>
      <c r="E73" t="inlineStr">
        <is>
          <t>POS T403 180726</t>
        </is>
      </c>
      <c r="F73" t="inlineStr">
        <is>
          <t>Daily card takings Box Hill 18/07</t>
        </is>
      </c>
      <c r="G73" s="9" t="n">
        <v>1099.35</v>
      </c>
      <c r="H73" t="inlineStr">
        <is>
          <t>entry</t>
        </is>
      </c>
      <c r="I73" t="inlineStr"/>
      <c r="J73" t="inlineStr">
        <is>
          <t>G00636</t>
        </is>
      </c>
      <c r="K73" t="str">
        <f>INDEX('Match Groups'!$D$5:$D$1326,MATCH(J73,'Match Groups'!$A$5:$A$1326,0))</f>
        <v>MATCH</v>
      </c>
    </row>
    <row r="74">
      <c r="A74" t="inlineStr">
        <is>
          <t>JI-04029</t>
        </is>
      </c>
      <c r="B74" t="inlineStr">
        <is>
          <t>MER</t>
        </is>
      </c>
      <c r="C74" s="5" t="n">
        <v>46221</v>
      </c>
      <c r="D74" t="inlineStr">
        <is>
          <t>Frankston clinic takings</t>
        </is>
      </c>
      <c r="E74" t="inlineStr">
        <is>
          <t>POS T404 180726</t>
        </is>
      </c>
      <c r="F74" t="inlineStr">
        <is>
          <t>Daily card takings Frankston 18/07</t>
        </is>
      </c>
      <c r="G74" s="9" t="n">
        <v>1008.98</v>
      </c>
      <c r="H74" t="inlineStr">
        <is>
          <t>entry</t>
        </is>
      </c>
      <c r="I74" t="inlineStr"/>
      <c r="J74" t="inlineStr">
        <is>
          <t>G00637</t>
        </is>
      </c>
      <c r="K74" t="str">
        <f>INDEX('Match Groups'!$D$5:$D$1326,MATCH(J74,'Match Groups'!$A$5:$A$1326,0))</f>
        <v>MATCH</v>
      </c>
    </row>
    <row r="75">
      <c r="A75" t="inlineStr">
        <is>
          <t>JI-04030</t>
        </is>
      </c>
      <c r="B75" t="inlineStr">
        <is>
          <t>MER</t>
        </is>
      </c>
      <c r="C75" s="5" t="n">
        <v>46223</v>
      </c>
      <c r="D75" t="inlineStr">
        <is>
          <t>Carlton clinic takings</t>
        </is>
      </c>
      <c r="E75" t="inlineStr">
        <is>
          <t>POS T401 200726</t>
        </is>
      </c>
      <c r="F75" t="inlineStr">
        <is>
          <t>Daily card takings Carlton 20/07</t>
        </is>
      </c>
      <c r="G75" s="9" t="n">
        <v>920</v>
      </c>
      <c r="H75" t="inlineStr">
        <is>
          <t>entry</t>
        </is>
      </c>
      <c r="I75" t="inlineStr"/>
      <c r="J75" t="inlineStr">
        <is>
          <t>G00639</t>
        </is>
      </c>
      <c r="K75" t="str">
        <f>INDEX('Match Groups'!$D$5:$D$1326,MATCH(J75,'Match Groups'!$A$5:$A$1326,0))</f>
        <v>MATCH</v>
      </c>
    </row>
    <row r="76">
      <c r="A76" t="inlineStr">
        <is>
          <t>JI-04031</t>
        </is>
      </c>
      <c r="B76" t="inlineStr">
        <is>
          <t>MER</t>
        </is>
      </c>
      <c r="C76" s="5" t="n">
        <v>46223</v>
      </c>
      <c r="D76" t="inlineStr">
        <is>
          <t>Footscray clinic takings</t>
        </is>
      </c>
      <c r="E76" t="inlineStr">
        <is>
          <t>POS T402 200726</t>
        </is>
      </c>
      <c r="F76" t="inlineStr">
        <is>
          <t>Daily card takings Footscray 20/07</t>
        </is>
      </c>
      <c r="G76" s="9" t="n">
        <v>1219.8</v>
      </c>
      <c r="H76" t="inlineStr">
        <is>
          <t>entry</t>
        </is>
      </c>
      <c r="I76" t="inlineStr"/>
      <c r="J76" t="inlineStr">
        <is>
          <t>G00640</t>
        </is>
      </c>
      <c r="K76" t="str">
        <f>INDEX('Match Groups'!$D$5:$D$1326,MATCH(J76,'Match Groups'!$A$5:$A$1326,0))</f>
        <v>MATCH</v>
      </c>
    </row>
    <row r="77">
      <c r="A77" t="inlineStr">
        <is>
          <t>JI-04032</t>
        </is>
      </c>
      <c r="B77" t="inlineStr">
        <is>
          <t>MER</t>
        </is>
      </c>
      <c r="C77" s="5" t="n">
        <v>46223</v>
      </c>
      <c r="D77" t="inlineStr">
        <is>
          <t>Box Hill clinic takings</t>
        </is>
      </c>
      <c r="E77" t="inlineStr">
        <is>
          <t>POS T403 200726</t>
        </is>
      </c>
      <c r="F77" t="inlineStr">
        <is>
          <t>Daily card takings Box Hill 20/07</t>
        </is>
      </c>
      <c r="G77" s="9" t="n">
        <v>1711.27</v>
      </c>
      <c r="H77" t="inlineStr">
        <is>
          <t>entry</t>
        </is>
      </c>
      <c r="I77" t="inlineStr"/>
      <c r="J77" t="inlineStr">
        <is>
          <t>G00641</t>
        </is>
      </c>
      <c r="K77" t="str">
        <f>INDEX('Match Groups'!$D$5:$D$1326,MATCH(J77,'Match Groups'!$A$5:$A$1326,0))</f>
        <v>MATCH</v>
      </c>
    </row>
    <row r="78">
      <c r="A78" t="inlineStr">
        <is>
          <t>JI-04033</t>
        </is>
      </c>
      <c r="B78" t="inlineStr">
        <is>
          <t>MER</t>
        </is>
      </c>
      <c r="C78" s="5" t="n">
        <v>46223</v>
      </c>
      <c r="D78" t="inlineStr">
        <is>
          <t>Frankston clinic takings</t>
        </is>
      </c>
      <c r="E78" t="inlineStr">
        <is>
          <t>POS T404 200726</t>
        </is>
      </c>
      <c r="F78" t="inlineStr">
        <is>
          <t>Daily card takings Frankston 20/07</t>
        </is>
      </c>
      <c r="G78" s="9" t="n">
        <v>1905.79</v>
      </c>
      <c r="H78" t="inlineStr">
        <is>
          <t>entry</t>
        </is>
      </c>
      <c r="I78" t="inlineStr"/>
      <c r="J78" t="inlineStr">
        <is>
          <t>G00642</t>
        </is>
      </c>
      <c r="K78" t="str">
        <f>INDEX('Match Groups'!$D$5:$D$1326,MATCH(J78,'Match Groups'!$A$5:$A$1326,0))</f>
        <v>MATCH</v>
      </c>
    </row>
    <row r="79">
      <c r="A79" t="inlineStr">
        <is>
          <t>JI-04286</t>
        </is>
      </c>
      <c r="B79" t="inlineStr">
        <is>
          <t>MER</t>
        </is>
      </c>
      <c r="C79" s="5" t="n">
        <v>46223</v>
      </c>
      <c r="D79" t="inlineStr">
        <is>
          <t>Internal transfer</t>
        </is>
      </c>
      <c r="E79" t="inlineStr">
        <is>
          <t>SWEEP 2007</t>
        </is>
      </c>
      <c r="F79" t="inlineStr">
        <is>
          <t>Sweep to operating</t>
        </is>
      </c>
      <c r="G79" s="9" t="n">
        <v>-22000</v>
      </c>
      <c r="H79" t="inlineStr">
        <is>
          <t>transfer</t>
        </is>
      </c>
      <c r="I79" t="inlineStr"/>
      <c r="J79" t="inlineStr">
        <is>
          <t>G00638</t>
        </is>
      </c>
      <c r="K79" t="str">
        <f>INDEX('Match Groups'!$D$5:$D$1326,MATCH(J79,'Match Groups'!$A$5:$A$1326,0))</f>
        <v>MATCH</v>
      </c>
    </row>
    <row r="80">
      <c r="A80" t="inlineStr">
        <is>
          <t>JI-04034</t>
        </is>
      </c>
      <c r="B80" t="inlineStr">
        <is>
          <t>MER</t>
        </is>
      </c>
      <c r="C80" s="5" t="n">
        <v>46224</v>
      </c>
      <c r="D80" t="inlineStr">
        <is>
          <t>Carlton clinic takings</t>
        </is>
      </c>
      <c r="E80" t="inlineStr">
        <is>
          <t>POS T401 210726</t>
        </is>
      </c>
      <c r="F80" t="inlineStr">
        <is>
          <t>Daily card takings Carlton 21/07</t>
        </is>
      </c>
      <c r="G80" s="9" t="n">
        <v>2362.6</v>
      </c>
      <c r="H80" t="inlineStr">
        <is>
          <t>entry</t>
        </is>
      </c>
      <c r="I80" t="inlineStr"/>
      <c r="J80" t="inlineStr">
        <is>
          <t>G00643</t>
        </is>
      </c>
      <c r="K80" t="str">
        <f>INDEX('Match Groups'!$D$5:$D$1326,MATCH(J80,'Match Groups'!$A$5:$A$1326,0))</f>
        <v>MATCH</v>
      </c>
    </row>
    <row r="81">
      <c r="A81" t="inlineStr">
        <is>
          <t>JI-04035</t>
        </is>
      </c>
      <c r="B81" t="inlineStr">
        <is>
          <t>MER</t>
        </is>
      </c>
      <c r="C81" s="5" t="n">
        <v>46224</v>
      </c>
      <c r="D81" t="inlineStr">
        <is>
          <t>Footscray clinic takings</t>
        </is>
      </c>
      <c r="E81" t="inlineStr">
        <is>
          <t>POS T402 210726</t>
        </is>
      </c>
      <c r="F81" t="inlineStr">
        <is>
          <t>Daily card takings Footscray 21/07</t>
        </is>
      </c>
      <c r="G81" s="9" t="n">
        <v>982.49</v>
      </c>
      <c r="H81" t="inlineStr">
        <is>
          <t>entry</t>
        </is>
      </c>
      <c r="I81" t="inlineStr"/>
      <c r="J81" t="inlineStr">
        <is>
          <t>G00644</t>
        </is>
      </c>
      <c r="K81" t="str">
        <f>INDEX('Match Groups'!$D$5:$D$1326,MATCH(J81,'Match Groups'!$A$5:$A$1326,0))</f>
        <v>MATCH</v>
      </c>
    </row>
    <row r="82">
      <c r="A82" t="inlineStr">
        <is>
          <t>JI-04036</t>
        </is>
      </c>
      <c r="B82" t="inlineStr">
        <is>
          <t>MER</t>
        </is>
      </c>
      <c r="C82" s="5" t="n">
        <v>46224</v>
      </c>
      <c r="D82" t="inlineStr">
        <is>
          <t>Box Hill clinic takings</t>
        </is>
      </c>
      <c r="E82" t="inlineStr">
        <is>
          <t>POS T403 210726</t>
        </is>
      </c>
      <c r="F82" t="inlineStr">
        <is>
          <t>Daily card takings Box Hill 21/07</t>
        </is>
      </c>
      <c r="G82" s="9" t="n">
        <v>1615.16</v>
      </c>
      <c r="H82" t="inlineStr">
        <is>
          <t>entry</t>
        </is>
      </c>
      <c r="I82" t="inlineStr"/>
      <c r="J82" t="inlineStr">
        <is>
          <t>G00645</t>
        </is>
      </c>
      <c r="K82" t="str">
        <f>INDEX('Match Groups'!$D$5:$D$1326,MATCH(J82,'Match Groups'!$A$5:$A$1326,0))</f>
        <v>MATCH</v>
      </c>
    </row>
    <row r="83">
      <c r="A83" t="inlineStr">
        <is>
          <t>JI-04037</t>
        </is>
      </c>
      <c r="B83" t="inlineStr">
        <is>
          <t>MER</t>
        </is>
      </c>
      <c r="C83" s="5" t="n">
        <v>46224</v>
      </c>
      <c r="D83" t="inlineStr">
        <is>
          <t>Frankston clinic takings</t>
        </is>
      </c>
      <c r="E83" t="inlineStr">
        <is>
          <t>POS T404 210726</t>
        </is>
      </c>
      <c r="F83" t="inlineStr">
        <is>
          <t>Daily card takings Frankston 21/07</t>
        </is>
      </c>
      <c r="G83" s="9" t="n">
        <v>2140.54</v>
      </c>
      <c r="H83" t="inlineStr">
        <is>
          <t>entry</t>
        </is>
      </c>
      <c r="I83" t="inlineStr"/>
      <c r="J83" t="inlineStr">
        <is>
          <t>G00646</t>
        </is>
      </c>
      <c r="K83" t="str">
        <f>INDEX('Match Groups'!$D$5:$D$1326,MATCH(J83,'Match Groups'!$A$5:$A$1326,0))</f>
        <v>MATCH</v>
      </c>
    </row>
    <row r="84">
      <c r="A84" t="inlineStr">
        <is>
          <t>JI-04038</t>
        </is>
      </c>
      <c r="B84" t="inlineStr">
        <is>
          <t>MER</t>
        </is>
      </c>
      <c r="C84" s="5" t="n">
        <v>46225</v>
      </c>
      <c r="D84" t="inlineStr">
        <is>
          <t>Carlton clinic takings</t>
        </is>
      </c>
      <c r="E84" t="inlineStr">
        <is>
          <t>POS T401 220726</t>
        </is>
      </c>
      <c r="F84" t="inlineStr">
        <is>
          <t>Daily card takings Carlton 22/07</t>
        </is>
      </c>
      <c r="G84" s="9" t="n">
        <v>1482.93</v>
      </c>
      <c r="H84" t="inlineStr">
        <is>
          <t>entry</t>
        </is>
      </c>
      <c r="I84" t="inlineStr"/>
      <c r="J84" t="inlineStr">
        <is>
          <t>G00647</t>
        </is>
      </c>
      <c r="K84" t="str">
        <f>INDEX('Match Groups'!$D$5:$D$1326,MATCH(J84,'Match Groups'!$A$5:$A$1326,0))</f>
        <v>MATCH</v>
      </c>
    </row>
    <row r="85">
      <c r="A85" t="inlineStr">
        <is>
          <t>JI-04039</t>
        </is>
      </c>
      <c r="B85" t="inlineStr">
        <is>
          <t>MER</t>
        </is>
      </c>
      <c r="C85" s="5" t="n">
        <v>46225</v>
      </c>
      <c r="D85" t="inlineStr">
        <is>
          <t>Footscray clinic takings</t>
        </is>
      </c>
      <c r="E85" t="inlineStr">
        <is>
          <t>POS T402 220726</t>
        </is>
      </c>
      <c r="F85" t="inlineStr">
        <is>
          <t>Daily card takings Footscray 22/07</t>
        </is>
      </c>
      <c r="G85" s="9" t="n">
        <v>1435.65</v>
      </c>
      <c r="H85" t="inlineStr">
        <is>
          <t>entry</t>
        </is>
      </c>
      <c r="I85" t="inlineStr"/>
      <c r="J85" t="inlineStr">
        <is>
          <t>G00648</t>
        </is>
      </c>
      <c r="K85" t="str">
        <f>INDEX('Match Groups'!$D$5:$D$1326,MATCH(J85,'Match Groups'!$A$5:$A$1326,0))</f>
        <v>MATCH</v>
      </c>
    </row>
    <row r="86">
      <c r="A86" t="inlineStr">
        <is>
          <t>JI-04040</t>
        </is>
      </c>
      <c r="B86" t="inlineStr">
        <is>
          <t>MER</t>
        </is>
      </c>
      <c r="C86" s="5" t="n">
        <v>46225</v>
      </c>
      <c r="D86" t="inlineStr">
        <is>
          <t>Box Hill clinic takings</t>
        </is>
      </c>
      <c r="E86" t="inlineStr">
        <is>
          <t>POS T403 220726</t>
        </is>
      </c>
      <c r="F86" t="inlineStr">
        <is>
          <t>Daily card takings Box Hill 22/07</t>
        </is>
      </c>
      <c r="G86" s="9" t="n">
        <v>2858.87</v>
      </c>
      <c r="H86" t="inlineStr">
        <is>
          <t>entry</t>
        </is>
      </c>
      <c r="I86" t="inlineStr"/>
      <c r="J86" t="inlineStr">
        <is>
          <t>G00649</t>
        </is>
      </c>
      <c r="K86" t="str">
        <f>INDEX('Match Groups'!$D$5:$D$1326,MATCH(J86,'Match Groups'!$A$5:$A$1326,0))</f>
        <v>MATCH</v>
      </c>
    </row>
    <row r="87">
      <c r="A87" t="inlineStr">
        <is>
          <t>JI-04041</t>
        </is>
      </c>
      <c r="B87" t="inlineStr">
        <is>
          <t>MER</t>
        </is>
      </c>
      <c r="C87" s="5" t="n">
        <v>46225</v>
      </c>
      <c r="D87" t="inlineStr">
        <is>
          <t>Frankston clinic takings</t>
        </is>
      </c>
      <c r="E87" t="inlineStr">
        <is>
          <t>POS T404 220726</t>
        </is>
      </c>
      <c r="F87" t="inlineStr">
        <is>
          <t>Daily card takings Frankston 22/07</t>
        </is>
      </c>
      <c r="G87" s="9" t="n">
        <v>3201.23</v>
      </c>
      <c r="H87" t="inlineStr">
        <is>
          <t>entry</t>
        </is>
      </c>
      <c r="I87" t="inlineStr"/>
      <c r="J87" t="inlineStr">
        <is>
          <t>G00650</t>
        </is>
      </c>
      <c r="K87" t="str">
        <f>INDEX('Match Groups'!$D$5:$D$1326,MATCH(J87,'Match Groups'!$A$5:$A$1326,0))</f>
        <v>MATCH</v>
      </c>
    </row>
    <row r="88">
      <c r="A88" t="inlineStr">
        <is>
          <t>JI-04042</t>
        </is>
      </c>
      <c r="B88" t="inlineStr">
        <is>
          <t>MER</t>
        </is>
      </c>
      <c r="C88" s="5" t="n">
        <v>46226</v>
      </c>
      <c r="D88" t="inlineStr">
        <is>
          <t>Carlton clinic takings</t>
        </is>
      </c>
      <c r="E88" t="inlineStr">
        <is>
          <t>POS T401 230726</t>
        </is>
      </c>
      <c r="F88" t="inlineStr">
        <is>
          <t>Daily card takings Carlton 23/07</t>
        </is>
      </c>
      <c r="G88" s="9" t="n">
        <v>1712.99</v>
      </c>
      <c r="H88" t="inlineStr">
        <is>
          <t>entry</t>
        </is>
      </c>
      <c r="I88" t="inlineStr"/>
      <c r="J88" t="inlineStr">
        <is>
          <t>G00651</t>
        </is>
      </c>
      <c r="K88" t="str">
        <f>INDEX('Match Groups'!$D$5:$D$1326,MATCH(J88,'Match Groups'!$A$5:$A$1326,0))</f>
        <v>MATCH</v>
      </c>
    </row>
    <row r="89">
      <c r="A89" t="inlineStr">
        <is>
          <t>JI-04043</t>
        </is>
      </c>
      <c r="B89" t="inlineStr">
        <is>
          <t>MER</t>
        </is>
      </c>
      <c r="C89" s="5" t="n">
        <v>46226</v>
      </c>
      <c r="D89" t="inlineStr">
        <is>
          <t>Footscray clinic takings</t>
        </is>
      </c>
      <c r="E89" t="inlineStr">
        <is>
          <t>POS T402 230726</t>
        </is>
      </c>
      <c r="F89" t="inlineStr">
        <is>
          <t>Daily card takings Footscray 23/07</t>
        </is>
      </c>
      <c r="G89" s="9" t="n">
        <v>3496.74</v>
      </c>
      <c r="H89" t="inlineStr">
        <is>
          <t>entry</t>
        </is>
      </c>
      <c r="I89" t="inlineStr"/>
      <c r="J89" t="inlineStr">
        <is>
          <t>G00652</t>
        </is>
      </c>
      <c r="K89" t="str">
        <f>INDEX('Match Groups'!$D$5:$D$1326,MATCH(J89,'Match Groups'!$A$5:$A$1326,0))</f>
        <v>MATCH</v>
      </c>
    </row>
    <row r="90">
      <c r="A90" t="inlineStr">
        <is>
          <t>JI-04044</t>
        </is>
      </c>
      <c r="B90" t="inlineStr">
        <is>
          <t>MER</t>
        </is>
      </c>
      <c r="C90" s="5" t="n">
        <v>46226</v>
      </c>
      <c r="D90" t="inlineStr">
        <is>
          <t>Box Hill clinic takings</t>
        </is>
      </c>
      <c r="E90" t="inlineStr">
        <is>
          <t>POS T403 230726</t>
        </is>
      </c>
      <c r="F90" t="inlineStr">
        <is>
          <t>Daily card takings Box Hill 23/07</t>
        </is>
      </c>
      <c r="G90" s="9" t="n">
        <v>3547.96</v>
      </c>
      <c r="H90" t="inlineStr">
        <is>
          <t>entry</t>
        </is>
      </c>
      <c r="I90" t="inlineStr"/>
      <c r="J90" t="inlineStr">
        <is>
          <t>G00653</t>
        </is>
      </c>
      <c r="K90" t="str">
        <f>INDEX('Match Groups'!$D$5:$D$1326,MATCH(J90,'Match Groups'!$A$5:$A$1326,0))</f>
        <v>MATCH</v>
      </c>
    </row>
    <row r="91">
      <c r="A91" t="inlineStr">
        <is>
          <t>JI-04045</t>
        </is>
      </c>
      <c r="B91" t="inlineStr">
        <is>
          <t>MER</t>
        </is>
      </c>
      <c r="C91" s="5" t="n">
        <v>46226</v>
      </c>
      <c r="D91" t="inlineStr">
        <is>
          <t>Frankston clinic takings</t>
        </is>
      </c>
      <c r="E91" t="inlineStr">
        <is>
          <t>POS T404 230726</t>
        </is>
      </c>
      <c r="F91" t="inlineStr">
        <is>
          <t>Daily card takings Frankston 23/07</t>
        </is>
      </c>
      <c r="G91" s="9" t="n">
        <v>2507.81</v>
      </c>
      <c r="H91" t="inlineStr">
        <is>
          <t>entry</t>
        </is>
      </c>
      <c r="I91" t="inlineStr"/>
      <c r="J91" t="inlineStr">
        <is>
          <t>G00654</t>
        </is>
      </c>
      <c r="K91" t="str">
        <f>INDEX('Match Groups'!$D$5:$D$1326,MATCH(J91,'Match Groups'!$A$5:$A$1326,0))</f>
        <v>MATCH</v>
      </c>
    </row>
    <row r="92">
      <c r="A92" t="inlineStr">
        <is>
          <t>JI-04046</t>
        </is>
      </c>
      <c r="B92" t="inlineStr">
        <is>
          <t>MER</t>
        </is>
      </c>
      <c r="C92" s="5" t="n">
        <v>46227</v>
      </c>
      <c r="D92" t="inlineStr">
        <is>
          <t>Carlton clinic takings</t>
        </is>
      </c>
      <c r="E92" t="inlineStr">
        <is>
          <t>POS T401 240726</t>
        </is>
      </c>
      <c r="F92" t="inlineStr">
        <is>
          <t>Daily card takings Carlton 24/07</t>
        </is>
      </c>
      <c r="G92" s="9" t="n">
        <v>3165.84</v>
      </c>
      <c r="H92" t="inlineStr">
        <is>
          <t>entry</t>
        </is>
      </c>
      <c r="I92" t="inlineStr"/>
      <c r="J92" t="inlineStr">
        <is>
          <t>G00655</t>
        </is>
      </c>
      <c r="K92" t="str">
        <f>INDEX('Match Groups'!$D$5:$D$1326,MATCH(J92,'Match Groups'!$A$5:$A$1326,0))</f>
        <v>MATCH</v>
      </c>
    </row>
    <row r="93">
      <c r="A93" t="inlineStr">
        <is>
          <t>JI-04047</t>
        </is>
      </c>
      <c r="B93" t="inlineStr">
        <is>
          <t>MER</t>
        </is>
      </c>
      <c r="C93" s="5" t="n">
        <v>46227</v>
      </c>
      <c r="D93" t="inlineStr">
        <is>
          <t>Footscray clinic takings</t>
        </is>
      </c>
      <c r="E93" t="inlineStr">
        <is>
          <t>POS T402 240726</t>
        </is>
      </c>
      <c r="F93" t="inlineStr">
        <is>
          <t>Daily card takings Footscray 24/07</t>
        </is>
      </c>
      <c r="G93" s="9" t="n">
        <v>2513.78</v>
      </c>
      <c r="H93" t="inlineStr">
        <is>
          <t>entry</t>
        </is>
      </c>
      <c r="I93" t="inlineStr"/>
      <c r="J93" t="inlineStr">
        <is>
          <t>G00656</t>
        </is>
      </c>
      <c r="K93" t="str">
        <f>INDEX('Match Groups'!$D$5:$D$1326,MATCH(J93,'Match Groups'!$A$5:$A$1326,0))</f>
        <v>MATCH</v>
      </c>
    </row>
    <row r="94">
      <c r="A94" t="inlineStr">
        <is>
          <t>JI-04048</t>
        </is>
      </c>
      <c r="B94" t="inlineStr">
        <is>
          <t>MER</t>
        </is>
      </c>
      <c r="C94" s="5" t="n">
        <v>46227</v>
      </c>
      <c r="D94" t="inlineStr">
        <is>
          <t>Box Hill clinic takings</t>
        </is>
      </c>
      <c r="E94" t="inlineStr">
        <is>
          <t>POS T403 240726</t>
        </is>
      </c>
      <c r="F94" t="inlineStr">
        <is>
          <t>Daily card takings Box Hill 24/07</t>
        </is>
      </c>
      <c r="G94" s="9" t="n">
        <v>1583.14</v>
      </c>
      <c r="H94" t="inlineStr">
        <is>
          <t>entry</t>
        </is>
      </c>
      <c r="I94" t="inlineStr"/>
      <c r="J94" t="inlineStr">
        <is>
          <t>G00657</t>
        </is>
      </c>
      <c r="K94" t="str">
        <f>INDEX('Match Groups'!$D$5:$D$1326,MATCH(J94,'Match Groups'!$A$5:$A$1326,0))</f>
        <v>MATCH</v>
      </c>
    </row>
    <row r="95">
      <c r="A95" t="inlineStr">
        <is>
          <t>JI-04049</t>
        </is>
      </c>
      <c r="B95" t="inlineStr">
        <is>
          <t>MER</t>
        </is>
      </c>
      <c r="C95" s="5" t="n">
        <v>46227</v>
      </c>
      <c r="D95" t="inlineStr">
        <is>
          <t>Frankston clinic takings</t>
        </is>
      </c>
      <c r="E95" t="inlineStr">
        <is>
          <t>POS T404 240726</t>
        </is>
      </c>
      <c r="F95" t="inlineStr">
        <is>
          <t>Daily card takings Frankston 24/07</t>
        </is>
      </c>
      <c r="G95" s="9" t="n">
        <v>1305.8</v>
      </c>
      <c r="H95" t="inlineStr">
        <is>
          <t>entry</t>
        </is>
      </c>
      <c r="I95" t="inlineStr"/>
      <c r="J95" t="inlineStr">
        <is>
          <t>G00658</t>
        </is>
      </c>
      <c r="K95" t="str">
        <f>INDEX('Match Groups'!$D$5:$D$1326,MATCH(J95,'Match Groups'!$A$5:$A$1326,0))</f>
        <v>MATCH</v>
      </c>
    </row>
    <row r="96">
      <c r="A96" t="inlineStr">
        <is>
          <t>JI-04050</t>
        </is>
      </c>
      <c r="B96" t="inlineStr">
        <is>
          <t>MER</t>
        </is>
      </c>
      <c r="C96" s="5" t="n">
        <v>46228</v>
      </c>
      <c r="D96" t="inlineStr">
        <is>
          <t>Carlton clinic takings</t>
        </is>
      </c>
      <c r="E96" t="inlineStr">
        <is>
          <t>POS T401 250726</t>
        </is>
      </c>
      <c r="F96" t="inlineStr">
        <is>
          <t>Daily card takings Carlton 25/07</t>
        </is>
      </c>
      <c r="G96" s="9" t="n">
        <v>525.47</v>
      </c>
      <c r="H96" t="inlineStr">
        <is>
          <t>entry</t>
        </is>
      </c>
      <c r="I96" t="inlineStr"/>
      <c r="J96" t="inlineStr">
        <is>
          <t>G00659</t>
        </is>
      </c>
      <c r="K96" t="str">
        <f>INDEX('Match Groups'!$D$5:$D$1326,MATCH(J96,'Match Groups'!$A$5:$A$1326,0))</f>
        <v>MATCH</v>
      </c>
    </row>
    <row r="97">
      <c r="A97" t="inlineStr">
        <is>
          <t>JI-04051</t>
        </is>
      </c>
      <c r="B97" t="inlineStr">
        <is>
          <t>MER</t>
        </is>
      </c>
      <c r="C97" s="5" t="n">
        <v>46228</v>
      </c>
      <c r="D97" t="inlineStr">
        <is>
          <t>Footscray clinic takings</t>
        </is>
      </c>
      <c r="E97" t="inlineStr">
        <is>
          <t>POS T402 250726</t>
        </is>
      </c>
      <c r="F97" t="inlineStr">
        <is>
          <t>Daily card takings Footscray 25/07</t>
        </is>
      </c>
      <c r="G97" s="9" t="n">
        <v>606.76</v>
      </c>
      <c r="H97" t="inlineStr">
        <is>
          <t>entry</t>
        </is>
      </c>
      <c r="I97" t="inlineStr"/>
      <c r="J97" t="inlineStr">
        <is>
          <t>G00660</t>
        </is>
      </c>
      <c r="K97" t="str">
        <f>INDEX('Match Groups'!$D$5:$D$1326,MATCH(J97,'Match Groups'!$A$5:$A$1326,0))</f>
        <v>MATCH</v>
      </c>
    </row>
    <row r="98">
      <c r="A98" t="inlineStr">
        <is>
          <t>JI-04052</t>
        </is>
      </c>
      <c r="B98" t="inlineStr">
        <is>
          <t>MER</t>
        </is>
      </c>
      <c r="C98" s="5" t="n">
        <v>46228</v>
      </c>
      <c r="D98" t="inlineStr">
        <is>
          <t>Box Hill clinic takings</t>
        </is>
      </c>
      <c r="E98" t="inlineStr">
        <is>
          <t>POS T403 250726</t>
        </is>
      </c>
      <c r="F98" t="inlineStr">
        <is>
          <t>Daily card takings Box Hill 25/07</t>
        </is>
      </c>
      <c r="G98" s="9" t="n">
        <v>837.33</v>
      </c>
      <c r="H98" t="inlineStr">
        <is>
          <t>entry</t>
        </is>
      </c>
      <c r="I98" t="inlineStr"/>
      <c r="J98" t="inlineStr">
        <is>
          <t>G00661</t>
        </is>
      </c>
      <c r="K98" t="str">
        <f>INDEX('Match Groups'!$D$5:$D$1326,MATCH(J98,'Match Groups'!$A$5:$A$1326,0))</f>
        <v>MATCH</v>
      </c>
    </row>
    <row r="99">
      <c r="A99" t="inlineStr">
        <is>
          <t>JI-04053</t>
        </is>
      </c>
      <c r="B99" t="inlineStr">
        <is>
          <t>MER</t>
        </is>
      </c>
      <c r="C99" s="5" t="n">
        <v>46228</v>
      </c>
      <c r="D99" t="inlineStr">
        <is>
          <t>Frankston clinic takings</t>
        </is>
      </c>
      <c r="E99" t="inlineStr">
        <is>
          <t>POS T404 250726</t>
        </is>
      </c>
      <c r="F99" t="inlineStr">
        <is>
          <t>Daily card takings Frankston 25/07</t>
        </is>
      </c>
      <c r="G99" s="9" t="n">
        <v>444.16</v>
      </c>
      <c r="H99" t="inlineStr">
        <is>
          <t>entry</t>
        </is>
      </c>
      <c r="I99" t="inlineStr"/>
      <c r="J99" t="inlineStr">
        <is>
          <t>G00662</t>
        </is>
      </c>
      <c r="K99" t="str">
        <f>INDEX('Match Groups'!$D$5:$D$1326,MATCH(J99,'Match Groups'!$A$5:$A$1326,0))</f>
        <v>MATCH</v>
      </c>
    </row>
    <row r="100">
      <c r="A100" t="inlineStr">
        <is>
          <t>JI-04054</t>
        </is>
      </c>
      <c r="B100" t="inlineStr">
        <is>
          <t>MER</t>
        </is>
      </c>
      <c r="C100" s="5" t="n">
        <v>46230</v>
      </c>
      <c r="D100" t="inlineStr">
        <is>
          <t>Carlton clinic takings</t>
        </is>
      </c>
      <c r="E100" t="inlineStr">
        <is>
          <t>POS T401 270726</t>
        </is>
      </c>
      <c r="F100" t="inlineStr">
        <is>
          <t>Daily card takings Carlton 27/07</t>
        </is>
      </c>
      <c r="G100" s="9" t="n">
        <v>1671.44</v>
      </c>
      <c r="H100" t="inlineStr">
        <is>
          <t>entry</t>
        </is>
      </c>
      <c r="I100" t="inlineStr"/>
      <c r="J100" t="inlineStr">
        <is>
          <t>G00664</t>
        </is>
      </c>
      <c r="K100" t="str">
        <f>INDEX('Match Groups'!$D$5:$D$1326,MATCH(J100,'Match Groups'!$A$5:$A$1326,0))</f>
        <v>MATCH</v>
      </c>
    </row>
    <row r="101">
      <c r="A101" t="inlineStr">
        <is>
          <t>JI-04055</t>
        </is>
      </c>
      <c r="B101" t="inlineStr">
        <is>
          <t>MER</t>
        </is>
      </c>
      <c r="C101" s="5" t="n">
        <v>46230</v>
      </c>
      <c r="D101" t="inlineStr">
        <is>
          <t>Footscray clinic takings</t>
        </is>
      </c>
      <c r="E101" t="inlineStr">
        <is>
          <t>POS T402 270726</t>
        </is>
      </c>
      <c r="F101" t="inlineStr">
        <is>
          <t>Daily card takings Footscray 27/07</t>
        </is>
      </c>
      <c r="G101" s="9" t="n">
        <v>2722.21</v>
      </c>
      <c r="H101" t="inlineStr">
        <is>
          <t>entry</t>
        </is>
      </c>
      <c r="I101" t="inlineStr"/>
      <c r="J101" t="inlineStr">
        <is>
          <t>G00665</t>
        </is>
      </c>
      <c r="K101" t="str">
        <f>INDEX('Match Groups'!$D$5:$D$1326,MATCH(J101,'Match Groups'!$A$5:$A$1326,0))</f>
        <v>MATCH</v>
      </c>
    </row>
    <row r="102">
      <c r="A102" t="inlineStr">
        <is>
          <t>JI-04056</t>
        </is>
      </c>
      <c r="B102" t="inlineStr">
        <is>
          <t>MER</t>
        </is>
      </c>
      <c r="C102" s="5" t="n">
        <v>46230</v>
      </c>
      <c r="D102" t="inlineStr">
        <is>
          <t>Box Hill clinic takings</t>
        </is>
      </c>
      <c r="E102" t="inlineStr">
        <is>
          <t>POS T403 270726</t>
        </is>
      </c>
      <c r="F102" t="inlineStr">
        <is>
          <t>Daily card takings Box Hill 27/07</t>
        </is>
      </c>
      <c r="G102" s="9" t="n">
        <v>1678.29</v>
      </c>
      <c r="H102" t="inlineStr">
        <is>
          <t>entry</t>
        </is>
      </c>
      <c r="I102" t="inlineStr"/>
      <c r="J102" t="inlineStr">
        <is>
          <t>G00666</t>
        </is>
      </c>
      <c r="K102" t="str">
        <f>INDEX('Match Groups'!$D$5:$D$1326,MATCH(J102,'Match Groups'!$A$5:$A$1326,0))</f>
        <v>MATCH</v>
      </c>
    </row>
    <row r="103">
      <c r="A103" t="inlineStr">
        <is>
          <t>JI-04057</t>
        </is>
      </c>
      <c r="B103" t="inlineStr">
        <is>
          <t>MER</t>
        </is>
      </c>
      <c r="C103" s="5" t="n">
        <v>46230</v>
      </c>
      <c r="D103" t="inlineStr">
        <is>
          <t>Frankston clinic takings</t>
        </is>
      </c>
      <c r="E103" t="inlineStr">
        <is>
          <t>POS T404 270726</t>
        </is>
      </c>
      <c r="F103" t="inlineStr">
        <is>
          <t>Daily card takings Frankston 27/07</t>
        </is>
      </c>
      <c r="G103" s="9" t="n">
        <v>3412.55</v>
      </c>
      <c r="H103" t="inlineStr">
        <is>
          <t>entry</t>
        </is>
      </c>
      <c r="I103" t="inlineStr"/>
      <c r="J103" t="inlineStr">
        <is>
          <t>G00667</t>
        </is>
      </c>
      <c r="K103" t="str">
        <f>INDEX('Match Groups'!$D$5:$D$1326,MATCH(J103,'Match Groups'!$A$5:$A$1326,0))</f>
        <v>MATCH</v>
      </c>
    </row>
    <row r="104">
      <c r="A104" t="inlineStr">
        <is>
          <t>JI-04288</t>
        </is>
      </c>
      <c r="B104" t="inlineStr">
        <is>
          <t>MER</t>
        </is>
      </c>
      <c r="C104" s="5" t="n">
        <v>46230</v>
      </c>
      <c r="D104" t="inlineStr">
        <is>
          <t>Internal transfer</t>
        </is>
      </c>
      <c r="E104" t="inlineStr">
        <is>
          <t>SWEEP 2707</t>
        </is>
      </c>
      <c r="F104" t="inlineStr">
        <is>
          <t>Sweep to operating</t>
        </is>
      </c>
      <c r="G104" s="9" t="n">
        <v>-34000</v>
      </c>
      <c r="H104" t="inlineStr">
        <is>
          <t>transfer</t>
        </is>
      </c>
      <c r="I104" t="inlineStr"/>
      <c r="J104" t="inlineStr">
        <is>
          <t>G00663</t>
        </is>
      </c>
      <c r="K104" t="str">
        <f>INDEX('Match Groups'!$D$5:$D$1326,MATCH(J104,'Match Groups'!$A$5:$A$1326,0))</f>
        <v>MATCH</v>
      </c>
    </row>
    <row r="105">
      <c r="A105" t="inlineStr">
        <is>
          <t>JI-04058</t>
        </is>
      </c>
      <c r="B105" t="inlineStr">
        <is>
          <t>MER</t>
        </is>
      </c>
      <c r="C105" s="5" t="n">
        <v>46231</v>
      </c>
      <c r="D105" t="inlineStr">
        <is>
          <t>Carlton clinic takings</t>
        </is>
      </c>
      <c r="E105" t="inlineStr">
        <is>
          <t>POS T401 280726</t>
        </is>
      </c>
      <c r="F105" t="inlineStr">
        <is>
          <t>Daily card takings Carlton 28/07</t>
        </is>
      </c>
      <c r="G105" s="9" t="n">
        <v>1715.32</v>
      </c>
      <c r="H105" t="inlineStr">
        <is>
          <t>entry</t>
        </is>
      </c>
      <c r="I105" t="inlineStr"/>
      <c r="J105" t="inlineStr">
        <is>
          <t>G00668</t>
        </is>
      </c>
      <c r="K105" t="str">
        <f>INDEX('Match Groups'!$D$5:$D$1326,MATCH(J105,'Match Groups'!$A$5:$A$1326,0))</f>
        <v>MATCH</v>
      </c>
    </row>
    <row r="106">
      <c r="A106" t="inlineStr">
        <is>
          <t>JI-04059</t>
        </is>
      </c>
      <c r="B106" t="inlineStr">
        <is>
          <t>MER</t>
        </is>
      </c>
      <c r="C106" s="5" t="n">
        <v>46231</v>
      </c>
      <c r="D106" t="inlineStr">
        <is>
          <t>Footscray clinic takings</t>
        </is>
      </c>
      <c r="E106" t="inlineStr">
        <is>
          <t>POS T402 280726</t>
        </is>
      </c>
      <c r="F106" t="inlineStr">
        <is>
          <t>Daily card takings Footscray 28/07</t>
        </is>
      </c>
      <c r="G106" s="9" t="n">
        <v>2856.12</v>
      </c>
      <c r="H106" t="inlineStr">
        <is>
          <t>entry</t>
        </is>
      </c>
      <c r="I106" t="inlineStr"/>
      <c r="J106" t="inlineStr">
        <is>
          <t>G00669</t>
        </is>
      </c>
      <c r="K106" t="str">
        <f>INDEX('Match Groups'!$D$5:$D$1326,MATCH(J106,'Match Groups'!$A$5:$A$1326,0))</f>
        <v>MATCH</v>
      </c>
    </row>
    <row r="107">
      <c r="A107" t="inlineStr">
        <is>
          <t>JI-04060</t>
        </is>
      </c>
      <c r="B107" t="inlineStr">
        <is>
          <t>MER</t>
        </is>
      </c>
      <c r="C107" s="5" t="n">
        <v>46231</v>
      </c>
      <c r="D107" t="inlineStr">
        <is>
          <t>Box Hill clinic takings</t>
        </is>
      </c>
      <c r="E107" t="inlineStr">
        <is>
          <t>POS T403 280726</t>
        </is>
      </c>
      <c r="F107" t="inlineStr">
        <is>
          <t>Daily card takings Box Hill 28/07</t>
        </is>
      </c>
      <c r="G107" s="9" t="n">
        <v>1023.38</v>
      </c>
      <c r="H107" t="inlineStr">
        <is>
          <t>entry</t>
        </is>
      </c>
      <c r="I107" t="inlineStr"/>
      <c r="J107" t="inlineStr">
        <is>
          <t>G00670</t>
        </is>
      </c>
      <c r="K107" t="str">
        <f>INDEX('Match Groups'!$D$5:$D$1326,MATCH(J107,'Match Groups'!$A$5:$A$1326,0))</f>
        <v>MATCH</v>
      </c>
    </row>
    <row r="108">
      <c r="A108" t="inlineStr">
        <is>
          <t>JI-04061</t>
        </is>
      </c>
      <c r="B108" t="inlineStr">
        <is>
          <t>MER</t>
        </is>
      </c>
      <c r="C108" s="5" t="n">
        <v>46231</v>
      </c>
      <c r="D108" t="inlineStr">
        <is>
          <t>Frankston clinic takings</t>
        </is>
      </c>
      <c r="E108" t="inlineStr">
        <is>
          <t>POS T404 280726</t>
        </is>
      </c>
      <c r="F108" t="inlineStr">
        <is>
          <t>Daily card takings Frankston 28/07</t>
        </is>
      </c>
      <c r="G108" s="9" t="n">
        <v>2730.12</v>
      </c>
      <c r="H108" t="inlineStr">
        <is>
          <t>entry</t>
        </is>
      </c>
      <c r="I108" t="inlineStr"/>
      <c r="J108" t="inlineStr">
        <is>
          <t>G00671</t>
        </is>
      </c>
      <c r="K108" t="str">
        <f>INDEX('Match Groups'!$D$5:$D$1326,MATCH(J108,'Match Groups'!$A$5:$A$1326,0))</f>
        <v>MATCH</v>
      </c>
    </row>
    <row r="109">
      <c r="A109" t="inlineStr">
        <is>
          <t>JI-04062</t>
        </is>
      </c>
      <c r="B109" t="inlineStr">
        <is>
          <t>MER</t>
        </is>
      </c>
      <c r="C109" s="5" t="n">
        <v>46232</v>
      </c>
      <c r="D109" t="inlineStr">
        <is>
          <t>Carlton clinic takings</t>
        </is>
      </c>
      <c r="E109" t="inlineStr">
        <is>
          <t>POS T401 290726</t>
        </is>
      </c>
      <c r="F109" t="inlineStr">
        <is>
          <t>Daily card takings Carlton 29/07</t>
        </is>
      </c>
      <c r="G109" s="9" t="n">
        <v>1547.87</v>
      </c>
      <c r="H109" t="inlineStr">
        <is>
          <t>entry</t>
        </is>
      </c>
      <c r="I109" t="inlineStr"/>
      <c r="J109" t="inlineStr">
        <is>
          <t>G00672</t>
        </is>
      </c>
      <c r="K109" t="str">
        <f>INDEX('Match Groups'!$D$5:$D$1326,MATCH(J109,'Match Groups'!$A$5:$A$1326,0))</f>
        <v>MATCH</v>
      </c>
    </row>
    <row r="110">
      <c r="A110" t="inlineStr">
        <is>
          <t>JI-04063</t>
        </is>
      </c>
      <c r="B110" t="inlineStr">
        <is>
          <t>MER</t>
        </is>
      </c>
      <c r="C110" s="5" t="n">
        <v>46232</v>
      </c>
      <c r="D110" t="inlineStr">
        <is>
          <t>Footscray clinic takings</t>
        </is>
      </c>
      <c r="E110" t="inlineStr">
        <is>
          <t>POS T402 290726</t>
        </is>
      </c>
      <c r="F110" t="inlineStr">
        <is>
          <t>Daily card takings Footscray 29/07</t>
        </is>
      </c>
      <c r="G110" s="9" t="n">
        <v>2742.9</v>
      </c>
      <c r="H110" t="inlineStr">
        <is>
          <t>entry</t>
        </is>
      </c>
      <c r="I110" t="inlineStr"/>
      <c r="J110" t="inlineStr">
        <is>
          <t>G00673</t>
        </is>
      </c>
      <c r="K110" t="str">
        <f>INDEX('Match Groups'!$D$5:$D$1326,MATCH(J110,'Match Groups'!$A$5:$A$1326,0))</f>
        <v>MATCH</v>
      </c>
    </row>
    <row r="111">
      <c r="A111" t="inlineStr">
        <is>
          <t>JI-04064</t>
        </is>
      </c>
      <c r="B111" t="inlineStr">
        <is>
          <t>MER</t>
        </is>
      </c>
      <c r="C111" s="5" t="n">
        <v>46232</v>
      </c>
      <c r="D111" t="inlineStr">
        <is>
          <t>Box Hill clinic takings</t>
        </is>
      </c>
      <c r="E111" t="inlineStr">
        <is>
          <t>POS T403 290726</t>
        </is>
      </c>
      <c r="F111" t="inlineStr">
        <is>
          <t>Daily card takings Box Hill 29/07</t>
        </is>
      </c>
      <c r="G111" s="9" t="n">
        <v>2446.62</v>
      </c>
      <c r="H111" t="inlineStr">
        <is>
          <t>entry</t>
        </is>
      </c>
      <c r="I111" t="inlineStr"/>
      <c r="J111" t="inlineStr">
        <is>
          <t>G00674</t>
        </is>
      </c>
      <c r="K111" t="str">
        <f>INDEX('Match Groups'!$D$5:$D$1326,MATCH(J111,'Match Groups'!$A$5:$A$1326,0))</f>
        <v>MATCH</v>
      </c>
    </row>
    <row r="112">
      <c r="A112" t="inlineStr">
        <is>
          <t>JI-04065</t>
        </is>
      </c>
      <c r="B112" t="inlineStr">
        <is>
          <t>MER</t>
        </is>
      </c>
      <c r="C112" s="5" t="n">
        <v>46232</v>
      </c>
      <c r="D112" t="inlineStr">
        <is>
          <t>Frankston clinic takings</t>
        </is>
      </c>
      <c r="E112" t="inlineStr">
        <is>
          <t>POS T404 290726</t>
        </is>
      </c>
      <c r="F112" t="inlineStr">
        <is>
          <t>Daily card takings Frankston 29/07</t>
        </is>
      </c>
      <c r="G112" s="9" t="n">
        <v>2798.45</v>
      </c>
      <c r="H112" t="inlineStr">
        <is>
          <t>entry</t>
        </is>
      </c>
      <c r="I112" t="inlineStr"/>
      <c r="J112" t="inlineStr">
        <is>
          <t>G00675</t>
        </is>
      </c>
      <c r="K112" t="str">
        <f>INDEX('Match Groups'!$D$5:$D$1326,MATCH(J112,'Match Groups'!$A$5:$A$1326,0))</f>
        <v>MATCH</v>
      </c>
    </row>
    <row r="113">
      <c r="A113" t="inlineStr">
        <is>
          <t>JI-04066</t>
        </is>
      </c>
      <c r="B113" t="inlineStr">
        <is>
          <t>MER</t>
        </is>
      </c>
      <c r="C113" s="5" t="n">
        <v>46233</v>
      </c>
      <c r="D113" t="inlineStr">
        <is>
          <t>Carlton clinic takings</t>
        </is>
      </c>
      <c r="E113" t="inlineStr">
        <is>
          <t>POS T401 300726</t>
        </is>
      </c>
      <c r="F113" t="inlineStr">
        <is>
          <t>Daily card takings Carlton 30/07</t>
        </is>
      </c>
      <c r="G113" s="9" t="n">
        <v>3367.47</v>
      </c>
      <c r="H113" t="inlineStr">
        <is>
          <t>entry</t>
        </is>
      </c>
      <c r="I113" t="inlineStr"/>
      <c r="J113" t="inlineStr">
        <is>
          <t>G00676</t>
        </is>
      </c>
      <c r="K113" t="str">
        <f>INDEX('Match Groups'!$D$5:$D$1326,MATCH(J113,'Match Groups'!$A$5:$A$1326,0))</f>
        <v>MATCH</v>
      </c>
    </row>
    <row r="114">
      <c r="A114" t="inlineStr">
        <is>
          <t>JI-04067</t>
        </is>
      </c>
      <c r="B114" t="inlineStr">
        <is>
          <t>MER</t>
        </is>
      </c>
      <c r="C114" s="5" t="n">
        <v>46233</v>
      </c>
      <c r="D114" t="inlineStr">
        <is>
          <t>Footscray clinic takings</t>
        </is>
      </c>
      <c r="E114" t="inlineStr">
        <is>
          <t>POS T402 300726</t>
        </is>
      </c>
      <c r="F114" t="inlineStr">
        <is>
          <t>Daily card takings Footscray 30/07</t>
        </is>
      </c>
      <c r="G114" s="9" t="n">
        <v>1809.73</v>
      </c>
      <c r="H114" t="inlineStr">
        <is>
          <t>entry</t>
        </is>
      </c>
      <c r="I114" t="inlineStr"/>
      <c r="J114" t="inlineStr">
        <is>
          <t>G00677</t>
        </is>
      </c>
      <c r="K114" t="str">
        <f>INDEX('Match Groups'!$D$5:$D$1326,MATCH(J114,'Match Groups'!$A$5:$A$1326,0))</f>
        <v>MATCH</v>
      </c>
    </row>
    <row r="115">
      <c r="A115" t="inlineStr">
        <is>
          <t>JI-04068</t>
        </is>
      </c>
      <c r="B115" t="inlineStr">
        <is>
          <t>MER</t>
        </is>
      </c>
      <c r="C115" s="5" t="n">
        <v>46233</v>
      </c>
      <c r="D115" t="inlineStr">
        <is>
          <t>Box Hill clinic takings</t>
        </is>
      </c>
      <c r="E115" t="inlineStr">
        <is>
          <t>POS T403 300726</t>
        </is>
      </c>
      <c r="F115" t="inlineStr">
        <is>
          <t>Daily card takings Box Hill 30/07</t>
        </is>
      </c>
      <c r="G115" s="9" t="n">
        <v>3522.4</v>
      </c>
      <c r="H115" t="inlineStr">
        <is>
          <t>entry</t>
        </is>
      </c>
      <c r="I115" t="inlineStr"/>
      <c r="J115" t="inlineStr">
        <is>
          <t>G00678</t>
        </is>
      </c>
      <c r="K115" t="str">
        <f>INDEX('Match Groups'!$D$5:$D$1326,MATCH(J115,'Match Groups'!$A$5:$A$1326,0))</f>
        <v>MATCH</v>
      </c>
    </row>
    <row r="116">
      <c r="A116" t="inlineStr">
        <is>
          <t>JI-04069</t>
        </is>
      </c>
      <c r="B116" t="inlineStr">
        <is>
          <t>MER</t>
        </is>
      </c>
      <c r="C116" s="5" t="n">
        <v>46233</v>
      </c>
      <c r="D116" t="inlineStr">
        <is>
          <t>Frankston clinic takings</t>
        </is>
      </c>
      <c r="E116" t="inlineStr">
        <is>
          <t>POS T404 300726</t>
        </is>
      </c>
      <c r="F116" t="inlineStr">
        <is>
          <t>Daily card takings Frankston 30/07</t>
        </is>
      </c>
      <c r="G116" s="9" t="n">
        <v>2980.98</v>
      </c>
      <c r="H116" t="inlineStr">
        <is>
          <t>entry</t>
        </is>
      </c>
      <c r="I116" t="inlineStr"/>
      <c r="J116" t="inlineStr">
        <is>
          <t>G00679</t>
        </is>
      </c>
      <c r="K116" t="str">
        <f>INDEX('Match Groups'!$D$5:$D$1326,MATCH(J116,'Match Groups'!$A$5:$A$1326,0))</f>
        <v>MATCH</v>
      </c>
    </row>
    <row r="117">
      <c r="A117" t="inlineStr">
        <is>
          <t>JI-04070</t>
        </is>
      </c>
      <c r="B117" t="inlineStr">
        <is>
          <t>MER</t>
        </is>
      </c>
      <c r="C117" s="5" t="n">
        <v>46234</v>
      </c>
      <c r="D117" t="inlineStr">
        <is>
          <t>Carlton clinic takings</t>
        </is>
      </c>
      <c r="E117" t="inlineStr">
        <is>
          <t>POS T401 310726</t>
        </is>
      </c>
      <c r="F117" t="inlineStr">
        <is>
          <t>Daily card takings Carlton 31/07</t>
        </is>
      </c>
      <c r="G117" s="9" t="n">
        <v>1287.81</v>
      </c>
      <c r="H117" t="inlineStr">
        <is>
          <t>entry</t>
        </is>
      </c>
      <c r="I117" t="inlineStr"/>
      <c r="J117" t="inlineStr">
        <is>
          <t>G00680</t>
        </is>
      </c>
      <c r="K117" t="str">
        <f>INDEX('Match Groups'!$D$5:$D$1326,MATCH(J117,'Match Groups'!$A$5:$A$1326,0))</f>
        <v>MATCH</v>
      </c>
    </row>
    <row r="118">
      <c r="A118" t="inlineStr">
        <is>
          <t>JI-04071</t>
        </is>
      </c>
      <c r="B118" t="inlineStr">
        <is>
          <t>MER</t>
        </is>
      </c>
      <c r="C118" s="5" t="n">
        <v>46234</v>
      </c>
      <c r="D118" t="inlineStr">
        <is>
          <t>Footscray clinic takings</t>
        </is>
      </c>
      <c r="E118" t="inlineStr">
        <is>
          <t>POS T402 310726</t>
        </is>
      </c>
      <c r="F118" t="inlineStr">
        <is>
          <t>Daily card takings Footscray 31/07</t>
        </is>
      </c>
      <c r="G118" s="9" t="n">
        <v>2132.09</v>
      </c>
      <c r="H118" t="inlineStr">
        <is>
          <t>entry</t>
        </is>
      </c>
      <c r="I118" t="inlineStr"/>
      <c r="J118" t="inlineStr">
        <is>
          <t>G00681</t>
        </is>
      </c>
      <c r="K118" t="str">
        <f>INDEX('Match Groups'!$D$5:$D$1326,MATCH(J118,'Match Groups'!$A$5:$A$1326,0))</f>
        <v>MATCH</v>
      </c>
    </row>
    <row r="119">
      <c r="A119" t="inlineStr">
        <is>
          <t>JI-04072</t>
        </is>
      </c>
      <c r="B119" t="inlineStr">
        <is>
          <t>MER</t>
        </is>
      </c>
      <c r="C119" s="5" t="n">
        <v>46234</v>
      </c>
      <c r="D119" t="inlineStr">
        <is>
          <t>Box Hill clinic takings</t>
        </is>
      </c>
      <c r="E119" t="inlineStr">
        <is>
          <t>POS T403 310726</t>
        </is>
      </c>
      <c r="F119" t="inlineStr">
        <is>
          <t>Daily card takings Box Hill 31/07</t>
        </is>
      </c>
      <c r="G119" s="9" t="n">
        <v>1449.98</v>
      </c>
      <c r="H119" t="inlineStr">
        <is>
          <t>entry</t>
        </is>
      </c>
      <c r="I119" t="inlineStr"/>
      <c r="J119" t="inlineStr">
        <is>
          <t>G00682</t>
        </is>
      </c>
      <c r="K119" t="str">
        <f>INDEX('Match Groups'!$D$5:$D$1326,MATCH(J119,'Match Groups'!$A$5:$A$1326,0))</f>
        <v>MATCH</v>
      </c>
    </row>
    <row r="120">
      <c r="A120" t="inlineStr">
        <is>
          <t>JI-04073</t>
        </is>
      </c>
      <c r="B120" t="inlineStr">
        <is>
          <t>MER</t>
        </is>
      </c>
      <c r="C120" s="5" t="n">
        <v>46234</v>
      </c>
      <c r="D120" t="inlineStr">
        <is>
          <t>Frankston clinic takings</t>
        </is>
      </c>
      <c r="E120" t="inlineStr">
        <is>
          <t>POS T404 310726</t>
        </is>
      </c>
      <c r="F120" t="inlineStr">
        <is>
          <t>Daily card takings Frankston 31/07</t>
        </is>
      </c>
      <c r="G120" s="9" t="n">
        <v>1040.44</v>
      </c>
      <c r="H120" t="inlineStr">
        <is>
          <t>entry</t>
        </is>
      </c>
      <c r="I120" t="inlineStr"/>
      <c r="J120" t="inlineStr">
        <is>
          <t>G00683</t>
        </is>
      </c>
      <c r="K120" t="str">
        <f>INDEX('Match Groups'!$D$5:$D$1326,MATCH(J120,'Match Groups'!$A$5:$A$1326,0))</f>
        <v>MATCH</v>
      </c>
    </row>
    <row r="121">
      <c r="A121" t="inlineStr">
        <is>
          <t>JI-04074</t>
        </is>
      </c>
      <c r="B121" t="inlineStr">
        <is>
          <t>MER</t>
        </is>
      </c>
      <c r="C121" s="5" t="n">
        <v>46235</v>
      </c>
      <c r="D121" t="inlineStr">
        <is>
          <t>Carlton clinic takings</t>
        </is>
      </c>
      <c r="E121" t="inlineStr">
        <is>
          <t>POS T401 010826</t>
        </is>
      </c>
      <c r="F121" t="inlineStr">
        <is>
          <t>Daily card takings Carlton 01/08</t>
        </is>
      </c>
      <c r="G121" s="9" t="n">
        <v>908.59</v>
      </c>
      <c r="H121" t="inlineStr">
        <is>
          <t>entry</t>
        </is>
      </c>
      <c r="I121" t="inlineStr"/>
      <c r="J121" t="inlineStr">
        <is>
          <t>G00684</t>
        </is>
      </c>
      <c r="K121" t="str">
        <f>INDEX('Match Groups'!$D$5:$D$1326,MATCH(J121,'Match Groups'!$A$5:$A$1326,0))</f>
        <v>MATCH</v>
      </c>
    </row>
    <row r="122">
      <c r="A122" t="inlineStr">
        <is>
          <t>JI-04075</t>
        </is>
      </c>
      <c r="B122" t="inlineStr">
        <is>
          <t>MER</t>
        </is>
      </c>
      <c r="C122" s="5" t="n">
        <v>46235</v>
      </c>
      <c r="D122" t="inlineStr">
        <is>
          <t>Footscray clinic takings</t>
        </is>
      </c>
      <c r="E122" t="inlineStr">
        <is>
          <t>POS T402 010826</t>
        </is>
      </c>
      <c r="F122" t="inlineStr">
        <is>
          <t>Daily card takings Footscray 01/08</t>
        </is>
      </c>
      <c r="G122" s="9" t="n">
        <v>1039.01</v>
      </c>
      <c r="H122" t="inlineStr">
        <is>
          <t>entry</t>
        </is>
      </c>
      <c r="I122" t="inlineStr"/>
      <c r="J122" t="inlineStr">
        <is>
          <t>G00685</t>
        </is>
      </c>
      <c r="K122" t="str">
        <f>INDEX('Match Groups'!$D$5:$D$1326,MATCH(J122,'Match Groups'!$A$5:$A$1326,0))</f>
        <v>MATCH</v>
      </c>
    </row>
    <row r="123">
      <c r="A123" t="inlineStr">
        <is>
          <t>JI-04076</t>
        </is>
      </c>
      <c r="B123" t="inlineStr">
        <is>
          <t>MER</t>
        </is>
      </c>
      <c r="C123" s="5" t="n">
        <v>46235</v>
      </c>
      <c r="D123" t="inlineStr">
        <is>
          <t>Box Hill clinic takings</t>
        </is>
      </c>
      <c r="E123" t="inlineStr">
        <is>
          <t>POS T403 010826</t>
        </is>
      </c>
      <c r="F123" t="inlineStr">
        <is>
          <t>Daily card takings Box Hill 01/08</t>
        </is>
      </c>
      <c r="G123" s="9" t="n">
        <v>1187.92</v>
      </c>
      <c r="H123" t="inlineStr">
        <is>
          <t>entry</t>
        </is>
      </c>
      <c r="I123" t="inlineStr"/>
      <c r="J123" t="inlineStr">
        <is>
          <t>G00686</t>
        </is>
      </c>
      <c r="K123" t="str">
        <f>INDEX('Match Groups'!$D$5:$D$1326,MATCH(J123,'Match Groups'!$A$5:$A$1326,0))</f>
        <v>MATCH</v>
      </c>
    </row>
    <row r="124">
      <c r="A124" t="inlineStr">
        <is>
          <t>JI-04077</t>
        </is>
      </c>
      <c r="B124" t="inlineStr">
        <is>
          <t>MER</t>
        </is>
      </c>
      <c r="C124" s="5" t="n">
        <v>46235</v>
      </c>
      <c r="D124" t="inlineStr">
        <is>
          <t>Frankston clinic takings</t>
        </is>
      </c>
      <c r="E124" t="inlineStr">
        <is>
          <t>POS T404 010826</t>
        </is>
      </c>
      <c r="F124" t="inlineStr">
        <is>
          <t>Daily card takings Frankston 01/08</t>
        </is>
      </c>
      <c r="G124" s="9" t="n">
        <v>480.81</v>
      </c>
      <c r="H124" t="inlineStr">
        <is>
          <t>entry</t>
        </is>
      </c>
      <c r="I124" t="inlineStr"/>
      <c r="J124" t="inlineStr">
        <is>
          <t>G00687</t>
        </is>
      </c>
      <c r="K124" t="str">
        <f>INDEX('Match Groups'!$D$5:$D$1326,MATCH(J124,'Match Groups'!$A$5:$A$1326,0))</f>
        <v>MATCH</v>
      </c>
    </row>
    <row r="125">
      <c r="A125" t="inlineStr">
        <is>
          <t>JI-04078</t>
        </is>
      </c>
      <c r="B125" t="inlineStr">
        <is>
          <t>MER</t>
        </is>
      </c>
      <c r="C125" s="5" t="n">
        <v>46237</v>
      </c>
      <c r="D125" t="inlineStr">
        <is>
          <t>Carlton clinic takings</t>
        </is>
      </c>
      <c r="E125" t="inlineStr">
        <is>
          <t>POS T401 030826</t>
        </is>
      </c>
      <c r="F125" t="inlineStr">
        <is>
          <t>Daily card takings Carlton 03/08</t>
        </is>
      </c>
      <c r="G125" s="9" t="n">
        <v>2070.06</v>
      </c>
      <c r="H125" t="inlineStr">
        <is>
          <t>entry</t>
        </is>
      </c>
      <c r="I125" t="inlineStr"/>
      <c r="J125" t="inlineStr">
        <is>
          <t>G00689</t>
        </is>
      </c>
      <c r="K125" t="str">
        <f>INDEX('Match Groups'!$D$5:$D$1326,MATCH(J125,'Match Groups'!$A$5:$A$1326,0))</f>
        <v>MATCH</v>
      </c>
    </row>
    <row r="126">
      <c r="A126" t="inlineStr">
        <is>
          <t>JI-04079</t>
        </is>
      </c>
      <c r="B126" t="inlineStr">
        <is>
          <t>MER</t>
        </is>
      </c>
      <c r="C126" s="5" t="n">
        <v>46237</v>
      </c>
      <c r="D126" t="inlineStr">
        <is>
          <t>Footscray clinic takings</t>
        </is>
      </c>
      <c r="E126" t="inlineStr">
        <is>
          <t>POS T402 030826</t>
        </is>
      </c>
      <c r="F126" t="inlineStr">
        <is>
          <t>Daily card takings Footscray 03/08</t>
        </is>
      </c>
      <c r="G126" s="9" t="n">
        <v>1449.26</v>
      </c>
      <c r="H126" t="inlineStr">
        <is>
          <t>entry</t>
        </is>
      </c>
      <c r="I126" t="inlineStr"/>
      <c r="J126" t="inlineStr">
        <is>
          <t>G00690</t>
        </is>
      </c>
      <c r="K126" t="str">
        <f>INDEX('Match Groups'!$D$5:$D$1326,MATCH(J126,'Match Groups'!$A$5:$A$1326,0))</f>
        <v>MATCH</v>
      </c>
    </row>
    <row r="127">
      <c r="A127" t="inlineStr">
        <is>
          <t>JI-04080</t>
        </is>
      </c>
      <c r="B127" t="inlineStr">
        <is>
          <t>MER</t>
        </is>
      </c>
      <c r="C127" s="5" t="n">
        <v>46237</v>
      </c>
      <c r="D127" t="inlineStr">
        <is>
          <t>Box Hill clinic takings</t>
        </is>
      </c>
      <c r="E127" t="inlineStr">
        <is>
          <t>POS T403 030826</t>
        </is>
      </c>
      <c r="F127" t="inlineStr">
        <is>
          <t>Daily card takings Box Hill 03/08</t>
        </is>
      </c>
      <c r="G127" s="9" t="n">
        <v>1337.09</v>
      </c>
      <c r="H127" t="inlineStr">
        <is>
          <t>entry</t>
        </is>
      </c>
      <c r="I127" t="inlineStr"/>
      <c r="J127" t="inlineStr">
        <is>
          <t>G00691</t>
        </is>
      </c>
      <c r="K127" t="str">
        <f>INDEX('Match Groups'!$D$5:$D$1326,MATCH(J127,'Match Groups'!$A$5:$A$1326,0))</f>
        <v>MATCH</v>
      </c>
    </row>
    <row r="128">
      <c r="A128" t="inlineStr">
        <is>
          <t>JI-04081</t>
        </is>
      </c>
      <c r="B128" t="inlineStr">
        <is>
          <t>MER</t>
        </is>
      </c>
      <c r="C128" s="5" t="n">
        <v>46237</v>
      </c>
      <c r="D128" t="inlineStr">
        <is>
          <t>Frankston clinic takings</t>
        </is>
      </c>
      <c r="E128" t="inlineStr">
        <is>
          <t>POS T404 030826</t>
        </is>
      </c>
      <c r="F128" t="inlineStr">
        <is>
          <t>Daily card takings Frankston 03/08</t>
        </is>
      </c>
      <c r="G128" s="9" t="n">
        <v>1108.16</v>
      </c>
      <c r="H128" t="inlineStr">
        <is>
          <t>entry</t>
        </is>
      </c>
      <c r="I128" t="inlineStr"/>
      <c r="J128" t="inlineStr">
        <is>
          <t>G00692</t>
        </is>
      </c>
      <c r="K128" t="str">
        <f>INDEX('Match Groups'!$D$5:$D$1326,MATCH(J128,'Match Groups'!$A$5:$A$1326,0))</f>
        <v>MATCH</v>
      </c>
    </row>
    <row r="129">
      <c r="A129" t="inlineStr">
        <is>
          <t>JI-04290</t>
        </is>
      </c>
      <c r="B129" t="inlineStr">
        <is>
          <t>MER</t>
        </is>
      </c>
      <c r="C129" s="5" t="n">
        <v>46237</v>
      </c>
      <c r="D129" t="inlineStr">
        <is>
          <t>Internal transfer</t>
        </is>
      </c>
      <c r="E129" t="inlineStr">
        <is>
          <t>SWEEP 0308</t>
        </is>
      </c>
      <c r="F129" t="inlineStr">
        <is>
          <t>Sweep to operating</t>
        </is>
      </c>
      <c r="G129" s="9" t="n">
        <v>-22000</v>
      </c>
      <c r="H129" t="inlineStr">
        <is>
          <t>transfer</t>
        </is>
      </c>
      <c r="I129" t="inlineStr"/>
      <c r="J129" t="inlineStr">
        <is>
          <t>G00688</t>
        </is>
      </c>
      <c r="K129" t="str">
        <f>INDEX('Match Groups'!$D$5:$D$1326,MATCH(J129,'Match Groups'!$A$5:$A$1326,0))</f>
        <v>MATCH</v>
      </c>
    </row>
    <row r="130">
      <c r="A130" t="inlineStr">
        <is>
          <t>JI-04082</t>
        </is>
      </c>
      <c r="B130" t="inlineStr">
        <is>
          <t>MER</t>
        </is>
      </c>
      <c r="C130" s="5" t="n">
        <v>46238</v>
      </c>
      <c r="D130" t="inlineStr">
        <is>
          <t>Carlton clinic takings</t>
        </is>
      </c>
      <c r="E130" t="inlineStr">
        <is>
          <t>POS T401 040826</t>
        </is>
      </c>
      <c r="F130" t="inlineStr">
        <is>
          <t>Daily card takings Carlton 04/08</t>
        </is>
      </c>
      <c r="G130" s="9" t="n">
        <v>1777.85</v>
      </c>
      <c r="H130" t="inlineStr">
        <is>
          <t>entry</t>
        </is>
      </c>
      <c r="I130" t="inlineStr"/>
      <c r="J130" t="inlineStr">
        <is>
          <t>G00693</t>
        </is>
      </c>
      <c r="K130" t="str">
        <f>INDEX('Match Groups'!$D$5:$D$1326,MATCH(J130,'Match Groups'!$A$5:$A$1326,0))</f>
        <v>MATCH</v>
      </c>
    </row>
    <row r="131">
      <c r="A131" t="inlineStr">
        <is>
          <t>JI-04083</t>
        </is>
      </c>
      <c r="B131" t="inlineStr">
        <is>
          <t>MER</t>
        </is>
      </c>
      <c r="C131" s="5" t="n">
        <v>46238</v>
      </c>
      <c r="D131" t="inlineStr">
        <is>
          <t>Footscray clinic takings</t>
        </is>
      </c>
      <c r="E131" t="inlineStr">
        <is>
          <t>POS T402 040826</t>
        </is>
      </c>
      <c r="F131" t="inlineStr">
        <is>
          <t>Daily card takings Footscray 04/08</t>
        </is>
      </c>
      <c r="G131" s="9" t="n">
        <v>3584.43</v>
      </c>
      <c r="H131" t="inlineStr">
        <is>
          <t>entry</t>
        </is>
      </c>
      <c r="I131" t="inlineStr"/>
      <c r="J131" t="inlineStr">
        <is>
          <t>G00694</t>
        </is>
      </c>
      <c r="K131" t="str">
        <f>INDEX('Match Groups'!$D$5:$D$1326,MATCH(J131,'Match Groups'!$A$5:$A$1326,0))</f>
        <v>MATCH</v>
      </c>
    </row>
    <row r="132">
      <c r="A132" t="inlineStr">
        <is>
          <t>JI-04084</t>
        </is>
      </c>
      <c r="B132" t="inlineStr">
        <is>
          <t>MER</t>
        </is>
      </c>
      <c r="C132" s="5" t="n">
        <v>46238</v>
      </c>
      <c r="D132" t="inlineStr">
        <is>
          <t>Box Hill clinic takings</t>
        </is>
      </c>
      <c r="E132" t="inlineStr">
        <is>
          <t>POS T403 040826</t>
        </is>
      </c>
      <c r="F132" t="inlineStr">
        <is>
          <t>Daily card takings Box Hill 04/08</t>
        </is>
      </c>
      <c r="G132" s="9" t="n">
        <v>1949.17</v>
      </c>
      <c r="H132" t="inlineStr">
        <is>
          <t>entry</t>
        </is>
      </c>
      <c r="I132" t="inlineStr"/>
      <c r="J132" t="inlineStr">
        <is>
          <t>G00695</t>
        </is>
      </c>
      <c r="K132" t="str">
        <f>INDEX('Match Groups'!$D$5:$D$1326,MATCH(J132,'Match Groups'!$A$5:$A$1326,0))</f>
        <v>MATCH</v>
      </c>
    </row>
    <row r="133">
      <c r="A133" t="inlineStr">
        <is>
          <t>JI-04085</t>
        </is>
      </c>
      <c r="B133" t="inlineStr">
        <is>
          <t>MER</t>
        </is>
      </c>
      <c r="C133" s="5" t="n">
        <v>46238</v>
      </c>
      <c r="D133" t="inlineStr">
        <is>
          <t>Frankston clinic takings</t>
        </is>
      </c>
      <c r="E133" t="inlineStr">
        <is>
          <t>POS T404 040826</t>
        </is>
      </c>
      <c r="F133" t="inlineStr">
        <is>
          <t>Daily card takings Frankston 04/08</t>
        </is>
      </c>
      <c r="G133" s="9" t="n">
        <v>2419.78</v>
      </c>
      <c r="H133" t="inlineStr">
        <is>
          <t>entry</t>
        </is>
      </c>
      <c r="I133" t="inlineStr"/>
      <c r="J133" t="inlineStr">
        <is>
          <t>G00696</t>
        </is>
      </c>
      <c r="K133" t="str">
        <f>INDEX('Match Groups'!$D$5:$D$1326,MATCH(J133,'Match Groups'!$A$5:$A$1326,0))</f>
        <v>MATCH</v>
      </c>
    </row>
    <row r="134">
      <c r="A134" t="inlineStr">
        <is>
          <t>JI-04086</t>
        </is>
      </c>
      <c r="B134" t="inlineStr">
        <is>
          <t>MER</t>
        </is>
      </c>
      <c r="C134" s="5" t="n">
        <v>46239</v>
      </c>
      <c r="D134" t="inlineStr">
        <is>
          <t>Carlton clinic takings</t>
        </is>
      </c>
      <c r="E134" t="inlineStr">
        <is>
          <t>POS T401 050826</t>
        </is>
      </c>
      <c r="F134" t="inlineStr">
        <is>
          <t>Daily card takings Carlton 05/08</t>
        </is>
      </c>
      <c r="G134" s="9" t="n">
        <v>2406.89</v>
      </c>
      <c r="H134" t="inlineStr">
        <is>
          <t>entry</t>
        </is>
      </c>
      <c r="I134" t="inlineStr"/>
      <c r="J134" t="inlineStr">
        <is>
          <t>G00697</t>
        </is>
      </c>
      <c r="K134" t="str">
        <f>INDEX('Match Groups'!$D$5:$D$1326,MATCH(J134,'Match Groups'!$A$5:$A$1326,0))</f>
        <v>MATCH</v>
      </c>
    </row>
    <row r="135">
      <c r="A135" t="inlineStr">
        <is>
          <t>JI-04087</t>
        </is>
      </c>
      <c r="B135" t="inlineStr">
        <is>
          <t>MER</t>
        </is>
      </c>
      <c r="C135" s="5" t="n">
        <v>46239</v>
      </c>
      <c r="D135" t="inlineStr">
        <is>
          <t>Footscray clinic takings</t>
        </is>
      </c>
      <c r="E135" t="inlineStr">
        <is>
          <t>POS T402 050826</t>
        </is>
      </c>
      <c r="F135" t="inlineStr">
        <is>
          <t>Daily card takings Footscray 05/08</t>
        </is>
      </c>
      <c r="G135" s="9" t="n">
        <v>2114.09</v>
      </c>
      <c r="H135" t="inlineStr">
        <is>
          <t>entry</t>
        </is>
      </c>
      <c r="I135" t="inlineStr"/>
      <c r="J135" t="inlineStr">
        <is>
          <t>G00698</t>
        </is>
      </c>
      <c r="K135" t="str">
        <f>INDEX('Match Groups'!$D$5:$D$1326,MATCH(J135,'Match Groups'!$A$5:$A$1326,0))</f>
        <v>MATCH</v>
      </c>
    </row>
    <row r="136">
      <c r="A136" t="inlineStr">
        <is>
          <t>JI-04088</t>
        </is>
      </c>
      <c r="B136" t="inlineStr">
        <is>
          <t>MER</t>
        </is>
      </c>
      <c r="C136" s="5" t="n">
        <v>46239</v>
      </c>
      <c r="D136" t="inlineStr">
        <is>
          <t>Box Hill clinic takings</t>
        </is>
      </c>
      <c r="E136" t="inlineStr">
        <is>
          <t>POS T403 050826</t>
        </is>
      </c>
      <c r="F136" t="inlineStr">
        <is>
          <t>Daily card takings Box Hill 05/08</t>
        </is>
      </c>
      <c r="G136" s="9" t="n">
        <v>1340.92</v>
      </c>
      <c r="H136" t="inlineStr">
        <is>
          <t>entry</t>
        </is>
      </c>
      <c r="I136" t="inlineStr"/>
      <c r="J136" t="inlineStr">
        <is>
          <t>G00699</t>
        </is>
      </c>
      <c r="K136" t="str">
        <f>INDEX('Match Groups'!$D$5:$D$1326,MATCH(J136,'Match Groups'!$A$5:$A$1326,0))</f>
        <v>MATCH</v>
      </c>
    </row>
    <row r="137">
      <c r="A137" t="inlineStr">
        <is>
          <t>JI-04089</t>
        </is>
      </c>
      <c r="B137" t="inlineStr">
        <is>
          <t>MER</t>
        </is>
      </c>
      <c r="C137" s="5" t="n">
        <v>46239</v>
      </c>
      <c r="D137" t="inlineStr">
        <is>
          <t>Frankston clinic takings</t>
        </is>
      </c>
      <c r="E137" t="inlineStr">
        <is>
          <t>POS T404 050826</t>
        </is>
      </c>
      <c r="F137" t="inlineStr">
        <is>
          <t>Daily card takings Frankston 05/08</t>
        </is>
      </c>
      <c r="G137" s="9" t="n">
        <v>2246.94</v>
      </c>
      <c r="H137" t="inlineStr">
        <is>
          <t>entry</t>
        </is>
      </c>
      <c r="I137" t="inlineStr"/>
      <c r="J137" t="inlineStr">
        <is>
          <t>G00700</t>
        </is>
      </c>
      <c r="K137" t="str">
        <f>INDEX('Match Groups'!$D$5:$D$1326,MATCH(J137,'Match Groups'!$A$5:$A$1326,0))</f>
        <v>MATCH</v>
      </c>
    </row>
    <row r="138">
      <c r="A138" t="inlineStr">
        <is>
          <t>JI-04090</t>
        </is>
      </c>
      <c r="B138" t="inlineStr">
        <is>
          <t>MER</t>
        </is>
      </c>
      <c r="C138" s="5" t="n">
        <v>46240</v>
      </c>
      <c r="D138" t="inlineStr">
        <is>
          <t>Carlton clinic takings</t>
        </is>
      </c>
      <c r="E138" t="inlineStr">
        <is>
          <t>POS T401 060826</t>
        </is>
      </c>
      <c r="F138" t="inlineStr">
        <is>
          <t>Daily card takings Carlton 06/08</t>
        </is>
      </c>
      <c r="G138" s="9" t="n">
        <v>3408.34</v>
      </c>
      <c r="H138" t="inlineStr">
        <is>
          <t>entry</t>
        </is>
      </c>
      <c r="I138" t="inlineStr"/>
      <c r="J138" t="inlineStr">
        <is>
          <t>G00701</t>
        </is>
      </c>
      <c r="K138" t="str">
        <f>INDEX('Match Groups'!$D$5:$D$1326,MATCH(J138,'Match Groups'!$A$5:$A$1326,0))</f>
        <v>MATCH</v>
      </c>
    </row>
    <row r="139">
      <c r="A139" t="inlineStr">
        <is>
          <t>JI-04091</t>
        </is>
      </c>
      <c r="B139" t="inlineStr">
        <is>
          <t>MER</t>
        </is>
      </c>
      <c r="C139" s="5" t="n">
        <v>46240</v>
      </c>
      <c r="D139" t="inlineStr">
        <is>
          <t>Footscray clinic takings</t>
        </is>
      </c>
      <c r="E139" t="inlineStr">
        <is>
          <t>POS T402 060826</t>
        </is>
      </c>
      <c r="F139" t="inlineStr">
        <is>
          <t>Daily card takings Footscray 06/08</t>
        </is>
      </c>
      <c r="G139" s="9" t="n">
        <v>1974.79</v>
      </c>
      <c r="H139" t="inlineStr">
        <is>
          <t>entry</t>
        </is>
      </c>
      <c r="I139" t="inlineStr"/>
      <c r="J139" t="inlineStr">
        <is>
          <t>G00702</t>
        </is>
      </c>
      <c r="K139" t="str">
        <f>INDEX('Match Groups'!$D$5:$D$1326,MATCH(J139,'Match Groups'!$A$5:$A$1326,0))</f>
        <v>MATCH</v>
      </c>
    </row>
    <row r="140">
      <c r="A140" t="inlineStr">
        <is>
          <t>JI-04092</t>
        </is>
      </c>
      <c r="B140" t="inlineStr">
        <is>
          <t>MER</t>
        </is>
      </c>
      <c r="C140" s="5" t="n">
        <v>46240</v>
      </c>
      <c r="D140" t="inlineStr">
        <is>
          <t>Box Hill clinic takings</t>
        </is>
      </c>
      <c r="E140" t="inlineStr">
        <is>
          <t>POS T403 060826</t>
        </is>
      </c>
      <c r="F140" t="inlineStr">
        <is>
          <t>Daily card takings Box Hill 06/08</t>
        </is>
      </c>
      <c r="G140" s="9" t="n">
        <v>3078.33</v>
      </c>
      <c r="H140" t="inlineStr">
        <is>
          <t>entry</t>
        </is>
      </c>
      <c r="I140" t="inlineStr"/>
      <c r="J140" t="inlineStr">
        <is>
          <t>G00703</t>
        </is>
      </c>
      <c r="K140" t="str">
        <f>INDEX('Match Groups'!$D$5:$D$1326,MATCH(J140,'Match Groups'!$A$5:$A$1326,0))</f>
        <v>REFUND-GAP</v>
      </c>
    </row>
    <row r="141">
      <c r="A141" t="inlineStr">
        <is>
          <t>JI-04093</t>
        </is>
      </c>
      <c r="B141" t="inlineStr">
        <is>
          <t>MER</t>
        </is>
      </c>
      <c r="C141" s="5" t="n">
        <v>46240</v>
      </c>
      <c r="D141" t="inlineStr">
        <is>
          <t>Frankston clinic takings</t>
        </is>
      </c>
      <c r="E141" t="inlineStr">
        <is>
          <t>POS T404 060826</t>
        </is>
      </c>
      <c r="F141" t="inlineStr">
        <is>
          <t>Daily card takings Frankston 06/08</t>
        </is>
      </c>
      <c r="G141" s="9" t="n">
        <v>1884.68</v>
      </c>
      <c r="H141" t="inlineStr">
        <is>
          <t>entry</t>
        </is>
      </c>
      <c r="I141" t="inlineStr"/>
      <c r="J141" t="inlineStr">
        <is>
          <t>G00704</t>
        </is>
      </c>
      <c r="K141" t="str">
        <f>INDEX('Match Groups'!$D$5:$D$1326,MATCH(J141,'Match Groups'!$A$5:$A$1326,0))</f>
        <v>MATCH</v>
      </c>
    </row>
    <row r="142">
      <c r="A142" t="inlineStr">
        <is>
          <t>JI-04094</t>
        </is>
      </c>
      <c r="B142" t="inlineStr">
        <is>
          <t>MER</t>
        </is>
      </c>
      <c r="C142" s="5" t="n">
        <v>46241</v>
      </c>
      <c r="D142" t="inlineStr">
        <is>
          <t>Carlton clinic takings</t>
        </is>
      </c>
      <c r="E142" t="inlineStr">
        <is>
          <t>POS T401 070826</t>
        </is>
      </c>
      <c r="F142" t="inlineStr">
        <is>
          <t>Daily card takings Carlton 07/08</t>
        </is>
      </c>
      <c r="G142" s="9" t="n">
        <v>2354.52</v>
      </c>
      <c r="H142" t="inlineStr">
        <is>
          <t>entry</t>
        </is>
      </c>
      <c r="I142" t="inlineStr"/>
      <c r="J142" t="inlineStr">
        <is>
          <t>G00705</t>
        </is>
      </c>
      <c r="K142" t="str">
        <f>INDEX('Match Groups'!$D$5:$D$1326,MATCH(J142,'Match Groups'!$A$5:$A$1326,0))</f>
        <v>MATCH</v>
      </c>
    </row>
    <row r="143">
      <c r="A143" t="inlineStr">
        <is>
          <t>JI-04095</t>
        </is>
      </c>
      <c r="B143" t="inlineStr">
        <is>
          <t>MER</t>
        </is>
      </c>
      <c r="C143" s="5" t="n">
        <v>46241</v>
      </c>
      <c r="D143" t="inlineStr">
        <is>
          <t>Footscray clinic takings</t>
        </is>
      </c>
      <c r="E143" t="inlineStr">
        <is>
          <t>POS T402 070826</t>
        </is>
      </c>
      <c r="F143" t="inlineStr">
        <is>
          <t>Daily card takings Footscray 07/08</t>
        </is>
      </c>
      <c r="G143" s="9" t="n">
        <v>997.76</v>
      </c>
      <c r="H143" t="inlineStr">
        <is>
          <t>entry</t>
        </is>
      </c>
      <c r="I143" t="inlineStr"/>
      <c r="J143" t="inlineStr">
        <is>
          <t>G00706</t>
        </is>
      </c>
      <c r="K143" t="str">
        <f>INDEX('Match Groups'!$D$5:$D$1326,MATCH(J143,'Match Groups'!$A$5:$A$1326,0))</f>
        <v>MATCH</v>
      </c>
    </row>
    <row r="144">
      <c r="A144" t="inlineStr">
        <is>
          <t>JI-04096</t>
        </is>
      </c>
      <c r="B144" t="inlineStr">
        <is>
          <t>MER</t>
        </is>
      </c>
      <c r="C144" s="5" t="n">
        <v>46241</v>
      </c>
      <c r="D144" t="inlineStr">
        <is>
          <t>Box Hill clinic takings</t>
        </is>
      </c>
      <c r="E144" t="inlineStr">
        <is>
          <t>POS T403 070826</t>
        </is>
      </c>
      <c r="F144" t="inlineStr">
        <is>
          <t>Daily card takings Box Hill 07/08</t>
        </is>
      </c>
      <c r="G144" s="9" t="n">
        <v>2573.63</v>
      </c>
      <c r="H144" t="inlineStr">
        <is>
          <t>entry</t>
        </is>
      </c>
      <c r="I144" t="inlineStr"/>
      <c r="J144" t="inlineStr">
        <is>
          <t>G00707</t>
        </is>
      </c>
      <c r="K144" t="str">
        <f>INDEX('Match Groups'!$D$5:$D$1326,MATCH(J144,'Match Groups'!$A$5:$A$1326,0))</f>
        <v>MATCH</v>
      </c>
    </row>
    <row r="145">
      <c r="A145" t="inlineStr">
        <is>
          <t>JI-04097</t>
        </is>
      </c>
      <c r="B145" t="inlineStr">
        <is>
          <t>MER</t>
        </is>
      </c>
      <c r="C145" s="5" t="n">
        <v>46241</v>
      </c>
      <c r="D145" t="inlineStr">
        <is>
          <t>Frankston clinic takings</t>
        </is>
      </c>
      <c r="E145" t="inlineStr">
        <is>
          <t>POS T404 070826</t>
        </is>
      </c>
      <c r="F145" t="inlineStr">
        <is>
          <t>Daily card takings Frankston 07/08</t>
        </is>
      </c>
      <c r="G145" s="9" t="n">
        <v>2834.43</v>
      </c>
      <c r="H145" t="inlineStr">
        <is>
          <t>entry</t>
        </is>
      </c>
      <c r="I145" t="inlineStr"/>
      <c r="J145" t="inlineStr">
        <is>
          <t>G00708</t>
        </is>
      </c>
      <c r="K145" t="str">
        <f>INDEX('Match Groups'!$D$5:$D$1326,MATCH(J145,'Match Groups'!$A$5:$A$1326,0))</f>
        <v>MATCH</v>
      </c>
    </row>
    <row r="146">
      <c r="A146" t="inlineStr">
        <is>
          <t>JI-04098</t>
        </is>
      </c>
      <c r="B146" t="inlineStr">
        <is>
          <t>MER</t>
        </is>
      </c>
      <c r="C146" s="5" t="n">
        <v>46242</v>
      </c>
      <c r="D146" t="inlineStr">
        <is>
          <t>Carlton clinic takings</t>
        </is>
      </c>
      <c r="E146" t="inlineStr">
        <is>
          <t>POS T401 080826</t>
        </is>
      </c>
      <c r="F146" t="inlineStr">
        <is>
          <t>Daily card takings Carlton 08/08</t>
        </is>
      </c>
      <c r="G146" s="9" t="n">
        <v>1085.42</v>
      </c>
      <c r="H146" t="inlineStr">
        <is>
          <t>entry</t>
        </is>
      </c>
      <c r="I146" t="inlineStr"/>
      <c r="J146" t="inlineStr">
        <is>
          <t>G00709</t>
        </is>
      </c>
      <c r="K146" t="str">
        <f>INDEX('Match Groups'!$D$5:$D$1326,MATCH(J146,'Match Groups'!$A$5:$A$1326,0))</f>
        <v>MATCH</v>
      </c>
    </row>
    <row r="147">
      <c r="A147" t="inlineStr">
        <is>
          <t>JI-04099</t>
        </is>
      </c>
      <c r="B147" t="inlineStr">
        <is>
          <t>MER</t>
        </is>
      </c>
      <c r="C147" s="5" t="n">
        <v>46242</v>
      </c>
      <c r="D147" t="inlineStr">
        <is>
          <t>Footscray clinic takings</t>
        </is>
      </c>
      <c r="E147" t="inlineStr">
        <is>
          <t>POS T402 080826</t>
        </is>
      </c>
      <c r="F147" t="inlineStr">
        <is>
          <t>Daily card takings Footscray 08/08</t>
        </is>
      </c>
      <c r="G147" s="9" t="n">
        <v>957.34</v>
      </c>
      <c r="H147" t="inlineStr">
        <is>
          <t>entry</t>
        </is>
      </c>
      <c r="I147" t="inlineStr"/>
      <c r="J147" t="inlineStr">
        <is>
          <t>G00710</t>
        </is>
      </c>
      <c r="K147" t="str">
        <f>INDEX('Match Groups'!$D$5:$D$1326,MATCH(J147,'Match Groups'!$A$5:$A$1326,0))</f>
        <v>MATCH</v>
      </c>
    </row>
    <row r="148">
      <c r="A148" t="inlineStr">
        <is>
          <t>JI-04100</t>
        </is>
      </c>
      <c r="B148" t="inlineStr">
        <is>
          <t>MER</t>
        </is>
      </c>
      <c r="C148" s="5" t="n">
        <v>46242</v>
      </c>
      <c r="D148" t="inlineStr">
        <is>
          <t>Box Hill clinic takings</t>
        </is>
      </c>
      <c r="E148" t="inlineStr">
        <is>
          <t>POS T403 080826</t>
        </is>
      </c>
      <c r="F148" t="inlineStr">
        <is>
          <t>Daily card takings Box Hill 08/08</t>
        </is>
      </c>
      <c r="G148" s="9" t="n">
        <v>1024.53</v>
      </c>
      <c r="H148" t="inlineStr">
        <is>
          <t>entry</t>
        </is>
      </c>
      <c r="I148" t="inlineStr"/>
      <c r="J148" t="inlineStr">
        <is>
          <t>G00711</t>
        </is>
      </c>
      <c r="K148" t="str">
        <f>INDEX('Match Groups'!$D$5:$D$1326,MATCH(J148,'Match Groups'!$A$5:$A$1326,0))</f>
        <v>MATCH</v>
      </c>
    </row>
    <row r="149">
      <c r="A149" t="inlineStr">
        <is>
          <t>JI-04101</t>
        </is>
      </c>
      <c r="B149" t="inlineStr">
        <is>
          <t>MER</t>
        </is>
      </c>
      <c r="C149" s="5" t="n">
        <v>46242</v>
      </c>
      <c r="D149" t="inlineStr">
        <is>
          <t>Frankston clinic takings</t>
        </is>
      </c>
      <c r="E149" t="inlineStr">
        <is>
          <t>POS T404 080826</t>
        </is>
      </c>
      <c r="F149" t="inlineStr">
        <is>
          <t>Daily card takings Frankston 08/08</t>
        </is>
      </c>
      <c r="G149" s="9" t="n">
        <v>505.25</v>
      </c>
      <c r="H149" t="inlineStr">
        <is>
          <t>entry</t>
        </is>
      </c>
      <c r="I149" t="inlineStr"/>
      <c r="J149" t="inlineStr">
        <is>
          <t>G00712</t>
        </is>
      </c>
      <c r="K149" t="str">
        <f>INDEX('Match Groups'!$D$5:$D$1326,MATCH(J149,'Match Groups'!$A$5:$A$1326,0))</f>
        <v>MATCH</v>
      </c>
    </row>
    <row r="150">
      <c r="A150" t="inlineStr">
        <is>
          <t>JI-04102</t>
        </is>
      </c>
      <c r="B150" t="inlineStr">
        <is>
          <t>MER</t>
        </is>
      </c>
      <c r="C150" s="5" t="n">
        <v>46244</v>
      </c>
      <c r="D150" t="inlineStr">
        <is>
          <t>Carlton clinic takings</t>
        </is>
      </c>
      <c r="E150" t="inlineStr">
        <is>
          <t>POS T401 100826</t>
        </is>
      </c>
      <c r="F150" t="inlineStr">
        <is>
          <t>Daily card takings Carlton 10/08</t>
        </is>
      </c>
      <c r="G150" s="9" t="n">
        <v>1939.41</v>
      </c>
      <c r="H150" t="inlineStr">
        <is>
          <t>entry</t>
        </is>
      </c>
      <c r="I150" t="inlineStr"/>
      <c r="J150" t="inlineStr">
        <is>
          <t>G00714</t>
        </is>
      </c>
      <c r="K150" t="str">
        <f>INDEX('Match Groups'!$D$5:$D$1326,MATCH(J150,'Match Groups'!$A$5:$A$1326,0))</f>
        <v>MATCH</v>
      </c>
    </row>
    <row r="151">
      <c r="A151" t="inlineStr">
        <is>
          <t>JI-04103</t>
        </is>
      </c>
      <c r="B151" t="inlineStr">
        <is>
          <t>MER</t>
        </is>
      </c>
      <c r="C151" s="5" t="n">
        <v>46244</v>
      </c>
      <c r="D151" t="inlineStr">
        <is>
          <t>Footscray clinic takings</t>
        </is>
      </c>
      <c r="E151" t="inlineStr">
        <is>
          <t>POS T402 100826</t>
        </is>
      </c>
      <c r="F151" t="inlineStr">
        <is>
          <t>Daily card takings Footscray 10/08</t>
        </is>
      </c>
      <c r="G151" s="9" t="n">
        <v>945.04</v>
      </c>
      <c r="H151" t="inlineStr">
        <is>
          <t>entry</t>
        </is>
      </c>
      <c r="I151" t="inlineStr"/>
      <c r="J151" t="inlineStr">
        <is>
          <t>G00715</t>
        </is>
      </c>
      <c r="K151" t="str">
        <f>INDEX('Match Groups'!$D$5:$D$1326,MATCH(J151,'Match Groups'!$A$5:$A$1326,0))</f>
        <v>MATCH</v>
      </c>
    </row>
    <row r="152">
      <c r="A152" t="inlineStr">
        <is>
          <t>JI-04104</t>
        </is>
      </c>
      <c r="B152" t="inlineStr">
        <is>
          <t>MER</t>
        </is>
      </c>
      <c r="C152" s="5" t="n">
        <v>46244</v>
      </c>
      <c r="D152" t="inlineStr">
        <is>
          <t>Box Hill clinic takings</t>
        </is>
      </c>
      <c r="E152" t="inlineStr">
        <is>
          <t>POS T403 100826</t>
        </is>
      </c>
      <c r="F152" t="inlineStr">
        <is>
          <t>Daily card takings Box Hill 10/08</t>
        </is>
      </c>
      <c r="G152" s="9" t="n">
        <v>2160.17</v>
      </c>
      <c r="H152" t="inlineStr">
        <is>
          <t>entry</t>
        </is>
      </c>
      <c r="I152" t="inlineStr"/>
      <c r="J152" t="inlineStr">
        <is>
          <t>G00716</t>
        </is>
      </c>
      <c r="K152" t="str">
        <f>INDEX('Match Groups'!$D$5:$D$1326,MATCH(J152,'Match Groups'!$A$5:$A$1326,0))</f>
        <v>MATCH</v>
      </c>
    </row>
    <row r="153">
      <c r="A153" t="inlineStr">
        <is>
          <t>JI-04105</t>
        </is>
      </c>
      <c r="B153" t="inlineStr">
        <is>
          <t>MER</t>
        </is>
      </c>
      <c r="C153" s="5" t="n">
        <v>46244</v>
      </c>
      <c r="D153" t="inlineStr">
        <is>
          <t>Frankston clinic takings</t>
        </is>
      </c>
      <c r="E153" t="inlineStr">
        <is>
          <t>POS T404 100826</t>
        </is>
      </c>
      <c r="F153" t="inlineStr">
        <is>
          <t>Daily card takings Frankston 10/08</t>
        </is>
      </c>
      <c r="G153" s="9" t="n">
        <v>3595.27</v>
      </c>
      <c r="H153" t="inlineStr">
        <is>
          <t>entry</t>
        </is>
      </c>
      <c r="I153" t="inlineStr"/>
      <c r="J153" t="inlineStr">
        <is>
          <t>G00717</t>
        </is>
      </c>
      <c r="K153" t="str">
        <f>INDEX('Match Groups'!$D$5:$D$1326,MATCH(J153,'Match Groups'!$A$5:$A$1326,0))</f>
        <v>MATCH</v>
      </c>
    </row>
    <row r="154">
      <c r="A154" t="inlineStr">
        <is>
          <t>JI-04292</t>
        </is>
      </c>
      <c r="B154" t="inlineStr">
        <is>
          <t>MER</t>
        </is>
      </c>
      <c r="C154" s="5" t="n">
        <v>46244</v>
      </c>
      <c r="D154" t="inlineStr">
        <is>
          <t>Internal transfer</t>
        </is>
      </c>
      <c r="E154" t="inlineStr">
        <is>
          <t>SWEEP 1008</t>
        </is>
      </c>
      <c r="F154" t="inlineStr">
        <is>
          <t>Sweep to operating</t>
        </is>
      </c>
      <c r="G154" s="9" t="n">
        <v>-22000</v>
      </c>
      <c r="H154" t="inlineStr">
        <is>
          <t>transfer</t>
        </is>
      </c>
      <c r="I154" t="inlineStr"/>
      <c r="J154" t="inlineStr">
        <is>
          <t>G00713</t>
        </is>
      </c>
      <c r="K154" t="str">
        <f>INDEX('Match Groups'!$D$5:$D$1326,MATCH(J154,'Match Groups'!$A$5:$A$1326,0))</f>
        <v>MATCH</v>
      </c>
    </row>
    <row r="155">
      <c r="A155" t="inlineStr">
        <is>
          <t>JI-04106</t>
        </is>
      </c>
      <c r="B155" t="inlineStr">
        <is>
          <t>MER</t>
        </is>
      </c>
      <c r="C155" s="5" t="n">
        <v>46245</v>
      </c>
      <c r="D155" t="inlineStr">
        <is>
          <t>Carlton clinic takings</t>
        </is>
      </c>
      <c r="E155" t="inlineStr">
        <is>
          <t>POS T401 110826</t>
        </is>
      </c>
      <c r="F155" t="inlineStr">
        <is>
          <t>Daily card takings Carlton 11/08</t>
        </is>
      </c>
      <c r="G155" s="9" t="n">
        <v>1703.4</v>
      </c>
      <c r="H155" t="inlineStr">
        <is>
          <t>entry</t>
        </is>
      </c>
      <c r="I155" t="inlineStr"/>
      <c r="J155" t="inlineStr">
        <is>
          <t>G00718</t>
        </is>
      </c>
      <c r="K155" t="str">
        <f>INDEX('Match Groups'!$D$5:$D$1326,MATCH(J155,'Match Groups'!$A$5:$A$1326,0))</f>
        <v>MATCH</v>
      </c>
    </row>
    <row r="156">
      <c r="A156" t="inlineStr">
        <is>
          <t>JI-04107</t>
        </is>
      </c>
      <c r="B156" t="inlineStr">
        <is>
          <t>MER</t>
        </is>
      </c>
      <c r="C156" s="5" t="n">
        <v>46245</v>
      </c>
      <c r="D156" t="inlineStr">
        <is>
          <t>Footscray clinic takings</t>
        </is>
      </c>
      <c r="E156" t="inlineStr">
        <is>
          <t>POS T402 110826</t>
        </is>
      </c>
      <c r="F156" t="inlineStr">
        <is>
          <t>Daily card takings Footscray 11/08</t>
        </is>
      </c>
      <c r="G156" s="9" t="n">
        <v>3242.89</v>
      </c>
      <c r="H156" t="inlineStr">
        <is>
          <t>entry</t>
        </is>
      </c>
      <c r="I156" t="inlineStr"/>
      <c r="J156" t="inlineStr">
        <is>
          <t>G00719</t>
        </is>
      </c>
      <c r="K156" t="str">
        <f>INDEX('Match Groups'!$D$5:$D$1326,MATCH(J156,'Match Groups'!$A$5:$A$1326,0))</f>
        <v>MATCH</v>
      </c>
    </row>
    <row r="157">
      <c r="A157" t="inlineStr">
        <is>
          <t>JI-04108</t>
        </is>
      </c>
      <c r="B157" t="inlineStr">
        <is>
          <t>MER</t>
        </is>
      </c>
      <c r="C157" s="5" t="n">
        <v>46245</v>
      </c>
      <c r="D157" t="inlineStr">
        <is>
          <t>Box Hill clinic takings</t>
        </is>
      </c>
      <c r="E157" t="inlineStr">
        <is>
          <t>POS T403 110826</t>
        </is>
      </c>
      <c r="F157" t="inlineStr">
        <is>
          <t>Daily card takings Box Hill 11/08</t>
        </is>
      </c>
      <c r="G157" s="9" t="n">
        <v>3522.59</v>
      </c>
      <c r="H157" t="inlineStr">
        <is>
          <t>entry</t>
        </is>
      </c>
      <c r="I157" t="inlineStr"/>
      <c r="J157" t="inlineStr">
        <is>
          <t>G00720</t>
        </is>
      </c>
      <c r="K157" t="str">
        <f>INDEX('Match Groups'!$D$5:$D$1326,MATCH(J157,'Match Groups'!$A$5:$A$1326,0))</f>
        <v>MATCH</v>
      </c>
    </row>
    <row r="158">
      <c r="A158" t="inlineStr">
        <is>
          <t>JI-04109</t>
        </is>
      </c>
      <c r="B158" t="inlineStr">
        <is>
          <t>MER</t>
        </is>
      </c>
      <c r="C158" s="5" t="n">
        <v>46245</v>
      </c>
      <c r="D158" t="inlineStr">
        <is>
          <t>Frankston clinic takings</t>
        </is>
      </c>
      <c r="E158" t="inlineStr">
        <is>
          <t>POS T404 110826</t>
        </is>
      </c>
      <c r="F158" t="inlineStr">
        <is>
          <t>Daily card takings Frankston 11/08</t>
        </is>
      </c>
      <c r="G158" s="9" t="n">
        <v>1060.29</v>
      </c>
      <c r="H158" t="inlineStr">
        <is>
          <t>entry</t>
        </is>
      </c>
      <c r="I158" t="inlineStr"/>
      <c r="J158" t="inlineStr">
        <is>
          <t>G00721</t>
        </is>
      </c>
      <c r="K158" t="str">
        <f>INDEX('Match Groups'!$D$5:$D$1326,MATCH(J158,'Match Groups'!$A$5:$A$1326,0))</f>
        <v>MATCH</v>
      </c>
    </row>
    <row r="159">
      <c r="A159" t="inlineStr">
        <is>
          <t>JI-04110</t>
        </is>
      </c>
      <c r="B159" t="inlineStr">
        <is>
          <t>MER</t>
        </is>
      </c>
      <c r="C159" s="5" t="n">
        <v>46246</v>
      </c>
      <c r="D159" t="inlineStr">
        <is>
          <t>Carlton clinic takings</t>
        </is>
      </c>
      <c r="E159" t="inlineStr">
        <is>
          <t>POS T401 120826</t>
        </is>
      </c>
      <c r="F159" t="inlineStr">
        <is>
          <t>Daily card takings Carlton 12/08</t>
        </is>
      </c>
      <c r="G159" s="9" t="n">
        <v>3389.03</v>
      </c>
      <c r="H159" t="inlineStr">
        <is>
          <t>entry</t>
        </is>
      </c>
      <c r="I159" t="inlineStr"/>
      <c r="J159" t="inlineStr">
        <is>
          <t>G00722</t>
        </is>
      </c>
      <c r="K159" t="str">
        <f>INDEX('Match Groups'!$D$5:$D$1326,MATCH(J159,'Match Groups'!$A$5:$A$1326,0))</f>
        <v>MATCH</v>
      </c>
    </row>
    <row r="160">
      <c r="A160" t="inlineStr">
        <is>
          <t>JI-04111</t>
        </is>
      </c>
      <c r="B160" t="inlineStr">
        <is>
          <t>MER</t>
        </is>
      </c>
      <c r="C160" s="5" t="n">
        <v>46246</v>
      </c>
      <c r="D160" t="inlineStr">
        <is>
          <t>Footscray clinic takings</t>
        </is>
      </c>
      <c r="E160" t="inlineStr">
        <is>
          <t>POS T402 120826</t>
        </is>
      </c>
      <c r="F160" t="inlineStr">
        <is>
          <t>Daily card takings Footscray 12/08</t>
        </is>
      </c>
      <c r="G160" s="9" t="n">
        <v>2739.56</v>
      </c>
      <c r="H160" t="inlineStr">
        <is>
          <t>entry</t>
        </is>
      </c>
      <c r="I160" t="inlineStr"/>
      <c r="J160" t="inlineStr">
        <is>
          <t>G00723</t>
        </is>
      </c>
      <c r="K160" t="str">
        <f>INDEX('Match Groups'!$D$5:$D$1326,MATCH(J160,'Match Groups'!$A$5:$A$1326,0))</f>
        <v>MATCH</v>
      </c>
    </row>
    <row r="161">
      <c r="A161" t="inlineStr">
        <is>
          <t>JI-04112</t>
        </is>
      </c>
      <c r="B161" t="inlineStr">
        <is>
          <t>MER</t>
        </is>
      </c>
      <c r="C161" s="5" t="n">
        <v>46246</v>
      </c>
      <c r="D161" t="inlineStr">
        <is>
          <t>Box Hill clinic takings</t>
        </is>
      </c>
      <c r="E161" t="inlineStr">
        <is>
          <t>POS T403 120826</t>
        </is>
      </c>
      <c r="F161" t="inlineStr">
        <is>
          <t>Daily card takings Box Hill 12/08</t>
        </is>
      </c>
      <c r="G161" s="9" t="n">
        <v>2461.41</v>
      </c>
      <c r="H161" t="inlineStr">
        <is>
          <t>entry</t>
        </is>
      </c>
      <c r="I161" t="inlineStr"/>
      <c r="J161" t="inlineStr">
        <is>
          <t>G00724</t>
        </is>
      </c>
      <c r="K161" t="str">
        <f>INDEX('Match Groups'!$D$5:$D$1326,MATCH(J161,'Match Groups'!$A$5:$A$1326,0))</f>
        <v>MATCH</v>
      </c>
    </row>
    <row r="162">
      <c r="A162" t="inlineStr">
        <is>
          <t>JI-04113</t>
        </is>
      </c>
      <c r="B162" t="inlineStr">
        <is>
          <t>MER</t>
        </is>
      </c>
      <c r="C162" s="5" t="n">
        <v>46246</v>
      </c>
      <c r="D162" t="inlineStr">
        <is>
          <t>Frankston clinic takings</t>
        </is>
      </c>
      <c r="E162" t="inlineStr">
        <is>
          <t>POS T404 120826</t>
        </is>
      </c>
      <c r="F162" t="inlineStr">
        <is>
          <t>Daily card takings Frankston 12/08</t>
        </is>
      </c>
      <c r="G162" s="9" t="n">
        <v>2038.59</v>
      </c>
      <c r="H162" t="inlineStr">
        <is>
          <t>entry</t>
        </is>
      </c>
      <c r="I162" t="inlineStr"/>
      <c r="J162" t="inlineStr">
        <is>
          <t>G00725</t>
        </is>
      </c>
      <c r="K162" t="str">
        <f>INDEX('Match Groups'!$D$5:$D$1326,MATCH(J162,'Match Groups'!$A$5:$A$1326,0))</f>
        <v>MATCH</v>
      </c>
    </row>
    <row r="163">
      <c r="A163" t="inlineStr">
        <is>
          <t>JI-04114</t>
        </is>
      </c>
      <c r="B163" t="inlineStr">
        <is>
          <t>MER</t>
        </is>
      </c>
      <c r="C163" s="5" t="n">
        <v>46247</v>
      </c>
      <c r="D163" t="inlineStr">
        <is>
          <t>Carlton clinic takings</t>
        </is>
      </c>
      <c r="E163" t="inlineStr">
        <is>
          <t>POS T401 130826</t>
        </is>
      </c>
      <c r="F163" t="inlineStr">
        <is>
          <t>Daily card takings Carlton 13/08</t>
        </is>
      </c>
      <c r="G163" s="9" t="n">
        <v>2146.74</v>
      </c>
      <c r="H163" t="inlineStr">
        <is>
          <t>entry</t>
        </is>
      </c>
      <c r="I163" t="inlineStr"/>
      <c r="J163" t="inlineStr">
        <is>
          <t>G00726</t>
        </is>
      </c>
      <c r="K163" t="str">
        <f>INDEX('Match Groups'!$D$5:$D$1326,MATCH(J163,'Match Groups'!$A$5:$A$1326,0))</f>
        <v>MATCH</v>
      </c>
    </row>
    <row r="164">
      <c r="A164" t="inlineStr">
        <is>
          <t>JI-04115</t>
        </is>
      </c>
      <c r="B164" t="inlineStr">
        <is>
          <t>MER</t>
        </is>
      </c>
      <c r="C164" s="5" t="n">
        <v>46247</v>
      </c>
      <c r="D164" t="inlineStr">
        <is>
          <t>Footscray clinic takings</t>
        </is>
      </c>
      <c r="E164" t="inlineStr">
        <is>
          <t>POS T402 130826</t>
        </is>
      </c>
      <c r="F164" t="inlineStr">
        <is>
          <t>Daily card takings Footscray 13/08</t>
        </is>
      </c>
      <c r="G164" s="9" t="n">
        <v>2357.95</v>
      </c>
      <c r="H164" t="inlineStr">
        <is>
          <t>entry</t>
        </is>
      </c>
      <c r="I164" t="inlineStr"/>
      <c r="J164" t="inlineStr">
        <is>
          <t>G00727</t>
        </is>
      </c>
      <c r="K164" t="str">
        <f>INDEX('Match Groups'!$D$5:$D$1326,MATCH(J164,'Match Groups'!$A$5:$A$1326,0))</f>
        <v>MATCH</v>
      </c>
    </row>
    <row r="165">
      <c r="A165" t="inlineStr">
        <is>
          <t>JI-04116</t>
        </is>
      </c>
      <c r="B165" t="inlineStr">
        <is>
          <t>MER</t>
        </is>
      </c>
      <c r="C165" s="5" t="n">
        <v>46247</v>
      </c>
      <c r="D165" t="inlineStr">
        <is>
          <t>Box Hill clinic takings</t>
        </is>
      </c>
      <c r="E165" t="inlineStr">
        <is>
          <t>POS T403 130826</t>
        </is>
      </c>
      <c r="F165" t="inlineStr">
        <is>
          <t>Daily card takings Box Hill 13/08</t>
        </is>
      </c>
      <c r="G165" s="9" t="n">
        <v>1644.55</v>
      </c>
      <c r="H165" t="inlineStr">
        <is>
          <t>entry</t>
        </is>
      </c>
      <c r="I165" t="inlineStr"/>
      <c r="J165" t="inlineStr">
        <is>
          <t>G00728</t>
        </is>
      </c>
      <c r="K165" t="str">
        <f>INDEX('Match Groups'!$D$5:$D$1326,MATCH(J165,'Match Groups'!$A$5:$A$1326,0))</f>
        <v>MATCH</v>
      </c>
    </row>
    <row r="166">
      <c r="A166" t="inlineStr">
        <is>
          <t>JI-04117</t>
        </is>
      </c>
      <c r="B166" t="inlineStr">
        <is>
          <t>MER</t>
        </is>
      </c>
      <c r="C166" s="5" t="n">
        <v>46247</v>
      </c>
      <c r="D166" t="inlineStr">
        <is>
          <t>Frankston clinic takings</t>
        </is>
      </c>
      <c r="E166" t="inlineStr">
        <is>
          <t>POS T404 130826</t>
        </is>
      </c>
      <c r="F166" t="inlineStr">
        <is>
          <t>Daily card takings Frankston 13/08</t>
        </is>
      </c>
      <c r="G166" s="9" t="n">
        <v>2123.19</v>
      </c>
      <c r="H166" t="inlineStr">
        <is>
          <t>entry</t>
        </is>
      </c>
      <c r="I166" t="inlineStr"/>
      <c r="J166" t="inlineStr">
        <is>
          <t>G00729</t>
        </is>
      </c>
      <c r="K166" t="str">
        <f>INDEX('Match Groups'!$D$5:$D$1326,MATCH(J166,'Match Groups'!$A$5:$A$1326,0))</f>
        <v>MATCH</v>
      </c>
    </row>
    <row r="167">
      <c r="A167" t="inlineStr">
        <is>
          <t>JI-04118</t>
        </is>
      </c>
      <c r="B167" t="inlineStr">
        <is>
          <t>MER</t>
        </is>
      </c>
      <c r="C167" s="5" t="n">
        <v>46248</v>
      </c>
      <c r="D167" t="inlineStr">
        <is>
          <t>Carlton clinic takings</t>
        </is>
      </c>
      <c r="E167" t="inlineStr">
        <is>
          <t>POS T401 140826</t>
        </is>
      </c>
      <c r="F167" t="inlineStr">
        <is>
          <t>Daily card takings Carlton 14/08</t>
        </is>
      </c>
      <c r="G167" s="9" t="n">
        <v>1992.08</v>
      </c>
      <c r="H167" t="inlineStr">
        <is>
          <t>entry</t>
        </is>
      </c>
      <c r="I167" t="inlineStr"/>
      <c r="J167" t="inlineStr">
        <is>
          <t>G00730</t>
        </is>
      </c>
      <c r="K167" t="str">
        <f>INDEX('Match Groups'!$D$5:$D$1326,MATCH(J167,'Match Groups'!$A$5:$A$1326,0))</f>
        <v>MATCH</v>
      </c>
    </row>
    <row r="168">
      <c r="A168" t="inlineStr">
        <is>
          <t>JI-04119</t>
        </is>
      </c>
      <c r="B168" t="inlineStr">
        <is>
          <t>MER</t>
        </is>
      </c>
      <c r="C168" s="5" t="n">
        <v>46248</v>
      </c>
      <c r="D168" t="inlineStr">
        <is>
          <t>Footscray clinic takings</t>
        </is>
      </c>
      <c r="E168" t="inlineStr">
        <is>
          <t>POS T402 140826</t>
        </is>
      </c>
      <c r="F168" t="inlineStr">
        <is>
          <t>Daily card takings Footscray 14/08</t>
        </is>
      </c>
      <c r="G168" s="9" t="n">
        <v>2475.5</v>
      </c>
      <c r="H168" t="inlineStr">
        <is>
          <t>entry</t>
        </is>
      </c>
      <c r="I168" t="inlineStr"/>
      <c r="J168" t="inlineStr">
        <is>
          <t>G00731</t>
        </is>
      </c>
      <c r="K168" t="str">
        <f>INDEX('Match Groups'!$D$5:$D$1326,MATCH(J168,'Match Groups'!$A$5:$A$1326,0))</f>
        <v>MATCH</v>
      </c>
    </row>
    <row r="169">
      <c r="A169" t="inlineStr">
        <is>
          <t>JI-04120</t>
        </is>
      </c>
      <c r="B169" t="inlineStr">
        <is>
          <t>MER</t>
        </is>
      </c>
      <c r="C169" s="5" t="n">
        <v>46248</v>
      </c>
      <c r="D169" t="inlineStr">
        <is>
          <t>Box Hill clinic takings</t>
        </is>
      </c>
      <c r="E169" t="inlineStr">
        <is>
          <t>POS T403 140826</t>
        </is>
      </c>
      <c r="F169" t="inlineStr">
        <is>
          <t>Daily card takings Box Hill 14/08</t>
        </is>
      </c>
      <c r="G169" s="9" t="n">
        <v>2151.12</v>
      </c>
      <c r="H169" t="inlineStr">
        <is>
          <t>entry</t>
        </is>
      </c>
      <c r="I169" t="inlineStr"/>
      <c r="J169" t="inlineStr">
        <is>
          <t>G00732</t>
        </is>
      </c>
      <c r="K169" t="str">
        <f>INDEX('Match Groups'!$D$5:$D$1326,MATCH(J169,'Match Groups'!$A$5:$A$1326,0))</f>
        <v>MATCH</v>
      </c>
    </row>
    <row r="170">
      <c r="A170" t="inlineStr">
        <is>
          <t>JI-04121</t>
        </is>
      </c>
      <c r="B170" t="inlineStr">
        <is>
          <t>MER</t>
        </is>
      </c>
      <c r="C170" s="5" t="n">
        <v>46248</v>
      </c>
      <c r="D170" t="inlineStr">
        <is>
          <t>Frankston clinic takings</t>
        </is>
      </c>
      <c r="E170" t="inlineStr">
        <is>
          <t>POS T404 140826</t>
        </is>
      </c>
      <c r="F170" t="inlineStr">
        <is>
          <t>Daily card takings Frankston 14/08</t>
        </is>
      </c>
      <c r="G170" s="9" t="n">
        <v>1933.6</v>
      </c>
      <c r="H170" t="inlineStr">
        <is>
          <t>entry</t>
        </is>
      </c>
      <c r="I170" t="inlineStr"/>
      <c r="J170" t="inlineStr">
        <is>
          <t>G00733</t>
        </is>
      </c>
      <c r="K170" t="str">
        <f>INDEX('Match Groups'!$D$5:$D$1326,MATCH(J170,'Match Groups'!$A$5:$A$1326,0))</f>
        <v>MATCH</v>
      </c>
    </row>
    <row r="171">
      <c r="A171" t="inlineStr">
        <is>
          <t>JI-04122</t>
        </is>
      </c>
      <c r="B171" t="inlineStr">
        <is>
          <t>MER</t>
        </is>
      </c>
      <c r="C171" s="5" t="n">
        <v>46249</v>
      </c>
      <c r="D171" t="inlineStr">
        <is>
          <t>Carlton clinic takings</t>
        </is>
      </c>
      <c r="E171" t="inlineStr">
        <is>
          <t>POS T401 150826</t>
        </is>
      </c>
      <c r="F171" t="inlineStr">
        <is>
          <t>Daily card takings Carlton 15/08</t>
        </is>
      </c>
      <c r="G171" s="9" t="n">
        <v>675.4400000000001</v>
      </c>
      <c r="H171" t="inlineStr">
        <is>
          <t>entry</t>
        </is>
      </c>
      <c r="I171" t="inlineStr"/>
      <c r="J171" t="inlineStr">
        <is>
          <t>G00734</t>
        </is>
      </c>
      <c r="K171" t="str">
        <f>INDEX('Match Groups'!$D$5:$D$1326,MATCH(J171,'Match Groups'!$A$5:$A$1326,0))</f>
        <v>MATCH</v>
      </c>
    </row>
    <row r="172">
      <c r="A172" t="inlineStr">
        <is>
          <t>JI-04123</t>
        </is>
      </c>
      <c r="B172" t="inlineStr">
        <is>
          <t>MER</t>
        </is>
      </c>
      <c r="C172" s="5" t="n">
        <v>46249</v>
      </c>
      <c r="D172" t="inlineStr">
        <is>
          <t>Footscray clinic takings</t>
        </is>
      </c>
      <c r="E172" t="inlineStr">
        <is>
          <t>POS T402 150826</t>
        </is>
      </c>
      <c r="F172" t="inlineStr">
        <is>
          <t>Daily card takings Footscray 15/08</t>
        </is>
      </c>
      <c r="G172" s="9" t="n">
        <v>750.39</v>
      </c>
      <c r="H172" t="inlineStr">
        <is>
          <t>entry</t>
        </is>
      </c>
      <c r="I172" t="inlineStr"/>
      <c r="J172" t="inlineStr">
        <is>
          <t>G00735</t>
        </is>
      </c>
      <c r="K172" t="str">
        <f>INDEX('Match Groups'!$D$5:$D$1326,MATCH(J172,'Match Groups'!$A$5:$A$1326,0))</f>
        <v>MATCH</v>
      </c>
    </row>
    <row r="173">
      <c r="A173" t="inlineStr">
        <is>
          <t>JI-04124</t>
        </is>
      </c>
      <c r="B173" t="inlineStr">
        <is>
          <t>MER</t>
        </is>
      </c>
      <c r="C173" s="5" t="n">
        <v>46249</v>
      </c>
      <c r="D173" t="inlineStr">
        <is>
          <t>Box Hill clinic takings</t>
        </is>
      </c>
      <c r="E173" t="inlineStr">
        <is>
          <t>POS T403 150826</t>
        </is>
      </c>
      <c r="F173" t="inlineStr">
        <is>
          <t>Daily card takings Box Hill 15/08</t>
        </is>
      </c>
      <c r="G173" s="9" t="n">
        <v>722.33</v>
      </c>
      <c r="H173" t="inlineStr">
        <is>
          <t>entry</t>
        </is>
      </c>
      <c r="I173" t="inlineStr"/>
      <c r="J173" t="inlineStr">
        <is>
          <t>G00736</t>
        </is>
      </c>
      <c r="K173" t="str">
        <f>INDEX('Match Groups'!$D$5:$D$1326,MATCH(J173,'Match Groups'!$A$5:$A$1326,0))</f>
        <v>MATCH</v>
      </c>
    </row>
    <row r="174">
      <c r="A174" t="inlineStr">
        <is>
          <t>JI-04125</t>
        </is>
      </c>
      <c r="B174" t="inlineStr">
        <is>
          <t>MER</t>
        </is>
      </c>
      <c r="C174" s="5" t="n">
        <v>46249</v>
      </c>
      <c r="D174" t="inlineStr">
        <is>
          <t>Frankston clinic takings</t>
        </is>
      </c>
      <c r="E174" t="inlineStr">
        <is>
          <t>POS T404 150826</t>
        </is>
      </c>
      <c r="F174" t="inlineStr">
        <is>
          <t>Daily card takings Frankston 15/08</t>
        </is>
      </c>
      <c r="G174" s="9" t="n">
        <v>769.8099999999999</v>
      </c>
      <c r="H174" t="inlineStr">
        <is>
          <t>entry</t>
        </is>
      </c>
      <c r="I174" t="inlineStr"/>
      <c r="J174" t="inlineStr">
        <is>
          <t>G00737</t>
        </is>
      </c>
      <c r="K174" t="str">
        <f>INDEX('Match Groups'!$D$5:$D$1326,MATCH(J174,'Match Groups'!$A$5:$A$1326,0))</f>
        <v>MATCH</v>
      </c>
    </row>
    <row r="175">
      <c r="A175" t="inlineStr">
        <is>
          <t>JI-04126</t>
        </is>
      </c>
      <c r="B175" t="inlineStr">
        <is>
          <t>MER</t>
        </is>
      </c>
      <c r="C175" s="5" t="n">
        <v>46251</v>
      </c>
      <c r="D175" t="inlineStr">
        <is>
          <t>Carlton clinic takings</t>
        </is>
      </c>
      <c r="E175" t="inlineStr">
        <is>
          <t>POS T401 170826</t>
        </is>
      </c>
      <c r="F175" t="inlineStr">
        <is>
          <t>Daily card takings Carlton 17/08</t>
        </is>
      </c>
      <c r="G175" s="9" t="n">
        <v>2948.92</v>
      </c>
      <c r="H175" t="inlineStr">
        <is>
          <t>entry</t>
        </is>
      </c>
      <c r="I175" t="inlineStr"/>
      <c r="J175" t="inlineStr">
        <is>
          <t>G00739</t>
        </is>
      </c>
      <c r="K175" t="str">
        <f>INDEX('Match Groups'!$D$5:$D$1326,MATCH(J175,'Match Groups'!$A$5:$A$1326,0))</f>
        <v>MATCH</v>
      </c>
    </row>
    <row r="176">
      <c r="A176" t="inlineStr">
        <is>
          <t>JI-04127</t>
        </is>
      </c>
      <c r="B176" t="inlineStr">
        <is>
          <t>MER</t>
        </is>
      </c>
      <c r="C176" s="5" t="n">
        <v>46251</v>
      </c>
      <c r="D176" t="inlineStr">
        <is>
          <t>Footscray clinic takings</t>
        </is>
      </c>
      <c r="E176" t="inlineStr">
        <is>
          <t>POS T402 170826</t>
        </is>
      </c>
      <c r="F176" t="inlineStr">
        <is>
          <t>Daily card takings Footscray 17/08</t>
        </is>
      </c>
      <c r="G176" s="9" t="n">
        <v>3123.45</v>
      </c>
      <c r="H176" t="inlineStr">
        <is>
          <t>entry</t>
        </is>
      </c>
      <c r="I176" t="inlineStr"/>
      <c r="J176" t="inlineStr">
        <is>
          <t>G00740</t>
        </is>
      </c>
      <c r="K176" t="str">
        <f>INDEX('Match Groups'!$D$5:$D$1326,MATCH(J176,'Match Groups'!$A$5:$A$1326,0))</f>
        <v>MATCH</v>
      </c>
    </row>
    <row r="177">
      <c r="A177" t="inlineStr">
        <is>
          <t>JI-04128</t>
        </is>
      </c>
      <c r="B177" t="inlineStr">
        <is>
          <t>MER</t>
        </is>
      </c>
      <c r="C177" s="5" t="n">
        <v>46251</v>
      </c>
      <c r="D177" t="inlineStr">
        <is>
          <t>Box Hill clinic takings</t>
        </is>
      </c>
      <c r="E177" t="inlineStr">
        <is>
          <t>POS T403 170826</t>
        </is>
      </c>
      <c r="F177" t="inlineStr">
        <is>
          <t>Daily card takings Box Hill 17/08</t>
        </is>
      </c>
      <c r="G177" s="9" t="n">
        <v>1623.14</v>
      </c>
      <c r="H177" t="inlineStr">
        <is>
          <t>entry</t>
        </is>
      </c>
      <c r="I177" t="inlineStr"/>
      <c r="J177" t="inlineStr">
        <is>
          <t>G00741</t>
        </is>
      </c>
      <c r="K177" t="str">
        <f>INDEX('Match Groups'!$D$5:$D$1326,MATCH(J177,'Match Groups'!$A$5:$A$1326,0))</f>
        <v>MATCH</v>
      </c>
    </row>
    <row r="178">
      <c r="A178" t="inlineStr">
        <is>
          <t>JI-04129</t>
        </is>
      </c>
      <c r="B178" t="inlineStr">
        <is>
          <t>MER</t>
        </is>
      </c>
      <c r="C178" s="5" t="n">
        <v>46251</v>
      </c>
      <c r="D178" t="inlineStr">
        <is>
          <t>Frankston clinic takings</t>
        </is>
      </c>
      <c r="E178" t="inlineStr">
        <is>
          <t>POS T404 170826</t>
        </is>
      </c>
      <c r="F178" t="inlineStr">
        <is>
          <t>Daily card takings Frankston 17/08</t>
        </is>
      </c>
      <c r="G178" s="9" t="n">
        <v>1754.28</v>
      </c>
      <c r="H178" t="inlineStr">
        <is>
          <t>entry</t>
        </is>
      </c>
      <c r="I178" t="inlineStr"/>
      <c r="J178" t="inlineStr">
        <is>
          <t>G00742</t>
        </is>
      </c>
      <c r="K178" t="str">
        <f>INDEX('Match Groups'!$D$5:$D$1326,MATCH(J178,'Match Groups'!$A$5:$A$1326,0))</f>
        <v>MATCH</v>
      </c>
    </row>
    <row r="179">
      <c r="A179" t="inlineStr">
        <is>
          <t>JI-04294</t>
        </is>
      </c>
      <c r="B179" t="inlineStr">
        <is>
          <t>MER</t>
        </is>
      </c>
      <c r="C179" s="5" t="n">
        <v>46251</v>
      </c>
      <c r="D179" t="inlineStr">
        <is>
          <t>Internal transfer</t>
        </is>
      </c>
      <c r="E179" t="inlineStr">
        <is>
          <t>SWEEP 1708</t>
        </is>
      </c>
      <c r="F179" t="inlineStr">
        <is>
          <t>Sweep to operating</t>
        </is>
      </c>
      <c r="G179" s="9" t="n">
        <v>-30000</v>
      </c>
      <c r="H179" t="inlineStr">
        <is>
          <t>transfer</t>
        </is>
      </c>
      <c r="I179" t="inlineStr"/>
      <c r="J179" t="inlineStr">
        <is>
          <t>G00738</t>
        </is>
      </c>
      <c r="K179" t="str">
        <f>INDEX('Match Groups'!$D$5:$D$1326,MATCH(J179,'Match Groups'!$A$5:$A$1326,0))</f>
        <v>MATCH</v>
      </c>
    </row>
    <row r="180">
      <c r="A180" t="inlineStr">
        <is>
          <t>JI-04130</t>
        </is>
      </c>
      <c r="B180" t="inlineStr">
        <is>
          <t>MER</t>
        </is>
      </c>
      <c r="C180" s="5" t="n">
        <v>46252</v>
      </c>
      <c r="D180" t="inlineStr">
        <is>
          <t>Carlton clinic takings</t>
        </is>
      </c>
      <c r="E180" t="inlineStr">
        <is>
          <t>POS T401 180826</t>
        </is>
      </c>
      <c r="F180" t="inlineStr">
        <is>
          <t>Daily card takings Carlton 18/08</t>
        </is>
      </c>
      <c r="G180" s="9" t="n">
        <v>3581.86</v>
      </c>
      <c r="H180" t="inlineStr">
        <is>
          <t>entry</t>
        </is>
      </c>
      <c r="I180" t="inlineStr"/>
      <c r="J180" t="inlineStr">
        <is>
          <t>G00743</t>
        </is>
      </c>
      <c r="K180" t="str">
        <f>INDEX('Match Groups'!$D$5:$D$1326,MATCH(J180,'Match Groups'!$A$5:$A$1326,0))</f>
        <v>MATCH</v>
      </c>
    </row>
    <row r="181">
      <c r="A181" t="inlineStr">
        <is>
          <t>JI-04131</t>
        </is>
      </c>
      <c r="B181" t="inlineStr">
        <is>
          <t>MER</t>
        </is>
      </c>
      <c r="C181" s="5" t="n">
        <v>46252</v>
      </c>
      <c r="D181" t="inlineStr">
        <is>
          <t>Footscray clinic takings</t>
        </is>
      </c>
      <c r="E181" t="inlineStr">
        <is>
          <t>POS T402 180826</t>
        </is>
      </c>
      <c r="F181" t="inlineStr">
        <is>
          <t>Daily card takings Footscray 18/08</t>
        </is>
      </c>
      <c r="G181" s="9" t="n">
        <v>3214.33</v>
      </c>
      <c r="H181" t="inlineStr">
        <is>
          <t>entry</t>
        </is>
      </c>
      <c r="I181" t="inlineStr"/>
      <c r="J181" t="inlineStr">
        <is>
          <t>G00744</t>
        </is>
      </c>
      <c r="K181" t="str">
        <f>INDEX('Match Groups'!$D$5:$D$1326,MATCH(J181,'Match Groups'!$A$5:$A$1326,0))</f>
        <v>MATCH</v>
      </c>
    </row>
    <row r="182">
      <c r="A182" t="inlineStr">
        <is>
          <t>JI-04132</t>
        </is>
      </c>
      <c r="B182" t="inlineStr">
        <is>
          <t>MER</t>
        </is>
      </c>
      <c r="C182" s="5" t="n">
        <v>46252</v>
      </c>
      <c r="D182" t="inlineStr">
        <is>
          <t>Box Hill clinic takings</t>
        </is>
      </c>
      <c r="E182" t="inlineStr">
        <is>
          <t>POS T403 180826</t>
        </is>
      </c>
      <c r="F182" t="inlineStr">
        <is>
          <t>Daily card takings Box Hill 18/08</t>
        </is>
      </c>
      <c r="G182" s="9" t="n">
        <v>2430.35</v>
      </c>
      <c r="H182" t="inlineStr">
        <is>
          <t>entry</t>
        </is>
      </c>
      <c r="I182" t="inlineStr"/>
      <c r="J182" t="inlineStr">
        <is>
          <t>G00745</t>
        </is>
      </c>
      <c r="K182" t="str">
        <f>INDEX('Match Groups'!$D$5:$D$1326,MATCH(J182,'Match Groups'!$A$5:$A$1326,0))</f>
        <v>MATCH</v>
      </c>
    </row>
    <row r="183">
      <c r="A183" t="inlineStr">
        <is>
          <t>JI-04133</t>
        </is>
      </c>
      <c r="B183" t="inlineStr">
        <is>
          <t>MER</t>
        </is>
      </c>
      <c r="C183" s="5" t="n">
        <v>46252</v>
      </c>
      <c r="D183" t="inlineStr">
        <is>
          <t>Frankston clinic takings</t>
        </is>
      </c>
      <c r="E183" t="inlineStr">
        <is>
          <t>POS T404 180826</t>
        </is>
      </c>
      <c r="F183" t="inlineStr">
        <is>
          <t>Daily card takings Frankston 18/08</t>
        </is>
      </c>
      <c r="G183" s="9" t="n">
        <v>2329.59</v>
      </c>
      <c r="H183" t="inlineStr">
        <is>
          <t>entry</t>
        </is>
      </c>
      <c r="I183" t="inlineStr"/>
      <c r="J183" t="inlineStr">
        <is>
          <t>G00746</t>
        </is>
      </c>
      <c r="K183" t="str">
        <f>INDEX('Match Groups'!$D$5:$D$1326,MATCH(J183,'Match Groups'!$A$5:$A$1326,0))</f>
        <v>MATCH</v>
      </c>
    </row>
    <row r="184">
      <c r="A184" t="inlineStr">
        <is>
          <t>JI-04134</t>
        </is>
      </c>
      <c r="B184" t="inlineStr">
        <is>
          <t>MER</t>
        </is>
      </c>
      <c r="C184" s="5" t="n">
        <v>46253</v>
      </c>
      <c r="D184" t="inlineStr">
        <is>
          <t>Carlton clinic takings</t>
        </is>
      </c>
      <c r="E184" t="inlineStr">
        <is>
          <t>POS T401 190826</t>
        </is>
      </c>
      <c r="F184" t="inlineStr">
        <is>
          <t>Daily card takings Carlton 19/08</t>
        </is>
      </c>
      <c r="G184" s="9" t="n">
        <v>3130.18</v>
      </c>
      <c r="H184" t="inlineStr">
        <is>
          <t>entry</t>
        </is>
      </c>
      <c r="I184" t="inlineStr"/>
      <c r="J184" t="inlineStr">
        <is>
          <t>G00747</t>
        </is>
      </c>
      <c r="K184" t="str">
        <f>INDEX('Match Groups'!$D$5:$D$1326,MATCH(J184,'Match Groups'!$A$5:$A$1326,0))</f>
        <v>MATCH</v>
      </c>
    </row>
    <row r="185">
      <c r="A185" t="inlineStr">
        <is>
          <t>JI-04135</t>
        </is>
      </c>
      <c r="B185" t="inlineStr">
        <is>
          <t>MER</t>
        </is>
      </c>
      <c r="C185" s="5" t="n">
        <v>46253</v>
      </c>
      <c r="D185" t="inlineStr">
        <is>
          <t>Footscray clinic takings</t>
        </is>
      </c>
      <c r="E185" t="inlineStr">
        <is>
          <t>POS T402 190826</t>
        </is>
      </c>
      <c r="F185" t="inlineStr">
        <is>
          <t>Daily card takings Footscray 19/08</t>
        </is>
      </c>
      <c r="G185" s="9" t="n">
        <v>3596.75</v>
      </c>
      <c r="H185" t="inlineStr">
        <is>
          <t>entry</t>
        </is>
      </c>
      <c r="I185" t="inlineStr"/>
      <c r="J185" t="inlineStr">
        <is>
          <t>G00748</t>
        </is>
      </c>
      <c r="K185" t="str">
        <f>INDEX('Match Groups'!$D$5:$D$1326,MATCH(J185,'Match Groups'!$A$5:$A$1326,0))</f>
        <v>MATCH</v>
      </c>
    </row>
    <row r="186">
      <c r="A186" t="inlineStr">
        <is>
          <t>JI-04136</t>
        </is>
      </c>
      <c r="B186" t="inlineStr">
        <is>
          <t>MER</t>
        </is>
      </c>
      <c r="C186" s="5" t="n">
        <v>46253</v>
      </c>
      <c r="D186" t="inlineStr">
        <is>
          <t>Box Hill clinic takings</t>
        </is>
      </c>
      <c r="E186" t="inlineStr">
        <is>
          <t>POS T403 190826</t>
        </is>
      </c>
      <c r="F186" t="inlineStr">
        <is>
          <t>Daily card takings Box Hill 19/08</t>
        </is>
      </c>
      <c r="G186" s="9" t="n">
        <v>1846.54</v>
      </c>
      <c r="H186" t="inlineStr">
        <is>
          <t>entry</t>
        </is>
      </c>
      <c r="I186" t="inlineStr"/>
      <c r="J186" t="inlineStr">
        <is>
          <t>G00749</t>
        </is>
      </c>
      <c r="K186" t="str">
        <f>INDEX('Match Groups'!$D$5:$D$1326,MATCH(J186,'Match Groups'!$A$5:$A$1326,0))</f>
        <v>MATCH</v>
      </c>
    </row>
    <row r="187">
      <c r="A187" t="inlineStr">
        <is>
          <t>JI-04137</t>
        </is>
      </c>
      <c r="B187" t="inlineStr">
        <is>
          <t>MER</t>
        </is>
      </c>
      <c r="C187" s="5" t="n">
        <v>46253</v>
      </c>
      <c r="D187" t="inlineStr">
        <is>
          <t>Frankston clinic takings</t>
        </is>
      </c>
      <c r="E187" t="inlineStr">
        <is>
          <t>POS T404 190826</t>
        </is>
      </c>
      <c r="F187" t="inlineStr">
        <is>
          <t>Daily card takings Frankston 19/08</t>
        </is>
      </c>
      <c r="G187" s="9" t="n">
        <v>1043.67</v>
      </c>
      <c r="H187" t="inlineStr">
        <is>
          <t>entry</t>
        </is>
      </c>
      <c r="I187" t="inlineStr"/>
      <c r="J187" t="inlineStr">
        <is>
          <t>G00750</t>
        </is>
      </c>
      <c r="K187" t="str">
        <f>INDEX('Match Groups'!$D$5:$D$1326,MATCH(J187,'Match Groups'!$A$5:$A$1326,0))</f>
        <v>MATCH</v>
      </c>
    </row>
    <row r="188">
      <c r="A188" t="inlineStr">
        <is>
          <t>JI-04138</t>
        </is>
      </c>
      <c r="B188" t="inlineStr">
        <is>
          <t>MER</t>
        </is>
      </c>
      <c r="C188" s="5" t="n">
        <v>46254</v>
      </c>
      <c r="D188" t="inlineStr">
        <is>
          <t>Carlton clinic takings</t>
        </is>
      </c>
      <c r="E188" t="inlineStr">
        <is>
          <t>POS T401 200826</t>
        </is>
      </c>
      <c r="F188" t="inlineStr">
        <is>
          <t>Daily card takings Carlton 20/08</t>
        </is>
      </c>
      <c r="G188" s="9" t="n">
        <v>2363.52</v>
      </c>
      <c r="H188" t="inlineStr">
        <is>
          <t>entry</t>
        </is>
      </c>
      <c r="I188" t="inlineStr"/>
      <c r="J188" t="inlineStr">
        <is>
          <t>G00751</t>
        </is>
      </c>
      <c r="K188" t="str">
        <f>INDEX('Match Groups'!$D$5:$D$1326,MATCH(J188,'Match Groups'!$A$5:$A$1326,0))</f>
        <v>MATCH</v>
      </c>
    </row>
    <row r="189">
      <c r="A189" t="inlineStr">
        <is>
          <t>JI-04139</t>
        </is>
      </c>
      <c r="B189" t="inlineStr">
        <is>
          <t>MER</t>
        </is>
      </c>
      <c r="C189" s="5" t="n">
        <v>46254</v>
      </c>
      <c r="D189" t="inlineStr">
        <is>
          <t>Footscray clinic takings</t>
        </is>
      </c>
      <c r="E189" t="inlineStr">
        <is>
          <t>POS T402 200826</t>
        </is>
      </c>
      <c r="F189" t="inlineStr">
        <is>
          <t>Daily card takings Footscray 20/08</t>
        </is>
      </c>
      <c r="G189" s="9" t="n">
        <v>1602.45</v>
      </c>
      <c r="H189" t="inlineStr">
        <is>
          <t>entry</t>
        </is>
      </c>
      <c r="I189" t="inlineStr"/>
      <c r="J189" t="inlineStr">
        <is>
          <t>G00752</t>
        </is>
      </c>
      <c r="K189" t="str">
        <f>INDEX('Match Groups'!$D$5:$D$1326,MATCH(J189,'Match Groups'!$A$5:$A$1326,0))</f>
        <v>MATCH</v>
      </c>
    </row>
    <row r="190">
      <c r="A190" t="inlineStr">
        <is>
          <t>JI-04140</t>
        </is>
      </c>
      <c r="B190" t="inlineStr">
        <is>
          <t>MER</t>
        </is>
      </c>
      <c r="C190" s="5" t="n">
        <v>46254</v>
      </c>
      <c r="D190" t="inlineStr">
        <is>
          <t>Box Hill clinic takings</t>
        </is>
      </c>
      <c r="E190" t="inlineStr">
        <is>
          <t>POS T403 200826</t>
        </is>
      </c>
      <c r="F190" t="inlineStr">
        <is>
          <t>Daily card takings Box Hill 20/08</t>
        </is>
      </c>
      <c r="G190" s="9" t="n">
        <v>2371.32</v>
      </c>
      <c r="H190" t="inlineStr">
        <is>
          <t>entry</t>
        </is>
      </c>
      <c r="I190" t="inlineStr"/>
      <c r="J190" t="inlineStr">
        <is>
          <t>G00753</t>
        </is>
      </c>
      <c r="K190" t="str">
        <f>INDEX('Match Groups'!$D$5:$D$1326,MATCH(J190,'Match Groups'!$A$5:$A$1326,0))</f>
        <v>MATCH</v>
      </c>
    </row>
    <row r="191">
      <c r="A191" t="inlineStr">
        <is>
          <t>JI-04141</t>
        </is>
      </c>
      <c r="B191" t="inlineStr">
        <is>
          <t>MER</t>
        </is>
      </c>
      <c r="C191" s="5" t="n">
        <v>46254</v>
      </c>
      <c r="D191" t="inlineStr">
        <is>
          <t>Frankston clinic takings</t>
        </is>
      </c>
      <c r="E191" t="inlineStr">
        <is>
          <t>POS T404 200826</t>
        </is>
      </c>
      <c r="F191" t="inlineStr">
        <is>
          <t>Daily card takings Frankston 20/08</t>
        </is>
      </c>
      <c r="G191" s="9" t="n">
        <v>2941.92</v>
      </c>
      <c r="H191" t="inlineStr">
        <is>
          <t>entry</t>
        </is>
      </c>
      <c r="I191" t="inlineStr"/>
      <c r="J191" t="inlineStr">
        <is>
          <t>G00754</t>
        </is>
      </c>
      <c r="K191" t="str">
        <f>INDEX('Match Groups'!$D$5:$D$1326,MATCH(J191,'Match Groups'!$A$5:$A$1326,0))</f>
        <v>MATCH</v>
      </c>
    </row>
    <row r="192">
      <c r="A192" t="inlineStr">
        <is>
          <t>JI-04142</t>
        </is>
      </c>
      <c r="B192" t="inlineStr">
        <is>
          <t>MER</t>
        </is>
      </c>
      <c r="C192" s="5" t="n">
        <v>46255</v>
      </c>
      <c r="D192" t="inlineStr">
        <is>
          <t>Carlton clinic takings</t>
        </is>
      </c>
      <c r="E192" t="inlineStr">
        <is>
          <t>POS T401 210826</t>
        </is>
      </c>
      <c r="F192" t="inlineStr">
        <is>
          <t>Daily card takings Carlton 21/08</t>
        </is>
      </c>
      <c r="G192" s="9" t="n">
        <v>3356.9</v>
      </c>
      <c r="H192" t="inlineStr">
        <is>
          <t>entry</t>
        </is>
      </c>
      <c r="I192" t="inlineStr"/>
      <c r="J192" t="inlineStr">
        <is>
          <t>G00755</t>
        </is>
      </c>
      <c r="K192" t="str">
        <f>INDEX('Match Groups'!$D$5:$D$1326,MATCH(J192,'Match Groups'!$A$5:$A$1326,0))</f>
        <v>MATCH</v>
      </c>
    </row>
    <row r="193">
      <c r="A193" t="inlineStr">
        <is>
          <t>JI-04143</t>
        </is>
      </c>
      <c r="B193" t="inlineStr">
        <is>
          <t>MER</t>
        </is>
      </c>
      <c r="C193" s="5" t="n">
        <v>46255</v>
      </c>
      <c r="D193" t="inlineStr">
        <is>
          <t>Footscray clinic takings</t>
        </is>
      </c>
      <c r="E193" t="inlineStr">
        <is>
          <t>POS T402 210826</t>
        </is>
      </c>
      <c r="F193" t="inlineStr">
        <is>
          <t>Daily card takings Footscray 21/08</t>
        </is>
      </c>
      <c r="G193" s="9" t="n">
        <v>901.64</v>
      </c>
      <c r="H193" t="inlineStr">
        <is>
          <t>entry</t>
        </is>
      </c>
      <c r="I193" t="inlineStr"/>
      <c r="J193" t="inlineStr">
        <is>
          <t>G00756</t>
        </is>
      </c>
      <c r="K193" t="str">
        <f>INDEX('Match Groups'!$D$5:$D$1326,MATCH(J193,'Match Groups'!$A$5:$A$1326,0))</f>
        <v>MATCH</v>
      </c>
    </row>
    <row r="194">
      <c r="A194" t="inlineStr">
        <is>
          <t>JI-04144</t>
        </is>
      </c>
      <c r="B194" t="inlineStr">
        <is>
          <t>MER</t>
        </is>
      </c>
      <c r="C194" s="5" t="n">
        <v>46255</v>
      </c>
      <c r="D194" t="inlineStr">
        <is>
          <t>Box Hill clinic takings</t>
        </is>
      </c>
      <c r="E194" t="inlineStr">
        <is>
          <t>POS T403 210826</t>
        </is>
      </c>
      <c r="F194" t="inlineStr">
        <is>
          <t>Daily card takings Box Hill 21/08</t>
        </is>
      </c>
      <c r="G194" s="9" t="n">
        <v>2823.68</v>
      </c>
      <c r="H194" t="inlineStr">
        <is>
          <t>entry</t>
        </is>
      </c>
      <c r="I194" t="inlineStr"/>
      <c r="J194" t="inlineStr">
        <is>
          <t>G00757</t>
        </is>
      </c>
      <c r="K194" t="str">
        <f>INDEX('Match Groups'!$D$5:$D$1326,MATCH(J194,'Match Groups'!$A$5:$A$1326,0))</f>
        <v>MATCH</v>
      </c>
    </row>
    <row r="195">
      <c r="A195" t="inlineStr">
        <is>
          <t>JI-04145</t>
        </is>
      </c>
      <c r="B195" t="inlineStr">
        <is>
          <t>MER</t>
        </is>
      </c>
      <c r="C195" s="5" t="n">
        <v>46255</v>
      </c>
      <c r="D195" t="inlineStr">
        <is>
          <t>Frankston clinic takings</t>
        </is>
      </c>
      <c r="E195" t="inlineStr">
        <is>
          <t>POS T404 210826</t>
        </is>
      </c>
      <c r="F195" t="inlineStr">
        <is>
          <t>Daily card takings Frankston 21/08</t>
        </is>
      </c>
      <c r="G195" s="9" t="n">
        <v>3417.18</v>
      </c>
      <c r="H195" t="inlineStr">
        <is>
          <t>entry</t>
        </is>
      </c>
      <c r="I195" t="inlineStr"/>
      <c r="J195" t="inlineStr">
        <is>
          <t>G00758</t>
        </is>
      </c>
      <c r="K195" t="str">
        <f>INDEX('Match Groups'!$D$5:$D$1326,MATCH(J195,'Match Groups'!$A$5:$A$1326,0))</f>
        <v>MATCH</v>
      </c>
    </row>
    <row r="196">
      <c r="A196" t="inlineStr">
        <is>
          <t>JI-04146</t>
        </is>
      </c>
      <c r="B196" t="inlineStr">
        <is>
          <t>MER</t>
        </is>
      </c>
      <c r="C196" s="5" t="n">
        <v>46256</v>
      </c>
      <c r="D196" t="inlineStr">
        <is>
          <t>Carlton clinic takings</t>
        </is>
      </c>
      <c r="E196" t="inlineStr">
        <is>
          <t>POS T401 220826</t>
        </is>
      </c>
      <c r="F196" t="inlineStr">
        <is>
          <t>Daily card takings Carlton 22/08</t>
        </is>
      </c>
      <c r="G196" s="9" t="n">
        <v>1176.51</v>
      </c>
      <c r="H196" t="inlineStr">
        <is>
          <t>entry</t>
        </is>
      </c>
      <c r="I196" t="inlineStr"/>
      <c r="J196" t="inlineStr">
        <is>
          <t>G00759</t>
        </is>
      </c>
      <c r="K196" t="str">
        <f>INDEX('Match Groups'!$D$5:$D$1326,MATCH(J196,'Match Groups'!$A$5:$A$1326,0))</f>
        <v>MATCH</v>
      </c>
    </row>
    <row r="197">
      <c r="A197" t="inlineStr">
        <is>
          <t>JI-04147</t>
        </is>
      </c>
      <c r="B197" t="inlineStr">
        <is>
          <t>MER</t>
        </is>
      </c>
      <c r="C197" s="5" t="n">
        <v>46256</v>
      </c>
      <c r="D197" t="inlineStr">
        <is>
          <t>Footscray clinic takings</t>
        </is>
      </c>
      <c r="E197" t="inlineStr">
        <is>
          <t>POS T402 220826</t>
        </is>
      </c>
      <c r="F197" t="inlineStr">
        <is>
          <t>Daily card takings Footscray 22/08</t>
        </is>
      </c>
      <c r="G197" s="9" t="n">
        <v>1078.15</v>
      </c>
      <c r="H197" t="inlineStr">
        <is>
          <t>entry</t>
        </is>
      </c>
      <c r="I197" t="inlineStr"/>
      <c r="J197" t="inlineStr">
        <is>
          <t>G00760</t>
        </is>
      </c>
      <c r="K197" t="str">
        <f>INDEX('Match Groups'!$D$5:$D$1326,MATCH(J197,'Match Groups'!$A$5:$A$1326,0))</f>
        <v>MATCH</v>
      </c>
    </row>
    <row r="198">
      <c r="A198" t="inlineStr">
        <is>
          <t>JI-04148</t>
        </is>
      </c>
      <c r="B198" t="inlineStr">
        <is>
          <t>MER</t>
        </is>
      </c>
      <c r="C198" s="5" t="n">
        <v>46256</v>
      </c>
      <c r="D198" t="inlineStr">
        <is>
          <t>Box Hill clinic takings</t>
        </is>
      </c>
      <c r="E198" t="inlineStr">
        <is>
          <t>POS T403 220826</t>
        </is>
      </c>
      <c r="F198" t="inlineStr">
        <is>
          <t>Daily card takings Box Hill 22/08</t>
        </is>
      </c>
      <c r="G198" s="9" t="n">
        <v>980.45</v>
      </c>
      <c r="H198" t="inlineStr">
        <is>
          <t>entry</t>
        </is>
      </c>
      <c r="I198" t="inlineStr"/>
      <c r="J198" t="inlineStr">
        <is>
          <t>G00761</t>
        </is>
      </c>
      <c r="K198" t="str">
        <f>INDEX('Match Groups'!$D$5:$D$1326,MATCH(J198,'Match Groups'!$A$5:$A$1326,0))</f>
        <v>MATCH</v>
      </c>
    </row>
    <row r="199">
      <c r="A199" t="inlineStr">
        <is>
          <t>JI-04149</t>
        </is>
      </c>
      <c r="B199" t="inlineStr">
        <is>
          <t>MER</t>
        </is>
      </c>
      <c r="C199" s="5" t="n">
        <v>46256</v>
      </c>
      <c r="D199" t="inlineStr">
        <is>
          <t>Frankston clinic takings</t>
        </is>
      </c>
      <c r="E199" t="inlineStr">
        <is>
          <t>POS T404 220826</t>
        </is>
      </c>
      <c r="F199" t="inlineStr">
        <is>
          <t>Daily card takings Frankston 22/08</t>
        </is>
      </c>
      <c r="G199" s="9" t="n">
        <v>1239.16</v>
      </c>
      <c r="H199" t="inlineStr">
        <is>
          <t>entry</t>
        </is>
      </c>
      <c r="I199" t="inlineStr"/>
      <c r="J199" t="inlineStr">
        <is>
          <t>G00762</t>
        </is>
      </c>
      <c r="K199" t="str">
        <f>INDEX('Match Groups'!$D$5:$D$1326,MATCH(J199,'Match Groups'!$A$5:$A$1326,0))</f>
        <v>MATCH</v>
      </c>
    </row>
    <row r="200">
      <c r="A200" t="inlineStr">
        <is>
          <t>JI-04150</t>
        </is>
      </c>
      <c r="B200" t="inlineStr">
        <is>
          <t>MER</t>
        </is>
      </c>
      <c r="C200" s="5" t="n">
        <v>46258</v>
      </c>
      <c r="D200" t="inlineStr">
        <is>
          <t>Carlton clinic takings</t>
        </is>
      </c>
      <c r="E200" t="inlineStr">
        <is>
          <t>POS T401 240826</t>
        </is>
      </c>
      <c r="F200" t="inlineStr">
        <is>
          <t>Daily card takings Carlton 24/08</t>
        </is>
      </c>
      <c r="G200" s="9" t="n">
        <v>2914.25</v>
      </c>
      <c r="H200" t="inlineStr">
        <is>
          <t>entry</t>
        </is>
      </c>
      <c r="I200" t="inlineStr"/>
      <c r="J200" t="inlineStr">
        <is>
          <t>G00764</t>
        </is>
      </c>
      <c r="K200" t="str">
        <f>INDEX('Match Groups'!$D$5:$D$1326,MATCH(J200,'Match Groups'!$A$5:$A$1326,0))</f>
        <v>MATCH</v>
      </c>
    </row>
    <row r="201">
      <c r="A201" t="inlineStr">
        <is>
          <t>JI-04151</t>
        </is>
      </c>
      <c r="B201" t="inlineStr">
        <is>
          <t>MER</t>
        </is>
      </c>
      <c r="C201" s="5" t="n">
        <v>46258</v>
      </c>
      <c r="D201" t="inlineStr">
        <is>
          <t>Footscray clinic takings</t>
        </is>
      </c>
      <c r="E201" t="inlineStr">
        <is>
          <t>POS T402 240826</t>
        </is>
      </c>
      <c r="F201" t="inlineStr">
        <is>
          <t>Daily card takings Footscray 24/08</t>
        </is>
      </c>
      <c r="G201" s="9" t="n">
        <v>3278.09</v>
      </c>
      <c r="H201" t="inlineStr">
        <is>
          <t>entry</t>
        </is>
      </c>
      <c r="I201" t="inlineStr"/>
      <c r="J201" t="inlineStr">
        <is>
          <t>G00765</t>
        </is>
      </c>
      <c r="K201" t="str">
        <f>INDEX('Match Groups'!$D$5:$D$1326,MATCH(J201,'Match Groups'!$A$5:$A$1326,0))</f>
        <v>MATCH</v>
      </c>
    </row>
    <row r="202">
      <c r="A202" t="inlineStr">
        <is>
          <t>JI-04152</t>
        </is>
      </c>
      <c r="B202" t="inlineStr">
        <is>
          <t>MER</t>
        </is>
      </c>
      <c r="C202" s="5" t="n">
        <v>46258</v>
      </c>
      <c r="D202" t="inlineStr">
        <is>
          <t>Box Hill clinic takings</t>
        </is>
      </c>
      <c r="E202" t="inlineStr">
        <is>
          <t>POS T403 240826</t>
        </is>
      </c>
      <c r="F202" t="inlineStr">
        <is>
          <t>Daily card takings Box Hill 24/08</t>
        </is>
      </c>
      <c r="G202" s="9" t="n">
        <v>2185.24</v>
      </c>
      <c r="H202" t="inlineStr">
        <is>
          <t>entry</t>
        </is>
      </c>
      <c r="I202" t="inlineStr"/>
      <c r="J202" t="inlineStr">
        <is>
          <t>G00766</t>
        </is>
      </c>
      <c r="K202" t="str">
        <f>INDEX('Match Groups'!$D$5:$D$1326,MATCH(J202,'Match Groups'!$A$5:$A$1326,0))</f>
        <v>MATCH</v>
      </c>
    </row>
    <row r="203">
      <c r="A203" t="inlineStr">
        <is>
          <t>JI-04153</t>
        </is>
      </c>
      <c r="B203" t="inlineStr">
        <is>
          <t>MER</t>
        </is>
      </c>
      <c r="C203" s="5" t="n">
        <v>46258</v>
      </c>
      <c r="D203" t="inlineStr">
        <is>
          <t>Frankston clinic takings</t>
        </is>
      </c>
      <c r="E203" t="inlineStr">
        <is>
          <t>POS T404 240826</t>
        </is>
      </c>
      <c r="F203" t="inlineStr">
        <is>
          <t>Daily card takings Frankston 24/08</t>
        </is>
      </c>
      <c r="G203" s="9" t="n">
        <v>3116.43</v>
      </c>
      <c r="H203" t="inlineStr">
        <is>
          <t>entry</t>
        </is>
      </c>
      <c r="I203" t="inlineStr"/>
      <c r="J203" t="inlineStr">
        <is>
          <t>G00767</t>
        </is>
      </c>
      <c r="K203" t="str">
        <f>INDEX('Match Groups'!$D$5:$D$1326,MATCH(J203,'Match Groups'!$A$5:$A$1326,0))</f>
        <v>MATCH</v>
      </c>
    </row>
    <row r="204">
      <c r="A204" t="inlineStr">
        <is>
          <t>JI-04296</t>
        </is>
      </c>
      <c r="B204" t="inlineStr">
        <is>
          <t>MER</t>
        </is>
      </c>
      <c r="C204" s="5" t="n">
        <v>46258</v>
      </c>
      <c r="D204" t="inlineStr">
        <is>
          <t>Internal transfer</t>
        </is>
      </c>
      <c r="E204" t="inlineStr">
        <is>
          <t>SWEEP 2408</t>
        </is>
      </c>
      <c r="F204" t="inlineStr">
        <is>
          <t>Sweep to operating</t>
        </is>
      </c>
      <c r="G204" s="9" t="n">
        <v>-34000</v>
      </c>
      <c r="H204" t="inlineStr">
        <is>
          <t>transfer</t>
        </is>
      </c>
      <c r="I204" t="inlineStr"/>
      <c r="J204" t="inlineStr">
        <is>
          <t>G00763</t>
        </is>
      </c>
      <c r="K204" t="str">
        <f>INDEX('Match Groups'!$D$5:$D$1326,MATCH(J204,'Match Groups'!$A$5:$A$1326,0))</f>
        <v>MATCH</v>
      </c>
    </row>
    <row r="205">
      <c r="A205" t="inlineStr">
        <is>
          <t>JI-04154</t>
        </is>
      </c>
      <c r="B205" t="inlineStr">
        <is>
          <t>MER</t>
        </is>
      </c>
      <c r="C205" s="5" t="n">
        <v>46259</v>
      </c>
      <c r="D205" t="inlineStr">
        <is>
          <t>Carlton clinic takings</t>
        </is>
      </c>
      <c r="E205" t="inlineStr">
        <is>
          <t>POS T401 250826</t>
        </is>
      </c>
      <c r="F205" t="inlineStr">
        <is>
          <t>Daily card takings Carlton 25/08</t>
        </is>
      </c>
      <c r="G205" s="9" t="n">
        <v>1951.34</v>
      </c>
      <c r="H205" t="inlineStr">
        <is>
          <t>entry</t>
        </is>
      </c>
      <c r="I205" t="inlineStr"/>
      <c r="J205" t="inlineStr">
        <is>
          <t>G00768</t>
        </is>
      </c>
      <c r="K205" t="str">
        <f>INDEX('Match Groups'!$D$5:$D$1326,MATCH(J205,'Match Groups'!$A$5:$A$1326,0))</f>
        <v>MATCH</v>
      </c>
    </row>
    <row r="206">
      <c r="A206" t="inlineStr">
        <is>
          <t>JI-04155</t>
        </is>
      </c>
      <c r="B206" t="inlineStr">
        <is>
          <t>MER</t>
        </is>
      </c>
      <c r="C206" s="5" t="n">
        <v>46259</v>
      </c>
      <c r="D206" t="inlineStr">
        <is>
          <t>Footscray clinic takings</t>
        </is>
      </c>
      <c r="E206" t="inlineStr">
        <is>
          <t>POS T402 250826</t>
        </is>
      </c>
      <c r="F206" t="inlineStr">
        <is>
          <t>Daily card takings Footscray 25/08</t>
        </is>
      </c>
      <c r="G206" s="9" t="n">
        <v>2320.37</v>
      </c>
      <c r="H206" t="inlineStr">
        <is>
          <t>entry</t>
        </is>
      </c>
      <c r="I206" t="inlineStr"/>
      <c r="J206" t="inlineStr">
        <is>
          <t>G00769</t>
        </is>
      </c>
      <c r="K206" t="str">
        <f>INDEX('Match Groups'!$D$5:$D$1326,MATCH(J206,'Match Groups'!$A$5:$A$1326,0))</f>
        <v>MATCH</v>
      </c>
    </row>
    <row r="207">
      <c r="A207" t="inlineStr">
        <is>
          <t>JI-04156</t>
        </is>
      </c>
      <c r="B207" t="inlineStr">
        <is>
          <t>MER</t>
        </is>
      </c>
      <c r="C207" s="5" t="n">
        <v>46259</v>
      </c>
      <c r="D207" t="inlineStr">
        <is>
          <t>Box Hill clinic takings</t>
        </is>
      </c>
      <c r="E207" t="inlineStr">
        <is>
          <t>POS T403 250826</t>
        </is>
      </c>
      <c r="F207" t="inlineStr">
        <is>
          <t>Daily card takings Box Hill 25/08</t>
        </is>
      </c>
      <c r="G207" s="9" t="n">
        <v>1845.94</v>
      </c>
      <c r="H207" t="inlineStr">
        <is>
          <t>entry</t>
        </is>
      </c>
      <c r="I207" t="inlineStr"/>
      <c r="J207" t="inlineStr">
        <is>
          <t>G00770</t>
        </is>
      </c>
      <c r="K207" t="str">
        <f>INDEX('Match Groups'!$D$5:$D$1326,MATCH(J207,'Match Groups'!$A$5:$A$1326,0))</f>
        <v>MATCH</v>
      </c>
    </row>
    <row r="208">
      <c r="A208" t="inlineStr">
        <is>
          <t>JI-04157</t>
        </is>
      </c>
      <c r="B208" t="inlineStr">
        <is>
          <t>MER</t>
        </is>
      </c>
      <c r="C208" s="5" t="n">
        <v>46259</v>
      </c>
      <c r="D208" t="inlineStr">
        <is>
          <t>Frankston clinic takings</t>
        </is>
      </c>
      <c r="E208" t="inlineStr">
        <is>
          <t>POS T404 250826</t>
        </is>
      </c>
      <c r="F208" t="inlineStr">
        <is>
          <t>Daily card takings Frankston 25/08</t>
        </is>
      </c>
      <c r="G208" s="9" t="n">
        <v>3486.21</v>
      </c>
      <c r="H208" t="inlineStr">
        <is>
          <t>entry</t>
        </is>
      </c>
      <c r="I208" t="inlineStr"/>
      <c r="J208" t="inlineStr">
        <is>
          <t>G00771</t>
        </is>
      </c>
      <c r="K208" t="str">
        <f>INDEX('Match Groups'!$D$5:$D$1326,MATCH(J208,'Match Groups'!$A$5:$A$1326,0))</f>
        <v>MATCH</v>
      </c>
    </row>
    <row r="209">
      <c r="A209" t="inlineStr">
        <is>
          <t>JI-04158</t>
        </is>
      </c>
      <c r="B209" t="inlineStr">
        <is>
          <t>MER</t>
        </is>
      </c>
      <c r="C209" s="5" t="n">
        <v>46260</v>
      </c>
      <c r="D209" t="inlineStr">
        <is>
          <t>Carlton clinic takings</t>
        </is>
      </c>
      <c r="E209" t="inlineStr">
        <is>
          <t>POS T401 260826</t>
        </is>
      </c>
      <c r="F209" t="inlineStr">
        <is>
          <t>Daily card takings Carlton 26/08</t>
        </is>
      </c>
      <c r="G209" s="9" t="n">
        <v>1013.54</v>
      </c>
      <c r="H209" t="inlineStr">
        <is>
          <t>entry</t>
        </is>
      </c>
      <c r="I209" t="inlineStr"/>
      <c r="J209" t="inlineStr">
        <is>
          <t>G00772</t>
        </is>
      </c>
      <c r="K209" t="str">
        <f>INDEX('Match Groups'!$D$5:$D$1326,MATCH(J209,'Match Groups'!$A$5:$A$1326,0))</f>
        <v>MATCH</v>
      </c>
    </row>
    <row r="210">
      <c r="A210" t="inlineStr">
        <is>
          <t>JI-04159</t>
        </is>
      </c>
      <c r="B210" t="inlineStr">
        <is>
          <t>MER</t>
        </is>
      </c>
      <c r="C210" s="5" t="n">
        <v>46260</v>
      </c>
      <c r="D210" t="inlineStr">
        <is>
          <t>Footscray clinic takings</t>
        </is>
      </c>
      <c r="E210" t="inlineStr">
        <is>
          <t>POS T402 260826</t>
        </is>
      </c>
      <c r="F210" t="inlineStr">
        <is>
          <t>Daily card takings Footscray 26/08</t>
        </is>
      </c>
      <c r="G210" s="9" t="n">
        <v>1756.48</v>
      </c>
      <c r="H210" t="inlineStr">
        <is>
          <t>entry</t>
        </is>
      </c>
      <c r="I210" t="inlineStr"/>
      <c r="J210" t="inlineStr">
        <is>
          <t>G00773</t>
        </is>
      </c>
      <c r="K210" t="str">
        <f>INDEX('Match Groups'!$D$5:$D$1326,MATCH(J210,'Match Groups'!$A$5:$A$1326,0))</f>
        <v>MATCH</v>
      </c>
    </row>
    <row r="211">
      <c r="A211" t="inlineStr">
        <is>
          <t>JI-04160</t>
        </is>
      </c>
      <c r="B211" t="inlineStr">
        <is>
          <t>MER</t>
        </is>
      </c>
      <c r="C211" s="5" t="n">
        <v>46260</v>
      </c>
      <c r="D211" t="inlineStr">
        <is>
          <t>Box Hill clinic takings</t>
        </is>
      </c>
      <c r="E211" t="inlineStr">
        <is>
          <t>POS T403 260826</t>
        </is>
      </c>
      <c r="F211" t="inlineStr">
        <is>
          <t>Daily card takings Box Hill 26/08</t>
        </is>
      </c>
      <c r="G211" s="9" t="n">
        <v>2265.32</v>
      </c>
      <c r="H211" t="inlineStr">
        <is>
          <t>entry</t>
        </is>
      </c>
      <c r="I211" t="inlineStr"/>
      <c r="J211" t="inlineStr">
        <is>
          <t>G00774</t>
        </is>
      </c>
      <c r="K211" t="str">
        <f>INDEX('Match Groups'!$D$5:$D$1326,MATCH(J211,'Match Groups'!$A$5:$A$1326,0))</f>
        <v>MATCH</v>
      </c>
    </row>
    <row r="212">
      <c r="A212" t="inlineStr">
        <is>
          <t>JI-04161</t>
        </is>
      </c>
      <c r="B212" t="inlineStr">
        <is>
          <t>MER</t>
        </is>
      </c>
      <c r="C212" s="5" t="n">
        <v>46260</v>
      </c>
      <c r="D212" t="inlineStr">
        <is>
          <t>Frankston clinic takings</t>
        </is>
      </c>
      <c r="E212" t="inlineStr">
        <is>
          <t>POS T404 260826</t>
        </is>
      </c>
      <c r="F212" t="inlineStr">
        <is>
          <t>Daily card takings Frankston 26/08</t>
        </is>
      </c>
      <c r="G212" s="9" t="n">
        <v>3057.39</v>
      </c>
      <c r="H212" t="inlineStr">
        <is>
          <t>entry</t>
        </is>
      </c>
      <c r="I212" t="inlineStr"/>
      <c r="J212" t="inlineStr">
        <is>
          <t>G00775</t>
        </is>
      </c>
      <c r="K212" t="str">
        <f>INDEX('Match Groups'!$D$5:$D$1326,MATCH(J212,'Match Groups'!$A$5:$A$1326,0))</f>
        <v>MATCH</v>
      </c>
    </row>
    <row r="213">
      <c r="A213" t="inlineStr">
        <is>
          <t>JI-04162</t>
        </is>
      </c>
      <c r="B213" t="inlineStr">
        <is>
          <t>MER</t>
        </is>
      </c>
      <c r="C213" s="5" t="n">
        <v>46261</v>
      </c>
      <c r="D213" t="inlineStr">
        <is>
          <t>Carlton clinic takings</t>
        </is>
      </c>
      <c r="E213" t="inlineStr">
        <is>
          <t>POS T401 270826</t>
        </is>
      </c>
      <c r="F213" t="inlineStr">
        <is>
          <t>Daily card takings Carlton 27/08</t>
        </is>
      </c>
      <c r="G213" s="9" t="n">
        <v>1520.87</v>
      </c>
      <c r="H213" t="inlineStr">
        <is>
          <t>entry</t>
        </is>
      </c>
      <c r="I213" t="inlineStr"/>
      <c r="J213" t="inlineStr">
        <is>
          <t>G00776</t>
        </is>
      </c>
      <c r="K213" t="str">
        <f>INDEX('Match Groups'!$D$5:$D$1326,MATCH(J213,'Match Groups'!$A$5:$A$1326,0))</f>
        <v>MATCH</v>
      </c>
    </row>
    <row r="214">
      <c r="A214" t="inlineStr">
        <is>
          <t>JI-04163</t>
        </is>
      </c>
      <c r="B214" t="inlineStr">
        <is>
          <t>MER</t>
        </is>
      </c>
      <c r="C214" s="5" t="n">
        <v>46261</v>
      </c>
      <c r="D214" t="inlineStr">
        <is>
          <t>Footscray clinic takings</t>
        </is>
      </c>
      <c r="E214" t="inlineStr">
        <is>
          <t>POS T402 270826</t>
        </is>
      </c>
      <c r="F214" t="inlineStr">
        <is>
          <t>Daily card takings Footscray 27/08</t>
        </is>
      </c>
      <c r="G214" s="9" t="n">
        <v>2121.36</v>
      </c>
      <c r="H214" t="inlineStr">
        <is>
          <t>entry</t>
        </is>
      </c>
      <c r="I214" t="inlineStr"/>
      <c r="J214" t="inlineStr">
        <is>
          <t>G00777</t>
        </is>
      </c>
      <c r="K214" t="str">
        <f>INDEX('Match Groups'!$D$5:$D$1326,MATCH(J214,'Match Groups'!$A$5:$A$1326,0))</f>
        <v>MATCH</v>
      </c>
    </row>
    <row r="215">
      <c r="A215" t="inlineStr">
        <is>
          <t>JI-04164</t>
        </is>
      </c>
      <c r="B215" t="inlineStr">
        <is>
          <t>MER</t>
        </is>
      </c>
      <c r="C215" s="5" t="n">
        <v>46261</v>
      </c>
      <c r="D215" t="inlineStr">
        <is>
          <t>Box Hill clinic takings</t>
        </is>
      </c>
      <c r="E215" t="inlineStr">
        <is>
          <t>POS T403 270826</t>
        </is>
      </c>
      <c r="F215" t="inlineStr">
        <is>
          <t>Daily card takings Box Hill 27/08</t>
        </is>
      </c>
      <c r="G215" s="9" t="n">
        <v>2942.02</v>
      </c>
      <c r="H215" t="inlineStr">
        <is>
          <t>entry</t>
        </is>
      </c>
      <c r="I215" t="inlineStr"/>
      <c r="J215" t="inlineStr">
        <is>
          <t>G00778</t>
        </is>
      </c>
      <c r="K215" t="str">
        <f>INDEX('Match Groups'!$D$5:$D$1326,MATCH(J215,'Match Groups'!$A$5:$A$1326,0))</f>
        <v>MATCH</v>
      </c>
    </row>
    <row r="216">
      <c r="A216" t="inlineStr">
        <is>
          <t>JI-04165</t>
        </is>
      </c>
      <c r="B216" t="inlineStr">
        <is>
          <t>MER</t>
        </is>
      </c>
      <c r="C216" s="5" t="n">
        <v>46261</v>
      </c>
      <c r="D216" t="inlineStr">
        <is>
          <t>Frankston clinic takings</t>
        </is>
      </c>
      <c r="E216" t="inlineStr">
        <is>
          <t>POS T404 270826</t>
        </is>
      </c>
      <c r="F216" t="inlineStr">
        <is>
          <t>Daily card takings Frankston 27/08</t>
        </is>
      </c>
      <c r="G216" s="9" t="n">
        <v>3297.65</v>
      </c>
      <c r="H216" t="inlineStr">
        <is>
          <t>entry</t>
        </is>
      </c>
      <c r="I216" t="inlineStr"/>
      <c r="J216" t="inlineStr">
        <is>
          <t>G00779</t>
        </is>
      </c>
      <c r="K216" t="str">
        <f>INDEX('Match Groups'!$D$5:$D$1326,MATCH(J216,'Match Groups'!$A$5:$A$1326,0))</f>
        <v>MATCH</v>
      </c>
    </row>
    <row r="217">
      <c r="A217" t="inlineStr">
        <is>
          <t>JI-04166</t>
        </is>
      </c>
      <c r="B217" t="inlineStr">
        <is>
          <t>MER</t>
        </is>
      </c>
      <c r="C217" s="5" t="n">
        <v>46262</v>
      </c>
      <c r="D217" t="inlineStr">
        <is>
          <t>Carlton clinic takings</t>
        </is>
      </c>
      <c r="E217" t="inlineStr">
        <is>
          <t>POS T401 280826</t>
        </is>
      </c>
      <c r="F217" t="inlineStr">
        <is>
          <t>Daily card takings Carlton 28/08</t>
        </is>
      </c>
      <c r="G217" s="9" t="n">
        <v>2847.44</v>
      </c>
      <c r="H217" t="inlineStr">
        <is>
          <t>entry</t>
        </is>
      </c>
      <c r="I217" t="inlineStr"/>
      <c r="J217" t="inlineStr">
        <is>
          <t>G00780</t>
        </is>
      </c>
      <c r="K217" t="str">
        <f>INDEX('Match Groups'!$D$5:$D$1326,MATCH(J217,'Match Groups'!$A$5:$A$1326,0))</f>
        <v>MATCH</v>
      </c>
    </row>
    <row r="218">
      <c r="A218" t="inlineStr">
        <is>
          <t>JI-04167</t>
        </is>
      </c>
      <c r="B218" t="inlineStr">
        <is>
          <t>MER</t>
        </is>
      </c>
      <c r="C218" s="5" t="n">
        <v>46262</v>
      </c>
      <c r="D218" t="inlineStr">
        <is>
          <t>Footscray clinic takings</t>
        </is>
      </c>
      <c r="E218" t="inlineStr">
        <is>
          <t>POS T402 280826</t>
        </is>
      </c>
      <c r="F218" t="inlineStr">
        <is>
          <t>Daily card takings Footscray 28/08</t>
        </is>
      </c>
      <c r="G218" s="9" t="n">
        <v>2967.71</v>
      </c>
      <c r="H218" t="inlineStr">
        <is>
          <t>entry</t>
        </is>
      </c>
      <c r="I218" t="inlineStr"/>
      <c r="J218" t="inlineStr">
        <is>
          <t>G00781</t>
        </is>
      </c>
      <c r="K218" t="str">
        <f>INDEX('Match Groups'!$D$5:$D$1326,MATCH(J218,'Match Groups'!$A$5:$A$1326,0))</f>
        <v>MATCH</v>
      </c>
    </row>
    <row r="219">
      <c r="A219" t="inlineStr">
        <is>
          <t>JI-04168</t>
        </is>
      </c>
      <c r="B219" t="inlineStr">
        <is>
          <t>MER</t>
        </is>
      </c>
      <c r="C219" s="5" t="n">
        <v>46262</v>
      </c>
      <c r="D219" t="inlineStr">
        <is>
          <t>Box Hill clinic takings</t>
        </is>
      </c>
      <c r="E219" t="inlineStr">
        <is>
          <t>POS T403 280826</t>
        </is>
      </c>
      <c r="F219" t="inlineStr">
        <is>
          <t>Daily card takings Box Hill 28/08</t>
        </is>
      </c>
      <c r="G219" s="9" t="n">
        <v>2059.58</v>
      </c>
      <c r="H219" t="inlineStr">
        <is>
          <t>entry</t>
        </is>
      </c>
      <c r="I219" t="inlineStr"/>
      <c r="J219" t="inlineStr">
        <is>
          <t>G00782</t>
        </is>
      </c>
      <c r="K219" t="str">
        <f>INDEX('Match Groups'!$D$5:$D$1326,MATCH(J219,'Match Groups'!$A$5:$A$1326,0))</f>
        <v>MATCH</v>
      </c>
    </row>
    <row r="220">
      <c r="A220" t="inlineStr">
        <is>
          <t>JI-04169</t>
        </is>
      </c>
      <c r="B220" t="inlineStr">
        <is>
          <t>MER</t>
        </is>
      </c>
      <c r="C220" s="5" t="n">
        <v>46262</v>
      </c>
      <c r="D220" t="inlineStr">
        <is>
          <t>Frankston clinic takings</t>
        </is>
      </c>
      <c r="E220" t="inlineStr">
        <is>
          <t>POS T404 280826</t>
        </is>
      </c>
      <c r="F220" t="inlineStr">
        <is>
          <t>Daily card takings Frankston 28/08</t>
        </is>
      </c>
      <c r="G220" s="9" t="n">
        <v>965.84</v>
      </c>
      <c r="H220" t="inlineStr">
        <is>
          <t>entry</t>
        </is>
      </c>
      <c r="I220" t="inlineStr"/>
      <c r="J220" t="inlineStr">
        <is>
          <t>G00783</t>
        </is>
      </c>
      <c r="K220" t="str">
        <f>INDEX('Match Groups'!$D$5:$D$1326,MATCH(J220,'Match Groups'!$A$5:$A$1326,0))</f>
        <v>MATCH</v>
      </c>
    </row>
    <row r="221">
      <c r="A221" t="inlineStr">
        <is>
          <t>JI-04170</t>
        </is>
      </c>
      <c r="B221" t="inlineStr">
        <is>
          <t>MER</t>
        </is>
      </c>
      <c r="C221" s="5" t="n">
        <v>46263</v>
      </c>
      <c r="D221" t="inlineStr">
        <is>
          <t>Carlton clinic takings</t>
        </is>
      </c>
      <c r="E221" t="inlineStr">
        <is>
          <t>POS T401 290826</t>
        </is>
      </c>
      <c r="F221" t="inlineStr">
        <is>
          <t>Daily card takings Carlton 29/08</t>
        </is>
      </c>
      <c r="G221" s="9" t="n">
        <v>618.6799999999999</v>
      </c>
      <c r="H221" t="inlineStr">
        <is>
          <t>entry</t>
        </is>
      </c>
      <c r="I221" t="inlineStr"/>
      <c r="J221" t="inlineStr">
        <is>
          <t>G00784</t>
        </is>
      </c>
      <c r="K221" t="str">
        <f>INDEX('Match Groups'!$D$5:$D$1326,MATCH(J221,'Match Groups'!$A$5:$A$1326,0))</f>
        <v>MATCH</v>
      </c>
    </row>
    <row r="222">
      <c r="A222" t="inlineStr">
        <is>
          <t>JI-04171</t>
        </is>
      </c>
      <c r="B222" t="inlineStr">
        <is>
          <t>MER</t>
        </is>
      </c>
      <c r="C222" s="5" t="n">
        <v>46263</v>
      </c>
      <c r="D222" t="inlineStr">
        <is>
          <t>Footscray clinic takings</t>
        </is>
      </c>
      <c r="E222" t="inlineStr">
        <is>
          <t>POS T402 290826</t>
        </is>
      </c>
      <c r="F222" t="inlineStr">
        <is>
          <t>Daily card takings Footscray 29/08</t>
        </is>
      </c>
      <c r="G222" s="9" t="n">
        <v>1230.35</v>
      </c>
      <c r="H222" t="inlineStr">
        <is>
          <t>entry</t>
        </is>
      </c>
      <c r="I222" t="inlineStr"/>
      <c r="J222" t="inlineStr">
        <is>
          <t>G00785</t>
        </is>
      </c>
      <c r="K222" t="str">
        <f>INDEX('Match Groups'!$D$5:$D$1326,MATCH(J222,'Match Groups'!$A$5:$A$1326,0))</f>
        <v>MATCH</v>
      </c>
    </row>
    <row r="223">
      <c r="A223" t="inlineStr">
        <is>
          <t>JI-04172</t>
        </is>
      </c>
      <c r="B223" t="inlineStr">
        <is>
          <t>MER</t>
        </is>
      </c>
      <c r="C223" s="5" t="n">
        <v>46263</v>
      </c>
      <c r="D223" t="inlineStr">
        <is>
          <t>Box Hill clinic takings</t>
        </is>
      </c>
      <c r="E223" t="inlineStr">
        <is>
          <t>POS T403 290826</t>
        </is>
      </c>
      <c r="F223" t="inlineStr">
        <is>
          <t>Daily card takings Box Hill 29/08</t>
        </is>
      </c>
      <c r="G223" s="9" t="n">
        <v>888.41</v>
      </c>
      <c r="H223" t="inlineStr">
        <is>
          <t>entry</t>
        </is>
      </c>
      <c r="I223" t="inlineStr"/>
      <c r="J223" t="inlineStr">
        <is>
          <t>G00786</t>
        </is>
      </c>
      <c r="K223" t="str">
        <f>INDEX('Match Groups'!$D$5:$D$1326,MATCH(J223,'Match Groups'!$A$5:$A$1326,0))</f>
        <v>MATCH</v>
      </c>
    </row>
    <row r="224">
      <c r="A224" t="inlineStr">
        <is>
          <t>JI-04173</t>
        </is>
      </c>
      <c r="B224" t="inlineStr">
        <is>
          <t>MER</t>
        </is>
      </c>
      <c r="C224" s="5" t="n">
        <v>46263</v>
      </c>
      <c r="D224" t="inlineStr">
        <is>
          <t>Frankston clinic takings</t>
        </is>
      </c>
      <c r="E224" t="inlineStr">
        <is>
          <t>POS T404 290826</t>
        </is>
      </c>
      <c r="F224" t="inlineStr">
        <is>
          <t>Daily card takings Frankston 29/08</t>
        </is>
      </c>
      <c r="G224" s="9" t="n">
        <v>761.37</v>
      </c>
      <c r="H224" t="inlineStr">
        <is>
          <t>entry</t>
        </is>
      </c>
      <c r="I224" t="inlineStr"/>
      <c r="J224" t="inlineStr">
        <is>
          <t>G00787</t>
        </is>
      </c>
      <c r="K224" t="str">
        <f>INDEX('Match Groups'!$D$5:$D$1326,MATCH(J224,'Match Groups'!$A$5:$A$1326,0))</f>
        <v>MATCH</v>
      </c>
    </row>
    <row r="225">
      <c r="A225" t="inlineStr">
        <is>
          <t>JI-04174</t>
        </is>
      </c>
      <c r="B225" t="inlineStr">
        <is>
          <t>MER</t>
        </is>
      </c>
      <c r="C225" s="5" t="n">
        <v>46265</v>
      </c>
      <c r="D225" t="inlineStr">
        <is>
          <t>Carlton clinic takings</t>
        </is>
      </c>
      <c r="E225" t="inlineStr">
        <is>
          <t>POS T401 310826</t>
        </is>
      </c>
      <c r="F225" t="inlineStr">
        <is>
          <t>Daily card takings Carlton 31/08</t>
        </is>
      </c>
      <c r="G225" s="9" t="n">
        <v>1842.76</v>
      </c>
      <c r="H225" t="inlineStr">
        <is>
          <t>entry</t>
        </is>
      </c>
      <c r="I225" t="inlineStr"/>
      <c r="J225" t="inlineStr">
        <is>
          <t>G00789</t>
        </is>
      </c>
      <c r="K225" t="str">
        <f>INDEX('Match Groups'!$D$5:$D$1326,MATCH(J225,'Match Groups'!$A$5:$A$1326,0))</f>
        <v>MATCH</v>
      </c>
    </row>
    <row r="226">
      <c r="A226" t="inlineStr">
        <is>
          <t>JI-04175</t>
        </is>
      </c>
      <c r="B226" t="inlineStr">
        <is>
          <t>MER</t>
        </is>
      </c>
      <c r="C226" s="5" t="n">
        <v>46265</v>
      </c>
      <c r="D226" t="inlineStr">
        <is>
          <t>Footscray clinic takings</t>
        </is>
      </c>
      <c r="E226" t="inlineStr">
        <is>
          <t>POS T402 310826</t>
        </is>
      </c>
      <c r="F226" t="inlineStr">
        <is>
          <t>Daily card takings Footscray 31/08</t>
        </is>
      </c>
      <c r="G226" s="9" t="n">
        <v>2750.41</v>
      </c>
      <c r="H226" t="inlineStr">
        <is>
          <t>entry</t>
        </is>
      </c>
      <c r="I226" t="inlineStr"/>
      <c r="J226" t="inlineStr">
        <is>
          <t>G00790</t>
        </is>
      </c>
      <c r="K226" t="str">
        <f>INDEX('Match Groups'!$D$5:$D$1326,MATCH(J226,'Match Groups'!$A$5:$A$1326,0))</f>
        <v>MATCH</v>
      </c>
    </row>
    <row r="227">
      <c r="A227" t="inlineStr">
        <is>
          <t>JI-04176</t>
        </is>
      </c>
      <c r="B227" t="inlineStr">
        <is>
          <t>MER</t>
        </is>
      </c>
      <c r="C227" s="5" t="n">
        <v>46265</v>
      </c>
      <c r="D227" t="inlineStr">
        <is>
          <t>Box Hill clinic takings</t>
        </is>
      </c>
      <c r="E227" t="inlineStr">
        <is>
          <t>POS T403 310826</t>
        </is>
      </c>
      <c r="F227" t="inlineStr">
        <is>
          <t>Daily card takings Box Hill 31/08</t>
        </is>
      </c>
      <c r="G227" s="9" t="n">
        <v>1533.04</v>
      </c>
      <c r="H227" t="inlineStr">
        <is>
          <t>entry</t>
        </is>
      </c>
      <c r="I227" t="inlineStr"/>
      <c r="J227" t="inlineStr">
        <is>
          <t>G00791</t>
        </is>
      </c>
      <c r="K227" t="str">
        <f>INDEX('Match Groups'!$D$5:$D$1326,MATCH(J227,'Match Groups'!$A$5:$A$1326,0))</f>
        <v>MATCH</v>
      </c>
    </row>
    <row r="228">
      <c r="A228" t="inlineStr">
        <is>
          <t>JI-04177</t>
        </is>
      </c>
      <c r="B228" t="inlineStr">
        <is>
          <t>MER</t>
        </is>
      </c>
      <c r="C228" s="5" t="n">
        <v>46265</v>
      </c>
      <c r="D228" t="inlineStr">
        <is>
          <t>Frankston clinic takings</t>
        </is>
      </c>
      <c r="E228" t="inlineStr">
        <is>
          <t>POS T404 310826</t>
        </is>
      </c>
      <c r="F228" t="inlineStr">
        <is>
          <t>Daily card takings Frankston 31/08</t>
        </is>
      </c>
      <c r="G228" s="9" t="n">
        <v>1893.23</v>
      </c>
      <c r="H228" t="inlineStr">
        <is>
          <t>entry</t>
        </is>
      </c>
      <c r="I228" t="inlineStr"/>
      <c r="J228" t="inlineStr">
        <is>
          <t>G00792</t>
        </is>
      </c>
      <c r="K228" t="str">
        <f>INDEX('Match Groups'!$D$5:$D$1326,MATCH(J228,'Match Groups'!$A$5:$A$1326,0))</f>
        <v>MATCH</v>
      </c>
    </row>
    <row r="229">
      <c r="A229" t="inlineStr">
        <is>
          <t>JI-04298</t>
        </is>
      </c>
      <c r="B229" t="inlineStr">
        <is>
          <t>MER</t>
        </is>
      </c>
      <c r="C229" s="5" t="n">
        <v>46265</v>
      </c>
      <c r="D229" t="inlineStr">
        <is>
          <t>Internal transfer</t>
        </is>
      </c>
      <c r="E229" t="inlineStr">
        <is>
          <t>SWEEP 3108</t>
        </is>
      </c>
      <c r="F229" t="inlineStr">
        <is>
          <t>Sweep to operating</t>
        </is>
      </c>
      <c r="G229" s="9" t="n">
        <v>-34000</v>
      </c>
      <c r="H229" t="inlineStr">
        <is>
          <t>transfer</t>
        </is>
      </c>
      <c r="I229" t="inlineStr"/>
      <c r="J229" t="inlineStr">
        <is>
          <t>G00788</t>
        </is>
      </c>
      <c r="K229" t="str">
        <f>INDEX('Match Groups'!$D$5:$D$1326,MATCH(J229,'Match Groups'!$A$5:$A$1326,0))</f>
        <v>MATCH</v>
      </c>
    </row>
    <row r="230">
      <c r="A230" t="inlineStr">
        <is>
          <t>JI-04178</t>
        </is>
      </c>
      <c r="B230" t="inlineStr">
        <is>
          <t>MER</t>
        </is>
      </c>
      <c r="C230" s="5" t="n">
        <v>46266</v>
      </c>
      <c r="D230" t="inlineStr">
        <is>
          <t>Carlton clinic takings</t>
        </is>
      </c>
      <c r="E230" t="inlineStr">
        <is>
          <t>POS T401 010926</t>
        </is>
      </c>
      <c r="F230" t="inlineStr">
        <is>
          <t>Daily card takings Carlton 01/09</t>
        </is>
      </c>
      <c r="G230" s="9" t="n">
        <v>1964.83</v>
      </c>
      <c r="H230" t="inlineStr">
        <is>
          <t>entry</t>
        </is>
      </c>
      <c r="I230" t="inlineStr"/>
      <c r="J230" t="inlineStr">
        <is>
          <t>G00793</t>
        </is>
      </c>
      <c r="K230" t="str">
        <f>INDEX('Match Groups'!$D$5:$D$1326,MATCH(J230,'Match Groups'!$A$5:$A$1326,0))</f>
        <v>MATCH</v>
      </c>
    </row>
    <row r="231">
      <c r="A231" t="inlineStr">
        <is>
          <t>JI-04179</t>
        </is>
      </c>
      <c r="B231" t="inlineStr">
        <is>
          <t>MER</t>
        </is>
      </c>
      <c r="C231" s="5" t="n">
        <v>46266</v>
      </c>
      <c r="D231" t="inlineStr">
        <is>
          <t>Footscray clinic takings</t>
        </is>
      </c>
      <c r="E231" t="inlineStr">
        <is>
          <t>POS T402 010926</t>
        </is>
      </c>
      <c r="F231" t="inlineStr">
        <is>
          <t>Daily card takings Footscray 01/09</t>
        </is>
      </c>
      <c r="G231" s="9" t="n">
        <v>2541.52</v>
      </c>
      <c r="H231" t="inlineStr">
        <is>
          <t>entry</t>
        </is>
      </c>
      <c r="I231" t="inlineStr"/>
      <c r="J231" t="inlineStr">
        <is>
          <t>G00794</t>
        </is>
      </c>
      <c r="K231" t="str">
        <f>INDEX('Match Groups'!$D$5:$D$1326,MATCH(J231,'Match Groups'!$A$5:$A$1326,0))</f>
        <v>MATCH</v>
      </c>
    </row>
    <row r="232">
      <c r="A232" t="inlineStr">
        <is>
          <t>JI-04180</t>
        </is>
      </c>
      <c r="B232" t="inlineStr">
        <is>
          <t>MER</t>
        </is>
      </c>
      <c r="C232" s="5" t="n">
        <v>46266</v>
      </c>
      <c r="D232" t="inlineStr">
        <is>
          <t>Box Hill clinic takings</t>
        </is>
      </c>
      <c r="E232" t="inlineStr">
        <is>
          <t>POS T403 010926</t>
        </is>
      </c>
      <c r="F232" t="inlineStr">
        <is>
          <t>Daily card takings Box Hill 01/09</t>
        </is>
      </c>
      <c r="G232" s="9" t="n">
        <v>2405.91</v>
      </c>
      <c r="H232" t="inlineStr">
        <is>
          <t>entry</t>
        </is>
      </c>
      <c r="I232" t="inlineStr"/>
      <c r="J232" t="inlineStr">
        <is>
          <t>G00795</t>
        </is>
      </c>
      <c r="K232" t="str">
        <f>INDEX('Match Groups'!$D$5:$D$1326,MATCH(J232,'Match Groups'!$A$5:$A$1326,0))</f>
        <v>MATCH</v>
      </c>
    </row>
    <row r="233">
      <c r="A233" t="inlineStr">
        <is>
          <t>JI-04181</t>
        </is>
      </c>
      <c r="B233" t="inlineStr">
        <is>
          <t>MER</t>
        </is>
      </c>
      <c r="C233" s="5" t="n">
        <v>46266</v>
      </c>
      <c r="D233" t="inlineStr">
        <is>
          <t>Frankston clinic takings</t>
        </is>
      </c>
      <c r="E233" t="inlineStr">
        <is>
          <t>POS T404 010926</t>
        </is>
      </c>
      <c r="F233" t="inlineStr">
        <is>
          <t>Daily card takings Frankston 01/09</t>
        </is>
      </c>
      <c r="G233" s="9" t="n">
        <v>2938.79</v>
      </c>
      <c r="H233" t="inlineStr">
        <is>
          <t>entry</t>
        </is>
      </c>
      <c r="I233" t="inlineStr"/>
      <c r="J233" t="inlineStr">
        <is>
          <t>G00796</t>
        </is>
      </c>
      <c r="K233" t="str">
        <f>INDEX('Match Groups'!$D$5:$D$1326,MATCH(J233,'Match Groups'!$A$5:$A$1326,0))</f>
        <v>MATCH</v>
      </c>
    </row>
    <row r="234">
      <c r="A234" t="inlineStr">
        <is>
          <t>JI-04182</t>
        </is>
      </c>
      <c r="B234" t="inlineStr">
        <is>
          <t>MER</t>
        </is>
      </c>
      <c r="C234" s="5" t="n">
        <v>46267</v>
      </c>
      <c r="D234" t="inlineStr">
        <is>
          <t>Carlton clinic takings</t>
        </is>
      </c>
      <c r="E234" t="inlineStr">
        <is>
          <t>POS T401 020926</t>
        </is>
      </c>
      <c r="F234" t="inlineStr">
        <is>
          <t>Daily card takings Carlton 02/09</t>
        </is>
      </c>
      <c r="G234" s="9" t="n">
        <v>3294.98</v>
      </c>
      <c r="H234" t="inlineStr">
        <is>
          <t>entry</t>
        </is>
      </c>
      <c r="I234" t="inlineStr"/>
      <c r="J234" t="inlineStr">
        <is>
          <t>G00797</t>
        </is>
      </c>
      <c r="K234" t="str">
        <f>INDEX('Match Groups'!$D$5:$D$1326,MATCH(J234,'Match Groups'!$A$5:$A$1326,0))</f>
        <v>MATCH</v>
      </c>
    </row>
    <row r="235">
      <c r="A235" t="inlineStr">
        <is>
          <t>JI-04183</t>
        </is>
      </c>
      <c r="B235" t="inlineStr">
        <is>
          <t>MER</t>
        </is>
      </c>
      <c r="C235" s="5" t="n">
        <v>46267</v>
      </c>
      <c r="D235" t="inlineStr">
        <is>
          <t>Footscray clinic takings</t>
        </is>
      </c>
      <c r="E235" t="inlineStr">
        <is>
          <t>POS T402 020926</t>
        </is>
      </c>
      <c r="F235" t="inlineStr">
        <is>
          <t>Daily card takings Footscray 02/09</t>
        </is>
      </c>
      <c r="G235" s="9" t="n">
        <v>2902.09</v>
      </c>
      <c r="H235" t="inlineStr">
        <is>
          <t>entry</t>
        </is>
      </c>
      <c r="I235" t="inlineStr"/>
      <c r="J235" t="inlineStr">
        <is>
          <t>G00798</t>
        </is>
      </c>
      <c r="K235" t="str">
        <f>INDEX('Match Groups'!$D$5:$D$1326,MATCH(J235,'Match Groups'!$A$5:$A$1326,0))</f>
        <v>MATCH</v>
      </c>
    </row>
    <row r="236">
      <c r="A236" t="inlineStr">
        <is>
          <t>JI-04184</t>
        </is>
      </c>
      <c r="B236" t="inlineStr">
        <is>
          <t>MER</t>
        </is>
      </c>
      <c r="C236" s="5" t="n">
        <v>46267</v>
      </c>
      <c r="D236" t="inlineStr">
        <is>
          <t>Box Hill clinic takings</t>
        </is>
      </c>
      <c r="E236" t="inlineStr">
        <is>
          <t>POS T403 020926</t>
        </is>
      </c>
      <c r="F236" t="inlineStr">
        <is>
          <t>Daily card takings Box Hill 02/09</t>
        </is>
      </c>
      <c r="G236" s="9" t="n">
        <v>1242.76</v>
      </c>
      <c r="H236" t="inlineStr">
        <is>
          <t>entry</t>
        </is>
      </c>
      <c r="I236" t="inlineStr"/>
      <c r="J236" t="inlineStr">
        <is>
          <t>G00799</t>
        </is>
      </c>
      <c r="K236" t="str">
        <f>INDEX('Match Groups'!$D$5:$D$1326,MATCH(J236,'Match Groups'!$A$5:$A$1326,0))</f>
        <v>MATCH</v>
      </c>
    </row>
    <row r="237">
      <c r="A237" t="inlineStr">
        <is>
          <t>JI-04185</t>
        </is>
      </c>
      <c r="B237" t="inlineStr">
        <is>
          <t>MER</t>
        </is>
      </c>
      <c r="C237" s="5" t="n">
        <v>46267</v>
      </c>
      <c r="D237" t="inlineStr">
        <is>
          <t>Frankston clinic takings</t>
        </is>
      </c>
      <c r="E237" t="inlineStr">
        <is>
          <t>POS T404 020926</t>
        </is>
      </c>
      <c r="F237" t="inlineStr">
        <is>
          <t>Daily card takings Frankston 02/09</t>
        </is>
      </c>
      <c r="G237" s="9" t="n">
        <v>1104.46</v>
      </c>
      <c r="H237" t="inlineStr">
        <is>
          <t>entry</t>
        </is>
      </c>
      <c r="I237" t="inlineStr"/>
      <c r="J237" t="inlineStr">
        <is>
          <t>G00800</t>
        </is>
      </c>
      <c r="K237" t="str">
        <f>INDEX('Match Groups'!$D$5:$D$1326,MATCH(J237,'Match Groups'!$A$5:$A$1326,0))</f>
        <v>MATCH</v>
      </c>
    </row>
    <row r="238">
      <c r="A238" t="inlineStr">
        <is>
          <t>JI-04186</t>
        </is>
      </c>
      <c r="B238" t="inlineStr">
        <is>
          <t>MER</t>
        </is>
      </c>
      <c r="C238" s="5" t="n">
        <v>46268</v>
      </c>
      <c r="D238" t="inlineStr">
        <is>
          <t>Carlton clinic takings</t>
        </is>
      </c>
      <c r="E238" t="inlineStr">
        <is>
          <t>POS T401 030926</t>
        </is>
      </c>
      <c r="F238" t="inlineStr">
        <is>
          <t>Daily card takings Carlton 03/09</t>
        </is>
      </c>
      <c r="G238" s="9" t="n">
        <v>1002.01</v>
      </c>
      <c r="H238" t="inlineStr">
        <is>
          <t>entry</t>
        </is>
      </c>
      <c r="I238" t="inlineStr"/>
      <c r="J238" t="inlineStr">
        <is>
          <t>G00801</t>
        </is>
      </c>
      <c r="K238" t="str">
        <f>INDEX('Match Groups'!$D$5:$D$1326,MATCH(J238,'Match Groups'!$A$5:$A$1326,0))</f>
        <v>MATCH</v>
      </c>
    </row>
    <row r="239">
      <c r="A239" t="inlineStr">
        <is>
          <t>JI-04187</t>
        </is>
      </c>
      <c r="B239" t="inlineStr">
        <is>
          <t>MER</t>
        </is>
      </c>
      <c r="C239" s="5" t="n">
        <v>46268</v>
      </c>
      <c r="D239" t="inlineStr">
        <is>
          <t>Footscray clinic takings</t>
        </is>
      </c>
      <c r="E239" t="inlineStr">
        <is>
          <t>POS T402 030926</t>
        </is>
      </c>
      <c r="F239" t="inlineStr">
        <is>
          <t>Daily card takings Footscray 03/09</t>
        </is>
      </c>
      <c r="G239" s="9" t="n">
        <v>2689.72</v>
      </c>
      <c r="H239" t="inlineStr">
        <is>
          <t>entry</t>
        </is>
      </c>
      <c r="I239" t="inlineStr"/>
      <c r="J239" t="inlineStr">
        <is>
          <t>G00802</t>
        </is>
      </c>
      <c r="K239" t="str">
        <f>INDEX('Match Groups'!$D$5:$D$1326,MATCH(J239,'Match Groups'!$A$5:$A$1326,0))</f>
        <v>MATCH</v>
      </c>
    </row>
    <row r="240">
      <c r="A240" t="inlineStr">
        <is>
          <t>JI-04188</t>
        </is>
      </c>
      <c r="B240" t="inlineStr">
        <is>
          <t>MER</t>
        </is>
      </c>
      <c r="C240" s="5" t="n">
        <v>46268</v>
      </c>
      <c r="D240" t="inlineStr">
        <is>
          <t>Box Hill clinic takings</t>
        </is>
      </c>
      <c r="E240" t="inlineStr">
        <is>
          <t>POS T403 030926</t>
        </is>
      </c>
      <c r="F240" t="inlineStr">
        <is>
          <t>Daily card takings Box Hill 03/09</t>
        </is>
      </c>
      <c r="G240" s="9" t="n">
        <v>2353.84</v>
      </c>
      <c r="H240" t="inlineStr">
        <is>
          <t>entry</t>
        </is>
      </c>
      <c r="I240" t="inlineStr"/>
      <c r="J240" t="inlineStr">
        <is>
          <t>G00803</t>
        </is>
      </c>
      <c r="K240" t="str">
        <f>INDEX('Match Groups'!$D$5:$D$1326,MATCH(J240,'Match Groups'!$A$5:$A$1326,0))</f>
        <v>MATCH</v>
      </c>
    </row>
    <row r="241">
      <c r="A241" t="inlineStr">
        <is>
          <t>JI-04189</t>
        </is>
      </c>
      <c r="B241" t="inlineStr">
        <is>
          <t>MER</t>
        </is>
      </c>
      <c r="C241" s="5" t="n">
        <v>46268</v>
      </c>
      <c r="D241" t="inlineStr">
        <is>
          <t>Frankston clinic takings</t>
        </is>
      </c>
      <c r="E241" t="inlineStr">
        <is>
          <t>POS T404 030926</t>
        </is>
      </c>
      <c r="F241" t="inlineStr">
        <is>
          <t>Daily card takings Frankston 03/09</t>
        </is>
      </c>
      <c r="G241" s="9" t="n">
        <v>3249.06</v>
      </c>
      <c r="H241" t="inlineStr">
        <is>
          <t>entry</t>
        </is>
      </c>
      <c r="I241" t="inlineStr"/>
      <c r="J241" t="inlineStr">
        <is>
          <t>G00804</t>
        </is>
      </c>
      <c r="K241" t="str">
        <f>INDEX('Match Groups'!$D$5:$D$1326,MATCH(J241,'Match Groups'!$A$5:$A$1326,0))</f>
        <v>MATCH</v>
      </c>
    </row>
    <row r="242">
      <c r="A242" t="inlineStr">
        <is>
          <t>JI-04190</t>
        </is>
      </c>
      <c r="B242" t="inlineStr">
        <is>
          <t>MER</t>
        </is>
      </c>
      <c r="C242" s="5" t="n">
        <v>46269</v>
      </c>
      <c r="D242" t="inlineStr">
        <is>
          <t>Carlton clinic takings</t>
        </is>
      </c>
      <c r="E242" t="inlineStr">
        <is>
          <t>POS T401 040926</t>
        </is>
      </c>
      <c r="F242" t="inlineStr">
        <is>
          <t>Daily card takings Carlton 04/09</t>
        </is>
      </c>
      <c r="G242" s="9" t="n">
        <v>2190.67</v>
      </c>
      <c r="H242" t="inlineStr">
        <is>
          <t>entry</t>
        </is>
      </c>
      <c r="I242" t="inlineStr"/>
      <c r="J242" t="inlineStr">
        <is>
          <t>G00805</t>
        </is>
      </c>
      <c r="K242" t="str">
        <f>INDEX('Match Groups'!$D$5:$D$1326,MATCH(J242,'Match Groups'!$A$5:$A$1326,0))</f>
        <v>MATCH</v>
      </c>
    </row>
    <row r="243">
      <c r="A243" t="inlineStr">
        <is>
          <t>JI-04191</t>
        </is>
      </c>
      <c r="B243" t="inlineStr">
        <is>
          <t>MER</t>
        </is>
      </c>
      <c r="C243" s="5" t="n">
        <v>46269</v>
      </c>
      <c r="D243" t="inlineStr">
        <is>
          <t>Footscray clinic takings</t>
        </is>
      </c>
      <c r="E243" t="inlineStr">
        <is>
          <t>POS T402 040926</t>
        </is>
      </c>
      <c r="F243" t="inlineStr">
        <is>
          <t>Daily card takings Footscray 04/09</t>
        </is>
      </c>
      <c r="G243" s="9" t="n">
        <v>2376.6</v>
      </c>
      <c r="H243" t="inlineStr">
        <is>
          <t>entry</t>
        </is>
      </c>
      <c r="I243" t="inlineStr"/>
      <c r="J243" t="inlineStr">
        <is>
          <t>G00806</t>
        </is>
      </c>
      <c r="K243" t="str">
        <f>INDEX('Match Groups'!$D$5:$D$1326,MATCH(J243,'Match Groups'!$A$5:$A$1326,0))</f>
        <v>MATCH</v>
      </c>
    </row>
    <row r="244">
      <c r="A244" t="inlineStr">
        <is>
          <t>JI-04192</t>
        </is>
      </c>
      <c r="B244" t="inlineStr">
        <is>
          <t>MER</t>
        </is>
      </c>
      <c r="C244" s="5" t="n">
        <v>46269</v>
      </c>
      <c r="D244" t="inlineStr">
        <is>
          <t>Box Hill clinic takings</t>
        </is>
      </c>
      <c r="E244" t="inlineStr">
        <is>
          <t>POS T403 040926</t>
        </is>
      </c>
      <c r="F244" t="inlineStr">
        <is>
          <t>Daily card takings Box Hill 04/09</t>
        </is>
      </c>
      <c r="G244" s="9" t="n">
        <v>2594.28</v>
      </c>
      <c r="H244" t="inlineStr">
        <is>
          <t>entry</t>
        </is>
      </c>
      <c r="I244" t="inlineStr"/>
      <c r="J244" t="inlineStr">
        <is>
          <t>G00807</t>
        </is>
      </c>
      <c r="K244" t="str">
        <f>INDEX('Match Groups'!$D$5:$D$1326,MATCH(J244,'Match Groups'!$A$5:$A$1326,0))</f>
        <v>MATCH</v>
      </c>
    </row>
    <row r="245">
      <c r="A245" t="inlineStr">
        <is>
          <t>JI-04193</t>
        </is>
      </c>
      <c r="B245" t="inlineStr">
        <is>
          <t>MER</t>
        </is>
      </c>
      <c r="C245" s="5" t="n">
        <v>46269</v>
      </c>
      <c r="D245" t="inlineStr">
        <is>
          <t>Frankston clinic takings</t>
        </is>
      </c>
      <c r="E245" t="inlineStr">
        <is>
          <t>POS T404 040926</t>
        </is>
      </c>
      <c r="F245" t="inlineStr">
        <is>
          <t>Daily card takings Frankston 04/09</t>
        </is>
      </c>
      <c r="G245" s="9" t="n">
        <v>1962.87</v>
      </c>
      <c r="H245" t="inlineStr">
        <is>
          <t>entry</t>
        </is>
      </c>
      <c r="I245" t="inlineStr"/>
      <c r="J245" t="inlineStr">
        <is>
          <t>G00808</t>
        </is>
      </c>
      <c r="K245" t="str">
        <f>INDEX('Match Groups'!$D$5:$D$1326,MATCH(J245,'Match Groups'!$A$5:$A$1326,0))</f>
        <v>MATCH</v>
      </c>
    </row>
    <row r="246">
      <c r="A246" t="inlineStr">
        <is>
          <t>JI-04194</t>
        </is>
      </c>
      <c r="B246" t="inlineStr">
        <is>
          <t>MER</t>
        </is>
      </c>
      <c r="C246" s="5" t="n">
        <v>46270</v>
      </c>
      <c r="D246" t="inlineStr">
        <is>
          <t>Carlton clinic takings</t>
        </is>
      </c>
      <c r="E246" t="inlineStr">
        <is>
          <t>POS T401 050926</t>
        </is>
      </c>
      <c r="F246" t="inlineStr">
        <is>
          <t>Daily card takings Carlton 05/09</t>
        </is>
      </c>
      <c r="G246" s="9" t="n">
        <v>1227.4</v>
      </c>
      <c r="H246" t="inlineStr">
        <is>
          <t>entry</t>
        </is>
      </c>
      <c r="I246" t="inlineStr"/>
      <c r="J246" t="inlineStr">
        <is>
          <t>G00809</t>
        </is>
      </c>
      <c r="K246" t="str">
        <f>INDEX('Match Groups'!$D$5:$D$1326,MATCH(J246,'Match Groups'!$A$5:$A$1326,0))</f>
        <v>MATCH</v>
      </c>
    </row>
    <row r="247">
      <c r="A247" t="inlineStr">
        <is>
          <t>JI-04195</t>
        </is>
      </c>
      <c r="B247" t="inlineStr">
        <is>
          <t>MER</t>
        </is>
      </c>
      <c r="C247" s="5" t="n">
        <v>46270</v>
      </c>
      <c r="D247" t="inlineStr">
        <is>
          <t>Footscray clinic takings</t>
        </is>
      </c>
      <c r="E247" t="inlineStr">
        <is>
          <t>POS T402 050926</t>
        </is>
      </c>
      <c r="F247" t="inlineStr">
        <is>
          <t>Daily card takings Footscray 05/09</t>
        </is>
      </c>
      <c r="G247" s="9" t="n">
        <v>1132.06</v>
      </c>
      <c r="H247" t="inlineStr">
        <is>
          <t>entry</t>
        </is>
      </c>
      <c r="I247" t="inlineStr"/>
      <c r="J247" t="inlineStr">
        <is>
          <t>G00810</t>
        </is>
      </c>
      <c r="K247" t="str">
        <f>INDEX('Match Groups'!$D$5:$D$1326,MATCH(J247,'Match Groups'!$A$5:$A$1326,0))</f>
        <v>MATCH</v>
      </c>
    </row>
    <row r="248">
      <c r="A248" t="inlineStr">
        <is>
          <t>JI-04196</t>
        </is>
      </c>
      <c r="B248" t="inlineStr">
        <is>
          <t>MER</t>
        </is>
      </c>
      <c r="C248" s="5" t="n">
        <v>46270</v>
      </c>
      <c r="D248" t="inlineStr">
        <is>
          <t>Box Hill clinic takings</t>
        </is>
      </c>
      <c r="E248" t="inlineStr">
        <is>
          <t>POS T403 050926</t>
        </is>
      </c>
      <c r="F248" t="inlineStr">
        <is>
          <t>Daily card takings Box Hill 05/09</t>
        </is>
      </c>
      <c r="G248" s="9" t="n">
        <v>1124.12</v>
      </c>
      <c r="H248" t="inlineStr">
        <is>
          <t>entry</t>
        </is>
      </c>
      <c r="I248" t="inlineStr"/>
      <c r="J248" t="inlineStr">
        <is>
          <t>G00811</t>
        </is>
      </c>
      <c r="K248" t="str">
        <f>INDEX('Match Groups'!$D$5:$D$1326,MATCH(J248,'Match Groups'!$A$5:$A$1326,0))</f>
        <v>MATCH</v>
      </c>
    </row>
    <row r="249">
      <c r="A249" t="inlineStr">
        <is>
          <t>JI-04197</t>
        </is>
      </c>
      <c r="B249" t="inlineStr">
        <is>
          <t>MER</t>
        </is>
      </c>
      <c r="C249" s="5" t="n">
        <v>46270</v>
      </c>
      <c r="D249" t="inlineStr">
        <is>
          <t>Frankston clinic takings</t>
        </is>
      </c>
      <c r="E249" t="inlineStr">
        <is>
          <t>POS T404 050926</t>
        </is>
      </c>
      <c r="F249" t="inlineStr">
        <is>
          <t>Daily card takings Frankston 05/09</t>
        </is>
      </c>
      <c r="G249" s="9" t="n">
        <v>770.76</v>
      </c>
      <c r="H249" t="inlineStr">
        <is>
          <t>entry</t>
        </is>
      </c>
      <c r="I249" t="inlineStr"/>
      <c r="J249" t="inlineStr">
        <is>
          <t>G00812</t>
        </is>
      </c>
      <c r="K249" t="str">
        <f>INDEX('Match Groups'!$D$5:$D$1326,MATCH(J249,'Match Groups'!$A$5:$A$1326,0))</f>
        <v>MATCH</v>
      </c>
    </row>
    <row r="250">
      <c r="A250" t="inlineStr">
        <is>
          <t>JI-04198</t>
        </is>
      </c>
      <c r="B250" t="inlineStr">
        <is>
          <t>MER</t>
        </is>
      </c>
      <c r="C250" s="5" t="n">
        <v>46272</v>
      </c>
      <c r="D250" t="inlineStr">
        <is>
          <t>Carlton clinic takings</t>
        </is>
      </c>
      <c r="E250" t="inlineStr">
        <is>
          <t>POS T401 070926</t>
        </is>
      </c>
      <c r="F250" t="inlineStr">
        <is>
          <t>Daily card takings Carlton 07/09</t>
        </is>
      </c>
      <c r="G250" s="9" t="n">
        <v>1975.12</v>
      </c>
      <c r="H250" t="inlineStr">
        <is>
          <t>entry</t>
        </is>
      </c>
      <c r="I250" t="inlineStr"/>
      <c r="J250" t="inlineStr">
        <is>
          <t>G00814</t>
        </is>
      </c>
      <c r="K250" t="str">
        <f>INDEX('Match Groups'!$D$5:$D$1326,MATCH(J250,'Match Groups'!$A$5:$A$1326,0))</f>
        <v>MATCH</v>
      </c>
    </row>
    <row r="251">
      <c r="A251" t="inlineStr">
        <is>
          <t>JI-04199</t>
        </is>
      </c>
      <c r="B251" t="inlineStr">
        <is>
          <t>MER</t>
        </is>
      </c>
      <c r="C251" s="5" t="n">
        <v>46272</v>
      </c>
      <c r="D251" t="inlineStr">
        <is>
          <t>Footscray clinic takings</t>
        </is>
      </c>
      <c r="E251" t="inlineStr">
        <is>
          <t>POS T402 070926</t>
        </is>
      </c>
      <c r="F251" t="inlineStr">
        <is>
          <t>Daily card takings Footscray 07/09</t>
        </is>
      </c>
      <c r="G251" s="9" t="n">
        <v>3427.46</v>
      </c>
      <c r="H251" t="inlineStr">
        <is>
          <t>entry</t>
        </is>
      </c>
      <c r="I251" t="inlineStr"/>
      <c r="J251" t="inlineStr">
        <is>
          <t>G00815</t>
        </is>
      </c>
      <c r="K251" t="str">
        <f>INDEX('Match Groups'!$D$5:$D$1326,MATCH(J251,'Match Groups'!$A$5:$A$1326,0))</f>
        <v>MATCH</v>
      </c>
    </row>
    <row r="252">
      <c r="A252" t="inlineStr">
        <is>
          <t>JI-04200</t>
        </is>
      </c>
      <c r="B252" t="inlineStr">
        <is>
          <t>MER</t>
        </is>
      </c>
      <c r="C252" s="5" t="n">
        <v>46272</v>
      </c>
      <c r="D252" t="inlineStr">
        <is>
          <t>Box Hill clinic takings</t>
        </is>
      </c>
      <c r="E252" t="inlineStr">
        <is>
          <t>POS T403 070926</t>
        </is>
      </c>
      <c r="F252" t="inlineStr">
        <is>
          <t>Daily card takings Box Hill 07/09</t>
        </is>
      </c>
      <c r="G252" s="9" t="n">
        <v>3073.35</v>
      </c>
      <c r="H252" t="inlineStr">
        <is>
          <t>entry</t>
        </is>
      </c>
      <c r="I252" t="inlineStr"/>
      <c r="J252" t="inlineStr">
        <is>
          <t>G00816</t>
        </is>
      </c>
      <c r="K252" t="str">
        <f>INDEX('Match Groups'!$D$5:$D$1326,MATCH(J252,'Match Groups'!$A$5:$A$1326,0))</f>
        <v>MATCH</v>
      </c>
    </row>
    <row r="253">
      <c r="A253" t="inlineStr">
        <is>
          <t>JI-04201</t>
        </is>
      </c>
      <c r="B253" t="inlineStr">
        <is>
          <t>MER</t>
        </is>
      </c>
      <c r="C253" s="5" t="n">
        <v>46272</v>
      </c>
      <c r="D253" t="inlineStr">
        <is>
          <t>Frankston clinic takings</t>
        </is>
      </c>
      <c r="E253" t="inlineStr">
        <is>
          <t>POS T404 070926</t>
        </is>
      </c>
      <c r="F253" t="inlineStr">
        <is>
          <t>Daily card takings Frankston 07/09</t>
        </is>
      </c>
      <c r="G253" s="9" t="n">
        <v>3514.85</v>
      </c>
      <c r="H253" t="inlineStr">
        <is>
          <t>entry</t>
        </is>
      </c>
      <c r="I253" t="inlineStr"/>
      <c r="J253" t="inlineStr">
        <is>
          <t>G00817</t>
        </is>
      </c>
      <c r="K253" t="str">
        <f>INDEX('Match Groups'!$D$5:$D$1326,MATCH(J253,'Match Groups'!$A$5:$A$1326,0))</f>
        <v>MATCH</v>
      </c>
    </row>
    <row r="254">
      <c r="A254" t="inlineStr">
        <is>
          <t>JI-04300</t>
        </is>
      </c>
      <c r="B254" t="inlineStr">
        <is>
          <t>MER</t>
        </is>
      </c>
      <c r="C254" s="5" t="n">
        <v>46272</v>
      </c>
      <c r="D254" t="inlineStr">
        <is>
          <t>Internal transfer</t>
        </is>
      </c>
      <c r="E254" t="inlineStr">
        <is>
          <t>SWEEP 0709</t>
        </is>
      </c>
      <c r="F254" t="inlineStr">
        <is>
          <t>Sweep to operating</t>
        </is>
      </c>
      <c r="G254" s="9" t="n">
        <v>-22000</v>
      </c>
      <c r="H254" t="inlineStr">
        <is>
          <t>transfer</t>
        </is>
      </c>
      <c r="I254" t="inlineStr"/>
      <c r="J254" t="inlineStr">
        <is>
          <t>G00813</t>
        </is>
      </c>
      <c r="K254" t="str">
        <f>INDEX('Match Groups'!$D$5:$D$1326,MATCH(J254,'Match Groups'!$A$5:$A$1326,0))</f>
        <v>MATCH</v>
      </c>
    </row>
    <row r="255">
      <c r="A255" t="inlineStr">
        <is>
          <t>JI-04202</t>
        </is>
      </c>
      <c r="B255" t="inlineStr">
        <is>
          <t>MER</t>
        </is>
      </c>
      <c r="C255" s="5" t="n">
        <v>46273</v>
      </c>
      <c r="D255" t="inlineStr">
        <is>
          <t>Carlton clinic takings</t>
        </is>
      </c>
      <c r="E255" t="inlineStr">
        <is>
          <t>POS T401 080926</t>
        </is>
      </c>
      <c r="F255" t="inlineStr">
        <is>
          <t>Daily card takings Carlton 08/09</t>
        </is>
      </c>
      <c r="G255" s="9" t="n">
        <v>1311.16</v>
      </c>
      <c r="H255" t="inlineStr">
        <is>
          <t>entry</t>
        </is>
      </c>
      <c r="I255" t="inlineStr"/>
      <c r="J255" t="inlineStr">
        <is>
          <t>G00818</t>
        </is>
      </c>
      <c r="K255" t="str">
        <f>INDEX('Match Groups'!$D$5:$D$1326,MATCH(J255,'Match Groups'!$A$5:$A$1326,0))</f>
        <v>MATCH</v>
      </c>
    </row>
    <row r="256">
      <c r="A256" t="inlineStr">
        <is>
          <t>JI-04203</t>
        </is>
      </c>
      <c r="B256" t="inlineStr">
        <is>
          <t>MER</t>
        </is>
      </c>
      <c r="C256" s="5" t="n">
        <v>46273</v>
      </c>
      <c r="D256" t="inlineStr">
        <is>
          <t>Footscray clinic takings</t>
        </is>
      </c>
      <c r="E256" t="inlineStr">
        <is>
          <t>POS T402 080926</t>
        </is>
      </c>
      <c r="F256" t="inlineStr">
        <is>
          <t>Daily card takings Footscray 08/09</t>
        </is>
      </c>
      <c r="G256" s="9" t="n">
        <v>2193.51</v>
      </c>
      <c r="H256" t="inlineStr">
        <is>
          <t>entry</t>
        </is>
      </c>
      <c r="I256" t="inlineStr"/>
      <c r="J256" t="inlineStr">
        <is>
          <t>G00819</t>
        </is>
      </c>
      <c r="K256" t="str">
        <f>INDEX('Match Groups'!$D$5:$D$1326,MATCH(J256,'Match Groups'!$A$5:$A$1326,0))</f>
        <v>MATCH</v>
      </c>
    </row>
    <row r="257">
      <c r="A257" t="inlineStr">
        <is>
          <t>JI-04204</t>
        </is>
      </c>
      <c r="B257" t="inlineStr">
        <is>
          <t>MER</t>
        </is>
      </c>
      <c r="C257" s="5" t="n">
        <v>46273</v>
      </c>
      <c r="D257" t="inlineStr">
        <is>
          <t>Box Hill clinic takings</t>
        </is>
      </c>
      <c r="E257" t="inlineStr">
        <is>
          <t>POS T403 080926</t>
        </is>
      </c>
      <c r="F257" t="inlineStr">
        <is>
          <t>Daily card takings Box Hill 08/09</t>
        </is>
      </c>
      <c r="G257" s="9" t="n">
        <v>3269.37</v>
      </c>
      <c r="H257" t="inlineStr">
        <is>
          <t>entry</t>
        </is>
      </c>
      <c r="I257" t="inlineStr"/>
      <c r="J257" t="inlineStr">
        <is>
          <t>G00820</t>
        </is>
      </c>
      <c r="K257" t="str">
        <f>INDEX('Match Groups'!$D$5:$D$1326,MATCH(J257,'Match Groups'!$A$5:$A$1326,0))</f>
        <v>MATCH</v>
      </c>
    </row>
    <row r="258">
      <c r="A258" t="inlineStr">
        <is>
          <t>JI-04205</t>
        </is>
      </c>
      <c r="B258" t="inlineStr">
        <is>
          <t>MER</t>
        </is>
      </c>
      <c r="C258" s="5" t="n">
        <v>46273</v>
      </c>
      <c r="D258" t="inlineStr">
        <is>
          <t>Frankston clinic takings</t>
        </is>
      </c>
      <c r="E258" t="inlineStr">
        <is>
          <t>POS T404 080926</t>
        </is>
      </c>
      <c r="F258" t="inlineStr">
        <is>
          <t>Daily card takings Frankston 08/09</t>
        </is>
      </c>
      <c r="G258" s="9" t="n">
        <v>1995.11</v>
      </c>
      <c r="H258" t="inlineStr">
        <is>
          <t>entry</t>
        </is>
      </c>
      <c r="I258" t="inlineStr"/>
      <c r="J258" t="inlineStr">
        <is>
          <t>G00821</t>
        </is>
      </c>
      <c r="K258" t="str">
        <f>INDEX('Match Groups'!$D$5:$D$1326,MATCH(J258,'Match Groups'!$A$5:$A$1326,0))</f>
        <v>MATCH</v>
      </c>
    </row>
    <row r="259">
      <c r="A259" t="inlineStr">
        <is>
          <t>JI-04206</t>
        </is>
      </c>
      <c r="B259" t="inlineStr">
        <is>
          <t>MER</t>
        </is>
      </c>
      <c r="C259" s="5" t="n">
        <v>46274</v>
      </c>
      <c r="D259" t="inlineStr">
        <is>
          <t>Carlton clinic takings</t>
        </is>
      </c>
      <c r="E259" t="inlineStr">
        <is>
          <t>POS T401 090926</t>
        </is>
      </c>
      <c r="F259" t="inlineStr">
        <is>
          <t>Daily card takings Carlton 09/09</t>
        </is>
      </c>
      <c r="G259" s="9" t="n">
        <v>1271.06</v>
      </c>
      <c r="H259" t="inlineStr">
        <is>
          <t>entry</t>
        </is>
      </c>
      <c r="I259" t="inlineStr"/>
      <c r="J259" t="inlineStr">
        <is>
          <t>G00822</t>
        </is>
      </c>
      <c r="K259" t="str">
        <f>INDEX('Match Groups'!$D$5:$D$1326,MATCH(J259,'Match Groups'!$A$5:$A$1326,0))</f>
        <v>MATCH</v>
      </c>
    </row>
    <row r="260">
      <c r="A260" t="inlineStr">
        <is>
          <t>JI-04207</t>
        </is>
      </c>
      <c r="B260" t="inlineStr">
        <is>
          <t>MER</t>
        </is>
      </c>
      <c r="C260" s="5" t="n">
        <v>46274</v>
      </c>
      <c r="D260" t="inlineStr">
        <is>
          <t>Footscray clinic takings</t>
        </is>
      </c>
      <c r="E260" t="inlineStr">
        <is>
          <t>POS T402 090926</t>
        </is>
      </c>
      <c r="F260" t="inlineStr">
        <is>
          <t>Daily card takings Footscray 09/09</t>
        </is>
      </c>
      <c r="G260" s="9" t="n">
        <v>2537.92</v>
      </c>
      <c r="H260" t="inlineStr">
        <is>
          <t>entry</t>
        </is>
      </c>
      <c r="I260" t="inlineStr"/>
      <c r="J260" t="inlineStr">
        <is>
          <t>G00823</t>
        </is>
      </c>
      <c r="K260" t="str">
        <f>INDEX('Match Groups'!$D$5:$D$1326,MATCH(J260,'Match Groups'!$A$5:$A$1326,0))</f>
        <v>MATCH</v>
      </c>
    </row>
    <row r="261">
      <c r="A261" t="inlineStr">
        <is>
          <t>JI-04208</t>
        </is>
      </c>
      <c r="B261" t="inlineStr">
        <is>
          <t>MER</t>
        </is>
      </c>
      <c r="C261" s="5" t="n">
        <v>46274</v>
      </c>
      <c r="D261" t="inlineStr">
        <is>
          <t>Box Hill clinic takings</t>
        </is>
      </c>
      <c r="E261" t="inlineStr">
        <is>
          <t>POS T403 090926</t>
        </is>
      </c>
      <c r="F261" t="inlineStr">
        <is>
          <t>Daily card takings Box Hill 09/09</t>
        </is>
      </c>
      <c r="G261" s="9" t="n">
        <v>1819.69</v>
      </c>
      <c r="H261" t="inlineStr">
        <is>
          <t>entry</t>
        </is>
      </c>
      <c r="I261" t="inlineStr"/>
      <c r="J261" t="inlineStr">
        <is>
          <t>G00824</t>
        </is>
      </c>
      <c r="K261" t="str">
        <f>INDEX('Match Groups'!$D$5:$D$1326,MATCH(J261,'Match Groups'!$A$5:$A$1326,0))</f>
        <v>MATCH</v>
      </c>
    </row>
    <row r="262">
      <c r="A262" t="inlineStr">
        <is>
          <t>JI-04209</t>
        </is>
      </c>
      <c r="B262" t="inlineStr">
        <is>
          <t>MER</t>
        </is>
      </c>
      <c r="C262" s="5" t="n">
        <v>46274</v>
      </c>
      <c r="D262" t="inlineStr">
        <is>
          <t>Frankston clinic takings</t>
        </is>
      </c>
      <c r="E262" t="inlineStr">
        <is>
          <t>POS T404 090926</t>
        </is>
      </c>
      <c r="F262" t="inlineStr">
        <is>
          <t>Daily card takings Frankston 09/09</t>
        </is>
      </c>
      <c r="G262" s="9" t="n">
        <v>1936.42</v>
      </c>
      <c r="H262" t="inlineStr">
        <is>
          <t>entry</t>
        </is>
      </c>
      <c r="I262" t="inlineStr"/>
      <c r="J262" t="inlineStr">
        <is>
          <t>G00825</t>
        </is>
      </c>
      <c r="K262" t="str">
        <f>INDEX('Match Groups'!$D$5:$D$1326,MATCH(J262,'Match Groups'!$A$5:$A$1326,0))</f>
        <v>MATCH</v>
      </c>
    </row>
    <row r="263">
      <c r="A263" t="inlineStr">
        <is>
          <t>JI-04210</t>
        </is>
      </c>
      <c r="B263" t="inlineStr">
        <is>
          <t>MER</t>
        </is>
      </c>
      <c r="C263" s="5" t="n">
        <v>46275</v>
      </c>
      <c r="D263" t="inlineStr">
        <is>
          <t>Carlton clinic takings</t>
        </is>
      </c>
      <c r="E263" t="inlineStr">
        <is>
          <t>POS T401 100926</t>
        </is>
      </c>
      <c r="F263" t="inlineStr">
        <is>
          <t>Daily card takings Carlton 10/09</t>
        </is>
      </c>
      <c r="G263" s="9" t="n">
        <v>1807.11</v>
      </c>
      <c r="H263" t="inlineStr">
        <is>
          <t>entry</t>
        </is>
      </c>
      <c r="I263" t="inlineStr"/>
      <c r="J263" t="inlineStr">
        <is>
          <t>G00826</t>
        </is>
      </c>
      <c r="K263" t="str">
        <f>INDEX('Match Groups'!$D$5:$D$1326,MATCH(J263,'Match Groups'!$A$5:$A$1326,0))</f>
        <v>MATCH</v>
      </c>
    </row>
    <row r="264">
      <c r="A264" t="inlineStr">
        <is>
          <t>JI-04211</t>
        </is>
      </c>
      <c r="B264" t="inlineStr">
        <is>
          <t>MER</t>
        </is>
      </c>
      <c r="C264" s="5" t="n">
        <v>46275</v>
      </c>
      <c r="D264" t="inlineStr">
        <is>
          <t>Footscray clinic takings</t>
        </is>
      </c>
      <c r="E264" t="inlineStr">
        <is>
          <t>POS T402 100926</t>
        </is>
      </c>
      <c r="F264" t="inlineStr">
        <is>
          <t>Daily card takings Footscray 10/09</t>
        </is>
      </c>
      <c r="G264" s="9" t="n">
        <v>3591.46</v>
      </c>
      <c r="H264" t="inlineStr">
        <is>
          <t>entry</t>
        </is>
      </c>
      <c r="I264" t="inlineStr"/>
      <c r="J264" t="inlineStr">
        <is>
          <t>G00827</t>
        </is>
      </c>
      <c r="K264" t="str">
        <f>INDEX('Match Groups'!$D$5:$D$1326,MATCH(J264,'Match Groups'!$A$5:$A$1326,0))</f>
        <v>MATCH</v>
      </c>
    </row>
    <row r="265">
      <c r="A265" t="inlineStr">
        <is>
          <t>JI-04212</t>
        </is>
      </c>
      <c r="B265" t="inlineStr">
        <is>
          <t>MER</t>
        </is>
      </c>
      <c r="C265" s="5" t="n">
        <v>46275</v>
      </c>
      <c r="D265" t="inlineStr">
        <is>
          <t>Box Hill clinic takings</t>
        </is>
      </c>
      <c r="E265" t="inlineStr">
        <is>
          <t>POS T403 100926</t>
        </is>
      </c>
      <c r="F265" t="inlineStr">
        <is>
          <t>Daily card takings Box Hill 10/09</t>
        </is>
      </c>
      <c r="G265" s="9" t="n">
        <v>2327.53</v>
      </c>
      <c r="H265" t="inlineStr">
        <is>
          <t>entry</t>
        </is>
      </c>
      <c r="I265" t="inlineStr"/>
      <c r="J265" t="inlineStr">
        <is>
          <t>G00828</t>
        </is>
      </c>
      <c r="K265" t="str">
        <f>INDEX('Match Groups'!$D$5:$D$1326,MATCH(J265,'Match Groups'!$A$5:$A$1326,0))</f>
        <v>MATCH</v>
      </c>
    </row>
    <row r="266">
      <c r="A266" t="inlineStr">
        <is>
          <t>JI-04213</t>
        </is>
      </c>
      <c r="B266" t="inlineStr">
        <is>
          <t>MER</t>
        </is>
      </c>
      <c r="C266" s="5" t="n">
        <v>46275</v>
      </c>
      <c r="D266" t="inlineStr">
        <is>
          <t>Frankston clinic takings</t>
        </is>
      </c>
      <c r="E266" t="inlineStr">
        <is>
          <t>POS T404 100926</t>
        </is>
      </c>
      <c r="F266" t="inlineStr">
        <is>
          <t>Daily card takings Frankston 10/09</t>
        </is>
      </c>
      <c r="G266" s="9" t="n">
        <v>2802.42</v>
      </c>
      <c r="H266" t="inlineStr">
        <is>
          <t>entry</t>
        </is>
      </c>
      <c r="I266" t="inlineStr"/>
      <c r="J266" t="inlineStr">
        <is>
          <t>G00829</t>
        </is>
      </c>
      <c r="K266" t="str">
        <f>INDEX('Match Groups'!$D$5:$D$1326,MATCH(J266,'Match Groups'!$A$5:$A$1326,0))</f>
        <v>MATCH</v>
      </c>
    </row>
    <row r="267">
      <c r="A267" t="inlineStr">
        <is>
          <t>JI-04214</t>
        </is>
      </c>
      <c r="B267" t="inlineStr">
        <is>
          <t>MER</t>
        </is>
      </c>
      <c r="C267" s="5" t="n">
        <v>46276</v>
      </c>
      <c r="D267" t="inlineStr">
        <is>
          <t>Carlton clinic takings</t>
        </is>
      </c>
      <c r="E267" t="inlineStr">
        <is>
          <t>POS T401 110926</t>
        </is>
      </c>
      <c r="F267" t="inlineStr">
        <is>
          <t>Daily card takings Carlton 11/09</t>
        </is>
      </c>
      <c r="G267" s="9" t="n">
        <v>2140.35</v>
      </c>
      <c r="H267" t="inlineStr">
        <is>
          <t>entry</t>
        </is>
      </c>
      <c r="I267" t="inlineStr"/>
      <c r="J267" t="inlineStr">
        <is>
          <t>G00830</t>
        </is>
      </c>
      <c r="K267" t="str">
        <f>INDEX('Match Groups'!$D$5:$D$1326,MATCH(J267,'Match Groups'!$A$5:$A$1326,0))</f>
        <v>MATCH</v>
      </c>
    </row>
    <row r="268">
      <c r="A268" t="inlineStr">
        <is>
          <t>JI-04215</t>
        </is>
      </c>
      <c r="B268" t="inlineStr">
        <is>
          <t>MER</t>
        </is>
      </c>
      <c r="C268" s="5" t="n">
        <v>46276</v>
      </c>
      <c r="D268" t="inlineStr">
        <is>
          <t>Footscray clinic takings</t>
        </is>
      </c>
      <c r="E268" t="inlineStr">
        <is>
          <t>POS T402 110926</t>
        </is>
      </c>
      <c r="F268" t="inlineStr">
        <is>
          <t>Daily card takings Footscray 11/09</t>
        </is>
      </c>
      <c r="G268" s="9" t="n">
        <v>2754.28</v>
      </c>
      <c r="H268" t="inlineStr">
        <is>
          <t>entry</t>
        </is>
      </c>
      <c r="I268" t="inlineStr"/>
      <c r="J268" t="inlineStr">
        <is>
          <t>G00831</t>
        </is>
      </c>
      <c r="K268" t="str">
        <f>INDEX('Match Groups'!$D$5:$D$1326,MATCH(J268,'Match Groups'!$A$5:$A$1326,0))</f>
        <v>MATCH</v>
      </c>
    </row>
    <row r="269">
      <c r="A269" t="inlineStr">
        <is>
          <t>JI-04216</t>
        </is>
      </c>
      <c r="B269" t="inlineStr">
        <is>
          <t>MER</t>
        </is>
      </c>
      <c r="C269" s="5" t="n">
        <v>46276</v>
      </c>
      <c r="D269" t="inlineStr">
        <is>
          <t>Box Hill clinic takings</t>
        </is>
      </c>
      <c r="E269" t="inlineStr">
        <is>
          <t>POS T403 110926</t>
        </is>
      </c>
      <c r="F269" t="inlineStr">
        <is>
          <t>Daily card takings Box Hill 11/09</t>
        </is>
      </c>
      <c r="G269" s="9" t="n">
        <v>3283.03</v>
      </c>
      <c r="H269" t="inlineStr">
        <is>
          <t>entry</t>
        </is>
      </c>
      <c r="I269" t="inlineStr"/>
      <c r="J269" t="inlineStr">
        <is>
          <t>G00832</t>
        </is>
      </c>
      <c r="K269" t="str">
        <f>INDEX('Match Groups'!$D$5:$D$1326,MATCH(J269,'Match Groups'!$A$5:$A$1326,0))</f>
        <v>MATCH</v>
      </c>
    </row>
    <row r="270">
      <c r="A270" t="inlineStr">
        <is>
          <t>JI-04217</t>
        </is>
      </c>
      <c r="B270" t="inlineStr">
        <is>
          <t>MER</t>
        </is>
      </c>
      <c r="C270" s="5" t="n">
        <v>46276</v>
      </c>
      <c r="D270" t="inlineStr">
        <is>
          <t>Frankston clinic takings</t>
        </is>
      </c>
      <c r="E270" t="inlineStr">
        <is>
          <t>POS T404 110926</t>
        </is>
      </c>
      <c r="F270" t="inlineStr">
        <is>
          <t>Daily card takings Frankston 11/09</t>
        </is>
      </c>
      <c r="G270" s="9" t="n">
        <v>1324.91</v>
      </c>
      <c r="H270" t="inlineStr">
        <is>
          <t>entry</t>
        </is>
      </c>
      <c r="I270" t="inlineStr"/>
      <c r="J270" t="inlineStr">
        <is>
          <t>G00833</t>
        </is>
      </c>
      <c r="K270" t="str">
        <f>INDEX('Match Groups'!$D$5:$D$1326,MATCH(J270,'Match Groups'!$A$5:$A$1326,0))</f>
        <v>MATCH</v>
      </c>
    </row>
    <row r="271">
      <c r="A271" t="inlineStr">
        <is>
          <t>JI-04218</t>
        </is>
      </c>
      <c r="B271" t="inlineStr">
        <is>
          <t>MER</t>
        </is>
      </c>
      <c r="C271" s="5" t="n">
        <v>46277</v>
      </c>
      <c r="D271" t="inlineStr">
        <is>
          <t>Carlton clinic takings</t>
        </is>
      </c>
      <c r="E271" t="inlineStr">
        <is>
          <t>POS T401 120926</t>
        </is>
      </c>
      <c r="F271" t="inlineStr">
        <is>
          <t>Daily card takings Carlton 12/09</t>
        </is>
      </c>
      <c r="G271" s="9" t="n">
        <v>1235.66</v>
      </c>
      <c r="H271" t="inlineStr">
        <is>
          <t>entry</t>
        </is>
      </c>
      <c r="I271" t="inlineStr"/>
      <c r="J271" t="inlineStr">
        <is>
          <t>G00834</t>
        </is>
      </c>
      <c r="K271" t="str">
        <f>INDEX('Match Groups'!$D$5:$D$1326,MATCH(J271,'Match Groups'!$A$5:$A$1326,0))</f>
        <v>MATCH</v>
      </c>
    </row>
    <row r="272">
      <c r="A272" t="inlineStr">
        <is>
          <t>JI-04219</t>
        </is>
      </c>
      <c r="B272" t="inlineStr">
        <is>
          <t>MER</t>
        </is>
      </c>
      <c r="C272" s="5" t="n">
        <v>46277</v>
      </c>
      <c r="D272" t="inlineStr">
        <is>
          <t>Footscray clinic takings</t>
        </is>
      </c>
      <c r="E272" t="inlineStr">
        <is>
          <t>POS T402 120926</t>
        </is>
      </c>
      <c r="F272" t="inlineStr">
        <is>
          <t>Daily card takings Footscray 12/09</t>
        </is>
      </c>
      <c r="G272" s="9" t="n">
        <v>611.74</v>
      </c>
      <c r="H272" t="inlineStr">
        <is>
          <t>entry</t>
        </is>
      </c>
      <c r="I272" t="inlineStr"/>
      <c r="J272" t="inlineStr">
        <is>
          <t>G00835</t>
        </is>
      </c>
      <c r="K272" t="str">
        <f>INDEX('Match Groups'!$D$5:$D$1326,MATCH(J272,'Match Groups'!$A$5:$A$1326,0))</f>
        <v>MATCH</v>
      </c>
    </row>
    <row r="273">
      <c r="A273" t="inlineStr">
        <is>
          <t>JI-04220</t>
        </is>
      </c>
      <c r="B273" t="inlineStr">
        <is>
          <t>MER</t>
        </is>
      </c>
      <c r="C273" s="5" t="n">
        <v>46277</v>
      </c>
      <c r="D273" t="inlineStr">
        <is>
          <t>Box Hill clinic takings</t>
        </is>
      </c>
      <c r="E273" t="inlineStr">
        <is>
          <t>POS T403 120926</t>
        </is>
      </c>
      <c r="F273" t="inlineStr">
        <is>
          <t>Daily card takings Box Hill 12/09</t>
        </is>
      </c>
      <c r="G273" s="9" t="n">
        <v>668.3</v>
      </c>
      <c r="H273" t="inlineStr">
        <is>
          <t>entry</t>
        </is>
      </c>
      <c r="I273" t="inlineStr"/>
      <c r="J273" t="inlineStr">
        <is>
          <t>G00836</t>
        </is>
      </c>
      <c r="K273" t="str">
        <f>INDEX('Match Groups'!$D$5:$D$1326,MATCH(J273,'Match Groups'!$A$5:$A$1326,0))</f>
        <v>MATCH</v>
      </c>
    </row>
    <row r="274">
      <c r="A274" t="inlineStr">
        <is>
          <t>JI-04221</t>
        </is>
      </c>
      <c r="B274" t="inlineStr">
        <is>
          <t>MER</t>
        </is>
      </c>
      <c r="C274" s="5" t="n">
        <v>46277</v>
      </c>
      <c r="D274" t="inlineStr">
        <is>
          <t>Frankston clinic takings</t>
        </is>
      </c>
      <c r="E274" t="inlineStr">
        <is>
          <t>POS T404 120926</t>
        </is>
      </c>
      <c r="F274" t="inlineStr">
        <is>
          <t>Daily card takings Frankston 12/09</t>
        </is>
      </c>
      <c r="G274" s="9" t="n">
        <v>771.92</v>
      </c>
      <c r="H274" t="inlineStr">
        <is>
          <t>entry</t>
        </is>
      </c>
      <c r="I274" t="inlineStr"/>
      <c r="J274" t="inlineStr">
        <is>
          <t>G00837</t>
        </is>
      </c>
      <c r="K274" t="str">
        <f>INDEX('Match Groups'!$D$5:$D$1326,MATCH(J274,'Match Groups'!$A$5:$A$1326,0))</f>
        <v>MATCH</v>
      </c>
    </row>
    <row r="275">
      <c r="A275" t="inlineStr">
        <is>
          <t>JI-04222</t>
        </is>
      </c>
      <c r="B275" t="inlineStr">
        <is>
          <t>MER</t>
        </is>
      </c>
      <c r="C275" s="5" t="n">
        <v>46279</v>
      </c>
      <c r="D275" t="inlineStr">
        <is>
          <t>Carlton clinic takings</t>
        </is>
      </c>
      <c r="E275" t="inlineStr">
        <is>
          <t>POS T401 140926</t>
        </is>
      </c>
      <c r="F275" t="inlineStr">
        <is>
          <t>Daily card takings Carlton 14/09</t>
        </is>
      </c>
      <c r="G275" s="9" t="n">
        <v>2373.76</v>
      </c>
      <c r="H275" t="inlineStr">
        <is>
          <t>entry</t>
        </is>
      </c>
      <c r="I275" t="inlineStr"/>
      <c r="J275" t="inlineStr">
        <is>
          <t>G00839</t>
        </is>
      </c>
      <c r="K275" t="str">
        <f>INDEX('Match Groups'!$D$5:$D$1326,MATCH(J275,'Match Groups'!$A$5:$A$1326,0))</f>
        <v>MATCH</v>
      </c>
    </row>
    <row r="276">
      <c r="A276" t="inlineStr">
        <is>
          <t>JI-04223</t>
        </is>
      </c>
      <c r="B276" t="inlineStr">
        <is>
          <t>MER</t>
        </is>
      </c>
      <c r="C276" s="5" t="n">
        <v>46279</v>
      </c>
      <c r="D276" t="inlineStr">
        <is>
          <t>Footscray clinic takings</t>
        </is>
      </c>
      <c r="E276" t="inlineStr">
        <is>
          <t>POS T402 140926</t>
        </is>
      </c>
      <c r="F276" t="inlineStr">
        <is>
          <t>Daily card takings Footscray 14/09</t>
        </is>
      </c>
      <c r="G276" s="9" t="n">
        <v>3311.3</v>
      </c>
      <c r="H276" t="inlineStr">
        <is>
          <t>entry</t>
        </is>
      </c>
      <c r="I276" t="inlineStr"/>
      <c r="J276" t="inlineStr">
        <is>
          <t>G00840</t>
        </is>
      </c>
      <c r="K276" t="str">
        <f>INDEX('Match Groups'!$D$5:$D$1326,MATCH(J276,'Match Groups'!$A$5:$A$1326,0))</f>
        <v>MATCH</v>
      </c>
    </row>
    <row r="277">
      <c r="A277" t="inlineStr">
        <is>
          <t>JI-04224</t>
        </is>
      </c>
      <c r="B277" t="inlineStr">
        <is>
          <t>MER</t>
        </is>
      </c>
      <c r="C277" s="5" t="n">
        <v>46279</v>
      </c>
      <c r="D277" t="inlineStr">
        <is>
          <t>Box Hill clinic takings</t>
        </is>
      </c>
      <c r="E277" t="inlineStr">
        <is>
          <t>POS T403 140926</t>
        </is>
      </c>
      <c r="F277" t="inlineStr">
        <is>
          <t>Daily card takings Box Hill 14/09</t>
        </is>
      </c>
      <c r="G277" s="9" t="n">
        <v>1968.7</v>
      </c>
      <c r="H277" t="inlineStr">
        <is>
          <t>entry</t>
        </is>
      </c>
      <c r="I277" t="inlineStr"/>
      <c r="J277" t="inlineStr">
        <is>
          <t>G00841</t>
        </is>
      </c>
      <c r="K277" t="str">
        <f>INDEX('Match Groups'!$D$5:$D$1326,MATCH(J277,'Match Groups'!$A$5:$A$1326,0))</f>
        <v>MATCH</v>
      </c>
    </row>
    <row r="278">
      <c r="A278" t="inlineStr">
        <is>
          <t>JI-04225</t>
        </is>
      </c>
      <c r="B278" t="inlineStr">
        <is>
          <t>MER</t>
        </is>
      </c>
      <c r="C278" s="5" t="n">
        <v>46279</v>
      </c>
      <c r="D278" t="inlineStr">
        <is>
          <t>Frankston clinic takings</t>
        </is>
      </c>
      <c r="E278" t="inlineStr">
        <is>
          <t>POS T404 140926</t>
        </is>
      </c>
      <c r="F278" t="inlineStr">
        <is>
          <t>Daily card takings Frankston 14/09</t>
        </is>
      </c>
      <c r="G278" s="9" t="n">
        <v>3399.74</v>
      </c>
      <c r="H278" t="inlineStr">
        <is>
          <t>entry</t>
        </is>
      </c>
      <c r="I278" t="inlineStr"/>
      <c r="J278" t="inlineStr">
        <is>
          <t>G00842</t>
        </is>
      </c>
      <c r="K278" t="str">
        <f>INDEX('Match Groups'!$D$5:$D$1326,MATCH(J278,'Match Groups'!$A$5:$A$1326,0))</f>
        <v>MATCH</v>
      </c>
    </row>
    <row r="279">
      <c r="A279" t="inlineStr">
        <is>
          <t>JI-04302</t>
        </is>
      </c>
      <c r="B279" t="inlineStr">
        <is>
          <t>MER</t>
        </is>
      </c>
      <c r="C279" s="5" t="n">
        <v>46279</v>
      </c>
      <c r="D279" t="inlineStr">
        <is>
          <t>Internal transfer</t>
        </is>
      </c>
      <c r="E279" t="inlineStr">
        <is>
          <t>SWEEP 1409</t>
        </is>
      </c>
      <c r="F279" t="inlineStr">
        <is>
          <t>Sweep to operating</t>
        </is>
      </c>
      <c r="G279" s="9" t="n">
        <v>-22000</v>
      </c>
      <c r="H279" t="inlineStr">
        <is>
          <t>transfer</t>
        </is>
      </c>
      <c r="I279" t="inlineStr"/>
      <c r="J279" t="inlineStr">
        <is>
          <t>G00838</t>
        </is>
      </c>
      <c r="K279" t="str">
        <f>INDEX('Match Groups'!$D$5:$D$1326,MATCH(J279,'Match Groups'!$A$5:$A$1326,0))</f>
        <v>MATCH</v>
      </c>
    </row>
    <row r="280">
      <c r="A280" t="inlineStr">
        <is>
          <t>JI-04226</t>
        </is>
      </c>
      <c r="B280" t="inlineStr">
        <is>
          <t>MER</t>
        </is>
      </c>
      <c r="C280" s="5" t="n">
        <v>46280</v>
      </c>
      <c r="D280" t="inlineStr">
        <is>
          <t>Carlton clinic takings</t>
        </is>
      </c>
      <c r="E280" t="inlineStr">
        <is>
          <t>POS T401 150926</t>
        </is>
      </c>
      <c r="F280" t="inlineStr">
        <is>
          <t>Daily card takings Carlton 15/09</t>
        </is>
      </c>
      <c r="G280" s="9" t="n">
        <v>2279</v>
      </c>
      <c r="H280" t="inlineStr">
        <is>
          <t>entry</t>
        </is>
      </c>
      <c r="I280" t="inlineStr"/>
      <c r="J280" t="inlineStr">
        <is>
          <t>G00843</t>
        </is>
      </c>
      <c r="K280" t="str">
        <f>INDEX('Match Groups'!$D$5:$D$1326,MATCH(J280,'Match Groups'!$A$5:$A$1326,0))</f>
        <v>MATCH</v>
      </c>
    </row>
    <row r="281">
      <c r="A281" t="inlineStr">
        <is>
          <t>JI-04227</t>
        </is>
      </c>
      <c r="B281" t="inlineStr">
        <is>
          <t>MER</t>
        </is>
      </c>
      <c r="C281" s="5" t="n">
        <v>46280</v>
      </c>
      <c r="D281" t="inlineStr">
        <is>
          <t>Footscray clinic takings</t>
        </is>
      </c>
      <c r="E281" t="inlineStr">
        <is>
          <t>POS T402 150926</t>
        </is>
      </c>
      <c r="F281" t="inlineStr">
        <is>
          <t>Daily card takings Footscray 15/09</t>
        </is>
      </c>
      <c r="G281" s="9" t="n">
        <v>3310.02</v>
      </c>
      <c r="H281" t="inlineStr">
        <is>
          <t>entry</t>
        </is>
      </c>
      <c r="I281" t="inlineStr"/>
      <c r="J281" t="inlineStr">
        <is>
          <t>G00844</t>
        </is>
      </c>
      <c r="K281" t="str">
        <f>INDEX('Match Groups'!$D$5:$D$1326,MATCH(J281,'Match Groups'!$A$5:$A$1326,0))</f>
        <v>MATCH</v>
      </c>
    </row>
    <row r="282">
      <c r="A282" t="inlineStr">
        <is>
          <t>JI-04228</t>
        </is>
      </c>
      <c r="B282" t="inlineStr">
        <is>
          <t>MER</t>
        </is>
      </c>
      <c r="C282" s="5" t="n">
        <v>46280</v>
      </c>
      <c r="D282" t="inlineStr">
        <is>
          <t>Box Hill clinic takings</t>
        </is>
      </c>
      <c r="E282" t="inlineStr">
        <is>
          <t>POS T403 150926</t>
        </is>
      </c>
      <c r="F282" t="inlineStr">
        <is>
          <t>Daily card takings Box Hill 15/09</t>
        </is>
      </c>
      <c r="G282" s="9" t="n">
        <v>2632.11</v>
      </c>
      <c r="H282" t="inlineStr">
        <is>
          <t>entry</t>
        </is>
      </c>
      <c r="I282" t="inlineStr"/>
      <c r="J282" t="inlineStr">
        <is>
          <t>G00845</t>
        </is>
      </c>
      <c r="K282" t="str">
        <f>INDEX('Match Groups'!$D$5:$D$1326,MATCH(J282,'Match Groups'!$A$5:$A$1326,0))</f>
        <v>REFUND-GAP</v>
      </c>
    </row>
    <row r="283">
      <c r="A283" t="inlineStr">
        <is>
          <t>JI-04229</t>
        </is>
      </c>
      <c r="B283" t="inlineStr">
        <is>
          <t>MER</t>
        </is>
      </c>
      <c r="C283" s="5" t="n">
        <v>46280</v>
      </c>
      <c r="D283" t="inlineStr">
        <is>
          <t>Frankston clinic takings</t>
        </is>
      </c>
      <c r="E283" t="inlineStr">
        <is>
          <t>POS T404 150926</t>
        </is>
      </c>
      <c r="F283" t="inlineStr">
        <is>
          <t>Daily card takings Frankston 15/09</t>
        </is>
      </c>
      <c r="G283" s="9" t="n">
        <v>2793.04</v>
      </c>
      <c r="H283" t="inlineStr">
        <is>
          <t>entry</t>
        </is>
      </c>
      <c r="I283" t="inlineStr"/>
      <c r="J283" t="inlineStr">
        <is>
          <t>G00846</t>
        </is>
      </c>
      <c r="K283" t="str">
        <f>INDEX('Match Groups'!$D$5:$D$1326,MATCH(J283,'Match Groups'!$A$5:$A$1326,0))</f>
        <v>MATCH</v>
      </c>
    </row>
    <row r="284">
      <c r="A284" t="inlineStr">
        <is>
          <t>JI-04230</t>
        </is>
      </c>
      <c r="B284" t="inlineStr">
        <is>
          <t>MER</t>
        </is>
      </c>
      <c r="C284" s="5" t="n">
        <v>46281</v>
      </c>
      <c r="D284" t="inlineStr">
        <is>
          <t>Carlton clinic takings</t>
        </is>
      </c>
      <c r="E284" t="inlineStr">
        <is>
          <t>POS T401 160926</t>
        </is>
      </c>
      <c r="F284" t="inlineStr">
        <is>
          <t>Daily card takings Carlton 16/09</t>
        </is>
      </c>
      <c r="G284" s="9" t="n">
        <v>2773.93</v>
      </c>
      <c r="H284" t="inlineStr">
        <is>
          <t>entry</t>
        </is>
      </c>
      <c r="I284" t="inlineStr"/>
      <c r="J284" t="inlineStr">
        <is>
          <t>G00847</t>
        </is>
      </c>
      <c r="K284" t="str">
        <f>INDEX('Match Groups'!$D$5:$D$1326,MATCH(J284,'Match Groups'!$A$5:$A$1326,0))</f>
        <v>MATCH</v>
      </c>
    </row>
    <row r="285">
      <c r="A285" t="inlineStr">
        <is>
          <t>JI-04231</t>
        </is>
      </c>
      <c r="B285" t="inlineStr">
        <is>
          <t>MER</t>
        </is>
      </c>
      <c r="C285" s="5" t="n">
        <v>46281</v>
      </c>
      <c r="D285" t="inlineStr">
        <is>
          <t>Footscray clinic takings</t>
        </is>
      </c>
      <c r="E285" t="inlineStr">
        <is>
          <t>POS T402 160926</t>
        </is>
      </c>
      <c r="F285" t="inlineStr">
        <is>
          <t>Daily card takings Footscray 16/09</t>
        </is>
      </c>
      <c r="G285" s="9" t="n">
        <v>2304.01</v>
      </c>
      <c r="H285" t="inlineStr">
        <is>
          <t>entry</t>
        </is>
      </c>
      <c r="I285" t="inlineStr"/>
      <c r="J285" t="inlineStr">
        <is>
          <t>G00848</t>
        </is>
      </c>
      <c r="K285" t="str">
        <f>INDEX('Match Groups'!$D$5:$D$1326,MATCH(J285,'Match Groups'!$A$5:$A$1326,0))</f>
        <v>MATCH</v>
      </c>
    </row>
    <row r="286">
      <c r="A286" t="inlineStr">
        <is>
          <t>JI-04232</t>
        </is>
      </c>
      <c r="B286" t="inlineStr">
        <is>
          <t>MER</t>
        </is>
      </c>
      <c r="C286" s="5" t="n">
        <v>46281</v>
      </c>
      <c r="D286" t="inlineStr">
        <is>
          <t>Box Hill clinic takings</t>
        </is>
      </c>
      <c r="E286" t="inlineStr">
        <is>
          <t>POS T403 160926</t>
        </is>
      </c>
      <c r="F286" t="inlineStr">
        <is>
          <t>Daily card takings Box Hill 16/09</t>
        </is>
      </c>
      <c r="G286" s="9" t="n">
        <v>1370.69</v>
      </c>
      <c r="H286" t="inlineStr">
        <is>
          <t>entry</t>
        </is>
      </c>
      <c r="I286" t="inlineStr"/>
      <c r="J286" t="inlineStr">
        <is>
          <t>G00849</t>
        </is>
      </c>
      <c r="K286" t="str">
        <f>INDEX('Match Groups'!$D$5:$D$1326,MATCH(J286,'Match Groups'!$A$5:$A$1326,0))</f>
        <v>MATCH</v>
      </c>
    </row>
    <row r="287">
      <c r="A287" t="inlineStr">
        <is>
          <t>JI-04233</t>
        </is>
      </c>
      <c r="B287" t="inlineStr">
        <is>
          <t>MER</t>
        </is>
      </c>
      <c r="C287" s="5" t="n">
        <v>46281</v>
      </c>
      <c r="D287" t="inlineStr">
        <is>
          <t>Frankston clinic takings</t>
        </is>
      </c>
      <c r="E287" t="inlineStr">
        <is>
          <t>POS T404 160926</t>
        </is>
      </c>
      <c r="F287" t="inlineStr">
        <is>
          <t>Daily card takings Frankston 16/09</t>
        </is>
      </c>
      <c r="G287" s="9" t="n">
        <v>1241.51</v>
      </c>
      <c r="H287" t="inlineStr">
        <is>
          <t>entry</t>
        </is>
      </c>
      <c r="I287" t="inlineStr"/>
      <c r="J287" t="inlineStr">
        <is>
          <t>G00850</t>
        </is>
      </c>
      <c r="K287" t="str">
        <f>INDEX('Match Groups'!$D$5:$D$1326,MATCH(J287,'Match Groups'!$A$5:$A$1326,0))</f>
        <v>MATCH</v>
      </c>
    </row>
    <row r="288">
      <c r="A288" t="inlineStr">
        <is>
          <t>JI-04234</t>
        </is>
      </c>
      <c r="B288" t="inlineStr">
        <is>
          <t>MER</t>
        </is>
      </c>
      <c r="C288" s="5" t="n">
        <v>46282</v>
      </c>
      <c r="D288" t="inlineStr">
        <is>
          <t>Carlton clinic takings</t>
        </is>
      </c>
      <c r="E288" t="inlineStr">
        <is>
          <t>POS T401 170926</t>
        </is>
      </c>
      <c r="F288" t="inlineStr">
        <is>
          <t>Daily card takings Carlton 17/09</t>
        </is>
      </c>
      <c r="G288" s="9" t="n">
        <v>1876.69</v>
      </c>
      <c r="H288" t="inlineStr">
        <is>
          <t>entry</t>
        </is>
      </c>
      <c r="I288" t="inlineStr"/>
      <c r="J288" t="inlineStr">
        <is>
          <t>G00851</t>
        </is>
      </c>
      <c r="K288" t="str">
        <f>INDEX('Match Groups'!$D$5:$D$1326,MATCH(J288,'Match Groups'!$A$5:$A$1326,0))</f>
        <v>MATCH</v>
      </c>
    </row>
    <row r="289">
      <c r="A289" t="inlineStr">
        <is>
          <t>JI-04235</t>
        </is>
      </c>
      <c r="B289" t="inlineStr">
        <is>
          <t>MER</t>
        </is>
      </c>
      <c r="C289" s="5" t="n">
        <v>46282</v>
      </c>
      <c r="D289" t="inlineStr">
        <is>
          <t>Footscray clinic takings</t>
        </is>
      </c>
      <c r="E289" t="inlineStr">
        <is>
          <t>POS T402 170926</t>
        </is>
      </c>
      <c r="F289" t="inlineStr">
        <is>
          <t>Daily card takings Footscray 17/09</t>
        </is>
      </c>
      <c r="G289" s="9" t="n">
        <v>2976.13</v>
      </c>
      <c r="H289" t="inlineStr">
        <is>
          <t>entry</t>
        </is>
      </c>
      <c r="I289" t="inlineStr"/>
      <c r="J289" t="inlineStr">
        <is>
          <t>G00852</t>
        </is>
      </c>
      <c r="K289" t="str">
        <f>INDEX('Match Groups'!$D$5:$D$1326,MATCH(J289,'Match Groups'!$A$5:$A$1326,0))</f>
        <v>MATCH</v>
      </c>
    </row>
    <row r="290">
      <c r="A290" t="inlineStr">
        <is>
          <t>JI-04236</t>
        </is>
      </c>
      <c r="B290" t="inlineStr">
        <is>
          <t>MER</t>
        </is>
      </c>
      <c r="C290" s="5" t="n">
        <v>46282</v>
      </c>
      <c r="D290" t="inlineStr">
        <is>
          <t>Box Hill clinic takings</t>
        </is>
      </c>
      <c r="E290" t="inlineStr">
        <is>
          <t>POS T403 170926</t>
        </is>
      </c>
      <c r="F290" t="inlineStr">
        <is>
          <t>Daily card takings Box Hill 17/09</t>
        </is>
      </c>
      <c r="G290" s="9" t="n">
        <v>3289.54</v>
      </c>
      <c r="H290" t="inlineStr">
        <is>
          <t>entry</t>
        </is>
      </c>
      <c r="I290" t="inlineStr"/>
      <c r="J290" t="inlineStr">
        <is>
          <t>G00853</t>
        </is>
      </c>
      <c r="K290" t="str">
        <f>INDEX('Match Groups'!$D$5:$D$1326,MATCH(J290,'Match Groups'!$A$5:$A$1326,0))</f>
        <v>MATCH</v>
      </c>
    </row>
    <row r="291">
      <c r="A291" t="inlineStr">
        <is>
          <t>JI-04237</t>
        </is>
      </c>
      <c r="B291" t="inlineStr">
        <is>
          <t>MER</t>
        </is>
      </c>
      <c r="C291" s="5" t="n">
        <v>46282</v>
      </c>
      <c r="D291" t="inlineStr">
        <is>
          <t>Frankston clinic takings</t>
        </is>
      </c>
      <c r="E291" t="inlineStr">
        <is>
          <t>POS T404 170926</t>
        </is>
      </c>
      <c r="F291" t="inlineStr">
        <is>
          <t>Daily card takings Frankston 17/09</t>
        </is>
      </c>
      <c r="G291" s="9" t="n">
        <v>3368.6</v>
      </c>
      <c r="H291" t="inlineStr">
        <is>
          <t>entry</t>
        </is>
      </c>
      <c r="I291" t="inlineStr"/>
      <c r="J291" t="inlineStr">
        <is>
          <t>G00854</t>
        </is>
      </c>
      <c r="K291" t="str">
        <f>INDEX('Match Groups'!$D$5:$D$1326,MATCH(J291,'Match Groups'!$A$5:$A$1326,0))</f>
        <v>MATCH</v>
      </c>
    </row>
    <row r="292">
      <c r="A292" t="inlineStr">
        <is>
          <t>JI-04238</t>
        </is>
      </c>
      <c r="B292" t="inlineStr">
        <is>
          <t>MER</t>
        </is>
      </c>
      <c r="C292" s="5" t="n">
        <v>46283</v>
      </c>
      <c r="D292" t="inlineStr">
        <is>
          <t>Carlton clinic takings</t>
        </is>
      </c>
      <c r="E292" t="inlineStr">
        <is>
          <t>POS T401 180926</t>
        </is>
      </c>
      <c r="F292" t="inlineStr">
        <is>
          <t>Daily card takings Carlton 18/09</t>
        </is>
      </c>
      <c r="G292" s="9" t="n">
        <v>3184.77</v>
      </c>
      <c r="H292" t="inlineStr">
        <is>
          <t>entry</t>
        </is>
      </c>
      <c r="I292" t="inlineStr"/>
      <c r="J292" t="inlineStr">
        <is>
          <t>G00855</t>
        </is>
      </c>
      <c r="K292" t="str">
        <f>INDEX('Match Groups'!$D$5:$D$1326,MATCH(J292,'Match Groups'!$A$5:$A$1326,0))</f>
        <v>MATCH</v>
      </c>
    </row>
    <row r="293">
      <c r="A293" t="inlineStr">
        <is>
          <t>JI-04239</t>
        </is>
      </c>
      <c r="B293" t="inlineStr">
        <is>
          <t>MER</t>
        </is>
      </c>
      <c r="C293" s="5" t="n">
        <v>46283</v>
      </c>
      <c r="D293" t="inlineStr">
        <is>
          <t>Footscray clinic takings</t>
        </is>
      </c>
      <c r="E293" t="inlineStr">
        <is>
          <t>POS T402 180926</t>
        </is>
      </c>
      <c r="F293" t="inlineStr">
        <is>
          <t>Daily card takings Footscray 18/09</t>
        </is>
      </c>
      <c r="G293" s="9" t="n">
        <v>2229.7</v>
      </c>
      <c r="H293" t="inlineStr">
        <is>
          <t>entry</t>
        </is>
      </c>
      <c r="I293" t="inlineStr"/>
      <c r="J293" t="inlineStr">
        <is>
          <t>G00856</t>
        </is>
      </c>
      <c r="K293" t="str">
        <f>INDEX('Match Groups'!$D$5:$D$1326,MATCH(J293,'Match Groups'!$A$5:$A$1326,0))</f>
        <v>MATCH</v>
      </c>
    </row>
    <row r="294">
      <c r="A294" t="inlineStr">
        <is>
          <t>JI-04240</t>
        </is>
      </c>
      <c r="B294" t="inlineStr">
        <is>
          <t>MER</t>
        </is>
      </c>
      <c r="C294" s="5" t="n">
        <v>46283</v>
      </c>
      <c r="D294" t="inlineStr">
        <is>
          <t>Box Hill clinic takings</t>
        </is>
      </c>
      <c r="E294" t="inlineStr">
        <is>
          <t>POS T403 180926</t>
        </is>
      </c>
      <c r="F294" t="inlineStr">
        <is>
          <t>Daily card takings Box Hill 18/09</t>
        </is>
      </c>
      <c r="G294" s="9" t="n">
        <v>1690.21</v>
      </c>
      <c r="H294" t="inlineStr">
        <is>
          <t>entry</t>
        </is>
      </c>
      <c r="I294" t="inlineStr"/>
      <c r="J294" t="inlineStr">
        <is>
          <t>G00857</t>
        </is>
      </c>
      <c r="K294" t="str">
        <f>INDEX('Match Groups'!$D$5:$D$1326,MATCH(J294,'Match Groups'!$A$5:$A$1326,0))</f>
        <v>MATCH</v>
      </c>
    </row>
    <row r="295">
      <c r="A295" t="inlineStr">
        <is>
          <t>JI-04241</t>
        </is>
      </c>
      <c r="B295" t="inlineStr">
        <is>
          <t>MER</t>
        </is>
      </c>
      <c r="C295" s="5" t="n">
        <v>46283</v>
      </c>
      <c r="D295" t="inlineStr">
        <is>
          <t>Frankston clinic takings</t>
        </is>
      </c>
      <c r="E295" t="inlineStr">
        <is>
          <t>POS T404 180926</t>
        </is>
      </c>
      <c r="F295" t="inlineStr">
        <is>
          <t>Daily card takings Frankston 18/09</t>
        </is>
      </c>
      <c r="G295" s="9" t="n">
        <v>2362.72</v>
      </c>
      <c r="H295" t="inlineStr">
        <is>
          <t>entry</t>
        </is>
      </c>
      <c r="I295" t="inlineStr"/>
      <c r="J295" t="inlineStr">
        <is>
          <t>G00858</t>
        </is>
      </c>
      <c r="K295" t="str">
        <f>INDEX('Match Groups'!$D$5:$D$1326,MATCH(J295,'Match Groups'!$A$5:$A$1326,0))</f>
        <v>MATCH</v>
      </c>
    </row>
    <row r="296">
      <c r="A296" t="inlineStr">
        <is>
          <t>JI-04242</t>
        </is>
      </c>
      <c r="B296" t="inlineStr">
        <is>
          <t>MER</t>
        </is>
      </c>
      <c r="C296" s="5" t="n">
        <v>46284</v>
      </c>
      <c r="D296" t="inlineStr">
        <is>
          <t>Carlton clinic takings</t>
        </is>
      </c>
      <c r="E296" t="inlineStr">
        <is>
          <t>POS T401 190926</t>
        </is>
      </c>
      <c r="F296" t="inlineStr">
        <is>
          <t>Daily card takings Carlton 19/09</t>
        </is>
      </c>
      <c r="G296" s="9" t="n">
        <v>781.59</v>
      </c>
      <c r="H296" t="inlineStr">
        <is>
          <t>entry</t>
        </is>
      </c>
      <c r="I296" t="inlineStr"/>
      <c r="J296" t="inlineStr">
        <is>
          <t>G00859</t>
        </is>
      </c>
      <c r="K296" t="str">
        <f>INDEX('Match Groups'!$D$5:$D$1326,MATCH(J296,'Match Groups'!$A$5:$A$1326,0))</f>
        <v>MATCH</v>
      </c>
    </row>
    <row r="297">
      <c r="A297" t="inlineStr">
        <is>
          <t>JI-04243</t>
        </is>
      </c>
      <c r="B297" t="inlineStr">
        <is>
          <t>MER</t>
        </is>
      </c>
      <c r="C297" s="5" t="n">
        <v>46284</v>
      </c>
      <c r="D297" t="inlineStr">
        <is>
          <t>Footscray clinic takings</t>
        </is>
      </c>
      <c r="E297" t="inlineStr">
        <is>
          <t>POS T402 190926</t>
        </is>
      </c>
      <c r="F297" t="inlineStr">
        <is>
          <t>Daily card takings Footscray 19/09</t>
        </is>
      </c>
      <c r="G297" s="9" t="n">
        <v>1033.48</v>
      </c>
      <c r="H297" t="inlineStr">
        <is>
          <t>entry</t>
        </is>
      </c>
      <c r="I297" t="inlineStr"/>
      <c r="J297" t="inlineStr">
        <is>
          <t>G00860</t>
        </is>
      </c>
      <c r="K297" t="str">
        <f>INDEX('Match Groups'!$D$5:$D$1326,MATCH(J297,'Match Groups'!$A$5:$A$1326,0))</f>
        <v>MATCH</v>
      </c>
    </row>
    <row r="298">
      <c r="A298" t="inlineStr">
        <is>
          <t>JI-04244</t>
        </is>
      </c>
      <c r="B298" t="inlineStr">
        <is>
          <t>MER</t>
        </is>
      </c>
      <c r="C298" s="5" t="n">
        <v>46284</v>
      </c>
      <c r="D298" t="inlineStr">
        <is>
          <t>Box Hill clinic takings</t>
        </is>
      </c>
      <c r="E298" t="inlineStr">
        <is>
          <t>POS T403 190926</t>
        </is>
      </c>
      <c r="F298" t="inlineStr">
        <is>
          <t>Daily card takings Box Hill 19/09</t>
        </is>
      </c>
      <c r="G298" s="9" t="n">
        <v>1244.97</v>
      </c>
      <c r="H298" t="inlineStr">
        <is>
          <t>entry</t>
        </is>
      </c>
      <c r="I298" t="inlineStr"/>
      <c r="J298" t="inlineStr">
        <is>
          <t>G00861</t>
        </is>
      </c>
      <c r="K298" t="str">
        <f>INDEX('Match Groups'!$D$5:$D$1326,MATCH(J298,'Match Groups'!$A$5:$A$1326,0))</f>
        <v>MATCH</v>
      </c>
    </row>
    <row r="299">
      <c r="A299" t="inlineStr">
        <is>
          <t>JI-04245</t>
        </is>
      </c>
      <c r="B299" t="inlineStr">
        <is>
          <t>MER</t>
        </is>
      </c>
      <c r="C299" s="5" t="n">
        <v>46284</v>
      </c>
      <c r="D299" t="inlineStr">
        <is>
          <t>Frankston clinic takings</t>
        </is>
      </c>
      <c r="E299" t="inlineStr">
        <is>
          <t>POS T404 190926</t>
        </is>
      </c>
      <c r="F299" t="inlineStr">
        <is>
          <t>Daily card takings Frankston 19/09</t>
        </is>
      </c>
      <c r="G299" s="9" t="n">
        <v>900.3200000000001</v>
      </c>
      <c r="H299" t="inlineStr">
        <is>
          <t>entry</t>
        </is>
      </c>
      <c r="I299" t="inlineStr"/>
      <c r="J299" t="inlineStr">
        <is>
          <t>G00862</t>
        </is>
      </c>
      <c r="K299" t="str">
        <f>INDEX('Match Groups'!$D$5:$D$1326,MATCH(J299,'Match Groups'!$A$5:$A$1326,0))</f>
        <v>MATCH</v>
      </c>
    </row>
    <row r="300">
      <c r="A300" t="inlineStr">
        <is>
          <t>JI-04246</t>
        </is>
      </c>
      <c r="B300" t="inlineStr">
        <is>
          <t>MER</t>
        </is>
      </c>
      <c r="C300" s="5" t="n">
        <v>46286</v>
      </c>
      <c r="D300" t="inlineStr">
        <is>
          <t>Carlton clinic takings</t>
        </is>
      </c>
      <c r="E300" t="inlineStr">
        <is>
          <t>POS T401 210926</t>
        </is>
      </c>
      <c r="F300" t="inlineStr">
        <is>
          <t>Daily card takings Carlton 21/09</t>
        </is>
      </c>
      <c r="G300" s="9" t="n">
        <v>2701.47</v>
      </c>
      <c r="H300" t="inlineStr">
        <is>
          <t>entry</t>
        </is>
      </c>
      <c r="I300" t="inlineStr"/>
      <c r="J300" t="inlineStr">
        <is>
          <t>G00864</t>
        </is>
      </c>
      <c r="K300" t="str">
        <f>INDEX('Match Groups'!$D$5:$D$1326,MATCH(J300,'Match Groups'!$A$5:$A$1326,0))</f>
        <v>MATCH</v>
      </c>
    </row>
    <row r="301">
      <c r="A301" t="inlineStr">
        <is>
          <t>JI-04247</t>
        </is>
      </c>
      <c r="B301" t="inlineStr">
        <is>
          <t>MER</t>
        </is>
      </c>
      <c r="C301" s="5" t="n">
        <v>46286</v>
      </c>
      <c r="D301" t="inlineStr">
        <is>
          <t>Footscray clinic takings</t>
        </is>
      </c>
      <c r="E301" t="inlineStr">
        <is>
          <t>POS T402 210926</t>
        </is>
      </c>
      <c r="F301" t="inlineStr">
        <is>
          <t>Daily card takings Footscray 21/09</t>
        </is>
      </c>
      <c r="G301" s="9" t="n">
        <v>2828.62</v>
      </c>
      <c r="H301" t="inlineStr">
        <is>
          <t>entry</t>
        </is>
      </c>
      <c r="I301" t="inlineStr"/>
      <c r="J301" t="inlineStr">
        <is>
          <t>G00865</t>
        </is>
      </c>
      <c r="K301" t="str">
        <f>INDEX('Match Groups'!$D$5:$D$1326,MATCH(J301,'Match Groups'!$A$5:$A$1326,0))</f>
        <v>MATCH</v>
      </c>
    </row>
    <row r="302">
      <c r="A302" t="inlineStr">
        <is>
          <t>JI-04248</t>
        </is>
      </c>
      <c r="B302" t="inlineStr">
        <is>
          <t>MER</t>
        </is>
      </c>
      <c r="C302" s="5" t="n">
        <v>46286</v>
      </c>
      <c r="D302" t="inlineStr">
        <is>
          <t>Box Hill clinic takings</t>
        </is>
      </c>
      <c r="E302" t="inlineStr">
        <is>
          <t>POS T403 210926</t>
        </is>
      </c>
      <c r="F302" t="inlineStr">
        <is>
          <t>Daily card takings Box Hill 21/09</t>
        </is>
      </c>
      <c r="G302" s="9" t="n">
        <v>3199.86</v>
      </c>
      <c r="H302" t="inlineStr">
        <is>
          <t>entry</t>
        </is>
      </c>
      <c r="I302" t="inlineStr"/>
      <c r="J302" t="inlineStr">
        <is>
          <t>G00866</t>
        </is>
      </c>
      <c r="K302" t="str">
        <f>INDEX('Match Groups'!$D$5:$D$1326,MATCH(J302,'Match Groups'!$A$5:$A$1326,0))</f>
        <v>MATCH</v>
      </c>
    </row>
    <row r="303">
      <c r="A303" t="inlineStr">
        <is>
          <t>JI-04249</t>
        </is>
      </c>
      <c r="B303" t="inlineStr">
        <is>
          <t>MER</t>
        </is>
      </c>
      <c r="C303" s="5" t="n">
        <v>46286</v>
      </c>
      <c r="D303" t="inlineStr">
        <is>
          <t>Frankston clinic takings</t>
        </is>
      </c>
      <c r="E303" t="inlineStr">
        <is>
          <t>POS T404 210926</t>
        </is>
      </c>
      <c r="F303" t="inlineStr">
        <is>
          <t>Daily card takings Frankston 21/09</t>
        </is>
      </c>
      <c r="G303" s="9" t="n">
        <v>3493.87</v>
      </c>
      <c r="H303" t="inlineStr">
        <is>
          <t>entry</t>
        </is>
      </c>
      <c r="I303" t="inlineStr"/>
      <c r="J303" t="inlineStr">
        <is>
          <t>G00867</t>
        </is>
      </c>
      <c r="K303" t="str">
        <f>INDEX('Match Groups'!$D$5:$D$1326,MATCH(J303,'Match Groups'!$A$5:$A$1326,0))</f>
        <v>MATCH</v>
      </c>
    </row>
    <row r="304">
      <c r="A304" t="inlineStr">
        <is>
          <t>JI-04304</t>
        </is>
      </c>
      <c r="B304" t="inlineStr">
        <is>
          <t>MER</t>
        </is>
      </c>
      <c r="C304" s="5" t="n">
        <v>46286</v>
      </c>
      <c r="D304" t="inlineStr">
        <is>
          <t>Internal transfer</t>
        </is>
      </c>
      <c r="E304" t="inlineStr">
        <is>
          <t>SWEEP 2109</t>
        </is>
      </c>
      <c r="F304" t="inlineStr">
        <is>
          <t>Sweep to operating</t>
        </is>
      </c>
      <c r="G304" s="9" t="n">
        <v>-22000</v>
      </c>
      <c r="H304" t="inlineStr">
        <is>
          <t>transfer</t>
        </is>
      </c>
      <c r="I304" t="inlineStr"/>
      <c r="J304" t="inlineStr">
        <is>
          <t>G00863</t>
        </is>
      </c>
      <c r="K304" t="str">
        <f>INDEX('Match Groups'!$D$5:$D$1326,MATCH(J304,'Match Groups'!$A$5:$A$1326,0))</f>
        <v>MATCH</v>
      </c>
    </row>
    <row r="305">
      <c r="A305" t="inlineStr">
        <is>
          <t>JI-04250</t>
        </is>
      </c>
      <c r="B305" t="inlineStr">
        <is>
          <t>MER</t>
        </is>
      </c>
      <c r="C305" s="5" t="n">
        <v>46287</v>
      </c>
      <c r="D305" t="inlineStr">
        <is>
          <t>Carlton clinic takings</t>
        </is>
      </c>
      <c r="E305" t="inlineStr">
        <is>
          <t>POS T401 220926</t>
        </is>
      </c>
      <c r="F305" t="inlineStr">
        <is>
          <t>Daily card takings Carlton 22/09</t>
        </is>
      </c>
      <c r="G305" s="9" t="n">
        <v>2151.71</v>
      </c>
      <c r="H305" t="inlineStr">
        <is>
          <t>entry</t>
        </is>
      </c>
      <c r="I305" t="inlineStr"/>
      <c r="J305" t="inlineStr">
        <is>
          <t>G00868</t>
        </is>
      </c>
      <c r="K305" t="str">
        <f>INDEX('Match Groups'!$D$5:$D$1326,MATCH(J305,'Match Groups'!$A$5:$A$1326,0))</f>
        <v>MATCH</v>
      </c>
    </row>
    <row r="306">
      <c r="A306" t="inlineStr">
        <is>
          <t>JI-04251</t>
        </is>
      </c>
      <c r="B306" t="inlineStr">
        <is>
          <t>MER</t>
        </is>
      </c>
      <c r="C306" s="5" t="n">
        <v>46287</v>
      </c>
      <c r="D306" t="inlineStr">
        <is>
          <t>Footscray clinic takings</t>
        </is>
      </c>
      <c r="E306" t="inlineStr">
        <is>
          <t>POS T402 220926</t>
        </is>
      </c>
      <c r="F306" t="inlineStr">
        <is>
          <t>Daily card takings Footscray 22/09</t>
        </is>
      </c>
      <c r="G306" s="9" t="n">
        <v>3519.25</v>
      </c>
      <c r="H306" t="inlineStr">
        <is>
          <t>entry</t>
        </is>
      </c>
      <c r="I306" t="inlineStr"/>
      <c r="J306" t="inlineStr">
        <is>
          <t>G00869</t>
        </is>
      </c>
      <c r="K306" t="str">
        <f>INDEX('Match Groups'!$D$5:$D$1326,MATCH(J306,'Match Groups'!$A$5:$A$1326,0))</f>
        <v>MATCH</v>
      </c>
    </row>
    <row r="307">
      <c r="A307" t="inlineStr">
        <is>
          <t>JI-04252</t>
        </is>
      </c>
      <c r="B307" t="inlineStr">
        <is>
          <t>MER</t>
        </is>
      </c>
      <c r="C307" s="5" t="n">
        <v>46287</v>
      </c>
      <c r="D307" t="inlineStr">
        <is>
          <t>Box Hill clinic takings</t>
        </is>
      </c>
      <c r="E307" t="inlineStr">
        <is>
          <t>POS T403 220926</t>
        </is>
      </c>
      <c r="F307" t="inlineStr">
        <is>
          <t>Daily card takings Box Hill 22/09</t>
        </is>
      </c>
      <c r="G307" s="9" t="n">
        <v>3495.79</v>
      </c>
      <c r="H307" t="inlineStr">
        <is>
          <t>entry</t>
        </is>
      </c>
      <c r="I307" t="inlineStr"/>
      <c r="J307" t="inlineStr">
        <is>
          <t>G00870</t>
        </is>
      </c>
      <c r="K307" t="str">
        <f>INDEX('Match Groups'!$D$5:$D$1326,MATCH(J307,'Match Groups'!$A$5:$A$1326,0))</f>
        <v>MATCH</v>
      </c>
    </row>
    <row r="308">
      <c r="A308" t="inlineStr">
        <is>
          <t>JI-04253</t>
        </is>
      </c>
      <c r="B308" t="inlineStr">
        <is>
          <t>MER</t>
        </is>
      </c>
      <c r="C308" s="5" t="n">
        <v>46287</v>
      </c>
      <c r="D308" t="inlineStr">
        <is>
          <t>Frankston clinic takings</t>
        </is>
      </c>
      <c r="E308" t="inlineStr">
        <is>
          <t>POS T404 220926</t>
        </is>
      </c>
      <c r="F308" t="inlineStr">
        <is>
          <t>Daily card takings Frankston 22/09</t>
        </is>
      </c>
      <c r="G308" s="9" t="n">
        <v>1223.62</v>
      </c>
      <c r="H308" t="inlineStr">
        <is>
          <t>entry</t>
        </is>
      </c>
      <c r="I308" t="inlineStr"/>
      <c r="J308" t="inlineStr">
        <is>
          <t>G00871</t>
        </is>
      </c>
      <c r="K308" t="str">
        <f>INDEX('Match Groups'!$D$5:$D$1326,MATCH(J308,'Match Groups'!$A$5:$A$1326,0))</f>
        <v>MATCH</v>
      </c>
    </row>
    <row r="309">
      <c r="A309" t="inlineStr">
        <is>
          <t>JI-04254</t>
        </is>
      </c>
      <c r="B309" t="inlineStr">
        <is>
          <t>MER</t>
        </is>
      </c>
      <c r="C309" s="5" t="n">
        <v>46288</v>
      </c>
      <c r="D309" t="inlineStr">
        <is>
          <t>Carlton clinic takings</t>
        </is>
      </c>
      <c r="E309" t="inlineStr">
        <is>
          <t>POS T401 230926</t>
        </is>
      </c>
      <c r="F309" t="inlineStr">
        <is>
          <t>Daily card takings Carlton 23/09</t>
        </is>
      </c>
      <c r="G309" s="9" t="n">
        <v>2755.46</v>
      </c>
      <c r="H309" t="inlineStr">
        <is>
          <t>entry</t>
        </is>
      </c>
      <c r="I309" t="inlineStr"/>
      <c r="J309" t="inlineStr">
        <is>
          <t>G00872</t>
        </is>
      </c>
      <c r="K309" t="str">
        <f>INDEX('Match Groups'!$D$5:$D$1326,MATCH(J309,'Match Groups'!$A$5:$A$1326,0))</f>
        <v>MATCH</v>
      </c>
    </row>
    <row r="310">
      <c r="A310" t="inlineStr">
        <is>
          <t>JI-04255</t>
        </is>
      </c>
      <c r="B310" t="inlineStr">
        <is>
          <t>MER</t>
        </is>
      </c>
      <c r="C310" s="5" t="n">
        <v>46288</v>
      </c>
      <c r="D310" t="inlineStr">
        <is>
          <t>Footscray clinic takings</t>
        </is>
      </c>
      <c r="E310" t="inlineStr">
        <is>
          <t>POS T402 230926</t>
        </is>
      </c>
      <c r="F310" t="inlineStr">
        <is>
          <t>Daily card takings Footscray 23/09</t>
        </is>
      </c>
      <c r="G310" s="9" t="n">
        <v>2923.81</v>
      </c>
      <c r="H310" t="inlineStr">
        <is>
          <t>entry</t>
        </is>
      </c>
      <c r="I310" t="inlineStr"/>
      <c r="J310" t="inlineStr">
        <is>
          <t>G00873</t>
        </is>
      </c>
      <c r="K310" t="str">
        <f>INDEX('Match Groups'!$D$5:$D$1326,MATCH(J310,'Match Groups'!$A$5:$A$1326,0))</f>
        <v>MATCH</v>
      </c>
    </row>
    <row r="311">
      <c r="A311" t="inlineStr">
        <is>
          <t>JI-04256</t>
        </is>
      </c>
      <c r="B311" t="inlineStr">
        <is>
          <t>MER</t>
        </is>
      </c>
      <c r="C311" s="5" t="n">
        <v>46288</v>
      </c>
      <c r="D311" t="inlineStr">
        <is>
          <t>Box Hill clinic takings</t>
        </is>
      </c>
      <c r="E311" t="inlineStr">
        <is>
          <t>POS T403 230926</t>
        </is>
      </c>
      <c r="F311" t="inlineStr">
        <is>
          <t>Daily card takings Box Hill 23/09</t>
        </is>
      </c>
      <c r="G311" s="9" t="n">
        <v>2859.66</v>
      </c>
      <c r="H311" t="inlineStr">
        <is>
          <t>entry</t>
        </is>
      </c>
      <c r="I311" t="inlineStr"/>
      <c r="J311" t="inlineStr">
        <is>
          <t>G00874</t>
        </is>
      </c>
      <c r="K311" t="str">
        <f>INDEX('Match Groups'!$D$5:$D$1326,MATCH(J311,'Match Groups'!$A$5:$A$1326,0))</f>
        <v>MATCH</v>
      </c>
    </row>
    <row r="312">
      <c r="A312" t="inlineStr">
        <is>
          <t>JI-04257</t>
        </is>
      </c>
      <c r="B312" t="inlineStr">
        <is>
          <t>MER</t>
        </is>
      </c>
      <c r="C312" s="5" t="n">
        <v>46288</v>
      </c>
      <c r="D312" t="inlineStr">
        <is>
          <t>Frankston clinic takings</t>
        </is>
      </c>
      <c r="E312" t="inlineStr">
        <is>
          <t>POS T404 230926</t>
        </is>
      </c>
      <c r="F312" t="inlineStr">
        <is>
          <t>Daily card takings Frankston 23/09</t>
        </is>
      </c>
      <c r="G312" s="9" t="n">
        <v>2219.3</v>
      </c>
      <c r="H312" t="inlineStr">
        <is>
          <t>entry</t>
        </is>
      </c>
      <c r="I312" t="inlineStr"/>
      <c r="J312" t="inlineStr">
        <is>
          <t>G00875</t>
        </is>
      </c>
      <c r="K312" t="str">
        <f>INDEX('Match Groups'!$D$5:$D$1326,MATCH(J312,'Match Groups'!$A$5:$A$1326,0))</f>
        <v>MATCH</v>
      </c>
    </row>
    <row r="313">
      <c r="A313" t="inlineStr">
        <is>
          <t>JI-04258</t>
        </is>
      </c>
      <c r="B313" t="inlineStr">
        <is>
          <t>MER</t>
        </is>
      </c>
      <c r="C313" s="5" t="n">
        <v>46289</v>
      </c>
      <c r="D313" t="inlineStr">
        <is>
          <t>Carlton clinic takings</t>
        </is>
      </c>
      <c r="E313" t="inlineStr">
        <is>
          <t>POS T401 240926</t>
        </is>
      </c>
      <c r="F313" t="inlineStr">
        <is>
          <t>Daily card takings Carlton 24/09</t>
        </is>
      </c>
      <c r="G313" s="9" t="n">
        <v>3351.73</v>
      </c>
      <c r="H313" t="inlineStr">
        <is>
          <t>entry</t>
        </is>
      </c>
      <c r="I313" t="inlineStr"/>
      <c r="J313" t="inlineStr">
        <is>
          <t>G00876</t>
        </is>
      </c>
      <c r="K313" t="str">
        <f>INDEX('Match Groups'!$D$5:$D$1326,MATCH(J313,'Match Groups'!$A$5:$A$1326,0))</f>
        <v>MATCH</v>
      </c>
    </row>
    <row r="314">
      <c r="A314" t="inlineStr">
        <is>
          <t>JI-04259</t>
        </is>
      </c>
      <c r="B314" t="inlineStr">
        <is>
          <t>MER</t>
        </is>
      </c>
      <c r="C314" s="5" t="n">
        <v>46289</v>
      </c>
      <c r="D314" t="inlineStr">
        <is>
          <t>Footscray clinic takings</t>
        </is>
      </c>
      <c r="E314" t="inlineStr">
        <is>
          <t>POS T402 240926</t>
        </is>
      </c>
      <c r="F314" t="inlineStr">
        <is>
          <t>Daily card takings Footscray 24/09</t>
        </is>
      </c>
      <c r="G314" s="9" t="n">
        <v>2223.87</v>
      </c>
      <c r="H314" t="inlineStr">
        <is>
          <t>entry</t>
        </is>
      </c>
      <c r="I314" t="inlineStr"/>
      <c r="J314" t="inlineStr">
        <is>
          <t>G00877</t>
        </is>
      </c>
      <c r="K314" t="str">
        <f>INDEX('Match Groups'!$D$5:$D$1326,MATCH(J314,'Match Groups'!$A$5:$A$1326,0))</f>
        <v>MATCH</v>
      </c>
    </row>
    <row r="315">
      <c r="A315" t="inlineStr">
        <is>
          <t>JI-04260</t>
        </is>
      </c>
      <c r="B315" t="inlineStr">
        <is>
          <t>MER</t>
        </is>
      </c>
      <c r="C315" s="5" t="n">
        <v>46289</v>
      </c>
      <c r="D315" t="inlineStr">
        <is>
          <t>Box Hill clinic takings</t>
        </is>
      </c>
      <c r="E315" t="inlineStr">
        <is>
          <t>POS T403 240926</t>
        </is>
      </c>
      <c r="F315" t="inlineStr">
        <is>
          <t>Daily card takings Box Hill 24/09</t>
        </is>
      </c>
      <c r="G315" s="9" t="n">
        <v>1397.51</v>
      </c>
      <c r="H315" t="inlineStr">
        <is>
          <t>entry</t>
        </is>
      </c>
      <c r="I315" t="inlineStr"/>
      <c r="J315" t="inlineStr">
        <is>
          <t>G00878</t>
        </is>
      </c>
      <c r="K315" t="str">
        <f>INDEX('Match Groups'!$D$5:$D$1326,MATCH(J315,'Match Groups'!$A$5:$A$1326,0))</f>
        <v>MATCH</v>
      </c>
    </row>
    <row r="316">
      <c r="A316" t="inlineStr">
        <is>
          <t>JI-04261</t>
        </is>
      </c>
      <c r="B316" t="inlineStr">
        <is>
          <t>MER</t>
        </is>
      </c>
      <c r="C316" s="5" t="n">
        <v>46289</v>
      </c>
      <c r="D316" t="inlineStr">
        <is>
          <t>Frankston clinic takings</t>
        </is>
      </c>
      <c r="E316" t="inlineStr">
        <is>
          <t>POS T404 240926</t>
        </is>
      </c>
      <c r="F316" t="inlineStr">
        <is>
          <t>Daily card takings Frankston 24/09</t>
        </is>
      </c>
      <c r="G316" s="9" t="n">
        <v>1867.63</v>
      </c>
      <c r="H316" t="inlineStr">
        <is>
          <t>entry</t>
        </is>
      </c>
      <c r="I316" t="inlineStr"/>
      <c r="J316" t="inlineStr">
        <is>
          <t>G00879</t>
        </is>
      </c>
      <c r="K316" t="str">
        <f>INDEX('Match Groups'!$D$5:$D$1326,MATCH(J316,'Match Groups'!$A$5:$A$1326,0))</f>
        <v>MATCH</v>
      </c>
    </row>
    <row r="317">
      <c r="A317" t="inlineStr">
        <is>
          <t>JI-04262</t>
        </is>
      </c>
      <c r="B317" t="inlineStr">
        <is>
          <t>MER</t>
        </is>
      </c>
      <c r="C317" s="5" t="n">
        <v>46290</v>
      </c>
      <c r="D317" t="inlineStr">
        <is>
          <t>Carlton clinic takings</t>
        </is>
      </c>
      <c r="E317" t="inlineStr">
        <is>
          <t>POS T401 250926</t>
        </is>
      </c>
      <c r="F317" t="inlineStr">
        <is>
          <t>Daily card takings Carlton 25/09</t>
        </is>
      </c>
      <c r="G317" s="9" t="n">
        <v>2888.48</v>
      </c>
      <c r="H317" t="inlineStr">
        <is>
          <t>entry</t>
        </is>
      </c>
      <c r="I317" t="inlineStr"/>
      <c r="J317" t="inlineStr">
        <is>
          <t>G00880</t>
        </is>
      </c>
      <c r="K317" t="str">
        <f>INDEX('Match Groups'!$D$5:$D$1326,MATCH(J317,'Match Groups'!$A$5:$A$1326,0))</f>
        <v>MATCH</v>
      </c>
    </row>
    <row r="318">
      <c r="A318" t="inlineStr">
        <is>
          <t>JI-04263</t>
        </is>
      </c>
      <c r="B318" t="inlineStr">
        <is>
          <t>MER</t>
        </is>
      </c>
      <c r="C318" s="5" t="n">
        <v>46290</v>
      </c>
      <c r="D318" t="inlineStr">
        <is>
          <t>Footscray clinic takings</t>
        </is>
      </c>
      <c r="E318" t="inlineStr">
        <is>
          <t>POS T402 250926</t>
        </is>
      </c>
      <c r="F318" t="inlineStr">
        <is>
          <t>Daily card takings Footscray 25/09</t>
        </is>
      </c>
      <c r="G318" s="9" t="n">
        <v>2497.41</v>
      </c>
      <c r="H318" t="inlineStr">
        <is>
          <t>entry</t>
        </is>
      </c>
      <c r="I318" t="inlineStr"/>
      <c r="J318" t="inlineStr">
        <is>
          <t>G00881</t>
        </is>
      </c>
      <c r="K318" t="str">
        <f>INDEX('Match Groups'!$D$5:$D$1326,MATCH(J318,'Match Groups'!$A$5:$A$1326,0))</f>
        <v>MATCH</v>
      </c>
    </row>
    <row r="319">
      <c r="A319" t="inlineStr">
        <is>
          <t>JI-04264</t>
        </is>
      </c>
      <c r="B319" t="inlineStr">
        <is>
          <t>MER</t>
        </is>
      </c>
      <c r="C319" s="5" t="n">
        <v>46290</v>
      </c>
      <c r="D319" t="inlineStr">
        <is>
          <t>Box Hill clinic takings</t>
        </is>
      </c>
      <c r="E319" t="inlineStr">
        <is>
          <t>POS T403 250926</t>
        </is>
      </c>
      <c r="F319" t="inlineStr">
        <is>
          <t>Daily card takings Box Hill 25/09</t>
        </is>
      </c>
      <c r="G319" s="9" t="n">
        <v>2758.33</v>
      </c>
      <c r="H319" t="inlineStr">
        <is>
          <t>entry</t>
        </is>
      </c>
      <c r="I319" t="inlineStr"/>
      <c r="J319" t="inlineStr">
        <is>
          <t>G00882</t>
        </is>
      </c>
      <c r="K319" t="str">
        <f>INDEX('Match Groups'!$D$5:$D$1326,MATCH(J319,'Match Groups'!$A$5:$A$1326,0))</f>
        <v>MATCH</v>
      </c>
    </row>
    <row r="320">
      <c r="A320" t="inlineStr">
        <is>
          <t>JI-04265</t>
        </is>
      </c>
      <c r="B320" t="inlineStr">
        <is>
          <t>MER</t>
        </is>
      </c>
      <c r="C320" s="5" t="n">
        <v>46290</v>
      </c>
      <c r="D320" t="inlineStr">
        <is>
          <t>Frankston clinic takings</t>
        </is>
      </c>
      <c r="E320" t="inlineStr">
        <is>
          <t>POS T404 250926</t>
        </is>
      </c>
      <c r="F320" t="inlineStr">
        <is>
          <t>Daily card takings Frankston 25/09</t>
        </is>
      </c>
      <c r="G320" s="9" t="n">
        <v>3384.53</v>
      </c>
      <c r="H320" t="inlineStr">
        <is>
          <t>entry</t>
        </is>
      </c>
      <c r="I320" t="inlineStr"/>
      <c r="J320" t="inlineStr">
        <is>
          <t>G00883</t>
        </is>
      </c>
      <c r="K320" t="str">
        <f>INDEX('Match Groups'!$D$5:$D$1326,MATCH(J320,'Match Groups'!$A$5:$A$1326,0))</f>
        <v>MATCH</v>
      </c>
    </row>
    <row r="321">
      <c r="A321" t="inlineStr">
        <is>
          <t>JI-04266</t>
        </is>
      </c>
      <c r="B321" t="inlineStr">
        <is>
          <t>MER</t>
        </is>
      </c>
      <c r="C321" s="5" t="n">
        <v>46291</v>
      </c>
      <c r="D321" t="inlineStr">
        <is>
          <t>Carlton clinic takings</t>
        </is>
      </c>
      <c r="E321" t="inlineStr">
        <is>
          <t>POS T401 260926</t>
        </is>
      </c>
      <c r="F321" t="inlineStr">
        <is>
          <t>Daily card takings Carlton 26/09</t>
        </is>
      </c>
      <c r="G321" s="9" t="n">
        <v>988.91</v>
      </c>
      <c r="H321" t="inlineStr">
        <is>
          <t>entry</t>
        </is>
      </c>
      <c r="I321" t="inlineStr"/>
      <c r="J321" t="inlineStr">
        <is>
          <t>G00884</t>
        </is>
      </c>
      <c r="K321" t="str">
        <f>INDEX('Match Groups'!$D$5:$D$1326,MATCH(J321,'Match Groups'!$A$5:$A$1326,0))</f>
        <v>MATCH</v>
      </c>
    </row>
    <row r="322">
      <c r="A322" t="inlineStr">
        <is>
          <t>JI-04267</t>
        </is>
      </c>
      <c r="B322" t="inlineStr">
        <is>
          <t>MER</t>
        </is>
      </c>
      <c r="C322" s="5" t="n">
        <v>46291</v>
      </c>
      <c r="D322" t="inlineStr">
        <is>
          <t>Footscray clinic takings</t>
        </is>
      </c>
      <c r="E322" t="inlineStr">
        <is>
          <t>POS T402 260926</t>
        </is>
      </c>
      <c r="F322" t="inlineStr">
        <is>
          <t>Daily card takings Footscray 26/09</t>
        </is>
      </c>
      <c r="G322" s="9" t="n">
        <v>1010.05</v>
      </c>
      <c r="H322" t="inlineStr">
        <is>
          <t>entry</t>
        </is>
      </c>
      <c r="I322" t="inlineStr"/>
      <c r="J322" t="inlineStr">
        <is>
          <t>G00885</t>
        </is>
      </c>
      <c r="K322" t="str">
        <f>INDEX('Match Groups'!$D$5:$D$1326,MATCH(J322,'Match Groups'!$A$5:$A$1326,0))</f>
        <v>MATCH</v>
      </c>
    </row>
    <row r="323">
      <c r="A323" t="inlineStr">
        <is>
          <t>JI-04268</t>
        </is>
      </c>
      <c r="B323" t="inlineStr">
        <is>
          <t>MER</t>
        </is>
      </c>
      <c r="C323" s="5" t="n">
        <v>46291</v>
      </c>
      <c r="D323" t="inlineStr">
        <is>
          <t>Box Hill clinic takings</t>
        </is>
      </c>
      <c r="E323" t="inlineStr">
        <is>
          <t>POS T403 260926</t>
        </is>
      </c>
      <c r="F323" t="inlineStr">
        <is>
          <t>Daily card takings Box Hill 26/09</t>
        </is>
      </c>
      <c r="G323" s="9" t="n">
        <v>750.4299999999999</v>
      </c>
      <c r="H323" t="inlineStr">
        <is>
          <t>entry</t>
        </is>
      </c>
      <c r="I323" t="inlineStr"/>
      <c r="J323" t="inlineStr">
        <is>
          <t>G00886</t>
        </is>
      </c>
      <c r="K323" t="str">
        <f>INDEX('Match Groups'!$D$5:$D$1326,MATCH(J323,'Match Groups'!$A$5:$A$1326,0))</f>
        <v>MATCH</v>
      </c>
    </row>
    <row r="324">
      <c r="A324" t="inlineStr">
        <is>
          <t>JI-04269</t>
        </is>
      </c>
      <c r="B324" t="inlineStr">
        <is>
          <t>MER</t>
        </is>
      </c>
      <c r="C324" s="5" t="n">
        <v>46291</v>
      </c>
      <c r="D324" t="inlineStr">
        <is>
          <t>Frankston clinic takings</t>
        </is>
      </c>
      <c r="E324" t="inlineStr">
        <is>
          <t>POS T404 260926</t>
        </is>
      </c>
      <c r="F324" t="inlineStr">
        <is>
          <t>Daily card takings Frankston 26/09</t>
        </is>
      </c>
      <c r="G324" s="9" t="n">
        <v>687.51</v>
      </c>
      <c r="H324" t="inlineStr">
        <is>
          <t>entry</t>
        </is>
      </c>
      <c r="I324" t="inlineStr"/>
      <c r="J324" t="inlineStr">
        <is>
          <t>G00887</t>
        </is>
      </c>
      <c r="K324" t="str">
        <f>INDEX('Match Groups'!$D$5:$D$1326,MATCH(J324,'Match Groups'!$A$5:$A$1326,0))</f>
        <v>MATCH</v>
      </c>
    </row>
    <row r="325">
      <c r="A325" t="inlineStr">
        <is>
          <t>JI-04270</t>
        </is>
      </c>
      <c r="B325" t="inlineStr">
        <is>
          <t>MER</t>
        </is>
      </c>
      <c r="C325" s="5" t="n">
        <v>46293</v>
      </c>
      <c r="D325" t="inlineStr">
        <is>
          <t>Carlton clinic takings</t>
        </is>
      </c>
      <c r="E325" t="inlineStr">
        <is>
          <t>POS T401 280926</t>
        </is>
      </c>
      <c r="F325" t="inlineStr">
        <is>
          <t>Daily card takings Carlton 28/09</t>
        </is>
      </c>
      <c r="G325" s="9" t="n">
        <v>2816.08</v>
      </c>
      <c r="H325" t="inlineStr">
        <is>
          <t>entry</t>
        </is>
      </c>
      <c r="I325" t="inlineStr"/>
      <c r="J325" t="inlineStr">
        <is>
          <t>G00889</t>
        </is>
      </c>
      <c r="K325" t="str">
        <f>INDEX('Match Groups'!$D$5:$D$1326,MATCH(J325,'Match Groups'!$A$5:$A$1326,0))</f>
        <v>MATCH</v>
      </c>
    </row>
    <row r="326">
      <c r="A326" t="inlineStr">
        <is>
          <t>JI-04271</t>
        </is>
      </c>
      <c r="B326" t="inlineStr">
        <is>
          <t>MER</t>
        </is>
      </c>
      <c r="C326" s="5" t="n">
        <v>46293</v>
      </c>
      <c r="D326" t="inlineStr">
        <is>
          <t>Footscray clinic takings</t>
        </is>
      </c>
      <c r="E326" t="inlineStr">
        <is>
          <t>POS T402 280926</t>
        </is>
      </c>
      <c r="F326" t="inlineStr">
        <is>
          <t>Daily card takings Footscray 28/09</t>
        </is>
      </c>
      <c r="G326" s="9" t="n">
        <v>2813.81</v>
      </c>
      <c r="H326" t="inlineStr">
        <is>
          <t>entry</t>
        </is>
      </c>
      <c r="I326" t="inlineStr"/>
      <c r="J326" t="inlineStr">
        <is>
          <t>G00890</t>
        </is>
      </c>
      <c r="K326" t="str">
        <f>INDEX('Match Groups'!$D$5:$D$1326,MATCH(J326,'Match Groups'!$A$5:$A$1326,0))</f>
        <v>MATCH</v>
      </c>
    </row>
    <row r="327">
      <c r="A327" t="inlineStr">
        <is>
          <t>JI-04272</t>
        </is>
      </c>
      <c r="B327" t="inlineStr">
        <is>
          <t>MER</t>
        </is>
      </c>
      <c r="C327" s="5" t="n">
        <v>46293</v>
      </c>
      <c r="D327" t="inlineStr">
        <is>
          <t>Box Hill clinic takings</t>
        </is>
      </c>
      <c r="E327" t="inlineStr">
        <is>
          <t>POS T403 280926</t>
        </is>
      </c>
      <c r="F327" t="inlineStr">
        <is>
          <t>Daily card takings Box Hill 28/09</t>
        </is>
      </c>
      <c r="G327" s="9" t="n">
        <v>2085.46</v>
      </c>
      <c r="H327" t="inlineStr">
        <is>
          <t>entry</t>
        </is>
      </c>
      <c r="I327" t="inlineStr"/>
      <c r="J327" t="inlineStr">
        <is>
          <t>G00891</t>
        </is>
      </c>
      <c r="K327" t="str">
        <f>INDEX('Match Groups'!$D$5:$D$1326,MATCH(J327,'Match Groups'!$A$5:$A$1326,0))</f>
        <v>MATCH</v>
      </c>
    </row>
    <row r="328">
      <c r="A328" t="inlineStr">
        <is>
          <t>JI-04273</t>
        </is>
      </c>
      <c r="B328" t="inlineStr">
        <is>
          <t>MER</t>
        </is>
      </c>
      <c r="C328" s="5" t="n">
        <v>46293</v>
      </c>
      <c r="D328" t="inlineStr">
        <is>
          <t>Frankston clinic takings</t>
        </is>
      </c>
      <c r="E328" t="inlineStr">
        <is>
          <t>POS T404 280926</t>
        </is>
      </c>
      <c r="F328" t="inlineStr">
        <is>
          <t>Daily card takings Frankston 28/09</t>
        </is>
      </c>
      <c r="G328" s="9" t="n">
        <v>3246.85</v>
      </c>
      <c r="H328" t="inlineStr">
        <is>
          <t>entry</t>
        </is>
      </c>
      <c r="I328" t="inlineStr"/>
      <c r="J328" t="inlineStr">
        <is>
          <t>G00892</t>
        </is>
      </c>
      <c r="K328" t="str">
        <f>INDEX('Match Groups'!$D$5:$D$1326,MATCH(J328,'Match Groups'!$A$5:$A$1326,0))</f>
        <v>MATCH</v>
      </c>
    </row>
    <row r="329">
      <c r="A329" t="inlineStr">
        <is>
          <t>JI-04306</t>
        </is>
      </c>
      <c r="B329" t="inlineStr">
        <is>
          <t>MER</t>
        </is>
      </c>
      <c r="C329" s="5" t="n">
        <v>46293</v>
      </c>
      <c r="D329" t="inlineStr">
        <is>
          <t>Internal transfer</t>
        </is>
      </c>
      <c r="E329" t="inlineStr">
        <is>
          <t>SWEEP 2809</t>
        </is>
      </c>
      <c r="F329" t="inlineStr">
        <is>
          <t>Sweep to operating</t>
        </is>
      </c>
      <c r="G329" s="9" t="n">
        <v>-34000</v>
      </c>
      <c r="H329" t="inlineStr">
        <is>
          <t>transfer</t>
        </is>
      </c>
      <c r="I329" t="inlineStr"/>
      <c r="J329" t="inlineStr">
        <is>
          <t>G00888</t>
        </is>
      </c>
      <c r="K329" t="str">
        <f>INDEX('Match Groups'!$D$5:$D$1326,MATCH(J329,'Match Groups'!$A$5:$A$1326,0))</f>
        <v>MATCH</v>
      </c>
    </row>
    <row r="330">
      <c r="A330" t="inlineStr">
        <is>
          <t>JI-04274</t>
        </is>
      </c>
      <c r="B330" t="inlineStr">
        <is>
          <t>MER</t>
        </is>
      </c>
      <c r="C330" s="5" t="n">
        <v>46294</v>
      </c>
      <c r="D330" t="inlineStr">
        <is>
          <t>Carlton clinic takings</t>
        </is>
      </c>
      <c r="E330" t="inlineStr">
        <is>
          <t>POS T401 290926</t>
        </is>
      </c>
      <c r="F330" t="inlineStr">
        <is>
          <t>Daily card takings Carlton 29/09</t>
        </is>
      </c>
      <c r="G330" s="9" t="n">
        <v>3167.28</v>
      </c>
      <c r="H330" t="inlineStr">
        <is>
          <t>entry</t>
        </is>
      </c>
      <c r="I330" t="inlineStr"/>
      <c r="J330" t="inlineStr">
        <is>
          <t>G00893</t>
        </is>
      </c>
      <c r="K330" t="str">
        <f>INDEX('Match Groups'!$D$5:$D$1326,MATCH(J330,'Match Groups'!$A$5:$A$1326,0))</f>
        <v>MATCH</v>
      </c>
    </row>
    <row r="331">
      <c r="A331" t="inlineStr">
        <is>
          <t>JI-04275</t>
        </is>
      </c>
      <c r="B331" t="inlineStr">
        <is>
          <t>MER</t>
        </is>
      </c>
      <c r="C331" s="5" t="n">
        <v>46294</v>
      </c>
      <c r="D331" t="inlineStr">
        <is>
          <t>Footscray clinic takings</t>
        </is>
      </c>
      <c r="E331" t="inlineStr">
        <is>
          <t>POS T402 290926</t>
        </is>
      </c>
      <c r="F331" t="inlineStr">
        <is>
          <t>Daily card takings Footscray 29/09</t>
        </is>
      </c>
      <c r="G331" s="9" t="n">
        <v>1541.19</v>
      </c>
      <c r="H331" t="inlineStr">
        <is>
          <t>entry</t>
        </is>
      </c>
      <c r="I331" t="inlineStr"/>
      <c r="J331" t="inlineStr">
        <is>
          <t>G00894</t>
        </is>
      </c>
      <c r="K331" t="str">
        <f>INDEX('Match Groups'!$D$5:$D$1326,MATCH(J331,'Match Groups'!$A$5:$A$1326,0))</f>
        <v>MATCH</v>
      </c>
    </row>
    <row r="332">
      <c r="A332" t="inlineStr">
        <is>
          <t>JI-04276</t>
        </is>
      </c>
      <c r="B332" t="inlineStr">
        <is>
          <t>MER</t>
        </is>
      </c>
      <c r="C332" s="5" t="n">
        <v>46294</v>
      </c>
      <c r="D332" t="inlineStr">
        <is>
          <t>Box Hill clinic takings</t>
        </is>
      </c>
      <c r="E332" t="inlineStr">
        <is>
          <t>POS T403 290926</t>
        </is>
      </c>
      <c r="F332" t="inlineStr">
        <is>
          <t>Daily card takings Box Hill 29/09</t>
        </is>
      </c>
      <c r="G332" s="9" t="n">
        <v>1692.56</v>
      </c>
      <c r="H332" t="inlineStr">
        <is>
          <t>entry</t>
        </is>
      </c>
      <c r="I332" t="inlineStr"/>
      <c r="J332" t="inlineStr">
        <is>
          <t>G00895</t>
        </is>
      </c>
      <c r="K332" t="str">
        <f>INDEX('Match Groups'!$D$5:$D$1326,MATCH(J332,'Match Groups'!$A$5:$A$1326,0))</f>
        <v>MATCH</v>
      </c>
    </row>
    <row r="333">
      <c r="A333" t="inlineStr">
        <is>
          <t>JI-04277</t>
        </is>
      </c>
      <c r="B333" t="inlineStr">
        <is>
          <t>MER</t>
        </is>
      </c>
      <c r="C333" s="5" t="n">
        <v>46294</v>
      </c>
      <c r="D333" t="inlineStr">
        <is>
          <t>Frankston clinic takings</t>
        </is>
      </c>
      <c r="E333" t="inlineStr">
        <is>
          <t>POS T404 290926</t>
        </is>
      </c>
      <c r="F333" t="inlineStr">
        <is>
          <t>Daily card takings Frankston 29/09</t>
        </is>
      </c>
      <c r="G333" s="9" t="n">
        <v>3070.44</v>
      </c>
      <c r="H333" t="inlineStr">
        <is>
          <t>entry</t>
        </is>
      </c>
      <c r="I333" t="inlineStr"/>
      <c r="J333" t="inlineStr">
        <is>
          <t>G00896</t>
        </is>
      </c>
      <c r="K333" t="str">
        <f>INDEX('Match Groups'!$D$5:$D$1326,MATCH(J333,'Match Groups'!$A$5:$A$1326,0))</f>
        <v>MATCH</v>
      </c>
    </row>
    <row r="334">
      <c r="A334" t="inlineStr">
        <is>
          <t>JI-04278</t>
        </is>
      </c>
      <c r="B334" t="inlineStr">
        <is>
          <t>MER</t>
        </is>
      </c>
      <c r="C334" s="5" t="n">
        <v>46295</v>
      </c>
      <c r="D334" t="inlineStr">
        <is>
          <t>Carlton clinic takings</t>
        </is>
      </c>
      <c r="E334" t="inlineStr">
        <is>
          <t>POS T401 300926</t>
        </is>
      </c>
      <c r="F334" t="inlineStr">
        <is>
          <t>Daily card takings Carlton 30/09</t>
        </is>
      </c>
      <c r="G334" s="9" t="n">
        <v>2364.19</v>
      </c>
      <c r="H334" t="inlineStr">
        <is>
          <t>entry</t>
        </is>
      </c>
      <c r="I334" t="inlineStr"/>
      <c r="J334" t="inlineStr">
        <is>
          <t>G01317</t>
        </is>
      </c>
      <c r="K334" t="str">
        <f>INDEX('Match Groups'!$D$5:$D$1326,MATCH(J334,'Match Groups'!$A$5:$A$1326,0))</f>
        <v>OUT</v>
      </c>
    </row>
    <row r="335">
      <c r="A335" t="inlineStr">
        <is>
          <t>JI-04279</t>
        </is>
      </c>
      <c r="B335" t="inlineStr">
        <is>
          <t>MER</t>
        </is>
      </c>
      <c r="C335" s="5" t="n">
        <v>46295</v>
      </c>
      <c r="D335" t="inlineStr">
        <is>
          <t>Footscray clinic takings</t>
        </is>
      </c>
      <c r="E335" t="inlineStr">
        <is>
          <t>POS T402 300926</t>
        </is>
      </c>
      <c r="F335" t="inlineStr">
        <is>
          <t>Daily card takings Footscray 30/09</t>
        </is>
      </c>
      <c r="G335" s="9" t="n">
        <v>2807.69</v>
      </c>
      <c r="H335" t="inlineStr">
        <is>
          <t>entry</t>
        </is>
      </c>
      <c r="I335" t="inlineStr"/>
      <c r="J335" t="inlineStr">
        <is>
          <t>G01318</t>
        </is>
      </c>
      <c r="K335" t="str">
        <f>INDEX('Match Groups'!$D$5:$D$1326,MATCH(J335,'Match Groups'!$A$5:$A$1326,0))</f>
        <v>OUT</v>
      </c>
    </row>
    <row r="336">
      <c r="A336" t="inlineStr">
        <is>
          <t>JI-04280</t>
        </is>
      </c>
      <c r="B336" t="inlineStr">
        <is>
          <t>MER</t>
        </is>
      </c>
      <c r="C336" s="5" t="n">
        <v>46295</v>
      </c>
      <c r="D336" t="inlineStr">
        <is>
          <t>Box Hill clinic takings</t>
        </is>
      </c>
      <c r="E336" t="inlineStr">
        <is>
          <t>POS T403 300926</t>
        </is>
      </c>
      <c r="F336" t="inlineStr">
        <is>
          <t>Daily card takings Box Hill 30/09</t>
        </is>
      </c>
      <c r="G336" s="9" t="n">
        <v>1549.31</v>
      </c>
      <c r="H336" t="inlineStr">
        <is>
          <t>entry</t>
        </is>
      </c>
      <c r="I336" t="inlineStr"/>
      <c r="J336" t="inlineStr">
        <is>
          <t>G01319</t>
        </is>
      </c>
      <c r="K336" t="str">
        <f>INDEX('Match Groups'!$D$5:$D$1326,MATCH(J336,'Match Groups'!$A$5:$A$1326,0))</f>
        <v>OUT</v>
      </c>
    </row>
    <row r="337">
      <c r="A337" t="inlineStr">
        <is>
          <t>JI-04281</t>
        </is>
      </c>
      <c r="B337" t="inlineStr">
        <is>
          <t>MER</t>
        </is>
      </c>
      <c r="C337" s="5" t="n">
        <v>46295</v>
      </c>
      <c r="D337" t="inlineStr">
        <is>
          <t>Frankston clinic takings</t>
        </is>
      </c>
      <c r="E337" t="inlineStr">
        <is>
          <t>POS T404 300926</t>
        </is>
      </c>
      <c r="F337" t="inlineStr">
        <is>
          <t>Daily card takings Frankston 30/09</t>
        </is>
      </c>
      <c r="G337" s="9" t="n">
        <v>2452.36</v>
      </c>
      <c r="H337" t="inlineStr">
        <is>
          <t>entry</t>
        </is>
      </c>
      <c r="I337" t="inlineStr"/>
      <c r="J337" t="inlineStr">
        <is>
          <t>G01320</t>
        </is>
      </c>
      <c r="K337" t="str">
        <f>INDEX('Match Groups'!$D$5:$D$1326,MATCH(J337,'Match Groups'!$A$5:$A$1326,0))</f>
        <v>OUT</v>
      </c>
    </row>
    <row r="338">
      <c r="A338" t="inlineStr">
        <is>
          <t>JI-00001</t>
        </is>
      </c>
      <c r="B338" t="inlineStr">
        <is>
          <t>OPS</t>
        </is>
      </c>
      <c r="C338" s="5" t="n">
        <v>46199</v>
      </c>
      <c r="D338" t="inlineStr">
        <is>
          <t>Northern Pest Control</t>
        </is>
      </c>
      <c r="E338" t="inlineStr">
        <is>
          <t>CHQ 000398</t>
        </is>
      </c>
      <c r="F338" t="inlineStr">
        <is>
          <t>Cheque 000398 Northern Pest Control</t>
        </is>
      </c>
      <c r="G338" s="9" t="n">
        <v>-418</v>
      </c>
      <c r="H338" t="inlineStr">
        <is>
          <t>supplier_payment</t>
        </is>
      </c>
      <c r="I338" t="inlineStr"/>
      <c r="J338" t="inlineStr">
        <is>
          <t>G00504</t>
        </is>
      </c>
      <c r="K338" t="str">
        <f>INDEX('Match Groups'!$D$5:$D$1326,MATCH(J338,'Match Groups'!$A$5:$A$1326,0))</f>
        <v>MATCH</v>
      </c>
    </row>
    <row r="339">
      <c r="A339" t="inlineStr">
        <is>
          <t>JI-00002</t>
        </is>
      </c>
      <c r="B339" t="inlineStr">
        <is>
          <t>OPS</t>
        </is>
      </c>
      <c r="C339" s="5" t="n">
        <v>46199</v>
      </c>
      <c r="D339" t="inlineStr">
        <is>
          <t>Greenleaf Plants Hire</t>
        </is>
      </c>
      <c r="E339" t="inlineStr">
        <is>
          <t>CHQ 000401</t>
        </is>
      </c>
      <c r="F339" t="inlineStr">
        <is>
          <t>Cheque 000401 Greenleaf Plants Hire</t>
        </is>
      </c>
      <c r="G339" s="9" t="n">
        <v>-286</v>
      </c>
      <c r="H339" t="inlineStr">
        <is>
          <t>supplier_payment</t>
        </is>
      </c>
      <c r="I339" t="inlineStr"/>
      <c r="J339" t="inlineStr">
        <is>
          <t>G01249</t>
        </is>
      </c>
      <c r="K339" t="str">
        <f>INDEX('Match Groups'!$D$5:$D$1326,MATCH(J339,'Match Groups'!$A$5:$A$1326,0))</f>
        <v>STALE</v>
      </c>
    </row>
    <row r="340">
      <c r="A340" t="inlineStr">
        <is>
          <t>JI-00003</t>
        </is>
      </c>
      <c r="B340" t="inlineStr">
        <is>
          <t>OPS</t>
        </is>
      </c>
      <c r="C340" s="5" t="n">
        <v>46202</v>
      </c>
      <c r="D340" t="inlineStr">
        <is>
          <t>Secure Shred Australia</t>
        </is>
      </c>
      <c r="E340" t="inlineStr">
        <is>
          <t>CHQ 000402</t>
        </is>
      </c>
      <c r="F340" t="inlineStr">
        <is>
          <t>Cheque 000402 Secure Shred Australia</t>
        </is>
      </c>
      <c r="G340" s="9" t="n">
        <v>-165</v>
      </c>
      <c r="H340" t="inlineStr">
        <is>
          <t>supplier_payment</t>
        </is>
      </c>
      <c r="I340" t="inlineStr"/>
      <c r="J340" t="inlineStr">
        <is>
          <t>G00507</t>
        </is>
      </c>
      <c r="K340" t="str">
        <f>INDEX('Match Groups'!$D$5:$D$1326,MATCH(J340,'Match Groups'!$A$5:$A$1326,0))</f>
        <v>MATCH</v>
      </c>
    </row>
    <row r="341">
      <c r="A341" t="inlineStr">
        <is>
          <t>JI-01779</t>
        </is>
      </c>
      <c r="B341" t="inlineStr">
        <is>
          <t>OPS</t>
        </is>
      </c>
      <c r="C341" s="5" t="n">
        <v>46202</v>
      </c>
      <c r="D341" t="inlineStr">
        <is>
          <t>Stripe patient 57716</t>
        </is>
      </c>
      <c r="E341" t="inlineStr">
        <is>
          <t>INV/2026/03626</t>
        </is>
      </c>
      <c r="F341" t="inlineStr">
        <is>
          <t>Customer payment INV/2026/03626</t>
        </is>
      </c>
      <c r="G341" s="9" t="n">
        <v>120</v>
      </c>
      <c r="H341" t="inlineStr">
        <is>
          <t>customer_payment</t>
        </is>
      </c>
      <c r="I341" t="inlineStr"/>
      <c r="J341" t="inlineStr">
        <is>
          <t>G00014</t>
        </is>
      </c>
      <c r="K341" t="str">
        <f>INDEX('Match Groups'!$D$5:$D$1326,MATCH(J341,'Match Groups'!$A$5:$A$1326,0))</f>
        <v>STRIPE-FEE</v>
      </c>
    </row>
    <row r="342">
      <c r="A342" t="inlineStr">
        <is>
          <t>JI-01780</t>
        </is>
      </c>
      <c r="B342" t="inlineStr">
        <is>
          <t>OPS</t>
        </is>
      </c>
      <c r="C342" s="5" t="n">
        <v>46202</v>
      </c>
      <c r="D342" t="inlineStr">
        <is>
          <t>Stripe patient 46685</t>
        </is>
      </c>
      <c r="E342" t="inlineStr">
        <is>
          <t>INV/2026/03627</t>
        </is>
      </c>
      <c r="F342" t="inlineStr">
        <is>
          <t>Customer payment INV/2026/03627</t>
        </is>
      </c>
      <c r="G342" s="9" t="n">
        <v>110</v>
      </c>
      <c r="H342" t="inlineStr">
        <is>
          <t>customer_payment</t>
        </is>
      </c>
      <c r="I342" t="inlineStr"/>
      <c r="J342" t="inlineStr">
        <is>
          <t>G00014</t>
        </is>
      </c>
      <c r="K342" t="str">
        <f>INDEX('Match Groups'!$D$5:$D$1326,MATCH(J342,'Match Groups'!$A$5:$A$1326,0))</f>
        <v>STRIPE-FEE</v>
      </c>
    </row>
    <row r="343">
      <c r="A343" t="inlineStr">
        <is>
          <t>JI-01781</t>
        </is>
      </c>
      <c r="B343" t="inlineStr">
        <is>
          <t>OPS</t>
        </is>
      </c>
      <c r="C343" s="5" t="n">
        <v>46202</v>
      </c>
      <c r="D343" t="inlineStr">
        <is>
          <t>Stripe patient 61208</t>
        </is>
      </c>
      <c r="E343" t="inlineStr">
        <is>
          <t>INV/2026/03628</t>
        </is>
      </c>
      <c r="F343" t="inlineStr">
        <is>
          <t>Customer payment INV/2026/03628</t>
        </is>
      </c>
      <c r="G343" s="9" t="n">
        <v>120</v>
      </c>
      <c r="H343" t="inlineStr">
        <is>
          <t>customer_payment</t>
        </is>
      </c>
      <c r="I343" t="inlineStr"/>
      <c r="J343" t="inlineStr">
        <is>
          <t>G00014</t>
        </is>
      </c>
      <c r="K343" t="str">
        <f>INDEX('Match Groups'!$D$5:$D$1326,MATCH(J343,'Match Groups'!$A$5:$A$1326,0))</f>
        <v>STRIPE-FEE</v>
      </c>
    </row>
    <row r="344">
      <c r="A344" t="inlineStr">
        <is>
          <t>JI-01782</t>
        </is>
      </c>
      <c r="B344" t="inlineStr">
        <is>
          <t>OPS</t>
        </is>
      </c>
      <c r="C344" s="5" t="n">
        <v>46202</v>
      </c>
      <c r="D344" t="inlineStr">
        <is>
          <t>Stripe patient 76433</t>
        </is>
      </c>
      <c r="E344" t="inlineStr">
        <is>
          <t>INV/2026/03629</t>
        </is>
      </c>
      <c r="F344" t="inlineStr">
        <is>
          <t>Customer payment INV/2026/03629</t>
        </is>
      </c>
      <c r="G344" s="9" t="n">
        <v>180</v>
      </c>
      <c r="H344" t="inlineStr">
        <is>
          <t>customer_payment</t>
        </is>
      </c>
      <c r="I344" t="inlineStr"/>
      <c r="J344" t="inlineStr">
        <is>
          <t>G00014</t>
        </is>
      </c>
      <c r="K344" t="str">
        <f>INDEX('Match Groups'!$D$5:$D$1326,MATCH(J344,'Match Groups'!$A$5:$A$1326,0))</f>
        <v>STRIPE-FEE</v>
      </c>
    </row>
    <row r="345">
      <c r="A345" t="inlineStr">
        <is>
          <t>JI-01783</t>
        </is>
      </c>
      <c r="B345" t="inlineStr">
        <is>
          <t>OPS</t>
        </is>
      </c>
      <c r="C345" s="5" t="n">
        <v>46202</v>
      </c>
      <c r="D345" t="inlineStr">
        <is>
          <t>Stripe patient 17213</t>
        </is>
      </c>
      <c r="E345" t="inlineStr">
        <is>
          <t>INV/2026/03630</t>
        </is>
      </c>
      <c r="F345" t="inlineStr">
        <is>
          <t>Customer payment INV/2026/03630</t>
        </is>
      </c>
      <c r="G345" s="9" t="n">
        <v>85</v>
      </c>
      <c r="H345" t="inlineStr">
        <is>
          <t>customer_payment</t>
        </is>
      </c>
      <c r="I345" t="inlineStr"/>
      <c r="J345" t="inlineStr">
        <is>
          <t>G00014</t>
        </is>
      </c>
      <c r="K345" t="str">
        <f>INDEX('Match Groups'!$D$5:$D$1326,MATCH(J345,'Match Groups'!$A$5:$A$1326,0))</f>
        <v>STRIPE-FEE</v>
      </c>
    </row>
    <row r="346">
      <c r="A346" t="inlineStr">
        <is>
          <t>JI-01784</t>
        </is>
      </c>
      <c r="B346" t="inlineStr">
        <is>
          <t>OPS</t>
        </is>
      </c>
      <c r="C346" s="5" t="n">
        <v>46202</v>
      </c>
      <c r="D346" t="inlineStr">
        <is>
          <t>Stripe patient 81190</t>
        </is>
      </c>
      <c r="E346" t="inlineStr">
        <is>
          <t>INV/2026/03631</t>
        </is>
      </c>
      <c r="F346" t="inlineStr">
        <is>
          <t>Customer payment INV/2026/03631</t>
        </is>
      </c>
      <c r="G346" s="9" t="n">
        <v>85</v>
      </c>
      <c r="H346" t="inlineStr">
        <is>
          <t>customer_payment</t>
        </is>
      </c>
      <c r="I346" t="inlineStr"/>
      <c r="J346" t="inlineStr">
        <is>
          <t>G00014</t>
        </is>
      </c>
      <c r="K346" t="str">
        <f>INDEX('Match Groups'!$D$5:$D$1326,MATCH(J346,'Match Groups'!$A$5:$A$1326,0))</f>
        <v>STRIPE-FEE</v>
      </c>
    </row>
    <row r="347">
      <c r="A347" t="inlineStr">
        <is>
          <t>JI-01785</t>
        </is>
      </c>
      <c r="B347" t="inlineStr">
        <is>
          <t>OPS</t>
        </is>
      </c>
      <c r="C347" s="5" t="n">
        <v>46202</v>
      </c>
      <c r="D347" t="inlineStr">
        <is>
          <t>Stripe patient 93157</t>
        </is>
      </c>
      <c r="E347" t="inlineStr">
        <is>
          <t>INV/2026/03632</t>
        </is>
      </c>
      <c r="F347" t="inlineStr">
        <is>
          <t>Customer payment INV/2026/03632</t>
        </is>
      </c>
      <c r="G347" s="9" t="n">
        <v>220</v>
      </c>
      <c r="H347" t="inlineStr">
        <is>
          <t>customer_payment</t>
        </is>
      </c>
      <c r="I347" t="inlineStr"/>
      <c r="J347" t="inlineStr">
        <is>
          <t>G00014</t>
        </is>
      </c>
      <c r="K347" t="str">
        <f>INDEX('Match Groups'!$D$5:$D$1326,MATCH(J347,'Match Groups'!$A$5:$A$1326,0))</f>
        <v>STRIPE-FEE</v>
      </c>
    </row>
    <row r="348">
      <c r="A348" t="inlineStr">
        <is>
          <t>JI-01786</t>
        </is>
      </c>
      <c r="B348" t="inlineStr">
        <is>
          <t>OPS</t>
        </is>
      </c>
      <c r="C348" s="5" t="n">
        <v>46202</v>
      </c>
      <c r="D348" t="inlineStr">
        <is>
          <t>Stripe patient 72477</t>
        </is>
      </c>
      <c r="E348" t="inlineStr">
        <is>
          <t>INV/2026/03633</t>
        </is>
      </c>
      <c r="F348" t="inlineStr">
        <is>
          <t>Customer payment INV/2026/03633</t>
        </is>
      </c>
      <c r="G348" s="9" t="n">
        <v>95</v>
      </c>
      <c r="H348" t="inlineStr">
        <is>
          <t>customer_payment</t>
        </is>
      </c>
      <c r="I348" t="inlineStr"/>
      <c r="J348" t="inlineStr">
        <is>
          <t>G00014</t>
        </is>
      </c>
      <c r="K348" t="str">
        <f>INDEX('Match Groups'!$D$5:$D$1326,MATCH(J348,'Match Groups'!$A$5:$A$1326,0))</f>
        <v>STRIPE-FEE</v>
      </c>
    </row>
    <row r="349">
      <c r="A349" t="inlineStr">
        <is>
          <t>JI-01787</t>
        </is>
      </c>
      <c r="B349" t="inlineStr">
        <is>
          <t>OPS</t>
        </is>
      </c>
      <c r="C349" s="5" t="n">
        <v>46202</v>
      </c>
      <c r="D349" t="inlineStr">
        <is>
          <t>Stripe patient 88117</t>
        </is>
      </c>
      <c r="E349" t="inlineStr">
        <is>
          <t>INV/2026/03634</t>
        </is>
      </c>
      <c r="F349" t="inlineStr">
        <is>
          <t>Customer payment INV/2026/03634</t>
        </is>
      </c>
      <c r="G349" s="9" t="n">
        <v>85</v>
      </c>
      <c r="H349" t="inlineStr">
        <is>
          <t>customer_payment</t>
        </is>
      </c>
      <c r="I349" t="inlineStr"/>
      <c r="J349" t="inlineStr">
        <is>
          <t>G00014</t>
        </is>
      </c>
      <c r="K349" t="str">
        <f>INDEX('Match Groups'!$D$5:$D$1326,MATCH(J349,'Match Groups'!$A$5:$A$1326,0))</f>
        <v>STRIPE-FEE</v>
      </c>
    </row>
    <row r="350">
      <c r="A350" t="inlineStr">
        <is>
          <t>JI-01788</t>
        </is>
      </c>
      <c r="B350" t="inlineStr">
        <is>
          <t>OPS</t>
        </is>
      </c>
      <c r="C350" s="5" t="n">
        <v>46202</v>
      </c>
      <c r="D350" t="inlineStr">
        <is>
          <t>Stripe patient 55984</t>
        </is>
      </c>
      <c r="E350" t="inlineStr">
        <is>
          <t>INV/2026/03635</t>
        </is>
      </c>
      <c r="F350" t="inlineStr">
        <is>
          <t>Customer payment INV/2026/03635</t>
        </is>
      </c>
      <c r="G350" s="9" t="n">
        <v>135</v>
      </c>
      <c r="H350" t="inlineStr">
        <is>
          <t>customer_payment</t>
        </is>
      </c>
      <c r="I350" t="inlineStr"/>
      <c r="J350" t="inlineStr">
        <is>
          <t>G00014</t>
        </is>
      </c>
      <c r="K350" t="str">
        <f>INDEX('Match Groups'!$D$5:$D$1326,MATCH(J350,'Match Groups'!$A$5:$A$1326,0))</f>
        <v>STRIPE-FEE</v>
      </c>
    </row>
    <row r="351">
      <c r="A351" t="inlineStr">
        <is>
          <t>JI-01789</t>
        </is>
      </c>
      <c r="B351" t="inlineStr">
        <is>
          <t>OPS</t>
        </is>
      </c>
      <c r="C351" s="5" t="n">
        <v>46202</v>
      </c>
      <c r="D351" t="inlineStr">
        <is>
          <t>Stripe patient 47522</t>
        </is>
      </c>
      <c r="E351" t="inlineStr">
        <is>
          <t>INV/2026/03636</t>
        </is>
      </c>
      <c r="F351" t="inlineStr">
        <is>
          <t>Customer payment INV/2026/03636</t>
        </is>
      </c>
      <c r="G351" s="9" t="n">
        <v>150</v>
      </c>
      <c r="H351" t="inlineStr">
        <is>
          <t>customer_payment</t>
        </is>
      </c>
      <c r="I351" t="inlineStr"/>
      <c r="J351" t="inlineStr">
        <is>
          <t>G00014</t>
        </is>
      </c>
      <c r="K351" t="str">
        <f>INDEX('Match Groups'!$D$5:$D$1326,MATCH(J351,'Match Groups'!$A$5:$A$1326,0))</f>
        <v>STRIPE-FEE</v>
      </c>
    </row>
    <row r="352">
      <c r="A352" t="inlineStr">
        <is>
          <t>JI-01790</t>
        </is>
      </c>
      <c r="B352" t="inlineStr">
        <is>
          <t>OPS</t>
        </is>
      </c>
      <c r="C352" s="5" t="n">
        <v>46202</v>
      </c>
      <c r="D352" t="inlineStr">
        <is>
          <t>Stripe patient 73729</t>
        </is>
      </c>
      <c r="E352" t="inlineStr">
        <is>
          <t>INV/2026/03637</t>
        </is>
      </c>
      <c r="F352" t="inlineStr">
        <is>
          <t>Customer payment INV/2026/03637</t>
        </is>
      </c>
      <c r="G352" s="9" t="n">
        <v>65</v>
      </c>
      <c r="H352" t="inlineStr">
        <is>
          <t>customer_payment</t>
        </is>
      </c>
      <c r="I352" t="inlineStr"/>
      <c r="J352" t="inlineStr">
        <is>
          <t>G00014</t>
        </is>
      </c>
      <c r="K352" t="str">
        <f>INDEX('Match Groups'!$D$5:$D$1326,MATCH(J352,'Match Groups'!$A$5:$A$1326,0))</f>
        <v>STRIPE-FEE</v>
      </c>
    </row>
    <row r="353">
      <c r="A353" t="inlineStr">
        <is>
          <t>JI-01791</t>
        </is>
      </c>
      <c r="B353" t="inlineStr">
        <is>
          <t>OPS</t>
        </is>
      </c>
      <c r="C353" s="5" t="n">
        <v>46202</v>
      </c>
      <c r="D353" t="inlineStr">
        <is>
          <t>Stripe patient 27853</t>
        </is>
      </c>
      <c r="E353" t="inlineStr">
        <is>
          <t>INV/2026/03638</t>
        </is>
      </c>
      <c r="F353" t="inlineStr">
        <is>
          <t>Customer payment INV/2026/03638</t>
        </is>
      </c>
      <c r="G353" s="9" t="n">
        <v>180</v>
      </c>
      <c r="H353" t="inlineStr">
        <is>
          <t>customer_payment</t>
        </is>
      </c>
      <c r="I353" t="inlineStr"/>
      <c r="J353" t="inlineStr">
        <is>
          <t>G00014</t>
        </is>
      </c>
      <c r="K353" t="str">
        <f>INDEX('Match Groups'!$D$5:$D$1326,MATCH(J353,'Match Groups'!$A$5:$A$1326,0))</f>
        <v>STRIPE-FEE</v>
      </c>
    </row>
    <row r="354">
      <c r="A354" t="inlineStr">
        <is>
          <t>JI-01792</t>
        </is>
      </c>
      <c r="B354" t="inlineStr">
        <is>
          <t>OPS</t>
        </is>
      </c>
      <c r="C354" s="5" t="n">
        <v>46202</v>
      </c>
      <c r="D354" t="inlineStr">
        <is>
          <t>Stripe patient 84750</t>
        </is>
      </c>
      <c r="E354" t="inlineStr">
        <is>
          <t>INV/2026/03639</t>
        </is>
      </c>
      <c r="F354" t="inlineStr">
        <is>
          <t>Customer payment INV/2026/03639</t>
        </is>
      </c>
      <c r="G354" s="9" t="n">
        <v>220</v>
      </c>
      <c r="H354" t="inlineStr">
        <is>
          <t>customer_payment</t>
        </is>
      </c>
      <c r="I354" t="inlineStr"/>
      <c r="J354" t="inlineStr">
        <is>
          <t>G00014</t>
        </is>
      </c>
      <c r="K354" t="str">
        <f>INDEX('Match Groups'!$D$5:$D$1326,MATCH(J354,'Match Groups'!$A$5:$A$1326,0))</f>
        <v>STRIPE-FEE</v>
      </c>
    </row>
    <row r="355">
      <c r="A355" t="inlineStr">
        <is>
          <t>JI-01793</t>
        </is>
      </c>
      <c r="B355" t="inlineStr">
        <is>
          <t>OPS</t>
        </is>
      </c>
      <c r="C355" s="5" t="n">
        <v>46202</v>
      </c>
      <c r="D355" t="inlineStr">
        <is>
          <t>Stripe patient 59953</t>
        </is>
      </c>
      <c r="E355" t="inlineStr">
        <is>
          <t>INV/2026/03640</t>
        </is>
      </c>
      <c r="F355" t="inlineStr">
        <is>
          <t>Customer payment INV/2026/03640</t>
        </is>
      </c>
      <c r="G355" s="9" t="n">
        <v>85</v>
      </c>
      <c r="H355" t="inlineStr">
        <is>
          <t>customer_payment</t>
        </is>
      </c>
      <c r="I355" t="inlineStr"/>
      <c r="J355" t="inlineStr">
        <is>
          <t>G00014</t>
        </is>
      </c>
      <c r="K355" t="str">
        <f>INDEX('Match Groups'!$D$5:$D$1326,MATCH(J355,'Match Groups'!$A$5:$A$1326,0))</f>
        <v>STRIPE-FEE</v>
      </c>
    </row>
    <row r="356">
      <c r="A356" t="inlineStr">
        <is>
          <t>JI-01794</t>
        </is>
      </c>
      <c r="B356" t="inlineStr">
        <is>
          <t>OPS</t>
        </is>
      </c>
      <c r="C356" s="5" t="n">
        <v>46202</v>
      </c>
      <c r="D356" t="inlineStr">
        <is>
          <t>Stripe patient 48968</t>
        </is>
      </c>
      <c r="E356" t="inlineStr">
        <is>
          <t>INV/2026/03641</t>
        </is>
      </c>
      <c r="F356" t="inlineStr">
        <is>
          <t>Customer payment INV/2026/03641</t>
        </is>
      </c>
      <c r="G356" s="9" t="n">
        <v>85</v>
      </c>
      <c r="H356" t="inlineStr">
        <is>
          <t>customer_payment</t>
        </is>
      </c>
      <c r="I356" t="inlineStr"/>
      <c r="J356" t="inlineStr">
        <is>
          <t>G00014</t>
        </is>
      </c>
      <c r="K356" t="str">
        <f>INDEX('Match Groups'!$D$5:$D$1326,MATCH(J356,'Match Groups'!$A$5:$A$1326,0))</f>
        <v>STRIPE-FEE</v>
      </c>
    </row>
    <row r="357">
      <c r="A357" t="inlineStr">
        <is>
          <t>JI-01795</t>
        </is>
      </c>
      <c r="B357" t="inlineStr">
        <is>
          <t>OPS</t>
        </is>
      </c>
      <c r="C357" s="5" t="n">
        <v>46202</v>
      </c>
      <c r="D357" t="inlineStr">
        <is>
          <t>Stripe patient 62480</t>
        </is>
      </c>
      <c r="E357" t="inlineStr">
        <is>
          <t>INV/2026/03642</t>
        </is>
      </c>
      <c r="F357" t="inlineStr">
        <is>
          <t>Customer payment INV/2026/03642</t>
        </is>
      </c>
      <c r="G357" s="9" t="n">
        <v>85</v>
      </c>
      <c r="H357" t="inlineStr">
        <is>
          <t>customer_payment</t>
        </is>
      </c>
      <c r="I357" t="inlineStr"/>
      <c r="J357" t="inlineStr">
        <is>
          <t>G00014</t>
        </is>
      </c>
      <c r="K357" t="str">
        <f>INDEX('Match Groups'!$D$5:$D$1326,MATCH(J357,'Match Groups'!$A$5:$A$1326,0))</f>
        <v>STRIPE-FEE</v>
      </c>
    </row>
    <row r="358">
      <c r="A358" t="inlineStr">
        <is>
          <t>JI-01796</t>
        </is>
      </c>
      <c r="B358" t="inlineStr">
        <is>
          <t>OPS</t>
        </is>
      </c>
      <c r="C358" s="5" t="n">
        <v>46202</v>
      </c>
      <c r="D358" t="inlineStr">
        <is>
          <t>Stripe patient 23100</t>
        </is>
      </c>
      <c r="E358" t="inlineStr">
        <is>
          <t>INV/2026/03643</t>
        </is>
      </c>
      <c r="F358" t="inlineStr">
        <is>
          <t>Customer payment INV/2026/03643</t>
        </is>
      </c>
      <c r="G358" s="9" t="n">
        <v>120</v>
      </c>
      <c r="H358" t="inlineStr">
        <is>
          <t>customer_payment</t>
        </is>
      </c>
      <c r="I358" t="inlineStr"/>
      <c r="J358" t="inlineStr">
        <is>
          <t>G00014</t>
        </is>
      </c>
      <c r="K358" t="str">
        <f>INDEX('Match Groups'!$D$5:$D$1326,MATCH(J358,'Match Groups'!$A$5:$A$1326,0))</f>
        <v>STRIPE-FEE</v>
      </c>
    </row>
    <row r="359">
      <c r="A359" t="inlineStr">
        <is>
          <t>JI-01797</t>
        </is>
      </c>
      <c r="B359" t="inlineStr">
        <is>
          <t>OPS</t>
        </is>
      </c>
      <c r="C359" s="5" t="n">
        <v>46202</v>
      </c>
      <c r="D359" t="inlineStr">
        <is>
          <t>Stripe patient 31354</t>
        </is>
      </c>
      <c r="E359" t="inlineStr">
        <is>
          <t>INV/2026/03644</t>
        </is>
      </c>
      <c r="F359" t="inlineStr">
        <is>
          <t>Customer payment INV/2026/03644</t>
        </is>
      </c>
      <c r="G359" s="9" t="n">
        <v>110</v>
      </c>
      <c r="H359" t="inlineStr">
        <is>
          <t>customer_payment</t>
        </is>
      </c>
      <c r="I359" t="inlineStr"/>
      <c r="J359" t="inlineStr">
        <is>
          <t>G00014</t>
        </is>
      </c>
      <c r="K359" t="str">
        <f>INDEX('Match Groups'!$D$5:$D$1326,MATCH(J359,'Match Groups'!$A$5:$A$1326,0))</f>
        <v>STRIPE-FEE</v>
      </c>
    </row>
    <row r="360">
      <c r="A360" t="inlineStr">
        <is>
          <t>JI-01798</t>
        </is>
      </c>
      <c r="B360" t="inlineStr">
        <is>
          <t>OPS</t>
        </is>
      </c>
      <c r="C360" s="5" t="n">
        <v>46202</v>
      </c>
      <c r="D360" t="inlineStr">
        <is>
          <t>Stripe patient 36813</t>
        </is>
      </c>
      <c r="E360" t="inlineStr">
        <is>
          <t>INV/2026/03645</t>
        </is>
      </c>
      <c r="F360" t="inlineStr">
        <is>
          <t>Customer payment INV/2026/03645</t>
        </is>
      </c>
      <c r="G360" s="9" t="n">
        <v>220</v>
      </c>
      <c r="H360" t="inlineStr">
        <is>
          <t>customer_payment</t>
        </is>
      </c>
      <c r="I360" t="inlineStr"/>
      <c r="J360" t="inlineStr">
        <is>
          <t>G00014</t>
        </is>
      </c>
      <c r="K360" t="str">
        <f>INDEX('Match Groups'!$D$5:$D$1326,MATCH(J360,'Match Groups'!$A$5:$A$1326,0))</f>
        <v>STRIPE-FEE</v>
      </c>
    </row>
    <row r="361">
      <c r="A361" t="inlineStr">
        <is>
          <t>JI-01799</t>
        </is>
      </c>
      <c r="B361" t="inlineStr">
        <is>
          <t>OPS</t>
        </is>
      </c>
      <c r="C361" s="5" t="n">
        <v>46202</v>
      </c>
      <c r="D361" t="inlineStr">
        <is>
          <t>Stripe patient 74183</t>
        </is>
      </c>
      <c r="E361" t="inlineStr">
        <is>
          <t>INV/2026/03646</t>
        </is>
      </c>
      <c r="F361" t="inlineStr">
        <is>
          <t>Customer payment INV/2026/03646</t>
        </is>
      </c>
      <c r="G361" s="9" t="n">
        <v>135</v>
      </c>
      <c r="H361" t="inlineStr">
        <is>
          <t>customer_payment</t>
        </is>
      </c>
      <c r="I361" t="inlineStr"/>
      <c r="J361" t="inlineStr">
        <is>
          <t>G00014</t>
        </is>
      </c>
      <c r="K361" t="str">
        <f>INDEX('Match Groups'!$D$5:$D$1326,MATCH(J361,'Match Groups'!$A$5:$A$1326,0))</f>
        <v>STRIPE-FEE</v>
      </c>
    </row>
    <row r="362">
      <c r="A362" t="inlineStr">
        <is>
          <t>JI-01800</t>
        </is>
      </c>
      <c r="B362" t="inlineStr">
        <is>
          <t>OPS</t>
        </is>
      </c>
      <c r="C362" s="5" t="n">
        <v>46202</v>
      </c>
      <c r="D362" t="inlineStr">
        <is>
          <t>Stripe patient 24538</t>
        </is>
      </c>
      <c r="E362" t="inlineStr">
        <is>
          <t>INV/2026/03647</t>
        </is>
      </c>
      <c r="F362" t="inlineStr">
        <is>
          <t>Customer payment INV/2026/03647</t>
        </is>
      </c>
      <c r="G362" s="9" t="n">
        <v>180</v>
      </c>
      <c r="H362" t="inlineStr">
        <is>
          <t>customer_payment</t>
        </is>
      </c>
      <c r="I362" t="inlineStr"/>
      <c r="J362" t="inlineStr">
        <is>
          <t>G00014</t>
        </is>
      </c>
      <c r="K362" t="str">
        <f>INDEX('Match Groups'!$D$5:$D$1326,MATCH(J362,'Match Groups'!$A$5:$A$1326,0))</f>
        <v>STRIPE-FEE</v>
      </c>
    </row>
    <row r="363">
      <c r="A363" t="inlineStr">
        <is>
          <t>JI-01801</t>
        </is>
      </c>
      <c r="B363" t="inlineStr">
        <is>
          <t>OPS</t>
        </is>
      </c>
      <c r="C363" s="5" t="n">
        <v>46202</v>
      </c>
      <c r="D363" t="inlineStr">
        <is>
          <t>Stripe patient 11542</t>
        </is>
      </c>
      <c r="E363" t="inlineStr">
        <is>
          <t>INV/2026/03648</t>
        </is>
      </c>
      <c r="F363" t="inlineStr">
        <is>
          <t>Customer payment INV/2026/03648</t>
        </is>
      </c>
      <c r="G363" s="9" t="n">
        <v>95</v>
      </c>
      <c r="H363" t="inlineStr">
        <is>
          <t>customer_payment</t>
        </is>
      </c>
      <c r="I363" t="inlineStr"/>
      <c r="J363" t="inlineStr">
        <is>
          <t>G00014</t>
        </is>
      </c>
      <c r="K363" t="str">
        <f>INDEX('Match Groups'!$D$5:$D$1326,MATCH(J363,'Match Groups'!$A$5:$A$1326,0))</f>
        <v>STRIPE-FEE</v>
      </c>
    </row>
    <row r="364">
      <c r="A364" t="inlineStr">
        <is>
          <t>JI-01802</t>
        </is>
      </c>
      <c r="B364" t="inlineStr">
        <is>
          <t>OPS</t>
        </is>
      </c>
      <c r="C364" s="5" t="n">
        <v>46202</v>
      </c>
      <c r="D364" t="inlineStr">
        <is>
          <t>Stripe patient 41199</t>
        </is>
      </c>
      <c r="E364" t="inlineStr">
        <is>
          <t>INV/2026/03649</t>
        </is>
      </c>
      <c r="F364" t="inlineStr">
        <is>
          <t>Customer payment INV/2026/03649</t>
        </is>
      </c>
      <c r="G364" s="9" t="n">
        <v>95</v>
      </c>
      <c r="H364" t="inlineStr">
        <is>
          <t>customer_payment</t>
        </is>
      </c>
      <c r="I364" t="inlineStr"/>
      <c r="J364" t="inlineStr">
        <is>
          <t>G00014</t>
        </is>
      </c>
      <c r="K364" t="str">
        <f>INDEX('Match Groups'!$D$5:$D$1326,MATCH(J364,'Match Groups'!$A$5:$A$1326,0))</f>
        <v>STRIPE-FEE</v>
      </c>
    </row>
    <row r="365">
      <c r="A365" t="inlineStr">
        <is>
          <t>JI-01803</t>
        </is>
      </c>
      <c r="B365" t="inlineStr">
        <is>
          <t>OPS</t>
        </is>
      </c>
      <c r="C365" s="5" t="n">
        <v>46202</v>
      </c>
      <c r="D365" t="inlineStr">
        <is>
          <t>Stripe patient 75455</t>
        </is>
      </c>
      <c r="E365" t="inlineStr">
        <is>
          <t>INV/2026/03650</t>
        </is>
      </c>
      <c r="F365" t="inlineStr">
        <is>
          <t>Customer payment INV/2026/03650</t>
        </is>
      </c>
      <c r="G365" s="9" t="n">
        <v>120</v>
      </c>
      <c r="H365" t="inlineStr">
        <is>
          <t>customer_payment</t>
        </is>
      </c>
      <c r="I365" t="inlineStr"/>
      <c r="J365" t="inlineStr">
        <is>
          <t>G00014</t>
        </is>
      </c>
      <c r="K365" t="str">
        <f>INDEX('Match Groups'!$D$5:$D$1326,MATCH(J365,'Match Groups'!$A$5:$A$1326,0))</f>
        <v>STRIPE-FEE</v>
      </c>
    </row>
    <row r="366">
      <c r="A366" t="inlineStr">
        <is>
          <t>JI-01804</t>
        </is>
      </c>
      <c r="B366" t="inlineStr">
        <is>
          <t>OPS</t>
        </is>
      </c>
      <c r="C366" s="5" t="n">
        <v>46202</v>
      </c>
      <c r="D366" t="inlineStr">
        <is>
          <t>Stripe patient 81636</t>
        </is>
      </c>
      <c r="E366" t="inlineStr">
        <is>
          <t>INV/2026/03651</t>
        </is>
      </c>
      <c r="F366" t="inlineStr">
        <is>
          <t>Customer payment INV/2026/03651</t>
        </is>
      </c>
      <c r="G366" s="9" t="n">
        <v>135</v>
      </c>
      <c r="H366" t="inlineStr">
        <is>
          <t>customer_payment</t>
        </is>
      </c>
      <c r="I366" t="inlineStr"/>
      <c r="J366" t="inlineStr">
        <is>
          <t>G00014</t>
        </is>
      </c>
      <c r="K366" t="str">
        <f>INDEX('Match Groups'!$D$5:$D$1326,MATCH(J366,'Match Groups'!$A$5:$A$1326,0))</f>
        <v>STRIPE-FEE</v>
      </c>
    </row>
    <row r="367">
      <c r="A367" t="inlineStr">
        <is>
          <t>JI-01805</t>
        </is>
      </c>
      <c r="B367" t="inlineStr">
        <is>
          <t>OPS</t>
        </is>
      </c>
      <c r="C367" s="5" t="n">
        <v>46202</v>
      </c>
      <c r="D367" t="inlineStr">
        <is>
          <t>Stripe patient 64240</t>
        </is>
      </c>
      <c r="E367" t="inlineStr">
        <is>
          <t>INV/2026/03652</t>
        </is>
      </c>
      <c r="F367" t="inlineStr">
        <is>
          <t>Customer payment INV/2026/03652</t>
        </is>
      </c>
      <c r="G367" s="9" t="n">
        <v>120</v>
      </c>
      <c r="H367" t="inlineStr">
        <is>
          <t>customer_payment</t>
        </is>
      </c>
      <c r="I367" t="inlineStr"/>
      <c r="J367" t="inlineStr">
        <is>
          <t>G00014</t>
        </is>
      </c>
      <c r="K367" t="str">
        <f>INDEX('Match Groups'!$D$5:$D$1326,MATCH(J367,'Match Groups'!$A$5:$A$1326,0))</f>
        <v>STRIPE-FEE</v>
      </c>
    </row>
    <row r="368">
      <c r="A368" t="inlineStr">
        <is>
          <t>JI-01806</t>
        </is>
      </c>
      <c r="B368" t="inlineStr">
        <is>
          <t>OPS</t>
        </is>
      </c>
      <c r="C368" s="5" t="n">
        <v>46202</v>
      </c>
      <c r="D368" t="inlineStr">
        <is>
          <t>Stripe patient 66872</t>
        </is>
      </c>
      <c r="E368" t="inlineStr">
        <is>
          <t>INV/2026/03653</t>
        </is>
      </c>
      <c r="F368" t="inlineStr">
        <is>
          <t>Customer payment INV/2026/03653</t>
        </is>
      </c>
      <c r="G368" s="9" t="n">
        <v>120</v>
      </c>
      <c r="H368" t="inlineStr">
        <is>
          <t>customer_payment</t>
        </is>
      </c>
      <c r="I368" t="inlineStr"/>
      <c r="J368" t="inlineStr">
        <is>
          <t>G00014</t>
        </is>
      </c>
      <c r="K368" t="str">
        <f>INDEX('Match Groups'!$D$5:$D$1326,MATCH(J368,'Match Groups'!$A$5:$A$1326,0))</f>
        <v>STRIPE-FEE</v>
      </c>
    </row>
    <row r="369">
      <c r="A369" t="inlineStr">
        <is>
          <t>JI-01807</t>
        </is>
      </c>
      <c r="B369" t="inlineStr">
        <is>
          <t>OPS</t>
        </is>
      </c>
      <c r="C369" s="5" t="n">
        <v>46202</v>
      </c>
      <c r="D369" t="inlineStr">
        <is>
          <t>Stripe patient 80110</t>
        </is>
      </c>
      <c r="E369" t="inlineStr">
        <is>
          <t>INV/2026/03654</t>
        </is>
      </c>
      <c r="F369" t="inlineStr">
        <is>
          <t>Customer payment INV/2026/03654</t>
        </is>
      </c>
      <c r="G369" s="9" t="n">
        <v>120</v>
      </c>
      <c r="H369" t="inlineStr">
        <is>
          <t>customer_payment</t>
        </is>
      </c>
      <c r="I369" t="inlineStr"/>
      <c r="J369" t="inlineStr">
        <is>
          <t>G00014</t>
        </is>
      </c>
      <c r="K369" t="str">
        <f>INDEX('Match Groups'!$D$5:$D$1326,MATCH(J369,'Match Groups'!$A$5:$A$1326,0))</f>
        <v>STRIPE-FEE</v>
      </c>
    </row>
    <row r="370">
      <c r="A370" t="inlineStr">
        <is>
          <t>JI-01808</t>
        </is>
      </c>
      <c r="B370" t="inlineStr">
        <is>
          <t>OPS</t>
        </is>
      </c>
      <c r="C370" s="5" t="n">
        <v>46202</v>
      </c>
      <c r="D370" t="inlineStr">
        <is>
          <t>Stripe patient 16405</t>
        </is>
      </c>
      <c r="E370" t="inlineStr">
        <is>
          <t>INV/2026/03655</t>
        </is>
      </c>
      <c r="F370" t="inlineStr">
        <is>
          <t>Customer payment INV/2026/03655</t>
        </is>
      </c>
      <c r="G370" s="9" t="n">
        <v>120</v>
      </c>
      <c r="H370" t="inlineStr">
        <is>
          <t>customer_payment</t>
        </is>
      </c>
      <c r="I370" t="inlineStr"/>
      <c r="J370" t="inlineStr">
        <is>
          <t>G00014</t>
        </is>
      </c>
      <c r="K370" t="str">
        <f>INDEX('Match Groups'!$D$5:$D$1326,MATCH(J370,'Match Groups'!$A$5:$A$1326,0))</f>
        <v>STRIPE-FEE</v>
      </c>
    </row>
    <row r="371">
      <c r="A371" t="inlineStr">
        <is>
          <t>JI-01809</t>
        </is>
      </c>
      <c r="B371" t="inlineStr">
        <is>
          <t>OPS</t>
        </is>
      </c>
      <c r="C371" s="5" t="n">
        <v>46202</v>
      </c>
      <c r="D371" t="inlineStr">
        <is>
          <t>Stripe patient 62809</t>
        </is>
      </c>
      <c r="E371" t="inlineStr">
        <is>
          <t>INV/2026/03656</t>
        </is>
      </c>
      <c r="F371" t="inlineStr">
        <is>
          <t>Customer payment INV/2026/03656</t>
        </is>
      </c>
      <c r="G371" s="9" t="n">
        <v>135</v>
      </c>
      <c r="H371" t="inlineStr">
        <is>
          <t>customer_payment</t>
        </is>
      </c>
      <c r="I371" t="inlineStr"/>
      <c r="J371" t="inlineStr">
        <is>
          <t>G00014</t>
        </is>
      </c>
      <c r="K371" t="str">
        <f>INDEX('Match Groups'!$D$5:$D$1326,MATCH(J371,'Match Groups'!$A$5:$A$1326,0))</f>
        <v>STRIPE-FEE</v>
      </c>
    </row>
    <row r="372">
      <c r="A372" t="inlineStr">
        <is>
          <t>JI-00004</t>
        </is>
      </c>
      <c r="B372" t="inlineStr">
        <is>
          <t>OPS</t>
        </is>
      </c>
      <c r="C372" s="5" t="n">
        <v>46203</v>
      </c>
      <c r="D372" t="inlineStr">
        <is>
          <t>Harbour Mutual Health</t>
        </is>
      </c>
      <c r="E372" t="inlineStr">
        <is>
          <t>INV/2026/01388</t>
        </is>
      </c>
      <c r="F372" t="inlineStr">
        <is>
          <t>Customer payment INV/2026/01388</t>
        </is>
      </c>
      <c r="G372" s="9" t="n">
        <v>2364</v>
      </c>
      <c r="H372" t="inlineStr">
        <is>
          <t>customer_payment</t>
        </is>
      </c>
      <c r="I372" t="inlineStr"/>
      <c r="J372" t="inlineStr">
        <is>
          <t>G00900</t>
        </is>
      </c>
      <c r="K372" t="str">
        <f>INDEX('Match Groups'!$D$5:$D$1326,MATCH(J372,'Match Groups'!$A$5:$A$1326,0))</f>
        <v>MATCH</v>
      </c>
    </row>
    <row r="373">
      <c r="A373" t="inlineStr">
        <is>
          <t>JI-01810</t>
        </is>
      </c>
      <c r="B373" t="inlineStr">
        <is>
          <t>OPS</t>
        </is>
      </c>
      <c r="C373" s="5" t="n">
        <v>46203</v>
      </c>
      <c r="D373" t="inlineStr">
        <is>
          <t>Stripe patient 29648</t>
        </is>
      </c>
      <c r="E373" t="inlineStr">
        <is>
          <t>INV/2026/03657</t>
        </is>
      </c>
      <c r="F373" t="inlineStr">
        <is>
          <t>Customer payment INV/2026/03657</t>
        </is>
      </c>
      <c r="G373" s="9" t="n">
        <v>220</v>
      </c>
      <c r="H373" t="inlineStr">
        <is>
          <t>customer_payment</t>
        </is>
      </c>
      <c r="I373" t="inlineStr"/>
      <c r="J373" t="inlineStr">
        <is>
          <t>G00015</t>
        </is>
      </c>
      <c r="K373" t="str">
        <f>INDEX('Match Groups'!$D$5:$D$1326,MATCH(J373,'Match Groups'!$A$5:$A$1326,0))</f>
        <v>STRIPE-FEE</v>
      </c>
    </row>
    <row r="374">
      <c r="A374" t="inlineStr">
        <is>
          <t>JI-01811</t>
        </is>
      </c>
      <c r="B374" t="inlineStr">
        <is>
          <t>OPS</t>
        </is>
      </c>
      <c r="C374" s="5" t="n">
        <v>46203</v>
      </c>
      <c r="D374" t="inlineStr">
        <is>
          <t>Stripe patient 71308</t>
        </is>
      </c>
      <c r="E374" t="inlineStr">
        <is>
          <t>INV/2026/03658</t>
        </is>
      </c>
      <c r="F374" t="inlineStr">
        <is>
          <t>Customer payment INV/2026/03658</t>
        </is>
      </c>
      <c r="G374" s="9" t="n">
        <v>65</v>
      </c>
      <c r="H374" t="inlineStr">
        <is>
          <t>customer_payment</t>
        </is>
      </c>
      <c r="I374" t="inlineStr"/>
      <c r="J374" t="inlineStr">
        <is>
          <t>G00015</t>
        </is>
      </c>
      <c r="K374" t="str">
        <f>INDEX('Match Groups'!$D$5:$D$1326,MATCH(J374,'Match Groups'!$A$5:$A$1326,0))</f>
        <v>STRIPE-FEE</v>
      </c>
    </row>
    <row r="375">
      <c r="A375" t="inlineStr">
        <is>
          <t>JI-01812</t>
        </is>
      </c>
      <c r="B375" t="inlineStr">
        <is>
          <t>OPS</t>
        </is>
      </c>
      <c r="C375" s="5" t="n">
        <v>46203</v>
      </c>
      <c r="D375" t="inlineStr">
        <is>
          <t>Stripe patient 25447</t>
        </is>
      </c>
      <c r="E375" t="inlineStr">
        <is>
          <t>INV/2026/03659</t>
        </is>
      </c>
      <c r="F375" t="inlineStr">
        <is>
          <t>Customer payment INV/2026/03659</t>
        </is>
      </c>
      <c r="G375" s="9" t="n">
        <v>85</v>
      </c>
      <c r="H375" t="inlineStr">
        <is>
          <t>customer_payment</t>
        </is>
      </c>
      <c r="I375" t="inlineStr"/>
      <c r="J375" t="inlineStr">
        <is>
          <t>G00015</t>
        </is>
      </c>
      <c r="K375" t="str">
        <f>INDEX('Match Groups'!$D$5:$D$1326,MATCH(J375,'Match Groups'!$A$5:$A$1326,0))</f>
        <v>STRIPE-FEE</v>
      </c>
    </row>
    <row r="376">
      <c r="A376" t="inlineStr">
        <is>
          <t>JI-01813</t>
        </is>
      </c>
      <c r="B376" t="inlineStr">
        <is>
          <t>OPS</t>
        </is>
      </c>
      <c r="C376" s="5" t="n">
        <v>46203</v>
      </c>
      <c r="D376" t="inlineStr">
        <is>
          <t>Stripe patient 91966</t>
        </is>
      </c>
      <c r="E376" t="inlineStr">
        <is>
          <t>INV/2026/03660</t>
        </is>
      </c>
      <c r="F376" t="inlineStr">
        <is>
          <t>Customer payment INV/2026/03660</t>
        </is>
      </c>
      <c r="G376" s="9" t="n">
        <v>85</v>
      </c>
      <c r="H376" t="inlineStr">
        <is>
          <t>customer_payment</t>
        </is>
      </c>
      <c r="I376" t="inlineStr"/>
      <c r="J376" t="inlineStr">
        <is>
          <t>G00015</t>
        </is>
      </c>
      <c r="K376" t="str">
        <f>INDEX('Match Groups'!$D$5:$D$1326,MATCH(J376,'Match Groups'!$A$5:$A$1326,0))</f>
        <v>STRIPE-FEE</v>
      </c>
    </row>
    <row r="377">
      <c r="A377" t="inlineStr">
        <is>
          <t>JI-01814</t>
        </is>
      </c>
      <c r="B377" t="inlineStr">
        <is>
          <t>OPS</t>
        </is>
      </c>
      <c r="C377" s="5" t="n">
        <v>46203</v>
      </c>
      <c r="D377" t="inlineStr">
        <is>
          <t>Stripe patient 25600</t>
        </is>
      </c>
      <c r="E377" t="inlineStr">
        <is>
          <t>INV/2026/03661</t>
        </is>
      </c>
      <c r="F377" t="inlineStr">
        <is>
          <t>Customer payment INV/2026/03661</t>
        </is>
      </c>
      <c r="G377" s="9" t="n">
        <v>65</v>
      </c>
      <c r="H377" t="inlineStr">
        <is>
          <t>customer_payment</t>
        </is>
      </c>
      <c r="I377" t="inlineStr"/>
      <c r="J377" t="inlineStr">
        <is>
          <t>G00015</t>
        </is>
      </c>
      <c r="K377" t="str">
        <f>INDEX('Match Groups'!$D$5:$D$1326,MATCH(J377,'Match Groups'!$A$5:$A$1326,0))</f>
        <v>STRIPE-FEE</v>
      </c>
    </row>
    <row r="378">
      <c r="A378" t="inlineStr">
        <is>
          <t>JI-01815</t>
        </is>
      </c>
      <c r="B378" t="inlineStr">
        <is>
          <t>OPS</t>
        </is>
      </c>
      <c r="C378" s="5" t="n">
        <v>46203</v>
      </c>
      <c r="D378" t="inlineStr">
        <is>
          <t>Stripe patient 68566</t>
        </is>
      </c>
      <c r="E378" t="inlineStr">
        <is>
          <t>INV/2026/03662</t>
        </is>
      </c>
      <c r="F378" t="inlineStr">
        <is>
          <t>Customer payment INV/2026/03662</t>
        </is>
      </c>
      <c r="G378" s="9" t="n">
        <v>95</v>
      </c>
      <c r="H378" t="inlineStr">
        <is>
          <t>customer_payment</t>
        </is>
      </c>
      <c r="I378" t="inlineStr"/>
      <c r="J378" t="inlineStr">
        <is>
          <t>G00015</t>
        </is>
      </c>
      <c r="K378" t="str">
        <f>INDEX('Match Groups'!$D$5:$D$1326,MATCH(J378,'Match Groups'!$A$5:$A$1326,0))</f>
        <v>STRIPE-FEE</v>
      </c>
    </row>
    <row r="379">
      <c r="A379" t="inlineStr">
        <is>
          <t>JI-01816</t>
        </is>
      </c>
      <c r="B379" t="inlineStr">
        <is>
          <t>OPS</t>
        </is>
      </c>
      <c r="C379" s="5" t="n">
        <v>46203</v>
      </c>
      <c r="D379" t="inlineStr">
        <is>
          <t>Stripe patient 57382</t>
        </is>
      </c>
      <c r="E379" t="inlineStr">
        <is>
          <t>INV/2026/03663</t>
        </is>
      </c>
      <c r="F379" t="inlineStr">
        <is>
          <t>Customer payment INV/2026/03663</t>
        </is>
      </c>
      <c r="G379" s="9" t="n">
        <v>150</v>
      </c>
      <c r="H379" t="inlineStr">
        <is>
          <t>customer_payment</t>
        </is>
      </c>
      <c r="I379" t="inlineStr"/>
      <c r="J379" t="inlineStr">
        <is>
          <t>G00015</t>
        </is>
      </c>
      <c r="K379" t="str">
        <f>INDEX('Match Groups'!$D$5:$D$1326,MATCH(J379,'Match Groups'!$A$5:$A$1326,0))</f>
        <v>STRIPE-FEE</v>
      </c>
    </row>
    <row r="380">
      <c r="A380" t="inlineStr">
        <is>
          <t>JI-01817</t>
        </is>
      </c>
      <c r="B380" t="inlineStr">
        <is>
          <t>OPS</t>
        </is>
      </c>
      <c r="C380" s="5" t="n">
        <v>46203</v>
      </c>
      <c r="D380" t="inlineStr">
        <is>
          <t>Stripe patient 27103</t>
        </is>
      </c>
      <c r="E380" t="inlineStr">
        <is>
          <t>INV/2026/03664</t>
        </is>
      </c>
      <c r="F380" t="inlineStr">
        <is>
          <t>Customer payment INV/2026/03664</t>
        </is>
      </c>
      <c r="G380" s="9" t="n">
        <v>150</v>
      </c>
      <c r="H380" t="inlineStr">
        <is>
          <t>customer_payment</t>
        </is>
      </c>
      <c r="I380" t="inlineStr"/>
      <c r="J380" t="inlineStr">
        <is>
          <t>G00015</t>
        </is>
      </c>
      <c r="K380" t="str">
        <f>INDEX('Match Groups'!$D$5:$D$1326,MATCH(J380,'Match Groups'!$A$5:$A$1326,0))</f>
        <v>STRIPE-FEE</v>
      </c>
    </row>
    <row r="381">
      <c r="A381" t="inlineStr">
        <is>
          <t>JI-01818</t>
        </is>
      </c>
      <c r="B381" t="inlineStr">
        <is>
          <t>OPS</t>
        </is>
      </c>
      <c r="C381" s="5" t="n">
        <v>46203</v>
      </c>
      <c r="D381" t="inlineStr">
        <is>
          <t>Stripe patient 13551</t>
        </is>
      </c>
      <c r="E381" t="inlineStr">
        <is>
          <t>INV/2026/03665</t>
        </is>
      </c>
      <c r="F381" t="inlineStr">
        <is>
          <t>Customer payment INV/2026/03665</t>
        </is>
      </c>
      <c r="G381" s="9" t="n">
        <v>95</v>
      </c>
      <c r="H381" t="inlineStr">
        <is>
          <t>customer_payment</t>
        </is>
      </c>
      <c r="I381" t="inlineStr"/>
      <c r="J381" t="inlineStr">
        <is>
          <t>G00015</t>
        </is>
      </c>
      <c r="K381" t="str">
        <f>INDEX('Match Groups'!$D$5:$D$1326,MATCH(J381,'Match Groups'!$A$5:$A$1326,0))</f>
        <v>STRIPE-FEE</v>
      </c>
    </row>
    <row r="382">
      <c r="A382" t="inlineStr">
        <is>
          <t>JI-01819</t>
        </is>
      </c>
      <c r="B382" t="inlineStr">
        <is>
          <t>OPS</t>
        </is>
      </c>
      <c r="C382" s="5" t="n">
        <v>46203</v>
      </c>
      <c r="D382" t="inlineStr">
        <is>
          <t>Stripe patient 54523</t>
        </is>
      </c>
      <c r="E382" t="inlineStr">
        <is>
          <t>INV/2026/03666</t>
        </is>
      </c>
      <c r="F382" t="inlineStr">
        <is>
          <t>Customer payment INV/2026/03666</t>
        </is>
      </c>
      <c r="G382" s="9" t="n">
        <v>85</v>
      </c>
      <c r="H382" t="inlineStr">
        <is>
          <t>customer_payment</t>
        </is>
      </c>
      <c r="I382" t="inlineStr"/>
      <c r="J382" t="inlineStr">
        <is>
          <t>G00015</t>
        </is>
      </c>
      <c r="K382" t="str">
        <f>INDEX('Match Groups'!$D$5:$D$1326,MATCH(J382,'Match Groups'!$A$5:$A$1326,0))</f>
        <v>STRIPE-FEE</v>
      </c>
    </row>
    <row r="383">
      <c r="A383" t="inlineStr">
        <is>
          <t>JI-01820</t>
        </is>
      </c>
      <c r="B383" t="inlineStr">
        <is>
          <t>OPS</t>
        </is>
      </c>
      <c r="C383" s="5" t="n">
        <v>46203</v>
      </c>
      <c r="D383" t="inlineStr">
        <is>
          <t>Stripe patient 97571</t>
        </is>
      </c>
      <c r="E383" t="inlineStr">
        <is>
          <t>INV/2026/03667</t>
        </is>
      </c>
      <c r="F383" t="inlineStr">
        <is>
          <t>Customer payment INV/2026/03667</t>
        </is>
      </c>
      <c r="G383" s="9" t="n">
        <v>135</v>
      </c>
      <c r="H383" t="inlineStr">
        <is>
          <t>customer_payment</t>
        </is>
      </c>
      <c r="I383" t="inlineStr"/>
      <c r="J383" t="inlineStr">
        <is>
          <t>G00015</t>
        </is>
      </c>
      <c r="K383" t="str">
        <f>INDEX('Match Groups'!$D$5:$D$1326,MATCH(J383,'Match Groups'!$A$5:$A$1326,0))</f>
        <v>STRIPE-FEE</v>
      </c>
    </row>
    <row r="384">
      <c r="A384" t="inlineStr">
        <is>
          <t>JI-01821</t>
        </is>
      </c>
      <c r="B384" t="inlineStr">
        <is>
          <t>OPS</t>
        </is>
      </c>
      <c r="C384" s="5" t="n">
        <v>46203</v>
      </c>
      <c r="D384" t="inlineStr">
        <is>
          <t>Stripe patient 45030</t>
        </is>
      </c>
      <c r="E384" t="inlineStr">
        <is>
          <t>INV/2026/03668</t>
        </is>
      </c>
      <c r="F384" t="inlineStr">
        <is>
          <t>Customer payment INV/2026/03668</t>
        </is>
      </c>
      <c r="G384" s="9" t="n">
        <v>135</v>
      </c>
      <c r="H384" t="inlineStr">
        <is>
          <t>customer_payment</t>
        </is>
      </c>
      <c r="I384" t="inlineStr"/>
      <c r="J384" t="inlineStr">
        <is>
          <t>G00015</t>
        </is>
      </c>
      <c r="K384" t="str">
        <f>INDEX('Match Groups'!$D$5:$D$1326,MATCH(J384,'Match Groups'!$A$5:$A$1326,0))</f>
        <v>STRIPE-FEE</v>
      </c>
    </row>
    <row r="385">
      <c r="A385" t="inlineStr">
        <is>
          <t>JI-01822</t>
        </is>
      </c>
      <c r="B385" t="inlineStr">
        <is>
          <t>OPS</t>
        </is>
      </c>
      <c r="C385" s="5" t="n">
        <v>46203</v>
      </c>
      <c r="D385" t="inlineStr">
        <is>
          <t>Stripe patient 87795</t>
        </is>
      </c>
      <c r="E385" t="inlineStr">
        <is>
          <t>INV/2026/03669</t>
        </is>
      </c>
      <c r="F385" t="inlineStr">
        <is>
          <t>Customer payment INV/2026/03669</t>
        </is>
      </c>
      <c r="G385" s="9" t="n">
        <v>85</v>
      </c>
      <c r="H385" t="inlineStr">
        <is>
          <t>customer_payment</t>
        </is>
      </c>
      <c r="I385" t="inlineStr"/>
      <c r="J385" t="inlineStr">
        <is>
          <t>G00015</t>
        </is>
      </c>
      <c r="K385" t="str">
        <f>INDEX('Match Groups'!$D$5:$D$1326,MATCH(J385,'Match Groups'!$A$5:$A$1326,0))</f>
        <v>STRIPE-FEE</v>
      </c>
    </row>
    <row r="386">
      <c r="A386" t="inlineStr">
        <is>
          <t>JI-01823</t>
        </is>
      </c>
      <c r="B386" t="inlineStr">
        <is>
          <t>OPS</t>
        </is>
      </c>
      <c r="C386" s="5" t="n">
        <v>46203</v>
      </c>
      <c r="D386" t="inlineStr">
        <is>
          <t>Stripe patient 14451</t>
        </is>
      </c>
      <c r="E386" t="inlineStr">
        <is>
          <t>INV/2026/03670</t>
        </is>
      </c>
      <c r="F386" t="inlineStr">
        <is>
          <t>Customer payment INV/2026/03670</t>
        </is>
      </c>
      <c r="G386" s="9" t="n">
        <v>150</v>
      </c>
      <c r="H386" t="inlineStr">
        <is>
          <t>customer_payment</t>
        </is>
      </c>
      <c r="I386" t="inlineStr"/>
      <c r="J386" t="inlineStr">
        <is>
          <t>G00015</t>
        </is>
      </c>
      <c r="K386" t="str">
        <f>INDEX('Match Groups'!$D$5:$D$1326,MATCH(J386,'Match Groups'!$A$5:$A$1326,0))</f>
        <v>STRIPE-FEE</v>
      </c>
    </row>
    <row r="387">
      <c r="A387" t="inlineStr">
        <is>
          <t>JI-01824</t>
        </is>
      </c>
      <c r="B387" t="inlineStr">
        <is>
          <t>OPS</t>
        </is>
      </c>
      <c r="C387" s="5" t="n">
        <v>46203</v>
      </c>
      <c r="D387" t="inlineStr">
        <is>
          <t>Stripe patient 32175</t>
        </is>
      </c>
      <c r="E387" t="inlineStr">
        <is>
          <t>INV/2026/03671</t>
        </is>
      </c>
      <c r="F387" t="inlineStr">
        <is>
          <t>Customer payment INV/2026/03671</t>
        </is>
      </c>
      <c r="G387" s="9" t="n">
        <v>150</v>
      </c>
      <c r="H387" t="inlineStr">
        <is>
          <t>customer_payment</t>
        </is>
      </c>
      <c r="I387" t="inlineStr"/>
      <c r="J387" t="inlineStr">
        <is>
          <t>G00015</t>
        </is>
      </c>
      <c r="K387" t="str">
        <f>INDEX('Match Groups'!$D$5:$D$1326,MATCH(J387,'Match Groups'!$A$5:$A$1326,0))</f>
        <v>STRIPE-FEE</v>
      </c>
    </row>
    <row r="388">
      <c r="A388" t="inlineStr">
        <is>
          <t>JI-01825</t>
        </is>
      </c>
      <c r="B388" t="inlineStr">
        <is>
          <t>OPS</t>
        </is>
      </c>
      <c r="C388" s="5" t="n">
        <v>46203</v>
      </c>
      <c r="D388" t="inlineStr">
        <is>
          <t>Stripe patient 29019</t>
        </is>
      </c>
      <c r="E388" t="inlineStr">
        <is>
          <t>INV/2026/03672</t>
        </is>
      </c>
      <c r="F388" t="inlineStr">
        <is>
          <t>Customer payment INV/2026/03672</t>
        </is>
      </c>
      <c r="G388" s="9" t="n">
        <v>85</v>
      </c>
      <c r="H388" t="inlineStr">
        <is>
          <t>customer_payment</t>
        </is>
      </c>
      <c r="I388" t="inlineStr"/>
      <c r="J388" t="inlineStr">
        <is>
          <t>G00015</t>
        </is>
      </c>
      <c r="K388" t="str">
        <f>INDEX('Match Groups'!$D$5:$D$1326,MATCH(J388,'Match Groups'!$A$5:$A$1326,0))</f>
        <v>STRIPE-FEE</v>
      </c>
    </row>
    <row r="389">
      <c r="A389" t="inlineStr">
        <is>
          <t>JI-01826</t>
        </is>
      </c>
      <c r="B389" t="inlineStr">
        <is>
          <t>OPS</t>
        </is>
      </c>
      <c r="C389" s="5" t="n">
        <v>46203</v>
      </c>
      <c r="D389" t="inlineStr">
        <is>
          <t>Stripe patient 43501</t>
        </is>
      </c>
      <c r="E389" t="inlineStr">
        <is>
          <t>INV/2026/03673</t>
        </is>
      </c>
      <c r="F389" t="inlineStr">
        <is>
          <t>Customer payment INV/2026/03673</t>
        </is>
      </c>
      <c r="G389" s="9" t="n">
        <v>180</v>
      </c>
      <c r="H389" t="inlineStr">
        <is>
          <t>customer_payment</t>
        </is>
      </c>
      <c r="I389" t="inlineStr"/>
      <c r="J389" t="inlineStr">
        <is>
          <t>G00015</t>
        </is>
      </c>
      <c r="K389" t="str">
        <f>INDEX('Match Groups'!$D$5:$D$1326,MATCH(J389,'Match Groups'!$A$5:$A$1326,0))</f>
        <v>STRIPE-FEE</v>
      </c>
    </row>
    <row r="390">
      <c r="A390" t="inlineStr">
        <is>
          <t>JI-01827</t>
        </is>
      </c>
      <c r="B390" t="inlineStr">
        <is>
          <t>OPS</t>
        </is>
      </c>
      <c r="C390" s="5" t="n">
        <v>46203</v>
      </c>
      <c r="D390" t="inlineStr">
        <is>
          <t>Stripe patient 66765</t>
        </is>
      </c>
      <c r="E390" t="inlineStr">
        <is>
          <t>INV/2026/03674</t>
        </is>
      </c>
      <c r="F390" t="inlineStr">
        <is>
          <t>Customer payment INV/2026/03674</t>
        </is>
      </c>
      <c r="G390" s="9" t="n">
        <v>150</v>
      </c>
      <c r="H390" t="inlineStr">
        <is>
          <t>customer_payment</t>
        </is>
      </c>
      <c r="I390" t="inlineStr"/>
      <c r="J390" t="inlineStr">
        <is>
          <t>G00015</t>
        </is>
      </c>
      <c r="K390" t="str">
        <f>INDEX('Match Groups'!$D$5:$D$1326,MATCH(J390,'Match Groups'!$A$5:$A$1326,0))</f>
        <v>STRIPE-FEE</v>
      </c>
    </row>
    <row r="391">
      <c r="A391" t="inlineStr">
        <is>
          <t>JI-01828</t>
        </is>
      </c>
      <c r="B391" t="inlineStr">
        <is>
          <t>OPS</t>
        </is>
      </c>
      <c r="C391" s="5" t="n">
        <v>46203</v>
      </c>
      <c r="D391" t="inlineStr">
        <is>
          <t>Stripe patient 24390</t>
        </is>
      </c>
      <c r="E391" t="inlineStr">
        <is>
          <t>INV/2026/03675</t>
        </is>
      </c>
      <c r="F391" t="inlineStr">
        <is>
          <t>Customer payment INV/2026/03675</t>
        </is>
      </c>
      <c r="G391" s="9" t="n">
        <v>150</v>
      </c>
      <c r="H391" t="inlineStr">
        <is>
          <t>customer_payment</t>
        </is>
      </c>
      <c r="I391" t="inlineStr"/>
      <c r="J391" t="inlineStr">
        <is>
          <t>G00015</t>
        </is>
      </c>
      <c r="K391" t="str">
        <f>INDEX('Match Groups'!$D$5:$D$1326,MATCH(J391,'Match Groups'!$A$5:$A$1326,0))</f>
        <v>STRIPE-FEE</v>
      </c>
    </row>
    <row r="392">
      <c r="A392" t="inlineStr">
        <is>
          <t>JI-01829</t>
        </is>
      </c>
      <c r="B392" t="inlineStr">
        <is>
          <t>OPS</t>
        </is>
      </c>
      <c r="C392" s="5" t="n">
        <v>46203</v>
      </c>
      <c r="D392" t="inlineStr">
        <is>
          <t>Stripe patient 87179</t>
        </is>
      </c>
      <c r="E392" t="inlineStr">
        <is>
          <t>INV/2026/03676</t>
        </is>
      </c>
      <c r="F392" t="inlineStr">
        <is>
          <t>Customer payment INV/2026/03676</t>
        </is>
      </c>
      <c r="G392" s="9" t="n">
        <v>180</v>
      </c>
      <c r="H392" t="inlineStr">
        <is>
          <t>customer_payment</t>
        </is>
      </c>
      <c r="I392" t="inlineStr"/>
      <c r="J392" t="inlineStr">
        <is>
          <t>G00015</t>
        </is>
      </c>
      <c r="K392" t="str">
        <f>INDEX('Match Groups'!$D$5:$D$1326,MATCH(J392,'Match Groups'!$A$5:$A$1326,0))</f>
        <v>STRIPE-FEE</v>
      </c>
    </row>
    <row r="393">
      <c r="A393" t="inlineStr">
        <is>
          <t>JI-01830</t>
        </is>
      </c>
      <c r="B393" t="inlineStr">
        <is>
          <t>OPS</t>
        </is>
      </c>
      <c r="C393" s="5" t="n">
        <v>46203</v>
      </c>
      <c r="D393" t="inlineStr">
        <is>
          <t>Stripe patient 12809</t>
        </is>
      </c>
      <c r="E393" t="inlineStr">
        <is>
          <t>INV/2026/03677</t>
        </is>
      </c>
      <c r="F393" t="inlineStr">
        <is>
          <t>Customer payment INV/2026/03677</t>
        </is>
      </c>
      <c r="G393" s="9" t="n">
        <v>180</v>
      </c>
      <c r="H393" t="inlineStr">
        <is>
          <t>customer_payment</t>
        </is>
      </c>
      <c r="I393" t="inlineStr"/>
      <c r="J393" t="inlineStr">
        <is>
          <t>G00015</t>
        </is>
      </c>
      <c r="K393" t="str">
        <f>INDEX('Match Groups'!$D$5:$D$1326,MATCH(J393,'Match Groups'!$A$5:$A$1326,0))</f>
        <v>STRIPE-FEE</v>
      </c>
    </row>
    <row r="394">
      <c r="A394" t="inlineStr">
        <is>
          <t>JI-00005</t>
        </is>
      </c>
      <c r="B394" t="inlineStr">
        <is>
          <t>OPS</t>
        </is>
      </c>
      <c r="C394" s="5" t="n">
        <v>46204</v>
      </c>
      <c r="D394" t="inlineStr">
        <is>
          <t>Riverbend Plan Partners</t>
        </is>
      </c>
      <c r="E394" t="inlineStr">
        <is>
          <t>INV/2026/01426</t>
        </is>
      </c>
      <c r="F394" t="inlineStr">
        <is>
          <t>Customer payment INV/2026/01426</t>
        </is>
      </c>
      <c r="G394" s="9" t="n">
        <v>193.99</v>
      </c>
      <c r="H394" t="inlineStr">
        <is>
          <t>customer_payment</t>
        </is>
      </c>
      <c r="I394" t="inlineStr"/>
      <c r="J394" t="inlineStr">
        <is>
          <t>G00080</t>
        </is>
      </c>
      <c r="K394" t="str">
        <f>INDEX('Match Groups'!$D$5:$D$1326,MATCH(J394,'Match Groups'!$A$5:$A$1326,0))</f>
        <v>SHORT</v>
      </c>
    </row>
    <row r="395">
      <c r="A395" t="inlineStr">
        <is>
          <t>JI-00006</t>
        </is>
      </c>
      <c r="B395" t="inlineStr">
        <is>
          <t>OPS</t>
        </is>
      </c>
      <c r="C395" s="5" t="n">
        <v>46204</v>
      </c>
      <c r="D395" t="inlineStr">
        <is>
          <t>Riverbend Plan Partners</t>
        </is>
      </c>
      <c r="E395" t="inlineStr">
        <is>
          <t>INV/2026/01450</t>
        </is>
      </c>
      <c r="F395" t="inlineStr">
        <is>
          <t>Customer payment INV/2026/01450</t>
        </is>
      </c>
      <c r="G395" s="9" t="n">
        <v>417.98</v>
      </c>
      <c r="H395" t="inlineStr">
        <is>
          <t>customer_payment</t>
        </is>
      </c>
      <c r="I395" t="inlineStr"/>
      <c r="J395" t="inlineStr">
        <is>
          <t>G00080</t>
        </is>
      </c>
      <c r="K395" t="str">
        <f>INDEX('Match Groups'!$D$5:$D$1326,MATCH(J395,'Match Groups'!$A$5:$A$1326,0))</f>
        <v>SHORT</v>
      </c>
    </row>
    <row r="396">
      <c r="A396" t="inlineStr">
        <is>
          <t>JI-00007</t>
        </is>
      </c>
      <c r="B396" t="inlineStr">
        <is>
          <t>OPS</t>
        </is>
      </c>
      <c r="C396" s="5" t="n">
        <v>46204</v>
      </c>
      <c r="D396" t="inlineStr">
        <is>
          <t>Riverbend Plan Partners</t>
        </is>
      </c>
      <c r="E396" t="inlineStr">
        <is>
          <t>INV/2026/01451</t>
        </is>
      </c>
      <c r="F396" t="inlineStr">
        <is>
          <t>Customer payment INV/2026/01451</t>
        </is>
      </c>
      <c r="G396" s="9" t="n">
        <v>252.19</v>
      </c>
      <c r="H396" t="inlineStr">
        <is>
          <t>customer_payment</t>
        </is>
      </c>
      <c r="I396" t="inlineStr"/>
      <c r="J396" t="inlineStr">
        <is>
          <t>G00080</t>
        </is>
      </c>
      <c r="K396" t="str">
        <f>INDEX('Match Groups'!$D$5:$D$1326,MATCH(J396,'Match Groups'!$A$5:$A$1326,0))</f>
        <v>SHORT</v>
      </c>
    </row>
    <row r="397">
      <c r="A397" t="inlineStr">
        <is>
          <t>JI-00008</t>
        </is>
      </c>
      <c r="B397" t="inlineStr">
        <is>
          <t>OPS</t>
        </is>
      </c>
      <c r="C397" s="5" t="n">
        <v>46204</v>
      </c>
      <c r="D397" t="inlineStr">
        <is>
          <t>Riverbend Plan Partners</t>
        </is>
      </c>
      <c r="E397" t="inlineStr">
        <is>
          <t>INV/2026/01452</t>
        </is>
      </c>
      <c r="F397" t="inlineStr">
        <is>
          <t>Customer payment INV/2026/01452</t>
        </is>
      </c>
      <c r="G397" s="9" t="n">
        <v>290.98</v>
      </c>
      <c r="H397" t="inlineStr">
        <is>
          <t>customer_payment</t>
        </is>
      </c>
      <c r="I397" t="inlineStr"/>
      <c r="J397" t="inlineStr">
        <is>
          <t>G00080</t>
        </is>
      </c>
      <c r="K397" t="str">
        <f>INDEX('Match Groups'!$D$5:$D$1326,MATCH(J397,'Match Groups'!$A$5:$A$1326,0))</f>
        <v>SHORT</v>
      </c>
    </row>
    <row r="398">
      <c r="A398" t="inlineStr">
        <is>
          <t>JI-00009</t>
        </is>
      </c>
      <c r="B398" t="inlineStr">
        <is>
          <t>OPS</t>
        </is>
      </c>
      <c r="C398" s="5" t="n">
        <v>46204</v>
      </c>
      <c r="D398" t="inlineStr">
        <is>
          <t>Banksia Plan Co</t>
        </is>
      </c>
      <c r="E398" t="inlineStr">
        <is>
          <t>INV/2026/01406</t>
        </is>
      </c>
      <c r="F398" t="inlineStr">
        <is>
          <t>Customer payment INV/2026/01406</t>
        </is>
      </c>
      <c r="G398" s="9" t="n">
        <v>290.98</v>
      </c>
      <c r="H398" t="inlineStr">
        <is>
          <t>customer_payment</t>
        </is>
      </c>
      <c r="I398" t="inlineStr"/>
      <c r="J398" t="inlineStr">
        <is>
          <t>G00081</t>
        </is>
      </c>
      <c r="K398" t="str">
        <f>INDEX('Match Groups'!$D$5:$D$1326,MATCH(J398,'Match Groups'!$A$5:$A$1326,0))</f>
        <v>MATCH</v>
      </c>
    </row>
    <row r="399">
      <c r="A399" t="inlineStr">
        <is>
          <t>JI-00010</t>
        </is>
      </c>
      <c r="B399" t="inlineStr">
        <is>
          <t>OPS</t>
        </is>
      </c>
      <c r="C399" s="5" t="n">
        <v>46204</v>
      </c>
      <c r="D399" t="inlineStr">
        <is>
          <t>Banksia Plan Co</t>
        </is>
      </c>
      <c r="E399" t="inlineStr">
        <is>
          <t>INV/2026/01430</t>
        </is>
      </c>
      <c r="F399" t="inlineStr">
        <is>
          <t>Customer payment INV/2026/01430</t>
        </is>
      </c>
      <c r="G399" s="9" t="n">
        <v>242.49</v>
      </c>
      <c r="H399" t="inlineStr">
        <is>
          <t>customer_payment</t>
        </is>
      </c>
      <c r="I399" t="inlineStr"/>
      <c r="J399" t="inlineStr">
        <is>
          <t>G00081</t>
        </is>
      </c>
      <c r="K399" t="str">
        <f>INDEX('Match Groups'!$D$5:$D$1326,MATCH(J399,'Match Groups'!$A$5:$A$1326,0))</f>
        <v>MATCH</v>
      </c>
    </row>
    <row r="400">
      <c r="A400" t="inlineStr">
        <is>
          <t>JI-00011</t>
        </is>
      </c>
      <c r="B400" t="inlineStr">
        <is>
          <t>OPS</t>
        </is>
      </c>
      <c r="C400" s="5" t="n">
        <v>46204</v>
      </c>
      <c r="D400" t="inlineStr">
        <is>
          <t>Banksia Plan Co</t>
        </is>
      </c>
      <c r="E400" t="inlineStr">
        <is>
          <t>INV/2026/01431</t>
        </is>
      </c>
      <c r="F400" t="inlineStr">
        <is>
          <t>Customer payment INV/2026/01431</t>
        </is>
      </c>
      <c r="G400" s="9" t="n">
        <v>252.19</v>
      </c>
      <c r="H400" t="inlineStr">
        <is>
          <t>customer_payment</t>
        </is>
      </c>
      <c r="I400" t="inlineStr"/>
      <c r="J400" t="inlineStr">
        <is>
          <t>G00081</t>
        </is>
      </c>
      <c r="K400" t="str">
        <f>INDEX('Match Groups'!$D$5:$D$1326,MATCH(J400,'Match Groups'!$A$5:$A$1326,0))</f>
        <v>MATCH</v>
      </c>
    </row>
    <row r="401">
      <c r="A401" t="inlineStr">
        <is>
          <t>JI-00012</t>
        </is>
      </c>
      <c r="B401" t="inlineStr">
        <is>
          <t>OPS</t>
        </is>
      </c>
      <c r="C401" s="5" t="n">
        <v>46204</v>
      </c>
      <c r="D401" t="inlineStr">
        <is>
          <t>Banksia Plan Co</t>
        </is>
      </c>
      <c r="E401" t="inlineStr">
        <is>
          <t>INV/2026/01457</t>
        </is>
      </c>
      <c r="F401" t="inlineStr">
        <is>
          <t>Customer payment INV/2026/01457</t>
        </is>
      </c>
      <c r="G401" s="9" t="n">
        <v>155.19</v>
      </c>
      <c r="H401" t="inlineStr">
        <is>
          <t>customer_payment</t>
        </is>
      </c>
      <c r="I401" t="inlineStr"/>
      <c r="J401" t="inlineStr">
        <is>
          <t>G00081</t>
        </is>
      </c>
      <c r="K401" t="str">
        <f>INDEX('Match Groups'!$D$5:$D$1326,MATCH(J401,'Match Groups'!$A$5:$A$1326,0))</f>
        <v>MATCH</v>
      </c>
    </row>
    <row r="402">
      <c r="A402" t="inlineStr">
        <is>
          <t>JI-00013</t>
        </is>
      </c>
      <c r="B402" t="inlineStr">
        <is>
          <t>OPS</t>
        </is>
      </c>
      <c r="C402" s="5" t="n">
        <v>46204</v>
      </c>
      <c r="D402" t="inlineStr">
        <is>
          <t>Banksia Plan Co</t>
        </is>
      </c>
      <c r="E402" t="inlineStr">
        <is>
          <t>INV/2026/01482</t>
        </is>
      </c>
      <c r="F402" t="inlineStr">
        <is>
          <t>Customer payment INV/2026/01482</t>
        </is>
      </c>
      <c r="G402" s="9" t="n">
        <v>300.69</v>
      </c>
      <c r="H402" t="inlineStr">
        <is>
          <t>customer_payment</t>
        </is>
      </c>
      <c r="I402" t="inlineStr"/>
      <c r="J402" t="inlineStr">
        <is>
          <t>G00081</t>
        </is>
      </c>
      <c r="K402" t="str">
        <f>INDEX('Match Groups'!$D$5:$D$1326,MATCH(J402,'Match Groups'!$A$5:$A$1326,0))</f>
        <v>MATCH</v>
      </c>
    </row>
    <row r="403">
      <c r="A403" t="inlineStr">
        <is>
          <t>JI-00014</t>
        </is>
      </c>
      <c r="B403" t="inlineStr">
        <is>
          <t>OPS</t>
        </is>
      </c>
      <c r="C403" s="5" t="n">
        <v>46204</v>
      </c>
      <c r="D403" t="inlineStr">
        <is>
          <t>Banksia Plan Co</t>
        </is>
      </c>
      <c r="E403" t="inlineStr">
        <is>
          <t>INV/2026/01483</t>
        </is>
      </c>
      <c r="F403" t="inlineStr">
        <is>
          <t>Customer payment INV/2026/01483</t>
        </is>
      </c>
      <c r="G403" s="9" t="n">
        <v>203.69</v>
      </c>
      <c r="H403" t="inlineStr">
        <is>
          <t>customer_payment</t>
        </is>
      </c>
      <c r="I403" t="inlineStr"/>
      <c r="J403" t="inlineStr">
        <is>
          <t>G00081</t>
        </is>
      </c>
      <c r="K403" t="str">
        <f>INDEX('Match Groups'!$D$5:$D$1326,MATCH(J403,'Match Groups'!$A$5:$A$1326,0))</f>
        <v>MATCH</v>
      </c>
    </row>
    <row r="404">
      <c r="A404" t="inlineStr">
        <is>
          <t>JI-00015</t>
        </is>
      </c>
      <c r="B404" t="inlineStr">
        <is>
          <t>OPS</t>
        </is>
      </c>
      <c r="C404" s="5" t="n">
        <v>46204</v>
      </c>
      <c r="D404" t="inlineStr">
        <is>
          <t>Ironbark Plan Management</t>
        </is>
      </c>
      <c r="E404" t="inlineStr">
        <is>
          <t>INV/2026/01407</t>
        </is>
      </c>
      <c r="F404" t="inlineStr">
        <is>
          <t>Customer payment INV/2026/01407</t>
        </is>
      </c>
      <c r="G404" s="9" t="n">
        <v>349.18</v>
      </c>
      <c r="H404" t="inlineStr">
        <is>
          <t>customer_payment</t>
        </is>
      </c>
      <c r="I404" t="inlineStr"/>
      <c r="J404" t="inlineStr">
        <is>
          <t>G00082</t>
        </is>
      </c>
      <c r="K404" t="str">
        <f>INDEX('Match Groups'!$D$5:$D$1326,MATCH(J404,'Match Groups'!$A$5:$A$1326,0))</f>
        <v>MATCH</v>
      </c>
    </row>
    <row r="405">
      <c r="A405" t="inlineStr">
        <is>
          <t>JI-00016</t>
        </is>
      </c>
      <c r="B405" t="inlineStr">
        <is>
          <t>OPS</t>
        </is>
      </c>
      <c r="C405" s="5" t="n">
        <v>46204</v>
      </c>
      <c r="D405" t="inlineStr">
        <is>
          <t>Ironbark Plan Management</t>
        </is>
      </c>
      <c r="E405" t="inlineStr">
        <is>
          <t>INV/2026/01408</t>
        </is>
      </c>
      <c r="F405" t="inlineStr">
        <is>
          <t>Customer payment INV/2026/01408</t>
        </is>
      </c>
      <c r="G405" s="9" t="n">
        <v>126.99</v>
      </c>
      <c r="H405" t="inlineStr">
        <is>
          <t>customer_payment</t>
        </is>
      </c>
      <c r="I405" t="inlineStr"/>
      <c r="J405" t="inlineStr">
        <is>
          <t>G00082</t>
        </is>
      </c>
      <c r="K405" t="str">
        <f>INDEX('Match Groups'!$D$5:$D$1326,MATCH(J405,'Match Groups'!$A$5:$A$1326,0))</f>
        <v>MATCH</v>
      </c>
    </row>
    <row r="406">
      <c r="A406" t="inlineStr">
        <is>
          <t>JI-00017</t>
        </is>
      </c>
      <c r="B406" t="inlineStr">
        <is>
          <t>OPS</t>
        </is>
      </c>
      <c r="C406" s="5" t="n">
        <v>46204</v>
      </c>
      <c r="D406" t="inlineStr">
        <is>
          <t>Ironbark Plan Management</t>
        </is>
      </c>
      <c r="E406" t="inlineStr">
        <is>
          <t>INV/2026/01432</t>
        </is>
      </c>
      <c r="F406" t="inlineStr">
        <is>
          <t>Customer payment INV/2026/01432</t>
        </is>
      </c>
      <c r="G406" s="9" t="n">
        <v>145.49</v>
      </c>
      <c r="H406" t="inlineStr">
        <is>
          <t>customer_payment</t>
        </is>
      </c>
      <c r="I406" t="inlineStr"/>
      <c r="J406" t="inlineStr">
        <is>
          <t>G00082</t>
        </is>
      </c>
      <c r="K406" t="str">
        <f>INDEX('Match Groups'!$D$5:$D$1326,MATCH(J406,'Match Groups'!$A$5:$A$1326,0))</f>
        <v>MATCH</v>
      </c>
    </row>
    <row r="407">
      <c r="A407" t="inlineStr">
        <is>
          <t>JI-00018</t>
        </is>
      </c>
      <c r="B407" t="inlineStr">
        <is>
          <t>OPS</t>
        </is>
      </c>
      <c r="C407" s="5" t="n">
        <v>46204</v>
      </c>
      <c r="D407" t="inlineStr">
        <is>
          <t>Ironbark Plan Management</t>
        </is>
      </c>
      <c r="E407" t="inlineStr">
        <is>
          <t>INV/2026/01433</t>
        </is>
      </c>
      <c r="F407" t="inlineStr">
        <is>
          <t>Customer payment INV/2026/01433</t>
        </is>
      </c>
      <c r="G407" s="9" t="n">
        <v>290.98</v>
      </c>
      <c r="H407" t="inlineStr">
        <is>
          <t>customer_payment</t>
        </is>
      </c>
      <c r="I407" t="inlineStr"/>
      <c r="J407" t="inlineStr">
        <is>
          <t>G00082</t>
        </is>
      </c>
      <c r="K407" t="str">
        <f>INDEX('Match Groups'!$D$5:$D$1326,MATCH(J407,'Match Groups'!$A$5:$A$1326,0))</f>
        <v>MATCH</v>
      </c>
    </row>
    <row r="408">
      <c r="A408" t="inlineStr">
        <is>
          <t>JI-00019</t>
        </is>
      </c>
      <c r="B408" t="inlineStr">
        <is>
          <t>OPS</t>
        </is>
      </c>
      <c r="C408" s="5" t="n">
        <v>46204</v>
      </c>
      <c r="D408" t="inlineStr">
        <is>
          <t>Ironbark Plan Management</t>
        </is>
      </c>
      <c r="E408" t="inlineStr">
        <is>
          <t>INV/2026/01458</t>
        </is>
      </c>
      <c r="F408" t="inlineStr">
        <is>
          <t>Customer payment INV/2026/01458</t>
        </is>
      </c>
      <c r="G408" s="9" t="n">
        <v>300.69</v>
      </c>
      <c r="H408" t="inlineStr">
        <is>
          <t>customer_payment</t>
        </is>
      </c>
      <c r="I408" t="inlineStr"/>
      <c r="J408" t="inlineStr">
        <is>
          <t>G00082</t>
        </is>
      </c>
      <c r="K408" t="str">
        <f>INDEX('Match Groups'!$D$5:$D$1326,MATCH(J408,'Match Groups'!$A$5:$A$1326,0))</f>
        <v>MATCH</v>
      </c>
    </row>
    <row r="409">
      <c r="A409" t="inlineStr">
        <is>
          <t>JI-00020</t>
        </is>
      </c>
      <c r="B409" t="inlineStr">
        <is>
          <t>OPS</t>
        </is>
      </c>
      <c r="C409" s="5" t="n">
        <v>46204</v>
      </c>
      <c r="D409" t="inlineStr">
        <is>
          <t>Ironbark Plan Management</t>
        </is>
      </c>
      <c r="E409" t="inlineStr">
        <is>
          <t>INV/2026/01459</t>
        </is>
      </c>
      <c r="F409" t="inlineStr">
        <is>
          <t>Customer payment INV/2026/01459</t>
        </is>
      </c>
      <c r="G409" s="9" t="n">
        <v>290.98</v>
      </c>
      <c r="H409" t="inlineStr">
        <is>
          <t>customer_payment</t>
        </is>
      </c>
      <c r="I409" t="inlineStr"/>
      <c r="J409" t="inlineStr">
        <is>
          <t>G00082</t>
        </is>
      </c>
      <c r="K409" t="str">
        <f>INDEX('Match Groups'!$D$5:$D$1326,MATCH(J409,'Match Groups'!$A$5:$A$1326,0))</f>
        <v>MATCH</v>
      </c>
    </row>
    <row r="410">
      <c r="A410" t="inlineStr">
        <is>
          <t>JI-00021</t>
        </is>
      </c>
      <c r="B410" t="inlineStr">
        <is>
          <t>OPS</t>
        </is>
      </c>
      <c r="C410" s="5" t="n">
        <v>46204</v>
      </c>
      <c r="D410" t="inlineStr">
        <is>
          <t>Ironbark Plan Management</t>
        </is>
      </c>
      <c r="E410" t="inlineStr">
        <is>
          <t>INV/2026/01460</t>
        </is>
      </c>
      <c r="F410" t="inlineStr">
        <is>
          <t>Customer payment INV/2026/01460</t>
        </is>
      </c>
      <c r="G410" s="9" t="n">
        <v>96.98999999999999</v>
      </c>
      <c r="H410" t="inlineStr">
        <is>
          <t>customer_payment</t>
        </is>
      </c>
      <c r="I410" t="inlineStr"/>
      <c r="J410" t="inlineStr">
        <is>
          <t>G00082</t>
        </is>
      </c>
      <c r="K410" t="str">
        <f>INDEX('Match Groups'!$D$5:$D$1326,MATCH(J410,'Match Groups'!$A$5:$A$1326,0))</f>
        <v>MATCH</v>
      </c>
    </row>
    <row r="411">
      <c r="A411" t="inlineStr">
        <is>
          <t>JI-00022</t>
        </is>
      </c>
      <c r="B411" t="inlineStr">
        <is>
          <t>OPS</t>
        </is>
      </c>
      <c r="C411" s="5" t="n">
        <v>46204</v>
      </c>
      <c r="D411" t="inlineStr">
        <is>
          <t>Ironbark Plan Management</t>
        </is>
      </c>
      <c r="E411" t="inlineStr">
        <is>
          <t>INV/2026/01484</t>
        </is>
      </c>
      <c r="F411" t="inlineStr">
        <is>
          <t>Customer payment INV/2026/01484</t>
        </is>
      </c>
      <c r="G411" s="9" t="n">
        <v>242.49</v>
      </c>
      <c r="H411" t="inlineStr">
        <is>
          <t>customer_payment</t>
        </is>
      </c>
      <c r="I411" t="inlineStr"/>
      <c r="J411" t="inlineStr">
        <is>
          <t>G00082</t>
        </is>
      </c>
      <c r="K411" t="str">
        <f>INDEX('Match Groups'!$D$5:$D$1326,MATCH(J411,'Match Groups'!$A$5:$A$1326,0))</f>
        <v>MATCH</v>
      </c>
    </row>
    <row r="412">
      <c r="A412" t="inlineStr">
        <is>
          <t>JI-00023</t>
        </is>
      </c>
      <c r="B412" t="inlineStr">
        <is>
          <t>OPS</t>
        </is>
      </c>
      <c r="C412" s="5" t="n">
        <v>46204</v>
      </c>
      <c r="D412" t="inlineStr">
        <is>
          <t>Ironbark Plan Management</t>
        </is>
      </c>
      <c r="E412" t="inlineStr">
        <is>
          <t>INV/2026/01503</t>
        </is>
      </c>
      <c r="F412" t="inlineStr">
        <is>
          <t>Customer payment INV/2026/01503</t>
        </is>
      </c>
      <c r="G412" s="9" t="n">
        <v>193.99</v>
      </c>
      <c r="H412" t="inlineStr">
        <is>
          <t>customer_payment</t>
        </is>
      </c>
      <c r="I412" t="inlineStr"/>
      <c r="J412" t="inlineStr">
        <is>
          <t>G00082</t>
        </is>
      </c>
      <c r="K412" t="str">
        <f>INDEX('Match Groups'!$D$5:$D$1326,MATCH(J412,'Match Groups'!$A$5:$A$1326,0))</f>
        <v>MATCH</v>
      </c>
    </row>
    <row r="413">
      <c r="A413" t="inlineStr">
        <is>
          <t>JI-00024</t>
        </is>
      </c>
      <c r="B413" t="inlineStr">
        <is>
          <t>OPS</t>
        </is>
      </c>
      <c r="C413" s="5" t="n">
        <v>46204</v>
      </c>
      <c r="D413" t="inlineStr">
        <is>
          <t>Ironbark Plan Management</t>
        </is>
      </c>
      <c r="E413" t="inlineStr">
        <is>
          <t>INV/2026/01504</t>
        </is>
      </c>
      <c r="F413" t="inlineStr">
        <is>
          <t>Customer payment INV/2026/01504</t>
        </is>
      </c>
      <c r="G413" s="9" t="n">
        <v>417.98</v>
      </c>
      <c r="H413" t="inlineStr">
        <is>
          <t>customer_payment</t>
        </is>
      </c>
      <c r="I413" t="inlineStr"/>
      <c r="J413" t="inlineStr">
        <is>
          <t>G00082</t>
        </is>
      </c>
      <c r="K413" t="str">
        <f>INDEX('Match Groups'!$D$5:$D$1326,MATCH(J413,'Match Groups'!$A$5:$A$1326,0))</f>
        <v>MATCH</v>
      </c>
    </row>
    <row r="414">
      <c r="A414" t="inlineStr">
        <is>
          <t>JI-00025</t>
        </is>
      </c>
      <c r="B414" t="inlineStr">
        <is>
          <t>OPS</t>
        </is>
      </c>
      <c r="C414" s="5" t="n">
        <v>46204</v>
      </c>
      <c r="D414" t="inlineStr">
        <is>
          <t>Ironbark Plan Management</t>
        </is>
      </c>
      <c r="E414" t="inlineStr">
        <is>
          <t>INV/2026/01521</t>
        </is>
      </c>
      <c r="F414" t="inlineStr">
        <is>
          <t>Customer payment INV/2026/01521</t>
        </is>
      </c>
      <c r="G414" s="9" t="n">
        <v>193.99</v>
      </c>
      <c r="H414" t="inlineStr">
        <is>
          <t>customer_payment</t>
        </is>
      </c>
      <c r="I414" t="inlineStr"/>
      <c r="J414" t="inlineStr">
        <is>
          <t>G00082</t>
        </is>
      </c>
      <c r="K414" t="str">
        <f>INDEX('Match Groups'!$D$5:$D$1326,MATCH(J414,'Match Groups'!$A$5:$A$1326,0))</f>
        <v>MATCH</v>
      </c>
    </row>
    <row r="415">
      <c r="A415" t="inlineStr">
        <is>
          <t>JI-00026</t>
        </is>
      </c>
      <c r="B415" t="inlineStr">
        <is>
          <t>OPS</t>
        </is>
      </c>
      <c r="C415" s="5" t="n">
        <v>46204</v>
      </c>
      <c r="D415" t="inlineStr">
        <is>
          <t>Ironbark Plan Management</t>
        </is>
      </c>
      <c r="E415" t="inlineStr">
        <is>
          <t>INV/2026/01522</t>
        </is>
      </c>
      <c r="F415" t="inlineStr">
        <is>
          <t>Customer payment INV/2026/01522</t>
        </is>
      </c>
      <c r="G415" s="9" t="n">
        <v>242.49</v>
      </c>
      <c r="H415" t="inlineStr">
        <is>
          <t>customer_payment</t>
        </is>
      </c>
      <c r="I415" t="inlineStr"/>
      <c r="J415" t="inlineStr">
        <is>
          <t>G00082</t>
        </is>
      </c>
      <c r="K415" t="str">
        <f>INDEX('Match Groups'!$D$5:$D$1326,MATCH(J415,'Match Groups'!$A$5:$A$1326,0))</f>
        <v>MATCH</v>
      </c>
    </row>
    <row r="416">
      <c r="A416" t="inlineStr">
        <is>
          <t>JI-00027</t>
        </is>
      </c>
      <c r="B416" t="inlineStr">
        <is>
          <t>OPS</t>
        </is>
      </c>
      <c r="C416" s="5" t="n">
        <v>46204</v>
      </c>
      <c r="D416" t="inlineStr">
        <is>
          <t>Tallowwood Plans</t>
        </is>
      </c>
      <c r="E416" t="inlineStr">
        <is>
          <t>INV/2026/01439</t>
        </is>
      </c>
      <c r="F416" t="inlineStr">
        <is>
          <t>Customer payment INV/2026/01439</t>
        </is>
      </c>
      <c r="G416" s="9" t="n">
        <v>203.69</v>
      </c>
      <c r="H416" t="inlineStr">
        <is>
          <t>customer_payment</t>
        </is>
      </c>
      <c r="I416" t="inlineStr"/>
      <c r="J416" t="inlineStr">
        <is>
          <t>G00083</t>
        </is>
      </c>
      <c r="K416" t="str">
        <f>INDEX('Match Groups'!$D$5:$D$1326,MATCH(J416,'Match Groups'!$A$5:$A$1326,0))</f>
        <v>MATCH</v>
      </c>
    </row>
    <row r="417">
      <c r="A417" t="inlineStr">
        <is>
          <t>JI-00028</t>
        </is>
      </c>
      <c r="B417" t="inlineStr">
        <is>
          <t>OPS</t>
        </is>
      </c>
      <c r="C417" s="5" t="n">
        <v>46204</v>
      </c>
      <c r="D417" t="inlineStr">
        <is>
          <t>Tallowwood Plans</t>
        </is>
      </c>
      <c r="E417" t="inlineStr">
        <is>
          <t>INV/2026/01440</t>
        </is>
      </c>
      <c r="F417" t="inlineStr">
        <is>
          <t>Customer payment INV/2026/01440</t>
        </is>
      </c>
      <c r="G417" s="9" t="n">
        <v>175.49</v>
      </c>
      <c r="H417" t="inlineStr">
        <is>
          <t>customer_payment</t>
        </is>
      </c>
      <c r="I417" t="inlineStr"/>
      <c r="J417" t="inlineStr">
        <is>
          <t>G00083</t>
        </is>
      </c>
      <c r="K417" t="str">
        <f>INDEX('Match Groups'!$D$5:$D$1326,MATCH(J417,'Match Groups'!$A$5:$A$1326,0))</f>
        <v>MATCH</v>
      </c>
    </row>
    <row r="418">
      <c r="A418" t="inlineStr">
        <is>
          <t>JI-00029</t>
        </is>
      </c>
      <c r="B418" t="inlineStr">
        <is>
          <t>OPS</t>
        </is>
      </c>
      <c r="C418" s="5" t="n">
        <v>46204</v>
      </c>
      <c r="D418" t="inlineStr">
        <is>
          <t>Mallee Plan Services</t>
        </is>
      </c>
      <c r="E418" t="inlineStr">
        <is>
          <t>INV/2026/01419</t>
        </is>
      </c>
      <c r="F418" t="inlineStr">
        <is>
          <t>Customer payment INV/2026/01419</t>
        </is>
      </c>
      <c r="G418" s="9" t="n">
        <v>203.69</v>
      </c>
      <c r="H418" t="inlineStr">
        <is>
          <t>customer_payment</t>
        </is>
      </c>
      <c r="I418" t="inlineStr"/>
      <c r="J418" t="inlineStr">
        <is>
          <t>G00085</t>
        </is>
      </c>
      <c r="K418" t="str">
        <f>INDEX('Match Groups'!$D$5:$D$1326,MATCH(J418,'Match Groups'!$A$5:$A$1326,0))</f>
        <v>MATCH</v>
      </c>
    </row>
    <row r="419">
      <c r="A419" t="inlineStr">
        <is>
          <t>JI-00030</t>
        </is>
      </c>
      <c r="B419" t="inlineStr">
        <is>
          <t>OPS</t>
        </is>
      </c>
      <c r="C419" s="5" t="n">
        <v>46204</v>
      </c>
      <c r="D419" t="inlineStr">
        <is>
          <t>Mallee Plan Services</t>
        </is>
      </c>
      <c r="E419" t="inlineStr">
        <is>
          <t>INV/2026/01420</t>
        </is>
      </c>
      <c r="F419" t="inlineStr">
        <is>
          <t>Customer payment INV/2026/01420</t>
        </is>
      </c>
      <c r="G419" s="9" t="n">
        <v>96.98999999999999</v>
      </c>
      <c r="H419" t="inlineStr">
        <is>
          <t>customer_payment</t>
        </is>
      </c>
      <c r="I419" t="inlineStr"/>
      <c r="J419" t="inlineStr">
        <is>
          <t>G00085</t>
        </is>
      </c>
      <c r="K419" t="str">
        <f>INDEX('Match Groups'!$D$5:$D$1326,MATCH(J419,'Match Groups'!$A$5:$A$1326,0))</f>
        <v>MATCH</v>
      </c>
    </row>
    <row r="420">
      <c r="A420" t="inlineStr">
        <is>
          <t>JI-01588</t>
        </is>
      </c>
      <c r="B420" t="inlineStr">
        <is>
          <t>OPS</t>
        </is>
      </c>
      <c r="C420" s="5" t="n">
        <v>46204</v>
      </c>
      <c r="D420" t="inlineStr">
        <is>
          <t>Pinnacle Claims Services</t>
        </is>
      </c>
      <c r="E420" t="inlineStr">
        <is>
          <t>INV/2026/01660</t>
        </is>
      </c>
      <c r="F420" t="inlineStr">
        <is>
          <t>Customer payment INV/2026/01660</t>
        </is>
      </c>
      <c r="G420" s="9" t="n">
        <v>132</v>
      </c>
      <c r="H420" t="inlineStr">
        <is>
          <t>customer_payment</t>
        </is>
      </c>
      <c r="I420" t="inlineStr"/>
      <c r="J420" t="inlineStr">
        <is>
          <t>G00903</t>
        </is>
      </c>
      <c r="K420" t="str">
        <f>INDEX('Match Groups'!$D$5:$D$1326,MATCH(J420,'Match Groups'!$A$5:$A$1326,0))</f>
        <v>MATCH</v>
      </c>
    </row>
    <row r="421">
      <c r="A421" t="inlineStr">
        <is>
          <t>JI-01773</t>
        </is>
      </c>
      <c r="B421" t="inlineStr">
        <is>
          <t>OPS</t>
        </is>
      </c>
      <c r="C421" s="5" t="n">
        <v>46204</v>
      </c>
      <c r="D421" t="inlineStr">
        <is>
          <t>Thornbury Textiles</t>
        </is>
      </c>
      <c r="E421" t="inlineStr">
        <is>
          <t>INV/2026/03462</t>
        </is>
      </c>
      <c r="F421" t="inlineStr">
        <is>
          <t>Customer payment INV/2026/03462</t>
        </is>
      </c>
      <c r="G421" s="9" t="n">
        <v>15950</v>
      </c>
      <c r="H421" t="inlineStr">
        <is>
          <t>customer_payment</t>
        </is>
      </c>
      <c r="I421" t="inlineStr"/>
      <c r="J421" t="inlineStr">
        <is>
          <t>G00904</t>
        </is>
      </c>
      <c r="K421" t="str">
        <f>INDEX('Match Groups'!$D$5:$D$1326,MATCH(J421,'Match Groups'!$A$5:$A$1326,0))</f>
        <v>MATCH</v>
      </c>
    </row>
    <row r="422">
      <c r="A422" t="inlineStr">
        <is>
          <t>JI-01831</t>
        </is>
      </c>
      <c r="B422" t="inlineStr">
        <is>
          <t>OPS</t>
        </is>
      </c>
      <c r="C422" s="5" t="n">
        <v>46204</v>
      </c>
      <c r="D422" t="inlineStr">
        <is>
          <t>Stripe patient 20078</t>
        </is>
      </c>
      <c r="E422" t="inlineStr">
        <is>
          <t>INV/2026/03678</t>
        </is>
      </c>
      <c r="F422" t="inlineStr">
        <is>
          <t>Customer payment INV/2026/03678</t>
        </is>
      </c>
      <c r="G422" s="9" t="n">
        <v>65</v>
      </c>
      <c r="H422" t="inlineStr">
        <is>
          <t>customer_payment</t>
        </is>
      </c>
      <c r="I422" t="inlineStr"/>
      <c r="J422" t="inlineStr">
        <is>
          <t>G00016</t>
        </is>
      </c>
      <c r="K422" t="str">
        <f>INDEX('Match Groups'!$D$5:$D$1326,MATCH(J422,'Match Groups'!$A$5:$A$1326,0))</f>
        <v>STRIPE-FEE</v>
      </c>
    </row>
    <row r="423">
      <c r="A423" t="inlineStr">
        <is>
          <t>JI-01832</t>
        </is>
      </c>
      <c r="B423" t="inlineStr">
        <is>
          <t>OPS</t>
        </is>
      </c>
      <c r="C423" s="5" t="n">
        <v>46204</v>
      </c>
      <c r="D423" t="inlineStr">
        <is>
          <t>Stripe patient 56322</t>
        </is>
      </c>
      <c r="E423" t="inlineStr">
        <is>
          <t>INV/2026/03679</t>
        </is>
      </c>
      <c r="F423" t="inlineStr">
        <is>
          <t>Customer payment INV/2026/03679</t>
        </is>
      </c>
      <c r="G423" s="9" t="n">
        <v>85</v>
      </c>
      <c r="H423" t="inlineStr">
        <is>
          <t>customer_payment</t>
        </is>
      </c>
      <c r="I423" t="inlineStr"/>
      <c r="J423" t="inlineStr">
        <is>
          <t>G00016</t>
        </is>
      </c>
      <c r="K423" t="str">
        <f>INDEX('Match Groups'!$D$5:$D$1326,MATCH(J423,'Match Groups'!$A$5:$A$1326,0))</f>
        <v>STRIPE-FEE</v>
      </c>
    </row>
    <row r="424">
      <c r="A424" t="inlineStr">
        <is>
          <t>JI-01833</t>
        </is>
      </c>
      <c r="B424" t="inlineStr">
        <is>
          <t>OPS</t>
        </is>
      </c>
      <c r="C424" s="5" t="n">
        <v>46204</v>
      </c>
      <c r="D424" t="inlineStr">
        <is>
          <t>Stripe patient 71153</t>
        </is>
      </c>
      <c r="E424" t="inlineStr">
        <is>
          <t>INV/2026/03680</t>
        </is>
      </c>
      <c r="F424" t="inlineStr">
        <is>
          <t>Customer payment INV/2026/03680</t>
        </is>
      </c>
      <c r="G424" s="9" t="n">
        <v>95</v>
      </c>
      <c r="H424" t="inlineStr">
        <is>
          <t>customer_payment</t>
        </is>
      </c>
      <c r="I424" t="inlineStr"/>
      <c r="J424" t="inlineStr">
        <is>
          <t>G00016</t>
        </is>
      </c>
      <c r="K424" t="str">
        <f>INDEX('Match Groups'!$D$5:$D$1326,MATCH(J424,'Match Groups'!$A$5:$A$1326,0))</f>
        <v>STRIPE-FEE</v>
      </c>
    </row>
    <row r="425">
      <c r="A425" t="inlineStr">
        <is>
          <t>JI-01834</t>
        </is>
      </c>
      <c r="B425" t="inlineStr">
        <is>
          <t>OPS</t>
        </is>
      </c>
      <c r="C425" s="5" t="n">
        <v>46204</v>
      </c>
      <c r="D425" t="inlineStr">
        <is>
          <t>Stripe patient 12957</t>
        </is>
      </c>
      <c r="E425" t="inlineStr">
        <is>
          <t>INV/2026/03681</t>
        </is>
      </c>
      <c r="F425" t="inlineStr">
        <is>
          <t>Customer payment INV/2026/03681</t>
        </is>
      </c>
      <c r="G425" s="9" t="n">
        <v>135</v>
      </c>
      <c r="H425" t="inlineStr">
        <is>
          <t>customer_payment</t>
        </is>
      </c>
      <c r="I425" t="inlineStr"/>
      <c r="J425" t="inlineStr">
        <is>
          <t>G00016</t>
        </is>
      </c>
      <c r="K425" t="str">
        <f>INDEX('Match Groups'!$D$5:$D$1326,MATCH(J425,'Match Groups'!$A$5:$A$1326,0))</f>
        <v>STRIPE-FEE</v>
      </c>
    </row>
    <row r="426">
      <c r="A426" t="inlineStr">
        <is>
          <t>JI-01835</t>
        </is>
      </c>
      <c r="B426" t="inlineStr">
        <is>
          <t>OPS</t>
        </is>
      </c>
      <c r="C426" s="5" t="n">
        <v>46204</v>
      </c>
      <c r="D426" t="inlineStr">
        <is>
          <t>Stripe patient 67004</t>
        </is>
      </c>
      <c r="E426" t="inlineStr">
        <is>
          <t>INV/2026/03682</t>
        </is>
      </c>
      <c r="F426" t="inlineStr">
        <is>
          <t>Customer payment INV/2026/03682</t>
        </is>
      </c>
      <c r="G426" s="9" t="n">
        <v>120</v>
      </c>
      <c r="H426" t="inlineStr">
        <is>
          <t>customer_payment</t>
        </is>
      </c>
      <c r="I426" t="inlineStr"/>
      <c r="J426" t="inlineStr">
        <is>
          <t>G00016</t>
        </is>
      </c>
      <c r="K426" t="str">
        <f>INDEX('Match Groups'!$D$5:$D$1326,MATCH(J426,'Match Groups'!$A$5:$A$1326,0))</f>
        <v>STRIPE-FEE</v>
      </c>
    </row>
    <row r="427">
      <c r="A427" t="inlineStr">
        <is>
          <t>JI-01836</t>
        </is>
      </c>
      <c r="B427" t="inlineStr">
        <is>
          <t>OPS</t>
        </is>
      </c>
      <c r="C427" s="5" t="n">
        <v>46204</v>
      </c>
      <c r="D427" t="inlineStr">
        <is>
          <t>Stripe patient 26823</t>
        </is>
      </c>
      <c r="E427" t="inlineStr">
        <is>
          <t>INV/2026/03683</t>
        </is>
      </c>
      <c r="F427" t="inlineStr">
        <is>
          <t>Customer payment INV/2026/03683</t>
        </is>
      </c>
      <c r="G427" s="9" t="n">
        <v>65</v>
      </c>
      <c r="H427" t="inlineStr">
        <is>
          <t>customer_payment</t>
        </is>
      </c>
      <c r="I427" t="inlineStr"/>
      <c r="J427" t="inlineStr">
        <is>
          <t>G00016</t>
        </is>
      </c>
      <c r="K427" t="str">
        <f>INDEX('Match Groups'!$D$5:$D$1326,MATCH(J427,'Match Groups'!$A$5:$A$1326,0))</f>
        <v>STRIPE-FEE</v>
      </c>
    </row>
    <row r="428">
      <c r="A428" t="inlineStr">
        <is>
          <t>JI-01837</t>
        </is>
      </c>
      <c r="B428" t="inlineStr">
        <is>
          <t>OPS</t>
        </is>
      </c>
      <c r="C428" s="5" t="n">
        <v>46204</v>
      </c>
      <c r="D428" t="inlineStr">
        <is>
          <t>Stripe patient 53203</t>
        </is>
      </c>
      <c r="E428" t="inlineStr">
        <is>
          <t>INV/2026/03684</t>
        </is>
      </c>
      <c r="F428" t="inlineStr">
        <is>
          <t>Customer payment INV/2026/03684</t>
        </is>
      </c>
      <c r="G428" s="9" t="n">
        <v>95</v>
      </c>
      <c r="H428" t="inlineStr">
        <is>
          <t>customer_payment</t>
        </is>
      </c>
      <c r="I428" t="inlineStr"/>
      <c r="J428" t="inlineStr">
        <is>
          <t>G00016</t>
        </is>
      </c>
      <c r="K428" t="str">
        <f>INDEX('Match Groups'!$D$5:$D$1326,MATCH(J428,'Match Groups'!$A$5:$A$1326,0))</f>
        <v>STRIPE-FEE</v>
      </c>
    </row>
    <row r="429">
      <c r="A429" t="inlineStr">
        <is>
          <t>JI-01838</t>
        </is>
      </c>
      <c r="B429" t="inlineStr">
        <is>
          <t>OPS</t>
        </is>
      </c>
      <c r="C429" s="5" t="n">
        <v>46204</v>
      </c>
      <c r="D429" t="inlineStr">
        <is>
          <t>Stripe patient 48074</t>
        </is>
      </c>
      <c r="E429" t="inlineStr">
        <is>
          <t>INV/2026/03685</t>
        </is>
      </c>
      <c r="F429" t="inlineStr">
        <is>
          <t>Customer payment INV/2026/03685</t>
        </is>
      </c>
      <c r="G429" s="9" t="n">
        <v>85</v>
      </c>
      <c r="H429" t="inlineStr">
        <is>
          <t>customer_payment</t>
        </is>
      </c>
      <c r="I429" t="inlineStr"/>
      <c r="J429" t="inlineStr">
        <is>
          <t>G00016</t>
        </is>
      </c>
      <c r="K429" t="str">
        <f>INDEX('Match Groups'!$D$5:$D$1326,MATCH(J429,'Match Groups'!$A$5:$A$1326,0))</f>
        <v>STRIPE-FEE</v>
      </c>
    </row>
    <row r="430">
      <c r="A430" t="inlineStr">
        <is>
          <t>JI-01839</t>
        </is>
      </c>
      <c r="B430" t="inlineStr">
        <is>
          <t>OPS</t>
        </is>
      </c>
      <c r="C430" s="5" t="n">
        <v>46204</v>
      </c>
      <c r="D430" t="inlineStr">
        <is>
          <t>Stripe patient 94935</t>
        </is>
      </c>
      <c r="E430" t="inlineStr">
        <is>
          <t>INV/2026/03686</t>
        </is>
      </c>
      <c r="F430" t="inlineStr">
        <is>
          <t>Customer payment INV/2026/03686</t>
        </is>
      </c>
      <c r="G430" s="9" t="n">
        <v>120</v>
      </c>
      <c r="H430" t="inlineStr">
        <is>
          <t>customer_payment</t>
        </is>
      </c>
      <c r="I430" t="inlineStr"/>
      <c r="J430" t="inlineStr">
        <is>
          <t>G00016</t>
        </is>
      </c>
      <c r="K430" t="str">
        <f>INDEX('Match Groups'!$D$5:$D$1326,MATCH(J430,'Match Groups'!$A$5:$A$1326,0))</f>
        <v>STRIPE-FEE</v>
      </c>
    </row>
    <row r="431">
      <c r="A431" t="inlineStr">
        <is>
          <t>JI-01840</t>
        </is>
      </c>
      <c r="B431" t="inlineStr">
        <is>
          <t>OPS</t>
        </is>
      </c>
      <c r="C431" s="5" t="n">
        <v>46204</v>
      </c>
      <c r="D431" t="inlineStr">
        <is>
          <t>Stripe patient 96388</t>
        </is>
      </c>
      <c r="E431" t="inlineStr">
        <is>
          <t>INV/2026/03687</t>
        </is>
      </c>
      <c r="F431" t="inlineStr">
        <is>
          <t>Customer payment INV/2026/03687</t>
        </is>
      </c>
      <c r="G431" s="9" t="n">
        <v>135</v>
      </c>
      <c r="H431" t="inlineStr">
        <is>
          <t>customer_payment</t>
        </is>
      </c>
      <c r="I431" t="inlineStr"/>
      <c r="J431" t="inlineStr">
        <is>
          <t>G00016</t>
        </is>
      </c>
      <c r="K431" t="str">
        <f>INDEX('Match Groups'!$D$5:$D$1326,MATCH(J431,'Match Groups'!$A$5:$A$1326,0))</f>
        <v>STRIPE-FEE</v>
      </c>
    </row>
    <row r="432">
      <c r="A432" t="inlineStr">
        <is>
          <t>JI-01841</t>
        </is>
      </c>
      <c r="B432" t="inlineStr">
        <is>
          <t>OPS</t>
        </is>
      </c>
      <c r="C432" s="5" t="n">
        <v>46204</v>
      </c>
      <c r="D432" t="inlineStr">
        <is>
          <t>Stripe patient 24683</t>
        </is>
      </c>
      <c r="E432" t="inlineStr">
        <is>
          <t>INV/2026/03688</t>
        </is>
      </c>
      <c r="F432" t="inlineStr">
        <is>
          <t>Customer payment INV/2026/03688</t>
        </is>
      </c>
      <c r="G432" s="9" t="n">
        <v>150</v>
      </c>
      <c r="H432" t="inlineStr">
        <is>
          <t>customer_payment</t>
        </is>
      </c>
      <c r="I432" t="inlineStr"/>
      <c r="J432" t="inlineStr">
        <is>
          <t>G00016</t>
        </is>
      </c>
      <c r="K432" t="str">
        <f>INDEX('Match Groups'!$D$5:$D$1326,MATCH(J432,'Match Groups'!$A$5:$A$1326,0))</f>
        <v>STRIPE-FEE</v>
      </c>
    </row>
    <row r="433">
      <c r="A433" t="inlineStr">
        <is>
          <t>JI-01842</t>
        </is>
      </c>
      <c r="B433" t="inlineStr">
        <is>
          <t>OPS</t>
        </is>
      </c>
      <c r="C433" s="5" t="n">
        <v>46204</v>
      </c>
      <c r="D433" t="inlineStr">
        <is>
          <t>Stripe patient 80585</t>
        </is>
      </c>
      <c r="E433" t="inlineStr">
        <is>
          <t>INV/2026/03689</t>
        </is>
      </c>
      <c r="F433" t="inlineStr">
        <is>
          <t>Customer payment INV/2026/03689</t>
        </is>
      </c>
      <c r="G433" s="9" t="n">
        <v>220</v>
      </c>
      <c r="H433" t="inlineStr">
        <is>
          <t>customer_payment</t>
        </is>
      </c>
      <c r="I433" t="inlineStr"/>
      <c r="J433" t="inlineStr">
        <is>
          <t>G00016</t>
        </is>
      </c>
      <c r="K433" t="str">
        <f>INDEX('Match Groups'!$D$5:$D$1326,MATCH(J433,'Match Groups'!$A$5:$A$1326,0))</f>
        <v>STRIPE-FEE</v>
      </c>
    </row>
    <row r="434">
      <c r="A434" t="inlineStr">
        <is>
          <t>JI-01843</t>
        </is>
      </c>
      <c r="B434" t="inlineStr">
        <is>
          <t>OPS</t>
        </is>
      </c>
      <c r="C434" s="5" t="n">
        <v>46204</v>
      </c>
      <c r="D434" t="inlineStr">
        <is>
          <t>Stripe patient 35213</t>
        </is>
      </c>
      <c r="E434" t="inlineStr">
        <is>
          <t>INV/2026/03690</t>
        </is>
      </c>
      <c r="F434" t="inlineStr">
        <is>
          <t>Customer payment INV/2026/03690</t>
        </is>
      </c>
      <c r="G434" s="9" t="n">
        <v>180</v>
      </c>
      <c r="H434" t="inlineStr">
        <is>
          <t>customer_payment</t>
        </is>
      </c>
      <c r="I434" t="inlineStr"/>
      <c r="J434" t="inlineStr">
        <is>
          <t>G00016</t>
        </is>
      </c>
      <c r="K434" t="str">
        <f>INDEX('Match Groups'!$D$5:$D$1326,MATCH(J434,'Match Groups'!$A$5:$A$1326,0))</f>
        <v>STRIPE-FEE</v>
      </c>
    </row>
    <row r="435">
      <c r="A435" t="inlineStr">
        <is>
          <t>JI-01844</t>
        </is>
      </c>
      <c r="B435" t="inlineStr">
        <is>
          <t>OPS</t>
        </is>
      </c>
      <c r="C435" s="5" t="n">
        <v>46204</v>
      </c>
      <c r="D435" t="inlineStr">
        <is>
          <t>Stripe patient 40800</t>
        </is>
      </c>
      <c r="E435" t="inlineStr">
        <is>
          <t>INV/2026/03691</t>
        </is>
      </c>
      <c r="F435" t="inlineStr">
        <is>
          <t>Customer payment INV/2026/03691</t>
        </is>
      </c>
      <c r="G435" s="9" t="n">
        <v>65</v>
      </c>
      <c r="H435" t="inlineStr">
        <is>
          <t>customer_payment</t>
        </is>
      </c>
      <c r="I435" t="inlineStr"/>
      <c r="J435" t="inlineStr">
        <is>
          <t>G00016</t>
        </is>
      </c>
      <c r="K435" t="str">
        <f>INDEX('Match Groups'!$D$5:$D$1326,MATCH(J435,'Match Groups'!$A$5:$A$1326,0))</f>
        <v>STRIPE-FEE</v>
      </c>
    </row>
    <row r="436">
      <c r="A436" t="inlineStr">
        <is>
          <t>JI-01845</t>
        </is>
      </c>
      <c r="B436" t="inlineStr">
        <is>
          <t>OPS</t>
        </is>
      </c>
      <c r="C436" s="5" t="n">
        <v>46204</v>
      </c>
      <c r="D436" t="inlineStr">
        <is>
          <t>Stripe patient 93589</t>
        </is>
      </c>
      <c r="E436" t="inlineStr">
        <is>
          <t>INV/2026/03692</t>
        </is>
      </c>
      <c r="F436" t="inlineStr">
        <is>
          <t>Customer payment INV/2026/03692</t>
        </is>
      </c>
      <c r="G436" s="9" t="n">
        <v>120</v>
      </c>
      <c r="H436" t="inlineStr">
        <is>
          <t>customer_payment</t>
        </is>
      </c>
      <c r="I436" t="inlineStr"/>
      <c r="J436" t="inlineStr">
        <is>
          <t>G00016</t>
        </is>
      </c>
      <c r="K436" t="str">
        <f>INDEX('Match Groups'!$D$5:$D$1326,MATCH(J436,'Match Groups'!$A$5:$A$1326,0))</f>
        <v>STRIPE-FEE</v>
      </c>
    </row>
    <row r="437">
      <c r="A437" t="inlineStr">
        <is>
          <t>JI-01846</t>
        </is>
      </c>
      <c r="B437" t="inlineStr">
        <is>
          <t>OPS</t>
        </is>
      </c>
      <c r="C437" s="5" t="n">
        <v>46204</v>
      </c>
      <c r="D437" t="inlineStr">
        <is>
          <t>Stripe patient 87768</t>
        </is>
      </c>
      <c r="E437" t="inlineStr">
        <is>
          <t>INV/2026/03693</t>
        </is>
      </c>
      <c r="F437" t="inlineStr">
        <is>
          <t>Customer payment INV/2026/03693</t>
        </is>
      </c>
      <c r="G437" s="9" t="n">
        <v>120</v>
      </c>
      <c r="H437" t="inlineStr">
        <is>
          <t>customer_payment</t>
        </is>
      </c>
      <c r="I437" t="inlineStr"/>
      <c r="J437" t="inlineStr">
        <is>
          <t>G00016</t>
        </is>
      </c>
      <c r="K437" t="str">
        <f>INDEX('Match Groups'!$D$5:$D$1326,MATCH(J437,'Match Groups'!$A$5:$A$1326,0))</f>
        <v>STRIPE-FEE</v>
      </c>
    </row>
    <row r="438">
      <c r="A438" t="inlineStr">
        <is>
          <t>JI-01847</t>
        </is>
      </c>
      <c r="B438" t="inlineStr">
        <is>
          <t>OPS</t>
        </is>
      </c>
      <c r="C438" s="5" t="n">
        <v>46204</v>
      </c>
      <c r="D438" t="inlineStr">
        <is>
          <t>Stripe patient 61766</t>
        </is>
      </c>
      <c r="E438" t="inlineStr">
        <is>
          <t>INV/2026/03694</t>
        </is>
      </c>
      <c r="F438" t="inlineStr">
        <is>
          <t>Customer payment INV/2026/03694</t>
        </is>
      </c>
      <c r="G438" s="9" t="n">
        <v>85</v>
      </c>
      <c r="H438" t="inlineStr">
        <is>
          <t>customer_payment</t>
        </is>
      </c>
      <c r="I438" t="inlineStr"/>
      <c r="J438" t="inlineStr">
        <is>
          <t>G00016</t>
        </is>
      </c>
      <c r="K438" t="str">
        <f>INDEX('Match Groups'!$D$5:$D$1326,MATCH(J438,'Match Groups'!$A$5:$A$1326,0))</f>
        <v>STRIPE-FEE</v>
      </c>
    </row>
    <row r="439">
      <c r="A439" t="inlineStr">
        <is>
          <t>JI-01848</t>
        </is>
      </c>
      <c r="B439" t="inlineStr">
        <is>
          <t>OPS</t>
        </is>
      </c>
      <c r="C439" s="5" t="n">
        <v>46204</v>
      </c>
      <c r="D439" t="inlineStr">
        <is>
          <t>Stripe patient 62017</t>
        </is>
      </c>
      <c r="E439" t="inlineStr">
        <is>
          <t>INV/2026/03695</t>
        </is>
      </c>
      <c r="F439" t="inlineStr">
        <is>
          <t>Customer payment INV/2026/03695</t>
        </is>
      </c>
      <c r="G439" s="9" t="n">
        <v>65</v>
      </c>
      <c r="H439" t="inlineStr">
        <is>
          <t>customer_payment</t>
        </is>
      </c>
      <c r="I439" t="inlineStr"/>
      <c r="J439" t="inlineStr">
        <is>
          <t>G00016</t>
        </is>
      </c>
      <c r="K439" t="str">
        <f>INDEX('Match Groups'!$D$5:$D$1326,MATCH(J439,'Match Groups'!$A$5:$A$1326,0))</f>
        <v>STRIPE-FEE</v>
      </c>
    </row>
    <row r="440">
      <c r="A440" t="inlineStr">
        <is>
          <t>JI-01849</t>
        </is>
      </c>
      <c r="B440" t="inlineStr">
        <is>
          <t>OPS</t>
        </is>
      </c>
      <c r="C440" s="5" t="n">
        <v>46204</v>
      </c>
      <c r="D440" t="inlineStr">
        <is>
          <t>Stripe patient 66088</t>
        </is>
      </c>
      <c r="E440" t="inlineStr">
        <is>
          <t>INV/2026/03696</t>
        </is>
      </c>
      <c r="F440" t="inlineStr">
        <is>
          <t>Customer payment INV/2026/03696</t>
        </is>
      </c>
      <c r="G440" s="9" t="n">
        <v>135</v>
      </c>
      <c r="H440" t="inlineStr">
        <is>
          <t>customer_payment</t>
        </is>
      </c>
      <c r="I440" t="inlineStr"/>
      <c r="J440" t="inlineStr">
        <is>
          <t>G00016</t>
        </is>
      </c>
      <c r="K440" t="str">
        <f>INDEX('Match Groups'!$D$5:$D$1326,MATCH(J440,'Match Groups'!$A$5:$A$1326,0))</f>
        <v>STRIPE-FEE</v>
      </c>
    </row>
    <row r="441">
      <c r="A441" t="inlineStr">
        <is>
          <t>JI-01850</t>
        </is>
      </c>
      <c r="B441" t="inlineStr">
        <is>
          <t>OPS</t>
        </is>
      </c>
      <c r="C441" s="5" t="n">
        <v>46204</v>
      </c>
      <c r="D441" t="inlineStr">
        <is>
          <t>Stripe patient 98527</t>
        </is>
      </c>
      <c r="E441" t="inlineStr">
        <is>
          <t>INV/2026/03697</t>
        </is>
      </c>
      <c r="F441" t="inlineStr">
        <is>
          <t>Customer payment INV/2026/03697</t>
        </is>
      </c>
      <c r="G441" s="9" t="n">
        <v>150</v>
      </c>
      <c r="H441" t="inlineStr">
        <is>
          <t>customer_payment</t>
        </is>
      </c>
      <c r="I441" t="inlineStr"/>
      <c r="J441" t="inlineStr">
        <is>
          <t>G00016</t>
        </is>
      </c>
      <c r="K441" t="str">
        <f>INDEX('Match Groups'!$D$5:$D$1326,MATCH(J441,'Match Groups'!$A$5:$A$1326,0))</f>
        <v>STRIPE-FEE</v>
      </c>
    </row>
    <row r="442">
      <c r="A442" t="inlineStr">
        <is>
          <t>JI-01851</t>
        </is>
      </c>
      <c r="B442" t="inlineStr">
        <is>
          <t>OPS</t>
        </is>
      </c>
      <c r="C442" s="5" t="n">
        <v>46204</v>
      </c>
      <c r="D442" t="inlineStr">
        <is>
          <t>Stripe patient 14046</t>
        </is>
      </c>
      <c r="E442" t="inlineStr">
        <is>
          <t>INV/2026/03698</t>
        </is>
      </c>
      <c r="F442" t="inlineStr">
        <is>
          <t>Customer payment INV/2026/03698</t>
        </is>
      </c>
      <c r="G442" s="9" t="n">
        <v>150</v>
      </c>
      <c r="H442" t="inlineStr">
        <is>
          <t>customer_payment</t>
        </is>
      </c>
      <c r="I442" t="inlineStr"/>
      <c r="J442" t="inlineStr">
        <is>
          <t>G00016</t>
        </is>
      </c>
      <c r="K442" t="str">
        <f>INDEX('Match Groups'!$D$5:$D$1326,MATCH(J442,'Match Groups'!$A$5:$A$1326,0))</f>
        <v>STRIPE-FEE</v>
      </c>
    </row>
    <row r="443">
      <c r="A443" t="inlineStr">
        <is>
          <t>JI-01852</t>
        </is>
      </c>
      <c r="B443" t="inlineStr">
        <is>
          <t>OPS</t>
        </is>
      </c>
      <c r="C443" s="5" t="n">
        <v>46204</v>
      </c>
      <c r="D443" t="inlineStr">
        <is>
          <t>Stripe patient 74751</t>
        </is>
      </c>
      <c r="E443" t="inlineStr">
        <is>
          <t>INV/2026/03699</t>
        </is>
      </c>
      <c r="F443" t="inlineStr">
        <is>
          <t>Customer payment INV/2026/03699</t>
        </is>
      </c>
      <c r="G443" s="9" t="n">
        <v>95</v>
      </c>
      <c r="H443" t="inlineStr">
        <is>
          <t>customer_payment</t>
        </is>
      </c>
      <c r="I443" t="inlineStr"/>
      <c r="J443" t="inlineStr">
        <is>
          <t>G00016</t>
        </is>
      </c>
      <c r="K443" t="str">
        <f>INDEX('Match Groups'!$D$5:$D$1326,MATCH(J443,'Match Groups'!$A$5:$A$1326,0))</f>
        <v>STRIPE-FEE</v>
      </c>
    </row>
    <row r="444">
      <c r="A444" t="inlineStr">
        <is>
          <t>JI-01853</t>
        </is>
      </c>
      <c r="B444" t="inlineStr">
        <is>
          <t>OPS</t>
        </is>
      </c>
      <c r="C444" s="5" t="n">
        <v>46204</v>
      </c>
      <c r="D444" t="inlineStr">
        <is>
          <t>Stripe patient 86394</t>
        </is>
      </c>
      <c r="E444" t="inlineStr">
        <is>
          <t>INV/2026/03700</t>
        </is>
      </c>
      <c r="F444" t="inlineStr">
        <is>
          <t>Customer payment INV/2026/03700</t>
        </is>
      </c>
      <c r="G444" s="9" t="n">
        <v>110</v>
      </c>
      <c r="H444" t="inlineStr">
        <is>
          <t>customer_payment</t>
        </is>
      </c>
      <c r="I444" t="inlineStr"/>
      <c r="J444" t="inlineStr">
        <is>
          <t>G00016</t>
        </is>
      </c>
      <c r="K444" t="str">
        <f>INDEX('Match Groups'!$D$5:$D$1326,MATCH(J444,'Match Groups'!$A$5:$A$1326,0))</f>
        <v>STRIPE-FEE</v>
      </c>
    </row>
    <row r="445">
      <c r="A445" t="inlineStr">
        <is>
          <t>JI-01854</t>
        </is>
      </c>
      <c r="B445" t="inlineStr">
        <is>
          <t>OPS</t>
        </is>
      </c>
      <c r="C445" s="5" t="n">
        <v>46204</v>
      </c>
      <c r="D445" t="inlineStr">
        <is>
          <t>Stripe patient 15900</t>
        </is>
      </c>
      <c r="E445" t="inlineStr">
        <is>
          <t>INV/2026/03701</t>
        </is>
      </c>
      <c r="F445" t="inlineStr">
        <is>
          <t>Customer payment INV/2026/03701</t>
        </is>
      </c>
      <c r="G445" s="9" t="n">
        <v>65</v>
      </c>
      <c r="H445" t="inlineStr">
        <is>
          <t>customer_payment</t>
        </is>
      </c>
      <c r="I445" t="inlineStr"/>
      <c r="J445" t="inlineStr">
        <is>
          <t>G00016</t>
        </is>
      </c>
      <c r="K445" t="str">
        <f>INDEX('Match Groups'!$D$5:$D$1326,MATCH(J445,'Match Groups'!$A$5:$A$1326,0))</f>
        <v>STRIPE-FEE</v>
      </c>
    </row>
    <row r="446">
      <c r="A446" t="inlineStr">
        <is>
          <t>JI-01855</t>
        </is>
      </c>
      <c r="B446" t="inlineStr">
        <is>
          <t>OPS</t>
        </is>
      </c>
      <c r="C446" s="5" t="n">
        <v>46204</v>
      </c>
      <c r="D446" t="inlineStr">
        <is>
          <t>Stripe patient 31454</t>
        </is>
      </c>
      <c r="E446" t="inlineStr">
        <is>
          <t>INV/2026/03702</t>
        </is>
      </c>
      <c r="F446" t="inlineStr">
        <is>
          <t>Customer payment INV/2026/03702</t>
        </is>
      </c>
      <c r="G446" s="9" t="n">
        <v>180</v>
      </c>
      <c r="H446" t="inlineStr">
        <is>
          <t>customer_payment</t>
        </is>
      </c>
      <c r="I446" t="inlineStr"/>
      <c r="J446" t="inlineStr">
        <is>
          <t>G00016</t>
        </is>
      </c>
      <c r="K446" t="str">
        <f>INDEX('Match Groups'!$D$5:$D$1326,MATCH(J446,'Match Groups'!$A$5:$A$1326,0))</f>
        <v>STRIPE-FEE</v>
      </c>
    </row>
    <row r="447">
      <c r="A447" t="inlineStr">
        <is>
          <t>JI-01856</t>
        </is>
      </c>
      <c r="B447" t="inlineStr">
        <is>
          <t>OPS</t>
        </is>
      </c>
      <c r="C447" s="5" t="n">
        <v>46204</v>
      </c>
      <c r="D447" t="inlineStr">
        <is>
          <t>Stripe patient 97984</t>
        </is>
      </c>
      <c r="E447" t="inlineStr">
        <is>
          <t>INV/2026/03703</t>
        </is>
      </c>
      <c r="F447" t="inlineStr">
        <is>
          <t>Customer payment INV/2026/03703</t>
        </is>
      </c>
      <c r="G447" s="9" t="n">
        <v>95</v>
      </c>
      <c r="H447" t="inlineStr">
        <is>
          <t>customer_payment</t>
        </is>
      </c>
      <c r="I447" t="inlineStr"/>
      <c r="J447" t="inlineStr">
        <is>
          <t>G00016</t>
        </is>
      </c>
      <c r="K447" t="str">
        <f>INDEX('Match Groups'!$D$5:$D$1326,MATCH(J447,'Match Groups'!$A$5:$A$1326,0))</f>
        <v>STRIPE-FEE</v>
      </c>
    </row>
    <row r="448">
      <c r="A448" t="inlineStr">
        <is>
          <t>JI-01857</t>
        </is>
      </c>
      <c r="B448" t="inlineStr">
        <is>
          <t>OPS</t>
        </is>
      </c>
      <c r="C448" s="5" t="n">
        <v>46204</v>
      </c>
      <c r="D448" t="inlineStr">
        <is>
          <t>Stripe patient 60472</t>
        </is>
      </c>
      <c r="E448" t="inlineStr">
        <is>
          <t>INV/2026/03704</t>
        </is>
      </c>
      <c r="F448" t="inlineStr">
        <is>
          <t>Customer payment INV/2026/03704</t>
        </is>
      </c>
      <c r="G448" s="9" t="n">
        <v>110</v>
      </c>
      <c r="H448" t="inlineStr">
        <is>
          <t>customer_payment</t>
        </is>
      </c>
      <c r="I448" t="inlineStr"/>
      <c r="J448" t="inlineStr">
        <is>
          <t>G00016</t>
        </is>
      </c>
      <c r="K448" t="str">
        <f>INDEX('Match Groups'!$D$5:$D$1326,MATCH(J448,'Match Groups'!$A$5:$A$1326,0))</f>
        <v>STRIPE-FEE</v>
      </c>
    </row>
    <row r="449">
      <c r="A449" t="inlineStr">
        <is>
          <t>JI-01858</t>
        </is>
      </c>
      <c r="B449" t="inlineStr">
        <is>
          <t>OPS</t>
        </is>
      </c>
      <c r="C449" s="5" t="n">
        <v>46204</v>
      </c>
      <c r="D449" t="inlineStr">
        <is>
          <t>Stripe patient 44095</t>
        </is>
      </c>
      <c r="E449" t="inlineStr">
        <is>
          <t>INV/2026/03705</t>
        </is>
      </c>
      <c r="F449" t="inlineStr">
        <is>
          <t>Customer payment INV/2026/03705</t>
        </is>
      </c>
      <c r="G449" s="9" t="n">
        <v>150</v>
      </c>
      <c r="H449" t="inlineStr">
        <is>
          <t>customer_payment</t>
        </is>
      </c>
      <c r="I449" t="inlineStr"/>
      <c r="J449" t="inlineStr">
        <is>
          <t>G00016</t>
        </is>
      </c>
      <c r="K449" t="str">
        <f>INDEX('Match Groups'!$D$5:$D$1326,MATCH(J449,'Match Groups'!$A$5:$A$1326,0))</f>
        <v>STRIPE-FEE</v>
      </c>
    </row>
    <row r="450">
      <c r="A450" t="inlineStr">
        <is>
          <t>JI-01859</t>
        </is>
      </c>
      <c r="B450" t="inlineStr">
        <is>
          <t>OPS</t>
        </is>
      </c>
      <c r="C450" s="5" t="n">
        <v>46204</v>
      </c>
      <c r="D450" t="inlineStr">
        <is>
          <t>Stripe patient 22929</t>
        </is>
      </c>
      <c r="E450" t="inlineStr">
        <is>
          <t>INV/2026/03706</t>
        </is>
      </c>
      <c r="F450" t="inlineStr">
        <is>
          <t>Customer payment INV/2026/03706</t>
        </is>
      </c>
      <c r="G450" s="9" t="n">
        <v>110</v>
      </c>
      <c r="H450" t="inlineStr">
        <is>
          <t>customer_payment</t>
        </is>
      </c>
      <c r="I450" t="inlineStr"/>
      <c r="J450" t="inlineStr">
        <is>
          <t>G00016</t>
        </is>
      </c>
      <c r="K450" t="str">
        <f>INDEX('Match Groups'!$D$5:$D$1326,MATCH(J450,'Match Groups'!$A$5:$A$1326,0))</f>
        <v>STRIPE-FEE</v>
      </c>
    </row>
    <row r="451">
      <c r="A451" t="inlineStr">
        <is>
          <t>JI-01860</t>
        </is>
      </c>
      <c r="B451" t="inlineStr">
        <is>
          <t>OPS</t>
        </is>
      </c>
      <c r="C451" s="5" t="n">
        <v>46204</v>
      </c>
      <c r="D451" t="inlineStr">
        <is>
          <t>Stripe patient 19510</t>
        </is>
      </c>
      <c r="E451" t="inlineStr">
        <is>
          <t>INV/2026/03707</t>
        </is>
      </c>
      <c r="F451" t="inlineStr">
        <is>
          <t>Customer payment INV/2026/03707</t>
        </is>
      </c>
      <c r="G451" s="9" t="n">
        <v>150</v>
      </c>
      <c r="H451" t="inlineStr">
        <is>
          <t>customer_payment</t>
        </is>
      </c>
      <c r="I451" t="inlineStr"/>
      <c r="J451" t="inlineStr">
        <is>
          <t>G00016</t>
        </is>
      </c>
      <c r="K451" t="str">
        <f>INDEX('Match Groups'!$D$5:$D$1326,MATCH(J451,'Match Groups'!$A$5:$A$1326,0))</f>
        <v>STRIPE-FEE</v>
      </c>
    </row>
    <row r="452">
      <c r="A452" t="inlineStr">
        <is>
          <t>JI-01861</t>
        </is>
      </c>
      <c r="B452" t="inlineStr">
        <is>
          <t>OPS</t>
        </is>
      </c>
      <c r="C452" s="5" t="n">
        <v>46204</v>
      </c>
      <c r="D452" t="inlineStr">
        <is>
          <t>Stripe patient 37807</t>
        </is>
      </c>
      <c r="E452" t="inlineStr">
        <is>
          <t>INV/2026/03708</t>
        </is>
      </c>
      <c r="F452" t="inlineStr">
        <is>
          <t>Customer payment INV/2026/03708</t>
        </is>
      </c>
      <c r="G452" s="9" t="n">
        <v>120</v>
      </c>
      <c r="H452" t="inlineStr">
        <is>
          <t>customer_payment</t>
        </is>
      </c>
      <c r="I452" t="inlineStr"/>
      <c r="J452" t="inlineStr">
        <is>
          <t>G00016</t>
        </is>
      </c>
      <c r="K452" t="str">
        <f>INDEX('Match Groups'!$D$5:$D$1326,MATCH(J452,'Match Groups'!$A$5:$A$1326,0))</f>
        <v>STRIPE-FEE</v>
      </c>
    </row>
    <row r="453">
      <c r="A453" t="inlineStr">
        <is>
          <t>JI-01862</t>
        </is>
      </c>
      <c r="B453" t="inlineStr">
        <is>
          <t>OPS</t>
        </is>
      </c>
      <c r="C453" s="5" t="n">
        <v>46204</v>
      </c>
      <c r="D453" t="inlineStr">
        <is>
          <t>Stripe patient 35896</t>
        </is>
      </c>
      <c r="E453" t="inlineStr">
        <is>
          <t>INV/2026/03709</t>
        </is>
      </c>
      <c r="F453" t="inlineStr">
        <is>
          <t>Customer payment INV/2026/03709</t>
        </is>
      </c>
      <c r="G453" s="9" t="n">
        <v>110</v>
      </c>
      <c r="H453" t="inlineStr">
        <is>
          <t>customer_payment</t>
        </is>
      </c>
      <c r="I453" t="inlineStr"/>
      <c r="J453" t="inlineStr">
        <is>
          <t>G00016</t>
        </is>
      </c>
      <c r="K453" t="str">
        <f>INDEX('Match Groups'!$D$5:$D$1326,MATCH(J453,'Match Groups'!$A$5:$A$1326,0))</f>
        <v>STRIPE-FEE</v>
      </c>
    </row>
    <row r="454">
      <c r="A454" t="inlineStr">
        <is>
          <t>JI-03708</t>
        </is>
      </c>
      <c r="B454" t="inlineStr">
        <is>
          <t>OPS</t>
        </is>
      </c>
      <c r="C454" s="5" t="n">
        <v>46204</v>
      </c>
      <c r="D454" t="inlineStr">
        <is>
          <t>Physio Supplies Direct</t>
        </is>
      </c>
      <c r="E454" t="inlineStr">
        <is>
          <t>BILL/2026/0805</t>
        </is>
      </c>
      <c r="F454" t="inlineStr">
        <is>
          <t>Vendor payment BILL/2026/0805 (BATCH/2026/0411)</t>
        </is>
      </c>
      <c r="G454" s="9" t="n">
        <v>-660</v>
      </c>
      <c r="H454" t="inlineStr">
        <is>
          <t>supplier_payment</t>
        </is>
      </c>
      <c r="I454" t="inlineStr">
        <is>
          <t>BATCH/2026/0411</t>
        </is>
      </c>
      <c r="J454" t="inlineStr">
        <is>
          <t>G00502</t>
        </is>
      </c>
      <c r="K454" t="str">
        <f>INDEX('Match Groups'!$D$5:$D$1326,MATCH(J454,'Match Groups'!$A$5:$A$1326,0))</f>
        <v>MATCH</v>
      </c>
    </row>
    <row r="455">
      <c r="A455" t="inlineStr">
        <is>
          <t>JI-03709</t>
        </is>
      </c>
      <c r="B455" t="inlineStr">
        <is>
          <t>OPS</t>
        </is>
      </c>
      <c r="C455" s="5" t="n">
        <v>46204</v>
      </c>
      <c r="D455" t="inlineStr">
        <is>
          <t>Physio Supplies Direct</t>
        </is>
      </c>
      <c r="E455" t="inlineStr">
        <is>
          <t>BILL/2026/0808</t>
        </is>
      </c>
      <c r="F455" t="inlineStr">
        <is>
          <t>Vendor payment BILL/2026/0808 (BATCH/2026/0411)</t>
        </is>
      </c>
      <c r="G455" s="9" t="n">
        <v>-1222.1</v>
      </c>
      <c r="H455" t="inlineStr">
        <is>
          <t>supplier_payment</t>
        </is>
      </c>
      <c r="I455" t="inlineStr">
        <is>
          <t>BATCH/2026/0411</t>
        </is>
      </c>
      <c r="J455" t="inlineStr">
        <is>
          <t>G00502</t>
        </is>
      </c>
      <c r="K455" t="str">
        <f>INDEX('Match Groups'!$D$5:$D$1326,MATCH(J455,'Match Groups'!$A$5:$A$1326,0))</f>
        <v>MATCH</v>
      </c>
    </row>
    <row r="456">
      <c r="A456" t="inlineStr">
        <is>
          <t>JI-03710</t>
        </is>
      </c>
      <c r="B456" t="inlineStr">
        <is>
          <t>OPS</t>
        </is>
      </c>
      <c r="C456" s="5" t="n">
        <v>46204</v>
      </c>
      <c r="D456" t="inlineStr">
        <is>
          <t>Allied Med Consumables</t>
        </is>
      </c>
      <c r="E456" t="inlineStr">
        <is>
          <t>BILL/2026/0809</t>
        </is>
      </c>
      <c r="F456" t="inlineStr">
        <is>
          <t>Vendor payment BILL/2026/0809 (BATCH/2026/0411)</t>
        </is>
      </c>
      <c r="G456" s="9" t="n">
        <v>-242</v>
      </c>
      <c r="H456" t="inlineStr">
        <is>
          <t>supplier_payment</t>
        </is>
      </c>
      <c r="I456" t="inlineStr">
        <is>
          <t>BATCH/2026/0411</t>
        </is>
      </c>
      <c r="J456" t="inlineStr">
        <is>
          <t>G00502</t>
        </is>
      </c>
      <c r="K456" t="str">
        <f>INDEX('Match Groups'!$D$5:$D$1326,MATCH(J456,'Match Groups'!$A$5:$A$1326,0))</f>
        <v>MATCH</v>
      </c>
    </row>
    <row r="457">
      <c r="A457" t="inlineStr">
        <is>
          <t>JI-03711</t>
        </is>
      </c>
      <c r="B457" t="inlineStr">
        <is>
          <t>OPS</t>
        </is>
      </c>
      <c r="C457" s="5" t="n">
        <v>46204</v>
      </c>
      <c r="D457" t="inlineStr">
        <is>
          <t>Allied Med Consumables</t>
        </is>
      </c>
      <c r="E457" t="inlineStr">
        <is>
          <t>BILL/2026/0839</t>
        </is>
      </c>
      <c r="F457" t="inlineStr">
        <is>
          <t>Vendor payment BILL/2026/0839 (BATCH/2026/0411)</t>
        </is>
      </c>
      <c r="G457" s="9" t="n">
        <v>-1686.3</v>
      </c>
      <c r="H457" t="inlineStr">
        <is>
          <t>supplier_payment</t>
        </is>
      </c>
      <c r="I457" t="inlineStr">
        <is>
          <t>BATCH/2026/0411</t>
        </is>
      </c>
      <c r="J457" t="inlineStr">
        <is>
          <t>G00502</t>
        </is>
      </c>
      <c r="K457" t="str">
        <f>INDEX('Match Groups'!$D$5:$D$1326,MATCH(J457,'Match Groups'!$A$5:$A$1326,0))</f>
        <v>MATCH</v>
      </c>
    </row>
    <row r="458">
      <c r="A458" t="inlineStr">
        <is>
          <t>JI-03712</t>
        </is>
      </c>
      <c r="B458" t="inlineStr">
        <is>
          <t>OPS</t>
        </is>
      </c>
      <c r="C458" s="5" t="n">
        <v>46204</v>
      </c>
      <c r="D458" t="inlineStr">
        <is>
          <t>Clinicare Linen Service</t>
        </is>
      </c>
      <c r="E458" t="inlineStr">
        <is>
          <t>BILL/2026/0814</t>
        </is>
      </c>
      <c r="F458" t="inlineStr">
        <is>
          <t>Vendor payment BILL/2026/0814 (BATCH/2026/0411)</t>
        </is>
      </c>
      <c r="G458" s="9" t="n">
        <v>-672.1</v>
      </c>
      <c r="H458" t="inlineStr">
        <is>
          <t>supplier_payment</t>
        </is>
      </c>
      <c r="I458" t="inlineStr">
        <is>
          <t>BATCH/2026/0411</t>
        </is>
      </c>
      <c r="J458" t="inlineStr">
        <is>
          <t>G00502</t>
        </is>
      </c>
      <c r="K458" t="str">
        <f>INDEX('Match Groups'!$D$5:$D$1326,MATCH(J458,'Match Groups'!$A$5:$A$1326,0))</f>
        <v>MATCH</v>
      </c>
    </row>
    <row r="459">
      <c r="A459" t="inlineStr">
        <is>
          <t>JI-03713</t>
        </is>
      </c>
      <c r="B459" t="inlineStr">
        <is>
          <t>OPS</t>
        </is>
      </c>
      <c r="C459" s="5" t="n">
        <v>46204</v>
      </c>
      <c r="D459" t="inlineStr">
        <is>
          <t>Clinicare Linen Service</t>
        </is>
      </c>
      <c r="E459" t="inlineStr">
        <is>
          <t>BILL/2026/0830</t>
        </is>
      </c>
      <c r="F459" t="inlineStr">
        <is>
          <t>Vendor payment BILL/2026/0830 (BATCH/2026/0411)</t>
        </is>
      </c>
      <c r="G459" s="9" t="n">
        <v>-1210</v>
      </c>
      <c r="H459" t="inlineStr">
        <is>
          <t>supplier_payment</t>
        </is>
      </c>
      <c r="I459" t="inlineStr">
        <is>
          <t>BATCH/2026/0411</t>
        </is>
      </c>
      <c r="J459" t="inlineStr">
        <is>
          <t>G00502</t>
        </is>
      </c>
      <c r="K459" t="str">
        <f>INDEX('Match Groups'!$D$5:$D$1326,MATCH(J459,'Match Groups'!$A$5:$A$1326,0))</f>
        <v>MATCH</v>
      </c>
    </row>
    <row r="460">
      <c r="A460" t="inlineStr">
        <is>
          <t>JI-03714</t>
        </is>
      </c>
      <c r="B460" t="inlineStr">
        <is>
          <t>OPS</t>
        </is>
      </c>
      <c r="C460" s="5" t="n">
        <v>46204</v>
      </c>
      <c r="D460" t="inlineStr">
        <is>
          <t>Paperline Stationery Pty</t>
        </is>
      </c>
      <c r="E460" t="inlineStr">
        <is>
          <t>BILL/2026/0822</t>
        </is>
      </c>
      <c r="F460" t="inlineStr">
        <is>
          <t>Vendor payment BILL/2026/0822 (BATCH/2026/0411)</t>
        </is>
      </c>
      <c r="G460" s="9" t="n">
        <v>-531.3</v>
      </c>
      <c r="H460" t="inlineStr">
        <is>
          <t>supplier_payment</t>
        </is>
      </c>
      <c r="I460" t="inlineStr">
        <is>
          <t>BATCH/2026/0411</t>
        </is>
      </c>
      <c r="J460" t="inlineStr">
        <is>
          <t>G00502</t>
        </is>
      </c>
      <c r="K460" t="str">
        <f>INDEX('Match Groups'!$D$5:$D$1326,MATCH(J460,'Match Groups'!$A$5:$A$1326,0))</f>
        <v>MATCH</v>
      </c>
    </row>
    <row r="461">
      <c r="A461" t="inlineStr">
        <is>
          <t>JI-03715</t>
        </is>
      </c>
      <c r="B461" t="inlineStr">
        <is>
          <t>OPS</t>
        </is>
      </c>
      <c r="C461" s="5" t="n">
        <v>46204</v>
      </c>
      <c r="D461" t="inlineStr">
        <is>
          <t>Paperline Stationery Pty</t>
        </is>
      </c>
      <c r="E461" t="inlineStr">
        <is>
          <t>BILL/2026/0831</t>
        </is>
      </c>
      <c r="F461" t="inlineStr">
        <is>
          <t>Vendor payment BILL/2026/0831 (BATCH/2026/0411)</t>
        </is>
      </c>
      <c r="G461" s="9" t="n">
        <v>-3850</v>
      </c>
      <c r="H461" t="inlineStr">
        <is>
          <t>supplier_payment</t>
        </is>
      </c>
      <c r="I461" t="inlineStr">
        <is>
          <t>BATCH/2026/0411</t>
        </is>
      </c>
      <c r="J461" t="inlineStr">
        <is>
          <t>G00502</t>
        </is>
      </c>
      <c r="K461" t="str">
        <f>INDEX('Match Groups'!$D$5:$D$1326,MATCH(J461,'Match Groups'!$A$5:$A$1326,0))</f>
        <v>MATCH</v>
      </c>
    </row>
    <row r="462">
      <c r="A462" t="inlineStr">
        <is>
          <t>JI-03716</t>
        </is>
      </c>
      <c r="B462" t="inlineStr">
        <is>
          <t>OPS</t>
        </is>
      </c>
      <c r="C462" s="5" t="n">
        <v>46204</v>
      </c>
      <c r="D462" t="inlineStr">
        <is>
          <t>Rehab Equipment Hire</t>
        </is>
      </c>
      <c r="E462" t="inlineStr">
        <is>
          <t>BILL/2026/0833</t>
        </is>
      </c>
      <c r="F462" t="inlineStr">
        <is>
          <t>Vendor payment BILL/2026/0833 (BATCH/2026/0411)</t>
        </is>
      </c>
      <c r="G462" s="9" t="n">
        <v>-507.1</v>
      </c>
      <c r="H462" t="inlineStr">
        <is>
          <t>supplier_payment</t>
        </is>
      </c>
      <c r="I462" t="inlineStr">
        <is>
          <t>BATCH/2026/0411</t>
        </is>
      </c>
      <c r="J462" t="inlineStr">
        <is>
          <t>G00502</t>
        </is>
      </c>
      <c r="K462" t="str">
        <f>INDEX('Match Groups'!$D$5:$D$1326,MATCH(J462,'Match Groups'!$A$5:$A$1326,0))</f>
        <v>MATCH</v>
      </c>
    </row>
    <row r="463">
      <c r="A463" t="inlineStr">
        <is>
          <t>JI-03717</t>
        </is>
      </c>
      <c r="B463" t="inlineStr">
        <is>
          <t>OPS</t>
        </is>
      </c>
      <c r="C463" s="5" t="n">
        <v>46204</v>
      </c>
      <c r="D463" t="inlineStr">
        <is>
          <t>Southside Couriers</t>
        </is>
      </c>
      <c r="E463" t="inlineStr">
        <is>
          <t>BILL/2026/0835</t>
        </is>
      </c>
      <c r="F463" t="inlineStr">
        <is>
          <t>Vendor payment BILL/2026/0835 (BATCH/2026/0411)</t>
        </is>
      </c>
      <c r="G463" s="9" t="n">
        <v>-495</v>
      </c>
      <c r="H463" t="inlineStr">
        <is>
          <t>supplier_payment</t>
        </is>
      </c>
      <c r="I463" t="inlineStr">
        <is>
          <t>BATCH/2026/0411</t>
        </is>
      </c>
      <c r="J463" t="inlineStr">
        <is>
          <t>G00502</t>
        </is>
      </c>
      <c r="K463" t="str">
        <f>INDEX('Match Groups'!$D$5:$D$1326,MATCH(J463,'Match Groups'!$A$5:$A$1326,0))</f>
        <v>MATCH</v>
      </c>
    </row>
    <row r="464">
      <c r="A464" t="inlineStr">
        <is>
          <t>JI-03718</t>
        </is>
      </c>
      <c r="B464" t="inlineStr">
        <is>
          <t>OPS</t>
        </is>
      </c>
      <c r="C464" s="5" t="n">
        <v>46204</v>
      </c>
      <c r="D464" t="inlineStr">
        <is>
          <t>Brightline Signage</t>
        </is>
      </c>
      <c r="E464" t="inlineStr">
        <is>
          <t>BILL/2026/0803</t>
        </is>
      </c>
      <c r="F464" t="inlineStr">
        <is>
          <t>Vendor payment BILL/2026/0803 (BATCH/2026/0411)</t>
        </is>
      </c>
      <c r="G464" s="9" t="n">
        <v>-672.1</v>
      </c>
      <c r="H464" t="inlineStr">
        <is>
          <t>supplier_payment</t>
        </is>
      </c>
      <c r="I464" t="inlineStr">
        <is>
          <t>BATCH/2026/0411</t>
        </is>
      </c>
      <c r="J464" t="inlineStr">
        <is>
          <t>G00502</t>
        </is>
      </c>
      <c r="K464" t="str">
        <f>INDEX('Match Groups'!$D$5:$D$1326,MATCH(J464,'Match Groups'!$A$5:$A$1326,0))</f>
        <v>MATCH</v>
      </c>
    </row>
    <row r="465">
      <c r="A465" t="inlineStr">
        <is>
          <t>JI-03719</t>
        </is>
      </c>
      <c r="B465" t="inlineStr">
        <is>
          <t>OPS</t>
        </is>
      </c>
      <c r="C465" s="5" t="n">
        <v>46204</v>
      </c>
      <c r="D465" t="inlineStr">
        <is>
          <t>Brightline Signage</t>
        </is>
      </c>
      <c r="E465" t="inlineStr">
        <is>
          <t>BILL/2026/0812</t>
        </is>
      </c>
      <c r="F465" t="inlineStr">
        <is>
          <t>Vendor payment BILL/2026/0812 (BATCH/2026/0411)</t>
        </is>
      </c>
      <c r="G465" s="9" t="n">
        <v>-660</v>
      </c>
      <c r="H465" t="inlineStr">
        <is>
          <t>supplier_payment</t>
        </is>
      </c>
      <c r="I465" t="inlineStr">
        <is>
          <t>BATCH/2026/0411</t>
        </is>
      </c>
      <c r="J465" t="inlineStr">
        <is>
          <t>G00502</t>
        </is>
      </c>
      <c r="K465" t="str">
        <f>INDEX('Match Groups'!$D$5:$D$1326,MATCH(J465,'Match Groups'!$A$5:$A$1326,0))</f>
        <v>MATCH</v>
      </c>
    </row>
    <row r="466">
      <c r="A466" t="inlineStr">
        <is>
          <t>JI-03720</t>
        </is>
      </c>
      <c r="B466" t="inlineStr">
        <is>
          <t>OPS</t>
        </is>
      </c>
      <c r="C466" s="5" t="n">
        <v>46204</v>
      </c>
      <c r="D466" t="inlineStr">
        <is>
          <t>Brightline Signage</t>
        </is>
      </c>
      <c r="E466" t="inlineStr">
        <is>
          <t>BILL/2026/0817</t>
        </is>
      </c>
      <c r="F466" t="inlineStr">
        <is>
          <t>Vendor payment BILL/2026/0817 (BATCH/2026/0411)</t>
        </is>
      </c>
      <c r="G466" s="9" t="n">
        <v>-3850</v>
      </c>
      <c r="H466" t="inlineStr">
        <is>
          <t>supplier_payment</t>
        </is>
      </c>
      <c r="I466" t="inlineStr">
        <is>
          <t>BATCH/2026/0411</t>
        </is>
      </c>
      <c r="J466" t="inlineStr">
        <is>
          <t>G00502</t>
        </is>
      </c>
      <c r="K466" t="str">
        <f>INDEX('Match Groups'!$D$5:$D$1326,MATCH(J466,'Match Groups'!$A$5:$A$1326,0))</f>
        <v>MATCH</v>
      </c>
    </row>
    <row r="467">
      <c r="A467" t="inlineStr">
        <is>
          <t>JI-03895</t>
        </is>
      </c>
      <c r="B467" t="inlineStr">
        <is>
          <t>OPS</t>
        </is>
      </c>
      <c r="C467" s="5" t="n">
        <v>46204</v>
      </c>
      <c r="D467" t="inlineStr">
        <is>
          <t>Northcote Retail Holdings</t>
        </is>
      </c>
      <c r="E467" t="inlineStr">
        <is>
          <t>BILL/2026/0999</t>
        </is>
      </c>
      <c r="F467" t="inlineStr">
        <is>
          <t>Vendor payment BILL/2026/0999</t>
        </is>
      </c>
      <c r="G467" s="9" t="n">
        <v>-9680</v>
      </c>
      <c r="H467" t="inlineStr">
        <is>
          <t>supplier_payment</t>
        </is>
      </c>
      <c r="I467" t="inlineStr"/>
      <c r="J467" t="inlineStr">
        <is>
          <t>G01115</t>
        </is>
      </c>
      <c r="K467" t="str">
        <f>INDEX('Match Groups'!$D$5:$D$1326,MATCH(J467,'Match Groups'!$A$5:$A$1326,0))</f>
        <v>MATCH</v>
      </c>
    </row>
    <row r="468">
      <c r="A468" t="inlineStr">
        <is>
          <t>JI-03931</t>
        </is>
      </c>
      <c r="B468" t="inlineStr">
        <is>
          <t>OPS</t>
        </is>
      </c>
      <c r="C468" s="5" t="n">
        <v>46204</v>
      </c>
      <c r="D468" t="inlineStr">
        <is>
          <t>Internal transfer</t>
        </is>
      </c>
      <c r="E468" t="inlineStr">
        <is>
          <t>TFR PR260702</t>
        </is>
      </c>
      <c r="F468" t="inlineStr">
        <is>
          <t>Transfer to payroll clearing PR260702</t>
        </is>
      </c>
      <c r="G468" s="9" t="n">
        <v>-167671.63</v>
      </c>
      <c r="H468" t="inlineStr">
        <is>
          <t>transfer</t>
        </is>
      </c>
      <c r="I468" t="inlineStr"/>
      <c r="J468" t="inlineStr">
        <is>
          <t>G00503</t>
        </is>
      </c>
      <c r="K468" t="str">
        <f>INDEX('Match Groups'!$D$5:$D$1326,MATCH(J468,'Match Groups'!$A$5:$A$1326,0))</f>
        <v>MATCH</v>
      </c>
    </row>
    <row r="469">
      <c r="A469" t="inlineStr">
        <is>
          <t>JI-00031</t>
        </is>
      </c>
      <c r="B469" t="inlineStr">
        <is>
          <t>OPS</t>
        </is>
      </c>
      <c r="C469" s="5" t="n">
        <v>46205</v>
      </c>
      <c r="D469" t="inlineStr">
        <is>
          <t>Clearpath NDIS Plans</t>
        </is>
      </c>
      <c r="E469" t="inlineStr">
        <is>
          <t>INV/2026/01403</t>
        </is>
      </c>
      <c r="F469" t="inlineStr">
        <is>
          <t>Customer payment INV/2026/01403</t>
        </is>
      </c>
      <c r="G469" s="9" t="n">
        <v>252.19</v>
      </c>
      <c r="H469" t="inlineStr">
        <is>
          <t>customer_payment</t>
        </is>
      </c>
      <c r="I469" t="inlineStr"/>
      <c r="J469" t="inlineStr">
        <is>
          <t>G00086</t>
        </is>
      </c>
      <c r="K469" t="str">
        <f>INDEX('Match Groups'!$D$5:$D$1326,MATCH(J469,'Match Groups'!$A$5:$A$1326,0))</f>
        <v>MATCH</v>
      </c>
    </row>
    <row r="470">
      <c r="A470" t="inlineStr">
        <is>
          <t>JI-00032</t>
        </is>
      </c>
      <c r="B470" t="inlineStr">
        <is>
          <t>OPS</t>
        </is>
      </c>
      <c r="C470" s="5" t="n">
        <v>46205</v>
      </c>
      <c r="D470" t="inlineStr">
        <is>
          <t>Clearpath NDIS Plans</t>
        </is>
      </c>
      <c r="E470" t="inlineStr">
        <is>
          <t>INV/2026/01427</t>
        </is>
      </c>
      <c r="F470" t="inlineStr">
        <is>
          <t>Customer payment INV/2026/01427</t>
        </is>
      </c>
      <c r="G470" s="9" t="n">
        <v>252.19</v>
      </c>
      <c r="H470" t="inlineStr">
        <is>
          <t>customer_payment</t>
        </is>
      </c>
      <c r="I470" t="inlineStr"/>
      <c r="J470" t="inlineStr">
        <is>
          <t>G00086</t>
        </is>
      </c>
      <c r="K470" t="str">
        <f>INDEX('Match Groups'!$D$5:$D$1326,MATCH(J470,'Match Groups'!$A$5:$A$1326,0))</f>
        <v>MATCH</v>
      </c>
    </row>
    <row r="471">
      <c r="A471" t="inlineStr">
        <is>
          <t>JI-00033</t>
        </is>
      </c>
      <c r="B471" t="inlineStr">
        <is>
          <t>OPS</t>
        </is>
      </c>
      <c r="C471" s="5" t="n">
        <v>46205</v>
      </c>
      <c r="D471" t="inlineStr">
        <is>
          <t>Wattle Plan Services</t>
        </is>
      </c>
      <c r="E471" t="inlineStr">
        <is>
          <t>INV/2026/01404</t>
        </is>
      </c>
      <c r="F471" t="inlineStr">
        <is>
          <t>Customer payment INV/2026/01404</t>
        </is>
      </c>
      <c r="G471" s="9" t="n">
        <v>446.18</v>
      </c>
      <c r="H471" t="inlineStr">
        <is>
          <t>customer_payment</t>
        </is>
      </c>
      <c r="I471" t="inlineStr"/>
      <c r="J471" t="inlineStr">
        <is>
          <t>G00087</t>
        </is>
      </c>
      <c r="K471" t="str">
        <f>INDEX('Match Groups'!$D$5:$D$1326,MATCH(J471,'Match Groups'!$A$5:$A$1326,0))</f>
        <v>MATCH</v>
      </c>
    </row>
    <row r="472">
      <c r="A472" t="inlineStr">
        <is>
          <t>JI-00034</t>
        </is>
      </c>
      <c r="B472" t="inlineStr">
        <is>
          <t>OPS</t>
        </is>
      </c>
      <c r="C472" s="5" t="n">
        <v>46205</v>
      </c>
      <c r="D472" t="inlineStr">
        <is>
          <t>Wattle Plan Services</t>
        </is>
      </c>
      <c r="E472" t="inlineStr">
        <is>
          <t>INV/2026/01405</t>
        </is>
      </c>
      <c r="F472" t="inlineStr">
        <is>
          <t>Customer payment INV/2026/01405</t>
        </is>
      </c>
      <c r="G472" s="9" t="n">
        <v>96.98999999999999</v>
      </c>
      <c r="H472" t="inlineStr">
        <is>
          <t>customer_payment</t>
        </is>
      </c>
      <c r="I472" t="inlineStr"/>
      <c r="J472" t="inlineStr">
        <is>
          <t>G00087</t>
        </is>
      </c>
      <c r="K472" t="str">
        <f>INDEX('Match Groups'!$D$5:$D$1326,MATCH(J472,'Match Groups'!$A$5:$A$1326,0))</f>
        <v>MATCH</v>
      </c>
    </row>
    <row r="473">
      <c r="A473" t="inlineStr">
        <is>
          <t>JI-00035</t>
        </is>
      </c>
      <c r="B473" t="inlineStr">
        <is>
          <t>OPS</t>
        </is>
      </c>
      <c r="C473" s="5" t="n">
        <v>46205</v>
      </c>
      <c r="D473" t="inlineStr">
        <is>
          <t>Wattle Plan Services</t>
        </is>
      </c>
      <c r="E473" t="inlineStr">
        <is>
          <t>INV/2026/01428</t>
        </is>
      </c>
      <c r="F473" t="inlineStr">
        <is>
          <t>Customer payment INV/2026/01428</t>
        </is>
      </c>
      <c r="G473" s="9" t="n">
        <v>175.49</v>
      </c>
      <c r="H473" t="inlineStr">
        <is>
          <t>customer_payment</t>
        </is>
      </c>
      <c r="I473" t="inlineStr"/>
      <c r="J473" t="inlineStr">
        <is>
          <t>G00087</t>
        </is>
      </c>
      <c r="K473" t="str">
        <f>INDEX('Match Groups'!$D$5:$D$1326,MATCH(J473,'Match Groups'!$A$5:$A$1326,0))</f>
        <v>MATCH</v>
      </c>
    </row>
    <row r="474">
      <c r="A474" t="inlineStr">
        <is>
          <t>JI-00036</t>
        </is>
      </c>
      <c r="B474" t="inlineStr">
        <is>
          <t>OPS</t>
        </is>
      </c>
      <c r="C474" s="5" t="n">
        <v>46205</v>
      </c>
      <c r="D474" t="inlineStr">
        <is>
          <t>Wattle Plan Services</t>
        </is>
      </c>
      <c r="E474" t="inlineStr">
        <is>
          <t>INV/2026/01429</t>
        </is>
      </c>
      <c r="F474" t="inlineStr">
        <is>
          <t>Customer payment INV/2026/01429</t>
        </is>
      </c>
      <c r="G474" s="9" t="n">
        <v>96.98999999999999</v>
      </c>
      <c r="H474" t="inlineStr">
        <is>
          <t>customer_payment</t>
        </is>
      </c>
      <c r="I474" t="inlineStr"/>
      <c r="J474" t="inlineStr">
        <is>
          <t>G00087</t>
        </is>
      </c>
      <c r="K474" t="str">
        <f>INDEX('Match Groups'!$D$5:$D$1326,MATCH(J474,'Match Groups'!$A$5:$A$1326,0))</f>
        <v>MATCH</v>
      </c>
    </row>
    <row r="475">
      <c r="A475" t="inlineStr">
        <is>
          <t>JI-00037</t>
        </is>
      </c>
      <c r="B475" t="inlineStr">
        <is>
          <t>OPS</t>
        </is>
      </c>
      <c r="C475" s="5" t="n">
        <v>46205</v>
      </c>
      <c r="D475" t="inlineStr">
        <is>
          <t>Wattle Plan Services</t>
        </is>
      </c>
      <c r="E475" t="inlineStr">
        <is>
          <t>INV/2026/01455</t>
        </is>
      </c>
      <c r="F475" t="inlineStr">
        <is>
          <t>Customer payment INV/2026/01455</t>
        </is>
      </c>
      <c r="G475" s="9" t="n">
        <v>387.98</v>
      </c>
      <c r="H475" t="inlineStr">
        <is>
          <t>customer_payment</t>
        </is>
      </c>
      <c r="I475" t="inlineStr"/>
      <c r="J475" t="inlineStr">
        <is>
          <t>G00087</t>
        </is>
      </c>
      <c r="K475" t="str">
        <f>INDEX('Match Groups'!$D$5:$D$1326,MATCH(J475,'Match Groups'!$A$5:$A$1326,0))</f>
        <v>MATCH</v>
      </c>
    </row>
    <row r="476">
      <c r="A476" t="inlineStr">
        <is>
          <t>JI-00038</t>
        </is>
      </c>
      <c r="B476" t="inlineStr">
        <is>
          <t>OPS</t>
        </is>
      </c>
      <c r="C476" s="5" t="n">
        <v>46205</v>
      </c>
      <c r="D476" t="inlineStr">
        <is>
          <t>Wattle Plan Services</t>
        </is>
      </c>
      <c r="E476" t="inlineStr">
        <is>
          <t>INV/2026/01456</t>
        </is>
      </c>
      <c r="F476" t="inlineStr">
        <is>
          <t>Customer payment INV/2026/01456</t>
        </is>
      </c>
      <c r="G476" s="9" t="n">
        <v>145.49</v>
      </c>
      <c r="H476" t="inlineStr">
        <is>
          <t>customer_payment</t>
        </is>
      </c>
      <c r="I476" t="inlineStr"/>
      <c r="J476" t="inlineStr">
        <is>
          <t>G00087</t>
        </is>
      </c>
      <c r="K476" t="str">
        <f>INDEX('Match Groups'!$D$5:$D$1326,MATCH(J476,'Match Groups'!$A$5:$A$1326,0))</f>
        <v>MATCH</v>
      </c>
    </row>
    <row r="477">
      <c r="A477" t="inlineStr">
        <is>
          <t>JI-00039</t>
        </is>
      </c>
      <c r="B477" t="inlineStr">
        <is>
          <t>OPS</t>
        </is>
      </c>
      <c r="C477" s="5" t="n">
        <v>46205</v>
      </c>
      <c r="D477" t="inlineStr">
        <is>
          <t>Tallowwood Plans</t>
        </is>
      </c>
      <c r="E477" t="inlineStr">
        <is>
          <t>INV/2026/01471</t>
        </is>
      </c>
      <c r="F477" t="inlineStr">
        <is>
          <t>Customer payment INV/2026/01471</t>
        </is>
      </c>
      <c r="G477" s="9" t="n">
        <v>96.98999999999999</v>
      </c>
      <c r="H477" t="inlineStr">
        <is>
          <t>customer_payment</t>
        </is>
      </c>
      <c r="I477" t="inlineStr"/>
      <c r="J477" t="inlineStr">
        <is>
          <t>G00090</t>
        </is>
      </c>
      <c r="K477" t="str">
        <f>INDEX('Match Groups'!$D$5:$D$1326,MATCH(J477,'Match Groups'!$A$5:$A$1326,0))</f>
        <v>MATCH</v>
      </c>
    </row>
    <row r="478">
      <c r="A478" t="inlineStr">
        <is>
          <t>JI-00040</t>
        </is>
      </c>
      <c r="B478" t="inlineStr">
        <is>
          <t>OPS</t>
        </is>
      </c>
      <c r="C478" s="5" t="n">
        <v>46205</v>
      </c>
      <c r="D478" t="inlineStr">
        <is>
          <t>Tallowwood Plans</t>
        </is>
      </c>
      <c r="E478" t="inlineStr">
        <is>
          <t>INV/2026/01472</t>
        </is>
      </c>
      <c r="F478" t="inlineStr">
        <is>
          <t>Customer payment INV/2026/01472</t>
        </is>
      </c>
      <c r="G478" s="9" t="n">
        <v>272.49</v>
      </c>
      <c r="H478" t="inlineStr">
        <is>
          <t>customer_payment</t>
        </is>
      </c>
      <c r="I478" t="inlineStr"/>
      <c r="J478" t="inlineStr">
        <is>
          <t>G00090</t>
        </is>
      </c>
      <c r="K478" t="str">
        <f>INDEX('Match Groups'!$D$5:$D$1326,MATCH(J478,'Match Groups'!$A$5:$A$1326,0))</f>
        <v>MATCH</v>
      </c>
    </row>
    <row r="479">
      <c r="A479" t="inlineStr">
        <is>
          <t>JI-00041</t>
        </is>
      </c>
      <c r="B479" t="inlineStr">
        <is>
          <t>OPS</t>
        </is>
      </c>
      <c r="C479" s="5" t="n">
        <v>46205</v>
      </c>
      <c r="D479" t="inlineStr">
        <is>
          <t>Tallowwood Plans</t>
        </is>
      </c>
      <c r="E479" t="inlineStr">
        <is>
          <t>INV/2026/01473</t>
        </is>
      </c>
      <c r="F479" t="inlineStr">
        <is>
          <t>Customer payment INV/2026/01473</t>
        </is>
      </c>
      <c r="G479" s="9" t="n">
        <v>272.49</v>
      </c>
      <c r="H479" t="inlineStr">
        <is>
          <t>customer_payment</t>
        </is>
      </c>
      <c r="I479" t="inlineStr"/>
      <c r="J479" t="inlineStr">
        <is>
          <t>G00090</t>
        </is>
      </c>
      <c r="K479" t="str">
        <f>INDEX('Match Groups'!$D$5:$D$1326,MATCH(J479,'Match Groups'!$A$5:$A$1326,0))</f>
        <v>MATCH</v>
      </c>
    </row>
    <row r="480">
      <c r="A480" t="inlineStr">
        <is>
          <t>JI-00042</t>
        </is>
      </c>
      <c r="B480" t="inlineStr">
        <is>
          <t>OPS</t>
        </is>
      </c>
      <c r="C480" s="5" t="n">
        <v>46205</v>
      </c>
      <c r="D480" t="inlineStr">
        <is>
          <t>Acacia Plan Partners</t>
        </is>
      </c>
      <c r="E480" t="inlineStr">
        <is>
          <t>INV/2026/01492</t>
        </is>
      </c>
      <c r="F480" t="inlineStr">
        <is>
          <t>Customer payment INV/2026/01492</t>
        </is>
      </c>
      <c r="G480" s="9" t="n">
        <v>242.49</v>
      </c>
      <c r="H480" t="inlineStr">
        <is>
          <t>customer_payment</t>
        </is>
      </c>
      <c r="I480" t="inlineStr"/>
      <c r="J480" t="inlineStr">
        <is>
          <t>G00091</t>
        </is>
      </c>
      <c r="K480" t="str">
        <f>INDEX('Match Groups'!$D$5:$D$1326,MATCH(J480,'Match Groups'!$A$5:$A$1326,0))</f>
        <v>MATCH</v>
      </c>
    </row>
    <row r="481">
      <c r="A481" t="inlineStr">
        <is>
          <t>JI-00043</t>
        </is>
      </c>
      <c r="B481" t="inlineStr">
        <is>
          <t>OPS</t>
        </is>
      </c>
      <c r="C481" s="5" t="n">
        <v>46205</v>
      </c>
      <c r="D481" t="inlineStr">
        <is>
          <t>Acacia Plan Partners</t>
        </is>
      </c>
      <c r="E481" t="inlineStr">
        <is>
          <t>INV/2026/01493</t>
        </is>
      </c>
      <c r="F481" t="inlineStr">
        <is>
          <t>Customer payment INV/2026/01493</t>
        </is>
      </c>
      <c r="G481" s="9" t="n">
        <v>417.98</v>
      </c>
      <c r="H481" t="inlineStr">
        <is>
          <t>customer_payment</t>
        </is>
      </c>
      <c r="I481" t="inlineStr"/>
      <c r="J481" t="inlineStr">
        <is>
          <t>G00091</t>
        </is>
      </c>
      <c r="K481" t="str">
        <f>INDEX('Match Groups'!$D$5:$D$1326,MATCH(J481,'Match Groups'!$A$5:$A$1326,0))</f>
        <v>MATCH</v>
      </c>
    </row>
    <row r="482">
      <c r="A482" t="inlineStr">
        <is>
          <t>JI-00044</t>
        </is>
      </c>
      <c r="B482" t="inlineStr">
        <is>
          <t>OPS</t>
        </is>
      </c>
      <c r="C482" s="5" t="n">
        <v>46205</v>
      </c>
      <c r="D482" t="inlineStr">
        <is>
          <t>Acacia Plan Partners</t>
        </is>
      </c>
      <c r="E482" t="inlineStr">
        <is>
          <t>INV/2026/01512</t>
        </is>
      </c>
      <c r="F482" t="inlineStr">
        <is>
          <t>Customer payment INV/2026/01512</t>
        </is>
      </c>
      <c r="G482" s="9" t="n">
        <v>349.18</v>
      </c>
      <c r="H482" t="inlineStr">
        <is>
          <t>customer_payment</t>
        </is>
      </c>
      <c r="I482" t="inlineStr"/>
      <c r="J482" t="inlineStr">
        <is>
          <t>G00091</t>
        </is>
      </c>
      <c r="K482" t="str">
        <f>INDEX('Match Groups'!$D$5:$D$1326,MATCH(J482,'Match Groups'!$A$5:$A$1326,0))</f>
        <v>MATCH</v>
      </c>
    </row>
    <row r="483">
      <c r="A483" t="inlineStr">
        <is>
          <t>JI-00045</t>
        </is>
      </c>
      <c r="B483" t="inlineStr">
        <is>
          <t>OPS</t>
        </is>
      </c>
      <c r="C483" s="5" t="n">
        <v>46205</v>
      </c>
      <c r="D483" t="inlineStr">
        <is>
          <t>Mallee Plan Services</t>
        </is>
      </c>
      <c r="E483" t="inlineStr">
        <is>
          <t>INV/2026/01444</t>
        </is>
      </c>
      <c r="F483" t="inlineStr">
        <is>
          <t>Customer payment INV/2026/01444</t>
        </is>
      </c>
      <c r="G483" s="9" t="n">
        <v>242.49</v>
      </c>
      <c r="H483" t="inlineStr">
        <is>
          <t>customer_payment</t>
        </is>
      </c>
      <c r="I483" t="inlineStr"/>
      <c r="J483" t="inlineStr">
        <is>
          <t>G00092</t>
        </is>
      </c>
      <c r="K483" t="str">
        <f>INDEX('Match Groups'!$D$5:$D$1326,MATCH(J483,'Match Groups'!$A$5:$A$1326,0))</f>
        <v>MATCH</v>
      </c>
    </row>
    <row r="484">
      <c r="A484" t="inlineStr">
        <is>
          <t>JI-00046</t>
        </is>
      </c>
      <c r="B484" t="inlineStr">
        <is>
          <t>OPS</t>
        </is>
      </c>
      <c r="C484" s="5" t="n">
        <v>46205</v>
      </c>
      <c r="D484" t="inlineStr">
        <is>
          <t>Mallee Plan Services</t>
        </is>
      </c>
      <c r="E484" t="inlineStr">
        <is>
          <t>INV/2026/01474</t>
        </is>
      </c>
      <c r="F484" t="inlineStr">
        <is>
          <t>Customer payment INV/2026/01474</t>
        </is>
      </c>
      <c r="G484" s="9" t="n">
        <v>242.49</v>
      </c>
      <c r="H484" t="inlineStr">
        <is>
          <t>customer_payment</t>
        </is>
      </c>
      <c r="I484" t="inlineStr"/>
      <c r="J484" t="inlineStr">
        <is>
          <t>G00092</t>
        </is>
      </c>
      <c r="K484" t="str">
        <f>INDEX('Match Groups'!$D$5:$D$1326,MATCH(J484,'Match Groups'!$A$5:$A$1326,0))</f>
        <v>MATCH</v>
      </c>
    </row>
    <row r="485">
      <c r="A485" t="inlineStr">
        <is>
          <t>JI-00047</t>
        </is>
      </c>
      <c r="B485" t="inlineStr">
        <is>
          <t>OPS</t>
        </is>
      </c>
      <c r="C485" s="5" t="n">
        <v>46205</v>
      </c>
      <c r="D485" t="inlineStr">
        <is>
          <t>Mallee Plan Services</t>
        </is>
      </c>
      <c r="E485" t="inlineStr">
        <is>
          <t>INV/2026/01475</t>
        </is>
      </c>
      <c r="F485" t="inlineStr">
        <is>
          <t>Customer payment INV/2026/01475</t>
        </is>
      </c>
      <c r="G485" s="9" t="n">
        <v>290.98</v>
      </c>
      <c r="H485" t="inlineStr">
        <is>
          <t>customer_payment</t>
        </is>
      </c>
      <c r="I485" t="inlineStr"/>
      <c r="J485" t="inlineStr">
        <is>
          <t>G00092</t>
        </is>
      </c>
      <c r="K485" t="str">
        <f>INDEX('Match Groups'!$D$5:$D$1326,MATCH(J485,'Match Groups'!$A$5:$A$1326,0))</f>
        <v>MATCH</v>
      </c>
    </row>
    <row r="486">
      <c r="A486" t="inlineStr">
        <is>
          <t>JI-00048</t>
        </is>
      </c>
      <c r="B486" t="inlineStr">
        <is>
          <t>OPS</t>
        </is>
      </c>
      <c r="C486" s="5" t="n">
        <v>46205</v>
      </c>
      <c r="D486" t="inlineStr">
        <is>
          <t>Mallee Plan Services</t>
        </is>
      </c>
      <c r="E486" t="inlineStr">
        <is>
          <t>INV/2026/01494</t>
        </is>
      </c>
      <c r="F486" t="inlineStr">
        <is>
          <t>Customer payment INV/2026/01494</t>
        </is>
      </c>
      <c r="G486" s="9" t="n">
        <v>145.49</v>
      </c>
      <c r="H486" t="inlineStr">
        <is>
          <t>customer_payment</t>
        </is>
      </c>
      <c r="I486" t="inlineStr"/>
      <c r="J486" t="inlineStr">
        <is>
          <t>G00092</t>
        </is>
      </c>
      <c r="K486" t="str">
        <f>INDEX('Match Groups'!$D$5:$D$1326,MATCH(J486,'Match Groups'!$A$5:$A$1326,0))</f>
        <v>MATCH</v>
      </c>
    </row>
    <row r="487">
      <c r="A487" t="inlineStr">
        <is>
          <t>JI-00057</t>
        </is>
      </c>
      <c r="B487" t="inlineStr">
        <is>
          <t>OPS</t>
        </is>
      </c>
      <c r="C487" s="5" t="n">
        <v>46205</v>
      </c>
      <c r="D487" t="inlineStr">
        <is>
          <t>Riverbend Plan Partners</t>
        </is>
      </c>
      <c r="E487" t="inlineStr">
        <is>
          <t>INV/2026/01479</t>
        </is>
      </c>
      <c r="F487" t="inlineStr">
        <is>
          <t>Customer payment INV/2026/01479</t>
        </is>
      </c>
      <c r="G487" s="9" t="n">
        <v>145.49</v>
      </c>
      <c r="H487" t="inlineStr">
        <is>
          <t>customer_payment</t>
        </is>
      </c>
      <c r="I487" t="inlineStr"/>
      <c r="J487" t="inlineStr">
        <is>
          <t>G00094</t>
        </is>
      </c>
      <c r="K487" t="str">
        <f>INDEX('Match Groups'!$D$5:$D$1326,MATCH(J487,'Match Groups'!$A$5:$A$1326,0))</f>
        <v>MATCH</v>
      </c>
    </row>
    <row r="488">
      <c r="A488" t="inlineStr">
        <is>
          <t>JI-00058</t>
        </is>
      </c>
      <c r="B488" t="inlineStr">
        <is>
          <t>OPS</t>
        </is>
      </c>
      <c r="C488" s="5" t="n">
        <v>46205</v>
      </c>
      <c r="D488" t="inlineStr">
        <is>
          <t>Riverbend Plan Partners</t>
        </is>
      </c>
      <c r="E488" t="inlineStr">
        <is>
          <t>INV/2026/01480</t>
        </is>
      </c>
      <c r="F488" t="inlineStr">
        <is>
          <t>Customer payment INV/2026/01480</t>
        </is>
      </c>
      <c r="G488" s="9" t="n">
        <v>242.49</v>
      </c>
      <c r="H488" t="inlineStr">
        <is>
          <t>customer_payment</t>
        </is>
      </c>
      <c r="I488" t="inlineStr"/>
      <c r="J488" t="inlineStr">
        <is>
          <t>G00094</t>
        </is>
      </c>
      <c r="K488" t="str">
        <f>INDEX('Match Groups'!$D$5:$D$1326,MATCH(J488,'Match Groups'!$A$5:$A$1326,0))</f>
        <v>MATCH</v>
      </c>
    </row>
    <row r="489">
      <c r="A489" t="inlineStr">
        <is>
          <t>JI-00059</t>
        </is>
      </c>
      <c r="B489" t="inlineStr">
        <is>
          <t>OPS</t>
        </is>
      </c>
      <c r="C489" s="5" t="n">
        <v>46205</v>
      </c>
      <c r="D489" t="inlineStr">
        <is>
          <t>Riverbend Plan Partners</t>
        </is>
      </c>
      <c r="E489" t="inlineStr">
        <is>
          <t>INV/2026/01500</t>
        </is>
      </c>
      <c r="F489" t="inlineStr">
        <is>
          <t>Customer payment INV/2026/01500</t>
        </is>
      </c>
      <c r="G489" s="9" t="n">
        <v>193.99</v>
      </c>
      <c r="H489" t="inlineStr">
        <is>
          <t>customer_payment</t>
        </is>
      </c>
      <c r="I489" t="inlineStr"/>
      <c r="J489" t="inlineStr">
        <is>
          <t>G00094</t>
        </is>
      </c>
      <c r="K489" t="str">
        <f>INDEX('Match Groups'!$D$5:$D$1326,MATCH(J489,'Match Groups'!$A$5:$A$1326,0))</f>
        <v>MATCH</v>
      </c>
    </row>
    <row r="490">
      <c r="A490" t="inlineStr">
        <is>
          <t>JI-01558</t>
        </is>
      </c>
      <c r="B490" t="inlineStr">
        <is>
          <t>OPS</t>
        </is>
      </c>
      <c r="C490" s="5" t="n">
        <v>46205</v>
      </c>
      <c r="D490" t="inlineStr">
        <is>
          <t>Coastline Health Fund</t>
        </is>
      </c>
      <c r="E490" t="inlineStr">
        <is>
          <t>INV/2026/01728</t>
        </is>
      </c>
      <c r="F490" t="inlineStr">
        <is>
          <t>Customer payment INV/2026/01728</t>
        </is>
      </c>
      <c r="G490" s="9" t="n">
        <v>132</v>
      </c>
      <c r="H490" t="inlineStr">
        <is>
          <t>customer_payment</t>
        </is>
      </c>
      <c r="I490" t="inlineStr"/>
      <c r="J490" t="inlineStr">
        <is>
          <t>G00901</t>
        </is>
      </c>
      <c r="K490" t="str">
        <f>INDEX('Match Groups'!$D$5:$D$1326,MATCH(J490,'Match Groups'!$A$5:$A$1326,0))</f>
        <v>MATCH</v>
      </c>
    </row>
    <row r="491">
      <c r="A491" t="inlineStr">
        <is>
          <t>JI-01570</t>
        </is>
      </c>
      <c r="B491" t="inlineStr">
        <is>
          <t>OPS</t>
        </is>
      </c>
      <c r="C491" s="5" t="n">
        <v>46205</v>
      </c>
      <c r="D491" t="inlineStr">
        <is>
          <t>Unity Workcover Agents</t>
        </is>
      </c>
      <c r="E491" t="inlineStr">
        <is>
          <t>INV/2026/01635</t>
        </is>
      </c>
      <c r="F491" t="inlineStr">
        <is>
          <t>Customer payment INV/2026/01635</t>
        </is>
      </c>
      <c r="G491" s="9" t="n">
        <v>264</v>
      </c>
      <c r="H491" t="inlineStr">
        <is>
          <t>customer_payment</t>
        </is>
      </c>
      <c r="I491" t="inlineStr"/>
      <c r="J491" t="inlineStr">
        <is>
          <t>G00902</t>
        </is>
      </c>
      <c r="K491" t="str">
        <f>INDEX('Match Groups'!$D$5:$D$1326,MATCH(J491,'Match Groups'!$A$5:$A$1326,0))</f>
        <v>MATCH</v>
      </c>
    </row>
    <row r="492">
      <c r="A492" t="inlineStr">
        <is>
          <t>JI-01590</t>
        </is>
      </c>
      <c r="B492" t="inlineStr">
        <is>
          <t>OPS</t>
        </is>
      </c>
      <c r="C492" s="5" t="n">
        <v>46205</v>
      </c>
      <c r="D492" t="inlineStr">
        <is>
          <t>Pinnacle Claims Services</t>
        </is>
      </c>
      <c r="E492" t="inlineStr">
        <is>
          <t>INV/2026/01842</t>
        </is>
      </c>
      <c r="F492" t="inlineStr">
        <is>
          <t>Customer payment INV/2026/01842</t>
        </is>
      </c>
      <c r="G492" s="9" t="n">
        <v>412.5</v>
      </c>
      <c r="H492" t="inlineStr">
        <is>
          <t>customer_payment</t>
        </is>
      </c>
      <c r="I492" t="inlineStr"/>
      <c r="J492" t="inlineStr">
        <is>
          <t>G00905</t>
        </is>
      </c>
      <c r="K492" t="str">
        <f>INDEX('Match Groups'!$D$5:$D$1326,MATCH(J492,'Match Groups'!$A$5:$A$1326,0))</f>
        <v>MATCH</v>
      </c>
    </row>
    <row r="493">
      <c r="A493" t="inlineStr">
        <is>
          <t>JI-01607</t>
        </is>
      </c>
      <c r="B493" t="inlineStr">
        <is>
          <t>OPS</t>
        </is>
      </c>
      <c r="C493" s="5" t="n">
        <v>46205</v>
      </c>
      <c r="D493" t="inlineStr">
        <is>
          <t>Meridian Health Cover</t>
        </is>
      </c>
      <c r="E493" t="inlineStr">
        <is>
          <t>INV/2026/01581</t>
        </is>
      </c>
      <c r="F493" t="inlineStr">
        <is>
          <t>Customer payment INV/2026/01581</t>
        </is>
      </c>
      <c r="G493" s="9" t="n">
        <v>132</v>
      </c>
      <c r="H493" t="inlineStr">
        <is>
          <t>customer_payment</t>
        </is>
      </c>
      <c r="I493" t="inlineStr"/>
      <c r="J493" t="inlineStr">
        <is>
          <t>G00906</t>
        </is>
      </c>
      <c r="K493" t="str">
        <f>INDEX('Match Groups'!$D$5:$D$1326,MATCH(J493,'Match Groups'!$A$5:$A$1326,0))</f>
        <v>MATCH</v>
      </c>
    </row>
    <row r="494">
      <c r="A494" t="inlineStr">
        <is>
          <t>JI-01608</t>
        </is>
      </c>
      <c r="B494" t="inlineStr">
        <is>
          <t>OPS</t>
        </is>
      </c>
      <c r="C494" s="5" t="n">
        <v>46205</v>
      </c>
      <c r="D494" t="inlineStr">
        <is>
          <t>Meridian Health Cover</t>
        </is>
      </c>
      <c r="E494" t="inlineStr">
        <is>
          <t>INV/2026/01637</t>
        </is>
      </c>
      <c r="F494" t="inlineStr">
        <is>
          <t>Customer payment INV/2026/01637</t>
        </is>
      </c>
      <c r="G494" s="9" t="n">
        <v>176</v>
      </c>
      <c r="H494" t="inlineStr">
        <is>
          <t>customer_payment</t>
        </is>
      </c>
      <c r="I494" t="inlineStr"/>
      <c r="J494" t="inlineStr">
        <is>
          <t>G00907</t>
        </is>
      </c>
      <c r="K494" t="str">
        <f>INDEX('Match Groups'!$D$5:$D$1326,MATCH(J494,'Match Groups'!$A$5:$A$1326,0))</f>
        <v>MATCH</v>
      </c>
    </row>
    <row r="495">
      <c r="A495" t="inlineStr">
        <is>
          <t>JI-01609</t>
        </is>
      </c>
      <c r="B495" t="inlineStr">
        <is>
          <t>OPS</t>
        </is>
      </c>
      <c r="C495" s="5" t="n">
        <v>46205</v>
      </c>
      <c r="D495" t="inlineStr">
        <is>
          <t>Meridian Health Cover</t>
        </is>
      </c>
      <c r="E495" t="inlineStr">
        <is>
          <t>INV/2026/01704</t>
        </is>
      </c>
      <c r="F495" t="inlineStr">
        <is>
          <t>Customer payment INV/2026/01704</t>
        </is>
      </c>
      <c r="G495" s="9" t="n">
        <v>264</v>
      </c>
      <c r="H495" t="inlineStr">
        <is>
          <t>customer_payment</t>
        </is>
      </c>
      <c r="I495" t="inlineStr"/>
      <c r="J495" t="inlineStr">
        <is>
          <t>G00908</t>
        </is>
      </c>
      <c r="K495" t="str">
        <f>INDEX('Match Groups'!$D$5:$D$1326,MATCH(J495,'Match Groups'!$A$5:$A$1326,0))</f>
        <v>MATCH</v>
      </c>
    </row>
    <row r="496">
      <c r="A496" t="inlineStr">
        <is>
          <t>JI-01707</t>
        </is>
      </c>
      <c r="B496" t="inlineStr">
        <is>
          <t>OPS</t>
        </is>
      </c>
      <c r="C496" s="5" t="n">
        <v>46205</v>
      </c>
      <c r="D496" t="inlineStr">
        <is>
          <t>Linfield Dairy Co</t>
        </is>
      </c>
      <c r="E496" t="inlineStr">
        <is>
          <t>INV/2026/03436</t>
        </is>
      </c>
      <c r="F496" t="inlineStr">
        <is>
          <t>Customer payment INV/2026/03436</t>
        </is>
      </c>
      <c r="G496" s="9" t="n">
        <v>5362.5</v>
      </c>
      <c r="H496" t="inlineStr">
        <is>
          <t>customer_payment</t>
        </is>
      </c>
      <c r="I496" t="inlineStr"/>
      <c r="J496" t="inlineStr">
        <is>
          <t>G00912</t>
        </is>
      </c>
      <c r="K496" t="str">
        <f>INDEX('Match Groups'!$D$5:$D$1326,MATCH(J496,'Match Groups'!$A$5:$A$1326,0))</f>
        <v>MATCH</v>
      </c>
    </row>
    <row r="497">
      <c r="A497" t="inlineStr">
        <is>
          <t>JI-01863</t>
        </is>
      </c>
      <c r="B497" t="inlineStr">
        <is>
          <t>OPS</t>
        </is>
      </c>
      <c r="C497" s="5" t="n">
        <v>46205</v>
      </c>
      <c r="D497" t="inlineStr">
        <is>
          <t>Stripe patient 67611</t>
        </is>
      </c>
      <c r="E497" t="inlineStr">
        <is>
          <t>INV/2026/03710</t>
        </is>
      </c>
      <c r="F497" t="inlineStr">
        <is>
          <t>Customer payment INV/2026/03710</t>
        </is>
      </c>
      <c r="G497" s="9" t="n">
        <v>65</v>
      </c>
      <c r="H497" t="inlineStr">
        <is>
          <t>customer_payment</t>
        </is>
      </c>
      <c r="I497" t="inlineStr"/>
      <c r="J497" t="inlineStr">
        <is>
          <t>G00017</t>
        </is>
      </c>
      <c r="K497" t="str">
        <f>INDEX('Match Groups'!$D$5:$D$1326,MATCH(J497,'Match Groups'!$A$5:$A$1326,0))</f>
        <v>STRIPE-FEE</v>
      </c>
    </row>
    <row r="498">
      <c r="A498" t="inlineStr">
        <is>
          <t>JI-01864</t>
        </is>
      </c>
      <c r="B498" t="inlineStr">
        <is>
          <t>OPS</t>
        </is>
      </c>
      <c r="C498" s="5" t="n">
        <v>46205</v>
      </c>
      <c r="D498" t="inlineStr">
        <is>
          <t>Stripe patient 85882</t>
        </is>
      </c>
      <c r="E498" t="inlineStr">
        <is>
          <t>INV/2026/03711</t>
        </is>
      </c>
      <c r="F498" t="inlineStr">
        <is>
          <t>Customer payment INV/2026/03711</t>
        </is>
      </c>
      <c r="G498" s="9" t="n">
        <v>65</v>
      </c>
      <c r="H498" t="inlineStr">
        <is>
          <t>customer_payment</t>
        </is>
      </c>
      <c r="I498" t="inlineStr"/>
      <c r="J498" t="inlineStr">
        <is>
          <t>G00017</t>
        </is>
      </c>
      <c r="K498" t="str">
        <f>INDEX('Match Groups'!$D$5:$D$1326,MATCH(J498,'Match Groups'!$A$5:$A$1326,0))</f>
        <v>STRIPE-FEE</v>
      </c>
    </row>
    <row r="499">
      <c r="A499" t="inlineStr">
        <is>
          <t>JI-01865</t>
        </is>
      </c>
      <c r="B499" t="inlineStr">
        <is>
          <t>OPS</t>
        </is>
      </c>
      <c r="C499" s="5" t="n">
        <v>46205</v>
      </c>
      <c r="D499" t="inlineStr">
        <is>
          <t>Stripe patient 22897</t>
        </is>
      </c>
      <c r="E499" t="inlineStr">
        <is>
          <t>INV/2026/03712</t>
        </is>
      </c>
      <c r="F499" t="inlineStr">
        <is>
          <t>Customer payment INV/2026/03712</t>
        </is>
      </c>
      <c r="G499" s="9" t="n">
        <v>65</v>
      </c>
      <c r="H499" t="inlineStr">
        <is>
          <t>customer_payment</t>
        </is>
      </c>
      <c r="I499" t="inlineStr"/>
      <c r="J499" t="inlineStr">
        <is>
          <t>G00017</t>
        </is>
      </c>
      <c r="K499" t="str">
        <f>INDEX('Match Groups'!$D$5:$D$1326,MATCH(J499,'Match Groups'!$A$5:$A$1326,0))</f>
        <v>STRIPE-FEE</v>
      </c>
    </row>
    <row r="500">
      <c r="A500" t="inlineStr">
        <is>
          <t>JI-01866</t>
        </is>
      </c>
      <c r="B500" t="inlineStr">
        <is>
          <t>OPS</t>
        </is>
      </c>
      <c r="C500" s="5" t="n">
        <v>46205</v>
      </c>
      <c r="D500" t="inlineStr">
        <is>
          <t>Stripe patient 18980</t>
        </is>
      </c>
      <c r="E500" t="inlineStr">
        <is>
          <t>INV/2026/03713</t>
        </is>
      </c>
      <c r="F500" t="inlineStr">
        <is>
          <t>Customer payment INV/2026/03713</t>
        </is>
      </c>
      <c r="G500" s="9" t="n">
        <v>220</v>
      </c>
      <c r="H500" t="inlineStr">
        <is>
          <t>customer_payment</t>
        </is>
      </c>
      <c r="I500" t="inlineStr"/>
      <c r="J500" t="inlineStr">
        <is>
          <t>G00017</t>
        </is>
      </c>
      <c r="K500" t="str">
        <f>INDEX('Match Groups'!$D$5:$D$1326,MATCH(J500,'Match Groups'!$A$5:$A$1326,0))</f>
        <v>STRIPE-FEE</v>
      </c>
    </row>
    <row r="501">
      <c r="A501" t="inlineStr">
        <is>
          <t>JI-01867</t>
        </is>
      </c>
      <c r="B501" t="inlineStr">
        <is>
          <t>OPS</t>
        </is>
      </c>
      <c r="C501" s="5" t="n">
        <v>46205</v>
      </c>
      <c r="D501" t="inlineStr">
        <is>
          <t>Stripe patient 44460</t>
        </is>
      </c>
      <c r="E501" t="inlineStr">
        <is>
          <t>INV/2026/03714</t>
        </is>
      </c>
      <c r="F501" t="inlineStr">
        <is>
          <t>Customer payment INV/2026/03714</t>
        </is>
      </c>
      <c r="G501" s="9" t="n">
        <v>220</v>
      </c>
      <c r="H501" t="inlineStr">
        <is>
          <t>customer_payment</t>
        </is>
      </c>
      <c r="I501" t="inlineStr"/>
      <c r="J501" t="inlineStr">
        <is>
          <t>G00017</t>
        </is>
      </c>
      <c r="K501" t="str">
        <f>INDEX('Match Groups'!$D$5:$D$1326,MATCH(J501,'Match Groups'!$A$5:$A$1326,0))</f>
        <v>STRIPE-FEE</v>
      </c>
    </row>
    <row r="502">
      <c r="A502" t="inlineStr">
        <is>
          <t>JI-01868</t>
        </is>
      </c>
      <c r="B502" t="inlineStr">
        <is>
          <t>OPS</t>
        </is>
      </c>
      <c r="C502" s="5" t="n">
        <v>46205</v>
      </c>
      <c r="D502" t="inlineStr">
        <is>
          <t>Stripe patient 21773</t>
        </is>
      </c>
      <c r="E502" t="inlineStr">
        <is>
          <t>INV/2026/03715</t>
        </is>
      </c>
      <c r="F502" t="inlineStr">
        <is>
          <t>Customer payment INV/2026/03715</t>
        </is>
      </c>
      <c r="G502" s="9" t="n">
        <v>135</v>
      </c>
      <c r="H502" t="inlineStr">
        <is>
          <t>customer_payment</t>
        </is>
      </c>
      <c r="I502" t="inlineStr"/>
      <c r="J502" t="inlineStr">
        <is>
          <t>G00017</t>
        </is>
      </c>
      <c r="K502" t="str">
        <f>INDEX('Match Groups'!$D$5:$D$1326,MATCH(J502,'Match Groups'!$A$5:$A$1326,0))</f>
        <v>STRIPE-FEE</v>
      </c>
    </row>
    <row r="503">
      <c r="A503" t="inlineStr">
        <is>
          <t>JI-01869</t>
        </is>
      </c>
      <c r="B503" t="inlineStr">
        <is>
          <t>OPS</t>
        </is>
      </c>
      <c r="C503" s="5" t="n">
        <v>46205</v>
      </c>
      <c r="D503" t="inlineStr">
        <is>
          <t>Stripe patient 68549</t>
        </is>
      </c>
      <c r="E503" t="inlineStr">
        <is>
          <t>INV/2026/03716</t>
        </is>
      </c>
      <c r="F503" t="inlineStr">
        <is>
          <t>Customer payment INV/2026/03716</t>
        </is>
      </c>
      <c r="G503" s="9" t="n">
        <v>85</v>
      </c>
      <c r="H503" t="inlineStr">
        <is>
          <t>customer_payment</t>
        </is>
      </c>
      <c r="I503" t="inlineStr"/>
      <c r="J503" t="inlineStr">
        <is>
          <t>G00017</t>
        </is>
      </c>
      <c r="K503" t="str">
        <f>INDEX('Match Groups'!$D$5:$D$1326,MATCH(J503,'Match Groups'!$A$5:$A$1326,0))</f>
        <v>STRIPE-FEE</v>
      </c>
    </row>
    <row r="504">
      <c r="A504" t="inlineStr">
        <is>
          <t>JI-01870</t>
        </is>
      </c>
      <c r="B504" t="inlineStr">
        <is>
          <t>OPS</t>
        </is>
      </c>
      <c r="C504" s="5" t="n">
        <v>46205</v>
      </c>
      <c r="D504" t="inlineStr">
        <is>
          <t>Stripe patient 40149</t>
        </is>
      </c>
      <c r="E504" t="inlineStr">
        <is>
          <t>INV/2026/03717</t>
        </is>
      </c>
      <c r="F504" t="inlineStr">
        <is>
          <t>Customer payment INV/2026/03717</t>
        </is>
      </c>
      <c r="G504" s="9" t="n">
        <v>120</v>
      </c>
      <c r="H504" t="inlineStr">
        <is>
          <t>customer_payment</t>
        </is>
      </c>
      <c r="I504" t="inlineStr"/>
      <c r="J504" t="inlineStr">
        <is>
          <t>G00017</t>
        </is>
      </c>
      <c r="K504" t="str">
        <f>INDEX('Match Groups'!$D$5:$D$1326,MATCH(J504,'Match Groups'!$A$5:$A$1326,0))</f>
        <v>STRIPE-FEE</v>
      </c>
    </row>
    <row r="505">
      <c r="A505" t="inlineStr">
        <is>
          <t>JI-01871</t>
        </is>
      </c>
      <c r="B505" t="inlineStr">
        <is>
          <t>OPS</t>
        </is>
      </c>
      <c r="C505" s="5" t="n">
        <v>46205</v>
      </c>
      <c r="D505" t="inlineStr">
        <is>
          <t>Stripe patient 98892</t>
        </is>
      </c>
      <c r="E505" t="inlineStr">
        <is>
          <t>INV/2026/03718</t>
        </is>
      </c>
      <c r="F505" t="inlineStr">
        <is>
          <t>Customer payment INV/2026/03718</t>
        </is>
      </c>
      <c r="G505" s="9" t="n">
        <v>220</v>
      </c>
      <c r="H505" t="inlineStr">
        <is>
          <t>customer_payment</t>
        </is>
      </c>
      <c r="I505" t="inlineStr"/>
      <c r="J505" t="inlineStr">
        <is>
          <t>G00017</t>
        </is>
      </c>
      <c r="K505" t="str">
        <f>INDEX('Match Groups'!$D$5:$D$1326,MATCH(J505,'Match Groups'!$A$5:$A$1326,0))</f>
        <v>STRIPE-FEE</v>
      </c>
    </row>
    <row r="506">
      <c r="A506" t="inlineStr">
        <is>
          <t>JI-01872</t>
        </is>
      </c>
      <c r="B506" t="inlineStr">
        <is>
          <t>OPS</t>
        </is>
      </c>
      <c r="C506" s="5" t="n">
        <v>46205</v>
      </c>
      <c r="D506" t="inlineStr">
        <is>
          <t>Stripe patient 12629</t>
        </is>
      </c>
      <c r="E506" t="inlineStr">
        <is>
          <t>INV/2026/03719</t>
        </is>
      </c>
      <c r="F506" t="inlineStr">
        <is>
          <t>Customer payment INV/2026/03719</t>
        </is>
      </c>
      <c r="G506" s="9" t="n">
        <v>85</v>
      </c>
      <c r="H506" t="inlineStr">
        <is>
          <t>customer_payment</t>
        </is>
      </c>
      <c r="I506" t="inlineStr"/>
      <c r="J506" t="inlineStr">
        <is>
          <t>G00017</t>
        </is>
      </c>
      <c r="K506" t="str">
        <f>INDEX('Match Groups'!$D$5:$D$1326,MATCH(J506,'Match Groups'!$A$5:$A$1326,0))</f>
        <v>STRIPE-FEE</v>
      </c>
    </row>
    <row r="507">
      <c r="A507" t="inlineStr">
        <is>
          <t>JI-01873</t>
        </is>
      </c>
      <c r="B507" t="inlineStr">
        <is>
          <t>OPS</t>
        </is>
      </c>
      <c r="C507" s="5" t="n">
        <v>46205</v>
      </c>
      <c r="D507" t="inlineStr">
        <is>
          <t>Stripe patient 85782</t>
        </is>
      </c>
      <c r="E507" t="inlineStr">
        <is>
          <t>INV/2026/03720</t>
        </is>
      </c>
      <c r="F507" t="inlineStr">
        <is>
          <t>Customer payment INV/2026/03720</t>
        </is>
      </c>
      <c r="G507" s="9" t="n">
        <v>120</v>
      </c>
      <c r="H507" t="inlineStr">
        <is>
          <t>customer_payment</t>
        </is>
      </c>
      <c r="I507" t="inlineStr"/>
      <c r="J507" t="inlineStr">
        <is>
          <t>G00017</t>
        </is>
      </c>
      <c r="K507" t="str">
        <f>INDEX('Match Groups'!$D$5:$D$1326,MATCH(J507,'Match Groups'!$A$5:$A$1326,0))</f>
        <v>STRIPE-FEE</v>
      </c>
    </row>
    <row r="508">
      <c r="A508" t="inlineStr">
        <is>
          <t>JI-01874</t>
        </is>
      </c>
      <c r="B508" t="inlineStr">
        <is>
          <t>OPS</t>
        </is>
      </c>
      <c r="C508" s="5" t="n">
        <v>46205</v>
      </c>
      <c r="D508" t="inlineStr">
        <is>
          <t>Stripe patient 79806</t>
        </is>
      </c>
      <c r="E508" t="inlineStr">
        <is>
          <t>INV/2026/03721</t>
        </is>
      </c>
      <c r="F508" t="inlineStr">
        <is>
          <t>Customer payment INV/2026/03721</t>
        </is>
      </c>
      <c r="G508" s="9" t="n">
        <v>95</v>
      </c>
      <c r="H508" t="inlineStr">
        <is>
          <t>customer_payment</t>
        </is>
      </c>
      <c r="I508" t="inlineStr"/>
      <c r="J508" t="inlineStr">
        <is>
          <t>G00017</t>
        </is>
      </c>
      <c r="K508" t="str">
        <f>INDEX('Match Groups'!$D$5:$D$1326,MATCH(J508,'Match Groups'!$A$5:$A$1326,0))</f>
        <v>STRIPE-FEE</v>
      </c>
    </row>
    <row r="509">
      <c r="A509" t="inlineStr">
        <is>
          <t>JI-01875</t>
        </is>
      </c>
      <c r="B509" t="inlineStr">
        <is>
          <t>OPS</t>
        </is>
      </c>
      <c r="C509" s="5" t="n">
        <v>46205</v>
      </c>
      <c r="D509" t="inlineStr">
        <is>
          <t>Stripe patient 69698</t>
        </is>
      </c>
      <c r="E509" t="inlineStr">
        <is>
          <t>INV/2026/03722</t>
        </is>
      </c>
      <c r="F509" t="inlineStr">
        <is>
          <t>Customer payment INV/2026/03722</t>
        </is>
      </c>
      <c r="G509" s="9" t="n">
        <v>110</v>
      </c>
      <c r="H509" t="inlineStr">
        <is>
          <t>customer_payment</t>
        </is>
      </c>
      <c r="I509" t="inlineStr"/>
      <c r="J509" t="inlineStr">
        <is>
          <t>G00017</t>
        </is>
      </c>
      <c r="K509" t="str">
        <f>INDEX('Match Groups'!$D$5:$D$1326,MATCH(J509,'Match Groups'!$A$5:$A$1326,0))</f>
        <v>STRIPE-FEE</v>
      </c>
    </row>
    <row r="510">
      <c r="A510" t="inlineStr">
        <is>
          <t>JI-01876</t>
        </is>
      </c>
      <c r="B510" t="inlineStr">
        <is>
          <t>OPS</t>
        </is>
      </c>
      <c r="C510" s="5" t="n">
        <v>46205</v>
      </c>
      <c r="D510" t="inlineStr">
        <is>
          <t>Stripe patient 95099</t>
        </is>
      </c>
      <c r="E510" t="inlineStr">
        <is>
          <t>INV/2026/03723</t>
        </is>
      </c>
      <c r="F510" t="inlineStr">
        <is>
          <t>Customer payment INV/2026/03723</t>
        </is>
      </c>
      <c r="G510" s="9" t="n">
        <v>180</v>
      </c>
      <c r="H510" t="inlineStr">
        <is>
          <t>customer_payment</t>
        </is>
      </c>
      <c r="I510" t="inlineStr"/>
      <c r="J510" t="inlineStr">
        <is>
          <t>G00017</t>
        </is>
      </c>
      <c r="K510" t="str">
        <f>INDEX('Match Groups'!$D$5:$D$1326,MATCH(J510,'Match Groups'!$A$5:$A$1326,0))</f>
        <v>STRIPE-FEE</v>
      </c>
    </row>
    <row r="511">
      <c r="A511" t="inlineStr">
        <is>
          <t>JI-01877</t>
        </is>
      </c>
      <c r="B511" t="inlineStr">
        <is>
          <t>OPS</t>
        </is>
      </c>
      <c r="C511" s="5" t="n">
        <v>46205</v>
      </c>
      <c r="D511" t="inlineStr">
        <is>
          <t>Stripe patient 27972</t>
        </is>
      </c>
      <c r="E511" t="inlineStr">
        <is>
          <t>INV/2026/03724</t>
        </is>
      </c>
      <c r="F511" t="inlineStr">
        <is>
          <t>Customer payment INV/2026/03724</t>
        </is>
      </c>
      <c r="G511" s="9" t="n">
        <v>85</v>
      </c>
      <c r="H511" t="inlineStr">
        <is>
          <t>customer_payment</t>
        </is>
      </c>
      <c r="I511" t="inlineStr"/>
      <c r="J511" t="inlineStr">
        <is>
          <t>G00017</t>
        </is>
      </c>
      <c r="K511" t="str">
        <f>INDEX('Match Groups'!$D$5:$D$1326,MATCH(J511,'Match Groups'!$A$5:$A$1326,0))</f>
        <v>STRIPE-FEE</v>
      </c>
    </row>
    <row r="512">
      <c r="A512" t="inlineStr">
        <is>
          <t>JI-01878</t>
        </is>
      </c>
      <c r="B512" t="inlineStr">
        <is>
          <t>OPS</t>
        </is>
      </c>
      <c r="C512" s="5" t="n">
        <v>46205</v>
      </c>
      <c r="D512" t="inlineStr">
        <is>
          <t>Stripe patient 84588</t>
        </is>
      </c>
      <c r="E512" t="inlineStr">
        <is>
          <t>INV/2026/03725</t>
        </is>
      </c>
      <c r="F512" t="inlineStr">
        <is>
          <t>Customer payment INV/2026/03725</t>
        </is>
      </c>
      <c r="G512" s="9" t="n">
        <v>95</v>
      </c>
      <c r="H512" t="inlineStr">
        <is>
          <t>customer_payment</t>
        </is>
      </c>
      <c r="I512" t="inlineStr"/>
      <c r="J512" t="inlineStr">
        <is>
          <t>G00017</t>
        </is>
      </c>
      <c r="K512" t="str">
        <f>INDEX('Match Groups'!$D$5:$D$1326,MATCH(J512,'Match Groups'!$A$5:$A$1326,0))</f>
        <v>STRIPE-FEE</v>
      </c>
    </row>
    <row r="513">
      <c r="A513" t="inlineStr">
        <is>
          <t>JI-01879</t>
        </is>
      </c>
      <c r="B513" t="inlineStr">
        <is>
          <t>OPS</t>
        </is>
      </c>
      <c r="C513" s="5" t="n">
        <v>46205</v>
      </c>
      <c r="D513" t="inlineStr">
        <is>
          <t>Stripe patient 66094</t>
        </is>
      </c>
      <c r="E513" t="inlineStr">
        <is>
          <t>INV/2026/03726</t>
        </is>
      </c>
      <c r="F513" t="inlineStr">
        <is>
          <t>Customer payment INV/2026/03726</t>
        </is>
      </c>
      <c r="G513" s="9" t="n">
        <v>110</v>
      </c>
      <c r="H513" t="inlineStr">
        <is>
          <t>customer_payment</t>
        </is>
      </c>
      <c r="I513" t="inlineStr"/>
      <c r="J513" t="inlineStr">
        <is>
          <t>G00017</t>
        </is>
      </c>
      <c r="K513" t="str">
        <f>INDEX('Match Groups'!$D$5:$D$1326,MATCH(J513,'Match Groups'!$A$5:$A$1326,0))</f>
        <v>STRIPE-FEE</v>
      </c>
    </row>
    <row r="514">
      <c r="A514" t="inlineStr">
        <is>
          <t>JI-01880</t>
        </is>
      </c>
      <c r="B514" t="inlineStr">
        <is>
          <t>OPS</t>
        </is>
      </c>
      <c r="C514" s="5" t="n">
        <v>46205</v>
      </c>
      <c r="D514" t="inlineStr">
        <is>
          <t>Stripe patient 73631</t>
        </is>
      </c>
      <c r="E514" t="inlineStr">
        <is>
          <t>INV/2026/03727</t>
        </is>
      </c>
      <c r="F514" t="inlineStr">
        <is>
          <t>Customer payment INV/2026/03727</t>
        </is>
      </c>
      <c r="G514" s="9" t="n">
        <v>110</v>
      </c>
      <c r="H514" t="inlineStr">
        <is>
          <t>customer_payment</t>
        </is>
      </c>
      <c r="I514" t="inlineStr"/>
      <c r="J514" t="inlineStr">
        <is>
          <t>G00017</t>
        </is>
      </c>
      <c r="K514" t="str">
        <f>INDEX('Match Groups'!$D$5:$D$1326,MATCH(J514,'Match Groups'!$A$5:$A$1326,0))</f>
        <v>STRIPE-FEE</v>
      </c>
    </row>
    <row r="515">
      <c r="A515" t="inlineStr">
        <is>
          <t>JI-01881</t>
        </is>
      </c>
      <c r="B515" t="inlineStr">
        <is>
          <t>OPS</t>
        </is>
      </c>
      <c r="C515" s="5" t="n">
        <v>46205</v>
      </c>
      <c r="D515" t="inlineStr">
        <is>
          <t>Stripe patient 48935</t>
        </is>
      </c>
      <c r="E515" t="inlineStr">
        <is>
          <t>INV/2026/03728</t>
        </is>
      </c>
      <c r="F515" t="inlineStr">
        <is>
          <t>Customer payment INV/2026/03728</t>
        </is>
      </c>
      <c r="G515" s="9" t="n">
        <v>110</v>
      </c>
      <c r="H515" t="inlineStr">
        <is>
          <t>customer_payment</t>
        </is>
      </c>
      <c r="I515" t="inlineStr"/>
      <c r="J515" t="inlineStr">
        <is>
          <t>G00017</t>
        </is>
      </c>
      <c r="K515" t="str">
        <f>INDEX('Match Groups'!$D$5:$D$1326,MATCH(J515,'Match Groups'!$A$5:$A$1326,0))</f>
        <v>STRIPE-FEE</v>
      </c>
    </row>
    <row r="516">
      <c r="A516" t="inlineStr">
        <is>
          <t>JI-01882</t>
        </is>
      </c>
      <c r="B516" t="inlineStr">
        <is>
          <t>OPS</t>
        </is>
      </c>
      <c r="C516" s="5" t="n">
        <v>46205</v>
      </c>
      <c r="D516" t="inlineStr">
        <is>
          <t>Stripe patient 32330</t>
        </is>
      </c>
      <c r="E516" t="inlineStr">
        <is>
          <t>INV/2026/03729</t>
        </is>
      </c>
      <c r="F516" t="inlineStr">
        <is>
          <t>Customer payment INV/2026/03729</t>
        </is>
      </c>
      <c r="G516" s="9" t="n">
        <v>180</v>
      </c>
      <c r="H516" t="inlineStr">
        <is>
          <t>customer_payment</t>
        </is>
      </c>
      <c r="I516" t="inlineStr"/>
      <c r="J516" t="inlineStr">
        <is>
          <t>G00017</t>
        </is>
      </c>
      <c r="K516" t="str">
        <f>INDEX('Match Groups'!$D$5:$D$1326,MATCH(J516,'Match Groups'!$A$5:$A$1326,0))</f>
        <v>STRIPE-FEE</v>
      </c>
    </row>
    <row r="517">
      <c r="A517" t="inlineStr">
        <is>
          <t>JI-01883</t>
        </is>
      </c>
      <c r="B517" t="inlineStr">
        <is>
          <t>OPS</t>
        </is>
      </c>
      <c r="C517" s="5" t="n">
        <v>46205</v>
      </c>
      <c r="D517" t="inlineStr">
        <is>
          <t>Stripe patient 91417</t>
        </is>
      </c>
      <c r="E517" t="inlineStr">
        <is>
          <t>INV/2026/03730</t>
        </is>
      </c>
      <c r="F517" t="inlineStr">
        <is>
          <t>Customer payment INV/2026/03730</t>
        </is>
      </c>
      <c r="G517" s="9" t="n">
        <v>220</v>
      </c>
      <c r="H517" t="inlineStr">
        <is>
          <t>customer_payment</t>
        </is>
      </c>
      <c r="I517" t="inlineStr"/>
      <c r="J517" t="inlineStr">
        <is>
          <t>G00017</t>
        </is>
      </c>
      <c r="K517" t="str">
        <f>INDEX('Match Groups'!$D$5:$D$1326,MATCH(J517,'Match Groups'!$A$5:$A$1326,0))</f>
        <v>STRIPE-FEE</v>
      </c>
    </row>
    <row r="518">
      <c r="A518" t="inlineStr">
        <is>
          <t>JI-01884</t>
        </is>
      </c>
      <c r="B518" t="inlineStr">
        <is>
          <t>OPS</t>
        </is>
      </c>
      <c r="C518" s="5" t="n">
        <v>46205</v>
      </c>
      <c r="D518" t="inlineStr">
        <is>
          <t>Stripe patient 61113</t>
        </is>
      </c>
      <c r="E518" t="inlineStr">
        <is>
          <t>INV/2026/03731</t>
        </is>
      </c>
      <c r="F518" t="inlineStr">
        <is>
          <t>Customer payment INV/2026/03731</t>
        </is>
      </c>
      <c r="G518" s="9" t="n">
        <v>65</v>
      </c>
      <c r="H518" t="inlineStr">
        <is>
          <t>customer_payment</t>
        </is>
      </c>
      <c r="I518" t="inlineStr"/>
      <c r="J518" t="inlineStr">
        <is>
          <t>G00017</t>
        </is>
      </c>
      <c r="K518" t="str">
        <f>INDEX('Match Groups'!$D$5:$D$1326,MATCH(J518,'Match Groups'!$A$5:$A$1326,0))</f>
        <v>STRIPE-FEE</v>
      </c>
    </row>
    <row r="519">
      <c r="A519" t="inlineStr">
        <is>
          <t>JI-01885</t>
        </is>
      </c>
      <c r="B519" t="inlineStr">
        <is>
          <t>OPS</t>
        </is>
      </c>
      <c r="C519" s="5" t="n">
        <v>46205</v>
      </c>
      <c r="D519" t="inlineStr">
        <is>
          <t>Stripe patient 92147</t>
        </is>
      </c>
      <c r="E519" t="inlineStr">
        <is>
          <t>INV/2026/03732</t>
        </is>
      </c>
      <c r="F519" t="inlineStr">
        <is>
          <t>Customer payment INV/2026/03732</t>
        </is>
      </c>
      <c r="G519" s="9" t="n">
        <v>120</v>
      </c>
      <c r="H519" t="inlineStr">
        <is>
          <t>customer_payment</t>
        </is>
      </c>
      <c r="I519" t="inlineStr"/>
      <c r="J519" t="inlineStr">
        <is>
          <t>G00017</t>
        </is>
      </c>
      <c r="K519" t="str">
        <f>INDEX('Match Groups'!$D$5:$D$1326,MATCH(J519,'Match Groups'!$A$5:$A$1326,0))</f>
        <v>STRIPE-FEE</v>
      </c>
    </row>
    <row r="520">
      <c r="A520" t="inlineStr">
        <is>
          <t>JI-01886</t>
        </is>
      </c>
      <c r="B520" t="inlineStr">
        <is>
          <t>OPS</t>
        </is>
      </c>
      <c r="C520" s="5" t="n">
        <v>46205</v>
      </c>
      <c r="D520" t="inlineStr">
        <is>
          <t>Stripe patient 47129</t>
        </is>
      </c>
      <c r="E520" t="inlineStr">
        <is>
          <t>INV/2026/03733</t>
        </is>
      </c>
      <c r="F520" t="inlineStr">
        <is>
          <t>Customer payment INV/2026/03733</t>
        </is>
      </c>
      <c r="G520" s="9" t="n">
        <v>220</v>
      </c>
      <c r="H520" t="inlineStr">
        <is>
          <t>customer_payment</t>
        </is>
      </c>
      <c r="I520" t="inlineStr"/>
      <c r="J520" t="inlineStr">
        <is>
          <t>G00017</t>
        </is>
      </c>
      <c r="K520" t="str">
        <f>INDEX('Match Groups'!$D$5:$D$1326,MATCH(J520,'Match Groups'!$A$5:$A$1326,0))</f>
        <v>STRIPE-FEE</v>
      </c>
    </row>
    <row r="521">
      <c r="A521" t="inlineStr">
        <is>
          <t>JI-01887</t>
        </is>
      </c>
      <c r="B521" t="inlineStr">
        <is>
          <t>OPS</t>
        </is>
      </c>
      <c r="C521" s="5" t="n">
        <v>46205</v>
      </c>
      <c r="D521" t="inlineStr">
        <is>
          <t>Stripe patient 16399</t>
        </is>
      </c>
      <c r="E521" t="inlineStr">
        <is>
          <t>INV/2026/03734</t>
        </is>
      </c>
      <c r="F521" t="inlineStr">
        <is>
          <t>Customer payment INV/2026/03734</t>
        </is>
      </c>
      <c r="G521" s="9" t="n">
        <v>85</v>
      </c>
      <c r="H521" t="inlineStr">
        <is>
          <t>customer_payment</t>
        </is>
      </c>
      <c r="I521" t="inlineStr"/>
      <c r="J521" t="inlineStr">
        <is>
          <t>G00017</t>
        </is>
      </c>
      <c r="K521" t="str">
        <f>INDEX('Match Groups'!$D$5:$D$1326,MATCH(J521,'Match Groups'!$A$5:$A$1326,0))</f>
        <v>STRIPE-FEE</v>
      </c>
    </row>
    <row r="522">
      <c r="A522" t="inlineStr">
        <is>
          <t>JI-03896</t>
        </is>
      </c>
      <c r="B522" t="inlineStr">
        <is>
          <t>OPS</t>
        </is>
      </c>
      <c r="C522" s="5" t="n">
        <v>46205</v>
      </c>
      <c r="D522" t="inlineStr">
        <is>
          <t>Bayview Commercial Leasing</t>
        </is>
      </c>
      <c r="E522" t="inlineStr">
        <is>
          <t>BILL/2026/1000</t>
        </is>
      </c>
      <c r="F522" t="inlineStr">
        <is>
          <t>Vendor payment BILL/2026/1000</t>
        </is>
      </c>
      <c r="G522" s="9" t="n">
        <v>-8250</v>
      </c>
      <c r="H522" t="inlineStr">
        <is>
          <t>supplier_payment</t>
        </is>
      </c>
      <c r="I522" t="inlineStr"/>
      <c r="J522" t="inlineStr">
        <is>
          <t>G01116</t>
        </is>
      </c>
      <c r="K522" t="str">
        <f>INDEX('Match Groups'!$D$5:$D$1326,MATCH(J522,'Match Groups'!$A$5:$A$1326,0))</f>
        <v>MATCH</v>
      </c>
    </row>
    <row r="523">
      <c r="A523" t="inlineStr">
        <is>
          <t>JI-00049</t>
        </is>
      </c>
      <c r="B523" t="inlineStr">
        <is>
          <t>OPS</t>
        </is>
      </c>
      <c r="C523" s="5" t="n">
        <v>46206</v>
      </c>
      <c r="D523" t="inlineStr">
        <is>
          <t>Bluegum Plan Management</t>
        </is>
      </c>
      <c r="E523" t="inlineStr">
        <is>
          <t>INV/2026/01401</t>
        </is>
      </c>
      <c r="F523" t="inlineStr">
        <is>
          <t>Customer payment INV/2026/01401</t>
        </is>
      </c>
      <c r="G523" s="9" t="n">
        <v>193.99</v>
      </c>
      <c r="H523" t="inlineStr">
        <is>
          <t>customer_payment</t>
        </is>
      </c>
      <c r="I523" t="inlineStr"/>
      <c r="J523" t="inlineStr">
        <is>
          <t>G00093</t>
        </is>
      </c>
      <c r="K523" t="str">
        <f>INDEX('Match Groups'!$D$5:$D$1326,MATCH(J523,'Match Groups'!$A$5:$A$1326,0))</f>
        <v>SHORT</v>
      </c>
    </row>
    <row r="524">
      <c r="A524" t="inlineStr">
        <is>
          <t>JI-00050</t>
        </is>
      </c>
      <c r="B524" t="inlineStr">
        <is>
          <t>OPS</t>
        </is>
      </c>
      <c r="C524" s="5" t="n">
        <v>46206</v>
      </c>
      <c r="D524" t="inlineStr">
        <is>
          <t>Bluegum Plan Management</t>
        </is>
      </c>
      <c r="E524" t="inlineStr">
        <is>
          <t>INV/2026/01402</t>
        </is>
      </c>
      <c r="F524" t="inlineStr">
        <is>
          <t>Customer payment INV/2026/01402</t>
        </is>
      </c>
      <c r="G524" s="9" t="n">
        <v>252.19</v>
      </c>
      <c r="H524" t="inlineStr">
        <is>
          <t>customer_payment</t>
        </is>
      </c>
      <c r="I524" t="inlineStr"/>
      <c r="J524" t="inlineStr">
        <is>
          <t>G00093</t>
        </is>
      </c>
      <c r="K524" t="str">
        <f>INDEX('Match Groups'!$D$5:$D$1326,MATCH(J524,'Match Groups'!$A$5:$A$1326,0))</f>
        <v>SHORT</v>
      </c>
    </row>
    <row r="525">
      <c r="A525" t="inlineStr">
        <is>
          <t>JI-00051</t>
        </is>
      </c>
      <c r="B525" t="inlineStr">
        <is>
          <t>OPS</t>
        </is>
      </c>
      <c r="C525" s="5" t="n">
        <v>46206</v>
      </c>
      <c r="D525" t="inlineStr">
        <is>
          <t>Bluegum Plan Management</t>
        </is>
      </c>
      <c r="E525" t="inlineStr">
        <is>
          <t>INV/2026/01423</t>
        </is>
      </c>
      <c r="F525" t="inlineStr">
        <is>
          <t>Customer payment INV/2026/01423</t>
        </is>
      </c>
      <c r="G525" s="9" t="n">
        <v>193.99</v>
      </c>
      <c r="H525" t="inlineStr">
        <is>
          <t>customer_payment</t>
        </is>
      </c>
      <c r="I525" t="inlineStr"/>
      <c r="J525" t="inlineStr">
        <is>
          <t>G00093</t>
        </is>
      </c>
      <c r="K525" t="str">
        <f>INDEX('Match Groups'!$D$5:$D$1326,MATCH(J525,'Match Groups'!$A$5:$A$1326,0))</f>
        <v>SHORT</v>
      </c>
    </row>
    <row r="526">
      <c r="A526" t="inlineStr">
        <is>
          <t>JI-00052</t>
        </is>
      </c>
      <c r="B526" t="inlineStr">
        <is>
          <t>OPS</t>
        </is>
      </c>
      <c r="C526" s="5" t="n">
        <v>46206</v>
      </c>
      <c r="D526" t="inlineStr">
        <is>
          <t>Bluegum Plan Management</t>
        </is>
      </c>
      <c r="E526" t="inlineStr">
        <is>
          <t>INV/2026/01424</t>
        </is>
      </c>
      <c r="F526" t="inlineStr">
        <is>
          <t>Customer payment INV/2026/01424</t>
        </is>
      </c>
      <c r="G526" s="9" t="n">
        <v>272.49</v>
      </c>
      <c r="H526" t="inlineStr">
        <is>
          <t>customer_payment</t>
        </is>
      </c>
      <c r="I526" t="inlineStr"/>
      <c r="J526" t="inlineStr">
        <is>
          <t>G00093</t>
        </is>
      </c>
      <c r="K526" t="str">
        <f>INDEX('Match Groups'!$D$5:$D$1326,MATCH(J526,'Match Groups'!$A$5:$A$1326,0))</f>
        <v>SHORT</v>
      </c>
    </row>
    <row r="527">
      <c r="A527" t="inlineStr">
        <is>
          <t>JI-00053</t>
        </is>
      </c>
      <c r="B527" t="inlineStr">
        <is>
          <t>OPS</t>
        </is>
      </c>
      <c r="C527" s="5" t="n">
        <v>46206</v>
      </c>
      <c r="D527" t="inlineStr">
        <is>
          <t>Bluegum Plan Management</t>
        </is>
      </c>
      <c r="E527" t="inlineStr">
        <is>
          <t>INV/2026/01425</t>
        </is>
      </c>
      <c r="F527" t="inlineStr">
        <is>
          <t>Customer payment INV/2026/01425</t>
        </is>
      </c>
      <c r="G527" s="9" t="n">
        <v>193.99</v>
      </c>
      <c r="H527" t="inlineStr">
        <is>
          <t>customer_payment</t>
        </is>
      </c>
      <c r="I527" t="inlineStr"/>
      <c r="J527" t="inlineStr">
        <is>
          <t>G00093</t>
        </is>
      </c>
      <c r="K527" t="str">
        <f>INDEX('Match Groups'!$D$5:$D$1326,MATCH(J527,'Match Groups'!$A$5:$A$1326,0))</f>
        <v>SHORT</v>
      </c>
    </row>
    <row r="528">
      <c r="A528" t="inlineStr">
        <is>
          <t>JI-00054</t>
        </is>
      </c>
      <c r="B528" t="inlineStr">
        <is>
          <t>OPS</t>
        </is>
      </c>
      <c r="C528" s="5" t="n">
        <v>46206</v>
      </c>
      <c r="D528" t="inlineStr">
        <is>
          <t>Bluegum Plan Management</t>
        </is>
      </c>
      <c r="E528" t="inlineStr">
        <is>
          <t>INV/2026/01447</t>
        </is>
      </c>
      <c r="F528" t="inlineStr">
        <is>
          <t>Customer payment INV/2026/01447</t>
        </is>
      </c>
      <c r="G528" s="9" t="n">
        <v>145.49</v>
      </c>
      <c r="H528" t="inlineStr">
        <is>
          <t>customer_payment</t>
        </is>
      </c>
      <c r="I528" t="inlineStr"/>
      <c r="J528" t="inlineStr">
        <is>
          <t>G00093</t>
        </is>
      </c>
      <c r="K528" t="str">
        <f>INDEX('Match Groups'!$D$5:$D$1326,MATCH(J528,'Match Groups'!$A$5:$A$1326,0))</f>
        <v>SHORT</v>
      </c>
    </row>
    <row r="529">
      <c r="A529" t="inlineStr">
        <is>
          <t>JI-00055</t>
        </is>
      </c>
      <c r="B529" t="inlineStr">
        <is>
          <t>OPS</t>
        </is>
      </c>
      <c r="C529" s="5" t="n">
        <v>46206</v>
      </c>
      <c r="D529" t="inlineStr">
        <is>
          <t>Bluegum Plan Management</t>
        </is>
      </c>
      <c r="E529" t="inlineStr">
        <is>
          <t>INV/2026/01448</t>
        </is>
      </c>
      <c r="F529" t="inlineStr">
        <is>
          <t>Customer payment INV/2026/01448</t>
        </is>
      </c>
      <c r="G529" s="9" t="n">
        <v>242.49</v>
      </c>
      <c r="H529" t="inlineStr">
        <is>
          <t>customer_payment</t>
        </is>
      </c>
      <c r="I529" t="inlineStr"/>
      <c r="J529" t="inlineStr">
        <is>
          <t>G00093</t>
        </is>
      </c>
      <c r="K529" t="str">
        <f>INDEX('Match Groups'!$D$5:$D$1326,MATCH(J529,'Match Groups'!$A$5:$A$1326,0))</f>
        <v>SHORT</v>
      </c>
    </row>
    <row r="530">
      <c r="A530" t="inlineStr">
        <is>
          <t>JI-00056</t>
        </is>
      </c>
      <c r="B530" t="inlineStr">
        <is>
          <t>OPS</t>
        </is>
      </c>
      <c r="C530" s="5" t="n">
        <v>46206</v>
      </c>
      <c r="D530" t="inlineStr">
        <is>
          <t>Bluegum Plan Management</t>
        </is>
      </c>
      <c r="E530" t="inlineStr">
        <is>
          <t>INV/2026/01449</t>
        </is>
      </c>
      <c r="F530" t="inlineStr">
        <is>
          <t>Customer payment INV/2026/01449</t>
        </is>
      </c>
      <c r="G530" s="9" t="n">
        <v>387.98</v>
      </c>
      <c r="H530" t="inlineStr">
        <is>
          <t>customer_payment</t>
        </is>
      </c>
      <c r="I530" t="inlineStr"/>
      <c r="J530" t="inlineStr">
        <is>
          <t>G00093</t>
        </is>
      </c>
      <c r="K530" t="str">
        <f>INDEX('Match Groups'!$D$5:$D$1326,MATCH(J530,'Match Groups'!$A$5:$A$1326,0))</f>
        <v>SHORT</v>
      </c>
    </row>
    <row r="531">
      <c r="A531" t="inlineStr">
        <is>
          <t>JI-00060</t>
        </is>
      </c>
      <c r="B531" t="inlineStr">
        <is>
          <t>OPS</t>
        </is>
      </c>
      <c r="C531" s="5" t="n">
        <v>46206</v>
      </c>
      <c r="D531" t="inlineStr">
        <is>
          <t>Saltbush Plan Managers</t>
        </is>
      </c>
      <c r="E531" t="inlineStr">
        <is>
          <t>INV/2026/01410</t>
        </is>
      </c>
      <c r="F531" t="inlineStr">
        <is>
          <t>Customer payment INV/2026/01410</t>
        </is>
      </c>
      <c r="G531" s="9" t="n">
        <v>223.99</v>
      </c>
      <c r="H531" t="inlineStr">
        <is>
          <t>customer_payment</t>
        </is>
      </c>
      <c r="I531" t="inlineStr"/>
      <c r="J531" t="inlineStr">
        <is>
          <t>G00096</t>
        </is>
      </c>
      <c r="K531" t="str">
        <f>INDEX('Match Groups'!$D$5:$D$1326,MATCH(J531,'Match Groups'!$A$5:$A$1326,0))</f>
        <v>MATCH</v>
      </c>
    </row>
    <row r="532">
      <c r="A532" t="inlineStr">
        <is>
          <t>JI-00061</t>
        </is>
      </c>
      <c r="B532" t="inlineStr">
        <is>
          <t>OPS</t>
        </is>
      </c>
      <c r="C532" s="5" t="n">
        <v>46206</v>
      </c>
      <c r="D532" t="inlineStr">
        <is>
          <t>Saltbush Plan Managers</t>
        </is>
      </c>
      <c r="E532" t="inlineStr">
        <is>
          <t>INV/2026/01434</t>
        </is>
      </c>
      <c r="F532" t="inlineStr">
        <is>
          <t>Customer payment INV/2026/01434</t>
        </is>
      </c>
      <c r="G532" s="9" t="n">
        <v>145.49</v>
      </c>
      <c r="H532" t="inlineStr">
        <is>
          <t>customer_payment</t>
        </is>
      </c>
      <c r="I532" t="inlineStr"/>
      <c r="J532" t="inlineStr">
        <is>
          <t>G00096</t>
        </is>
      </c>
      <c r="K532" t="str">
        <f>INDEX('Match Groups'!$D$5:$D$1326,MATCH(J532,'Match Groups'!$A$5:$A$1326,0))</f>
        <v>MATCH</v>
      </c>
    </row>
    <row r="533">
      <c r="A533" t="inlineStr">
        <is>
          <t>JI-00062</t>
        </is>
      </c>
      <c r="B533" t="inlineStr">
        <is>
          <t>OPS</t>
        </is>
      </c>
      <c r="C533" s="5" t="n">
        <v>46206</v>
      </c>
      <c r="D533" t="inlineStr">
        <is>
          <t>Redgum Plan Admin</t>
        </is>
      </c>
      <c r="E533" t="inlineStr">
        <is>
          <t>INV/2026/01411</t>
        </is>
      </c>
      <c r="F533" t="inlineStr">
        <is>
          <t>Customer payment INV/2026/01411</t>
        </is>
      </c>
      <c r="G533" s="9" t="n">
        <v>242.49</v>
      </c>
      <c r="H533" t="inlineStr">
        <is>
          <t>customer_payment</t>
        </is>
      </c>
      <c r="I533" t="inlineStr"/>
      <c r="J533" t="inlineStr">
        <is>
          <t>G00097</t>
        </is>
      </c>
      <c r="K533" t="str">
        <f>INDEX('Match Groups'!$D$5:$D$1326,MATCH(J533,'Match Groups'!$A$5:$A$1326,0))</f>
        <v>MATCH</v>
      </c>
    </row>
    <row r="534">
      <c r="A534" t="inlineStr">
        <is>
          <t>JI-00063</t>
        </is>
      </c>
      <c r="B534" t="inlineStr">
        <is>
          <t>OPS</t>
        </is>
      </c>
      <c r="C534" s="5" t="n">
        <v>46206</v>
      </c>
      <c r="D534" t="inlineStr">
        <is>
          <t>Redgum Plan Admin</t>
        </is>
      </c>
      <c r="E534" t="inlineStr">
        <is>
          <t>INV/2026/01412</t>
        </is>
      </c>
      <c r="F534" t="inlineStr">
        <is>
          <t>Customer payment INV/2026/01412</t>
        </is>
      </c>
      <c r="G534" s="9" t="n">
        <v>96.98999999999999</v>
      </c>
      <c r="H534" t="inlineStr">
        <is>
          <t>customer_payment</t>
        </is>
      </c>
      <c r="I534" t="inlineStr"/>
      <c r="J534" t="inlineStr">
        <is>
          <t>G00097</t>
        </is>
      </c>
      <c r="K534" t="str">
        <f>INDEX('Match Groups'!$D$5:$D$1326,MATCH(J534,'Match Groups'!$A$5:$A$1326,0))</f>
        <v>MATCH</v>
      </c>
    </row>
    <row r="535">
      <c r="A535" t="inlineStr">
        <is>
          <t>JI-00064</t>
        </is>
      </c>
      <c r="B535" t="inlineStr">
        <is>
          <t>OPS</t>
        </is>
      </c>
      <c r="C535" s="5" t="n">
        <v>46206</v>
      </c>
      <c r="D535" t="inlineStr">
        <is>
          <t>Redgum Plan Admin</t>
        </is>
      </c>
      <c r="E535" t="inlineStr">
        <is>
          <t>INV/2026/01435</t>
        </is>
      </c>
      <c r="F535" t="inlineStr">
        <is>
          <t>Customer payment INV/2026/01435</t>
        </is>
      </c>
      <c r="G535" s="9" t="n">
        <v>96.98999999999999</v>
      </c>
      <c r="H535" t="inlineStr">
        <is>
          <t>customer_payment</t>
        </is>
      </c>
      <c r="I535" t="inlineStr"/>
      <c r="J535" t="inlineStr">
        <is>
          <t>G00097</t>
        </is>
      </c>
      <c r="K535" t="str">
        <f>INDEX('Match Groups'!$D$5:$D$1326,MATCH(J535,'Match Groups'!$A$5:$A$1326,0))</f>
        <v>MATCH</v>
      </c>
    </row>
    <row r="536">
      <c r="A536" t="inlineStr">
        <is>
          <t>JI-00065</t>
        </is>
      </c>
      <c r="B536" t="inlineStr">
        <is>
          <t>OPS</t>
        </is>
      </c>
      <c r="C536" s="5" t="n">
        <v>46206</v>
      </c>
      <c r="D536" t="inlineStr">
        <is>
          <t>Tallowwood Plans</t>
        </is>
      </c>
      <c r="E536" t="inlineStr">
        <is>
          <t>INV/2026/01490</t>
        </is>
      </c>
      <c r="F536" t="inlineStr">
        <is>
          <t>Customer payment INV/2026/01490</t>
        </is>
      </c>
      <c r="G536" s="9" t="n">
        <v>387.98</v>
      </c>
      <c r="H536" t="inlineStr">
        <is>
          <t>customer_payment</t>
        </is>
      </c>
      <c r="I536" t="inlineStr"/>
      <c r="J536" t="inlineStr">
        <is>
          <t>G00098</t>
        </is>
      </c>
      <c r="K536" t="str">
        <f>INDEX('Match Groups'!$D$5:$D$1326,MATCH(J536,'Match Groups'!$A$5:$A$1326,0))</f>
        <v>MATCH</v>
      </c>
    </row>
    <row r="537">
      <c r="A537" t="inlineStr">
        <is>
          <t>JI-00066</t>
        </is>
      </c>
      <c r="B537" t="inlineStr">
        <is>
          <t>OPS</t>
        </is>
      </c>
      <c r="C537" s="5" t="n">
        <v>46206</v>
      </c>
      <c r="D537" t="inlineStr">
        <is>
          <t>Tallowwood Plans</t>
        </is>
      </c>
      <c r="E537" t="inlineStr">
        <is>
          <t>INV/2026/01511</t>
        </is>
      </c>
      <c r="F537" t="inlineStr">
        <is>
          <t>Customer payment INV/2026/01511</t>
        </is>
      </c>
      <c r="G537" s="9" t="n">
        <v>126.99</v>
      </c>
      <c r="H537" t="inlineStr">
        <is>
          <t>customer_payment</t>
        </is>
      </c>
      <c r="I537" t="inlineStr"/>
      <c r="J537" t="inlineStr">
        <is>
          <t>G00098</t>
        </is>
      </c>
      <c r="K537" t="str">
        <f>INDEX('Match Groups'!$D$5:$D$1326,MATCH(J537,'Match Groups'!$A$5:$A$1326,0))</f>
        <v>MATCH</v>
      </c>
    </row>
    <row r="538">
      <c r="A538" t="inlineStr">
        <is>
          <t>JI-00067</t>
        </is>
      </c>
      <c r="B538" t="inlineStr">
        <is>
          <t>OPS</t>
        </is>
      </c>
      <c r="C538" s="5" t="n">
        <v>46206</v>
      </c>
      <c r="D538" t="inlineStr">
        <is>
          <t>Tallowwood Plans</t>
        </is>
      </c>
      <c r="E538" t="inlineStr">
        <is>
          <t>INV/2026/01530</t>
        </is>
      </c>
      <c r="F538" t="inlineStr">
        <is>
          <t>Customer payment INV/2026/01530</t>
        </is>
      </c>
      <c r="G538" s="9" t="n">
        <v>193.99</v>
      </c>
      <c r="H538" t="inlineStr">
        <is>
          <t>customer_payment</t>
        </is>
      </c>
      <c r="I538" t="inlineStr"/>
      <c r="J538" t="inlineStr">
        <is>
          <t>G00098</t>
        </is>
      </c>
      <c r="K538" t="str">
        <f>INDEX('Match Groups'!$D$5:$D$1326,MATCH(J538,'Match Groups'!$A$5:$A$1326,0))</f>
        <v>MATCH</v>
      </c>
    </row>
    <row r="539">
      <c r="A539" t="inlineStr">
        <is>
          <t>JI-00068</t>
        </is>
      </c>
      <c r="B539" t="inlineStr">
        <is>
          <t>OPS</t>
        </is>
      </c>
      <c r="C539" s="5" t="n">
        <v>46206</v>
      </c>
      <c r="D539" t="inlineStr">
        <is>
          <t>Tallowwood Plans</t>
        </is>
      </c>
      <c r="E539" t="inlineStr">
        <is>
          <t>INV/2026/01548</t>
        </is>
      </c>
      <c r="F539" t="inlineStr">
        <is>
          <t>Customer payment INV/2026/01548</t>
        </is>
      </c>
      <c r="G539" s="9" t="n">
        <v>349.18</v>
      </c>
      <c r="H539" t="inlineStr">
        <is>
          <t>customer_payment</t>
        </is>
      </c>
      <c r="I539" t="inlineStr"/>
      <c r="J539" t="inlineStr">
        <is>
          <t>G00098</t>
        </is>
      </c>
      <c r="K539" t="str">
        <f>INDEX('Match Groups'!$D$5:$D$1326,MATCH(J539,'Match Groups'!$A$5:$A$1326,0))</f>
        <v>MATCH</v>
      </c>
    </row>
    <row r="540">
      <c r="A540" t="inlineStr">
        <is>
          <t>JI-00069</t>
        </is>
      </c>
      <c r="B540" t="inlineStr">
        <is>
          <t>OPS</t>
        </is>
      </c>
      <c r="C540" s="5" t="n">
        <v>46206</v>
      </c>
      <c r="D540" t="inlineStr">
        <is>
          <t>Tallowwood Plans</t>
        </is>
      </c>
      <c r="E540" t="inlineStr">
        <is>
          <t>INV/2026/01549</t>
        </is>
      </c>
      <c r="F540" t="inlineStr">
        <is>
          <t>Customer payment INV/2026/01549</t>
        </is>
      </c>
      <c r="G540" s="9" t="n">
        <v>175.49</v>
      </c>
      <c r="H540" t="inlineStr">
        <is>
          <t>customer_payment</t>
        </is>
      </c>
      <c r="I540" t="inlineStr"/>
      <c r="J540" t="inlineStr">
        <is>
          <t>G00098</t>
        </is>
      </c>
      <c r="K540" t="str">
        <f>INDEX('Match Groups'!$D$5:$D$1326,MATCH(J540,'Match Groups'!$A$5:$A$1326,0))</f>
        <v>MATCH</v>
      </c>
    </row>
    <row r="541">
      <c r="A541" t="inlineStr">
        <is>
          <t>JI-00070</t>
        </is>
      </c>
      <c r="B541" t="inlineStr">
        <is>
          <t>OPS</t>
        </is>
      </c>
      <c r="C541" s="5" t="n">
        <v>46206</v>
      </c>
      <c r="D541" t="inlineStr">
        <is>
          <t>Tallowwood Plans</t>
        </is>
      </c>
      <c r="E541" t="inlineStr">
        <is>
          <t>INV/2026/01574</t>
        </is>
      </c>
      <c r="F541" t="inlineStr">
        <is>
          <t>Customer payment INV/2026/01574</t>
        </is>
      </c>
      <c r="G541" s="9" t="n">
        <v>96.98999999999999</v>
      </c>
      <c r="H541" t="inlineStr">
        <is>
          <t>customer_payment</t>
        </is>
      </c>
      <c r="I541" t="inlineStr"/>
      <c r="J541" t="inlineStr">
        <is>
          <t>G00098</t>
        </is>
      </c>
      <c r="K541" t="str">
        <f>INDEX('Match Groups'!$D$5:$D$1326,MATCH(J541,'Match Groups'!$A$5:$A$1326,0))</f>
        <v>MATCH</v>
      </c>
    </row>
    <row r="542">
      <c r="A542" t="inlineStr">
        <is>
          <t>JI-00071</t>
        </is>
      </c>
      <c r="B542" t="inlineStr">
        <is>
          <t>OPS</t>
        </is>
      </c>
      <c r="C542" s="5" t="n">
        <v>46206</v>
      </c>
      <c r="D542" t="inlineStr">
        <is>
          <t>Tallowwood Plans</t>
        </is>
      </c>
      <c r="E542" t="inlineStr">
        <is>
          <t>INV/2026/01627</t>
        </is>
      </c>
      <c r="F542" t="inlineStr">
        <is>
          <t>Customer payment INV/2026/01627</t>
        </is>
      </c>
      <c r="G542" s="9" t="n">
        <v>96.98999999999999</v>
      </c>
      <c r="H542" t="inlineStr">
        <is>
          <t>customer_payment</t>
        </is>
      </c>
      <c r="I542" t="inlineStr"/>
      <c r="J542" t="inlineStr">
        <is>
          <t>G00098</t>
        </is>
      </c>
      <c r="K542" t="str">
        <f>INDEX('Match Groups'!$D$5:$D$1326,MATCH(J542,'Match Groups'!$A$5:$A$1326,0))</f>
        <v>MATCH</v>
      </c>
    </row>
    <row r="543">
      <c r="A543" t="inlineStr">
        <is>
          <t>JI-00072</t>
        </is>
      </c>
      <c r="B543" t="inlineStr">
        <is>
          <t>OPS</t>
        </is>
      </c>
      <c r="C543" s="5" t="n">
        <v>46206</v>
      </c>
      <c r="D543" t="inlineStr">
        <is>
          <t>Tallowwood Plans</t>
        </is>
      </c>
      <c r="E543" t="inlineStr">
        <is>
          <t>INV/2026/01657</t>
        </is>
      </c>
      <c r="F543" t="inlineStr">
        <is>
          <t>Customer payment INV/2026/01657</t>
        </is>
      </c>
      <c r="G543" s="9" t="n">
        <v>417.98</v>
      </c>
      <c r="H543" t="inlineStr">
        <is>
          <t>customer_payment</t>
        </is>
      </c>
      <c r="I543" t="inlineStr"/>
      <c r="J543" t="inlineStr">
        <is>
          <t>G00098</t>
        </is>
      </c>
      <c r="K543" t="str">
        <f>INDEX('Match Groups'!$D$5:$D$1326,MATCH(J543,'Match Groups'!$A$5:$A$1326,0))</f>
        <v>MATCH</v>
      </c>
    </row>
    <row r="544">
      <c r="A544" t="inlineStr">
        <is>
          <t>JI-00073</t>
        </is>
      </c>
      <c r="B544" t="inlineStr">
        <is>
          <t>OPS</t>
        </is>
      </c>
      <c r="C544" s="5" t="n">
        <v>46206</v>
      </c>
      <c r="D544" t="inlineStr">
        <is>
          <t>Tallowwood Plans</t>
        </is>
      </c>
      <c r="E544" t="inlineStr">
        <is>
          <t>INV/2026/01658</t>
        </is>
      </c>
      <c r="F544" t="inlineStr">
        <is>
          <t>Customer payment INV/2026/01658</t>
        </is>
      </c>
      <c r="G544" s="9" t="n">
        <v>446.18</v>
      </c>
      <c r="H544" t="inlineStr">
        <is>
          <t>customer_payment</t>
        </is>
      </c>
      <c r="I544" t="inlineStr"/>
      <c r="J544" t="inlineStr">
        <is>
          <t>G00098</t>
        </is>
      </c>
      <c r="K544" t="str">
        <f>INDEX('Match Groups'!$D$5:$D$1326,MATCH(J544,'Match Groups'!$A$5:$A$1326,0))</f>
        <v>MATCH</v>
      </c>
    </row>
    <row r="545">
      <c r="A545" t="inlineStr">
        <is>
          <t>JI-00074</t>
        </is>
      </c>
      <c r="B545" t="inlineStr">
        <is>
          <t>OPS</t>
        </is>
      </c>
      <c r="C545" s="5" t="n">
        <v>46206</v>
      </c>
      <c r="D545" t="inlineStr">
        <is>
          <t>Tallowwood Plans</t>
        </is>
      </c>
      <c r="E545" t="inlineStr">
        <is>
          <t>INV/2026/01678</t>
        </is>
      </c>
      <c r="F545" t="inlineStr">
        <is>
          <t>Customer payment INV/2026/01678</t>
        </is>
      </c>
      <c r="G545" s="9" t="n">
        <v>272.49</v>
      </c>
      <c r="H545" t="inlineStr">
        <is>
          <t>customer_payment</t>
        </is>
      </c>
      <c r="I545" t="inlineStr"/>
      <c r="J545" t="inlineStr">
        <is>
          <t>G00098</t>
        </is>
      </c>
      <c r="K545" t="str">
        <f>INDEX('Match Groups'!$D$5:$D$1326,MATCH(J545,'Match Groups'!$A$5:$A$1326,0))</f>
        <v>MATCH</v>
      </c>
    </row>
    <row r="546">
      <c r="A546" t="inlineStr">
        <is>
          <t>JI-00075</t>
        </is>
      </c>
      <c r="B546" t="inlineStr">
        <is>
          <t>OPS</t>
        </is>
      </c>
      <c r="C546" s="5" t="n">
        <v>46206</v>
      </c>
      <c r="D546" t="inlineStr">
        <is>
          <t>Tallowwood Plans</t>
        </is>
      </c>
      <c r="E546" t="inlineStr">
        <is>
          <t>INV/2026/01679</t>
        </is>
      </c>
      <c r="F546" t="inlineStr">
        <is>
          <t>Customer payment INV/2026/01679</t>
        </is>
      </c>
      <c r="G546" s="9" t="n">
        <v>387.98</v>
      </c>
      <c r="H546" t="inlineStr">
        <is>
          <t>customer_payment</t>
        </is>
      </c>
      <c r="I546" t="inlineStr"/>
      <c r="J546" t="inlineStr">
        <is>
          <t>G00098</t>
        </is>
      </c>
      <c r="K546" t="str">
        <f>INDEX('Match Groups'!$D$5:$D$1326,MATCH(J546,'Match Groups'!$A$5:$A$1326,0))</f>
        <v>MATCH</v>
      </c>
    </row>
    <row r="547">
      <c r="A547" t="inlineStr">
        <is>
          <t>JI-00076</t>
        </is>
      </c>
      <c r="B547" t="inlineStr">
        <is>
          <t>OPS</t>
        </is>
      </c>
      <c r="C547" s="5" t="n">
        <v>46206</v>
      </c>
      <c r="D547" t="inlineStr">
        <is>
          <t>Tallowwood Plans</t>
        </is>
      </c>
      <c r="E547" t="inlineStr">
        <is>
          <t>INV/2026/01724</t>
        </is>
      </c>
      <c r="F547" t="inlineStr">
        <is>
          <t>Customer payment INV/2026/01724</t>
        </is>
      </c>
      <c r="G547" s="9" t="n">
        <v>242.49</v>
      </c>
      <c r="H547" t="inlineStr">
        <is>
          <t>customer_payment</t>
        </is>
      </c>
      <c r="I547" t="inlineStr"/>
      <c r="J547" t="inlineStr">
        <is>
          <t>G00098</t>
        </is>
      </c>
      <c r="K547" t="str">
        <f>INDEX('Match Groups'!$D$5:$D$1326,MATCH(J547,'Match Groups'!$A$5:$A$1326,0))</f>
        <v>MATCH</v>
      </c>
    </row>
    <row r="548">
      <c r="A548" t="inlineStr">
        <is>
          <t>JI-00077</t>
        </is>
      </c>
      <c r="B548" t="inlineStr">
        <is>
          <t>OPS</t>
        </is>
      </c>
      <c r="C548" s="5" t="n">
        <v>46206</v>
      </c>
      <c r="D548" t="inlineStr">
        <is>
          <t>Acacia Plan Partners</t>
        </is>
      </c>
      <c r="E548" t="inlineStr">
        <is>
          <t>INV/2026/01550</t>
        </is>
      </c>
      <c r="F548" t="inlineStr">
        <is>
          <t>Customer payment INV/2026/01550</t>
        </is>
      </c>
      <c r="G548" s="9" t="n">
        <v>349.18</v>
      </c>
      <c r="H548" t="inlineStr">
        <is>
          <t>customer_payment</t>
        </is>
      </c>
      <c r="I548" t="inlineStr"/>
      <c r="J548" t="inlineStr">
        <is>
          <t>G00099</t>
        </is>
      </c>
      <c r="K548" t="str">
        <f>INDEX('Match Groups'!$D$5:$D$1326,MATCH(J548,'Match Groups'!$A$5:$A$1326,0))</f>
        <v>MATCH</v>
      </c>
    </row>
    <row r="549">
      <c r="A549" t="inlineStr">
        <is>
          <t>JI-00078</t>
        </is>
      </c>
      <c r="B549" t="inlineStr">
        <is>
          <t>OPS</t>
        </is>
      </c>
      <c r="C549" s="5" t="n">
        <v>46206</v>
      </c>
      <c r="D549" t="inlineStr">
        <is>
          <t>Acacia Plan Partners</t>
        </is>
      </c>
      <c r="E549" t="inlineStr">
        <is>
          <t>INV/2026/01551</t>
        </is>
      </c>
      <c r="F549" t="inlineStr">
        <is>
          <t>Customer payment INV/2026/01551</t>
        </is>
      </c>
      <c r="G549" s="9" t="n">
        <v>242.49</v>
      </c>
      <c r="H549" t="inlineStr">
        <is>
          <t>customer_payment</t>
        </is>
      </c>
      <c r="I549" t="inlineStr"/>
      <c r="J549" t="inlineStr">
        <is>
          <t>G00099</t>
        </is>
      </c>
      <c r="K549" t="str">
        <f>INDEX('Match Groups'!$D$5:$D$1326,MATCH(J549,'Match Groups'!$A$5:$A$1326,0))</f>
        <v>MATCH</v>
      </c>
    </row>
    <row r="550">
      <c r="A550" t="inlineStr">
        <is>
          <t>JI-00079</t>
        </is>
      </c>
      <c r="B550" t="inlineStr">
        <is>
          <t>OPS</t>
        </is>
      </c>
      <c r="C550" s="5" t="n">
        <v>46206</v>
      </c>
      <c r="D550" t="inlineStr">
        <is>
          <t>Acacia Plan Partners</t>
        </is>
      </c>
      <c r="E550" t="inlineStr">
        <is>
          <t>INV/2026/01575</t>
        </is>
      </c>
      <c r="F550" t="inlineStr">
        <is>
          <t>Customer payment INV/2026/01575</t>
        </is>
      </c>
      <c r="G550" s="9" t="n">
        <v>290.98</v>
      </c>
      <c r="H550" t="inlineStr">
        <is>
          <t>customer_payment</t>
        </is>
      </c>
      <c r="I550" t="inlineStr"/>
      <c r="J550" t="inlineStr">
        <is>
          <t>G00099</t>
        </is>
      </c>
      <c r="K550" t="str">
        <f>INDEX('Match Groups'!$D$5:$D$1326,MATCH(J550,'Match Groups'!$A$5:$A$1326,0))</f>
        <v>MATCH</v>
      </c>
    </row>
    <row r="551">
      <c r="A551" t="inlineStr">
        <is>
          <t>JI-00080</t>
        </is>
      </c>
      <c r="B551" t="inlineStr">
        <is>
          <t>OPS</t>
        </is>
      </c>
      <c r="C551" s="5" t="n">
        <v>46206</v>
      </c>
      <c r="D551" t="inlineStr">
        <is>
          <t>Acacia Plan Partners</t>
        </is>
      </c>
      <c r="E551" t="inlineStr">
        <is>
          <t>INV/2026/01576</t>
        </is>
      </c>
      <c r="F551" t="inlineStr">
        <is>
          <t>Customer payment INV/2026/01576</t>
        </is>
      </c>
      <c r="G551" s="9" t="n">
        <v>242.49</v>
      </c>
      <c r="H551" t="inlineStr">
        <is>
          <t>customer_payment</t>
        </is>
      </c>
      <c r="I551" t="inlineStr"/>
      <c r="J551" t="inlineStr">
        <is>
          <t>G00099</t>
        </is>
      </c>
      <c r="K551" t="str">
        <f>INDEX('Match Groups'!$D$5:$D$1326,MATCH(J551,'Match Groups'!$A$5:$A$1326,0))</f>
        <v>MATCH</v>
      </c>
    </row>
    <row r="552">
      <c r="A552" t="inlineStr">
        <is>
          <t>JI-00081</t>
        </is>
      </c>
      <c r="B552" t="inlineStr">
        <is>
          <t>OPS</t>
        </is>
      </c>
      <c r="C552" s="5" t="n">
        <v>46206</v>
      </c>
      <c r="D552" t="inlineStr">
        <is>
          <t>Acacia Plan Partners</t>
        </is>
      </c>
      <c r="E552" t="inlineStr">
        <is>
          <t>INV/2026/01605</t>
        </is>
      </c>
      <c r="F552" t="inlineStr">
        <is>
          <t>Customer payment INV/2026/01605</t>
        </is>
      </c>
      <c r="G552" s="9" t="n">
        <v>446.18</v>
      </c>
      <c r="H552" t="inlineStr">
        <is>
          <t>customer_payment</t>
        </is>
      </c>
      <c r="I552" t="inlineStr"/>
      <c r="J552" t="inlineStr">
        <is>
          <t>G00099</t>
        </is>
      </c>
      <c r="K552" t="str">
        <f>INDEX('Match Groups'!$D$5:$D$1326,MATCH(J552,'Match Groups'!$A$5:$A$1326,0))</f>
        <v>MATCH</v>
      </c>
    </row>
    <row r="553">
      <c r="A553" t="inlineStr">
        <is>
          <t>JI-00082</t>
        </is>
      </c>
      <c r="B553" t="inlineStr">
        <is>
          <t>OPS</t>
        </is>
      </c>
      <c r="C553" s="5" t="n">
        <v>46206</v>
      </c>
      <c r="D553" t="inlineStr">
        <is>
          <t>Acacia Plan Partners</t>
        </is>
      </c>
      <c r="E553" t="inlineStr">
        <is>
          <t>INV/2026/01606</t>
        </is>
      </c>
      <c r="F553" t="inlineStr">
        <is>
          <t>Customer payment INV/2026/01606</t>
        </is>
      </c>
      <c r="G553" s="9" t="n">
        <v>349.18</v>
      </c>
      <c r="H553" t="inlineStr">
        <is>
          <t>customer_payment</t>
        </is>
      </c>
      <c r="I553" t="inlineStr"/>
      <c r="J553" t="inlineStr">
        <is>
          <t>G00099</t>
        </is>
      </c>
      <c r="K553" t="str">
        <f>INDEX('Match Groups'!$D$5:$D$1326,MATCH(J553,'Match Groups'!$A$5:$A$1326,0))</f>
        <v>MATCH</v>
      </c>
    </row>
    <row r="554">
      <c r="A554" t="inlineStr">
        <is>
          <t>JI-01556</t>
        </is>
      </c>
      <c r="B554" t="inlineStr">
        <is>
          <t>OPS</t>
        </is>
      </c>
      <c r="C554" s="5" t="n">
        <v>46206</v>
      </c>
      <c r="D554" t="inlineStr">
        <is>
          <t>Coastline Health Fund</t>
        </is>
      </c>
      <c r="E554" t="inlineStr">
        <is>
          <t>INV/2026/01608</t>
        </is>
      </c>
      <c r="F554" t="inlineStr">
        <is>
          <t>Customer payment INV/2026/01608</t>
        </is>
      </c>
      <c r="G554" s="9" t="n">
        <v>990</v>
      </c>
      <c r="H554" t="inlineStr">
        <is>
          <t>customer_payment</t>
        </is>
      </c>
      <c r="I554" t="inlineStr"/>
      <c r="J554" t="inlineStr">
        <is>
          <t>G00909</t>
        </is>
      </c>
      <c r="K554" t="str">
        <f>INDEX('Match Groups'!$D$5:$D$1326,MATCH(J554,'Match Groups'!$A$5:$A$1326,0))</f>
        <v>MATCH</v>
      </c>
    </row>
    <row r="555">
      <c r="A555" t="inlineStr">
        <is>
          <t>JI-01888</t>
        </is>
      </c>
      <c r="B555" t="inlineStr">
        <is>
          <t>OPS</t>
        </is>
      </c>
      <c r="C555" s="5" t="n">
        <v>46206</v>
      </c>
      <c r="D555" t="inlineStr">
        <is>
          <t>Stripe patient 12253</t>
        </is>
      </c>
      <c r="E555" t="inlineStr">
        <is>
          <t>INV/2026/03735</t>
        </is>
      </c>
      <c r="F555" t="inlineStr">
        <is>
          <t>Customer payment INV/2026/03735</t>
        </is>
      </c>
      <c r="G555" s="9" t="n">
        <v>110</v>
      </c>
      <c r="H555" t="inlineStr">
        <is>
          <t>customer_payment</t>
        </is>
      </c>
      <c r="I555" t="inlineStr"/>
      <c r="J555" t="inlineStr">
        <is>
          <t>G00018</t>
        </is>
      </c>
      <c r="K555" t="str">
        <f>INDEX('Match Groups'!$D$5:$D$1326,MATCH(J555,'Match Groups'!$A$5:$A$1326,0))</f>
        <v>STRIPE-FEE</v>
      </c>
    </row>
    <row r="556">
      <c r="A556" t="inlineStr">
        <is>
          <t>JI-01889</t>
        </is>
      </c>
      <c r="B556" t="inlineStr">
        <is>
          <t>OPS</t>
        </is>
      </c>
      <c r="C556" s="5" t="n">
        <v>46206</v>
      </c>
      <c r="D556" t="inlineStr">
        <is>
          <t>Stripe patient 38765</t>
        </is>
      </c>
      <c r="E556" t="inlineStr">
        <is>
          <t>INV/2026/03736</t>
        </is>
      </c>
      <c r="F556" t="inlineStr">
        <is>
          <t>Customer payment INV/2026/03736</t>
        </is>
      </c>
      <c r="G556" s="9" t="n">
        <v>150</v>
      </c>
      <c r="H556" t="inlineStr">
        <is>
          <t>customer_payment</t>
        </is>
      </c>
      <c r="I556" t="inlineStr"/>
      <c r="J556" t="inlineStr">
        <is>
          <t>G00018</t>
        </is>
      </c>
      <c r="K556" t="str">
        <f>INDEX('Match Groups'!$D$5:$D$1326,MATCH(J556,'Match Groups'!$A$5:$A$1326,0))</f>
        <v>STRIPE-FEE</v>
      </c>
    </row>
    <row r="557">
      <c r="A557" t="inlineStr">
        <is>
          <t>JI-01890</t>
        </is>
      </c>
      <c r="B557" t="inlineStr">
        <is>
          <t>OPS</t>
        </is>
      </c>
      <c r="C557" s="5" t="n">
        <v>46206</v>
      </c>
      <c r="D557" t="inlineStr">
        <is>
          <t>Stripe patient 22237</t>
        </is>
      </c>
      <c r="E557" t="inlineStr">
        <is>
          <t>INV/2026/03737</t>
        </is>
      </c>
      <c r="F557" t="inlineStr">
        <is>
          <t>Customer payment INV/2026/03737</t>
        </is>
      </c>
      <c r="G557" s="9" t="n">
        <v>220</v>
      </c>
      <c r="H557" t="inlineStr">
        <is>
          <t>customer_payment</t>
        </is>
      </c>
      <c r="I557" t="inlineStr"/>
      <c r="J557" t="inlineStr">
        <is>
          <t>G00018</t>
        </is>
      </c>
      <c r="K557" t="str">
        <f>INDEX('Match Groups'!$D$5:$D$1326,MATCH(J557,'Match Groups'!$A$5:$A$1326,0))</f>
        <v>STRIPE-FEE</v>
      </c>
    </row>
    <row r="558">
      <c r="A558" t="inlineStr">
        <is>
          <t>JI-01891</t>
        </is>
      </c>
      <c r="B558" t="inlineStr">
        <is>
          <t>OPS</t>
        </is>
      </c>
      <c r="C558" s="5" t="n">
        <v>46206</v>
      </c>
      <c r="D558" t="inlineStr">
        <is>
          <t>Stripe patient 40129</t>
        </is>
      </c>
      <c r="E558" t="inlineStr">
        <is>
          <t>INV/2026/03738</t>
        </is>
      </c>
      <c r="F558" t="inlineStr">
        <is>
          <t>Customer payment INV/2026/03738</t>
        </is>
      </c>
      <c r="G558" s="9" t="n">
        <v>220</v>
      </c>
      <c r="H558" t="inlineStr">
        <is>
          <t>customer_payment</t>
        </is>
      </c>
      <c r="I558" t="inlineStr"/>
      <c r="J558" t="inlineStr">
        <is>
          <t>G00018</t>
        </is>
      </c>
      <c r="K558" t="str">
        <f>INDEX('Match Groups'!$D$5:$D$1326,MATCH(J558,'Match Groups'!$A$5:$A$1326,0))</f>
        <v>STRIPE-FEE</v>
      </c>
    </row>
    <row r="559">
      <c r="A559" t="inlineStr">
        <is>
          <t>JI-01892</t>
        </is>
      </c>
      <c r="B559" t="inlineStr">
        <is>
          <t>OPS</t>
        </is>
      </c>
      <c r="C559" s="5" t="n">
        <v>46206</v>
      </c>
      <c r="D559" t="inlineStr">
        <is>
          <t>Stripe patient 80862</t>
        </is>
      </c>
      <c r="E559" t="inlineStr">
        <is>
          <t>INV/2026/03739</t>
        </is>
      </c>
      <c r="F559" t="inlineStr">
        <is>
          <t>Customer payment INV/2026/03739</t>
        </is>
      </c>
      <c r="G559" s="9" t="n">
        <v>135</v>
      </c>
      <c r="H559" t="inlineStr">
        <is>
          <t>customer_payment</t>
        </is>
      </c>
      <c r="I559" t="inlineStr"/>
      <c r="J559" t="inlineStr">
        <is>
          <t>G00018</t>
        </is>
      </c>
      <c r="K559" t="str">
        <f>INDEX('Match Groups'!$D$5:$D$1326,MATCH(J559,'Match Groups'!$A$5:$A$1326,0))</f>
        <v>STRIPE-FEE</v>
      </c>
    </row>
    <row r="560">
      <c r="A560" t="inlineStr">
        <is>
          <t>JI-01893</t>
        </is>
      </c>
      <c r="B560" t="inlineStr">
        <is>
          <t>OPS</t>
        </is>
      </c>
      <c r="C560" s="5" t="n">
        <v>46206</v>
      </c>
      <c r="D560" t="inlineStr">
        <is>
          <t>Stripe patient 65301</t>
        </is>
      </c>
      <c r="E560" t="inlineStr">
        <is>
          <t>INV/2026/03740</t>
        </is>
      </c>
      <c r="F560" t="inlineStr">
        <is>
          <t>Customer payment INV/2026/03740</t>
        </is>
      </c>
      <c r="G560" s="9" t="n">
        <v>220</v>
      </c>
      <c r="H560" t="inlineStr">
        <is>
          <t>customer_payment</t>
        </is>
      </c>
      <c r="I560" t="inlineStr"/>
      <c r="J560" t="inlineStr">
        <is>
          <t>G00018</t>
        </is>
      </c>
      <c r="K560" t="str">
        <f>INDEX('Match Groups'!$D$5:$D$1326,MATCH(J560,'Match Groups'!$A$5:$A$1326,0))</f>
        <v>STRIPE-FEE</v>
      </c>
    </row>
    <row r="561">
      <c r="A561" t="inlineStr">
        <is>
          <t>JI-01894</t>
        </is>
      </c>
      <c r="B561" t="inlineStr">
        <is>
          <t>OPS</t>
        </is>
      </c>
      <c r="C561" s="5" t="n">
        <v>46206</v>
      </c>
      <c r="D561" t="inlineStr">
        <is>
          <t>Stripe patient 44192</t>
        </is>
      </c>
      <c r="E561" t="inlineStr">
        <is>
          <t>INV/2026/03741</t>
        </is>
      </c>
      <c r="F561" t="inlineStr">
        <is>
          <t>Customer payment INV/2026/03741</t>
        </is>
      </c>
      <c r="G561" s="9" t="n">
        <v>180</v>
      </c>
      <c r="H561" t="inlineStr">
        <is>
          <t>customer_payment</t>
        </is>
      </c>
      <c r="I561" t="inlineStr"/>
      <c r="J561" t="inlineStr">
        <is>
          <t>G00018</t>
        </is>
      </c>
      <c r="K561" t="str">
        <f>INDEX('Match Groups'!$D$5:$D$1326,MATCH(J561,'Match Groups'!$A$5:$A$1326,0))</f>
        <v>STRIPE-FEE</v>
      </c>
    </row>
    <row r="562">
      <c r="A562" t="inlineStr">
        <is>
          <t>JI-01895</t>
        </is>
      </c>
      <c r="B562" t="inlineStr">
        <is>
          <t>OPS</t>
        </is>
      </c>
      <c r="C562" s="5" t="n">
        <v>46206</v>
      </c>
      <c r="D562" t="inlineStr">
        <is>
          <t>Stripe patient 18949</t>
        </is>
      </c>
      <c r="E562" t="inlineStr">
        <is>
          <t>INV/2026/03742</t>
        </is>
      </c>
      <c r="F562" t="inlineStr">
        <is>
          <t>Customer payment INV/2026/03742</t>
        </is>
      </c>
      <c r="G562" s="9" t="n">
        <v>85</v>
      </c>
      <c r="H562" t="inlineStr">
        <is>
          <t>customer_payment</t>
        </is>
      </c>
      <c r="I562" t="inlineStr"/>
      <c r="J562" t="inlineStr">
        <is>
          <t>G00018</t>
        </is>
      </c>
      <c r="K562" t="str">
        <f>INDEX('Match Groups'!$D$5:$D$1326,MATCH(J562,'Match Groups'!$A$5:$A$1326,0))</f>
        <v>STRIPE-FEE</v>
      </c>
    </row>
    <row r="563">
      <c r="A563" t="inlineStr">
        <is>
          <t>JI-01896</t>
        </is>
      </c>
      <c r="B563" t="inlineStr">
        <is>
          <t>OPS</t>
        </is>
      </c>
      <c r="C563" s="5" t="n">
        <v>46206</v>
      </c>
      <c r="D563" t="inlineStr">
        <is>
          <t>Stripe patient 49725</t>
        </is>
      </c>
      <c r="E563" t="inlineStr">
        <is>
          <t>INV/2026/03743</t>
        </is>
      </c>
      <c r="F563" t="inlineStr">
        <is>
          <t>Customer payment INV/2026/03743</t>
        </is>
      </c>
      <c r="G563" s="9" t="n">
        <v>135</v>
      </c>
      <c r="H563" t="inlineStr">
        <is>
          <t>customer_payment</t>
        </is>
      </c>
      <c r="I563" t="inlineStr"/>
      <c r="J563" t="inlineStr">
        <is>
          <t>G00018</t>
        </is>
      </c>
      <c r="K563" t="str">
        <f>INDEX('Match Groups'!$D$5:$D$1326,MATCH(J563,'Match Groups'!$A$5:$A$1326,0))</f>
        <v>STRIPE-FEE</v>
      </c>
    </row>
    <row r="564">
      <c r="A564" t="inlineStr">
        <is>
          <t>JI-01897</t>
        </is>
      </c>
      <c r="B564" t="inlineStr">
        <is>
          <t>OPS</t>
        </is>
      </c>
      <c r="C564" s="5" t="n">
        <v>46206</v>
      </c>
      <c r="D564" t="inlineStr">
        <is>
          <t>Stripe patient 27871</t>
        </is>
      </c>
      <c r="E564" t="inlineStr">
        <is>
          <t>INV/2026/03744</t>
        </is>
      </c>
      <c r="F564" t="inlineStr">
        <is>
          <t>Customer payment INV/2026/03744</t>
        </is>
      </c>
      <c r="G564" s="9" t="n">
        <v>180</v>
      </c>
      <c r="H564" t="inlineStr">
        <is>
          <t>customer_payment</t>
        </is>
      </c>
      <c r="I564" t="inlineStr"/>
      <c r="J564" t="inlineStr">
        <is>
          <t>G00018</t>
        </is>
      </c>
      <c r="K564" t="str">
        <f>INDEX('Match Groups'!$D$5:$D$1326,MATCH(J564,'Match Groups'!$A$5:$A$1326,0))</f>
        <v>STRIPE-FEE</v>
      </c>
    </row>
    <row r="565">
      <c r="A565" t="inlineStr">
        <is>
          <t>JI-01898</t>
        </is>
      </c>
      <c r="B565" t="inlineStr">
        <is>
          <t>OPS</t>
        </is>
      </c>
      <c r="C565" s="5" t="n">
        <v>46206</v>
      </c>
      <c r="D565" t="inlineStr">
        <is>
          <t>Stripe patient 72934</t>
        </is>
      </c>
      <c r="E565" t="inlineStr">
        <is>
          <t>INV/2026/03745</t>
        </is>
      </c>
      <c r="F565" t="inlineStr">
        <is>
          <t>Customer payment INV/2026/03745</t>
        </is>
      </c>
      <c r="G565" s="9" t="n">
        <v>85</v>
      </c>
      <c r="H565" t="inlineStr">
        <is>
          <t>customer_payment</t>
        </is>
      </c>
      <c r="I565" t="inlineStr"/>
      <c r="J565" t="inlineStr">
        <is>
          <t>G00018</t>
        </is>
      </c>
      <c r="K565" t="str">
        <f>INDEX('Match Groups'!$D$5:$D$1326,MATCH(J565,'Match Groups'!$A$5:$A$1326,0))</f>
        <v>STRIPE-FEE</v>
      </c>
    </row>
    <row r="566">
      <c r="A566" t="inlineStr">
        <is>
          <t>JI-01899</t>
        </is>
      </c>
      <c r="B566" t="inlineStr">
        <is>
          <t>OPS</t>
        </is>
      </c>
      <c r="C566" s="5" t="n">
        <v>46206</v>
      </c>
      <c r="D566" t="inlineStr">
        <is>
          <t>Stripe patient 63012</t>
        </is>
      </c>
      <c r="E566" t="inlineStr">
        <is>
          <t>INV/2026/03746</t>
        </is>
      </c>
      <c r="F566" t="inlineStr">
        <is>
          <t>Customer payment INV/2026/03746</t>
        </is>
      </c>
      <c r="G566" s="9" t="n">
        <v>65</v>
      </c>
      <c r="H566" t="inlineStr">
        <is>
          <t>customer_payment</t>
        </is>
      </c>
      <c r="I566" t="inlineStr"/>
      <c r="J566" t="inlineStr">
        <is>
          <t>G00018</t>
        </is>
      </c>
      <c r="K566" t="str">
        <f>INDEX('Match Groups'!$D$5:$D$1326,MATCH(J566,'Match Groups'!$A$5:$A$1326,0))</f>
        <v>STRIPE-FEE</v>
      </c>
    </row>
    <row r="567">
      <c r="A567" t="inlineStr">
        <is>
          <t>JI-01900</t>
        </is>
      </c>
      <c r="B567" t="inlineStr">
        <is>
          <t>OPS</t>
        </is>
      </c>
      <c r="C567" s="5" t="n">
        <v>46206</v>
      </c>
      <c r="D567" t="inlineStr">
        <is>
          <t>Stripe patient 68044</t>
        </is>
      </c>
      <c r="E567" t="inlineStr">
        <is>
          <t>INV/2026/03747</t>
        </is>
      </c>
      <c r="F567" t="inlineStr">
        <is>
          <t>Customer payment INV/2026/03747</t>
        </is>
      </c>
      <c r="G567" s="9" t="n">
        <v>110</v>
      </c>
      <c r="H567" t="inlineStr">
        <is>
          <t>customer_payment</t>
        </is>
      </c>
      <c r="I567" t="inlineStr"/>
      <c r="J567" t="inlineStr">
        <is>
          <t>G00018</t>
        </is>
      </c>
      <c r="K567" t="str">
        <f>INDEX('Match Groups'!$D$5:$D$1326,MATCH(J567,'Match Groups'!$A$5:$A$1326,0))</f>
        <v>STRIPE-FEE</v>
      </c>
    </row>
    <row r="568">
      <c r="A568" t="inlineStr">
        <is>
          <t>JI-01901</t>
        </is>
      </c>
      <c r="B568" t="inlineStr">
        <is>
          <t>OPS</t>
        </is>
      </c>
      <c r="C568" s="5" t="n">
        <v>46206</v>
      </c>
      <c r="D568" t="inlineStr">
        <is>
          <t>Stripe patient 35591</t>
        </is>
      </c>
      <c r="E568" t="inlineStr">
        <is>
          <t>INV/2026/03748</t>
        </is>
      </c>
      <c r="F568" t="inlineStr">
        <is>
          <t>Customer payment INV/2026/03748</t>
        </is>
      </c>
      <c r="G568" s="9" t="n">
        <v>135</v>
      </c>
      <c r="H568" t="inlineStr">
        <is>
          <t>customer_payment</t>
        </is>
      </c>
      <c r="I568" t="inlineStr"/>
      <c r="J568" t="inlineStr">
        <is>
          <t>G00018</t>
        </is>
      </c>
      <c r="K568" t="str">
        <f>INDEX('Match Groups'!$D$5:$D$1326,MATCH(J568,'Match Groups'!$A$5:$A$1326,0))</f>
        <v>STRIPE-FEE</v>
      </c>
    </row>
    <row r="569">
      <c r="A569" t="inlineStr">
        <is>
          <t>JI-01902</t>
        </is>
      </c>
      <c r="B569" t="inlineStr">
        <is>
          <t>OPS</t>
        </is>
      </c>
      <c r="C569" s="5" t="n">
        <v>46206</v>
      </c>
      <c r="D569" t="inlineStr">
        <is>
          <t>Stripe patient 56175</t>
        </is>
      </c>
      <c r="E569" t="inlineStr">
        <is>
          <t>INV/2026/03749</t>
        </is>
      </c>
      <c r="F569" t="inlineStr">
        <is>
          <t>Customer payment INV/2026/03749</t>
        </is>
      </c>
      <c r="G569" s="9" t="n">
        <v>220</v>
      </c>
      <c r="H569" t="inlineStr">
        <is>
          <t>customer_payment</t>
        </is>
      </c>
      <c r="I569" t="inlineStr"/>
      <c r="J569" t="inlineStr">
        <is>
          <t>G00018</t>
        </is>
      </c>
      <c r="K569" t="str">
        <f>INDEX('Match Groups'!$D$5:$D$1326,MATCH(J569,'Match Groups'!$A$5:$A$1326,0))</f>
        <v>STRIPE-FEE</v>
      </c>
    </row>
    <row r="570">
      <c r="A570" t="inlineStr">
        <is>
          <t>JI-01903</t>
        </is>
      </c>
      <c r="B570" t="inlineStr">
        <is>
          <t>OPS</t>
        </is>
      </c>
      <c r="C570" s="5" t="n">
        <v>46206</v>
      </c>
      <c r="D570" t="inlineStr">
        <is>
          <t>Stripe patient 17868</t>
        </is>
      </c>
      <c r="E570" t="inlineStr">
        <is>
          <t>INV/2026/03750</t>
        </is>
      </c>
      <c r="F570" t="inlineStr">
        <is>
          <t>Customer payment INV/2026/03750</t>
        </is>
      </c>
      <c r="G570" s="9" t="n">
        <v>85</v>
      </c>
      <c r="H570" t="inlineStr">
        <is>
          <t>customer_payment</t>
        </is>
      </c>
      <c r="I570" t="inlineStr"/>
      <c r="J570" t="inlineStr">
        <is>
          <t>G00018</t>
        </is>
      </c>
      <c r="K570" t="str">
        <f>INDEX('Match Groups'!$D$5:$D$1326,MATCH(J570,'Match Groups'!$A$5:$A$1326,0))</f>
        <v>STRIPE-FEE</v>
      </c>
    </row>
    <row r="571">
      <c r="A571" t="inlineStr">
        <is>
          <t>JI-01904</t>
        </is>
      </c>
      <c r="B571" t="inlineStr">
        <is>
          <t>OPS</t>
        </is>
      </c>
      <c r="C571" s="5" t="n">
        <v>46206</v>
      </c>
      <c r="D571" t="inlineStr">
        <is>
          <t>Stripe patient 61179</t>
        </is>
      </c>
      <c r="E571" t="inlineStr">
        <is>
          <t>INV/2026/03751</t>
        </is>
      </c>
      <c r="F571" t="inlineStr">
        <is>
          <t>Customer payment INV/2026/03751</t>
        </is>
      </c>
      <c r="G571" s="9" t="n">
        <v>110</v>
      </c>
      <c r="H571" t="inlineStr">
        <is>
          <t>customer_payment</t>
        </is>
      </c>
      <c r="I571" t="inlineStr"/>
      <c r="J571" t="inlineStr">
        <is>
          <t>G00018</t>
        </is>
      </c>
      <c r="K571" t="str">
        <f>INDEX('Match Groups'!$D$5:$D$1326,MATCH(J571,'Match Groups'!$A$5:$A$1326,0))</f>
        <v>STRIPE-FEE</v>
      </c>
    </row>
    <row r="572">
      <c r="A572" t="inlineStr">
        <is>
          <t>JI-01905</t>
        </is>
      </c>
      <c r="B572" t="inlineStr">
        <is>
          <t>OPS</t>
        </is>
      </c>
      <c r="C572" s="5" t="n">
        <v>46206</v>
      </c>
      <c r="D572" t="inlineStr">
        <is>
          <t>Stripe patient 91352</t>
        </is>
      </c>
      <c r="E572" t="inlineStr">
        <is>
          <t>INV/2026/03752</t>
        </is>
      </c>
      <c r="F572" t="inlineStr">
        <is>
          <t>Customer payment INV/2026/03752</t>
        </is>
      </c>
      <c r="G572" s="9" t="n">
        <v>95</v>
      </c>
      <c r="H572" t="inlineStr">
        <is>
          <t>customer_payment</t>
        </is>
      </c>
      <c r="I572" t="inlineStr"/>
      <c r="J572" t="inlineStr">
        <is>
          <t>G00018</t>
        </is>
      </c>
      <c r="K572" t="str">
        <f>INDEX('Match Groups'!$D$5:$D$1326,MATCH(J572,'Match Groups'!$A$5:$A$1326,0))</f>
        <v>STRIPE-FEE</v>
      </c>
    </row>
    <row r="573">
      <c r="A573" t="inlineStr">
        <is>
          <t>JI-01906</t>
        </is>
      </c>
      <c r="B573" t="inlineStr">
        <is>
          <t>OPS</t>
        </is>
      </c>
      <c r="C573" s="5" t="n">
        <v>46206</v>
      </c>
      <c r="D573" t="inlineStr">
        <is>
          <t>Stripe patient 66757</t>
        </is>
      </c>
      <c r="E573" t="inlineStr">
        <is>
          <t>INV/2026/03753</t>
        </is>
      </c>
      <c r="F573" t="inlineStr">
        <is>
          <t>Customer payment INV/2026/03753</t>
        </is>
      </c>
      <c r="G573" s="9" t="n">
        <v>120</v>
      </c>
      <c r="H573" t="inlineStr">
        <is>
          <t>customer_payment</t>
        </is>
      </c>
      <c r="I573" t="inlineStr"/>
      <c r="J573" t="inlineStr">
        <is>
          <t>G00018</t>
        </is>
      </c>
      <c r="K573" t="str">
        <f>INDEX('Match Groups'!$D$5:$D$1326,MATCH(J573,'Match Groups'!$A$5:$A$1326,0))</f>
        <v>STRIPE-FEE</v>
      </c>
    </row>
    <row r="574">
      <c r="A574" t="inlineStr">
        <is>
          <t>JI-01907</t>
        </is>
      </c>
      <c r="B574" t="inlineStr">
        <is>
          <t>OPS</t>
        </is>
      </c>
      <c r="C574" s="5" t="n">
        <v>46206</v>
      </c>
      <c r="D574" t="inlineStr">
        <is>
          <t>Stripe patient 14986</t>
        </is>
      </c>
      <c r="E574" t="inlineStr">
        <is>
          <t>INV/2026/03754</t>
        </is>
      </c>
      <c r="F574" t="inlineStr">
        <is>
          <t>Customer payment INV/2026/03754</t>
        </is>
      </c>
      <c r="G574" s="9" t="n">
        <v>85</v>
      </c>
      <c r="H574" t="inlineStr">
        <is>
          <t>customer_payment</t>
        </is>
      </c>
      <c r="I574" t="inlineStr"/>
      <c r="J574" t="inlineStr">
        <is>
          <t>G00018</t>
        </is>
      </c>
      <c r="K574" t="str">
        <f>INDEX('Match Groups'!$D$5:$D$1326,MATCH(J574,'Match Groups'!$A$5:$A$1326,0))</f>
        <v>STRIPE-FEE</v>
      </c>
    </row>
    <row r="575">
      <c r="A575" t="inlineStr">
        <is>
          <t>JI-01908</t>
        </is>
      </c>
      <c r="B575" t="inlineStr">
        <is>
          <t>OPS</t>
        </is>
      </c>
      <c r="C575" s="5" t="n">
        <v>46206</v>
      </c>
      <c r="D575" t="inlineStr">
        <is>
          <t>Stripe patient 94436</t>
        </is>
      </c>
      <c r="E575" t="inlineStr">
        <is>
          <t>INV/2026/03755</t>
        </is>
      </c>
      <c r="F575" t="inlineStr">
        <is>
          <t>Customer payment INV/2026/03755</t>
        </is>
      </c>
      <c r="G575" s="9" t="n">
        <v>110</v>
      </c>
      <c r="H575" t="inlineStr">
        <is>
          <t>customer_payment</t>
        </is>
      </c>
      <c r="I575" t="inlineStr"/>
      <c r="J575" t="inlineStr">
        <is>
          <t>G00018</t>
        </is>
      </c>
      <c r="K575" t="str">
        <f>INDEX('Match Groups'!$D$5:$D$1326,MATCH(J575,'Match Groups'!$A$5:$A$1326,0))</f>
        <v>STRIPE-FEE</v>
      </c>
    </row>
    <row r="576">
      <c r="A576" t="inlineStr">
        <is>
          <t>JI-01909</t>
        </is>
      </c>
      <c r="B576" t="inlineStr">
        <is>
          <t>OPS</t>
        </is>
      </c>
      <c r="C576" s="5" t="n">
        <v>46206</v>
      </c>
      <c r="D576" t="inlineStr">
        <is>
          <t>Stripe patient 81194</t>
        </is>
      </c>
      <c r="E576" t="inlineStr">
        <is>
          <t>INV/2026/03756</t>
        </is>
      </c>
      <c r="F576" t="inlineStr">
        <is>
          <t>Customer payment INV/2026/03756</t>
        </is>
      </c>
      <c r="G576" s="9" t="n">
        <v>135</v>
      </c>
      <c r="H576" t="inlineStr">
        <is>
          <t>customer_payment</t>
        </is>
      </c>
      <c r="I576" t="inlineStr"/>
      <c r="J576" t="inlineStr">
        <is>
          <t>G00018</t>
        </is>
      </c>
      <c r="K576" t="str">
        <f>INDEX('Match Groups'!$D$5:$D$1326,MATCH(J576,'Match Groups'!$A$5:$A$1326,0))</f>
        <v>STRIPE-FEE</v>
      </c>
    </row>
    <row r="577">
      <c r="A577" t="inlineStr">
        <is>
          <t>JI-01910</t>
        </is>
      </c>
      <c r="B577" t="inlineStr">
        <is>
          <t>OPS</t>
        </is>
      </c>
      <c r="C577" s="5" t="n">
        <v>46206</v>
      </c>
      <c r="D577" t="inlineStr">
        <is>
          <t>Stripe patient 91528</t>
        </is>
      </c>
      <c r="E577" t="inlineStr">
        <is>
          <t>INV/2026/03757</t>
        </is>
      </c>
      <c r="F577" t="inlineStr">
        <is>
          <t>Customer payment INV/2026/03757</t>
        </is>
      </c>
      <c r="G577" s="9" t="n">
        <v>135</v>
      </c>
      <c r="H577" t="inlineStr">
        <is>
          <t>customer_payment</t>
        </is>
      </c>
      <c r="I577" t="inlineStr"/>
      <c r="J577" t="inlineStr">
        <is>
          <t>G00018</t>
        </is>
      </c>
      <c r="K577" t="str">
        <f>INDEX('Match Groups'!$D$5:$D$1326,MATCH(J577,'Match Groups'!$A$5:$A$1326,0))</f>
        <v>STRIPE-FEE</v>
      </c>
    </row>
    <row r="578">
      <c r="A578" t="inlineStr">
        <is>
          <t>JI-01911</t>
        </is>
      </c>
      <c r="B578" t="inlineStr">
        <is>
          <t>OPS</t>
        </is>
      </c>
      <c r="C578" s="5" t="n">
        <v>46206</v>
      </c>
      <c r="D578" t="inlineStr">
        <is>
          <t>Stripe patient 84780</t>
        </is>
      </c>
      <c r="E578" t="inlineStr">
        <is>
          <t>INV/2026/03758</t>
        </is>
      </c>
      <c r="F578" t="inlineStr">
        <is>
          <t>Customer payment INV/2026/03758</t>
        </is>
      </c>
      <c r="G578" s="9" t="n">
        <v>120</v>
      </c>
      <c r="H578" t="inlineStr">
        <is>
          <t>customer_payment</t>
        </is>
      </c>
      <c r="I578" t="inlineStr"/>
      <c r="J578" t="inlineStr">
        <is>
          <t>G00018</t>
        </is>
      </c>
      <c r="K578" t="str">
        <f>INDEX('Match Groups'!$D$5:$D$1326,MATCH(J578,'Match Groups'!$A$5:$A$1326,0))</f>
        <v>STRIPE-FEE</v>
      </c>
    </row>
    <row r="579">
      <c r="A579" t="inlineStr">
        <is>
          <t>JI-01912</t>
        </is>
      </c>
      <c r="B579" t="inlineStr">
        <is>
          <t>OPS</t>
        </is>
      </c>
      <c r="C579" s="5" t="n">
        <v>46206</v>
      </c>
      <c r="D579" t="inlineStr">
        <is>
          <t>Stripe patient 73825</t>
        </is>
      </c>
      <c r="E579" t="inlineStr">
        <is>
          <t>INV/2026/03759</t>
        </is>
      </c>
      <c r="F579" t="inlineStr">
        <is>
          <t>Customer payment INV/2026/03759</t>
        </is>
      </c>
      <c r="G579" s="9" t="n">
        <v>220</v>
      </c>
      <c r="H579" t="inlineStr">
        <is>
          <t>customer_payment</t>
        </is>
      </c>
      <c r="I579" t="inlineStr"/>
      <c r="J579" t="inlineStr">
        <is>
          <t>G00018</t>
        </is>
      </c>
      <c r="K579" t="str">
        <f>INDEX('Match Groups'!$D$5:$D$1326,MATCH(J579,'Match Groups'!$A$5:$A$1326,0))</f>
        <v>STRIPE-FEE</v>
      </c>
    </row>
    <row r="580">
      <c r="A580" t="inlineStr">
        <is>
          <t>JI-01913</t>
        </is>
      </c>
      <c r="B580" t="inlineStr">
        <is>
          <t>OPS</t>
        </is>
      </c>
      <c r="C580" s="5" t="n">
        <v>46206</v>
      </c>
      <c r="D580" t="inlineStr">
        <is>
          <t>Stripe patient 97523</t>
        </is>
      </c>
      <c r="E580" t="inlineStr">
        <is>
          <t>INV/2026/03760</t>
        </is>
      </c>
      <c r="F580" t="inlineStr">
        <is>
          <t>Customer payment INV/2026/03760</t>
        </is>
      </c>
      <c r="G580" s="9" t="n">
        <v>85</v>
      </c>
      <c r="H580" t="inlineStr">
        <is>
          <t>customer_payment</t>
        </is>
      </c>
      <c r="I580" t="inlineStr"/>
      <c r="J580" t="inlineStr">
        <is>
          <t>G00018</t>
        </is>
      </c>
      <c r="K580" t="str">
        <f>INDEX('Match Groups'!$D$5:$D$1326,MATCH(J580,'Match Groups'!$A$5:$A$1326,0))</f>
        <v>STRIPE-FEE</v>
      </c>
    </row>
    <row r="581">
      <c r="A581" t="inlineStr">
        <is>
          <t>JI-01914</t>
        </is>
      </c>
      <c r="B581" t="inlineStr">
        <is>
          <t>OPS</t>
        </is>
      </c>
      <c r="C581" s="5" t="n">
        <v>46206</v>
      </c>
      <c r="D581" t="inlineStr">
        <is>
          <t>Stripe patient 53200</t>
        </is>
      </c>
      <c r="E581" t="inlineStr">
        <is>
          <t>INV/2026/03761</t>
        </is>
      </c>
      <c r="F581" t="inlineStr">
        <is>
          <t>Customer payment INV/2026/03761</t>
        </is>
      </c>
      <c r="G581" s="9" t="n">
        <v>150</v>
      </c>
      <c r="H581" t="inlineStr">
        <is>
          <t>customer_payment</t>
        </is>
      </c>
      <c r="I581" t="inlineStr"/>
      <c r="J581" t="inlineStr">
        <is>
          <t>G00018</t>
        </is>
      </c>
      <c r="K581" t="str">
        <f>INDEX('Match Groups'!$D$5:$D$1326,MATCH(J581,'Match Groups'!$A$5:$A$1326,0))</f>
        <v>STRIPE-FEE</v>
      </c>
    </row>
    <row r="582">
      <c r="A582" t="inlineStr">
        <is>
          <t>JI-01915</t>
        </is>
      </c>
      <c r="B582" t="inlineStr">
        <is>
          <t>OPS</t>
        </is>
      </c>
      <c r="C582" s="5" t="n">
        <v>46206</v>
      </c>
      <c r="D582" t="inlineStr">
        <is>
          <t>Stripe patient 19211</t>
        </is>
      </c>
      <c r="E582" t="inlineStr">
        <is>
          <t>INV/2026/03762</t>
        </is>
      </c>
      <c r="F582" t="inlineStr">
        <is>
          <t>Customer payment INV/2026/03762</t>
        </is>
      </c>
      <c r="G582" s="9" t="n">
        <v>95</v>
      </c>
      <c r="H582" t="inlineStr">
        <is>
          <t>customer_payment</t>
        </is>
      </c>
      <c r="I582" t="inlineStr"/>
      <c r="J582" t="inlineStr">
        <is>
          <t>G00018</t>
        </is>
      </c>
      <c r="K582" t="str">
        <f>INDEX('Match Groups'!$D$5:$D$1326,MATCH(J582,'Match Groups'!$A$5:$A$1326,0))</f>
        <v>STRIPE-FEE</v>
      </c>
    </row>
    <row r="583">
      <c r="A583" t="inlineStr">
        <is>
          <t>JI-03894</t>
        </is>
      </c>
      <c r="B583" t="inlineStr">
        <is>
          <t>OPS</t>
        </is>
      </c>
      <c r="C583" s="5" t="n">
        <v>46206</v>
      </c>
      <c r="D583" t="inlineStr">
        <is>
          <t>Collins St Property Trust</t>
        </is>
      </c>
      <c r="E583" t="inlineStr">
        <is>
          <t>BILL/2026/0998</t>
        </is>
      </c>
      <c r="F583" t="inlineStr">
        <is>
          <t>Vendor payment BILL/2026/0998</t>
        </is>
      </c>
      <c r="G583" s="9" t="n">
        <v>-14850</v>
      </c>
      <c r="H583" t="inlineStr">
        <is>
          <t>supplier_payment</t>
        </is>
      </c>
      <c r="I583" t="inlineStr"/>
      <c r="J583" t="inlineStr">
        <is>
          <t>G01114</t>
        </is>
      </c>
      <c r="K583" t="str">
        <f>INDEX('Match Groups'!$D$5:$D$1326,MATCH(J583,'Match Groups'!$A$5:$A$1326,0))</f>
        <v>MATCH</v>
      </c>
    </row>
    <row r="584">
      <c r="A584" t="inlineStr">
        <is>
          <t>JI-03897</t>
        </is>
      </c>
      <c r="B584" t="inlineStr">
        <is>
          <t>OPS</t>
        </is>
      </c>
      <c r="C584" s="5" t="n">
        <v>46206</v>
      </c>
      <c r="D584" t="inlineStr">
        <is>
          <t>Moorabbin Office Park</t>
        </is>
      </c>
      <c r="E584" t="inlineStr">
        <is>
          <t>BILL/2026/1001</t>
        </is>
      </c>
      <c r="F584" t="inlineStr">
        <is>
          <t>Vendor payment BILL/2026/1001</t>
        </is>
      </c>
      <c r="G584" s="9" t="n">
        <v>-7425</v>
      </c>
      <c r="H584" t="inlineStr">
        <is>
          <t>supplier_payment</t>
        </is>
      </c>
      <c r="I584" t="inlineStr"/>
      <c r="J584" t="inlineStr">
        <is>
          <t>G01117</t>
        </is>
      </c>
      <c r="K584" t="str">
        <f>INDEX('Match Groups'!$D$5:$D$1326,MATCH(J584,'Match Groups'!$A$5:$A$1326,0))</f>
        <v>MATCH</v>
      </c>
    </row>
    <row r="585">
      <c r="A585" t="inlineStr">
        <is>
          <t>JI-03901</t>
        </is>
      </c>
      <c r="B585" t="inlineStr">
        <is>
          <t>OPS</t>
        </is>
      </c>
      <c r="C585" s="5" t="n">
        <v>46206</v>
      </c>
      <c r="D585" t="inlineStr">
        <is>
          <t>Clinic Practice Software AU</t>
        </is>
      </c>
      <c r="E585" t="inlineStr">
        <is>
          <t>BILL/2026/1007</t>
        </is>
      </c>
      <c r="F585" t="inlineStr">
        <is>
          <t>Vendor payment BILL/2026/1007</t>
        </is>
      </c>
      <c r="G585" s="9" t="n">
        <v>-1870</v>
      </c>
      <c r="H585" t="inlineStr">
        <is>
          <t>supplier_payment</t>
        </is>
      </c>
      <c r="I585" t="inlineStr"/>
      <c r="J585" t="inlineStr">
        <is>
          <t>G01118</t>
        </is>
      </c>
      <c r="K585" t="str">
        <f>INDEX('Match Groups'!$D$5:$D$1326,MATCH(J585,'Match Groups'!$A$5:$A$1326,0))</f>
        <v>MATCH</v>
      </c>
    </row>
    <row r="586">
      <c r="A586" t="inlineStr">
        <is>
          <t>JI-03921</t>
        </is>
      </c>
      <c r="B586" t="inlineStr">
        <is>
          <t>OPS</t>
        </is>
      </c>
      <c r="C586" s="5" t="n">
        <v>46206</v>
      </c>
      <c r="D586" t="inlineStr">
        <is>
          <t>Medilab Pathology</t>
        </is>
      </c>
      <c r="E586" t="inlineStr">
        <is>
          <t>CHQ 000403</t>
        </is>
      </c>
      <c r="F586" t="inlineStr">
        <is>
          <t>Cheque 000403 Medilab Pathology</t>
        </is>
      </c>
      <c r="G586" s="9" t="n">
        <v>-418</v>
      </c>
      <c r="H586" t="inlineStr">
        <is>
          <t>supplier_payment</t>
        </is>
      </c>
      <c r="I586" t="inlineStr"/>
      <c r="J586" t="inlineStr">
        <is>
          <t>G00508</t>
        </is>
      </c>
      <c r="K586" t="str">
        <f>INDEX('Match Groups'!$D$5:$D$1326,MATCH(J586,'Match Groups'!$A$5:$A$1326,0))</f>
        <v>MATCH</v>
      </c>
    </row>
    <row r="587">
      <c r="A587" t="inlineStr">
        <is>
          <t>JI-01916</t>
        </is>
      </c>
      <c r="B587" t="inlineStr">
        <is>
          <t>OPS</t>
        </is>
      </c>
      <c r="C587" s="5" t="n">
        <v>46207</v>
      </c>
      <c r="D587" t="inlineStr">
        <is>
          <t>Stripe patient 94668</t>
        </is>
      </c>
      <c r="E587" t="inlineStr">
        <is>
          <t>INV/2026/03763</t>
        </is>
      </c>
      <c r="F587" t="inlineStr">
        <is>
          <t>Customer payment INV/2026/03763</t>
        </is>
      </c>
      <c r="G587" s="9" t="n">
        <v>220</v>
      </c>
      <c r="H587" t="inlineStr">
        <is>
          <t>customer_payment</t>
        </is>
      </c>
      <c r="I587" t="inlineStr"/>
      <c r="J587" t="inlineStr">
        <is>
          <t>G00018</t>
        </is>
      </c>
      <c r="K587" t="str">
        <f>INDEX('Match Groups'!$D$5:$D$1326,MATCH(J587,'Match Groups'!$A$5:$A$1326,0))</f>
        <v>STRIPE-FEE</v>
      </c>
    </row>
    <row r="588">
      <c r="A588" t="inlineStr">
        <is>
          <t>JI-01917</t>
        </is>
      </c>
      <c r="B588" t="inlineStr">
        <is>
          <t>OPS</t>
        </is>
      </c>
      <c r="C588" s="5" t="n">
        <v>46207</v>
      </c>
      <c r="D588" t="inlineStr">
        <is>
          <t>Stripe patient 88886</t>
        </is>
      </c>
      <c r="E588" t="inlineStr">
        <is>
          <t>INV/2026/03764</t>
        </is>
      </c>
      <c r="F588" t="inlineStr">
        <is>
          <t>Customer payment INV/2026/03764</t>
        </is>
      </c>
      <c r="G588" s="9" t="n">
        <v>65</v>
      </c>
      <c r="H588" t="inlineStr">
        <is>
          <t>customer_payment</t>
        </is>
      </c>
      <c r="I588" t="inlineStr"/>
      <c r="J588" t="inlineStr">
        <is>
          <t>G00018</t>
        </is>
      </c>
      <c r="K588" t="str">
        <f>INDEX('Match Groups'!$D$5:$D$1326,MATCH(J588,'Match Groups'!$A$5:$A$1326,0))</f>
        <v>STRIPE-FEE</v>
      </c>
    </row>
    <row r="589">
      <c r="A589" t="inlineStr">
        <is>
          <t>JI-01918</t>
        </is>
      </c>
      <c r="B589" t="inlineStr">
        <is>
          <t>OPS</t>
        </is>
      </c>
      <c r="C589" s="5" t="n">
        <v>46207</v>
      </c>
      <c r="D589" t="inlineStr">
        <is>
          <t>Stripe patient 13070</t>
        </is>
      </c>
      <c r="E589" t="inlineStr">
        <is>
          <t>INV/2026/03765</t>
        </is>
      </c>
      <c r="F589" t="inlineStr">
        <is>
          <t>Customer payment INV/2026/03765</t>
        </is>
      </c>
      <c r="G589" s="9" t="n">
        <v>150</v>
      </c>
      <c r="H589" t="inlineStr">
        <is>
          <t>customer_payment</t>
        </is>
      </c>
      <c r="I589" t="inlineStr"/>
      <c r="J589" t="inlineStr">
        <is>
          <t>G00018</t>
        </is>
      </c>
      <c r="K589" t="str">
        <f>INDEX('Match Groups'!$D$5:$D$1326,MATCH(J589,'Match Groups'!$A$5:$A$1326,0))</f>
        <v>STRIPE-FEE</v>
      </c>
    </row>
    <row r="590">
      <c r="A590" t="inlineStr">
        <is>
          <t>JI-01919</t>
        </is>
      </c>
      <c r="B590" t="inlineStr">
        <is>
          <t>OPS</t>
        </is>
      </c>
      <c r="C590" s="5" t="n">
        <v>46207</v>
      </c>
      <c r="D590" t="inlineStr">
        <is>
          <t>Stripe patient 34880</t>
        </is>
      </c>
      <c r="E590" t="inlineStr">
        <is>
          <t>INV/2026/03766</t>
        </is>
      </c>
      <c r="F590" t="inlineStr">
        <is>
          <t>Customer payment INV/2026/03766</t>
        </is>
      </c>
      <c r="G590" s="9" t="n">
        <v>95</v>
      </c>
      <c r="H590" t="inlineStr">
        <is>
          <t>customer_payment</t>
        </is>
      </c>
      <c r="I590" t="inlineStr"/>
      <c r="J590" t="inlineStr">
        <is>
          <t>G00018</t>
        </is>
      </c>
      <c r="K590" t="str">
        <f>INDEX('Match Groups'!$D$5:$D$1326,MATCH(J590,'Match Groups'!$A$5:$A$1326,0))</f>
        <v>STRIPE-FEE</v>
      </c>
    </row>
    <row r="591">
      <c r="A591" t="inlineStr">
        <is>
          <t>JI-01920</t>
        </is>
      </c>
      <c r="B591" t="inlineStr">
        <is>
          <t>OPS</t>
        </is>
      </c>
      <c r="C591" s="5" t="n">
        <v>46207</v>
      </c>
      <c r="D591" t="inlineStr">
        <is>
          <t>Stripe patient 88215</t>
        </is>
      </c>
      <c r="E591" t="inlineStr">
        <is>
          <t>INV/2026/03767</t>
        </is>
      </c>
      <c r="F591" t="inlineStr">
        <is>
          <t>Customer payment INV/2026/03767</t>
        </is>
      </c>
      <c r="G591" s="9" t="n">
        <v>220</v>
      </c>
      <c r="H591" t="inlineStr">
        <is>
          <t>customer_payment</t>
        </is>
      </c>
      <c r="I591" t="inlineStr"/>
      <c r="J591" t="inlineStr">
        <is>
          <t>G00018</t>
        </is>
      </c>
      <c r="K591" t="str">
        <f>INDEX('Match Groups'!$D$5:$D$1326,MATCH(J591,'Match Groups'!$A$5:$A$1326,0))</f>
        <v>STRIPE-FEE</v>
      </c>
    </row>
    <row r="592">
      <c r="A592" t="inlineStr">
        <is>
          <t>JI-01921</t>
        </is>
      </c>
      <c r="B592" t="inlineStr">
        <is>
          <t>OPS</t>
        </is>
      </c>
      <c r="C592" s="5" t="n">
        <v>46207</v>
      </c>
      <c r="D592" t="inlineStr">
        <is>
          <t>Stripe patient 51274</t>
        </is>
      </c>
      <c r="E592" t="inlineStr">
        <is>
          <t>INV/2026/03768</t>
        </is>
      </c>
      <c r="F592" t="inlineStr">
        <is>
          <t>Customer payment INV/2026/03768</t>
        </is>
      </c>
      <c r="G592" s="9" t="n">
        <v>220</v>
      </c>
      <c r="H592" t="inlineStr">
        <is>
          <t>customer_payment</t>
        </is>
      </c>
      <c r="I592" t="inlineStr"/>
      <c r="J592" t="inlineStr">
        <is>
          <t>G00018</t>
        </is>
      </c>
      <c r="K592" t="str">
        <f>INDEX('Match Groups'!$D$5:$D$1326,MATCH(J592,'Match Groups'!$A$5:$A$1326,0))</f>
        <v>STRIPE-FEE</v>
      </c>
    </row>
    <row r="593">
      <c r="A593" t="inlineStr">
        <is>
          <t>JI-01922</t>
        </is>
      </c>
      <c r="B593" t="inlineStr">
        <is>
          <t>OPS</t>
        </is>
      </c>
      <c r="C593" s="5" t="n">
        <v>46207</v>
      </c>
      <c r="D593" t="inlineStr">
        <is>
          <t>Stripe patient 87134</t>
        </is>
      </c>
      <c r="E593" t="inlineStr">
        <is>
          <t>INV/2026/03769</t>
        </is>
      </c>
      <c r="F593" t="inlineStr">
        <is>
          <t>Customer payment INV/2026/03769</t>
        </is>
      </c>
      <c r="G593" s="9" t="n">
        <v>180</v>
      </c>
      <c r="H593" t="inlineStr">
        <is>
          <t>customer_payment</t>
        </is>
      </c>
      <c r="I593" t="inlineStr"/>
      <c r="J593" t="inlineStr">
        <is>
          <t>G00018</t>
        </is>
      </c>
      <c r="K593" t="str">
        <f>INDEX('Match Groups'!$D$5:$D$1326,MATCH(J593,'Match Groups'!$A$5:$A$1326,0))</f>
        <v>STRIPE-FEE</v>
      </c>
    </row>
    <row r="594">
      <c r="A594" t="inlineStr">
        <is>
          <t>JI-01923</t>
        </is>
      </c>
      <c r="B594" t="inlineStr">
        <is>
          <t>OPS</t>
        </is>
      </c>
      <c r="C594" s="5" t="n">
        <v>46207</v>
      </c>
      <c r="D594" t="inlineStr">
        <is>
          <t>Stripe patient 36701</t>
        </is>
      </c>
      <c r="E594" t="inlineStr">
        <is>
          <t>INV/2026/03770</t>
        </is>
      </c>
      <c r="F594" t="inlineStr">
        <is>
          <t>Customer payment INV/2026/03770</t>
        </is>
      </c>
      <c r="G594" s="9" t="n">
        <v>95</v>
      </c>
      <c r="H594" t="inlineStr">
        <is>
          <t>customer_payment</t>
        </is>
      </c>
      <c r="I594" t="inlineStr"/>
      <c r="J594" t="inlineStr">
        <is>
          <t>G00018</t>
        </is>
      </c>
      <c r="K594" t="str">
        <f>INDEX('Match Groups'!$D$5:$D$1326,MATCH(J594,'Match Groups'!$A$5:$A$1326,0))</f>
        <v>STRIPE-FEE</v>
      </c>
    </row>
    <row r="595">
      <c r="A595" t="inlineStr">
        <is>
          <t>JI-01924</t>
        </is>
      </c>
      <c r="B595" t="inlineStr">
        <is>
          <t>OPS</t>
        </is>
      </c>
      <c r="C595" s="5" t="n">
        <v>46207</v>
      </c>
      <c r="D595" t="inlineStr">
        <is>
          <t>Stripe patient 71594</t>
        </is>
      </c>
      <c r="E595" t="inlineStr">
        <is>
          <t>INV/2026/03771</t>
        </is>
      </c>
      <c r="F595" t="inlineStr">
        <is>
          <t>Customer payment INV/2026/03771</t>
        </is>
      </c>
      <c r="G595" s="9" t="n">
        <v>150</v>
      </c>
      <c r="H595" t="inlineStr">
        <is>
          <t>customer_payment</t>
        </is>
      </c>
      <c r="I595" t="inlineStr"/>
      <c r="J595" t="inlineStr">
        <is>
          <t>G00018</t>
        </is>
      </c>
      <c r="K595" t="str">
        <f>INDEX('Match Groups'!$D$5:$D$1326,MATCH(J595,'Match Groups'!$A$5:$A$1326,0))</f>
        <v>STRIPE-FEE</v>
      </c>
    </row>
    <row r="596">
      <c r="A596" t="inlineStr">
        <is>
          <t>JI-01925</t>
        </is>
      </c>
      <c r="B596" t="inlineStr">
        <is>
          <t>OPS</t>
        </is>
      </c>
      <c r="C596" s="5" t="n">
        <v>46207</v>
      </c>
      <c r="D596" t="inlineStr">
        <is>
          <t>Stripe patient 27164</t>
        </is>
      </c>
      <c r="E596" t="inlineStr">
        <is>
          <t>INV/2026/03772</t>
        </is>
      </c>
      <c r="F596" t="inlineStr">
        <is>
          <t>Customer payment INV/2026/03772</t>
        </is>
      </c>
      <c r="G596" s="9" t="n">
        <v>110</v>
      </c>
      <c r="H596" t="inlineStr">
        <is>
          <t>customer_payment</t>
        </is>
      </c>
      <c r="I596" t="inlineStr"/>
      <c r="J596" t="inlineStr">
        <is>
          <t>G00018</t>
        </is>
      </c>
      <c r="K596" t="str">
        <f>INDEX('Match Groups'!$D$5:$D$1326,MATCH(J596,'Match Groups'!$A$5:$A$1326,0))</f>
        <v>STRIPE-FEE</v>
      </c>
    </row>
    <row r="597">
      <c r="A597" t="inlineStr">
        <is>
          <t>JI-01611</t>
        </is>
      </c>
      <c r="B597" t="inlineStr">
        <is>
          <t>OPS</t>
        </is>
      </c>
      <c r="C597" s="5" t="n">
        <v>46208</v>
      </c>
      <c r="D597" t="inlineStr">
        <is>
          <t>Meridian Health Cover</t>
        </is>
      </c>
      <c r="E597" t="inlineStr">
        <is>
          <t>INV/2026/01825</t>
        </is>
      </c>
      <c r="F597" t="inlineStr">
        <is>
          <t>Customer payment INV/2026/01825</t>
        </is>
      </c>
      <c r="G597" s="9" t="n">
        <v>990</v>
      </c>
      <c r="H597" t="inlineStr">
        <is>
          <t>customer_payment</t>
        </is>
      </c>
      <c r="I597" t="inlineStr"/>
      <c r="J597" t="inlineStr">
        <is>
          <t>G00910</t>
        </is>
      </c>
      <c r="K597" t="str">
        <f>INDEX('Match Groups'!$D$5:$D$1326,MATCH(J597,'Match Groups'!$A$5:$A$1326,0))</f>
        <v>MATCH</v>
      </c>
    </row>
    <row r="598">
      <c r="A598" t="inlineStr">
        <is>
          <t>JI-01675</t>
        </is>
      </c>
      <c r="B598" t="inlineStr">
        <is>
          <t>OPS</t>
        </is>
      </c>
      <c r="C598" s="5" t="n">
        <v>46208</v>
      </c>
      <c r="D598" t="inlineStr">
        <is>
          <t>Fernhill Aged Care</t>
        </is>
      </c>
      <c r="E598" t="inlineStr">
        <is>
          <t>INV/2026/03424</t>
        </is>
      </c>
      <c r="F598" t="inlineStr">
        <is>
          <t>Customer payment INV/2026/03424</t>
        </is>
      </c>
      <c r="G598" s="9" t="n">
        <v>10807.5</v>
      </c>
      <c r="H598" t="inlineStr">
        <is>
          <t>customer_payment</t>
        </is>
      </c>
      <c r="I598" t="inlineStr"/>
      <c r="J598" t="inlineStr">
        <is>
          <t>G00911</t>
        </is>
      </c>
      <c r="K598" t="str">
        <f>INDEX('Match Groups'!$D$5:$D$1326,MATCH(J598,'Match Groups'!$A$5:$A$1326,0))</f>
        <v>MATCH</v>
      </c>
    </row>
    <row r="599">
      <c r="A599" t="inlineStr">
        <is>
          <t>JI-00083</t>
        </is>
      </c>
      <c r="B599" t="inlineStr">
        <is>
          <t>OPS</t>
        </is>
      </c>
      <c r="C599" s="5" t="n">
        <v>46209</v>
      </c>
      <c r="D599" t="inlineStr">
        <is>
          <t>Riverbend Plan Partners</t>
        </is>
      </c>
      <c r="E599" t="inlineStr">
        <is>
          <t>INV/2026/01516</t>
        </is>
      </c>
      <c r="F599" t="inlineStr">
        <is>
          <t>Customer payment INV/2026/01516</t>
        </is>
      </c>
      <c r="G599" s="9" t="n">
        <v>387.98</v>
      </c>
      <c r="H599" t="inlineStr">
        <is>
          <t>customer_payment</t>
        </is>
      </c>
      <c r="I599" t="inlineStr"/>
      <c r="J599" t="inlineStr">
        <is>
          <t>G00100</t>
        </is>
      </c>
      <c r="K599" t="str">
        <f>INDEX('Match Groups'!$D$5:$D$1326,MATCH(J599,'Match Groups'!$A$5:$A$1326,0))</f>
        <v>MATCH</v>
      </c>
    </row>
    <row r="600">
      <c r="A600" t="inlineStr">
        <is>
          <t>JI-00084</t>
        </is>
      </c>
      <c r="B600" t="inlineStr">
        <is>
          <t>OPS</t>
        </is>
      </c>
      <c r="C600" s="5" t="n">
        <v>46209</v>
      </c>
      <c r="D600" t="inlineStr">
        <is>
          <t>Riverbend Plan Partners</t>
        </is>
      </c>
      <c r="E600" t="inlineStr">
        <is>
          <t>INV/2026/01557</t>
        </is>
      </c>
      <c r="F600" t="inlineStr">
        <is>
          <t>Customer payment INV/2026/01557</t>
        </is>
      </c>
      <c r="G600" s="9" t="n">
        <v>145.49</v>
      </c>
      <c r="H600" t="inlineStr">
        <is>
          <t>customer_payment</t>
        </is>
      </c>
      <c r="I600" t="inlineStr"/>
      <c r="J600" t="inlineStr">
        <is>
          <t>G00100</t>
        </is>
      </c>
      <c r="K600" t="str">
        <f>INDEX('Match Groups'!$D$5:$D$1326,MATCH(J600,'Match Groups'!$A$5:$A$1326,0))</f>
        <v>MATCH</v>
      </c>
    </row>
    <row r="601">
      <c r="A601" t="inlineStr">
        <is>
          <t>JI-00085</t>
        </is>
      </c>
      <c r="B601" t="inlineStr">
        <is>
          <t>OPS</t>
        </is>
      </c>
      <c r="C601" s="5" t="n">
        <v>46209</v>
      </c>
      <c r="D601" t="inlineStr">
        <is>
          <t>Riverbend Plan Partners</t>
        </is>
      </c>
      <c r="E601" t="inlineStr">
        <is>
          <t>INV/2026/01585</t>
        </is>
      </c>
      <c r="F601" t="inlineStr">
        <is>
          <t>Customer payment INV/2026/01585</t>
        </is>
      </c>
      <c r="G601" s="9" t="n">
        <v>349.18</v>
      </c>
      <c r="H601" t="inlineStr">
        <is>
          <t>customer_payment</t>
        </is>
      </c>
      <c r="I601" t="inlineStr"/>
      <c r="J601" t="inlineStr">
        <is>
          <t>G00100</t>
        </is>
      </c>
      <c r="K601" t="str">
        <f>INDEX('Match Groups'!$D$5:$D$1326,MATCH(J601,'Match Groups'!$A$5:$A$1326,0))</f>
        <v>MATCH</v>
      </c>
    </row>
    <row r="602">
      <c r="A602" t="inlineStr">
        <is>
          <t>JI-00086</t>
        </is>
      </c>
      <c r="B602" t="inlineStr">
        <is>
          <t>OPS</t>
        </is>
      </c>
      <c r="C602" s="5" t="n">
        <v>46209</v>
      </c>
      <c r="D602" t="inlineStr">
        <is>
          <t>Riverbend Plan Partners</t>
        </is>
      </c>
      <c r="E602" t="inlineStr">
        <is>
          <t>INV/2026/01586</t>
        </is>
      </c>
      <c r="F602" t="inlineStr">
        <is>
          <t>Customer payment INV/2026/01586</t>
        </is>
      </c>
      <c r="G602" s="9" t="n">
        <v>300.69</v>
      </c>
      <c r="H602" t="inlineStr">
        <is>
          <t>customer_payment</t>
        </is>
      </c>
      <c r="I602" t="inlineStr"/>
      <c r="J602" t="inlineStr">
        <is>
          <t>G00100</t>
        </is>
      </c>
      <c r="K602" t="str">
        <f>INDEX('Match Groups'!$D$5:$D$1326,MATCH(J602,'Match Groups'!$A$5:$A$1326,0))</f>
        <v>MATCH</v>
      </c>
    </row>
    <row r="603">
      <c r="A603" t="inlineStr">
        <is>
          <t>JI-00087</t>
        </is>
      </c>
      <c r="B603" t="inlineStr">
        <is>
          <t>OPS</t>
        </is>
      </c>
      <c r="C603" s="5" t="n">
        <v>46209</v>
      </c>
      <c r="D603" t="inlineStr">
        <is>
          <t>Riverbend Plan Partners</t>
        </is>
      </c>
      <c r="E603" t="inlineStr">
        <is>
          <t>INV/2026/01640</t>
        </is>
      </c>
      <c r="F603" t="inlineStr">
        <is>
          <t>Customer payment INV/2026/01640</t>
        </is>
      </c>
      <c r="G603" s="9" t="n">
        <v>96.98999999999999</v>
      </c>
      <c r="H603" t="inlineStr">
        <is>
          <t>customer_payment</t>
        </is>
      </c>
      <c r="I603" t="inlineStr"/>
      <c r="J603" t="inlineStr">
        <is>
          <t>G00100</t>
        </is>
      </c>
      <c r="K603" t="str">
        <f>INDEX('Match Groups'!$D$5:$D$1326,MATCH(J603,'Match Groups'!$A$5:$A$1326,0))</f>
        <v>MATCH</v>
      </c>
    </row>
    <row r="604">
      <c r="A604" t="inlineStr">
        <is>
          <t>JI-00088</t>
        </is>
      </c>
      <c r="B604" t="inlineStr">
        <is>
          <t>OPS</t>
        </is>
      </c>
      <c r="C604" s="5" t="n">
        <v>46209</v>
      </c>
      <c r="D604" t="inlineStr">
        <is>
          <t>Riverbend Plan Partners</t>
        </is>
      </c>
      <c r="E604" t="inlineStr">
        <is>
          <t>INV/2026/01663</t>
        </is>
      </c>
      <c r="F604" t="inlineStr">
        <is>
          <t>Customer payment INV/2026/01663</t>
        </is>
      </c>
      <c r="G604" s="9" t="n">
        <v>300.69</v>
      </c>
      <c r="H604" t="inlineStr">
        <is>
          <t>customer_payment</t>
        </is>
      </c>
      <c r="I604" t="inlineStr"/>
      <c r="J604" t="inlineStr">
        <is>
          <t>G00100</t>
        </is>
      </c>
      <c r="K604" t="str">
        <f>INDEX('Match Groups'!$D$5:$D$1326,MATCH(J604,'Match Groups'!$A$5:$A$1326,0))</f>
        <v>MATCH</v>
      </c>
    </row>
    <row r="605">
      <c r="A605" t="inlineStr">
        <is>
          <t>JI-00089</t>
        </is>
      </c>
      <c r="B605" t="inlineStr">
        <is>
          <t>OPS</t>
        </is>
      </c>
      <c r="C605" s="5" t="n">
        <v>46209</v>
      </c>
      <c r="D605" t="inlineStr">
        <is>
          <t>Riverbend Plan Partners</t>
        </is>
      </c>
      <c r="E605" t="inlineStr">
        <is>
          <t>INV/2026/01688</t>
        </is>
      </c>
      <c r="F605" t="inlineStr">
        <is>
          <t>Customer payment INV/2026/01688</t>
        </is>
      </c>
      <c r="G605" s="9" t="n">
        <v>349.18</v>
      </c>
      <c r="H605" t="inlineStr">
        <is>
          <t>customer_payment</t>
        </is>
      </c>
      <c r="I605" t="inlineStr"/>
      <c r="J605" t="inlineStr">
        <is>
          <t>G00100</t>
        </is>
      </c>
      <c r="K605" t="str">
        <f>INDEX('Match Groups'!$D$5:$D$1326,MATCH(J605,'Match Groups'!$A$5:$A$1326,0))</f>
        <v>MATCH</v>
      </c>
    </row>
    <row r="606">
      <c r="A606" t="inlineStr">
        <is>
          <t>JI-00090</t>
        </is>
      </c>
      <c r="B606" t="inlineStr">
        <is>
          <t>OPS</t>
        </is>
      </c>
      <c r="C606" s="5" t="n">
        <v>46209</v>
      </c>
      <c r="D606" t="inlineStr">
        <is>
          <t>Riverbend Plan Partners</t>
        </is>
      </c>
      <c r="E606" t="inlineStr">
        <is>
          <t>INV/2026/01707</t>
        </is>
      </c>
      <c r="F606" t="inlineStr">
        <is>
          <t>Customer payment INV/2026/01707</t>
        </is>
      </c>
      <c r="G606" s="9" t="n">
        <v>223.99</v>
      </c>
      <c r="H606" t="inlineStr">
        <is>
          <t>customer_payment</t>
        </is>
      </c>
      <c r="I606" t="inlineStr"/>
      <c r="J606" t="inlineStr">
        <is>
          <t>G00100</t>
        </is>
      </c>
      <c r="K606" t="str">
        <f>INDEX('Match Groups'!$D$5:$D$1326,MATCH(J606,'Match Groups'!$A$5:$A$1326,0))</f>
        <v>MATCH</v>
      </c>
    </row>
    <row r="607">
      <c r="A607" t="inlineStr">
        <is>
          <t>JI-00091</t>
        </is>
      </c>
      <c r="B607" t="inlineStr">
        <is>
          <t>OPS</t>
        </is>
      </c>
      <c r="C607" s="5" t="n">
        <v>46209</v>
      </c>
      <c r="D607" t="inlineStr">
        <is>
          <t>Clearpath NDIS Plans</t>
        </is>
      </c>
      <c r="E607" t="inlineStr">
        <is>
          <t>INV/2026/01453</t>
        </is>
      </c>
      <c r="F607" t="inlineStr">
        <is>
          <t>Customer payment INV/2026/01453</t>
        </is>
      </c>
      <c r="G607" s="9" t="n">
        <v>175.49</v>
      </c>
      <c r="H607" t="inlineStr">
        <is>
          <t>customer_payment</t>
        </is>
      </c>
      <c r="I607" t="inlineStr"/>
      <c r="J607" t="inlineStr">
        <is>
          <t>G00101</t>
        </is>
      </c>
      <c r="K607" t="str">
        <f>INDEX('Match Groups'!$D$5:$D$1326,MATCH(J607,'Match Groups'!$A$5:$A$1326,0))</f>
        <v>MATCH</v>
      </c>
    </row>
    <row r="608">
      <c r="A608" t="inlineStr">
        <is>
          <t>JI-00092</t>
        </is>
      </c>
      <c r="B608" t="inlineStr">
        <is>
          <t>OPS</t>
        </is>
      </c>
      <c r="C608" s="5" t="n">
        <v>46209</v>
      </c>
      <c r="D608" t="inlineStr">
        <is>
          <t>Clearpath NDIS Plans</t>
        </is>
      </c>
      <c r="E608" t="inlineStr">
        <is>
          <t>INV/2026/01454</t>
        </is>
      </c>
      <c r="F608" t="inlineStr">
        <is>
          <t>Customer payment INV/2026/01454</t>
        </is>
      </c>
      <c r="G608" s="9" t="n">
        <v>193.99</v>
      </c>
      <c r="H608" t="inlineStr">
        <is>
          <t>customer_payment</t>
        </is>
      </c>
      <c r="I608" t="inlineStr"/>
      <c r="J608" t="inlineStr">
        <is>
          <t>G00101</t>
        </is>
      </c>
      <c r="K608" t="str">
        <f>INDEX('Match Groups'!$D$5:$D$1326,MATCH(J608,'Match Groups'!$A$5:$A$1326,0))</f>
        <v>MATCH</v>
      </c>
    </row>
    <row r="609">
      <c r="A609" t="inlineStr">
        <is>
          <t>JI-00093</t>
        </is>
      </c>
      <c r="B609" t="inlineStr">
        <is>
          <t>OPS</t>
        </is>
      </c>
      <c r="C609" s="5" t="n">
        <v>46209</v>
      </c>
      <c r="D609" t="inlineStr">
        <is>
          <t>Clearpath NDIS Plans</t>
        </is>
      </c>
      <c r="E609" t="inlineStr">
        <is>
          <t>INV/2026/01481</t>
        </is>
      </c>
      <c r="F609" t="inlineStr">
        <is>
          <t>Customer payment INV/2026/01481</t>
        </is>
      </c>
      <c r="G609" s="9" t="n">
        <v>242.49</v>
      </c>
      <c r="H609" t="inlineStr">
        <is>
          <t>customer_payment</t>
        </is>
      </c>
      <c r="I609" t="inlineStr"/>
      <c r="J609" t="inlineStr">
        <is>
          <t>G00101</t>
        </is>
      </c>
      <c r="K609" t="str">
        <f>INDEX('Match Groups'!$D$5:$D$1326,MATCH(J609,'Match Groups'!$A$5:$A$1326,0))</f>
        <v>MATCH</v>
      </c>
    </row>
    <row r="610">
      <c r="A610" t="inlineStr">
        <is>
          <t>JI-00094</t>
        </is>
      </c>
      <c r="B610" t="inlineStr">
        <is>
          <t>OPS</t>
        </is>
      </c>
      <c r="C610" s="5" t="n">
        <v>46209</v>
      </c>
      <c r="D610" t="inlineStr">
        <is>
          <t>Clearpath NDIS Plans</t>
        </is>
      </c>
      <c r="E610" t="inlineStr">
        <is>
          <t>INV/2026/01501</t>
        </is>
      </c>
      <c r="F610" t="inlineStr">
        <is>
          <t>Customer payment INV/2026/01501</t>
        </is>
      </c>
      <c r="G610" s="9" t="n">
        <v>96.98999999999999</v>
      </c>
      <c r="H610" t="inlineStr">
        <is>
          <t>customer_payment</t>
        </is>
      </c>
      <c r="I610" t="inlineStr"/>
      <c r="J610" t="inlineStr">
        <is>
          <t>G00101</t>
        </is>
      </c>
      <c r="K610" t="str">
        <f>INDEX('Match Groups'!$D$5:$D$1326,MATCH(J610,'Match Groups'!$A$5:$A$1326,0))</f>
        <v>MATCH</v>
      </c>
    </row>
    <row r="611">
      <c r="A611" t="inlineStr">
        <is>
          <t>JI-00095</t>
        </is>
      </c>
      <c r="B611" t="inlineStr">
        <is>
          <t>OPS</t>
        </is>
      </c>
      <c r="C611" s="5" t="n">
        <v>46209</v>
      </c>
      <c r="D611" t="inlineStr">
        <is>
          <t>Clearpath NDIS Plans</t>
        </is>
      </c>
      <c r="E611" t="inlineStr">
        <is>
          <t>INV/2026/01502</t>
        </is>
      </c>
      <c r="F611" t="inlineStr">
        <is>
          <t>Customer payment INV/2026/01502</t>
        </is>
      </c>
      <c r="G611" s="9" t="n">
        <v>96.98999999999999</v>
      </c>
      <c r="H611" t="inlineStr">
        <is>
          <t>customer_payment</t>
        </is>
      </c>
      <c r="I611" t="inlineStr"/>
      <c r="J611" t="inlineStr">
        <is>
          <t>G00101</t>
        </is>
      </c>
      <c r="K611" t="str">
        <f>INDEX('Match Groups'!$D$5:$D$1326,MATCH(J611,'Match Groups'!$A$5:$A$1326,0))</f>
        <v>MATCH</v>
      </c>
    </row>
    <row r="612">
      <c r="A612" t="inlineStr">
        <is>
          <t>JI-00096</t>
        </is>
      </c>
      <c r="B612" t="inlineStr">
        <is>
          <t>OPS</t>
        </is>
      </c>
      <c r="C612" s="5" t="n">
        <v>46209</v>
      </c>
      <c r="D612" t="inlineStr">
        <is>
          <t>Clearpath NDIS Plans</t>
        </is>
      </c>
      <c r="E612" t="inlineStr">
        <is>
          <t>INV/2026/01536</t>
        </is>
      </c>
      <c r="F612" t="inlineStr">
        <is>
          <t>Customer payment INV/2026/01536</t>
        </is>
      </c>
      <c r="G612" s="9" t="n">
        <v>242.49</v>
      </c>
      <c r="H612" t="inlineStr">
        <is>
          <t>customer_payment</t>
        </is>
      </c>
      <c r="I612" t="inlineStr"/>
      <c r="J612" t="inlineStr">
        <is>
          <t>G00101</t>
        </is>
      </c>
      <c r="K612" t="str">
        <f>INDEX('Match Groups'!$D$5:$D$1326,MATCH(J612,'Match Groups'!$A$5:$A$1326,0))</f>
        <v>MATCH</v>
      </c>
    </row>
    <row r="613">
      <c r="A613" t="inlineStr">
        <is>
          <t>JI-00097</t>
        </is>
      </c>
      <c r="B613" t="inlineStr">
        <is>
          <t>OPS</t>
        </is>
      </c>
      <c r="C613" s="5" t="n">
        <v>46209</v>
      </c>
      <c r="D613" t="inlineStr">
        <is>
          <t>Clearpath NDIS Plans</t>
        </is>
      </c>
      <c r="E613" t="inlineStr">
        <is>
          <t>INV/2026/01558</t>
        </is>
      </c>
      <c r="F613" t="inlineStr">
        <is>
          <t>Customer payment INV/2026/01558</t>
        </is>
      </c>
      <c r="G613" s="9" t="n">
        <v>145.49</v>
      </c>
      <c r="H613" t="inlineStr">
        <is>
          <t>customer_payment</t>
        </is>
      </c>
      <c r="I613" t="inlineStr"/>
      <c r="J613" t="inlineStr">
        <is>
          <t>G00101</t>
        </is>
      </c>
      <c r="K613" t="str">
        <f>INDEX('Match Groups'!$D$5:$D$1326,MATCH(J613,'Match Groups'!$A$5:$A$1326,0))</f>
        <v>MATCH</v>
      </c>
    </row>
    <row r="614">
      <c r="A614" t="inlineStr">
        <is>
          <t>JI-00098</t>
        </is>
      </c>
      <c r="B614" t="inlineStr">
        <is>
          <t>OPS</t>
        </is>
      </c>
      <c r="C614" s="5" t="n">
        <v>46209</v>
      </c>
      <c r="D614" t="inlineStr">
        <is>
          <t>Clearpath NDIS Plans</t>
        </is>
      </c>
      <c r="E614" t="inlineStr">
        <is>
          <t>INV/2026/01587</t>
        </is>
      </c>
      <c r="F614" t="inlineStr">
        <is>
          <t>Customer payment INV/2026/01587</t>
        </is>
      </c>
      <c r="G614" s="9" t="n">
        <v>349.18</v>
      </c>
      <c r="H614" t="inlineStr">
        <is>
          <t>customer_payment</t>
        </is>
      </c>
      <c r="I614" t="inlineStr"/>
      <c r="J614" t="inlineStr">
        <is>
          <t>G00101</t>
        </is>
      </c>
      <c r="K614" t="str">
        <f>INDEX('Match Groups'!$D$5:$D$1326,MATCH(J614,'Match Groups'!$A$5:$A$1326,0))</f>
        <v>MATCH</v>
      </c>
    </row>
    <row r="615">
      <c r="A615" t="inlineStr">
        <is>
          <t>JI-00099</t>
        </is>
      </c>
      <c r="B615" t="inlineStr">
        <is>
          <t>OPS</t>
        </is>
      </c>
      <c r="C615" s="5" t="n">
        <v>46209</v>
      </c>
      <c r="D615" t="inlineStr">
        <is>
          <t>Wattle Plan Services</t>
        </is>
      </c>
      <c r="E615" t="inlineStr">
        <is>
          <t>INV/2026/01538</t>
        </is>
      </c>
      <c r="F615" t="inlineStr">
        <is>
          <t>Customer payment INV/2026/01538</t>
        </is>
      </c>
      <c r="G615" s="9" t="n">
        <v>242.49</v>
      </c>
      <c r="H615" t="inlineStr">
        <is>
          <t>customer_payment</t>
        </is>
      </c>
      <c r="I615" t="inlineStr"/>
      <c r="J615" t="inlineStr">
        <is>
          <t>G00102</t>
        </is>
      </c>
      <c r="K615" t="str">
        <f>INDEX('Match Groups'!$D$5:$D$1326,MATCH(J615,'Match Groups'!$A$5:$A$1326,0))</f>
        <v>MATCH</v>
      </c>
    </row>
    <row r="616">
      <c r="A616" t="inlineStr">
        <is>
          <t>JI-00100</t>
        </is>
      </c>
      <c r="B616" t="inlineStr">
        <is>
          <t>OPS</t>
        </is>
      </c>
      <c r="C616" s="5" t="n">
        <v>46209</v>
      </c>
      <c r="D616" t="inlineStr">
        <is>
          <t>Wattle Plan Services</t>
        </is>
      </c>
      <c r="E616" t="inlineStr">
        <is>
          <t>INV/2026/01539</t>
        </is>
      </c>
      <c r="F616" t="inlineStr">
        <is>
          <t>Customer payment INV/2026/01539</t>
        </is>
      </c>
      <c r="G616" s="9" t="n">
        <v>242.49</v>
      </c>
      <c r="H616" t="inlineStr">
        <is>
          <t>customer_payment</t>
        </is>
      </c>
      <c r="I616" t="inlineStr"/>
      <c r="J616" t="inlineStr">
        <is>
          <t>G00102</t>
        </is>
      </c>
      <c r="K616" t="str">
        <f>INDEX('Match Groups'!$D$5:$D$1326,MATCH(J616,'Match Groups'!$A$5:$A$1326,0))</f>
        <v>MATCH</v>
      </c>
    </row>
    <row r="617">
      <c r="A617" t="inlineStr">
        <is>
          <t>JI-00101</t>
        </is>
      </c>
      <c r="B617" t="inlineStr">
        <is>
          <t>OPS</t>
        </is>
      </c>
      <c r="C617" s="5" t="n">
        <v>46209</v>
      </c>
      <c r="D617" t="inlineStr">
        <is>
          <t>Wattle Plan Services</t>
        </is>
      </c>
      <c r="E617" t="inlineStr">
        <is>
          <t>INV/2026/01559</t>
        </is>
      </c>
      <c r="F617" t="inlineStr">
        <is>
          <t>Customer payment INV/2026/01559</t>
        </is>
      </c>
      <c r="G617" s="9" t="n">
        <v>252.19</v>
      </c>
      <c r="H617" t="inlineStr">
        <is>
          <t>customer_payment</t>
        </is>
      </c>
      <c r="I617" t="inlineStr"/>
      <c r="J617" t="inlineStr">
        <is>
          <t>G00102</t>
        </is>
      </c>
      <c r="K617" t="str">
        <f>INDEX('Match Groups'!$D$5:$D$1326,MATCH(J617,'Match Groups'!$A$5:$A$1326,0))</f>
        <v>MATCH</v>
      </c>
    </row>
    <row r="618">
      <c r="A618" t="inlineStr">
        <is>
          <t>JI-00102</t>
        </is>
      </c>
      <c r="B618" t="inlineStr">
        <is>
          <t>OPS</t>
        </is>
      </c>
      <c r="C618" s="5" t="n">
        <v>46209</v>
      </c>
      <c r="D618" t="inlineStr">
        <is>
          <t>Wattle Plan Services</t>
        </is>
      </c>
      <c r="E618" t="inlineStr">
        <is>
          <t>INV/2026/01560</t>
        </is>
      </c>
      <c r="F618" t="inlineStr">
        <is>
          <t>Customer payment INV/2026/01560</t>
        </is>
      </c>
      <c r="G618" s="9" t="n">
        <v>242.49</v>
      </c>
      <c r="H618" t="inlineStr">
        <is>
          <t>customer_payment</t>
        </is>
      </c>
      <c r="I618" t="inlineStr"/>
      <c r="J618" t="inlineStr">
        <is>
          <t>G00102</t>
        </is>
      </c>
      <c r="K618" t="str">
        <f>INDEX('Match Groups'!$D$5:$D$1326,MATCH(J618,'Match Groups'!$A$5:$A$1326,0))</f>
        <v>MATCH</v>
      </c>
    </row>
    <row r="619">
      <c r="A619" t="inlineStr">
        <is>
          <t>JI-00103</t>
        </is>
      </c>
      <c r="B619" t="inlineStr">
        <is>
          <t>OPS</t>
        </is>
      </c>
      <c r="C619" s="5" t="n">
        <v>46209</v>
      </c>
      <c r="D619" t="inlineStr">
        <is>
          <t>Wattle Plan Services</t>
        </is>
      </c>
      <c r="E619" t="inlineStr">
        <is>
          <t>INV/2026/01589</t>
        </is>
      </c>
      <c r="F619" t="inlineStr">
        <is>
          <t>Customer payment INV/2026/01589</t>
        </is>
      </c>
      <c r="G619" s="9" t="n">
        <v>203.69</v>
      </c>
      <c r="H619" t="inlineStr">
        <is>
          <t>customer_payment</t>
        </is>
      </c>
      <c r="I619" t="inlineStr"/>
      <c r="J619" t="inlineStr">
        <is>
          <t>G00102</t>
        </is>
      </c>
      <c r="K619" t="str">
        <f>INDEX('Match Groups'!$D$5:$D$1326,MATCH(J619,'Match Groups'!$A$5:$A$1326,0))</f>
        <v>MATCH</v>
      </c>
    </row>
    <row r="620">
      <c r="A620" t="inlineStr">
        <is>
          <t>JI-00104</t>
        </is>
      </c>
      <c r="B620" t="inlineStr">
        <is>
          <t>OPS</t>
        </is>
      </c>
      <c r="C620" s="5" t="n">
        <v>46209</v>
      </c>
      <c r="D620" t="inlineStr">
        <is>
          <t>Wattle Plan Services</t>
        </is>
      </c>
      <c r="E620" t="inlineStr">
        <is>
          <t>INV/2026/01590</t>
        </is>
      </c>
      <c r="F620" t="inlineStr">
        <is>
          <t>Customer payment INV/2026/01590</t>
        </is>
      </c>
      <c r="G620" s="9" t="n">
        <v>446.18</v>
      </c>
      <c r="H620" t="inlineStr">
        <is>
          <t>customer_payment</t>
        </is>
      </c>
      <c r="I620" t="inlineStr"/>
      <c r="J620" t="inlineStr">
        <is>
          <t>G00102</t>
        </is>
      </c>
      <c r="K620" t="str">
        <f>INDEX('Match Groups'!$D$5:$D$1326,MATCH(J620,'Match Groups'!$A$5:$A$1326,0))</f>
        <v>MATCH</v>
      </c>
    </row>
    <row r="621">
      <c r="A621" t="inlineStr">
        <is>
          <t>JI-00105</t>
        </is>
      </c>
      <c r="B621" t="inlineStr">
        <is>
          <t>OPS</t>
        </is>
      </c>
      <c r="C621" s="5" t="n">
        <v>46209</v>
      </c>
      <c r="D621" t="inlineStr">
        <is>
          <t>Saltbush Plan Managers</t>
        </is>
      </c>
      <c r="E621" t="inlineStr">
        <is>
          <t>INV/2026/01464</t>
        </is>
      </c>
      <c r="F621" t="inlineStr">
        <is>
          <t>Customer payment INV/2026/01464</t>
        </is>
      </c>
      <c r="G621" s="9" t="n">
        <v>290.98</v>
      </c>
      <c r="H621" t="inlineStr">
        <is>
          <t>customer_payment</t>
        </is>
      </c>
      <c r="I621" t="inlineStr"/>
      <c r="J621" t="inlineStr">
        <is>
          <t>G00103</t>
        </is>
      </c>
      <c r="K621" t="str">
        <f>INDEX('Match Groups'!$D$5:$D$1326,MATCH(J621,'Match Groups'!$A$5:$A$1326,0))</f>
        <v>MATCH</v>
      </c>
    </row>
    <row r="622">
      <c r="A622" t="inlineStr">
        <is>
          <t>JI-00106</t>
        </is>
      </c>
      <c r="B622" t="inlineStr">
        <is>
          <t>OPS</t>
        </is>
      </c>
      <c r="C622" s="5" t="n">
        <v>46209</v>
      </c>
      <c r="D622" t="inlineStr">
        <is>
          <t>Saltbush Plan Managers</t>
        </is>
      </c>
      <c r="E622" t="inlineStr">
        <is>
          <t>INV/2026/01505</t>
        </is>
      </c>
      <c r="F622" t="inlineStr">
        <is>
          <t>Customer payment INV/2026/01505</t>
        </is>
      </c>
      <c r="G622" s="9" t="n">
        <v>193.99</v>
      </c>
      <c r="H622" t="inlineStr">
        <is>
          <t>customer_payment</t>
        </is>
      </c>
      <c r="I622" t="inlineStr"/>
      <c r="J622" t="inlineStr">
        <is>
          <t>G00103</t>
        </is>
      </c>
      <c r="K622" t="str">
        <f>INDEX('Match Groups'!$D$5:$D$1326,MATCH(J622,'Match Groups'!$A$5:$A$1326,0))</f>
        <v>MATCH</v>
      </c>
    </row>
    <row r="623">
      <c r="A623" t="inlineStr">
        <is>
          <t>JI-00107</t>
        </is>
      </c>
      <c r="B623" t="inlineStr">
        <is>
          <t>OPS</t>
        </is>
      </c>
      <c r="C623" s="5" t="n">
        <v>46209</v>
      </c>
      <c r="D623" t="inlineStr">
        <is>
          <t>Saltbush Plan Managers</t>
        </is>
      </c>
      <c r="E623" t="inlineStr">
        <is>
          <t>INV/2026/01525</t>
        </is>
      </c>
      <c r="F623" t="inlineStr">
        <is>
          <t>Customer payment INV/2026/01525</t>
        </is>
      </c>
      <c r="G623" s="9" t="n">
        <v>155.19</v>
      </c>
      <c r="H623" t="inlineStr">
        <is>
          <t>customer_payment</t>
        </is>
      </c>
      <c r="I623" t="inlineStr"/>
      <c r="J623" t="inlineStr">
        <is>
          <t>G00103</t>
        </is>
      </c>
      <c r="K623" t="str">
        <f>INDEX('Match Groups'!$D$5:$D$1326,MATCH(J623,'Match Groups'!$A$5:$A$1326,0))</f>
        <v>MATCH</v>
      </c>
    </row>
    <row r="624">
      <c r="A624" t="inlineStr">
        <is>
          <t>JI-00108</t>
        </is>
      </c>
      <c r="B624" t="inlineStr">
        <is>
          <t>OPS</t>
        </is>
      </c>
      <c r="C624" s="5" t="n">
        <v>46209</v>
      </c>
      <c r="D624" t="inlineStr">
        <is>
          <t>Redgum Plan Admin</t>
        </is>
      </c>
      <c r="E624" t="inlineStr">
        <is>
          <t>INV/2026/01465</t>
        </is>
      </c>
      <c r="F624" t="inlineStr">
        <is>
          <t>Customer payment INV/2026/01465</t>
        </is>
      </c>
      <c r="G624" s="9" t="n">
        <v>290.98</v>
      </c>
      <c r="H624" t="inlineStr">
        <is>
          <t>customer_payment</t>
        </is>
      </c>
      <c r="I624" t="inlineStr"/>
      <c r="J624" t="inlineStr">
        <is>
          <t>G00104</t>
        </is>
      </c>
      <c r="K624" t="str">
        <f>INDEX('Match Groups'!$D$5:$D$1326,MATCH(J624,'Match Groups'!$A$5:$A$1326,0))</f>
        <v>MATCH</v>
      </c>
    </row>
    <row r="625">
      <c r="A625" t="inlineStr">
        <is>
          <t>JI-00109</t>
        </is>
      </c>
      <c r="B625" t="inlineStr">
        <is>
          <t>OPS</t>
        </is>
      </c>
      <c r="C625" s="5" t="n">
        <v>46209</v>
      </c>
      <c r="D625" t="inlineStr">
        <is>
          <t>Redgum Plan Admin</t>
        </is>
      </c>
      <c r="E625" t="inlineStr">
        <is>
          <t>INV/2026/01466</t>
        </is>
      </c>
      <c r="F625" t="inlineStr">
        <is>
          <t>Customer payment INV/2026/01466</t>
        </is>
      </c>
      <c r="G625" s="9" t="n">
        <v>96.98999999999999</v>
      </c>
      <c r="H625" t="inlineStr">
        <is>
          <t>customer_payment</t>
        </is>
      </c>
      <c r="I625" t="inlineStr"/>
      <c r="J625" t="inlineStr">
        <is>
          <t>G00104</t>
        </is>
      </c>
      <c r="K625" t="str">
        <f>INDEX('Match Groups'!$D$5:$D$1326,MATCH(J625,'Match Groups'!$A$5:$A$1326,0))</f>
        <v>MATCH</v>
      </c>
    </row>
    <row r="626">
      <c r="A626" t="inlineStr">
        <is>
          <t>JI-00110</t>
        </is>
      </c>
      <c r="B626" t="inlineStr">
        <is>
          <t>OPS</t>
        </is>
      </c>
      <c r="C626" s="5" t="n">
        <v>46209</v>
      </c>
      <c r="D626" t="inlineStr">
        <is>
          <t>Redgum Plan Admin</t>
        </is>
      </c>
      <c r="E626" t="inlineStr">
        <is>
          <t>INV/2026/01506</t>
        </is>
      </c>
      <c r="F626" t="inlineStr">
        <is>
          <t>Customer payment INV/2026/01506</t>
        </is>
      </c>
      <c r="G626" s="9" t="n">
        <v>96.98999999999999</v>
      </c>
      <c r="H626" t="inlineStr">
        <is>
          <t>customer_payment</t>
        </is>
      </c>
      <c r="I626" t="inlineStr"/>
      <c r="J626" t="inlineStr">
        <is>
          <t>G00104</t>
        </is>
      </c>
      <c r="K626" t="str">
        <f>INDEX('Match Groups'!$D$5:$D$1326,MATCH(J626,'Match Groups'!$A$5:$A$1326,0))</f>
        <v>MATCH</v>
      </c>
    </row>
    <row r="627">
      <c r="A627" t="inlineStr">
        <is>
          <t>JI-00111</t>
        </is>
      </c>
      <c r="B627" t="inlineStr">
        <is>
          <t>OPS</t>
        </is>
      </c>
      <c r="C627" s="5" t="n">
        <v>46209</v>
      </c>
      <c r="D627" t="inlineStr">
        <is>
          <t>Redgum Plan Admin</t>
        </is>
      </c>
      <c r="E627" t="inlineStr">
        <is>
          <t>INV/2026/01507</t>
        </is>
      </c>
      <c r="F627" t="inlineStr">
        <is>
          <t>Customer payment INV/2026/01507</t>
        </is>
      </c>
      <c r="G627" s="9" t="n">
        <v>320.98</v>
      </c>
      <c r="H627" t="inlineStr">
        <is>
          <t>customer_payment</t>
        </is>
      </c>
      <c r="I627" t="inlineStr"/>
      <c r="J627" t="inlineStr">
        <is>
          <t>G00104</t>
        </is>
      </c>
      <c r="K627" t="str">
        <f>INDEX('Match Groups'!$D$5:$D$1326,MATCH(J627,'Match Groups'!$A$5:$A$1326,0))</f>
        <v>MATCH</v>
      </c>
    </row>
    <row r="628">
      <c r="A628" t="inlineStr">
        <is>
          <t>JI-00112</t>
        </is>
      </c>
      <c r="B628" t="inlineStr">
        <is>
          <t>OPS</t>
        </is>
      </c>
      <c r="C628" s="5" t="n">
        <v>46209</v>
      </c>
      <c r="D628" t="inlineStr">
        <is>
          <t>Redgum Plan Admin</t>
        </is>
      </c>
      <c r="E628" t="inlineStr">
        <is>
          <t>INV/2026/01508</t>
        </is>
      </c>
      <c r="F628" t="inlineStr">
        <is>
          <t>Customer payment INV/2026/01508</t>
        </is>
      </c>
      <c r="G628" s="9" t="n">
        <v>290.98</v>
      </c>
      <c r="H628" t="inlineStr">
        <is>
          <t>customer_payment</t>
        </is>
      </c>
      <c r="I628" t="inlineStr"/>
      <c r="J628" t="inlineStr">
        <is>
          <t>G00104</t>
        </is>
      </c>
      <c r="K628" t="str">
        <f>INDEX('Match Groups'!$D$5:$D$1326,MATCH(J628,'Match Groups'!$A$5:$A$1326,0))</f>
        <v>MATCH</v>
      </c>
    </row>
    <row r="629">
      <c r="A629" t="inlineStr">
        <is>
          <t>JI-00113</t>
        </is>
      </c>
      <c r="B629" t="inlineStr">
        <is>
          <t>OPS</t>
        </is>
      </c>
      <c r="C629" s="5" t="n">
        <v>46209</v>
      </c>
      <c r="D629" t="inlineStr">
        <is>
          <t>Redgum Plan Admin</t>
        </is>
      </c>
      <c r="E629" t="inlineStr">
        <is>
          <t>INV/2026/01526</t>
        </is>
      </c>
      <c r="F629" t="inlineStr">
        <is>
          <t>Customer payment INV/2026/01526</t>
        </is>
      </c>
      <c r="G629" s="9" t="n">
        <v>96.98999999999999</v>
      </c>
      <c r="H629" t="inlineStr">
        <is>
          <t>customer_payment</t>
        </is>
      </c>
      <c r="I629" t="inlineStr"/>
      <c r="J629" t="inlineStr">
        <is>
          <t>G00104</t>
        </is>
      </c>
      <c r="K629" t="str">
        <f>INDEX('Match Groups'!$D$5:$D$1326,MATCH(J629,'Match Groups'!$A$5:$A$1326,0))</f>
        <v>MATCH</v>
      </c>
    </row>
    <row r="630">
      <c r="A630" t="inlineStr">
        <is>
          <t>JI-00114</t>
        </is>
      </c>
      <c r="B630" t="inlineStr">
        <is>
          <t>OPS</t>
        </is>
      </c>
      <c r="C630" s="5" t="n">
        <v>46209</v>
      </c>
      <c r="D630" t="inlineStr">
        <is>
          <t>Redgum Plan Admin</t>
        </is>
      </c>
      <c r="E630" t="inlineStr">
        <is>
          <t>INV/2026/01527</t>
        </is>
      </c>
      <c r="F630" t="inlineStr">
        <is>
          <t>Customer payment INV/2026/01527</t>
        </is>
      </c>
      <c r="G630" s="9" t="n">
        <v>126.99</v>
      </c>
      <c r="H630" t="inlineStr">
        <is>
          <t>customer_payment</t>
        </is>
      </c>
      <c r="I630" t="inlineStr"/>
      <c r="J630" t="inlineStr">
        <is>
          <t>G00104</t>
        </is>
      </c>
      <c r="K630" t="str">
        <f>INDEX('Match Groups'!$D$5:$D$1326,MATCH(J630,'Match Groups'!$A$5:$A$1326,0))</f>
        <v>MATCH</v>
      </c>
    </row>
    <row r="631">
      <c r="A631" t="inlineStr">
        <is>
          <t>JI-00115</t>
        </is>
      </c>
      <c r="B631" t="inlineStr">
        <is>
          <t>OPS</t>
        </is>
      </c>
      <c r="C631" s="5" t="n">
        <v>46209</v>
      </c>
      <c r="D631" t="inlineStr">
        <is>
          <t>Redgum Plan Admin</t>
        </is>
      </c>
      <c r="E631" t="inlineStr">
        <is>
          <t>INV/2026/01528</t>
        </is>
      </c>
      <c r="F631" t="inlineStr">
        <is>
          <t>Customer payment INV/2026/01528</t>
        </is>
      </c>
      <c r="G631" s="9" t="n">
        <v>193.99</v>
      </c>
      <c r="H631" t="inlineStr">
        <is>
          <t>customer_payment</t>
        </is>
      </c>
      <c r="I631" t="inlineStr"/>
      <c r="J631" t="inlineStr">
        <is>
          <t>G00104</t>
        </is>
      </c>
      <c r="K631" t="str">
        <f>INDEX('Match Groups'!$D$5:$D$1326,MATCH(J631,'Match Groups'!$A$5:$A$1326,0))</f>
        <v>MATCH</v>
      </c>
    </row>
    <row r="632">
      <c r="A632" t="inlineStr">
        <is>
          <t>JI-00116</t>
        </is>
      </c>
      <c r="B632" t="inlineStr">
        <is>
          <t>OPS</t>
        </is>
      </c>
      <c r="C632" s="5" t="n">
        <v>46209</v>
      </c>
      <c r="D632" t="inlineStr">
        <is>
          <t>Southern Cross Plan Mgmt</t>
        </is>
      </c>
      <c r="E632" t="inlineStr">
        <is>
          <t>INV/2026/01413</t>
        </is>
      </c>
      <c r="F632" t="inlineStr">
        <is>
          <t>Customer payment INV/2026/01413</t>
        </is>
      </c>
      <c r="G632" s="9" t="n">
        <v>96.98999999999999</v>
      </c>
      <c r="H632" t="inlineStr">
        <is>
          <t>customer_payment</t>
        </is>
      </c>
      <c r="I632" t="inlineStr"/>
      <c r="J632" t="inlineStr">
        <is>
          <t>G00105</t>
        </is>
      </c>
      <c r="K632" t="str">
        <f>INDEX('Match Groups'!$D$5:$D$1326,MATCH(J632,'Match Groups'!$A$5:$A$1326,0))</f>
        <v>MATCH</v>
      </c>
    </row>
    <row r="633">
      <c r="A633" t="inlineStr">
        <is>
          <t>JI-00117</t>
        </is>
      </c>
      <c r="B633" t="inlineStr">
        <is>
          <t>OPS</t>
        </is>
      </c>
      <c r="C633" s="5" t="n">
        <v>46209</v>
      </c>
      <c r="D633" t="inlineStr">
        <is>
          <t>Southern Cross Plan Mgmt</t>
        </is>
      </c>
      <c r="E633" t="inlineStr">
        <is>
          <t>INV/2026/01436</t>
        </is>
      </c>
      <c r="F633" t="inlineStr">
        <is>
          <t>Customer payment INV/2026/01436</t>
        </is>
      </c>
      <c r="G633" s="9" t="n">
        <v>96.98999999999999</v>
      </c>
      <c r="H633" t="inlineStr">
        <is>
          <t>customer_payment</t>
        </is>
      </c>
      <c r="I633" t="inlineStr"/>
      <c r="J633" t="inlineStr">
        <is>
          <t>G00105</t>
        </is>
      </c>
      <c r="K633" t="str">
        <f>INDEX('Match Groups'!$D$5:$D$1326,MATCH(J633,'Match Groups'!$A$5:$A$1326,0))</f>
        <v>MATCH</v>
      </c>
    </row>
    <row r="634">
      <c r="A634" t="inlineStr">
        <is>
          <t>JI-00118</t>
        </is>
      </c>
      <c r="B634" t="inlineStr">
        <is>
          <t>OPS</t>
        </is>
      </c>
      <c r="C634" s="5" t="n">
        <v>46209</v>
      </c>
      <c r="D634" t="inlineStr">
        <is>
          <t>Lyrebird Plan Management</t>
        </is>
      </c>
      <c r="E634" t="inlineStr">
        <is>
          <t>INV/2026/01416</t>
        </is>
      </c>
      <c r="F634" t="inlineStr">
        <is>
          <t>Customer payment INV/2026/01416</t>
        </is>
      </c>
      <c r="G634" s="9" t="n">
        <v>145.49</v>
      </c>
      <c r="H634" t="inlineStr">
        <is>
          <t>customer_payment</t>
        </is>
      </c>
      <c r="I634" t="inlineStr"/>
      <c r="J634" t="inlineStr">
        <is>
          <t>G00106</t>
        </is>
      </c>
      <c r="K634" t="str">
        <f>INDEX('Match Groups'!$D$5:$D$1326,MATCH(J634,'Match Groups'!$A$5:$A$1326,0))</f>
        <v>MATCH</v>
      </c>
    </row>
    <row r="635">
      <c r="A635" t="inlineStr">
        <is>
          <t>JI-00119</t>
        </is>
      </c>
      <c r="B635" t="inlineStr">
        <is>
          <t>OPS</t>
        </is>
      </c>
      <c r="C635" s="5" t="n">
        <v>46209</v>
      </c>
      <c r="D635" t="inlineStr">
        <is>
          <t>Lyrebird Plan Management</t>
        </is>
      </c>
      <c r="E635" t="inlineStr">
        <is>
          <t>INV/2026/01437</t>
        </is>
      </c>
      <c r="F635" t="inlineStr">
        <is>
          <t>Customer payment INV/2026/01437</t>
        </is>
      </c>
      <c r="G635" s="9" t="n">
        <v>223.99</v>
      </c>
      <c r="H635" t="inlineStr">
        <is>
          <t>customer_payment</t>
        </is>
      </c>
      <c r="I635" t="inlineStr"/>
      <c r="J635" t="inlineStr">
        <is>
          <t>G00106</t>
        </is>
      </c>
      <c r="K635" t="str">
        <f>INDEX('Match Groups'!$D$5:$D$1326,MATCH(J635,'Match Groups'!$A$5:$A$1326,0))</f>
        <v>MATCH</v>
      </c>
    </row>
    <row r="636">
      <c r="A636" t="inlineStr">
        <is>
          <t>JI-00120</t>
        </is>
      </c>
      <c r="B636" t="inlineStr">
        <is>
          <t>OPS</t>
        </is>
      </c>
      <c r="C636" s="5" t="n">
        <v>46209</v>
      </c>
      <c r="D636" t="inlineStr">
        <is>
          <t>Lyrebird Plan Management</t>
        </is>
      </c>
      <c r="E636" t="inlineStr">
        <is>
          <t>INV/2026/01438</t>
        </is>
      </c>
      <c r="F636" t="inlineStr">
        <is>
          <t>Customer payment INV/2026/01438</t>
        </is>
      </c>
      <c r="G636" s="9" t="n">
        <v>155.19</v>
      </c>
      <c r="H636" t="inlineStr">
        <is>
          <t>customer_payment</t>
        </is>
      </c>
      <c r="I636" t="inlineStr"/>
      <c r="J636" t="inlineStr">
        <is>
          <t>G00106</t>
        </is>
      </c>
      <c r="K636" t="str">
        <f>INDEX('Match Groups'!$D$5:$D$1326,MATCH(J636,'Match Groups'!$A$5:$A$1326,0))</f>
        <v>MATCH</v>
      </c>
    </row>
    <row r="637">
      <c r="A637" t="inlineStr">
        <is>
          <t>JI-00165</t>
        </is>
      </c>
      <c r="B637" t="inlineStr">
        <is>
          <t>OPS</t>
        </is>
      </c>
      <c r="C637" s="5" t="n">
        <v>46209</v>
      </c>
      <c r="D637" t="inlineStr">
        <is>
          <t>Mallee Plan Services</t>
        </is>
      </c>
      <c r="E637" t="inlineStr">
        <is>
          <t>INV/2026/01513</t>
        </is>
      </c>
      <c r="F637" t="inlineStr">
        <is>
          <t>Customer payment INV/2026/01513</t>
        </is>
      </c>
      <c r="G637" s="9" t="n">
        <v>96.98999999999999</v>
      </c>
      <c r="H637" t="inlineStr">
        <is>
          <t>customer_payment</t>
        </is>
      </c>
      <c r="I637" t="inlineStr"/>
      <c r="J637" t="inlineStr">
        <is>
          <t>G00116</t>
        </is>
      </c>
      <c r="K637" t="str">
        <f>INDEX('Match Groups'!$D$5:$D$1326,MATCH(J637,'Match Groups'!$A$5:$A$1326,0))</f>
        <v>MATCH</v>
      </c>
    </row>
    <row r="638">
      <c r="A638" t="inlineStr">
        <is>
          <t>JI-00166</t>
        </is>
      </c>
      <c r="B638" t="inlineStr">
        <is>
          <t>OPS</t>
        </is>
      </c>
      <c r="C638" s="5" t="n">
        <v>46209</v>
      </c>
      <c r="D638" t="inlineStr">
        <is>
          <t>Mallee Plan Services</t>
        </is>
      </c>
      <c r="E638" t="inlineStr">
        <is>
          <t>INV/2026/01531</t>
        </is>
      </c>
      <c r="F638" t="inlineStr">
        <is>
          <t>Customer payment INV/2026/01531</t>
        </is>
      </c>
      <c r="G638" s="9" t="n">
        <v>145.49</v>
      </c>
      <c r="H638" t="inlineStr">
        <is>
          <t>customer_payment</t>
        </is>
      </c>
      <c r="I638" t="inlineStr"/>
      <c r="J638" t="inlineStr">
        <is>
          <t>G00116</t>
        </is>
      </c>
      <c r="K638" t="str">
        <f>INDEX('Match Groups'!$D$5:$D$1326,MATCH(J638,'Match Groups'!$A$5:$A$1326,0))</f>
        <v>MATCH</v>
      </c>
    </row>
    <row r="639">
      <c r="A639" t="inlineStr">
        <is>
          <t>JI-01708</t>
        </is>
      </c>
      <c r="B639" t="inlineStr">
        <is>
          <t>OPS</t>
        </is>
      </c>
      <c r="C639" s="5" t="n">
        <v>46209</v>
      </c>
      <c r="D639" t="inlineStr">
        <is>
          <t>Ashgrove Accounting</t>
        </is>
      </c>
      <c r="E639" t="inlineStr">
        <is>
          <t>INV/2026/03437</t>
        </is>
      </c>
      <c r="F639" t="inlineStr">
        <is>
          <t>Customer payment INV/2026/03437</t>
        </is>
      </c>
      <c r="G639" s="9" t="n">
        <v>15950</v>
      </c>
      <c r="H639" t="inlineStr">
        <is>
          <t>customer_payment</t>
        </is>
      </c>
      <c r="I639" t="inlineStr"/>
      <c r="J639" t="inlineStr">
        <is>
          <t>G00916</t>
        </is>
      </c>
      <c r="K639" t="str">
        <f>INDEX('Match Groups'!$D$5:$D$1326,MATCH(J639,'Match Groups'!$A$5:$A$1326,0))</f>
        <v>MATCH</v>
      </c>
    </row>
    <row r="640">
      <c r="A640" t="inlineStr">
        <is>
          <t>JI-01712</t>
        </is>
      </c>
      <c r="B640" t="inlineStr">
        <is>
          <t>OPS</t>
        </is>
      </c>
      <c r="C640" s="5" t="n">
        <v>46209</v>
      </c>
      <c r="D640" t="inlineStr">
        <is>
          <t>Peregrine Security</t>
        </is>
      </c>
      <c r="E640" t="inlineStr">
        <is>
          <t>INV/2026/03439</t>
        </is>
      </c>
      <c r="F640" t="inlineStr">
        <is>
          <t>Customer payment INV/2026/03439</t>
        </is>
      </c>
      <c r="G640" s="9" t="n">
        <v>10725</v>
      </c>
      <c r="H640" t="inlineStr">
        <is>
          <t>customer_payment</t>
        </is>
      </c>
      <c r="I640" t="inlineStr"/>
      <c r="J640" t="inlineStr">
        <is>
          <t>G01119</t>
        </is>
      </c>
      <c r="K640" t="str">
        <f>INDEX('Match Groups'!$D$5:$D$1326,MATCH(J640,'Match Groups'!$A$5:$A$1326,0))</f>
        <v>MATCH</v>
      </c>
    </row>
    <row r="641">
      <c r="A641" t="inlineStr">
        <is>
          <t>JI-01766</t>
        </is>
      </c>
      <c r="B641" t="inlineStr">
        <is>
          <t>OPS</t>
        </is>
      </c>
      <c r="C641" s="5" t="n">
        <v>46209</v>
      </c>
      <c r="D641" t="inlineStr">
        <is>
          <t>Rosedale Nurseries</t>
        </is>
      </c>
      <c r="E641" t="inlineStr">
        <is>
          <t>INV/2026/03459</t>
        </is>
      </c>
      <c r="F641" t="inlineStr">
        <is>
          <t>Customer payment INV/2026/03459</t>
        </is>
      </c>
      <c r="G641" s="9" t="n">
        <v>3465</v>
      </c>
      <c r="H641" t="inlineStr">
        <is>
          <t>customer_payment</t>
        </is>
      </c>
      <c r="I641" t="inlineStr"/>
      <c r="J641" t="inlineStr">
        <is>
          <t>G01120</t>
        </is>
      </c>
      <c r="K641" t="str">
        <f>INDEX('Match Groups'!$D$5:$D$1326,MATCH(J641,'Match Groups'!$A$5:$A$1326,0))</f>
        <v>MATCH</v>
      </c>
    </row>
    <row r="642">
      <c r="A642" t="inlineStr">
        <is>
          <t>JI-01926</t>
        </is>
      </c>
      <c r="B642" t="inlineStr">
        <is>
          <t>OPS</t>
        </is>
      </c>
      <c r="C642" s="5" t="n">
        <v>46209</v>
      </c>
      <c r="D642" t="inlineStr">
        <is>
          <t>Stripe patient 51058</t>
        </is>
      </c>
      <c r="E642" t="inlineStr">
        <is>
          <t>INV/2026/03773</t>
        </is>
      </c>
      <c r="F642" t="inlineStr">
        <is>
          <t>Customer payment INV/2026/03773</t>
        </is>
      </c>
      <c r="G642" s="9" t="n">
        <v>65</v>
      </c>
      <c r="H642" t="inlineStr">
        <is>
          <t>customer_payment</t>
        </is>
      </c>
      <c r="I642" t="inlineStr"/>
      <c r="J642" t="inlineStr">
        <is>
          <t>G00019</t>
        </is>
      </c>
      <c r="K642" t="str">
        <f>INDEX('Match Groups'!$D$5:$D$1326,MATCH(J642,'Match Groups'!$A$5:$A$1326,0))</f>
        <v>STRIPE-FEE</v>
      </c>
    </row>
    <row r="643">
      <c r="A643" t="inlineStr">
        <is>
          <t>JI-01927</t>
        </is>
      </c>
      <c r="B643" t="inlineStr">
        <is>
          <t>OPS</t>
        </is>
      </c>
      <c r="C643" s="5" t="n">
        <v>46209</v>
      </c>
      <c r="D643" t="inlineStr">
        <is>
          <t>Stripe patient 70530</t>
        </is>
      </c>
      <c r="E643" t="inlineStr">
        <is>
          <t>INV/2026/03774</t>
        </is>
      </c>
      <c r="F643" t="inlineStr">
        <is>
          <t>Customer payment INV/2026/03774</t>
        </is>
      </c>
      <c r="G643" s="9" t="n">
        <v>95</v>
      </c>
      <c r="H643" t="inlineStr">
        <is>
          <t>customer_payment</t>
        </is>
      </c>
      <c r="I643" t="inlineStr"/>
      <c r="J643" t="inlineStr">
        <is>
          <t>G00019</t>
        </is>
      </c>
      <c r="K643" t="str">
        <f>INDEX('Match Groups'!$D$5:$D$1326,MATCH(J643,'Match Groups'!$A$5:$A$1326,0))</f>
        <v>STRIPE-FEE</v>
      </c>
    </row>
    <row r="644">
      <c r="A644" t="inlineStr">
        <is>
          <t>JI-01928</t>
        </is>
      </c>
      <c r="B644" t="inlineStr">
        <is>
          <t>OPS</t>
        </is>
      </c>
      <c r="C644" s="5" t="n">
        <v>46209</v>
      </c>
      <c r="D644" t="inlineStr">
        <is>
          <t>Stripe patient 32513</t>
        </is>
      </c>
      <c r="E644" t="inlineStr">
        <is>
          <t>INV/2026/03775</t>
        </is>
      </c>
      <c r="F644" t="inlineStr">
        <is>
          <t>Customer payment INV/2026/03775</t>
        </is>
      </c>
      <c r="G644" s="9" t="n">
        <v>110</v>
      </c>
      <c r="H644" t="inlineStr">
        <is>
          <t>customer_payment</t>
        </is>
      </c>
      <c r="I644" t="inlineStr"/>
      <c r="J644" t="inlineStr">
        <is>
          <t>G00019</t>
        </is>
      </c>
      <c r="K644" t="str">
        <f>INDEX('Match Groups'!$D$5:$D$1326,MATCH(J644,'Match Groups'!$A$5:$A$1326,0))</f>
        <v>STRIPE-FEE</v>
      </c>
    </row>
    <row r="645">
      <c r="A645" t="inlineStr">
        <is>
          <t>JI-01929</t>
        </is>
      </c>
      <c r="B645" t="inlineStr">
        <is>
          <t>OPS</t>
        </is>
      </c>
      <c r="C645" s="5" t="n">
        <v>46209</v>
      </c>
      <c r="D645" t="inlineStr">
        <is>
          <t>Stripe patient 93944</t>
        </is>
      </c>
      <c r="E645" t="inlineStr">
        <is>
          <t>INV/2026/03776</t>
        </is>
      </c>
      <c r="F645" t="inlineStr">
        <is>
          <t>Customer payment INV/2026/03776</t>
        </is>
      </c>
      <c r="G645" s="9" t="n">
        <v>110</v>
      </c>
      <c r="H645" t="inlineStr">
        <is>
          <t>customer_payment</t>
        </is>
      </c>
      <c r="I645" t="inlineStr"/>
      <c r="J645" t="inlineStr">
        <is>
          <t>G00019</t>
        </is>
      </c>
      <c r="K645" t="str">
        <f>INDEX('Match Groups'!$D$5:$D$1326,MATCH(J645,'Match Groups'!$A$5:$A$1326,0))</f>
        <v>STRIPE-FEE</v>
      </c>
    </row>
    <row r="646">
      <c r="A646" t="inlineStr">
        <is>
          <t>JI-01930</t>
        </is>
      </c>
      <c r="B646" t="inlineStr">
        <is>
          <t>OPS</t>
        </is>
      </c>
      <c r="C646" s="5" t="n">
        <v>46209</v>
      </c>
      <c r="D646" t="inlineStr">
        <is>
          <t>Stripe patient 50489</t>
        </is>
      </c>
      <c r="E646" t="inlineStr">
        <is>
          <t>INV/2026/03777</t>
        </is>
      </c>
      <c r="F646" t="inlineStr">
        <is>
          <t>Customer payment INV/2026/03777</t>
        </is>
      </c>
      <c r="G646" s="9" t="n">
        <v>85</v>
      </c>
      <c r="H646" t="inlineStr">
        <is>
          <t>customer_payment</t>
        </is>
      </c>
      <c r="I646" t="inlineStr"/>
      <c r="J646" t="inlineStr">
        <is>
          <t>G00019</t>
        </is>
      </c>
      <c r="K646" t="str">
        <f>INDEX('Match Groups'!$D$5:$D$1326,MATCH(J646,'Match Groups'!$A$5:$A$1326,0))</f>
        <v>STRIPE-FEE</v>
      </c>
    </row>
    <row r="647">
      <c r="A647" t="inlineStr">
        <is>
          <t>JI-01931</t>
        </is>
      </c>
      <c r="B647" t="inlineStr">
        <is>
          <t>OPS</t>
        </is>
      </c>
      <c r="C647" s="5" t="n">
        <v>46209</v>
      </c>
      <c r="D647" t="inlineStr">
        <is>
          <t>Stripe patient 21177</t>
        </is>
      </c>
      <c r="E647" t="inlineStr">
        <is>
          <t>INV/2026/03778</t>
        </is>
      </c>
      <c r="F647" t="inlineStr">
        <is>
          <t>Customer payment INV/2026/03778</t>
        </is>
      </c>
      <c r="G647" s="9" t="n">
        <v>95</v>
      </c>
      <c r="H647" t="inlineStr">
        <is>
          <t>customer_payment</t>
        </is>
      </c>
      <c r="I647" t="inlineStr"/>
      <c r="J647" t="inlineStr">
        <is>
          <t>G00019</t>
        </is>
      </c>
      <c r="K647" t="str">
        <f>INDEX('Match Groups'!$D$5:$D$1326,MATCH(J647,'Match Groups'!$A$5:$A$1326,0))</f>
        <v>STRIPE-FEE</v>
      </c>
    </row>
    <row r="648">
      <c r="A648" t="inlineStr">
        <is>
          <t>JI-01932</t>
        </is>
      </c>
      <c r="B648" t="inlineStr">
        <is>
          <t>OPS</t>
        </is>
      </c>
      <c r="C648" s="5" t="n">
        <v>46209</v>
      </c>
      <c r="D648" t="inlineStr">
        <is>
          <t>Stripe patient 11114</t>
        </is>
      </c>
      <c r="E648" t="inlineStr">
        <is>
          <t>INV/2026/03779</t>
        </is>
      </c>
      <c r="F648" t="inlineStr">
        <is>
          <t>Customer payment INV/2026/03779</t>
        </is>
      </c>
      <c r="G648" s="9" t="n">
        <v>110</v>
      </c>
      <c r="H648" t="inlineStr">
        <is>
          <t>customer_payment</t>
        </is>
      </c>
      <c r="I648" t="inlineStr"/>
      <c r="J648" t="inlineStr">
        <is>
          <t>G00019</t>
        </is>
      </c>
      <c r="K648" t="str">
        <f>INDEX('Match Groups'!$D$5:$D$1326,MATCH(J648,'Match Groups'!$A$5:$A$1326,0))</f>
        <v>STRIPE-FEE</v>
      </c>
    </row>
    <row r="649">
      <c r="A649" t="inlineStr">
        <is>
          <t>JI-01933</t>
        </is>
      </c>
      <c r="B649" t="inlineStr">
        <is>
          <t>OPS</t>
        </is>
      </c>
      <c r="C649" s="5" t="n">
        <v>46209</v>
      </c>
      <c r="D649" t="inlineStr">
        <is>
          <t>Stripe patient 66704</t>
        </is>
      </c>
      <c r="E649" t="inlineStr">
        <is>
          <t>INV/2026/03780</t>
        </is>
      </c>
      <c r="F649" t="inlineStr">
        <is>
          <t>Customer payment INV/2026/03780</t>
        </is>
      </c>
      <c r="G649" s="9" t="n">
        <v>220</v>
      </c>
      <c r="H649" t="inlineStr">
        <is>
          <t>customer_payment</t>
        </is>
      </c>
      <c r="I649" t="inlineStr"/>
      <c r="J649" t="inlineStr">
        <is>
          <t>G00019</t>
        </is>
      </c>
      <c r="K649" t="str">
        <f>INDEX('Match Groups'!$D$5:$D$1326,MATCH(J649,'Match Groups'!$A$5:$A$1326,0))</f>
        <v>STRIPE-FEE</v>
      </c>
    </row>
    <row r="650">
      <c r="A650" t="inlineStr">
        <is>
          <t>JI-01934</t>
        </is>
      </c>
      <c r="B650" t="inlineStr">
        <is>
          <t>OPS</t>
        </is>
      </c>
      <c r="C650" s="5" t="n">
        <v>46209</v>
      </c>
      <c r="D650" t="inlineStr">
        <is>
          <t>Stripe patient 60692</t>
        </is>
      </c>
      <c r="E650" t="inlineStr">
        <is>
          <t>INV/2026/03781</t>
        </is>
      </c>
      <c r="F650" t="inlineStr">
        <is>
          <t>Customer payment INV/2026/03781</t>
        </is>
      </c>
      <c r="G650" s="9" t="n">
        <v>180</v>
      </c>
      <c r="H650" t="inlineStr">
        <is>
          <t>customer_payment</t>
        </is>
      </c>
      <c r="I650" t="inlineStr"/>
      <c r="J650" t="inlineStr">
        <is>
          <t>G00019</t>
        </is>
      </c>
      <c r="K650" t="str">
        <f>INDEX('Match Groups'!$D$5:$D$1326,MATCH(J650,'Match Groups'!$A$5:$A$1326,0))</f>
        <v>STRIPE-FEE</v>
      </c>
    </row>
    <row r="651">
      <c r="A651" t="inlineStr">
        <is>
          <t>JI-01935</t>
        </is>
      </c>
      <c r="B651" t="inlineStr">
        <is>
          <t>OPS</t>
        </is>
      </c>
      <c r="C651" s="5" t="n">
        <v>46209</v>
      </c>
      <c r="D651" t="inlineStr">
        <is>
          <t>Stripe patient 52562</t>
        </is>
      </c>
      <c r="E651" t="inlineStr">
        <is>
          <t>INV/2026/03782</t>
        </is>
      </c>
      <c r="F651" t="inlineStr">
        <is>
          <t>Customer payment INV/2026/03782</t>
        </is>
      </c>
      <c r="G651" s="9" t="n">
        <v>180</v>
      </c>
      <c r="H651" t="inlineStr">
        <is>
          <t>customer_payment</t>
        </is>
      </c>
      <c r="I651" t="inlineStr"/>
      <c r="J651" t="inlineStr">
        <is>
          <t>G00019</t>
        </is>
      </c>
      <c r="K651" t="str">
        <f>INDEX('Match Groups'!$D$5:$D$1326,MATCH(J651,'Match Groups'!$A$5:$A$1326,0))</f>
        <v>STRIPE-FEE</v>
      </c>
    </row>
    <row r="652">
      <c r="A652" t="inlineStr">
        <is>
          <t>JI-01936</t>
        </is>
      </c>
      <c r="B652" t="inlineStr">
        <is>
          <t>OPS</t>
        </is>
      </c>
      <c r="C652" s="5" t="n">
        <v>46209</v>
      </c>
      <c r="D652" t="inlineStr">
        <is>
          <t>Stripe patient 72827</t>
        </is>
      </c>
      <c r="E652" t="inlineStr">
        <is>
          <t>INV/2026/03783</t>
        </is>
      </c>
      <c r="F652" t="inlineStr">
        <is>
          <t>Customer payment INV/2026/03783</t>
        </is>
      </c>
      <c r="G652" s="9" t="n">
        <v>150</v>
      </c>
      <c r="H652" t="inlineStr">
        <is>
          <t>customer_payment</t>
        </is>
      </c>
      <c r="I652" t="inlineStr"/>
      <c r="J652" t="inlineStr">
        <is>
          <t>G00019</t>
        </is>
      </c>
      <c r="K652" t="str">
        <f>INDEX('Match Groups'!$D$5:$D$1326,MATCH(J652,'Match Groups'!$A$5:$A$1326,0))</f>
        <v>STRIPE-FEE</v>
      </c>
    </row>
    <row r="653">
      <c r="A653" t="inlineStr">
        <is>
          <t>JI-01937</t>
        </is>
      </c>
      <c r="B653" t="inlineStr">
        <is>
          <t>OPS</t>
        </is>
      </c>
      <c r="C653" s="5" t="n">
        <v>46209</v>
      </c>
      <c r="D653" t="inlineStr">
        <is>
          <t>Stripe patient 16881</t>
        </is>
      </c>
      <c r="E653" t="inlineStr">
        <is>
          <t>INV/2026/03784</t>
        </is>
      </c>
      <c r="F653" t="inlineStr">
        <is>
          <t>Customer payment INV/2026/03784</t>
        </is>
      </c>
      <c r="G653" s="9" t="n">
        <v>150</v>
      </c>
      <c r="H653" t="inlineStr">
        <is>
          <t>customer_payment</t>
        </is>
      </c>
      <c r="I653" t="inlineStr"/>
      <c r="J653" t="inlineStr">
        <is>
          <t>G00019</t>
        </is>
      </c>
      <c r="K653" t="str">
        <f>INDEX('Match Groups'!$D$5:$D$1326,MATCH(J653,'Match Groups'!$A$5:$A$1326,0))</f>
        <v>STRIPE-FEE</v>
      </c>
    </row>
    <row r="654">
      <c r="A654" t="inlineStr">
        <is>
          <t>JI-01938</t>
        </is>
      </c>
      <c r="B654" t="inlineStr">
        <is>
          <t>OPS</t>
        </is>
      </c>
      <c r="C654" s="5" t="n">
        <v>46209</v>
      </c>
      <c r="D654" t="inlineStr">
        <is>
          <t>Stripe patient 93589</t>
        </is>
      </c>
      <c r="E654" t="inlineStr">
        <is>
          <t>INV/2026/03785</t>
        </is>
      </c>
      <c r="F654" t="inlineStr">
        <is>
          <t>Customer payment INV/2026/03785</t>
        </is>
      </c>
      <c r="G654" s="9" t="n">
        <v>95</v>
      </c>
      <c r="H654" t="inlineStr">
        <is>
          <t>customer_payment</t>
        </is>
      </c>
      <c r="I654" t="inlineStr"/>
      <c r="J654" t="inlineStr">
        <is>
          <t>G00019</t>
        </is>
      </c>
      <c r="K654" t="str">
        <f>INDEX('Match Groups'!$D$5:$D$1326,MATCH(J654,'Match Groups'!$A$5:$A$1326,0))</f>
        <v>STRIPE-FEE</v>
      </c>
    </row>
    <row r="655">
      <c r="A655" t="inlineStr">
        <is>
          <t>JI-01939</t>
        </is>
      </c>
      <c r="B655" t="inlineStr">
        <is>
          <t>OPS</t>
        </is>
      </c>
      <c r="C655" s="5" t="n">
        <v>46209</v>
      </c>
      <c r="D655" t="inlineStr">
        <is>
          <t>Stripe patient 28032</t>
        </is>
      </c>
      <c r="E655" t="inlineStr">
        <is>
          <t>INV/2026/03786</t>
        </is>
      </c>
      <c r="F655" t="inlineStr">
        <is>
          <t>Customer payment INV/2026/03786</t>
        </is>
      </c>
      <c r="G655" s="9" t="n">
        <v>180</v>
      </c>
      <c r="H655" t="inlineStr">
        <is>
          <t>customer_payment</t>
        </is>
      </c>
      <c r="I655" t="inlineStr"/>
      <c r="J655" t="inlineStr">
        <is>
          <t>G00019</t>
        </is>
      </c>
      <c r="K655" t="str">
        <f>INDEX('Match Groups'!$D$5:$D$1326,MATCH(J655,'Match Groups'!$A$5:$A$1326,0))</f>
        <v>STRIPE-FEE</v>
      </c>
    </row>
    <row r="656">
      <c r="A656" t="inlineStr">
        <is>
          <t>JI-01940</t>
        </is>
      </c>
      <c r="B656" t="inlineStr">
        <is>
          <t>OPS</t>
        </is>
      </c>
      <c r="C656" s="5" t="n">
        <v>46209</v>
      </c>
      <c r="D656" t="inlineStr">
        <is>
          <t>Stripe patient 24447</t>
        </is>
      </c>
      <c r="E656" t="inlineStr">
        <is>
          <t>INV/2026/03787</t>
        </is>
      </c>
      <c r="F656" t="inlineStr">
        <is>
          <t>Customer payment INV/2026/03787</t>
        </is>
      </c>
      <c r="G656" s="9" t="n">
        <v>95</v>
      </c>
      <c r="H656" t="inlineStr">
        <is>
          <t>customer_payment</t>
        </is>
      </c>
      <c r="I656" t="inlineStr"/>
      <c r="J656" t="inlineStr">
        <is>
          <t>G00019</t>
        </is>
      </c>
      <c r="K656" t="str">
        <f>INDEX('Match Groups'!$D$5:$D$1326,MATCH(J656,'Match Groups'!$A$5:$A$1326,0))</f>
        <v>STRIPE-FEE</v>
      </c>
    </row>
    <row r="657">
      <c r="A657" t="inlineStr">
        <is>
          <t>JI-01941</t>
        </is>
      </c>
      <c r="B657" t="inlineStr">
        <is>
          <t>OPS</t>
        </is>
      </c>
      <c r="C657" s="5" t="n">
        <v>46209</v>
      </c>
      <c r="D657" t="inlineStr">
        <is>
          <t>Stripe patient 56918</t>
        </is>
      </c>
      <c r="E657" t="inlineStr">
        <is>
          <t>INV/2026/03788</t>
        </is>
      </c>
      <c r="F657" t="inlineStr">
        <is>
          <t>Customer payment INV/2026/03788</t>
        </is>
      </c>
      <c r="G657" s="9" t="n">
        <v>110</v>
      </c>
      <c r="H657" t="inlineStr">
        <is>
          <t>customer_payment</t>
        </is>
      </c>
      <c r="I657" t="inlineStr"/>
      <c r="J657" t="inlineStr">
        <is>
          <t>G00019</t>
        </is>
      </c>
      <c r="K657" t="str">
        <f>INDEX('Match Groups'!$D$5:$D$1326,MATCH(J657,'Match Groups'!$A$5:$A$1326,0))</f>
        <v>STRIPE-FEE</v>
      </c>
    </row>
    <row r="658">
      <c r="A658" t="inlineStr">
        <is>
          <t>JI-01942</t>
        </is>
      </c>
      <c r="B658" t="inlineStr">
        <is>
          <t>OPS</t>
        </is>
      </c>
      <c r="C658" s="5" t="n">
        <v>46209</v>
      </c>
      <c r="D658" t="inlineStr">
        <is>
          <t>Stripe patient 44294</t>
        </is>
      </c>
      <c r="E658" t="inlineStr">
        <is>
          <t>INV/2026/03789</t>
        </is>
      </c>
      <c r="F658" t="inlineStr">
        <is>
          <t>Customer payment INV/2026/03789</t>
        </is>
      </c>
      <c r="G658" s="9" t="n">
        <v>65</v>
      </c>
      <c r="H658" t="inlineStr">
        <is>
          <t>customer_payment</t>
        </is>
      </c>
      <c r="I658" t="inlineStr"/>
      <c r="J658" t="inlineStr">
        <is>
          <t>G00019</t>
        </is>
      </c>
      <c r="K658" t="str">
        <f>INDEX('Match Groups'!$D$5:$D$1326,MATCH(J658,'Match Groups'!$A$5:$A$1326,0))</f>
        <v>STRIPE-FEE</v>
      </c>
    </row>
    <row r="659">
      <c r="A659" t="inlineStr">
        <is>
          <t>JI-01943</t>
        </is>
      </c>
      <c r="B659" t="inlineStr">
        <is>
          <t>OPS</t>
        </is>
      </c>
      <c r="C659" s="5" t="n">
        <v>46209</v>
      </c>
      <c r="D659" t="inlineStr">
        <is>
          <t>Stripe patient 18254</t>
        </is>
      </c>
      <c r="E659" t="inlineStr">
        <is>
          <t>INV/2026/03790</t>
        </is>
      </c>
      <c r="F659" t="inlineStr">
        <is>
          <t>Customer payment INV/2026/03790</t>
        </is>
      </c>
      <c r="G659" s="9" t="n">
        <v>120</v>
      </c>
      <c r="H659" t="inlineStr">
        <is>
          <t>customer_payment</t>
        </is>
      </c>
      <c r="I659" t="inlineStr"/>
      <c r="J659" t="inlineStr">
        <is>
          <t>G00019</t>
        </is>
      </c>
      <c r="K659" t="str">
        <f>INDEX('Match Groups'!$D$5:$D$1326,MATCH(J659,'Match Groups'!$A$5:$A$1326,0))</f>
        <v>STRIPE-FEE</v>
      </c>
    </row>
    <row r="660">
      <c r="A660" t="inlineStr">
        <is>
          <t>JI-01944</t>
        </is>
      </c>
      <c r="B660" t="inlineStr">
        <is>
          <t>OPS</t>
        </is>
      </c>
      <c r="C660" s="5" t="n">
        <v>46209</v>
      </c>
      <c r="D660" t="inlineStr">
        <is>
          <t>Stripe patient 85002</t>
        </is>
      </c>
      <c r="E660" t="inlineStr">
        <is>
          <t>INV/2026/03791</t>
        </is>
      </c>
      <c r="F660" t="inlineStr">
        <is>
          <t>Customer payment INV/2026/03791</t>
        </is>
      </c>
      <c r="G660" s="9" t="n">
        <v>120</v>
      </c>
      <c r="H660" t="inlineStr">
        <is>
          <t>customer_payment</t>
        </is>
      </c>
      <c r="I660" t="inlineStr"/>
      <c r="J660" t="inlineStr">
        <is>
          <t>G00019</t>
        </is>
      </c>
      <c r="K660" t="str">
        <f>INDEX('Match Groups'!$D$5:$D$1326,MATCH(J660,'Match Groups'!$A$5:$A$1326,0))</f>
        <v>STRIPE-FEE</v>
      </c>
    </row>
    <row r="661">
      <c r="A661" t="inlineStr">
        <is>
          <t>JI-03903</t>
        </is>
      </c>
      <c r="B661" t="inlineStr">
        <is>
          <t>OPS</t>
        </is>
      </c>
      <c r="C661" s="5" t="n">
        <v>46209</v>
      </c>
      <c r="D661" t="inlineStr">
        <is>
          <t>Cloud Payroll Pty Ltd</t>
        </is>
      </c>
      <c r="E661" t="inlineStr">
        <is>
          <t>BILL/2026/1009</t>
        </is>
      </c>
      <c r="F661" t="inlineStr">
        <is>
          <t>Vendor payment BILL/2026/1009</t>
        </is>
      </c>
      <c r="G661" s="9" t="n">
        <v>-495</v>
      </c>
      <c r="H661" t="inlineStr">
        <is>
          <t>supplier_payment</t>
        </is>
      </c>
      <c r="I661" t="inlineStr"/>
      <c r="J661" t="inlineStr">
        <is>
          <t>G01121</t>
        </is>
      </c>
      <c r="K661" t="str">
        <f>INDEX('Match Groups'!$D$5:$D$1326,MATCH(J661,'Match Groups'!$A$5:$A$1326,0))</f>
        <v>MATCH</v>
      </c>
    </row>
    <row r="662">
      <c r="A662" t="inlineStr">
        <is>
          <t>JI-04283</t>
        </is>
      </c>
      <c r="B662" t="inlineStr">
        <is>
          <t>OPS</t>
        </is>
      </c>
      <c r="C662" s="5" t="n">
        <v>46209</v>
      </c>
      <c r="D662" t="inlineStr">
        <is>
          <t>Internal transfer</t>
        </is>
      </c>
      <c r="E662" t="inlineStr">
        <is>
          <t>SWEEP 0607</t>
        </is>
      </c>
      <c r="F662" t="inlineStr">
        <is>
          <t>Sweep from merchant account</t>
        </is>
      </c>
      <c r="G662" s="9" t="n">
        <v>22000</v>
      </c>
      <c r="H662" t="inlineStr">
        <is>
          <t>transfer</t>
        </is>
      </c>
      <c r="I662" t="inlineStr"/>
      <c r="J662" t="inlineStr">
        <is>
          <t>G00505</t>
        </is>
      </c>
      <c r="K662" t="str">
        <f>INDEX('Match Groups'!$D$5:$D$1326,MATCH(J662,'Match Groups'!$A$5:$A$1326,0))</f>
        <v>MATCH</v>
      </c>
    </row>
    <row r="663">
      <c r="A663" t="inlineStr">
        <is>
          <t>JI-00121</t>
        </is>
      </c>
      <c r="B663" t="inlineStr">
        <is>
          <t>OPS</t>
        </is>
      </c>
      <c r="C663" s="5" t="n">
        <v>46210</v>
      </c>
      <c r="D663" t="inlineStr">
        <is>
          <t>Bluegum Plan Management</t>
        </is>
      </c>
      <c r="E663" t="inlineStr">
        <is>
          <t>INV/2026/01477</t>
        </is>
      </c>
      <c r="F663" t="inlineStr">
        <is>
          <t>Customer payment INV/2026/01477</t>
        </is>
      </c>
      <c r="G663" s="9" t="n">
        <v>223.99</v>
      </c>
      <c r="H663" t="inlineStr">
        <is>
          <t>customer_payment</t>
        </is>
      </c>
      <c r="I663" t="inlineStr"/>
      <c r="J663" t="inlineStr">
        <is>
          <t>G00108</t>
        </is>
      </c>
      <c r="K663" t="str">
        <f>INDEX('Match Groups'!$D$5:$D$1326,MATCH(J663,'Match Groups'!$A$5:$A$1326,0))</f>
        <v>MATCH</v>
      </c>
    </row>
    <row r="664">
      <c r="A664" t="inlineStr">
        <is>
          <t>JI-00122</t>
        </is>
      </c>
      <c r="B664" t="inlineStr">
        <is>
          <t>OPS</t>
        </is>
      </c>
      <c r="C664" s="5" t="n">
        <v>46210</v>
      </c>
      <c r="D664" t="inlineStr">
        <is>
          <t>Bluegum Plan Management</t>
        </is>
      </c>
      <c r="E664" t="inlineStr">
        <is>
          <t>INV/2026/01478</t>
        </is>
      </c>
      <c r="F664" t="inlineStr">
        <is>
          <t>Customer payment INV/2026/01478</t>
        </is>
      </c>
      <c r="G664" s="9" t="n">
        <v>223.99</v>
      </c>
      <c r="H664" t="inlineStr">
        <is>
          <t>customer_payment</t>
        </is>
      </c>
      <c r="I664" t="inlineStr"/>
      <c r="J664" t="inlineStr">
        <is>
          <t>G00108</t>
        </is>
      </c>
      <c r="K664" t="str">
        <f>INDEX('Match Groups'!$D$5:$D$1326,MATCH(J664,'Match Groups'!$A$5:$A$1326,0))</f>
        <v>MATCH</v>
      </c>
    </row>
    <row r="665">
      <c r="A665" t="inlineStr">
        <is>
          <t>JI-00123</t>
        </is>
      </c>
      <c r="B665" t="inlineStr">
        <is>
          <t>OPS</t>
        </is>
      </c>
      <c r="C665" s="5" t="n">
        <v>46210</v>
      </c>
      <c r="D665" t="inlineStr">
        <is>
          <t>Clearpath NDIS Plans</t>
        </is>
      </c>
      <c r="E665" t="inlineStr">
        <is>
          <t>INV/2026/01588</t>
        </is>
      </c>
      <c r="F665" t="inlineStr">
        <is>
          <t>Customer payment INV/2026/01588</t>
        </is>
      </c>
      <c r="G665" s="9" t="n">
        <v>290.98</v>
      </c>
      <c r="H665" t="inlineStr">
        <is>
          <t>customer_payment</t>
        </is>
      </c>
      <c r="I665" t="inlineStr"/>
      <c r="J665" t="inlineStr">
        <is>
          <t>G00109</t>
        </is>
      </c>
      <c r="K665" t="str">
        <f>INDEX('Match Groups'!$D$5:$D$1326,MATCH(J665,'Match Groups'!$A$5:$A$1326,0))</f>
        <v>MATCH</v>
      </c>
    </row>
    <row r="666">
      <c r="A666" t="inlineStr">
        <is>
          <t>JI-00124</t>
        </is>
      </c>
      <c r="B666" t="inlineStr">
        <is>
          <t>OPS</t>
        </is>
      </c>
      <c r="C666" s="5" t="n">
        <v>46210</v>
      </c>
      <c r="D666" t="inlineStr">
        <is>
          <t>Clearpath NDIS Plans</t>
        </is>
      </c>
      <c r="E666" t="inlineStr">
        <is>
          <t>INV/2026/01615</t>
        </is>
      </c>
      <c r="F666" t="inlineStr">
        <is>
          <t>Customer payment INV/2026/01615</t>
        </is>
      </c>
      <c r="G666" s="9" t="n">
        <v>290.98</v>
      </c>
      <c r="H666" t="inlineStr">
        <is>
          <t>customer_payment</t>
        </is>
      </c>
      <c r="I666" t="inlineStr"/>
      <c r="J666" t="inlineStr">
        <is>
          <t>G00109</t>
        </is>
      </c>
      <c r="K666" t="str">
        <f>INDEX('Match Groups'!$D$5:$D$1326,MATCH(J666,'Match Groups'!$A$5:$A$1326,0))</f>
        <v>MATCH</v>
      </c>
    </row>
    <row r="667">
      <c r="A667" t="inlineStr">
        <is>
          <t>JI-00125</t>
        </is>
      </c>
      <c r="B667" t="inlineStr">
        <is>
          <t>OPS</t>
        </is>
      </c>
      <c r="C667" s="5" t="n">
        <v>46210</v>
      </c>
      <c r="D667" t="inlineStr">
        <is>
          <t>Clearpath NDIS Plans</t>
        </is>
      </c>
      <c r="E667" t="inlineStr">
        <is>
          <t>INV/2026/01616</t>
        </is>
      </c>
      <c r="F667" t="inlineStr">
        <is>
          <t>Customer payment INV/2026/01616</t>
        </is>
      </c>
      <c r="G667" s="9" t="n">
        <v>155.19</v>
      </c>
      <c r="H667" t="inlineStr">
        <is>
          <t>customer_payment</t>
        </is>
      </c>
      <c r="I667" t="inlineStr"/>
      <c r="J667" t="inlineStr">
        <is>
          <t>G00109</t>
        </is>
      </c>
      <c r="K667" t="str">
        <f>INDEX('Match Groups'!$D$5:$D$1326,MATCH(J667,'Match Groups'!$A$5:$A$1326,0))</f>
        <v>MATCH</v>
      </c>
    </row>
    <row r="668">
      <c r="A668" t="inlineStr">
        <is>
          <t>JI-00126</t>
        </is>
      </c>
      <c r="B668" t="inlineStr">
        <is>
          <t>OPS</t>
        </is>
      </c>
      <c r="C668" s="5" t="n">
        <v>46210</v>
      </c>
      <c r="D668" t="inlineStr">
        <is>
          <t>Clearpath NDIS Plans</t>
        </is>
      </c>
      <c r="E668" t="inlineStr">
        <is>
          <t>INV/2026/01617</t>
        </is>
      </c>
      <c r="F668" t="inlineStr">
        <is>
          <t>Customer payment INV/2026/01617</t>
        </is>
      </c>
      <c r="G668" s="9" t="n">
        <v>145.49</v>
      </c>
      <c r="H668" t="inlineStr">
        <is>
          <t>customer_payment</t>
        </is>
      </c>
      <c r="I668" t="inlineStr"/>
      <c r="J668" t="inlineStr">
        <is>
          <t>G00109</t>
        </is>
      </c>
      <c r="K668" t="str">
        <f>INDEX('Match Groups'!$D$5:$D$1326,MATCH(J668,'Match Groups'!$A$5:$A$1326,0))</f>
        <v>MATCH</v>
      </c>
    </row>
    <row r="669">
      <c r="A669" t="inlineStr">
        <is>
          <t>JI-00127</t>
        </is>
      </c>
      <c r="B669" t="inlineStr">
        <is>
          <t>OPS</t>
        </is>
      </c>
      <c r="C669" s="5" t="n">
        <v>46210</v>
      </c>
      <c r="D669" t="inlineStr">
        <is>
          <t>Clearpath NDIS Plans</t>
        </is>
      </c>
      <c r="E669" t="inlineStr">
        <is>
          <t>INV/2026/01641</t>
        </is>
      </c>
      <c r="F669" t="inlineStr">
        <is>
          <t>Customer payment INV/2026/01641</t>
        </is>
      </c>
      <c r="G669" s="9" t="n">
        <v>175.49</v>
      </c>
      <c r="H669" t="inlineStr">
        <is>
          <t>customer_payment</t>
        </is>
      </c>
      <c r="I669" t="inlineStr"/>
      <c r="J669" t="inlineStr">
        <is>
          <t>G00109</t>
        </is>
      </c>
      <c r="K669" t="str">
        <f>INDEX('Match Groups'!$D$5:$D$1326,MATCH(J669,'Match Groups'!$A$5:$A$1326,0))</f>
        <v>MATCH</v>
      </c>
    </row>
    <row r="670">
      <c r="A670" t="inlineStr">
        <is>
          <t>JI-00128</t>
        </is>
      </c>
      <c r="B670" t="inlineStr">
        <is>
          <t>OPS</t>
        </is>
      </c>
      <c r="C670" s="5" t="n">
        <v>46210</v>
      </c>
      <c r="D670" t="inlineStr">
        <is>
          <t>Clearpath NDIS Plans</t>
        </is>
      </c>
      <c r="E670" t="inlineStr">
        <is>
          <t>INV/2026/01642</t>
        </is>
      </c>
      <c r="F670" t="inlineStr">
        <is>
          <t>Customer payment INV/2026/01642</t>
        </is>
      </c>
      <c r="G670" s="9" t="n">
        <v>290.98</v>
      </c>
      <c r="H670" t="inlineStr">
        <is>
          <t>customer_payment</t>
        </is>
      </c>
      <c r="I670" t="inlineStr"/>
      <c r="J670" t="inlineStr">
        <is>
          <t>G00109</t>
        </is>
      </c>
      <c r="K670" t="str">
        <f>INDEX('Match Groups'!$D$5:$D$1326,MATCH(J670,'Match Groups'!$A$5:$A$1326,0))</f>
        <v>MATCH</v>
      </c>
    </row>
    <row r="671">
      <c r="A671" t="inlineStr">
        <is>
          <t>JI-00129</t>
        </is>
      </c>
      <c r="B671" t="inlineStr">
        <is>
          <t>OPS</t>
        </is>
      </c>
      <c r="C671" s="5" t="n">
        <v>46210</v>
      </c>
      <c r="D671" t="inlineStr">
        <is>
          <t>Clearpath NDIS Plans</t>
        </is>
      </c>
      <c r="E671" t="inlineStr">
        <is>
          <t>INV/2026/01664</t>
        </is>
      </c>
      <c r="F671" t="inlineStr">
        <is>
          <t>Customer payment INV/2026/01664</t>
        </is>
      </c>
      <c r="G671" s="9" t="n">
        <v>96.98999999999999</v>
      </c>
      <c r="H671" t="inlineStr">
        <is>
          <t>customer_payment</t>
        </is>
      </c>
      <c r="I671" t="inlineStr"/>
      <c r="J671" t="inlineStr">
        <is>
          <t>G00109</t>
        </is>
      </c>
      <c r="K671" t="str">
        <f>INDEX('Match Groups'!$D$5:$D$1326,MATCH(J671,'Match Groups'!$A$5:$A$1326,0))</f>
        <v>MATCH</v>
      </c>
    </row>
    <row r="672">
      <c r="A672" t="inlineStr">
        <is>
          <t>JI-00130</t>
        </is>
      </c>
      <c r="B672" t="inlineStr">
        <is>
          <t>OPS</t>
        </is>
      </c>
      <c r="C672" s="5" t="n">
        <v>46210</v>
      </c>
      <c r="D672" t="inlineStr">
        <is>
          <t>Clearpath NDIS Plans</t>
        </is>
      </c>
      <c r="E672" t="inlineStr">
        <is>
          <t>INV/2026/01665</t>
        </is>
      </c>
      <c r="F672" t="inlineStr">
        <is>
          <t>Customer payment INV/2026/01665</t>
        </is>
      </c>
      <c r="G672" s="9" t="n">
        <v>175.49</v>
      </c>
      <c r="H672" t="inlineStr">
        <is>
          <t>customer_payment</t>
        </is>
      </c>
      <c r="I672" t="inlineStr"/>
      <c r="J672" t="inlineStr">
        <is>
          <t>G00109</t>
        </is>
      </c>
      <c r="K672" t="str">
        <f>INDEX('Match Groups'!$D$5:$D$1326,MATCH(J672,'Match Groups'!$A$5:$A$1326,0))</f>
        <v>MATCH</v>
      </c>
    </row>
    <row r="673">
      <c r="A673" t="inlineStr">
        <is>
          <t>JI-00131</t>
        </is>
      </c>
      <c r="B673" t="inlineStr">
        <is>
          <t>OPS</t>
        </is>
      </c>
      <c r="C673" s="5" t="n">
        <v>46210</v>
      </c>
      <c r="D673" t="inlineStr">
        <is>
          <t>Clearpath NDIS Plans</t>
        </is>
      </c>
      <c r="E673" t="inlineStr">
        <is>
          <t>INV/2026/01666</t>
        </is>
      </c>
      <c r="F673" t="inlineStr">
        <is>
          <t>Customer payment INV/2026/01666</t>
        </is>
      </c>
      <c r="G673" s="9" t="n">
        <v>193.99</v>
      </c>
      <c r="H673" t="inlineStr">
        <is>
          <t>customer_payment</t>
        </is>
      </c>
      <c r="I673" t="inlineStr"/>
      <c r="J673" t="inlineStr">
        <is>
          <t>G00109</t>
        </is>
      </c>
      <c r="K673" t="str">
        <f>INDEX('Match Groups'!$D$5:$D$1326,MATCH(J673,'Match Groups'!$A$5:$A$1326,0))</f>
        <v>MATCH</v>
      </c>
    </row>
    <row r="674">
      <c r="A674" t="inlineStr">
        <is>
          <t>JI-00132</t>
        </is>
      </c>
      <c r="B674" t="inlineStr">
        <is>
          <t>OPS</t>
        </is>
      </c>
      <c r="C674" s="5" t="n">
        <v>46210</v>
      </c>
      <c r="D674" t="inlineStr">
        <is>
          <t>Clearpath NDIS Plans</t>
        </is>
      </c>
      <c r="E674" t="inlineStr">
        <is>
          <t>INV/2026/01731</t>
        </is>
      </c>
      <c r="F674" t="inlineStr">
        <is>
          <t>Customer payment INV/2026/01731</t>
        </is>
      </c>
      <c r="G674" s="9" t="n">
        <v>290.98</v>
      </c>
      <c r="H674" t="inlineStr">
        <is>
          <t>customer_payment</t>
        </is>
      </c>
      <c r="I674" t="inlineStr"/>
      <c r="J674" t="inlineStr">
        <is>
          <t>G00109</t>
        </is>
      </c>
      <c r="K674" t="str">
        <f>INDEX('Match Groups'!$D$5:$D$1326,MATCH(J674,'Match Groups'!$A$5:$A$1326,0))</f>
        <v>MATCH</v>
      </c>
    </row>
    <row r="675">
      <c r="A675" t="inlineStr">
        <is>
          <t>JI-00133</t>
        </is>
      </c>
      <c r="B675" t="inlineStr">
        <is>
          <t>OPS</t>
        </is>
      </c>
      <c r="C675" s="5" t="n">
        <v>46210</v>
      </c>
      <c r="D675" t="inlineStr">
        <is>
          <t>Clearpath NDIS Plans</t>
        </is>
      </c>
      <c r="E675" t="inlineStr">
        <is>
          <t>INV/2026/01749</t>
        </is>
      </c>
      <c r="F675" t="inlineStr">
        <is>
          <t>Customer payment INV/2026/01749</t>
        </is>
      </c>
      <c r="G675" s="9" t="n">
        <v>242.49</v>
      </c>
      <c r="H675" t="inlineStr">
        <is>
          <t>customer_payment</t>
        </is>
      </c>
      <c r="I675" t="inlineStr"/>
      <c r="J675" t="inlineStr">
        <is>
          <t>G00109</t>
        </is>
      </c>
      <c r="K675" t="str">
        <f>INDEX('Match Groups'!$D$5:$D$1326,MATCH(J675,'Match Groups'!$A$5:$A$1326,0))</f>
        <v>MATCH</v>
      </c>
    </row>
    <row r="676">
      <c r="A676" t="inlineStr">
        <is>
          <t>JI-00134</t>
        </is>
      </c>
      <c r="B676" t="inlineStr">
        <is>
          <t>OPS</t>
        </is>
      </c>
      <c r="C676" s="5" t="n">
        <v>46210</v>
      </c>
      <c r="D676" t="inlineStr">
        <is>
          <t>Clearpath NDIS Plans</t>
        </is>
      </c>
      <c r="E676" t="inlineStr">
        <is>
          <t>INV/2026/01750</t>
        </is>
      </c>
      <c r="F676" t="inlineStr">
        <is>
          <t>Customer payment INV/2026/01750</t>
        </is>
      </c>
      <c r="G676" s="9" t="n">
        <v>145.49</v>
      </c>
      <c r="H676" t="inlineStr">
        <is>
          <t>customer_payment</t>
        </is>
      </c>
      <c r="I676" t="inlineStr"/>
      <c r="J676" t="inlineStr">
        <is>
          <t>G00109</t>
        </is>
      </c>
      <c r="K676" t="str">
        <f>INDEX('Match Groups'!$D$5:$D$1326,MATCH(J676,'Match Groups'!$A$5:$A$1326,0))</f>
        <v>MATCH</v>
      </c>
    </row>
    <row r="677">
      <c r="A677" t="inlineStr">
        <is>
          <t>JI-00135</t>
        </is>
      </c>
      <c r="B677" t="inlineStr">
        <is>
          <t>OPS</t>
        </is>
      </c>
      <c r="C677" s="5" t="n">
        <v>46210</v>
      </c>
      <c r="D677" t="inlineStr">
        <is>
          <t>Banksia Plan Co</t>
        </is>
      </c>
      <c r="E677" t="inlineStr">
        <is>
          <t>INV/2026/01540</t>
        </is>
      </c>
      <c r="F677" t="inlineStr">
        <is>
          <t>Customer payment INV/2026/01540</t>
        </is>
      </c>
      <c r="G677" s="9" t="n">
        <v>96.98999999999999</v>
      </c>
      <c r="H677" t="inlineStr">
        <is>
          <t>customer_payment</t>
        </is>
      </c>
      <c r="I677" t="inlineStr"/>
      <c r="J677" t="inlineStr">
        <is>
          <t>G00111</t>
        </is>
      </c>
      <c r="K677" t="str">
        <f>INDEX('Match Groups'!$D$5:$D$1326,MATCH(J677,'Match Groups'!$A$5:$A$1326,0))</f>
        <v>MATCH</v>
      </c>
    </row>
    <row r="678">
      <c r="A678" t="inlineStr">
        <is>
          <t>JI-00136</t>
        </is>
      </c>
      <c r="B678" t="inlineStr">
        <is>
          <t>OPS</t>
        </is>
      </c>
      <c r="C678" s="5" t="n">
        <v>46210</v>
      </c>
      <c r="D678" t="inlineStr">
        <is>
          <t>Banksia Plan Co</t>
        </is>
      </c>
      <c r="E678" t="inlineStr">
        <is>
          <t>INV/2026/01561</t>
        </is>
      </c>
      <c r="F678" t="inlineStr">
        <is>
          <t>Customer payment INV/2026/01561</t>
        </is>
      </c>
      <c r="G678" s="9" t="n">
        <v>193.99</v>
      </c>
      <c r="H678" t="inlineStr">
        <is>
          <t>customer_payment</t>
        </is>
      </c>
      <c r="I678" t="inlineStr"/>
      <c r="J678" t="inlineStr">
        <is>
          <t>G00111</t>
        </is>
      </c>
      <c r="K678" t="str">
        <f>INDEX('Match Groups'!$D$5:$D$1326,MATCH(J678,'Match Groups'!$A$5:$A$1326,0))</f>
        <v>MATCH</v>
      </c>
    </row>
    <row r="679">
      <c r="A679" t="inlineStr">
        <is>
          <t>JI-00137</t>
        </is>
      </c>
      <c r="B679" t="inlineStr">
        <is>
          <t>OPS</t>
        </is>
      </c>
      <c r="C679" s="5" t="n">
        <v>46210</v>
      </c>
      <c r="D679" t="inlineStr">
        <is>
          <t>Banksia Plan Co</t>
        </is>
      </c>
      <c r="E679" t="inlineStr">
        <is>
          <t>INV/2026/01562</t>
        </is>
      </c>
      <c r="F679" t="inlineStr">
        <is>
          <t>Customer payment INV/2026/01562</t>
        </is>
      </c>
      <c r="G679" s="9" t="n">
        <v>252.19</v>
      </c>
      <c r="H679" t="inlineStr">
        <is>
          <t>customer_payment</t>
        </is>
      </c>
      <c r="I679" t="inlineStr"/>
      <c r="J679" t="inlineStr">
        <is>
          <t>G00111</t>
        </is>
      </c>
      <c r="K679" t="str">
        <f>INDEX('Match Groups'!$D$5:$D$1326,MATCH(J679,'Match Groups'!$A$5:$A$1326,0))</f>
        <v>MATCH</v>
      </c>
    </row>
    <row r="680">
      <c r="A680" t="inlineStr">
        <is>
          <t>JI-00138</t>
        </is>
      </c>
      <c r="B680" t="inlineStr">
        <is>
          <t>OPS</t>
        </is>
      </c>
      <c r="C680" s="5" t="n">
        <v>46210</v>
      </c>
      <c r="D680" t="inlineStr">
        <is>
          <t>Banksia Plan Co</t>
        </is>
      </c>
      <c r="E680" t="inlineStr">
        <is>
          <t>INV/2026/01643</t>
        </is>
      </c>
      <c r="F680" t="inlineStr">
        <is>
          <t>Customer payment INV/2026/01643</t>
        </is>
      </c>
      <c r="G680" s="9" t="n">
        <v>252.19</v>
      </c>
      <c r="H680" t="inlineStr">
        <is>
          <t>customer_payment</t>
        </is>
      </c>
      <c r="I680" t="inlineStr"/>
      <c r="J680" t="inlineStr">
        <is>
          <t>G00111</t>
        </is>
      </c>
      <c r="K680" t="str">
        <f>INDEX('Match Groups'!$D$5:$D$1326,MATCH(J680,'Match Groups'!$A$5:$A$1326,0))</f>
        <v>MATCH</v>
      </c>
    </row>
    <row r="681">
      <c r="A681" t="inlineStr">
        <is>
          <t>JI-00139</t>
        </is>
      </c>
      <c r="B681" t="inlineStr">
        <is>
          <t>OPS</t>
        </is>
      </c>
      <c r="C681" s="5" t="n">
        <v>46210</v>
      </c>
      <c r="D681" t="inlineStr">
        <is>
          <t>Banksia Plan Co</t>
        </is>
      </c>
      <c r="E681" t="inlineStr">
        <is>
          <t>INV/2026/01644</t>
        </is>
      </c>
      <c r="F681" t="inlineStr">
        <is>
          <t>Customer payment INV/2026/01644</t>
        </is>
      </c>
      <c r="G681" s="9" t="n">
        <v>155.19</v>
      </c>
      <c r="H681" t="inlineStr">
        <is>
          <t>customer_payment</t>
        </is>
      </c>
      <c r="I681" t="inlineStr"/>
      <c r="J681" t="inlineStr">
        <is>
          <t>G00111</t>
        </is>
      </c>
      <c r="K681" t="str">
        <f>INDEX('Match Groups'!$D$5:$D$1326,MATCH(J681,'Match Groups'!$A$5:$A$1326,0))</f>
        <v>MATCH</v>
      </c>
    </row>
    <row r="682">
      <c r="A682" t="inlineStr">
        <is>
          <t>JI-00140</t>
        </is>
      </c>
      <c r="B682" t="inlineStr">
        <is>
          <t>OPS</t>
        </is>
      </c>
      <c r="C682" s="5" t="n">
        <v>46210</v>
      </c>
      <c r="D682" t="inlineStr">
        <is>
          <t>Banksia Plan Co</t>
        </is>
      </c>
      <c r="E682" t="inlineStr">
        <is>
          <t>INV/2026/01669</t>
        </is>
      </c>
      <c r="F682" t="inlineStr">
        <is>
          <t>Customer payment INV/2026/01669</t>
        </is>
      </c>
      <c r="G682" s="9" t="n">
        <v>126.99</v>
      </c>
      <c r="H682" t="inlineStr">
        <is>
          <t>customer_payment</t>
        </is>
      </c>
      <c r="I682" t="inlineStr"/>
      <c r="J682" t="inlineStr">
        <is>
          <t>G00111</t>
        </is>
      </c>
      <c r="K682" t="str">
        <f>INDEX('Match Groups'!$D$5:$D$1326,MATCH(J682,'Match Groups'!$A$5:$A$1326,0))</f>
        <v>MATCH</v>
      </c>
    </row>
    <row r="683">
      <c r="A683" t="inlineStr">
        <is>
          <t>JI-00141</t>
        </is>
      </c>
      <c r="B683" t="inlineStr">
        <is>
          <t>OPS</t>
        </is>
      </c>
      <c r="C683" s="5" t="n">
        <v>46210</v>
      </c>
      <c r="D683" t="inlineStr">
        <is>
          <t>Ironbark Plan Management</t>
        </is>
      </c>
      <c r="E683" t="inlineStr">
        <is>
          <t>INV/2026/01541</t>
        </is>
      </c>
      <c r="F683" t="inlineStr">
        <is>
          <t>Customer payment INV/2026/01541</t>
        </is>
      </c>
      <c r="G683" s="9" t="n">
        <v>446.18</v>
      </c>
      <c r="H683" t="inlineStr">
        <is>
          <t>customer_payment</t>
        </is>
      </c>
      <c r="I683" t="inlineStr"/>
      <c r="J683" t="inlineStr">
        <is>
          <t>G00112</t>
        </is>
      </c>
      <c r="K683" t="str">
        <f>INDEX('Match Groups'!$D$5:$D$1326,MATCH(J683,'Match Groups'!$A$5:$A$1326,0))</f>
        <v>MATCH</v>
      </c>
    </row>
    <row r="684">
      <c r="A684" t="inlineStr">
        <is>
          <t>JI-00142</t>
        </is>
      </c>
      <c r="B684" t="inlineStr">
        <is>
          <t>OPS</t>
        </is>
      </c>
      <c r="C684" s="5" t="n">
        <v>46210</v>
      </c>
      <c r="D684" t="inlineStr">
        <is>
          <t>Ironbark Plan Management</t>
        </is>
      </c>
      <c r="E684" t="inlineStr">
        <is>
          <t>INV/2026/01542</t>
        </is>
      </c>
      <c r="F684" t="inlineStr">
        <is>
          <t>Customer payment INV/2026/01542</t>
        </is>
      </c>
      <c r="G684" s="9" t="n">
        <v>193.99</v>
      </c>
      <c r="H684" t="inlineStr">
        <is>
          <t>customer_payment</t>
        </is>
      </c>
      <c r="I684" t="inlineStr"/>
      <c r="J684" t="inlineStr">
        <is>
          <t>G00112</t>
        </is>
      </c>
      <c r="K684" t="str">
        <f>INDEX('Match Groups'!$D$5:$D$1326,MATCH(J684,'Match Groups'!$A$5:$A$1326,0))</f>
        <v>MATCH</v>
      </c>
    </row>
    <row r="685">
      <c r="A685" t="inlineStr">
        <is>
          <t>JI-00143</t>
        </is>
      </c>
      <c r="B685" t="inlineStr">
        <is>
          <t>OPS</t>
        </is>
      </c>
      <c r="C685" s="5" t="n">
        <v>46210</v>
      </c>
      <c r="D685" t="inlineStr">
        <is>
          <t>Kookaburra Plan Support</t>
        </is>
      </c>
      <c r="E685" t="inlineStr">
        <is>
          <t>INV/2026/01409</t>
        </is>
      </c>
      <c r="F685" t="inlineStr">
        <is>
          <t>Customer payment INV/2026/01409</t>
        </is>
      </c>
      <c r="G685" s="9" t="n">
        <v>175.49</v>
      </c>
      <c r="H685" t="inlineStr">
        <is>
          <t>customer_payment</t>
        </is>
      </c>
      <c r="I685" t="inlineStr"/>
      <c r="J685" t="inlineStr">
        <is>
          <t>G00113</t>
        </is>
      </c>
      <c r="K685" t="str">
        <f>INDEX('Match Groups'!$D$5:$D$1326,MATCH(J685,'Match Groups'!$A$5:$A$1326,0))</f>
        <v>MATCH</v>
      </c>
    </row>
    <row r="686">
      <c r="A686" t="inlineStr">
        <is>
          <t>JI-00144</t>
        </is>
      </c>
      <c r="B686" t="inlineStr">
        <is>
          <t>OPS</t>
        </is>
      </c>
      <c r="C686" s="5" t="n">
        <v>46210</v>
      </c>
      <c r="D686" t="inlineStr">
        <is>
          <t>Kookaburra Plan Support</t>
        </is>
      </c>
      <c r="E686" t="inlineStr">
        <is>
          <t>INV/2026/01461</t>
        </is>
      </c>
      <c r="F686" t="inlineStr">
        <is>
          <t>Customer payment INV/2026/01461</t>
        </is>
      </c>
      <c r="G686" s="9" t="n">
        <v>242.49</v>
      </c>
      <c r="H686" t="inlineStr">
        <is>
          <t>customer_payment</t>
        </is>
      </c>
      <c r="I686" t="inlineStr"/>
      <c r="J686" t="inlineStr">
        <is>
          <t>G00113</t>
        </is>
      </c>
      <c r="K686" t="str">
        <f>INDEX('Match Groups'!$D$5:$D$1326,MATCH(J686,'Match Groups'!$A$5:$A$1326,0))</f>
        <v>MATCH</v>
      </c>
    </row>
    <row r="687">
      <c r="A687" t="inlineStr">
        <is>
          <t>JI-00145</t>
        </is>
      </c>
      <c r="B687" t="inlineStr">
        <is>
          <t>OPS</t>
        </is>
      </c>
      <c r="C687" s="5" t="n">
        <v>46210</v>
      </c>
      <c r="D687" t="inlineStr">
        <is>
          <t>Kookaburra Plan Support</t>
        </is>
      </c>
      <c r="E687" t="inlineStr">
        <is>
          <t>INV/2026/01462</t>
        </is>
      </c>
      <c r="F687" t="inlineStr">
        <is>
          <t>Customer payment INV/2026/01462</t>
        </is>
      </c>
      <c r="G687" s="9" t="n">
        <v>193.99</v>
      </c>
      <c r="H687" t="inlineStr">
        <is>
          <t>customer_payment</t>
        </is>
      </c>
      <c r="I687" t="inlineStr"/>
      <c r="J687" t="inlineStr">
        <is>
          <t>G00113</t>
        </is>
      </c>
      <c r="K687" t="str">
        <f>INDEX('Match Groups'!$D$5:$D$1326,MATCH(J687,'Match Groups'!$A$5:$A$1326,0))</f>
        <v>MATCH</v>
      </c>
    </row>
    <row r="688">
      <c r="A688" t="inlineStr">
        <is>
          <t>JI-00146</t>
        </is>
      </c>
      <c r="B688" t="inlineStr">
        <is>
          <t>OPS</t>
        </is>
      </c>
      <c r="C688" s="5" t="n">
        <v>46210</v>
      </c>
      <c r="D688" t="inlineStr">
        <is>
          <t>Kookaburra Plan Support</t>
        </is>
      </c>
      <c r="E688" t="inlineStr">
        <is>
          <t>INV/2026/01463</t>
        </is>
      </c>
      <c r="F688" t="inlineStr">
        <is>
          <t>Customer payment INV/2026/01463</t>
        </is>
      </c>
      <c r="G688" s="9" t="n">
        <v>193.99</v>
      </c>
      <c r="H688" t="inlineStr">
        <is>
          <t>customer_payment</t>
        </is>
      </c>
      <c r="I688" t="inlineStr"/>
      <c r="J688" t="inlineStr">
        <is>
          <t>G00113</t>
        </is>
      </c>
      <c r="K688" t="str">
        <f>INDEX('Match Groups'!$D$5:$D$1326,MATCH(J688,'Match Groups'!$A$5:$A$1326,0))</f>
        <v>MATCH</v>
      </c>
    </row>
    <row r="689">
      <c r="A689" t="inlineStr">
        <is>
          <t>JI-00147</t>
        </is>
      </c>
      <c r="B689" t="inlineStr">
        <is>
          <t>OPS</t>
        </is>
      </c>
      <c r="C689" s="5" t="n">
        <v>46210</v>
      </c>
      <c r="D689" t="inlineStr">
        <is>
          <t>Kookaburra Plan Support</t>
        </is>
      </c>
      <c r="E689" t="inlineStr">
        <is>
          <t>INV/2026/01485</t>
        </is>
      </c>
      <c r="F689" t="inlineStr">
        <is>
          <t>Customer payment INV/2026/01485</t>
        </is>
      </c>
      <c r="G689" s="9" t="n">
        <v>242.49</v>
      </c>
      <c r="H689" t="inlineStr">
        <is>
          <t>customer_payment</t>
        </is>
      </c>
      <c r="I689" t="inlineStr"/>
      <c r="J689" t="inlineStr">
        <is>
          <t>G00113</t>
        </is>
      </c>
      <c r="K689" t="str">
        <f>INDEX('Match Groups'!$D$5:$D$1326,MATCH(J689,'Match Groups'!$A$5:$A$1326,0))</f>
        <v>MATCH</v>
      </c>
    </row>
    <row r="690">
      <c r="A690" t="inlineStr">
        <is>
          <t>JI-00148</t>
        </is>
      </c>
      <c r="B690" t="inlineStr">
        <is>
          <t>OPS</t>
        </is>
      </c>
      <c r="C690" s="5" t="n">
        <v>46210</v>
      </c>
      <c r="D690" t="inlineStr">
        <is>
          <t>Kookaburra Plan Support</t>
        </is>
      </c>
      <c r="E690" t="inlineStr">
        <is>
          <t>INV/2026/01486</t>
        </is>
      </c>
      <c r="F690" t="inlineStr">
        <is>
          <t>Customer payment INV/2026/01486</t>
        </is>
      </c>
      <c r="G690" s="9" t="n">
        <v>155.19</v>
      </c>
      <c r="H690" t="inlineStr">
        <is>
          <t>customer_payment</t>
        </is>
      </c>
      <c r="I690" t="inlineStr"/>
      <c r="J690" t="inlineStr">
        <is>
          <t>G00113</t>
        </is>
      </c>
      <c r="K690" t="str">
        <f>INDEX('Match Groups'!$D$5:$D$1326,MATCH(J690,'Match Groups'!$A$5:$A$1326,0))</f>
        <v>MATCH</v>
      </c>
    </row>
    <row r="691">
      <c r="A691" t="inlineStr">
        <is>
          <t>JI-00149</t>
        </is>
      </c>
      <c r="B691" t="inlineStr">
        <is>
          <t>OPS</t>
        </is>
      </c>
      <c r="C691" s="5" t="n">
        <v>46210</v>
      </c>
      <c r="D691" t="inlineStr">
        <is>
          <t>Redgum Plan Admin</t>
        </is>
      </c>
      <c r="E691" t="inlineStr">
        <is>
          <t>INV/2026/01545</t>
        </is>
      </c>
      <c r="F691" t="inlineStr">
        <is>
          <t>Customer payment INV/2026/01545</t>
        </is>
      </c>
      <c r="G691" s="9" t="n">
        <v>242.49</v>
      </c>
      <c r="H691" t="inlineStr">
        <is>
          <t>customer_payment</t>
        </is>
      </c>
      <c r="I691" t="inlineStr"/>
      <c r="J691" t="inlineStr">
        <is>
          <t>G00114</t>
        </is>
      </c>
      <c r="K691" t="str">
        <f>INDEX('Match Groups'!$D$5:$D$1326,MATCH(J691,'Match Groups'!$A$5:$A$1326,0))</f>
        <v>MATCH</v>
      </c>
    </row>
    <row r="692">
      <c r="A692" t="inlineStr">
        <is>
          <t>JI-00150</t>
        </is>
      </c>
      <c r="B692" t="inlineStr">
        <is>
          <t>OPS</t>
        </is>
      </c>
      <c r="C692" s="5" t="n">
        <v>46210</v>
      </c>
      <c r="D692" t="inlineStr">
        <is>
          <t>Redgum Plan Admin</t>
        </is>
      </c>
      <c r="E692" t="inlineStr">
        <is>
          <t>INV/2026/01546</t>
        </is>
      </c>
      <c r="F692" t="inlineStr">
        <is>
          <t>Customer payment INV/2026/01546</t>
        </is>
      </c>
      <c r="G692" s="9" t="n">
        <v>349.18</v>
      </c>
      <c r="H692" t="inlineStr">
        <is>
          <t>customer_payment</t>
        </is>
      </c>
      <c r="I692" t="inlineStr"/>
      <c r="J692" t="inlineStr">
        <is>
          <t>G00114</t>
        </is>
      </c>
      <c r="K692" t="str">
        <f>INDEX('Match Groups'!$D$5:$D$1326,MATCH(J692,'Match Groups'!$A$5:$A$1326,0))</f>
        <v>MATCH</v>
      </c>
    </row>
    <row r="693">
      <c r="A693" t="inlineStr">
        <is>
          <t>JI-00151</t>
        </is>
      </c>
      <c r="B693" t="inlineStr">
        <is>
          <t>OPS</t>
        </is>
      </c>
      <c r="C693" s="5" t="n">
        <v>46210</v>
      </c>
      <c r="D693" t="inlineStr">
        <is>
          <t>Redgum Plan Admin</t>
        </is>
      </c>
      <c r="E693" t="inlineStr">
        <is>
          <t>INV/2026/01599</t>
        </is>
      </c>
      <c r="F693" t="inlineStr">
        <is>
          <t>Customer payment INV/2026/01599</t>
        </is>
      </c>
      <c r="G693" s="9" t="n">
        <v>96.98999999999999</v>
      </c>
      <c r="H693" t="inlineStr">
        <is>
          <t>customer_payment</t>
        </is>
      </c>
      <c r="I693" t="inlineStr"/>
      <c r="J693" t="inlineStr">
        <is>
          <t>G00114</t>
        </is>
      </c>
      <c r="K693" t="str">
        <f>INDEX('Match Groups'!$D$5:$D$1326,MATCH(J693,'Match Groups'!$A$5:$A$1326,0))</f>
        <v>MATCH</v>
      </c>
    </row>
    <row r="694">
      <c r="A694" t="inlineStr">
        <is>
          <t>JI-00152</t>
        </is>
      </c>
      <c r="B694" t="inlineStr">
        <is>
          <t>OPS</t>
        </is>
      </c>
      <c r="C694" s="5" t="n">
        <v>46210</v>
      </c>
      <c r="D694" t="inlineStr">
        <is>
          <t>Redgum Plan Admin</t>
        </is>
      </c>
      <c r="E694" t="inlineStr">
        <is>
          <t>INV/2026/01600</t>
        </is>
      </c>
      <c r="F694" t="inlineStr">
        <is>
          <t>Customer payment INV/2026/01600</t>
        </is>
      </c>
      <c r="G694" s="9" t="n">
        <v>155.19</v>
      </c>
      <c r="H694" t="inlineStr">
        <is>
          <t>customer_payment</t>
        </is>
      </c>
      <c r="I694" t="inlineStr"/>
      <c r="J694" t="inlineStr">
        <is>
          <t>G00114</t>
        </is>
      </c>
      <c r="K694" t="str">
        <f>INDEX('Match Groups'!$D$5:$D$1326,MATCH(J694,'Match Groups'!$A$5:$A$1326,0))</f>
        <v>MATCH</v>
      </c>
    </row>
    <row r="695">
      <c r="A695" t="inlineStr">
        <is>
          <t>JI-00153</t>
        </is>
      </c>
      <c r="B695" t="inlineStr">
        <is>
          <t>OPS</t>
        </is>
      </c>
      <c r="C695" s="5" t="n">
        <v>46210</v>
      </c>
      <c r="D695" t="inlineStr">
        <is>
          <t>Redgum Plan Admin</t>
        </is>
      </c>
      <c r="E695" t="inlineStr">
        <is>
          <t>INV/2026/01622</t>
        </is>
      </c>
      <c r="F695" t="inlineStr">
        <is>
          <t>Customer payment INV/2026/01622</t>
        </is>
      </c>
      <c r="G695" s="9" t="n">
        <v>145.49</v>
      </c>
      <c r="H695" t="inlineStr">
        <is>
          <t>customer_payment</t>
        </is>
      </c>
      <c r="I695" t="inlineStr"/>
      <c r="J695" t="inlineStr">
        <is>
          <t>G00114</t>
        </is>
      </c>
      <c r="K695" t="str">
        <f>INDEX('Match Groups'!$D$5:$D$1326,MATCH(J695,'Match Groups'!$A$5:$A$1326,0))</f>
        <v>MATCH</v>
      </c>
    </row>
    <row r="696">
      <c r="A696" t="inlineStr">
        <is>
          <t>JI-00154</t>
        </is>
      </c>
      <c r="B696" t="inlineStr">
        <is>
          <t>OPS</t>
        </is>
      </c>
      <c r="C696" s="5" t="n">
        <v>46210</v>
      </c>
      <c r="D696" t="inlineStr">
        <is>
          <t>Redgum Plan Admin</t>
        </is>
      </c>
      <c r="E696" t="inlineStr">
        <is>
          <t>INV/2026/01651</t>
        </is>
      </c>
      <c r="F696" t="inlineStr">
        <is>
          <t>Customer payment INV/2026/01651</t>
        </is>
      </c>
      <c r="G696" s="9" t="n">
        <v>126.99</v>
      </c>
      <c r="H696" t="inlineStr">
        <is>
          <t>customer_payment</t>
        </is>
      </c>
      <c r="I696" t="inlineStr"/>
      <c r="J696" t="inlineStr">
        <is>
          <t>G00114</t>
        </is>
      </c>
      <c r="K696" t="str">
        <f>INDEX('Match Groups'!$D$5:$D$1326,MATCH(J696,'Match Groups'!$A$5:$A$1326,0))</f>
        <v>MATCH</v>
      </c>
    </row>
    <row r="697">
      <c r="A697" t="inlineStr">
        <is>
          <t>JI-00155</t>
        </is>
      </c>
      <c r="B697" t="inlineStr">
        <is>
          <t>OPS</t>
        </is>
      </c>
      <c r="C697" s="5" t="n">
        <v>46210</v>
      </c>
      <c r="D697" t="inlineStr">
        <is>
          <t>Redgum Plan Admin</t>
        </is>
      </c>
      <c r="E697" t="inlineStr">
        <is>
          <t>INV/2026/01652</t>
        </is>
      </c>
      <c r="F697" t="inlineStr">
        <is>
          <t>Customer payment INV/2026/01652</t>
        </is>
      </c>
      <c r="G697" s="9" t="n">
        <v>96.98999999999999</v>
      </c>
      <c r="H697" t="inlineStr">
        <is>
          <t>customer_payment</t>
        </is>
      </c>
      <c r="I697" t="inlineStr"/>
      <c r="J697" t="inlineStr">
        <is>
          <t>G00114</t>
        </is>
      </c>
      <c r="K697" t="str">
        <f>INDEX('Match Groups'!$D$5:$D$1326,MATCH(J697,'Match Groups'!$A$5:$A$1326,0))</f>
        <v>MATCH</v>
      </c>
    </row>
    <row r="698">
      <c r="A698" t="inlineStr">
        <is>
          <t>JI-00156</t>
        </is>
      </c>
      <c r="B698" t="inlineStr">
        <is>
          <t>OPS</t>
        </is>
      </c>
      <c r="C698" s="5" t="n">
        <v>46210</v>
      </c>
      <c r="D698" t="inlineStr">
        <is>
          <t>Redgum Plan Admin</t>
        </is>
      </c>
      <c r="E698" t="inlineStr">
        <is>
          <t>INV/2026/01653</t>
        </is>
      </c>
      <c r="F698" t="inlineStr">
        <is>
          <t>Customer payment INV/2026/01653</t>
        </is>
      </c>
      <c r="G698" s="9" t="n">
        <v>145.49</v>
      </c>
      <c r="H698" t="inlineStr">
        <is>
          <t>customer_payment</t>
        </is>
      </c>
      <c r="I698" t="inlineStr"/>
      <c r="J698" t="inlineStr">
        <is>
          <t>G00114</t>
        </is>
      </c>
      <c r="K698" t="str">
        <f>INDEX('Match Groups'!$D$5:$D$1326,MATCH(J698,'Match Groups'!$A$5:$A$1326,0))</f>
        <v>MATCH</v>
      </c>
    </row>
    <row r="699">
      <c r="A699" t="inlineStr">
        <is>
          <t>JI-00157</t>
        </is>
      </c>
      <c r="B699" t="inlineStr">
        <is>
          <t>OPS</t>
        </is>
      </c>
      <c r="C699" s="5" t="n">
        <v>46210</v>
      </c>
      <c r="D699" t="inlineStr">
        <is>
          <t>Redgum Plan Admin</t>
        </is>
      </c>
      <c r="E699" t="inlineStr">
        <is>
          <t>INV/2026/01697</t>
        </is>
      </c>
      <c r="F699" t="inlineStr">
        <is>
          <t>Customer payment INV/2026/01697</t>
        </is>
      </c>
      <c r="G699" s="9" t="n">
        <v>193.99</v>
      </c>
      <c r="H699" t="inlineStr">
        <is>
          <t>customer_payment</t>
        </is>
      </c>
      <c r="I699" t="inlineStr"/>
      <c r="J699" t="inlineStr">
        <is>
          <t>G00114</t>
        </is>
      </c>
      <c r="K699" t="str">
        <f>INDEX('Match Groups'!$D$5:$D$1326,MATCH(J699,'Match Groups'!$A$5:$A$1326,0))</f>
        <v>MATCH</v>
      </c>
    </row>
    <row r="700">
      <c r="A700" t="inlineStr">
        <is>
          <t>JI-00158</t>
        </is>
      </c>
      <c r="B700" t="inlineStr">
        <is>
          <t>OPS</t>
        </is>
      </c>
      <c r="C700" s="5" t="n">
        <v>46210</v>
      </c>
      <c r="D700" t="inlineStr">
        <is>
          <t>Redgum Plan Admin</t>
        </is>
      </c>
      <c r="E700" t="inlineStr">
        <is>
          <t>INV/2026/01698</t>
        </is>
      </c>
      <c r="F700" t="inlineStr">
        <is>
          <t>Customer payment INV/2026/01698</t>
        </is>
      </c>
      <c r="G700" s="9" t="n">
        <v>145.49</v>
      </c>
      <c r="H700" t="inlineStr">
        <is>
          <t>customer_payment</t>
        </is>
      </c>
      <c r="I700" t="inlineStr"/>
      <c r="J700" t="inlineStr">
        <is>
          <t>G00114</t>
        </is>
      </c>
      <c r="K700" t="str">
        <f>INDEX('Match Groups'!$D$5:$D$1326,MATCH(J700,'Match Groups'!$A$5:$A$1326,0))</f>
        <v>MATCH</v>
      </c>
    </row>
    <row r="701">
      <c r="A701" t="inlineStr">
        <is>
          <t>JI-00159</t>
        </is>
      </c>
      <c r="B701" t="inlineStr">
        <is>
          <t>OPS</t>
        </is>
      </c>
      <c r="C701" s="5" t="n">
        <v>46210</v>
      </c>
      <c r="D701" t="inlineStr">
        <is>
          <t>Redgum Plan Admin</t>
        </is>
      </c>
      <c r="E701" t="inlineStr">
        <is>
          <t>INV/2026/01739</t>
        </is>
      </c>
      <c r="F701" t="inlineStr">
        <is>
          <t>Customer payment INV/2026/01739</t>
        </is>
      </c>
      <c r="G701" s="9" t="n">
        <v>290.98</v>
      </c>
      <c r="H701" t="inlineStr">
        <is>
          <t>customer_payment</t>
        </is>
      </c>
      <c r="I701" t="inlineStr"/>
      <c r="J701" t="inlineStr">
        <is>
          <t>G00114</t>
        </is>
      </c>
      <c r="K701" t="str">
        <f>INDEX('Match Groups'!$D$5:$D$1326,MATCH(J701,'Match Groups'!$A$5:$A$1326,0))</f>
        <v>MATCH</v>
      </c>
    </row>
    <row r="702">
      <c r="A702" t="inlineStr">
        <is>
          <t>JI-00160</t>
        </is>
      </c>
      <c r="B702" t="inlineStr">
        <is>
          <t>OPS</t>
        </is>
      </c>
      <c r="C702" s="5" t="n">
        <v>46210</v>
      </c>
      <c r="D702" t="inlineStr">
        <is>
          <t>Redgum Plan Admin</t>
        </is>
      </c>
      <c r="E702" t="inlineStr">
        <is>
          <t>INV/2026/01763</t>
        </is>
      </c>
      <c r="F702" t="inlineStr">
        <is>
          <t>Customer payment INV/2026/01763</t>
        </is>
      </c>
      <c r="G702" s="9" t="n">
        <v>96.98999999999999</v>
      </c>
      <c r="H702" t="inlineStr">
        <is>
          <t>customer_payment</t>
        </is>
      </c>
      <c r="I702" t="inlineStr"/>
      <c r="J702" t="inlineStr">
        <is>
          <t>G00114</t>
        </is>
      </c>
      <c r="K702" t="str">
        <f>INDEX('Match Groups'!$D$5:$D$1326,MATCH(J702,'Match Groups'!$A$5:$A$1326,0))</f>
        <v>MATCH</v>
      </c>
    </row>
    <row r="703">
      <c r="A703" t="inlineStr">
        <is>
          <t>JI-00161</t>
        </is>
      </c>
      <c r="B703" t="inlineStr">
        <is>
          <t>OPS</t>
        </is>
      </c>
      <c r="C703" s="5" t="n">
        <v>46210</v>
      </c>
      <c r="D703" t="inlineStr">
        <is>
          <t>Tallowwood Plans</t>
        </is>
      </c>
      <c r="E703" t="inlineStr">
        <is>
          <t>INV/2026/01725</t>
        </is>
      </c>
      <c r="F703" t="inlineStr">
        <is>
          <t>Customer payment INV/2026/01725</t>
        </is>
      </c>
      <c r="G703" s="9" t="n">
        <v>290.98</v>
      </c>
      <c r="H703" t="inlineStr">
        <is>
          <t>customer_payment</t>
        </is>
      </c>
      <c r="I703" t="inlineStr"/>
      <c r="J703" t="inlineStr">
        <is>
          <t>G00115</t>
        </is>
      </c>
      <c r="K703" t="str">
        <f>INDEX('Match Groups'!$D$5:$D$1326,MATCH(J703,'Match Groups'!$A$5:$A$1326,0))</f>
        <v>MATCH</v>
      </c>
    </row>
    <row r="704">
      <c r="A704" t="inlineStr">
        <is>
          <t>JI-00162</t>
        </is>
      </c>
      <c r="B704" t="inlineStr">
        <is>
          <t>OPS</t>
        </is>
      </c>
      <c r="C704" s="5" t="n">
        <v>46210</v>
      </c>
      <c r="D704" t="inlineStr">
        <is>
          <t>Tallowwood Plans</t>
        </is>
      </c>
      <c r="E704" t="inlineStr">
        <is>
          <t>INV/2026/01742</t>
        </is>
      </c>
      <c r="F704" t="inlineStr">
        <is>
          <t>Customer payment INV/2026/01742</t>
        </is>
      </c>
      <c r="G704" s="9" t="n">
        <v>193.99</v>
      </c>
      <c r="H704" t="inlineStr">
        <is>
          <t>customer_payment</t>
        </is>
      </c>
      <c r="I704" t="inlineStr"/>
      <c r="J704" t="inlineStr">
        <is>
          <t>G00115</t>
        </is>
      </c>
      <c r="K704" t="str">
        <f>INDEX('Match Groups'!$D$5:$D$1326,MATCH(J704,'Match Groups'!$A$5:$A$1326,0))</f>
        <v>MATCH</v>
      </c>
    </row>
    <row r="705">
      <c r="A705" t="inlineStr">
        <is>
          <t>JI-00163</t>
        </is>
      </c>
      <c r="B705" t="inlineStr">
        <is>
          <t>OPS</t>
        </is>
      </c>
      <c r="C705" s="5" t="n">
        <v>46210</v>
      </c>
      <c r="D705" t="inlineStr">
        <is>
          <t>Tallowwood Plans</t>
        </is>
      </c>
      <c r="E705" t="inlineStr">
        <is>
          <t>INV/2026/01769</t>
        </is>
      </c>
      <c r="F705" t="inlineStr">
        <is>
          <t>Customer payment INV/2026/01769</t>
        </is>
      </c>
      <c r="G705" s="9" t="n">
        <v>417.98</v>
      </c>
      <c r="H705" t="inlineStr">
        <is>
          <t>customer_payment</t>
        </is>
      </c>
      <c r="I705" t="inlineStr"/>
      <c r="J705" t="inlineStr">
        <is>
          <t>G00115</t>
        </is>
      </c>
      <c r="K705" t="str">
        <f>INDEX('Match Groups'!$D$5:$D$1326,MATCH(J705,'Match Groups'!$A$5:$A$1326,0))</f>
        <v>MATCH</v>
      </c>
    </row>
    <row r="706">
      <c r="A706" t="inlineStr">
        <is>
          <t>JI-00164</t>
        </is>
      </c>
      <c r="B706" t="inlineStr">
        <is>
          <t>OPS</t>
        </is>
      </c>
      <c r="C706" s="5" t="n">
        <v>46210</v>
      </c>
      <c r="D706" t="inlineStr">
        <is>
          <t>Tallowwood Plans</t>
        </is>
      </c>
      <c r="E706" t="inlineStr">
        <is>
          <t>INV/2026/01789</t>
        </is>
      </c>
      <c r="F706" t="inlineStr">
        <is>
          <t>Customer payment INV/2026/01789</t>
        </is>
      </c>
      <c r="G706" s="9" t="n">
        <v>290.98</v>
      </c>
      <c r="H706" t="inlineStr">
        <is>
          <t>customer_payment</t>
        </is>
      </c>
      <c r="I706" t="inlineStr"/>
      <c r="J706" t="inlineStr">
        <is>
          <t>G00115</t>
        </is>
      </c>
      <c r="K706" t="str">
        <f>INDEX('Match Groups'!$D$5:$D$1326,MATCH(J706,'Match Groups'!$A$5:$A$1326,0))</f>
        <v>MATCH</v>
      </c>
    </row>
    <row r="707">
      <c r="A707" t="inlineStr">
        <is>
          <t>JI-00171</t>
        </is>
      </c>
      <c r="B707" t="inlineStr">
        <is>
          <t>OPS</t>
        </is>
      </c>
      <c r="C707" s="5" t="n">
        <v>46210</v>
      </c>
      <c r="D707" t="inlineStr">
        <is>
          <t>Saltbush Plan Managers</t>
        </is>
      </c>
      <c r="E707" t="inlineStr">
        <is>
          <t>INV/2026/01543</t>
        </is>
      </c>
      <c r="F707" t="inlineStr">
        <is>
          <t>Customer payment INV/2026/01543</t>
        </is>
      </c>
      <c r="G707" s="9" t="n">
        <v>242.49</v>
      </c>
      <c r="H707" t="inlineStr">
        <is>
          <t>customer_payment</t>
        </is>
      </c>
      <c r="I707" t="inlineStr"/>
      <c r="J707" t="inlineStr">
        <is>
          <t>G00118</t>
        </is>
      </c>
      <c r="K707" t="str">
        <f>INDEX('Match Groups'!$D$5:$D$1326,MATCH(J707,'Match Groups'!$A$5:$A$1326,0))</f>
        <v>MATCH</v>
      </c>
    </row>
    <row r="708">
      <c r="A708" t="inlineStr">
        <is>
          <t>JI-00172</t>
        </is>
      </c>
      <c r="B708" t="inlineStr">
        <is>
          <t>OPS</t>
        </is>
      </c>
      <c r="C708" s="5" t="n">
        <v>46210</v>
      </c>
      <c r="D708" t="inlineStr">
        <is>
          <t>Saltbush Plan Managers</t>
        </is>
      </c>
      <c r="E708" t="inlineStr">
        <is>
          <t>INV/2026/01544</t>
        </is>
      </c>
      <c r="F708" t="inlineStr">
        <is>
          <t>Customer payment INV/2026/01544</t>
        </is>
      </c>
      <c r="G708" s="9" t="n">
        <v>387.98</v>
      </c>
      <c r="H708" t="inlineStr">
        <is>
          <t>customer_payment</t>
        </is>
      </c>
      <c r="I708" t="inlineStr"/>
      <c r="J708" t="inlineStr">
        <is>
          <t>G00118</t>
        </is>
      </c>
      <c r="K708" t="str">
        <f>INDEX('Match Groups'!$D$5:$D$1326,MATCH(J708,'Match Groups'!$A$5:$A$1326,0))</f>
        <v>MATCH</v>
      </c>
    </row>
    <row r="709">
      <c r="A709" t="inlineStr">
        <is>
          <t>JI-00173</t>
        </is>
      </c>
      <c r="B709" t="inlineStr">
        <is>
          <t>OPS</t>
        </is>
      </c>
      <c r="C709" s="5" t="n">
        <v>46210</v>
      </c>
      <c r="D709" t="inlineStr">
        <is>
          <t>Saltbush Plan Managers</t>
        </is>
      </c>
      <c r="E709" t="inlineStr">
        <is>
          <t>INV/2026/01569</t>
        </is>
      </c>
      <c r="F709" t="inlineStr">
        <is>
          <t>Customer payment INV/2026/01569</t>
        </is>
      </c>
      <c r="G709" s="9" t="n">
        <v>96.98999999999999</v>
      </c>
      <c r="H709" t="inlineStr">
        <is>
          <t>customer_payment</t>
        </is>
      </c>
      <c r="I709" t="inlineStr"/>
      <c r="J709" t="inlineStr">
        <is>
          <t>G00118</t>
        </is>
      </c>
      <c r="K709" t="str">
        <f>INDEX('Match Groups'!$D$5:$D$1326,MATCH(J709,'Match Groups'!$A$5:$A$1326,0))</f>
        <v>MATCH</v>
      </c>
    </row>
    <row r="710">
      <c r="A710" t="inlineStr">
        <is>
          <t>JI-00174</t>
        </is>
      </c>
      <c r="B710" t="inlineStr">
        <is>
          <t>OPS</t>
        </is>
      </c>
      <c r="C710" s="5" t="n">
        <v>46210</v>
      </c>
      <c r="D710" t="inlineStr">
        <is>
          <t>Saltbush Plan Managers</t>
        </is>
      </c>
      <c r="E710" t="inlineStr">
        <is>
          <t>INV/2026/01597</t>
        </is>
      </c>
      <c r="F710" t="inlineStr">
        <is>
          <t>Customer payment INV/2026/01597</t>
        </is>
      </c>
      <c r="G710" s="9" t="n">
        <v>387.98</v>
      </c>
      <c r="H710" t="inlineStr">
        <is>
          <t>customer_payment</t>
        </is>
      </c>
      <c r="I710" t="inlineStr"/>
      <c r="J710" t="inlineStr">
        <is>
          <t>G00118</t>
        </is>
      </c>
      <c r="K710" t="str">
        <f>INDEX('Match Groups'!$D$5:$D$1326,MATCH(J710,'Match Groups'!$A$5:$A$1326,0))</f>
        <v>MATCH</v>
      </c>
    </row>
    <row r="711">
      <c r="A711" t="inlineStr">
        <is>
          <t>JI-01538</t>
        </is>
      </c>
      <c r="B711" t="inlineStr">
        <is>
          <t>OPS</t>
        </is>
      </c>
      <c r="C711" s="5" t="n">
        <v>46210</v>
      </c>
      <c r="D711" t="inlineStr">
        <is>
          <t>Harbour Mutual Health</t>
        </is>
      </c>
      <c r="E711" t="inlineStr">
        <is>
          <t>INV/2026/01841</t>
        </is>
      </c>
      <c r="F711" t="inlineStr">
        <is>
          <t>Customer payment INV/2026/01841</t>
        </is>
      </c>
      <c r="G711" s="9" t="n">
        <v>412.5</v>
      </c>
      <c r="H711" t="inlineStr">
        <is>
          <t>customer_payment</t>
        </is>
      </c>
      <c r="I711" t="inlineStr"/>
      <c r="J711" t="inlineStr">
        <is>
          <t>G00917</t>
        </is>
      </c>
      <c r="K711" t="str">
        <f>INDEX('Match Groups'!$D$5:$D$1326,MATCH(J711,'Match Groups'!$A$5:$A$1326,0))</f>
        <v>MATCH</v>
      </c>
    </row>
    <row r="712">
      <c r="A712" t="inlineStr">
        <is>
          <t>JI-01560</t>
        </is>
      </c>
      <c r="B712" t="inlineStr">
        <is>
          <t>OPS</t>
        </is>
      </c>
      <c r="C712" s="5" t="n">
        <v>46210</v>
      </c>
      <c r="D712" t="inlineStr">
        <is>
          <t>Coastline Health Fund</t>
        </is>
      </c>
      <c r="E712" t="inlineStr">
        <is>
          <t>INV/2026/01823</t>
        </is>
      </c>
      <c r="F712" t="inlineStr">
        <is>
          <t>Customer payment INV/2026/01823</t>
        </is>
      </c>
      <c r="G712" s="9" t="n">
        <v>132</v>
      </c>
      <c r="H712" t="inlineStr">
        <is>
          <t>customer_payment</t>
        </is>
      </c>
      <c r="I712" t="inlineStr"/>
      <c r="J712" t="inlineStr">
        <is>
          <t>G00918</t>
        </is>
      </c>
      <c r="K712" t="str">
        <f>INDEX('Match Groups'!$D$5:$D$1326,MATCH(J712,'Match Groups'!$A$5:$A$1326,0))</f>
        <v>MATCH</v>
      </c>
    </row>
    <row r="713">
      <c r="A713" t="inlineStr">
        <is>
          <t>JI-01610</t>
        </is>
      </c>
      <c r="B713" t="inlineStr">
        <is>
          <t>OPS</t>
        </is>
      </c>
      <c r="C713" s="5" t="n">
        <v>46210</v>
      </c>
      <c r="D713" t="inlineStr">
        <is>
          <t>Meridian Health Cover</t>
        </is>
      </c>
      <c r="E713" t="inlineStr">
        <is>
          <t>INV/2026/01794</t>
        </is>
      </c>
      <c r="F713" t="inlineStr">
        <is>
          <t>Customer payment INV/2026/01794</t>
        </is>
      </c>
      <c r="G713" s="9" t="n">
        <v>88</v>
      </c>
      <c r="H713" t="inlineStr">
        <is>
          <t>customer_payment</t>
        </is>
      </c>
      <c r="I713" t="inlineStr"/>
      <c r="J713" t="inlineStr">
        <is>
          <t>G00920</t>
        </is>
      </c>
      <c r="K713" t="str">
        <f>INDEX('Match Groups'!$D$5:$D$1326,MATCH(J713,'Match Groups'!$A$5:$A$1326,0))</f>
        <v>MATCH</v>
      </c>
    </row>
    <row r="714">
      <c r="A714" t="inlineStr">
        <is>
          <t>JI-01677</t>
        </is>
      </c>
      <c r="B714" t="inlineStr">
        <is>
          <t>OPS</t>
        </is>
      </c>
      <c r="C714" s="5" t="n">
        <v>46210</v>
      </c>
      <c r="D714" t="inlineStr">
        <is>
          <t>Marlowe Print &amp; Pack</t>
        </is>
      </c>
      <c r="E714" t="inlineStr">
        <is>
          <t>INV/2026/03426</t>
        </is>
      </c>
      <c r="F714" t="inlineStr">
        <is>
          <t>Customer payment INV/2026/03426</t>
        </is>
      </c>
      <c r="G714" s="9" t="n">
        <v>16101.25</v>
      </c>
      <c r="H714" t="inlineStr">
        <is>
          <t>customer_payment</t>
        </is>
      </c>
      <c r="I714" t="inlineStr"/>
      <c r="J714" t="inlineStr">
        <is>
          <t>G00914</t>
        </is>
      </c>
      <c r="K714" t="str">
        <f>INDEX('Match Groups'!$D$5:$D$1326,MATCH(J714,'Match Groups'!$A$5:$A$1326,0))</f>
        <v>MATCH</v>
      </c>
    </row>
    <row r="715">
      <c r="A715" t="inlineStr">
        <is>
          <t>JI-01700</t>
        </is>
      </c>
      <c r="B715" t="inlineStr">
        <is>
          <t>OPS</t>
        </is>
      </c>
      <c r="C715" s="5" t="n">
        <v>46210</v>
      </c>
      <c r="D715" t="inlineStr">
        <is>
          <t>Sorrento Bay Hotels</t>
        </is>
      </c>
      <c r="E715" t="inlineStr">
        <is>
          <t>INV/2026/03433</t>
        </is>
      </c>
      <c r="F715" t="inlineStr">
        <is>
          <t>Customer payment INV/2026/03433</t>
        </is>
      </c>
      <c r="G715" s="9" t="n">
        <v>10725</v>
      </c>
      <c r="H715" t="inlineStr">
        <is>
          <t>customer_payment</t>
        </is>
      </c>
      <c r="I715" t="inlineStr"/>
      <c r="J715" t="inlineStr">
        <is>
          <t>G00915</t>
        </is>
      </c>
      <c r="K715" t="str">
        <f>INDEX('Match Groups'!$D$5:$D$1326,MATCH(J715,'Match Groups'!$A$5:$A$1326,0))</f>
        <v>MATCH</v>
      </c>
    </row>
    <row r="716">
      <c r="A716" t="inlineStr">
        <is>
          <t>JI-01945</t>
        </is>
      </c>
      <c r="B716" t="inlineStr">
        <is>
          <t>OPS</t>
        </is>
      </c>
      <c r="C716" s="5" t="n">
        <v>46210</v>
      </c>
      <c r="D716" t="inlineStr">
        <is>
          <t>Stripe patient 44716</t>
        </is>
      </c>
      <c r="E716" t="inlineStr">
        <is>
          <t>INV/2026/03792</t>
        </is>
      </c>
      <c r="F716" t="inlineStr">
        <is>
          <t>Customer payment INV/2026/03792</t>
        </is>
      </c>
      <c r="G716" s="9" t="n">
        <v>135</v>
      </c>
      <c r="H716" t="inlineStr">
        <is>
          <t>customer_payment</t>
        </is>
      </c>
      <c r="I716" t="inlineStr"/>
      <c r="J716" t="inlineStr">
        <is>
          <t>G00020</t>
        </is>
      </c>
      <c r="K716" t="str">
        <f>INDEX('Match Groups'!$D$5:$D$1326,MATCH(J716,'Match Groups'!$A$5:$A$1326,0))</f>
        <v>STRIPE-FEE</v>
      </c>
    </row>
    <row r="717">
      <c r="A717" t="inlineStr">
        <is>
          <t>JI-01946</t>
        </is>
      </c>
      <c r="B717" t="inlineStr">
        <is>
          <t>OPS</t>
        </is>
      </c>
      <c r="C717" s="5" t="n">
        <v>46210</v>
      </c>
      <c r="D717" t="inlineStr">
        <is>
          <t>Stripe patient 74205</t>
        </is>
      </c>
      <c r="E717" t="inlineStr">
        <is>
          <t>INV/2026/03793</t>
        </is>
      </c>
      <c r="F717" t="inlineStr">
        <is>
          <t>Customer payment INV/2026/03793</t>
        </is>
      </c>
      <c r="G717" s="9" t="n">
        <v>150</v>
      </c>
      <c r="H717" t="inlineStr">
        <is>
          <t>customer_payment</t>
        </is>
      </c>
      <c r="I717" t="inlineStr"/>
      <c r="J717" t="inlineStr">
        <is>
          <t>G00020</t>
        </is>
      </c>
      <c r="K717" t="str">
        <f>INDEX('Match Groups'!$D$5:$D$1326,MATCH(J717,'Match Groups'!$A$5:$A$1326,0))</f>
        <v>STRIPE-FEE</v>
      </c>
    </row>
    <row r="718">
      <c r="A718" t="inlineStr">
        <is>
          <t>JI-01947</t>
        </is>
      </c>
      <c r="B718" t="inlineStr">
        <is>
          <t>OPS</t>
        </is>
      </c>
      <c r="C718" s="5" t="n">
        <v>46210</v>
      </c>
      <c r="D718" t="inlineStr">
        <is>
          <t>Stripe patient 87856</t>
        </is>
      </c>
      <c r="E718" t="inlineStr">
        <is>
          <t>INV/2026/03794</t>
        </is>
      </c>
      <c r="F718" t="inlineStr">
        <is>
          <t>Customer payment INV/2026/03794</t>
        </is>
      </c>
      <c r="G718" s="9" t="n">
        <v>95</v>
      </c>
      <c r="H718" t="inlineStr">
        <is>
          <t>customer_payment</t>
        </is>
      </c>
      <c r="I718" t="inlineStr"/>
      <c r="J718" t="inlineStr">
        <is>
          <t>G00020</t>
        </is>
      </c>
      <c r="K718" t="str">
        <f>INDEX('Match Groups'!$D$5:$D$1326,MATCH(J718,'Match Groups'!$A$5:$A$1326,0))</f>
        <v>STRIPE-FEE</v>
      </c>
    </row>
    <row r="719">
      <c r="A719" t="inlineStr">
        <is>
          <t>JI-01948</t>
        </is>
      </c>
      <c r="B719" t="inlineStr">
        <is>
          <t>OPS</t>
        </is>
      </c>
      <c r="C719" s="5" t="n">
        <v>46210</v>
      </c>
      <c r="D719" t="inlineStr">
        <is>
          <t>Stripe patient 84127</t>
        </is>
      </c>
      <c r="E719" t="inlineStr">
        <is>
          <t>INV/2026/03795</t>
        </is>
      </c>
      <c r="F719" t="inlineStr">
        <is>
          <t>Customer payment INV/2026/03795</t>
        </is>
      </c>
      <c r="G719" s="9" t="n">
        <v>65</v>
      </c>
      <c r="H719" t="inlineStr">
        <is>
          <t>customer_payment</t>
        </is>
      </c>
      <c r="I719" t="inlineStr"/>
      <c r="J719" t="inlineStr">
        <is>
          <t>G00020</t>
        </is>
      </c>
      <c r="K719" t="str">
        <f>INDEX('Match Groups'!$D$5:$D$1326,MATCH(J719,'Match Groups'!$A$5:$A$1326,0))</f>
        <v>STRIPE-FEE</v>
      </c>
    </row>
    <row r="720">
      <c r="A720" t="inlineStr">
        <is>
          <t>JI-01949</t>
        </is>
      </c>
      <c r="B720" t="inlineStr">
        <is>
          <t>OPS</t>
        </is>
      </c>
      <c r="C720" s="5" t="n">
        <v>46210</v>
      </c>
      <c r="D720" t="inlineStr">
        <is>
          <t>Stripe patient 84952</t>
        </is>
      </c>
      <c r="E720" t="inlineStr">
        <is>
          <t>INV/2026/03796</t>
        </is>
      </c>
      <c r="F720" t="inlineStr">
        <is>
          <t>Customer payment INV/2026/03796</t>
        </is>
      </c>
      <c r="G720" s="9" t="n">
        <v>110</v>
      </c>
      <c r="H720" t="inlineStr">
        <is>
          <t>customer_payment</t>
        </is>
      </c>
      <c r="I720" t="inlineStr"/>
      <c r="J720" t="inlineStr">
        <is>
          <t>G00020</t>
        </is>
      </c>
      <c r="K720" t="str">
        <f>INDEX('Match Groups'!$D$5:$D$1326,MATCH(J720,'Match Groups'!$A$5:$A$1326,0))</f>
        <v>STRIPE-FEE</v>
      </c>
    </row>
    <row r="721">
      <c r="A721" t="inlineStr">
        <is>
          <t>JI-01950</t>
        </is>
      </c>
      <c r="B721" t="inlineStr">
        <is>
          <t>OPS</t>
        </is>
      </c>
      <c r="C721" s="5" t="n">
        <v>46210</v>
      </c>
      <c r="D721" t="inlineStr">
        <is>
          <t>Stripe patient 40757</t>
        </is>
      </c>
      <c r="E721" t="inlineStr">
        <is>
          <t>INV/2026/03797</t>
        </is>
      </c>
      <c r="F721" t="inlineStr">
        <is>
          <t>Customer payment INV/2026/03797</t>
        </is>
      </c>
      <c r="G721" s="9" t="n">
        <v>180</v>
      </c>
      <c r="H721" t="inlineStr">
        <is>
          <t>customer_payment</t>
        </is>
      </c>
      <c r="I721" t="inlineStr"/>
      <c r="J721" t="inlineStr">
        <is>
          <t>G00020</t>
        </is>
      </c>
      <c r="K721" t="str">
        <f>INDEX('Match Groups'!$D$5:$D$1326,MATCH(J721,'Match Groups'!$A$5:$A$1326,0))</f>
        <v>STRIPE-FEE</v>
      </c>
    </row>
    <row r="722">
      <c r="A722" t="inlineStr">
        <is>
          <t>JI-01951</t>
        </is>
      </c>
      <c r="B722" t="inlineStr">
        <is>
          <t>OPS</t>
        </is>
      </c>
      <c r="C722" s="5" t="n">
        <v>46210</v>
      </c>
      <c r="D722" t="inlineStr">
        <is>
          <t>Stripe patient 60613</t>
        </is>
      </c>
      <c r="E722" t="inlineStr">
        <is>
          <t>INV/2026/03798</t>
        </is>
      </c>
      <c r="F722" t="inlineStr">
        <is>
          <t>Customer payment INV/2026/03798</t>
        </is>
      </c>
      <c r="G722" s="9" t="n">
        <v>65</v>
      </c>
      <c r="H722" t="inlineStr">
        <is>
          <t>customer_payment</t>
        </is>
      </c>
      <c r="I722" t="inlineStr"/>
      <c r="J722" t="inlineStr">
        <is>
          <t>G00020</t>
        </is>
      </c>
      <c r="K722" t="str">
        <f>INDEX('Match Groups'!$D$5:$D$1326,MATCH(J722,'Match Groups'!$A$5:$A$1326,0))</f>
        <v>STRIPE-FEE</v>
      </c>
    </row>
    <row r="723">
      <c r="A723" t="inlineStr">
        <is>
          <t>JI-01952</t>
        </is>
      </c>
      <c r="B723" t="inlineStr">
        <is>
          <t>OPS</t>
        </is>
      </c>
      <c r="C723" s="5" t="n">
        <v>46210</v>
      </c>
      <c r="D723" t="inlineStr">
        <is>
          <t>Stripe patient 28237</t>
        </is>
      </c>
      <c r="E723" t="inlineStr">
        <is>
          <t>INV/2026/03799</t>
        </is>
      </c>
      <c r="F723" t="inlineStr">
        <is>
          <t>Customer payment INV/2026/03799</t>
        </is>
      </c>
      <c r="G723" s="9" t="n">
        <v>65</v>
      </c>
      <c r="H723" t="inlineStr">
        <is>
          <t>customer_payment</t>
        </is>
      </c>
      <c r="I723" t="inlineStr"/>
      <c r="J723" t="inlineStr">
        <is>
          <t>G00020</t>
        </is>
      </c>
      <c r="K723" t="str">
        <f>INDEX('Match Groups'!$D$5:$D$1326,MATCH(J723,'Match Groups'!$A$5:$A$1326,0))</f>
        <v>STRIPE-FEE</v>
      </c>
    </row>
    <row r="724">
      <c r="A724" t="inlineStr">
        <is>
          <t>JI-01953</t>
        </is>
      </c>
      <c r="B724" t="inlineStr">
        <is>
          <t>OPS</t>
        </is>
      </c>
      <c r="C724" s="5" t="n">
        <v>46210</v>
      </c>
      <c r="D724" t="inlineStr">
        <is>
          <t>Stripe patient 86997</t>
        </is>
      </c>
      <c r="E724" t="inlineStr">
        <is>
          <t>INV/2026/03800</t>
        </is>
      </c>
      <c r="F724" t="inlineStr">
        <is>
          <t>Customer payment INV/2026/03800</t>
        </is>
      </c>
      <c r="G724" s="9" t="n">
        <v>135</v>
      </c>
      <c r="H724" t="inlineStr">
        <is>
          <t>customer_payment</t>
        </is>
      </c>
      <c r="I724" t="inlineStr"/>
      <c r="J724" t="inlineStr">
        <is>
          <t>G00020</t>
        </is>
      </c>
      <c r="K724" t="str">
        <f>INDEX('Match Groups'!$D$5:$D$1326,MATCH(J724,'Match Groups'!$A$5:$A$1326,0))</f>
        <v>STRIPE-FEE</v>
      </c>
    </row>
    <row r="725">
      <c r="A725" t="inlineStr">
        <is>
          <t>JI-01954</t>
        </is>
      </c>
      <c r="B725" t="inlineStr">
        <is>
          <t>OPS</t>
        </is>
      </c>
      <c r="C725" s="5" t="n">
        <v>46210</v>
      </c>
      <c r="D725" t="inlineStr">
        <is>
          <t>Stripe patient 61080</t>
        </is>
      </c>
      <c r="E725" t="inlineStr">
        <is>
          <t>INV/2026/03801</t>
        </is>
      </c>
      <c r="F725" t="inlineStr">
        <is>
          <t>Customer payment INV/2026/03801</t>
        </is>
      </c>
      <c r="G725" s="9" t="n">
        <v>120</v>
      </c>
      <c r="H725" t="inlineStr">
        <is>
          <t>customer_payment</t>
        </is>
      </c>
      <c r="I725" t="inlineStr"/>
      <c r="J725" t="inlineStr">
        <is>
          <t>G00020</t>
        </is>
      </c>
      <c r="K725" t="str">
        <f>INDEX('Match Groups'!$D$5:$D$1326,MATCH(J725,'Match Groups'!$A$5:$A$1326,0))</f>
        <v>STRIPE-FEE</v>
      </c>
    </row>
    <row r="726">
      <c r="A726" t="inlineStr">
        <is>
          <t>JI-01955</t>
        </is>
      </c>
      <c r="B726" t="inlineStr">
        <is>
          <t>OPS</t>
        </is>
      </c>
      <c r="C726" s="5" t="n">
        <v>46210</v>
      </c>
      <c r="D726" t="inlineStr">
        <is>
          <t>Stripe patient 99322</t>
        </is>
      </c>
      <c r="E726" t="inlineStr">
        <is>
          <t>INV/2026/03802</t>
        </is>
      </c>
      <c r="F726" t="inlineStr">
        <is>
          <t>Customer payment INV/2026/03802</t>
        </is>
      </c>
      <c r="G726" s="9" t="n">
        <v>150</v>
      </c>
      <c r="H726" t="inlineStr">
        <is>
          <t>customer_payment</t>
        </is>
      </c>
      <c r="I726" t="inlineStr"/>
      <c r="J726" t="inlineStr">
        <is>
          <t>G00020</t>
        </is>
      </c>
      <c r="K726" t="str">
        <f>INDEX('Match Groups'!$D$5:$D$1326,MATCH(J726,'Match Groups'!$A$5:$A$1326,0))</f>
        <v>STRIPE-FEE</v>
      </c>
    </row>
    <row r="727">
      <c r="A727" t="inlineStr">
        <is>
          <t>JI-01956</t>
        </is>
      </c>
      <c r="B727" t="inlineStr">
        <is>
          <t>OPS</t>
        </is>
      </c>
      <c r="C727" s="5" t="n">
        <v>46210</v>
      </c>
      <c r="D727" t="inlineStr">
        <is>
          <t>Stripe patient 93294</t>
        </is>
      </c>
      <c r="E727" t="inlineStr">
        <is>
          <t>INV/2026/03803</t>
        </is>
      </c>
      <c r="F727" t="inlineStr">
        <is>
          <t>Customer payment INV/2026/03803</t>
        </is>
      </c>
      <c r="G727" s="9" t="n">
        <v>85</v>
      </c>
      <c r="H727" t="inlineStr">
        <is>
          <t>customer_payment</t>
        </is>
      </c>
      <c r="I727" t="inlineStr"/>
      <c r="J727" t="inlineStr">
        <is>
          <t>G00020</t>
        </is>
      </c>
      <c r="K727" t="str">
        <f>INDEX('Match Groups'!$D$5:$D$1326,MATCH(J727,'Match Groups'!$A$5:$A$1326,0))</f>
        <v>STRIPE-FEE</v>
      </c>
    </row>
    <row r="728">
      <c r="A728" t="inlineStr">
        <is>
          <t>JI-01957</t>
        </is>
      </c>
      <c r="B728" t="inlineStr">
        <is>
          <t>OPS</t>
        </is>
      </c>
      <c r="C728" s="5" t="n">
        <v>46210</v>
      </c>
      <c r="D728" t="inlineStr">
        <is>
          <t>Stripe patient 30088</t>
        </is>
      </c>
      <c r="E728" t="inlineStr">
        <is>
          <t>INV/2026/03804</t>
        </is>
      </c>
      <c r="F728" t="inlineStr">
        <is>
          <t>Customer payment INV/2026/03804</t>
        </is>
      </c>
      <c r="G728" s="9" t="n">
        <v>135</v>
      </c>
      <c r="H728" t="inlineStr">
        <is>
          <t>customer_payment</t>
        </is>
      </c>
      <c r="I728" t="inlineStr"/>
      <c r="J728" t="inlineStr">
        <is>
          <t>G00020</t>
        </is>
      </c>
      <c r="K728" t="str">
        <f>INDEX('Match Groups'!$D$5:$D$1326,MATCH(J728,'Match Groups'!$A$5:$A$1326,0))</f>
        <v>STRIPE-FEE</v>
      </c>
    </row>
    <row r="729">
      <c r="A729" t="inlineStr">
        <is>
          <t>JI-01958</t>
        </is>
      </c>
      <c r="B729" t="inlineStr">
        <is>
          <t>OPS</t>
        </is>
      </c>
      <c r="C729" s="5" t="n">
        <v>46210</v>
      </c>
      <c r="D729" t="inlineStr">
        <is>
          <t>Stripe patient 53015</t>
        </is>
      </c>
      <c r="E729" t="inlineStr">
        <is>
          <t>INV/2026/03805</t>
        </is>
      </c>
      <c r="F729" t="inlineStr">
        <is>
          <t>Customer payment INV/2026/03805</t>
        </is>
      </c>
      <c r="G729" s="9" t="n">
        <v>85</v>
      </c>
      <c r="H729" t="inlineStr">
        <is>
          <t>customer_payment</t>
        </is>
      </c>
      <c r="I729" t="inlineStr"/>
      <c r="J729" t="inlineStr">
        <is>
          <t>G00020</t>
        </is>
      </c>
      <c r="K729" t="str">
        <f>INDEX('Match Groups'!$D$5:$D$1326,MATCH(J729,'Match Groups'!$A$5:$A$1326,0))</f>
        <v>STRIPE-FEE</v>
      </c>
    </row>
    <row r="730">
      <c r="A730" t="inlineStr">
        <is>
          <t>JI-01959</t>
        </is>
      </c>
      <c r="B730" t="inlineStr">
        <is>
          <t>OPS</t>
        </is>
      </c>
      <c r="C730" s="5" t="n">
        <v>46210</v>
      </c>
      <c r="D730" t="inlineStr">
        <is>
          <t>Stripe patient 82691</t>
        </is>
      </c>
      <c r="E730" t="inlineStr">
        <is>
          <t>INV/2026/03806</t>
        </is>
      </c>
      <c r="F730" t="inlineStr">
        <is>
          <t>Customer payment INV/2026/03806</t>
        </is>
      </c>
      <c r="G730" s="9" t="n">
        <v>85</v>
      </c>
      <c r="H730" t="inlineStr">
        <is>
          <t>customer_payment</t>
        </is>
      </c>
      <c r="I730" t="inlineStr"/>
      <c r="J730" t="inlineStr">
        <is>
          <t>G00020</t>
        </is>
      </c>
      <c r="K730" t="str">
        <f>INDEX('Match Groups'!$D$5:$D$1326,MATCH(J730,'Match Groups'!$A$5:$A$1326,0))</f>
        <v>STRIPE-FEE</v>
      </c>
    </row>
    <row r="731">
      <c r="A731" t="inlineStr">
        <is>
          <t>JI-01960</t>
        </is>
      </c>
      <c r="B731" t="inlineStr">
        <is>
          <t>OPS</t>
        </is>
      </c>
      <c r="C731" s="5" t="n">
        <v>46210</v>
      </c>
      <c r="D731" t="inlineStr">
        <is>
          <t>Stripe patient 40030</t>
        </is>
      </c>
      <c r="E731" t="inlineStr">
        <is>
          <t>INV/2026/03807</t>
        </is>
      </c>
      <c r="F731" t="inlineStr">
        <is>
          <t>Customer payment INV/2026/03807</t>
        </is>
      </c>
      <c r="G731" s="9" t="n">
        <v>180</v>
      </c>
      <c r="H731" t="inlineStr">
        <is>
          <t>customer_payment</t>
        </is>
      </c>
      <c r="I731" t="inlineStr"/>
      <c r="J731" t="inlineStr">
        <is>
          <t>G00020</t>
        </is>
      </c>
      <c r="K731" t="str">
        <f>INDEX('Match Groups'!$D$5:$D$1326,MATCH(J731,'Match Groups'!$A$5:$A$1326,0))</f>
        <v>STRIPE-FEE</v>
      </c>
    </row>
    <row r="732">
      <c r="A732" t="inlineStr">
        <is>
          <t>JI-01961</t>
        </is>
      </c>
      <c r="B732" t="inlineStr">
        <is>
          <t>OPS</t>
        </is>
      </c>
      <c r="C732" s="5" t="n">
        <v>46210</v>
      </c>
      <c r="D732" t="inlineStr">
        <is>
          <t>Stripe patient 50743</t>
        </is>
      </c>
      <c r="E732" t="inlineStr">
        <is>
          <t>INV/2026/03808</t>
        </is>
      </c>
      <c r="F732" t="inlineStr">
        <is>
          <t>Customer payment INV/2026/03808</t>
        </is>
      </c>
      <c r="G732" s="9" t="n">
        <v>95</v>
      </c>
      <c r="H732" t="inlineStr">
        <is>
          <t>customer_payment</t>
        </is>
      </c>
      <c r="I732" t="inlineStr"/>
      <c r="J732" t="inlineStr">
        <is>
          <t>G00020</t>
        </is>
      </c>
      <c r="K732" t="str">
        <f>INDEX('Match Groups'!$D$5:$D$1326,MATCH(J732,'Match Groups'!$A$5:$A$1326,0))</f>
        <v>STRIPE-FEE</v>
      </c>
    </row>
    <row r="733">
      <c r="A733" t="inlineStr">
        <is>
          <t>JI-01962</t>
        </is>
      </c>
      <c r="B733" t="inlineStr">
        <is>
          <t>OPS</t>
        </is>
      </c>
      <c r="C733" s="5" t="n">
        <v>46210</v>
      </c>
      <c r="D733" t="inlineStr">
        <is>
          <t>Stripe patient 39562</t>
        </is>
      </c>
      <c r="E733" t="inlineStr">
        <is>
          <t>INV/2026/03809</t>
        </is>
      </c>
      <c r="F733" t="inlineStr">
        <is>
          <t>Customer payment INV/2026/03809</t>
        </is>
      </c>
      <c r="G733" s="9" t="n">
        <v>120</v>
      </c>
      <c r="H733" t="inlineStr">
        <is>
          <t>customer_payment</t>
        </is>
      </c>
      <c r="I733" t="inlineStr"/>
      <c r="J733" t="inlineStr">
        <is>
          <t>G00020</t>
        </is>
      </c>
      <c r="K733" t="str">
        <f>INDEX('Match Groups'!$D$5:$D$1326,MATCH(J733,'Match Groups'!$A$5:$A$1326,0))</f>
        <v>STRIPE-FEE</v>
      </c>
    </row>
    <row r="734">
      <c r="A734" t="inlineStr">
        <is>
          <t>JI-01963</t>
        </is>
      </c>
      <c r="B734" t="inlineStr">
        <is>
          <t>OPS</t>
        </is>
      </c>
      <c r="C734" s="5" t="n">
        <v>46210</v>
      </c>
      <c r="D734" t="inlineStr">
        <is>
          <t>Stripe patient 31448</t>
        </is>
      </c>
      <c r="E734" t="inlineStr">
        <is>
          <t>INV/2026/03810</t>
        </is>
      </c>
      <c r="F734" t="inlineStr">
        <is>
          <t>Customer payment INV/2026/03810</t>
        </is>
      </c>
      <c r="G734" s="9" t="n">
        <v>120</v>
      </c>
      <c r="H734" t="inlineStr">
        <is>
          <t>customer_payment</t>
        </is>
      </c>
      <c r="I734" t="inlineStr"/>
      <c r="J734" t="inlineStr">
        <is>
          <t>G00020</t>
        </is>
      </c>
      <c r="K734" t="str">
        <f>INDEX('Match Groups'!$D$5:$D$1326,MATCH(J734,'Match Groups'!$A$5:$A$1326,0))</f>
        <v>STRIPE-FEE</v>
      </c>
    </row>
    <row r="735">
      <c r="A735" t="inlineStr">
        <is>
          <t>JI-01964</t>
        </is>
      </c>
      <c r="B735" t="inlineStr">
        <is>
          <t>OPS</t>
        </is>
      </c>
      <c r="C735" s="5" t="n">
        <v>46210</v>
      </c>
      <c r="D735" t="inlineStr">
        <is>
          <t>Stripe patient 50716</t>
        </is>
      </c>
      <c r="E735" t="inlineStr">
        <is>
          <t>INV/2026/03811</t>
        </is>
      </c>
      <c r="F735" t="inlineStr">
        <is>
          <t>Customer payment INV/2026/03811</t>
        </is>
      </c>
      <c r="G735" s="9" t="n">
        <v>65</v>
      </c>
      <c r="H735" t="inlineStr">
        <is>
          <t>customer_payment</t>
        </is>
      </c>
      <c r="I735" t="inlineStr"/>
      <c r="J735" t="inlineStr">
        <is>
          <t>G00020</t>
        </is>
      </c>
      <c r="K735" t="str">
        <f>INDEX('Match Groups'!$D$5:$D$1326,MATCH(J735,'Match Groups'!$A$5:$A$1326,0))</f>
        <v>STRIPE-FEE</v>
      </c>
    </row>
    <row r="736">
      <c r="A736" t="inlineStr">
        <is>
          <t>JI-01965</t>
        </is>
      </c>
      <c r="B736" t="inlineStr">
        <is>
          <t>OPS</t>
        </is>
      </c>
      <c r="C736" s="5" t="n">
        <v>46210</v>
      </c>
      <c r="D736" t="inlineStr">
        <is>
          <t>Stripe patient 68117</t>
        </is>
      </c>
      <c r="E736" t="inlineStr">
        <is>
          <t>INV/2026/03812</t>
        </is>
      </c>
      <c r="F736" t="inlineStr">
        <is>
          <t>Customer payment INV/2026/03812</t>
        </is>
      </c>
      <c r="G736" s="9" t="n">
        <v>85</v>
      </c>
      <c r="H736" t="inlineStr">
        <is>
          <t>customer_payment</t>
        </is>
      </c>
      <c r="I736" t="inlineStr"/>
      <c r="J736" t="inlineStr">
        <is>
          <t>G00020</t>
        </is>
      </c>
      <c r="K736" t="str">
        <f>INDEX('Match Groups'!$D$5:$D$1326,MATCH(J736,'Match Groups'!$A$5:$A$1326,0))</f>
        <v>STRIPE-FEE</v>
      </c>
    </row>
    <row r="737">
      <c r="A737" t="inlineStr">
        <is>
          <t>JI-01966</t>
        </is>
      </c>
      <c r="B737" t="inlineStr">
        <is>
          <t>OPS</t>
        </is>
      </c>
      <c r="C737" s="5" t="n">
        <v>46210</v>
      </c>
      <c r="D737" t="inlineStr">
        <is>
          <t>Stripe patient 62497</t>
        </is>
      </c>
      <c r="E737" t="inlineStr">
        <is>
          <t>INV/2026/03813</t>
        </is>
      </c>
      <c r="F737" t="inlineStr">
        <is>
          <t>Customer payment INV/2026/03813</t>
        </is>
      </c>
      <c r="G737" s="9" t="n">
        <v>65</v>
      </c>
      <c r="H737" t="inlineStr">
        <is>
          <t>customer_payment</t>
        </is>
      </c>
      <c r="I737" t="inlineStr"/>
      <c r="J737" t="inlineStr">
        <is>
          <t>G00020</t>
        </is>
      </c>
      <c r="K737" t="str">
        <f>INDEX('Match Groups'!$D$5:$D$1326,MATCH(J737,'Match Groups'!$A$5:$A$1326,0))</f>
        <v>STRIPE-FEE</v>
      </c>
    </row>
    <row r="738">
      <c r="A738" t="inlineStr">
        <is>
          <t>JI-01967</t>
        </is>
      </c>
      <c r="B738" t="inlineStr">
        <is>
          <t>OPS</t>
        </is>
      </c>
      <c r="C738" s="5" t="n">
        <v>46210</v>
      </c>
      <c r="D738" t="inlineStr">
        <is>
          <t>Stripe patient 33363</t>
        </is>
      </c>
      <c r="E738" t="inlineStr">
        <is>
          <t>INV/2026/03814</t>
        </is>
      </c>
      <c r="F738" t="inlineStr">
        <is>
          <t>Customer payment INV/2026/03814</t>
        </is>
      </c>
      <c r="G738" s="9" t="n">
        <v>120</v>
      </c>
      <c r="H738" t="inlineStr">
        <is>
          <t>customer_payment</t>
        </is>
      </c>
      <c r="I738" t="inlineStr"/>
      <c r="J738" t="inlineStr">
        <is>
          <t>G00020</t>
        </is>
      </c>
      <c r="K738" t="str">
        <f>INDEX('Match Groups'!$D$5:$D$1326,MATCH(J738,'Match Groups'!$A$5:$A$1326,0))</f>
        <v>STRIPE-FEE</v>
      </c>
    </row>
    <row r="739">
      <c r="A739" t="inlineStr">
        <is>
          <t>JI-01968</t>
        </is>
      </c>
      <c r="B739" t="inlineStr">
        <is>
          <t>OPS</t>
        </is>
      </c>
      <c r="C739" s="5" t="n">
        <v>46210</v>
      </c>
      <c r="D739" t="inlineStr">
        <is>
          <t>Stripe patient 76740</t>
        </is>
      </c>
      <c r="E739" t="inlineStr">
        <is>
          <t>INV/2026/03815</t>
        </is>
      </c>
      <c r="F739" t="inlineStr">
        <is>
          <t>Customer payment INV/2026/03815</t>
        </is>
      </c>
      <c r="G739" s="9" t="n">
        <v>110</v>
      </c>
      <c r="H739" t="inlineStr">
        <is>
          <t>customer_payment</t>
        </is>
      </c>
      <c r="I739" t="inlineStr"/>
      <c r="J739" t="inlineStr">
        <is>
          <t>G00020</t>
        </is>
      </c>
      <c r="K739" t="str">
        <f>INDEX('Match Groups'!$D$5:$D$1326,MATCH(J739,'Match Groups'!$A$5:$A$1326,0))</f>
        <v>STRIPE-FEE</v>
      </c>
    </row>
    <row r="740">
      <c r="A740" t="inlineStr">
        <is>
          <t>JI-01969</t>
        </is>
      </c>
      <c r="B740" t="inlineStr">
        <is>
          <t>OPS</t>
        </is>
      </c>
      <c r="C740" s="5" t="n">
        <v>46210</v>
      </c>
      <c r="D740" t="inlineStr">
        <is>
          <t>Stripe patient 27504</t>
        </is>
      </c>
      <c r="E740" t="inlineStr">
        <is>
          <t>INV/2026/03816</t>
        </is>
      </c>
      <c r="F740" t="inlineStr">
        <is>
          <t>Customer payment INV/2026/03816</t>
        </is>
      </c>
      <c r="G740" s="9" t="n">
        <v>180</v>
      </c>
      <c r="H740" t="inlineStr">
        <is>
          <t>customer_payment</t>
        </is>
      </c>
      <c r="I740" t="inlineStr"/>
      <c r="J740" t="inlineStr">
        <is>
          <t>G00020</t>
        </is>
      </c>
      <c r="K740" t="str">
        <f>INDEX('Match Groups'!$D$5:$D$1326,MATCH(J740,'Match Groups'!$A$5:$A$1326,0))</f>
        <v>STRIPE-FEE</v>
      </c>
    </row>
    <row r="741">
      <c r="A741" t="inlineStr">
        <is>
          <t>JI-01970</t>
        </is>
      </c>
      <c r="B741" t="inlineStr">
        <is>
          <t>OPS</t>
        </is>
      </c>
      <c r="C741" s="5" t="n">
        <v>46210</v>
      </c>
      <c r="D741" t="inlineStr">
        <is>
          <t>Stripe patient 90138</t>
        </is>
      </c>
      <c r="E741" t="inlineStr">
        <is>
          <t>INV/2026/03817</t>
        </is>
      </c>
      <c r="F741" t="inlineStr">
        <is>
          <t>Customer payment INV/2026/03817</t>
        </is>
      </c>
      <c r="G741" s="9" t="n">
        <v>95</v>
      </c>
      <c r="H741" t="inlineStr">
        <is>
          <t>customer_payment</t>
        </is>
      </c>
      <c r="I741" t="inlineStr"/>
      <c r="J741" t="inlineStr">
        <is>
          <t>G00020</t>
        </is>
      </c>
      <c r="K741" t="str">
        <f>INDEX('Match Groups'!$D$5:$D$1326,MATCH(J741,'Match Groups'!$A$5:$A$1326,0))</f>
        <v>STRIPE-FEE</v>
      </c>
    </row>
    <row r="742">
      <c r="A742" t="inlineStr">
        <is>
          <t>JI-01971</t>
        </is>
      </c>
      <c r="B742" t="inlineStr">
        <is>
          <t>OPS</t>
        </is>
      </c>
      <c r="C742" s="5" t="n">
        <v>46210</v>
      </c>
      <c r="D742" t="inlineStr">
        <is>
          <t>Stripe patient 17368</t>
        </is>
      </c>
      <c r="E742" t="inlineStr">
        <is>
          <t>INV/2026/03818</t>
        </is>
      </c>
      <c r="F742" t="inlineStr">
        <is>
          <t>Customer payment INV/2026/03818</t>
        </is>
      </c>
      <c r="G742" s="9" t="n">
        <v>135</v>
      </c>
      <c r="H742" t="inlineStr">
        <is>
          <t>customer_payment</t>
        </is>
      </c>
      <c r="I742" t="inlineStr"/>
      <c r="J742" t="inlineStr">
        <is>
          <t>G00020</t>
        </is>
      </c>
      <c r="K742" t="str">
        <f>INDEX('Match Groups'!$D$5:$D$1326,MATCH(J742,'Match Groups'!$A$5:$A$1326,0))</f>
        <v>STRIPE-FEE</v>
      </c>
    </row>
    <row r="743">
      <c r="A743" t="inlineStr">
        <is>
          <t>JI-01972</t>
        </is>
      </c>
      <c r="B743" t="inlineStr">
        <is>
          <t>OPS</t>
        </is>
      </c>
      <c r="C743" s="5" t="n">
        <v>46210</v>
      </c>
      <c r="D743" t="inlineStr">
        <is>
          <t>Stripe patient 10120</t>
        </is>
      </c>
      <c r="E743" t="inlineStr">
        <is>
          <t>INV/2026/03819</t>
        </is>
      </c>
      <c r="F743" t="inlineStr">
        <is>
          <t>Customer payment INV/2026/03819</t>
        </is>
      </c>
      <c r="G743" s="9" t="n">
        <v>65</v>
      </c>
      <c r="H743" t="inlineStr">
        <is>
          <t>customer_payment</t>
        </is>
      </c>
      <c r="I743" t="inlineStr"/>
      <c r="J743" t="inlineStr">
        <is>
          <t>G00020</t>
        </is>
      </c>
      <c r="K743" t="str">
        <f>INDEX('Match Groups'!$D$5:$D$1326,MATCH(J743,'Match Groups'!$A$5:$A$1326,0))</f>
        <v>STRIPE-FEE</v>
      </c>
    </row>
    <row r="744">
      <c r="A744" t="inlineStr">
        <is>
          <t>JI-01973</t>
        </is>
      </c>
      <c r="B744" t="inlineStr">
        <is>
          <t>OPS</t>
        </is>
      </c>
      <c r="C744" s="5" t="n">
        <v>46210</v>
      </c>
      <c r="D744" t="inlineStr">
        <is>
          <t>Stripe patient 11386</t>
        </is>
      </c>
      <c r="E744" t="inlineStr">
        <is>
          <t>INV/2026/03820</t>
        </is>
      </c>
      <c r="F744" t="inlineStr">
        <is>
          <t>Customer payment INV/2026/03820</t>
        </is>
      </c>
      <c r="G744" s="9" t="n">
        <v>65</v>
      </c>
      <c r="H744" t="inlineStr">
        <is>
          <t>customer_payment</t>
        </is>
      </c>
      <c r="I744" t="inlineStr"/>
      <c r="J744" t="inlineStr">
        <is>
          <t>G00020</t>
        </is>
      </c>
      <c r="K744" t="str">
        <f>INDEX('Match Groups'!$D$5:$D$1326,MATCH(J744,'Match Groups'!$A$5:$A$1326,0))</f>
        <v>STRIPE-FEE</v>
      </c>
    </row>
    <row r="745">
      <c r="A745" t="inlineStr">
        <is>
          <t>JI-01974</t>
        </is>
      </c>
      <c r="B745" t="inlineStr">
        <is>
          <t>OPS</t>
        </is>
      </c>
      <c r="C745" s="5" t="n">
        <v>46210</v>
      </c>
      <c r="D745" t="inlineStr">
        <is>
          <t>Stripe patient 99188</t>
        </is>
      </c>
      <c r="E745" t="inlineStr">
        <is>
          <t>INV/2026/03821</t>
        </is>
      </c>
      <c r="F745" t="inlineStr">
        <is>
          <t>Customer payment INV/2026/03821</t>
        </is>
      </c>
      <c r="G745" s="9" t="n">
        <v>85</v>
      </c>
      <c r="H745" t="inlineStr">
        <is>
          <t>customer_payment</t>
        </is>
      </c>
      <c r="I745" t="inlineStr"/>
      <c r="J745" t="inlineStr">
        <is>
          <t>G00020</t>
        </is>
      </c>
      <c r="K745" t="str">
        <f>INDEX('Match Groups'!$D$5:$D$1326,MATCH(J745,'Match Groups'!$A$5:$A$1326,0))</f>
        <v>STRIPE-FEE</v>
      </c>
    </row>
    <row r="746">
      <c r="A746" t="inlineStr">
        <is>
          <t>JI-01975</t>
        </is>
      </c>
      <c r="B746" t="inlineStr">
        <is>
          <t>OPS</t>
        </is>
      </c>
      <c r="C746" s="5" t="n">
        <v>46210</v>
      </c>
      <c r="D746" t="inlineStr">
        <is>
          <t>Stripe patient 80452</t>
        </is>
      </c>
      <c r="E746" t="inlineStr">
        <is>
          <t>INV/2026/03822</t>
        </is>
      </c>
      <c r="F746" t="inlineStr">
        <is>
          <t>Customer payment INV/2026/03822</t>
        </is>
      </c>
      <c r="G746" s="9" t="n">
        <v>110</v>
      </c>
      <c r="H746" t="inlineStr">
        <is>
          <t>customer_payment</t>
        </is>
      </c>
      <c r="I746" t="inlineStr"/>
      <c r="J746" t="inlineStr">
        <is>
          <t>G00020</t>
        </is>
      </c>
      <c r="K746" t="str">
        <f>INDEX('Match Groups'!$D$5:$D$1326,MATCH(J746,'Match Groups'!$A$5:$A$1326,0))</f>
        <v>STRIPE-FEE</v>
      </c>
    </row>
    <row r="747">
      <c r="A747" t="inlineStr">
        <is>
          <t>JI-01976</t>
        </is>
      </c>
      <c r="B747" t="inlineStr">
        <is>
          <t>OPS</t>
        </is>
      </c>
      <c r="C747" s="5" t="n">
        <v>46210</v>
      </c>
      <c r="D747" t="inlineStr">
        <is>
          <t>Stripe patient 80011</t>
        </is>
      </c>
      <c r="E747" t="inlineStr">
        <is>
          <t>INV/2026/03823</t>
        </is>
      </c>
      <c r="F747" t="inlineStr">
        <is>
          <t>Customer payment INV/2026/03823</t>
        </is>
      </c>
      <c r="G747" s="9" t="n">
        <v>85</v>
      </c>
      <c r="H747" t="inlineStr">
        <is>
          <t>customer_payment</t>
        </is>
      </c>
      <c r="I747" t="inlineStr"/>
      <c r="J747" t="inlineStr">
        <is>
          <t>G00020</t>
        </is>
      </c>
      <c r="K747" t="str">
        <f>INDEX('Match Groups'!$D$5:$D$1326,MATCH(J747,'Match Groups'!$A$5:$A$1326,0))</f>
        <v>STRIPE-FEE</v>
      </c>
    </row>
    <row r="748">
      <c r="A748" t="inlineStr">
        <is>
          <t>JI-00167</t>
        </is>
      </c>
      <c r="B748" t="inlineStr">
        <is>
          <t>OPS</t>
        </is>
      </c>
      <c r="C748" s="5" t="n">
        <v>46211</v>
      </c>
      <c r="D748" t="inlineStr">
        <is>
          <t>Clearpath NDIS Plans</t>
        </is>
      </c>
      <c r="E748" t="inlineStr">
        <is>
          <t>INV/2026/01775</t>
        </is>
      </c>
      <c r="F748" t="inlineStr">
        <is>
          <t>Customer payment INV/2026/01775</t>
        </is>
      </c>
      <c r="G748" s="9" t="n">
        <v>203.69</v>
      </c>
      <c r="H748" t="inlineStr">
        <is>
          <t>customer_payment</t>
        </is>
      </c>
      <c r="I748" t="inlineStr"/>
      <c r="J748" t="inlineStr">
        <is>
          <t>G00117</t>
        </is>
      </c>
      <c r="K748" t="str">
        <f>INDEX('Match Groups'!$D$5:$D$1326,MATCH(J748,'Match Groups'!$A$5:$A$1326,0))</f>
        <v>MATCH</v>
      </c>
    </row>
    <row r="749">
      <c r="A749" t="inlineStr">
        <is>
          <t>JI-00168</t>
        </is>
      </c>
      <c r="B749" t="inlineStr">
        <is>
          <t>OPS</t>
        </is>
      </c>
      <c r="C749" s="5" t="n">
        <v>46211</v>
      </c>
      <c r="D749" t="inlineStr">
        <is>
          <t>Clearpath NDIS Plans</t>
        </is>
      </c>
      <c r="E749" t="inlineStr">
        <is>
          <t>INV/2026/01776</t>
        </is>
      </c>
      <c r="F749" t="inlineStr">
        <is>
          <t>Customer payment INV/2026/01776</t>
        </is>
      </c>
      <c r="G749" s="9" t="n">
        <v>242.49</v>
      </c>
      <c r="H749" t="inlineStr">
        <is>
          <t>customer_payment</t>
        </is>
      </c>
      <c r="I749" t="inlineStr"/>
      <c r="J749" t="inlineStr">
        <is>
          <t>G00117</t>
        </is>
      </c>
      <c r="K749" t="str">
        <f>INDEX('Match Groups'!$D$5:$D$1326,MATCH(J749,'Match Groups'!$A$5:$A$1326,0))</f>
        <v>MATCH</v>
      </c>
    </row>
    <row r="750">
      <c r="A750" t="inlineStr">
        <is>
          <t>JI-00169</t>
        </is>
      </c>
      <c r="B750" t="inlineStr">
        <is>
          <t>OPS</t>
        </is>
      </c>
      <c r="C750" s="5" t="n">
        <v>46211</v>
      </c>
      <c r="D750" t="inlineStr">
        <is>
          <t>Clearpath NDIS Plans</t>
        </is>
      </c>
      <c r="E750" t="inlineStr">
        <is>
          <t>INV/2026/01799</t>
        </is>
      </c>
      <c r="F750" t="inlineStr">
        <is>
          <t>Customer payment INV/2026/01799</t>
        </is>
      </c>
      <c r="G750" s="9" t="n">
        <v>145.49</v>
      </c>
      <c r="H750" t="inlineStr">
        <is>
          <t>customer_payment</t>
        </is>
      </c>
      <c r="I750" t="inlineStr"/>
      <c r="J750" t="inlineStr">
        <is>
          <t>G00117</t>
        </is>
      </c>
      <c r="K750" t="str">
        <f>INDEX('Match Groups'!$D$5:$D$1326,MATCH(J750,'Match Groups'!$A$5:$A$1326,0))</f>
        <v>MATCH</v>
      </c>
    </row>
    <row r="751">
      <c r="A751" t="inlineStr">
        <is>
          <t>JI-00170</t>
        </is>
      </c>
      <c r="B751" t="inlineStr">
        <is>
          <t>OPS</t>
        </is>
      </c>
      <c r="C751" s="5" t="n">
        <v>46211</v>
      </c>
      <c r="D751" t="inlineStr">
        <is>
          <t>Clearpath NDIS Plans</t>
        </is>
      </c>
      <c r="E751" t="inlineStr">
        <is>
          <t>INV/2026/01800</t>
        </is>
      </c>
      <c r="F751" t="inlineStr">
        <is>
          <t>Customer payment INV/2026/01800</t>
        </is>
      </c>
      <c r="G751" s="9" t="n">
        <v>145.49</v>
      </c>
      <c r="H751" t="inlineStr">
        <is>
          <t>customer_payment</t>
        </is>
      </c>
      <c r="I751" t="inlineStr"/>
      <c r="J751" t="inlineStr">
        <is>
          <t>G00117</t>
        </is>
      </c>
      <c r="K751" t="str">
        <f>INDEX('Match Groups'!$D$5:$D$1326,MATCH(J751,'Match Groups'!$A$5:$A$1326,0))</f>
        <v>MATCH</v>
      </c>
    </row>
    <row r="752">
      <c r="A752" t="inlineStr">
        <is>
          <t>JI-00175</t>
        </is>
      </c>
      <c r="B752" t="inlineStr">
        <is>
          <t>OPS</t>
        </is>
      </c>
      <c r="C752" s="5" t="n">
        <v>46211</v>
      </c>
      <c r="D752" t="inlineStr">
        <is>
          <t>Redgum Plan Admin</t>
        </is>
      </c>
      <c r="E752" t="inlineStr">
        <is>
          <t>INV/2026/01764</t>
        </is>
      </c>
      <c r="F752" t="inlineStr">
        <is>
          <t>Customer payment INV/2026/01764</t>
        </is>
      </c>
      <c r="G752" s="9" t="n">
        <v>387.98</v>
      </c>
      <c r="H752" t="inlineStr">
        <is>
          <t>customer_payment</t>
        </is>
      </c>
      <c r="I752" t="inlineStr"/>
      <c r="J752" t="inlineStr">
        <is>
          <t>G00119</t>
        </is>
      </c>
      <c r="K752" t="str">
        <f>INDEX('Match Groups'!$D$5:$D$1326,MATCH(J752,'Match Groups'!$A$5:$A$1326,0))</f>
        <v>MATCH</v>
      </c>
    </row>
    <row r="753">
      <c r="A753" t="inlineStr">
        <is>
          <t>JI-00176</t>
        </is>
      </c>
      <c r="B753" t="inlineStr">
        <is>
          <t>OPS</t>
        </is>
      </c>
      <c r="C753" s="5" t="n">
        <v>46211</v>
      </c>
      <c r="D753" t="inlineStr">
        <is>
          <t>Redgum Plan Admin</t>
        </is>
      </c>
      <c r="E753" t="inlineStr">
        <is>
          <t>INV/2026/01809</t>
        </is>
      </c>
      <c r="F753" t="inlineStr">
        <is>
          <t>Customer payment INV/2026/01809</t>
        </is>
      </c>
      <c r="G753" s="9" t="n">
        <v>203.69</v>
      </c>
      <c r="H753" t="inlineStr">
        <is>
          <t>customer_payment</t>
        </is>
      </c>
      <c r="I753" t="inlineStr"/>
      <c r="J753" t="inlineStr">
        <is>
          <t>G00119</t>
        </is>
      </c>
      <c r="K753" t="str">
        <f>INDEX('Match Groups'!$D$5:$D$1326,MATCH(J753,'Match Groups'!$A$5:$A$1326,0))</f>
        <v>MATCH</v>
      </c>
    </row>
    <row r="754">
      <c r="A754" t="inlineStr">
        <is>
          <t>JI-00177</t>
        </is>
      </c>
      <c r="B754" t="inlineStr">
        <is>
          <t>OPS</t>
        </is>
      </c>
      <c r="C754" s="5" t="n">
        <v>46211</v>
      </c>
      <c r="D754" t="inlineStr">
        <is>
          <t>Redgum Plan Admin</t>
        </is>
      </c>
      <c r="E754" t="inlineStr">
        <is>
          <t>INV/2026/01810</t>
        </is>
      </c>
      <c r="F754" t="inlineStr">
        <is>
          <t>Customer payment INV/2026/01810</t>
        </is>
      </c>
      <c r="G754" s="9" t="n">
        <v>145.49</v>
      </c>
      <c r="H754" t="inlineStr">
        <is>
          <t>customer_payment</t>
        </is>
      </c>
      <c r="I754" t="inlineStr"/>
      <c r="J754" t="inlineStr">
        <is>
          <t>G00119</t>
        </is>
      </c>
      <c r="K754" t="str">
        <f>INDEX('Match Groups'!$D$5:$D$1326,MATCH(J754,'Match Groups'!$A$5:$A$1326,0))</f>
        <v>MATCH</v>
      </c>
    </row>
    <row r="755">
      <c r="A755" t="inlineStr">
        <is>
          <t>JI-00178</t>
        </is>
      </c>
      <c r="B755" t="inlineStr">
        <is>
          <t>OPS</t>
        </is>
      </c>
      <c r="C755" s="5" t="n">
        <v>46211</v>
      </c>
      <c r="D755" t="inlineStr">
        <is>
          <t>Redgum Plan Admin</t>
        </is>
      </c>
      <c r="E755" t="inlineStr">
        <is>
          <t>INV/2026/01811</t>
        </is>
      </c>
      <c r="F755" t="inlineStr">
        <is>
          <t>Customer payment INV/2026/01811</t>
        </is>
      </c>
      <c r="G755" s="9" t="n">
        <v>96.98999999999999</v>
      </c>
      <c r="H755" t="inlineStr">
        <is>
          <t>customer_payment</t>
        </is>
      </c>
      <c r="I755" t="inlineStr"/>
      <c r="J755" t="inlineStr">
        <is>
          <t>G00119</t>
        </is>
      </c>
      <c r="K755" t="str">
        <f>INDEX('Match Groups'!$D$5:$D$1326,MATCH(J755,'Match Groups'!$A$5:$A$1326,0))</f>
        <v>MATCH</v>
      </c>
    </row>
    <row r="756">
      <c r="A756" t="inlineStr">
        <is>
          <t>JI-00179</t>
        </is>
      </c>
      <c r="B756" t="inlineStr">
        <is>
          <t>OPS</t>
        </is>
      </c>
      <c r="C756" s="5" t="n">
        <v>46211</v>
      </c>
      <c r="D756" t="inlineStr">
        <is>
          <t>Redgum Plan Admin</t>
        </is>
      </c>
      <c r="E756" t="inlineStr">
        <is>
          <t>INV/2026/01832</t>
        </is>
      </c>
      <c r="F756" t="inlineStr">
        <is>
          <t>Customer payment INV/2026/01832</t>
        </is>
      </c>
      <c r="G756" s="9" t="n">
        <v>300.69</v>
      </c>
      <c r="H756" t="inlineStr">
        <is>
          <t>customer_payment</t>
        </is>
      </c>
      <c r="I756" t="inlineStr"/>
      <c r="J756" t="inlineStr">
        <is>
          <t>G00119</t>
        </is>
      </c>
      <c r="K756" t="str">
        <f>INDEX('Match Groups'!$D$5:$D$1326,MATCH(J756,'Match Groups'!$A$5:$A$1326,0))</f>
        <v>MATCH</v>
      </c>
    </row>
    <row r="757">
      <c r="A757" t="inlineStr">
        <is>
          <t>JI-00180</t>
        </is>
      </c>
      <c r="B757" t="inlineStr">
        <is>
          <t>OPS</t>
        </is>
      </c>
      <c r="C757" s="5" t="n">
        <v>46211</v>
      </c>
      <c r="D757" t="inlineStr">
        <is>
          <t>Redgum Plan Admin</t>
        </is>
      </c>
      <c r="E757" t="inlineStr">
        <is>
          <t>INV/2026/01886</t>
        </is>
      </c>
      <c r="F757" t="inlineStr">
        <is>
          <t>Customer payment INV/2026/01886</t>
        </is>
      </c>
      <c r="G757" s="9" t="n">
        <v>290.98</v>
      </c>
      <c r="H757" t="inlineStr">
        <is>
          <t>customer_payment</t>
        </is>
      </c>
      <c r="I757" t="inlineStr"/>
      <c r="J757" t="inlineStr">
        <is>
          <t>G00119</t>
        </is>
      </c>
      <c r="K757" t="str">
        <f>INDEX('Match Groups'!$D$5:$D$1326,MATCH(J757,'Match Groups'!$A$5:$A$1326,0))</f>
        <v>MATCH</v>
      </c>
    </row>
    <row r="758">
      <c r="A758" t="inlineStr">
        <is>
          <t>JI-00181</t>
        </is>
      </c>
      <c r="B758" t="inlineStr">
        <is>
          <t>OPS</t>
        </is>
      </c>
      <c r="C758" s="5" t="n">
        <v>46211</v>
      </c>
      <c r="D758" t="inlineStr">
        <is>
          <t>Redgum Plan Admin</t>
        </is>
      </c>
      <c r="E758" t="inlineStr">
        <is>
          <t>INV/2026/01887</t>
        </is>
      </c>
      <c r="F758" t="inlineStr">
        <is>
          <t>Customer payment INV/2026/01887</t>
        </is>
      </c>
      <c r="G758" s="9" t="n">
        <v>145.49</v>
      </c>
      <c r="H758" t="inlineStr">
        <is>
          <t>customer_payment</t>
        </is>
      </c>
      <c r="I758" t="inlineStr"/>
      <c r="J758" t="inlineStr">
        <is>
          <t>G00119</t>
        </is>
      </c>
      <c r="K758" t="str">
        <f>INDEX('Match Groups'!$D$5:$D$1326,MATCH(J758,'Match Groups'!$A$5:$A$1326,0))</f>
        <v>MATCH</v>
      </c>
    </row>
    <row r="759">
      <c r="A759" t="inlineStr">
        <is>
          <t>JI-00182</t>
        </is>
      </c>
      <c r="B759" t="inlineStr">
        <is>
          <t>OPS</t>
        </is>
      </c>
      <c r="C759" s="5" t="n">
        <v>46211</v>
      </c>
      <c r="D759" t="inlineStr">
        <is>
          <t>Redgum Plan Admin</t>
        </is>
      </c>
      <c r="E759" t="inlineStr">
        <is>
          <t>INV/2026/01906</t>
        </is>
      </c>
      <c r="F759" t="inlineStr">
        <is>
          <t>Customer payment INV/2026/01906</t>
        </is>
      </c>
      <c r="G759" s="9" t="n">
        <v>387.98</v>
      </c>
      <c r="H759" t="inlineStr">
        <is>
          <t>customer_payment</t>
        </is>
      </c>
      <c r="I759" t="inlineStr"/>
      <c r="J759" t="inlineStr">
        <is>
          <t>G00119</t>
        </is>
      </c>
      <c r="K759" t="str">
        <f>INDEX('Match Groups'!$D$5:$D$1326,MATCH(J759,'Match Groups'!$A$5:$A$1326,0))</f>
        <v>MATCH</v>
      </c>
    </row>
    <row r="760">
      <c r="A760" t="inlineStr">
        <is>
          <t>JI-00183</t>
        </is>
      </c>
      <c r="B760" t="inlineStr">
        <is>
          <t>OPS</t>
        </is>
      </c>
      <c r="C760" s="5" t="n">
        <v>46211</v>
      </c>
      <c r="D760" t="inlineStr">
        <is>
          <t>Lyrebird Plan Management</t>
        </is>
      </c>
      <c r="E760" t="inlineStr">
        <is>
          <t>INV/2026/01468</t>
        </is>
      </c>
      <c r="F760" t="inlineStr">
        <is>
          <t>Customer payment INV/2026/01468</t>
        </is>
      </c>
      <c r="G760" s="9" t="n">
        <v>417.98</v>
      </c>
      <c r="H760" t="inlineStr">
        <is>
          <t>customer_payment</t>
        </is>
      </c>
      <c r="I760" t="inlineStr"/>
      <c r="J760" t="inlineStr">
        <is>
          <t>G00120</t>
        </is>
      </c>
      <c r="K760" t="str">
        <f>INDEX('Match Groups'!$D$5:$D$1326,MATCH(J760,'Match Groups'!$A$5:$A$1326,0))</f>
        <v>MATCH</v>
      </c>
    </row>
    <row r="761">
      <c r="A761" t="inlineStr">
        <is>
          <t>JI-00184</t>
        </is>
      </c>
      <c r="B761" t="inlineStr">
        <is>
          <t>OPS</t>
        </is>
      </c>
      <c r="C761" s="5" t="n">
        <v>46211</v>
      </c>
      <c r="D761" t="inlineStr">
        <is>
          <t>Lyrebird Plan Management</t>
        </is>
      </c>
      <c r="E761" t="inlineStr">
        <is>
          <t>INV/2026/01469</t>
        </is>
      </c>
      <c r="F761" t="inlineStr">
        <is>
          <t>Customer payment INV/2026/01469</t>
        </is>
      </c>
      <c r="G761" s="9" t="n">
        <v>252.19</v>
      </c>
      <c r="H761" t="inlineStr">
        <is>
          <t>customer_payment</t>
        </is>
      </c>
      <c r="I761" t="inlineStr"/>
      <c r="J761" t="inlineStr">
        <is>
          <t>G00120</t>
        </is>
      </c>
      <c r="K761" t="str">
        <f>INDEX('Match Groups'!$D$5:$D$1326,MATCH(J761,'Match Groups'!$A$5:$A$1326,0))</f>
        <v>MATCH</v>
      </c>
    </row>
    <row r="762">
      <c r="A762" t="inlineStr">
        <is>
          <t>JI-00185</t>
        </is>
      </c>
      <c r="B762" t="inlineStr">
        <is>
          <t>OPS</t>
        </is>
      </c>
      <c r="C762" s="5" t="n">
        <v>46211</v>
      </c>
      <c r="D762" t="inlineStr">
        <is>
          <t>Mallee Plan Services</t>
        </is>
      </c>
      <c r="E762" t="inlineStr">
        <is>
          <t>INV/2026/01532</t>
        </is>
      </c>
      <c r="F762" t="inlineStr">
        <is>
          <t>Customer payment INV/2026/01532</t>
        </is>
      </c>
      <c r="G762" s="9" t="n">
        <v>446.18</v>
      </c>
      <c r="H762" t="inlineStr">
        <is>
          <t>customer_payment</t>
        </is>
      </c>
      <c r="I762" t="inlineStr"/>
      <c r="J762" t="inlineStr">
        <is>
          <t>G00121</t>
        </is>
      </c>
      <c r="K762" t="str">
        <f>INDEX('Match Groups'!$D$5:$D$1326,MATCH(J762,'Match Groups'!$A$5:$A$1326,0))</f>
        <v>MATCH</v>
      </c>
    </row>
    <row r="763">
      <c r="A763" t="inlineStr">
        <is>
          <t>JI-00186</t>
        </is>
      </c>
      <c r="B763" t="inlineStr">
        <is>
          <t>OPS</t>
        </is>
      </c>
      <c r="C763" s="5" t="n">
        <v>46211</v>
      </c>
      <c r="D763" t="inlineStr">
        <is>
          <t>Mallee Plan Services</t>
        </is>
      </c>
      <c r="E763" t="inlineStr">
        <is>
          <t>INV/2026/01552</t>
        </is>
      </c>
      <c r="F763" t="inlineStr">
        <is>
          <t>Customer payment INV/2026/01552</t>
        </is>
      </c>
      <c r="G763" s="9" t="n">
        <v>446.18</v>
      </c>
      <c r="H763" t="inlineStr">
        <is>
          <t>customer_payment</t>
        </is>
      </c>
      <c r="I763" t="inlineStr"/>
      <c r="J763" t="inlineStr">
        <is>
          <t>G00121</t>
        </is>
      </c>
      <c r="K763" t="str">
        <f>INDEX('Match Groups'!$D$5:$D$1326,MATCH(J763,'Match Groups'!$A$5:$A$1326,0))</f>
        <v>MATCH</v>
      </c>
    </row>
    <row r="764">
      <c r="A764" t="inlineStr">
        <is>
          <t>JI-00187</t>
        </is>
      </c>
      <c r="B764" t="inlineStr">
        <is>
          <t>OPS</t>
        </is>
      </c>
      <c r="C764" s="5" t="n">
        <v>46211</v>
      </c>
      <c r="D764" t="inlineStr">
        <is>
          <t>Mallee Plan Services</t>
        </is>
      </c>
      <c r="E764" t="inlineStr">
        <is>
          <t>INV/2026/01553</t>
        </is>
      </c>
      <c r="F764" t="inlineStr">
        <is>
          <t>Customer payment INV/2026/01553</t>
        </is>
      </c>
      <c r="G764" s="9" t="n">
        <v>175.49</v>
      </c>
      <c r="H764" t="inlineStr">
        <is>
          <t>customer_payment</t>
        </is>
      </c>
      <c r="I764" t="inlineStr"/>
      <c r="J764" t="inlineStr">
        <is>
          <t>G00121</t>
        </is>
      </c>
      <c r="K764" t="str">
        <f>INDEX('Match Groups'!$D$5:$D$1326,MATCH(J764,'Match Groups'!$A$5:$A$1326,0))</f>
        <v>MATCH</v>
      </c>
    </row>
    <row r="765">
      <c r="A765" t="inlineStr">
        <is>
          <t>JI-00188</t>
        </is>
      </c>
      <c r="B765" t="inlineStr">
        <is>
          <t>OPS</t>
        </is>
      </c>
      <c r="C765" s="5" t="n">
        <v>46211</v>
      </c>
      <c r="D765" t="inlineStr">
        <is>
          <t>Mallee Plan Services</t>
        </is>
      </c>
      <c r="E765" t="inlineStr">
        <is>
          <t>INV/2026/01577</t>
        </is>
      </c>
      <c r="F765" t="inlineStr">
        <is>
          <t>Customer payment INV/2026/01577</t>
        </is>
      </c>
      <c r="G765" s="9" t="n">
        <v>272.49</v>
      </c>
      <c r="H765" t="inlineStr">
        <is>
          <t>customer_payment</t>
        </is>
      </c>
      <c r="I765" t="inlineStr"/>
      <c r="J765" t="inlineStr">
        <is>
          <t>G00121</t>
        </is>
      </c>
      <c r="K765" t="str">
        <f>INDEX('Match Groups'!$D$5:$D$1326,MATCH(J765,'Match Groups'!$A$5:$A$1326,0))</f>
        <v>MATCH</v>
      </c>
    </row>
    <row r="766">
      <c r="A766" t="inlineStr">
        <is>
          <t>JI-00189</t>
        </is>
      </c>
      <c r="B766" t="inlineStr">
        <is>
          <t>OPS</t>
        </is>
      </c>
      <c r="C766" s="5" t="n">
        <v>46211</v>
      </c>
      <c r="D766" t="inlineStr">
        <is>
          <t>Mallee Plan Services</t>
        </is>
      </c>
      <c r="E766" t="inlineStr">
        <is>
          <t>INV/2026/01578</t>
        </is>
      </c>
      <c r="F766" t="inlineStr">
        <is>
          <t>Customer payment INV/2026/01578</t>
        </is>
      </c>
      <c r="G766" s="9" t="n">
        <v>387.98</v>
      </c>
      <c r="H766" t="inlineStr">
        <is>
          <t>customer_payment</t>
        </is>
      </c>
      <c r="I766" t="inlineStr"/>
      <c r="J766" t="inlineStr">
        <is>
          <t>G00121</t>
        </is>
      </c>
      <c r="K766" t="str">
        <f>INDEX('Match Groups'!$D$5:$D$1326,MATCH(J766,'Match Groups'!$A$5:$A$1326,0))</f>
        <v>MATCH</v>
      </c>
    </row>
    <row r="767">
      <c r="A767" t="inlineStr">
        <is>
          <t>JI-00190</t>
        </is>
      </c>
      <c r="B767" t="inlineStr">
        <is>
          <t>OPS</t>
        </is>
      </c>
      <c r="C767" s="5" t="n">
        <v>46211</v>
      </c>
      <c r="D767" t="inlineStr">
        <is>
          <t>Mallee Plan Services</t>
        </is>
      </c>
      <c r="E767" t="inlineStr">
        <is>
          <t>INV/2026/01631</t>
        </is>
      </c>
      <c r="F767" t="inlineStr">
        <is>
          <t>Customer payment INV/2026/01631</t>
        </is>
      </c>
      <c r="G767" s="9" t="n">
        <v>252.19</v>
      </c>
      <c r="H767" t="inlineStr">
        <is>
          <t>customer_payment</t>
        </is>
      </c>
      <c r="I767" t="inlineStr"/>
      <c r="J767" t="inlineStr">
        <is>
          <t>G00121</t>
        </is>
      </c>
      <c r="K767" t="str">
        <f>INDEX('Match Groups'!$D$5:$D$1326,MATCH(J767,'Match Groups'!$A$5:$A$1326,0))</f>
        <v>MATCH</v>
      </c>
    </row>
    <row r="768">
      <c r="A768" t="inlineStr">
        <is>
          <t>JI-00191</t>
        </is>
      </c>
      <c r="B768" t="inlineStr">
        <is>
          <t>OPS</t>
        </is>
      </c>
      <c r="C768" s="5" t="n">
        <v>46211</v>
      </c>
      <c r="D768" t="inlineStr">
        <is>
          <t>Mallee Plan Services</t>
        </is>
      </c>
      <c r="E768" t="inlineStr">
        <is>
          <t>INV/2026/01632</t>
        </is>
      </c>
      <c r="F768" t="inlineStr">
        <is>
          <t>Customer payment INV/2026/01632</t>
        </is>
      </c>
      <c r="G768" s="9" t="n">
        <v>242.49</v>
      </c>
      <c r="H768" t="inlineStr">
        <is>
          <t>customer_payment</t>
        </is>
      </c>
      <c r="I768" t="inlineStr"/>
      <c r="J768" t="inlineStr">
        <is>
          <t>G00121</t>
        </is>
      </c>
      <c r="K768" t="str">
        <f>INDEX('Match Groups'!$D$5:$D$1326,MATCH(J768,'Match Groups'!$A$5:$A$1326,0))</f>
        <v>MATCH</v>
      </c>
    </row>
    <row r="769">
      <c r="A769" t="inlineStr">
        <is>
          <t>JI-00192</t>
        </is>
      </c>
      <c r="B769" t="inlineStr">
        <is>
          <t>OPS</t>
        </is>
      </c>
      <c r="C769" s="5" t="n">
        <v>46211</v>
      </c>
      <c r="D769" t="inlineStr">
        <is>
          <t>Mallee Plan Services</t>
        </is>
      </c>
      <c r="E769" t="inlineStr">
        <is>
          <t>INV/2026/01659</t>
        </is>
      </c>
      <c r="F769" t="inlineStr">
        <is>
          <t>Customer payment INV/2026/01659</t>
        </is>
      </c>
      <c r="G769" s="9" t="n">
        <v>145.49</v>
      </c>
      <c r="H769" t="inlineStr">
        <is>
          <t>customer_payment</t>
        </is>
      </c>
      <c r="I769" t="inlineStr"/>
      <c r="J769" t="inlineStr">
        <is>
          <t>G00121</t>
        </is>
      </c>
      <c r="K769" t="str">
        <f>INDEX('Match Groups'!$D$5:$D$1326,MATCH(J769,'Match Groups'!$A$5:$A$1326,0))</f>
        <v>MATCH</v>
      </c>
    </row>
    <row r="770">
      <c r="A770" t="inlineStr">
        <is>
          <t>JI-00198</t>
        </is>
      </c>
      <c r="B770" t="inlineStr">
        <is>
          <t>OPS</t>
        </is>
      </c>
      <c r="C770" s="5" t="n">
        <v>46211</v>
      </c>
      <c r="D770" t="inlineStr">
        <is>
          <t>Redgum Plan Admin</t>
        </is>
      </c>
      <c r="E770" t="inlineStr">
        <is>
          <t>INV/2026/01907</t>
        </is>
      </c>
      <c r="F770" t="inlineStr">
        <is>
          <t>Customer payment INV/2026/01907</t>
        </is>
      </c>
      <c r="G770" s="9" t="n">
        <v>417.98</v>
      </c>
      <c r="H770" t="inlineStr">
        <is>
          <t>customer_payment</t>
        </is>
      </c>
      <c r="I770" t="inlineStr"/>
      <c r="J770" t="inlineStr">
        <is>
          <t>G00124</t>
        </is>
      </c>
      <c r="K770" t="str">
        <f>INDEX('Match Groups'!$D$5:$D$1326,MATCH(J770,'Match Groups'!$A$5:$A$1326,0))</f>
        <v>MATCH</v>
      </c>
    </row>
    <row r="771">
      <c r="A771" t="inlineStr">
        <is>
          <t>JI-00199</t>
        </is>
      </c>
      <c r="B771" t="inlineStr">
        <is>
          <t>OPS</t>
        </is>
      </c>
      <c r="C771" s="5" t="n">
        <v>46211</v>
      </c>
      <c r="D771" t="inlineStr">
        <is>
          <t>Redgum Plan Admin</t>
        </is>
      </c>
      <c r="E771" t="inlineStr">
        <is>
          <t>INV/2026/01928</t>
        </is>
      </c>
      <c r="F771" t="inlineStr">
        <is>
          <t>Customer payment INV/2026/01928</t>
        </is>
      </c>
      <c r="G771" s="9" t="n">
        <v>387.98</v>
      </c>
      <c r="H771" t="inlineStr">
        <is>
          <t>customer_payment</t>
        </is>
      </c>
      <c r="I771" t="inlineStr"/>
      <c r="J771" t="inlineStr">
        <is>
          <t>G00124</t>
        </is>
      </c>
      <c r="K771" t="str">
        <f>INDEX('Match Groups'!$D$5:$D$1326,MATCH(J771,'Match Groups'!$A$5:$A$1326,0))</f>
        <v>MATCH</v>
      </c>
    </row>
    <row r="772">
      <c r="A772" t="inlineStr">
        <is>
          <t>JI-01557</t>
        </is>
      </c>
      <c r="B772" t="inlineStr">
        <is>
          <t>OPS</t>
        </is>
      </c>
      <c r="C772" s="5" t="n">
        <v>46211</v>
      </c>
      <c r="D772" t="inlineStr">
        <is>
          <t>Coastline Health Fund</t>
        </is>
      </c>
      <c r="E772" t="inlineStr">
        <is>
          <t>INV/2026/01634</t>
        </is>
      </c>
      <c r="F772" t="inlineStr">
        <is>
          <t>Customer payment INV/2026/01634</t>
        </is>
      </c>
      <c r="G772" s="9" t="n">
        <v>88</v>
      </c>
      <c r="H772" t="inlineStr">
        <is>
          <t>customer_payment</t>
        </is>
      </c>
      <c r="I772" t="inlineStr"/>
      <c r="J772" t="inlineStr">
        <is>
          <t>G00913</t>
        </is>
      </c>
      <c r="K772" t="str">
        <f>INDEX('Match Groups'!$D$5:$D$1326,MATCH(J772,'Match Groups'!$A$5:$A$1326,0))</f>
        <v>MATCH</v>
      </c>
    </row>
    <row r="773">
      <c r="A773" t="inlineStr">
        <is>
          <t>JI-01662</t>
        </is>
      </c>
      <c r="B773" t="inlineStr">
        <is>
          <t>OPS</t>
        </is>
      </c>
      <c r="C773" s="5" t="n">
        <v>46211</v>
      </c>
      <c r="D773" t="inlineStr">
        <is>
          <t>Calder Freight Group</t>
        </is>
      </c>
      <c r="E773" t="inlineStr">
        <is>
          <t>INV/2026/03417</t>
        </is>
      </c>
      <c r="F773" t="inlineStr">
        <is>
          <t>Customer payment INV/2026/03417</t>
        </is>
      </c>
      <c r="G773" s="9" t="n">
        <v>10725</v>
      </c>
      <c r="H773" t="inlineStr">
        <is>
          <t>customer_payment</t>
        </is>
      </c>
      <c r="I773" t="inlineStr"/>
      <c r="J773" t="inlineStr">
        <is>
          <t>G00922</t>
        </is>
      </c>
      <c r="K773" t="str">
        <f>INDEX('Match Groups'!$D$5:$D$1326,MATCH(J773,'Match Groups'!$A$5:$A$1326,0))</f>
        <v>MATCH</v>
      </c>
    </row>
    <row r="774">
      <c r="A774" t="inlineStr">
        <is>
          <t>JI-01977</t>
        </is>
      </c>
      <c r="B774" t="inlineStr">
        <is>
          <t>OPS</t>
        </is>
      </c>
      <c r="C774" s="5" t="n">
        <v>46211</v>
      </c>
      <c r="D774" t="inlineStr">
        <is>
          <t>Stripe patient 84705</t>
        </is>
      </c>
      <c r="E774" t="inlineStr">
        <is>
          <t>INV/2026/03824</t>
        </is>
      </c>
      <c r="F774" t="inlineStr">
        <is>
          <t>Customer payment INV/2026/03824</t>
        </is>
      </c>
      <c r="G774" s="9" t="n">
        <v>110</v>
      </c>
      <c r="H774" t="inlineStr">
        <is>
          <t>customer_payment</t>
        </is>
      </c>
      <c r="I774" t="inlineStr"/>
      <c r="J774" t="inlineStr">
        <is>
          <t>G00021</t>
        </is>
      </c>
      <c r="K774" t="str">
        <f>INDEX('Match Groups'!$D$5:$D$1326,MATCH(J774,'Match Groups'!$A$5:$A$1326,0))</f>
        <v>STRIPE-FEE</v>
      </c>
    </row>
    <row r="775">
      <c r="A775" t="inlineStr">
        <is>
          <t>JI-01978</t>
        </is>
      </c>
      <c r="B775" t="inlineStr">
        <is>
          <t>OPS</t>
        </is>
      </c>
      <c r="C775" s="5" t="n">
        <v>46211</v>
      </c>
      <c r="D775" t="inlineStr">
        <is>
          <t>Stripe patient 48762</t>
        </is>
      </c>
      <c r="E775" t="inlineStr">
        <is>
          <t>INV/2026/03825</t>
        </is>
      </c>
      <c r="F775" t="inlineStr">
        <is>
          <t>Customer payment INV/2026/03825</t>
        </is>
      </c>
      <c r="G775" s="9" t="n">
        <v>120</v>
      </c>
      <c r="H775" t="inlineStr">
        <is>
          <t>customer_payment</t>
        </is>
      </c>
      <c r="I775" t="inlineStr"/>
      <c r="J775" t="inlineStr">
        <is>
          <t>G00021</t>
        </is>
      </c>
      <c r="K775" t="str">
        <f>INDEX('Match Groups'!$D$5:$D$1326,MATCH(J775,'Match Groups'!$A$5:$A$1326,0))</f>
        <v>STRIPE-FEE</v>
      </c>
    </row>
    <row r="776">
      <c r="A776" t="inlineStr">
        <is>
          <t>JI-01979</t>
        </is>
      </c>
      <c r="B776" t="inlineStr">
        <is>
          <t>OPS</t>
        </is>
      </c>
      <c r="C776" s="5" t="n">
        <v>46211</v>
      </c>
      <c r="D776" t="inlineStr">
        <is>
          <t>Stripe patient 33501</t>
        </is>
      </c>
      <c r="E776" t="inlineStr">
        <is>
          <t>INV/2026/03826</t>
        </is>
      </c>
      <c r="F776" t="inlineStr">
        <is>
          <t>Customer payment INV/2026/03826</t>
        </is>
      </c>
      <c r="G776" s="9" t="n">
        <v>65</v>
      </c>
      <c r="H776" t="inlineStr">
        <is>
          <t>customer_payment</t>
        </is>
      </c>
      <c r="I776" t="inlineStr"/>
      <c r="J776" t="inlineStr">
        <is>
          <t>G00021</t>
        </is>
      </c>
      <c r="K776" t="str">
        <f>INDEX('Match Groups'!$D$5:$D$1326,MATCH(J776,'Match Groups'!$A$5:$A$1326,0))</f>
        <v>STRIPE-FEE</v>
      </c>
    </row>
    <row r="777">
      <c r="A777" t="inlineStr">
        <is>
          <t>JI-01980</t>
        </is>
      </c>
      <c r="B777" t="inlineStr">
        <is>
          <t>OPS</t>
        </is>
      </c>
      <c r="C777" s="5" t="n">
        <v>46211</v>
      </c>
      <c r="D777" t="inlineStr">
        <is>
          <t>Stripe patient 50534</t>
        </is>
      </c>
      <c r="E777" t="inlineStr">
        <is>
          <t>INV/2026/03827</t>
        </is>
      </c>
      <c r="F777" t="inlineStr">
        <is>
          <t>Customer payment INV/2026/03827</t>
        </is>
      </c>
      <c r="G777" s="9" t="n">
        <v>180</v>
      </c>
      <c r="H777" t="inlineStr">
        <is>
          <t>customer_payment</t>
        </is>
      </c>
      <c r="I777" t="inlineStr"/>
      <c r="J777" t="inlineStr">
        <is>
          <t>G00021</t>
        </is>
      </c>
      <c r="K777" t="str">
        <f>INDEX('Match Groups'!$D$5:$D$1326,MATCH(J777,'Match Groups'!$A$5:$A$1326,0))</f>
        <v>STRIPE-FEE</v>
      </c>
    </row>
    <row r="778">
      <c r="A778" t="inlineStr">
        <is>
          <t>JI-01981</t>
        </is>
      </c>
      <c r="B778" t="inlineStr">
        <is>
          <t>OPS</t>
        </is>
      </c>
      <c r="C778" s="5" t="n">
        <v>46211</v>
      </c>
      <c r="D778" t="inlineStr">
        <is>
          <t>Stripe patient 24459</t>
        </is>
      </c>
      <c r="E778" t="inlineStr">
        <is>
          <t>INV/2026/03828</t>
        </is>
      </c>
      <c r="F778" t="inlineStr">
        <is>
          <t>Customer payment INV/2026/03828</t>
        </is>
      </c>
      <c r="G778" s="9" t="n">
        <v>220</v>
      </c>
      <c r="H778" t="inlineStr">
        <is>
          <t>customer_payment</t>
        </is>
      </c>
      <c r="I778" t="inlineStr"/>
      <c r="J778" t="inlineStr">
        <is>
          <t>G00021</t>
        </is>
      </c>
      <c r="K778" t="str">
        <f>INDEX('Match Groups'!$D$5:$D$1326,MATCH(J778,'Match Groups'!$A$5:$A$1326,0))</f>
        <v>STRIPE-FEE</v>
      </c>
    </row>
    <row r="779">
      <c r="A779" t="inlineStr">
        <is>
          <t>JI-01982</t>
        </is>
      </c>
      <c r="B779" t="inlineStr">
        <is>
          <t>OPS</t>
        </is>
      </c>
      <c r="C779" s="5" t="n">
        <v>46211</v>
      </c>
      <c r="D779" t="inlineStr">
        <is>
          <t>Stripe patient 10456</t>
        </is>
      </c>
      <c r="E779" t="inlineStr">
        <is>
          <t>INV/2026/03829</t>
        </is>
      </c>
      <c r="F779" t="inlineStr">
        <is>
          <t>Customer payment INV/2026/03829</t>
        </is>
      </c>
      <c r="G779" s="9" t="n">
        <v>85</v>
      </c>
      <c r="H779" t="inlineStr">
        <is>
          <t>customer_payment</t>
        </is>
      </c>
      <c r="I779" t="inlineStr"/>
      <c r="J779" t="inlineStr">
        <is>
          <t>G00021</t>
        </is>
      </c>
      <c r="K779" t="str">
        <f>INDEX('Match Groups'!$D$5:$D$1326,MATCH(J779,'Match Groups'!$A$5:$A$1326,0))</f>
        <v>STRIPE-FEE</v>
      </c>
    </row>
    <row r="780">
      <c r="A780" t="inlineStr">
        <is>
          <t>JI-01983</t>
        </is>
      </c>
      <c r="B780" t="inlineStr">
        <is>
          <t>OPS</t>
        </is>
      </c>
      <c r="C780" s="5" t="n">
        <v>46211</v>
      </c>
      <c r="D780" t="inlineStr">
        <is>
          <t>Stripe patient 32202</t>
        </is>
      </c>
      <c r="E780" t="inlineStr">
        <is>
          <t>INV/2026/03830</t>
        </is>
      </c>
      <c r="F780" t="inlineStr">
        <is>
          <t>Customer payment INV/2026/03830</t>
        </is>
      </c>
      <c r="G780" s="9" t="n">
        <v>65</v>
      </c>
      <c r="H780" t="inlineStr">
        <is>
          <t>customer_payment</t>
        </is>
      </c>
      <c r="I780" t="inlineStr"/>
      <c r="J780" t="inlineStr">
        <is>
          <t>G00021</t>
        </is>
      </c>
      <c r="K780" t="str">
        <f>INDEX('Match Groups'!$D$5:$D$1326,MATCH(J780,'Match Groups'!$A$5:$A$1326,0))</f>
        <v>STRIPE-FEE</v>
      </c>
    </row>
    <row r="781">
      <c r="A781" t="inlineStr">
        <is>
          <t>JI-01984</t>
        </is>
      </c>
      <c r="B781" t="inlineStr">
        <is>
          <t>OPS</t>
        </is>
      </c>
      <c r="C781" s="5" t="n">
        <v>46211</v>
      </c>
      <c r="D781" t="inlineStr">
        <is>
          <t>Stripe patient 65804</t>
        </is>
      </c>
      <c r="E781" t="inlineStr">
        <is>
          <t>INV/2026/03831</t>
        </is>
      </c>
      <c r="F781" t="inlineStr">
        <is>
          <t>Customer payment INV/2026/03831</t>
        </is>
      </c>
      <c r="G781" s="9" t="n">
        <v>65</v>
      </c>
      <c r="H781" t="inlineStr">
        <is>
          <t>customer_payment</t>
        </is>
      </c>
      <c r="I781" t="inlineStr"/>
      <c r="J781" t="inlineStr">
        <is>
          <t>G00021</t>
        </is>
      </c>
      <c r="K781" t="str">
        <f>INDEX('Match Groups'!$D$5:$D$1326,MATCH(J781,'Match Groups'!$A$5:$A$1326,0))</f>
        <v>STRIPE-FEE</v>
      </c>
    </row>
    <row r="782">
      <c r="A782" t="inlineStr">
        <is>
          <t>JI-01985</t>
        </is>
      </c>
      <c r="B782" t="inlineStr">
        <is>
          <t>OPS</t>
        </is>
      </c>
      <c r="C782" s="5" t="n">
        <v>46211</v>
      </c>
      <c r="D782" t="inlineStr">
        <is>
          <t>Stripe patient 41985</t>
        </is>
      </c>
      <c r="E782" t="inlineStr">
        <is>
          <t>INV/2026/03832</t>
        </is>
      </c>
      <c r="F782" t="inlineStr">
        <is>
          <t>Customer payment INV/2026/03832</t>
        </is>
      </c>
      <c r="G782" s="9" t="n">
        <v>65</v>
      </c>
      <c r="H782" t="inlineStr">
        <is>
          <t>customer_payment</t>
        </is>
      </c>
      <c r="I782" t="inlineStr"/>
      <c r="J782" t="inlineStr">
        <is>
          <t>G00021</t>
        </is>
      </c>
      <c r="K782" t="str">
        <f>INDEX('Match Groups'!$D$5:$D$1326,MATCH(J782,'Match Groups'!$A$5:$A$1326,0))</f>
        <v>STRIPE-FEE</v>
      </c>
    </row>
    <row r="783">
      <c r="A783" t="inlineStr">
        <is>
          <t>JI-01986</t>
        </is>
      </c>
      <c r="B783" t="inlineStr">
        <is>
          <t>OPS</t>
        </is>
      </c>
      <c r="C783" s="5" t="n">
        <v>46211</v>
      </c>
      <c r="D783" t="inlineStr">
        <is>
          <t>Stripe patient 90937</t>
        </is>
      </c>
      <c r="E783" t="inlineStr">
        <is>
          <t>INV/2026/03833</t>
        </is>
      </c>
      <c r="F783" t="inlineStr">
        <is>
          <t>Customer payment INV/2026/03833</t>
        </is>
      </c>
      <c r="G783" s="9" t="n">
        <v>180</v>
      </c>
      <c r="H783" t="inlineStr">
        <is>
          <t>customer_payment</t>
        </is>
      </c>
      <c r="I783" t="inlineStr"/>
      <c r="J783" t="inlineStr">
        <is>
          <t>G00021</t>
        </is>
      </c>
      <c r="K783" t="str">
        <f>INDEX('Match Groups'!$D$5:$D$1326,MATCH(J783,'Match Groups'!$A$5:$A$1326,0))</f>
        <v>STRIPE-FEE</v>
      </c>
    </row>
    <row r="784">
      <c r="A784" t="inlineStr">
        <is>
          <t>JI-01987</t>
        </is>
      </c>
      <c r="B784" t="inlineStr">
        <is>
          <t>OPS</t>
        </is>
      </c>
      <c r="C784" s="5" t="n">
        <v>46211</v>
      </c>
      <c r="D784" t="inlineStr">
        <is>
          <t>Stripe patient 31267</t>
        </is>
      </c>
      <c r="E784" t="inlineStr">
        <is>
          <t>INV/2026/03834</t>
        </is>
      </c>
      <c r="F784" t="inlineStr">
        <is>
          <t>Customer payment INV/2026/03834</t>
        </is>
      </c>
      <c r="G784" s="9" t="n">
        <v>65</v>
      </c>
      <c r="H784" t="inlineStr">
        <is>
          <t>customer_payment</t>
        </is>
      </c>
      <c r="I784" t="inlineStr"/>
      <c r="J784" t="inlineStr">
        <is>
          <t>G00021</t>
        </is>
      </c>
      <c r="K784" t="str">
        <f>INDEX('Match Groups'!$D$5:$D$1326,MATCH(J784,'Match Groups'!$A$5:$A$1326,0))</f>
        <v>STRIPE-FEE</v>
      </c>
    </row>
    <row r="785">
      <c r="A785" t="inlineStr">
        <is>
          <t>JI-01988</t>
        </is>
      </c>
      <c r="B785" t="inlineStr">
        <is>
          <t>OPS</t>
        </is>
      </c>
      <c r="C785" s="5" t="n">
        <v>46211</v>
      </c>
      <c r="D785" t="inlineStr">
        <is>
          <t>Stripe patient 70052</t>
        </is>
      </c>
      <c r="E785" t="inlineStr">
        <is>
          <t>INV/2026/03835</t>
        </is>
      </c>
      <c r="F785" t="inlineStr">
        <is>
          <t>Customer payment INV/2026/03835</t>
        </is>
      </c>
      <c r="G785" s="9" t="n">
        <v>110</v>
      </c>
      <c r="H785" t="inlineStr">
        <is>
          <t>customer_payment</t>
        </is>
      </c>
      <c r="I785" t="inlineStr"/>
      <c r="J785" t="inlineStr">
        <is>
          <t>G00021</t>
        </is>
      </c>
      <c r="K785" t="str">
        <f>INDEX('Match Groups'!$D$5:$D$1326,MATCH(J785,'Match Groups'!$A$5:$A$1326,0))</f>
        <v>STRIPE-FEE</v>
      </c>
    </row>
    <row r="786">
      <c r="A786" t="inlineStr">
        <is>
          <t>JI-01989</t>
        </is>
      </c>
      <c r="B786" t="inlineStr">
        <is>
          <t>OPS</t>
        </is>
      </c>
      <c r="C786" s="5" t="n">
        <v>46211</v>
      </c>
      <c r="D786" t="inlineStr">
        <is>
          <t>Stripe patient 52047</t>
        </is>
      </c>
      <c r="E786" t="inlineStr">
        <is>
          <t>INV/2026/03836</t>
        </is>
      </c>
      <c r="F786" t="inlineStr">
        <is>
          <t>Customer payment INV/2026/03836</t>
        </is>
      </c>
      <c r="G786" s="9" t="n">
        <v>220</v>
      </c>
      <c r="H786" t="inlineStr">
        <is>
          <t>customer_payment</t>
        </is>
      </c>
      <c r="I786" t="inlineStr"/>
      <c r="J786" t="inlineStr">
        <is>
          <t>G00021</t>
        </is>
      </c>
      <c r="K786" t="str">
        <f>INDEX('Match Groups'!$D$5:$D$1326,MATCH(J786,'Match Groups'!$A$5:$A$1326,0))</f>
        <v>STRIPE-FEE</v>
      </c>
    </row>
    <row r="787">
      <c r="A787" t="inlineStr">
        <is>
          <t>JI-01990</t>
        </is>
      </c>
      <c r="B787" t="inlineStr">
        <is>
          <t>OPS</t>
        </is>
      </c>
      <c r="C787" s="5" t="n">
        <v>46211</v>
      </c>
      <c r="D787" t="inlineStr">
        <is>
          <t>Stripe patient 52795</t>
        </is>
      </c>
      <c r="E787" t="inlineStr">
        <is>
          <t>INV/2026/03837</t>
        </is>
      </c>
      <c r="F787" t="inlineStr">
        <is>
          <t>Customer payment INV/2026/03837</t>
        </is>
      </c>
      <c r="G787" s="9" t="n">
        <v>180</v>
      </c>
      <c r="H787" t="inlineStr">
        <is>
          <t>customer_payment</t>
        </is>
      </c>
      <c r="I787" t="inlineStr"/>
      <c r="J787" t="inlineStr">
        <is>
          <t>G00021</t>
        </is>
      </c>
      <c r="K787" t="str">
        <f>INDEX('Match Groups'!$D$5:$D$1326,MATCH(J787,'Match Groups'!$A$5:$A$1326,0))</f>
        <v>STRIPE-FEE</v>
      </c>
    </row>
    <row r="788">
      <c r="A788" t="inlineStr">
        <is>
          <t>JI-01991</t>
        </is>
      </c>
      <c r="B788" t="inlineStr">
        <is>
          <t>OPS</t>
        </is>
      </c>
      <c r="C788" s="5" t="n">
        <v>46211</v>
      </c>
      <c r="D788" t="inlineStr">
        <is>
          <t>Stripe patient 40115</t>
        </is>
      </c>
      <c r="E788" t="inlineStr">
        <is>
          <t>INV/2026/03838</t>
        </is>
      </c>
      <c r="F788" t="inlineStr">
        <is>
          <t>Customer payment INV/2026/03838</t>
        </is>
      </c>
      <c r="G788" s="9" t="n">
        <v>220</v>
      </c>
      <c r="H788" t="inlineStr">
        <is>
          <t>customer_payment</t>
        </is>
      </c>
      <c r="I788" t="inlineStr"/>
      <c r="J788" t="inlineStr">
        <is>
          <t>G00021</t>
        </is>
      </c>
      <c r="K788" t="str">
        <f>INDEX('Match Groups'!$D$5:$D$1326,MATCH(J788,'Match Groups'!$A$5:$A$1326,0))</f>
        <v>STRIPE-FEE</v>
      </c>
    </row>
    <row r="789">
      <c r="A789" t="inlineStr">
        <is>
          <t>JI-01992</t>
        </is>
      </c>
      <c r="B789" t="inlineStr">
        <is>
          <t>OPS</t>
        </is>
      </c>
      <c r="C789" s="5" t="n">
        <v>46211</v>
      </c>
      <c r="D789" t="inlineStr">
        <is>
          <t>Stripe patient 32440</t>
        </is>
      </c>
      <c r="E789" t="inlineStr">
        <is>
          <t>INV/2026/03839</t>
        </is>
      </c>
      <c r="F789" t="inlineStr">
        <is>
          <t>Customer payment INV/2026/03839</t>
        </is>
      </c>
      <c r="G789" s="9" t="n">
        <v>95</v>
      </c>
      <c r="H789" t="inlineStr">
        <is>
          <t>customer_payment</t>
        </is>
      </c>
      <c r="I789" t="inlineStr"/>
      <c r="J789" t="inlineStr">
        <is>
          <t>G00021</t>
        </is>
      </c>
      <c r="K789" t="str">
        <f>INDEX('Match Groups'!$D$5:$D$1326,MATCH(J789,'Match Groups'!$A$5:$A$1326,0))</f>
        <v>STRIPE-FEE</v>
      </c>
    </row>
    <row r="790">
      <c r="A790" t="inlineStr">
        <is>
          <t>JI-01993</t>
        </is>
      </c>
      <c r="B790" t="inlineStr">
        <is>
          <t>OPS</t>
        </is>
      </c>
      <c r="C790" s="5" t="n">
        <v>46211</v>
      </c>
      <c r="D790" t="inlineStr">
        <is>
          <t>Stripe patient 25052</t>
        </is>
      </c>
      <c r="E790" t="inlineStr">
        <is>
          <t>INV/2026/03840</t>
        </is>
      </c>
      <c r="F790" t="inlineStr">
        <is>
          <t>Customer payment INV/2026/03840</t>
        </is>
      </c>
      <c r="G790" s="9" t="n">
        <v>85</v>
      </c>
      <c r="H790" t="inlineStr">
        <is>
          <t>customer_payment</t>
        </is>
      </c>
      <c r="I790" t="inlineStr"/>
      <c r="J790" t="inlineStr">
        <is>
          <t>G00021</t>
        </is>
      </c>
      <c r="K790" t="str">
        <f>INDEX('Match Groups'!$D$5:$D$1326,MATCH(J790,'Match Groups'!$A$5:$A$1326,0))</f>
        <v>STRIPE-FEE</v>
      </c>
    </row>
    <row r="791">
      <c r="A791" t="inlineStr">
        <is>
          <t>JI-01994</t>
        </is>
      </c>
      <c r="B791" t="inlineStr">
        <is>
          <t>OPS</t>
        </is>
      </c>
      <c r="C791" s="5" t="n">
        <v>46211</v>
      </c>
      <c r="D791" t="inlineStr">
        <is>
          <t>Stripe patient 47581</t>
        </is>
      </c>
      <c r="E791" t="inlineStr">
        <is>
          <t>INV/2026/03841</t>
        </is>
      </c>
      <c r="F791" t="inlineStr">
        <is>
          <t>Customer payment INV/2026/03841</t>
        </is>
      </c>
      <c r="G791" s="9" t="n">
        <v>150</v>
      </c>
      <c r="H791" t="inlineStr">
        <is>
          <t>customer_payment</t>
        </is>
      </c>
      <c r="I791" t="inlineStr"/>
      <c r="J791" t="inlineStr">
        <is>
          <t>G00021</t>
        </is>
      </c>
      <c r="K791" t="str">
        <f>INDEX('Match Groups'!$D$5:$D$1326,MATCH(J791,'Match Groups'!$A$5:$A$1326,0))</f>
        <v>STRIPE-FEE</v>
      </c>
    </row>
    <row r="792">
      <c r="A792" t="inlineStr">
        <is>
          <t>JI-01995</t>
        </is>
      </c>
      <c r="B792" t="inlineStr">
        <is>
          <t>OPS</t>
        </is>
      </c>
      <c r="C792" s="5" t="n">
        <v>46211</v>
      </c>
      <c r="D792" t="inlineStr">
        <is>
          <t>Stripe patient 65004</t>
        </is>
      </c>
      <c r="E792" t="inlineStr">
        <is>
          <t>INV/2026/03842</t>
        </is>
      </c>
      <c r="F792" t="inlineStr">
        <is>
          <t>Customer payment INV/2026/03842</t>
        </is>
      </c>
      <c r="G792" s="9" t="n">
        <v>220</v>
      </c>
      <c r="H792" t="inlineStr">
        <is>
          <t>customer_payment</t>
        </is>
      </c>
      <c r="I792" t="inlineStr"/>
      <c r="J792" t="inlineStr">
        <is>
          <t>G00021</t>
        </is>
      </c>
      <c r="K792" t="str">
        <f>INDEX('Match Groups'!$D$5:$D$1326,MATCH(J792,'Match Groups'!$A$5:$A$1326,0))</f>
        <v>STRIPE-FEE</v>
      </c>
    </row>
    <row r="793">
      <c r="A793" t="inlineStr">
        <is>
          <t>JI-01996</t>
        </is>
      </c>
      <c r="B793" t="inlineStr">
        <is>
          <t>OPS</t>
        </is>
      </c>
      <c r="C793" s="5" t="n">
        <v>46211</v>
      </c>
      <c r="D793" t="inlineStr">
        <is>
          <t>Stripe patient 98657</t>
        </is>
      </c>
      <c r="E793" t="inlineStr">
        <is>
          <t>INV/2026/03843</t>
        </is>
      </c>
      <c r="F793" t="inlineStr">
        <is>
          <t>Customer payment INV/2026/03843</t>
        </is>
      </c>
      <c r="G793" s="9" t="n">
        <v>120</v>
      </c>
      <c r="H793" t="inlineStr">
        <is>
          <t>customer_payment</t>
        </is>
      </c>
      <c r="I793" t="inlineStr"/>
      <c r="J793" t="inlineStr">
        <is>
          <t>G00021</t>
        </is>
      </c>
      <c r="K793" t="str">
        <f>INDEX('Match Groups'!$D$5:$D$1326,MATCH(J793,'Match Groups'!$A$5:$A$1326,0))</f>
        <v>STRIPE-FEE</v>
      </c>
    </row>
    <row r="794">
      <c r="A794" t="inlineStr">
        <is>
          <t>JI-01997</t>
        </is>
      </c>
      <c r="B794" t="inlineStr">
        <is>
          <t>OPS</t>
        </is>
      </c>
      <c r="C794" s="5" t="n">
        <v>46211</v>
      </c>
      <c r="D794" t="inlineStr">
        <is>
          <t>Stripe patient 21474</t>
        </is>
      </c>
      <c r="E794" t="inlineStr">
        <is>
          <t>INV/2026/03844</t>
        </is>
      </c>
      <c r="F794" t="inlineStr">
        <is>
          <t>Customer payment INV/2026/03844</t>
        </is>
      </c>
      <c r="G794" s="9" t="n">
        <v>95</v>
      </c>
      <c r="H794" t="inlineStr">
        <is>
          <t>customer_payment</t>
        </is>
      </c>
      <c r="I794" t="inlineStr"/>
      <c r="J794" t="inlineStr">
        <is>
          <t>G00021</t>
        </is>
      </c>
      <c r="K794" t="str">
        <f>INDEX('Match Groups'!$D$5:$D$1326,MATCH(J794,'Match Groups'!$A$5:$A$1326,0))</f>
        <v>STRIPE-FEE</v>
      </c>
    </row>
    <row r="795">
      <c r="A795" t="inlineStr">
        <is>
          <t>JI-01998</t>
        </is>
      </c>
      <c r="B795" t="inlineStr">
        <is>
          <t>OPS</t>
        </is>
      </c>
      <c r="C795" s="5" t="n">
        <v>46211</v>
      </c>
      <c r="D795" t="inlineStr">
        <is>
          <t>Stripe patient 55627</t>
        </is>
      </c>
      <c r="E795" t="inlineStr">
        <is>
          <t>INV/2026/03845</t>
        </is>
      </c>
      <c r="F795" t="inlineStr">
        <is>
          <t>Customer payment INV/2026/03845</t>
        </is>
      </c>
      <c r="G795" s="9" t="n">
        <v>180</v>
      </c>
      <c r="H795" t="inlineStr">
        <is>
          <t>customer_payment</t>
        </is>
      </c>
      <c r="I795" t="inlineStr"/>
      <c r="J795" t="inlineStr">
        <is>
          <t>G00021</t>
        </is>
      </c>
      <c r="K795" t="str">
        <f>INDEX('Match Groups'!$D$5:$D$1326,MATCH(J795,'Match Groups'!$A$5:$A$1326,0))</f>
        <v>STRIPE-FEE</v>
      </c>
    </row>
    <row r="796">
      <c r="A796" t="inlineStr">
        <is>
          <t>JI-01999</t>
        </is>
      </c>
      <c r="B796" t="inlineStr">
        <is>
          <t>OPS</t>
        </is>
      </c>
      <c r="C796" s="5" t="n">
        <v>46211</v>
      </c>
      <c r="D796" t="inlineStr">
        <is>
          <t>Stripe patient 88994</t>
        </is>
      </c>
      <c r="E796" t="inlineStr">
        <is>
          <t>INV/2026/03846</t>
        </is>
      </c>
      <c r="F796" t="inlineStr">
        <is>
          <t>Customer payment INV/2026/03846</t>
        </is>
      </c>
      <c r="G796" s="9" t="n">
        <v>220</v>
      </c>
      <c r="H796" t="inlineStr">
        <is>
          <t>customer_payment</t>
        </is>
      </c>
      <c r="I796" t="inlineStr"/>
      <c r="J796" t="inlineStr">
        <is>
          <t>G00021</t>
        </is>
      </c>
      <c r="K796" t="str">
        <f>INDEX('Match Groups'!$D$5:$D$1326,MATCH(J796,'Match Groups'!$A$5:$A$1326,0))</f>
        <v>STRIPE-FEE</v>
      </c>
    </row>
    <row r="797">
      <c r="A797" t="inlineStr">
        <is>
          <t>JI-02000</t>
        </is>
      </c>
      <c r="B797" t="inlineStr">
        <is>
          <t>OPS</t>
        </is>
      </c>
      <c r="C797" s="5" t="n">
        <v>46211</v>
      </c>
      <c r="D797" t="inlineStr">
        <is>
          <t>Stripe patient 79794</t>
        </is>
      </c>
      <c r="E797" t="inlineStr">
        <is>
          <t>INV/2026/03847</t>
        </is>
      </c>
      <c r="F797" t="inlineStr">
        <is>
          <t>Customer payment INV/2026/03847</t>
        </is>
      </c>
      <c r="G797" s="9" t="n">
        <v>95</v>
      </c>
      <c r="H797" t="inlineStr">
        <is>
          <t>customer_payment</t>
        </is>
      </c>
      <c r="I797" t="inlineStr"/>
      <c r="J797" t="inlineStr">
        <is>
          <t>G00021</t>
        </is>
      </c>
      <c r="K797" t="str">
        <f>INDEX('Match Groups'!$D$5:$D$1326,MATCH(J797,'Match Groups'!$A$5:$A$1326,0))</f>
        <v>STRIPE-FEE</v>
      </c>
    </row>
    <row r="798">
      <c r="A798" t="inlineStr">
        <is>
          <t>JI-02001</t>
        </is>
      </c>
      <c r="B798" t="inlineStr">
        <is>
          <t>OPS</t>
        </is>
      </c>
      <c r="C798" s="5" t="n">
        <v>46211</v>
      </c>
      <c r="D798" t="inlineStr">
        <is>
          <t>Stripe patient 23507</t>
        </is>
      </c>
      <c r="E798" t="inlineStr">
        <is>
          <t>INV/2026/03848</t>
        </is>
      </c>
      <c r="F798" t="inlineStr">
        <is>
          <t>Customer payment INV/2026/03848</t>
        </is>
      </c>
      <c r="G798" s="9" t="n">
        <v>180</v>
      </c>
      <c r="H798" t="inlineStr">
        <is>
          <t>customer_payment</t>
        </is>
      </c>
      <c r="I798" t="inlineStr"/>
      <c r="J798" t="inlineStr">
        <is>
          <t>G00021</t>
        </is>
      </c>
      <c r="K798" t="str">
        <f>INDEX('Match Groups'!$D$5:$D$1326,MATCH(J798,'Match Groups'!$A$5:$A$1326,0))</f>
        <v>STRIPE-FEE</v>
      </c>
    </row>
    <row r="799">
      <c r="A799" t="inlineStr">
        <is>
          <t>JI-02002</t>
        </is>
      </c>
      <c r="B799" t="inlineStr">
        <is>
          <t>OPS</t>
        </is>
      </c>
      <c r="C799" s="5" t="n">
        <v>46211</v>
      </c>
      <c r="D799" t="inlineStr">
        <is>
          <t>Stripe patient 46877</t>
        </is>
      </c>
      <c r="E799" t="inlineStr">
        <is>
          <t>INV/2026/03849</t>
        </is>
      </c>
      <c r="F799" t="inlineStr">
        <is>
          <t>Customer payment INV/2026/03849</t>
        </is>
      </c>
      <c r="G799" s="9" t="n">
        <v>110</v>
      </c>
      <c r="H799" t="inlineStr">
        <is>
          <t>customer_payment</t>
        </is>
      </c>
      <c r="I799" t="inlineStr"/>
      <c r="J799" t="inlineStr">
        <is>
          <t>G00021</t>
        </is>
      </c>
      <c r="K799" t="str">
        <f>INDEX('Match Groups'!$D$5:$D$1326,MATCH(J799,'Match Groups'!$A$5:$A$1326,0))</f>
        <v>STRIPE-FEE</v>
      </c>
    </row>
    <row r="800">
      <c r="A800" t="inlineStr">
        <is>
          <t>JI-02003</t>
        </is>
      </c>
      <c r="B800" t="inlineStr">
        <is>
          <t>OPS</t>
        </is>
      </c>
      <c r="C800" s="5" t="n">
        <v>46211</v>
      </c>
      <c r="D800" t="inlineStr">
        <is>
          <t>Stripe patient 61146</t>
        </is>
      </c>
      <c r="E800" t="inlineStr">
        <is>
          <t>INV/2026/03850</t>
        </is>
      </c>
      <c r="F800" t="inlineStr">
        <is>
          <t>Customer payment INV/2026/03850</t>
        </is>
      </c>
      <c r="G800" s="9" t="n">
        <v>120</v>
      </c>
      <c r="H800" t="inlineStr">
        <is>
          <t>customer_payment</t>
        </is>
      </c>
      <c r="I800" t="inlineStr"/>
      <c r="J800" t="inlineStr">
        <is>
          <t>G00021</t>
        </is>
      </c>
      <c r="K800" t="str">
        <f>INDEX('Match Groups'!$D$5:$D$1326,MATCH(J800,'Match Groups'!$A$5:$A$1326,0))</f>
        <v>STRIPE-FEE</v>
      </c>
    </row>
    <row r="801">
      <c r="A801" t="inlineStr">
        <is>
          <t>JI-02004</t>
        </is>
      </c>
      <c r="B801" t="inlineStr">
        <is>
          <t>OPS</t>
        </is>
      </c>
      <c r="C801" s="5" t="n">
        <v>46211</v>
      </c>
      <c r="D801" t="inlineStr">
        <is>
          <t>Stripe patient 92985</t>
        </is>
      </c>
      <c r="E801" t="inlineStr">
        <is>
          <t>INV/2026/03851</t>
        </is>
      </c>
      <c r="F801" t="inlineStr">
        <is>
          <t>Customer payment INV/2026/03851</t>
        </is>
      </c>
      <c r="G801" s="9" t="n">
        <v>220</v>
      </c>
      <c r="H801" t="inlineStr">
        <is>
          <t>customer_payment</t>
        </is>
      </c>
      <c r="I801" t="inlineStr"/>
      <c r="J801" t="inlineStr">
        <is>
          <t>G00021</t>
        </is>
      </c>
      <c r="K801" t="str">
        <f>INDEX('Match Groups'!$D$5:$D$1326,MATCH(J801,'Match Groups'!$A$5:$A$1326,0))</f>
        <v>STRIPE-FEE</v>
      </c>
    </row>
    <row r="802">
      <c r="A802" t="inlineStr">
        <is>
          <t>JI-03721</t>
        </is>
      </c>
      <c r="B802" t="inlineStr">
        <is>
          <t>OPS</t>
        </is>
      </c>
      <c r="C802" s="5" t="n">
        <v>46211</v>
      </c>
      <c r="D802" t="inlineStr">
        <is>
          <t>Allied Med Consumables</t>
        </is>
      </c>
      <c r="E802" t="inlineStr">
        <is>
          <t>BILL/2026/0845</t>
        </is>
      </c>
      <c r="F802" t="inlineStr">
        <is>
          <t>Vendor payment BILL/2026/0845 (BATCH/2026/0412)</t>
        </is>
      </c>
      <c r="G802" s="9" t="n">
        <v>-672.1</v>
      </c>
      <c r="H802" t="inlineStr">
        <is>
          <t>supplier_payment</t>
        </is>
      </c>
      <c r="I802" t="inlineStr">
        <is>
          <t>BATCH/2026/0412</t>
        </is>
      </c>
      <c r="J802" t="inlineStr">
        <is>
          <t>G00506</t>
        </is>
      </c>
      <c r="K802" t="str">
        <f>INDEX('Match Groups'!$D$5:$D$1326,MATCH(J802,'Match Groups'!$A$5:$A$1326,0))</f>
        <v>MATCH</v>
      </c>
    </row>
    <row r="803">
      <c r="A803" t="inlineStr">
        <is>
          <t>JI-03722</t>
        </is>
      </c>
      <c r="B803" t="inlineStr">
        <is>
          <t>OPS</t>
        </is>
      </c>
      <c r="C803" s="5" t="n">
        <v>46211</v>
      </c>
      <c r="D803" t="inlineStr">
        <is>
          <t>Bayside Cleaning Co</t>
        </is>
      </c>
      <c r="E803" t="inlineStr">
        <is>
          <t>BILL/2026/0847</t>
        </is>
      </c>
      <c r="F803" t="inlineStr">
        <is>
          <t>Vendor payment BILL/2026/0847 (BATCH/2026/0412)</t>
        </is>
      </c>
      <c r="G803" s="9" t="n">
        <v>-278.3</v>
      </c>
      <c r="H803" t="inlineStr">
        <is>
          <t>supplier_payment</t>
        </is>
      </c>
      <c r="I803" t="inlineStr">
        <is>
          <t>BATCH/2026/0412</t>
        </is>
      </c>
      <c r="J803" t="inlineStr">
        <is>
          <t>G00506</t>
        </is>
      </c>
      <c r="K803" t="str">
        <f>INDEX('Match Groups'!$D$5:$D$1326,MATCH(J803,'Match Groups'!$A$5:$A$1326,0))</f>
        <v>MATCH</v>
      </c>
    </row>
    <row r="804">
      <c r="A804" t="inlineStr">
        <is>
          <t>JI-03723</t>
        </is>
      </c>
      <c r="B804" t="inlineStr">
        <is>
          <t>OPS</t>
        </is>
      </c>
      <c r="C804" s="5" t="n">
        <v>46211</v>
      </c>
      <c r="D804" t="inlineStr">
        <is>
          <t>Bayside Cleaning Co</t>
        </is>
      </c>
      <c r="E804" t="inlineStr">
        <is>
          <t>BILL/2026/0849</t>
        </is>
      </c>
      <c r="F804" t="inlineStr">
        <is>
          <t>Vendor payment BILL/2026/0849 (BATCH/2026/0412)</t>
        </is>
      </c>
      <c r="G804" s="9" t="n">
        <v>-1246.3</v>
      </c>
      <c r="H804" t="inlineStr">
        <is>
          <t>supplier_payment</t>
        </is>
      </c>
      <c r="I804" t="inlineStr">
        <is>
          <t>BATCH/2026/0412</t>
        </is>
      </c>
      <c r="J804" t="inlineStr">
        <is>
          <t>G00506</t>
        </is>
      </c>
      <c r="K804" t="str">
        <f>INDEX('Match Groups'!$D$5:$D$1326,MATCH(J804,'Match Groups'!$A$5:$A$1326,0))</f>
        <v>MATCH</v>
      </c>
    </row>
    <row r="805">
      <c r="A805" t="inlineStr">
        <is>
          <t>JI-03724</t>
        </is>
      </c>
      <c r="B805" t="inlineStr">
        <is>
          <t>OPS</t>
        </is>
      </c>
      <c r="C805" s="5" t="n">
        <v>46211</v>
      </c>
      <c r="D805" t="inlineStr">
        <is>
          <t>Bayside Cleaning Co</t>
        </is>
      </c>
      <c r="E805" t="inlineStr">
        <is>
          <t>BILL/2026/0850</t>
        </is>
      </c>
      <c r="F805" t="inlineStr">
        <is>
          <t>Vendor payment BILL/2026/0850 (BATCH/2026/0412)</t>
        </is>
      </c>
      <c r="G805" s="9" t="n">
        <v>-696.3</v>
      </c>
      <c r="H805" t="inlineStr">
        <is>
          <t>supplier_payment</t>
        </is>
      </c>
      <c r="I805" t="inlineStr">
        <is>
          <t>BATCH/2026/0412</t>
        </is>
      </c>
      <c r="J805" t="inlineStr">
        <is>
          <t>G00506</t>
        </is>
      </c>
      <c r="K805" t="str">
        <f>INDEX('Match Groups'!$D$5:$D$1326,MATCH(J805,'Match Groups'!$A$5:$A$1326,0))</f>
        <v>MATCH</v>
      </c>
    </row>
    <row r="806">
      <c r="A806" t="inlineStr">
        <is>
          <t>JI-03725</t>
        </is>
      </c>
      <c r="B806" t="inlineStr">
        <is>
          <t>OPS</t>
        </is>
      </c>
      <c r="C806" s="5" t="n">
        <v>46211</v>
      </c>
      <c r="D806" t="inlineStr">
        <is>
          <t>Southside Couriers</t>
        </is>
      </c>
      <c r="E806" t="inlineStr">
        <is>
          <t>BILL/2026/0846</t>
        </is>
      </c>
      <c r="F806" t="inlineStr">
        <is>
          <t>Vendor payment BILL/2026/0846 (BATCH/2026/0412)</t>
        </is>
      </c>
      <c r="G806" s="9" t="n">
        <v>-2456.3</v>
      </c>
      <c r="H806" t="inlineStr">
        <is>
          <t>supplier_payment</t>
        </is>
      </c>
      <c r="I806" t="inlineStr">
        <is>
          <t>BATCH/2026/0412</t>
        </is>
      </c>
      <c r="J806" t="inlineStr">
        <is>
          <t>G00506</t>
        </is>
      </c>
      <c r="K806" t="str">
        <f>INDEX('Match Groups'!$D$5:$D$1326,MATCH(J806,'Match Groups'!$A$5:$A$1326,0))</f>
        <v>MATCH</v>
      </c>
    </row>
    <row r="807">
      <c r="A807" t="inlineStr">
        <is>
          <t>JI-03726</t>
        </is>
      </c>
      <c r="B807" t="inlineStr">
        <is>
          <t>OPS</t>
        </is>
      </c>
      <c r="C807" s="5" t="n">
        <v>46211</v>
      </c>
      <c r="D807" t="inlineStr">
        <is>
          <t>Kinetic Gym Equipment</t>
        </is>
      </c>
      <c r="E807" t="inlineStr">
        <is>
          <t>BILL/2026/0848</t>
        </is>
      </c>
      <c r="F807" t="inlineStr">
        <is>
          <t>Vendor payment BILL/2026/0848 (BATCH/2026/0412)</t>
        </is>
      </c>
      <c r="G807" s="9" t="n">
        <v>-507.1</v>
      </c>
      <c r="H807" t="inlineStr">
        <is>
          <t>supplier_payment</t>
        </is>
      </c>
      <c r="I807" t="inlineStr">
        <is>
          <t>BATCH/2026/0412</t>
        </is>
      </c>
      <c r="J807" t="inlineStr">
        <is>
          <t>G00506</t>
        </is>
      </c>
      <c r="K807" t="str">
        <f>INDEX('Match Groups'!$D$5:$D$1326,MATCH(J807,'Match Groups'!$A$5:$A$1326,0))</f>
        <v>MATCH</v>
      </c>
    </row>
    <row r="808">
      <c r="A808" t="inlineStr">
        <is>
          <t>JI-03727</t>
        </is>
      </c>
      <c r="B808" t="inlineStr">
        <is>
          <t>OPS</t>
        </is>
      </c>
      <c r="C808" s="5" t="n">
        <v>46211</v>
      </c>
      <c r="D808" t="inlineStr">
        <is>
          <t>Brightline Signage</t>
        </is>
      </c>
      <c r="E808" t="inlineStr">
        <is>
          <t>BILL/2026/0841</t>
        </is>
      </c>
      <c r="F808" t="inlineStr">
        <is>
          <t>Vendor payment BILL/2026/0841 (BATCH/2026/0412)</t>
        </is>
      </c>
      <c r="G808" s="9" t="n">
        <v>-1662.1</v>
      </c>
      <c r="H808" t="inlineStr">
        <is>
          <t>supplier_payment</t>
        </is>
      </c>
      <c r="I808" t="inlineStr">
        <is>
          <t>BATCH/2026/0412</t>
        </is>
      </c>
      <c r="J808" t="inlineStr">
        <is>
          <t>G00506</t>
        </is>
      </c>
      <c r="K808" t="str">
        <f>INDEX('Match Groups'!$D$5:$D$1326,MATCH(J808,'Match Groups'!$A$5:$A$1326,0))</f>
        <v>MATCH</v>
      </c>
    </row>
    <row r="809">
      <c r="A809" t="inlineStr">
        <is>
          <t>JI-03728</t>
        </is>
      </c>
      <c r="B809" t="inlineStr">
        <is>
          <t>OPS</t>
        </is>
      </c>
      <c r="C809" s="5" t="n">
        <v>46211</v>
      </c>
      <c r="D809" t="inlineStr">
        <is>
          <t>Coolroom HVAC Services</t>
        </is>
      </c>
      <c r="E809" t="inlineStr">
        <is>
          <t>BILL/2026/0842</t>
        </is>
      </c>
      <c r="F809" t="inlineStr">
        <is>
          <t>Vendor payment BILL/2026/0842 (BATCH/2026/0412)</t>
        </is>
      </c>
      <c r="G809" s="9" t="n">
        <v>-5940</v>
      </c>
      <c r="H809" t="inlineStr">
        <is>
          <t>supplier_payment</t>
        </is>
      </c>
      <c r="I809" t="inlineStr">
        <is>
          <t>BATCH/2026/0412</t>
        </is>
      </c>
      <c r="J809" t="inlineStr">
        <is>
          <t>G00506</t>
        </is>
      </c>
      <c r="K809" t="str">
        <f>INDEX('Match Groups'!$D$5:$D$1326,MATCH(J809,'Match Groups'!$A$5:$A$1326,0))</f>
        <v>MATCH</v>
      </c>
    </row>
    <row r="810">
      <c r="A810" t="inlineStr">
        <is>
          <t>JI-03729</t>
        </is>
      </c>
      <c r="B810" t="inlineStr">
        <is>
          <t>OPS</t>
        </is>
      </c>
      <c r="C810" s="5" t="n">
        <v>46211</v>
      </c>
      <c r="D810" t="inlineStr">
        <is>
          <t>Northern Pest Control</t>
        </is>
      </c>
      <c r="E810" t="inlineStr">
        <is>
          <t>BILL/2026/0807</t>
        </is>
      </c>
      <c r="F810" t="inlineStr">
        <is>
          <t>Vendor payment BILL/2026/0807 (BATCH/2026/0412)</t>
        </is>
      </c>
      <c r="G810" s="9" t="n">
        <v>-2456.3</v>
      </c>
      <c r="H810" t="inlineStr">
        <is>
          <t>supplier_payment</t>
        </is>
      </c>
      <c r="I810" t="inlineStr">
        <is>
          <t>BATCH/2026/0412</t>
        </is>
      </c>
      <c r="J810" t="inlineStr">
        <is>
          <t>G00506</t>
        </is>
      </c>
      <c r="K810" t="str">
        <f>INDEX('Match Groups'!$D$5:$D$1326,MATCH(J810,'Match Groups'!$A$5:$A$1326,0))</f>
        <v>MATCH</v>
      </c>
    </row>
    <row r="811">
      <c r="A811" t="inlineStr">
        <is>
          <t>JI-03730</t>
        </is>
      </c>
      <c r="B811" t="inlineStr">
        <is>
          <t>OPS</t>
        </is>
      </c>
      <c r="C811" s="5" t="n">
        <v>46211</v>
      </c>
      <c r="D811" t="inlineStr">
        <is>
          <t>Northern Pest Control</t>
        </is>
      </c>
      <c r="E811" t="inlineStr">
        <is>
          <t>BILL/2026/0825</t>
        </is>
      </c>
      <c r="F811" t="inlineStr">
        <is>
          <t>Vendor payment BILL/2026/0825 (BATCH/2026/0412)</t>
        </is>
      </c>
      <c r="G811" s="9" t="n">
        <v>-385</v>
      </c>
      <c r="H811" t="inlineStr">
        <is>
          <t>supplier_payment</t>
        </is>
      </c>
      <c r="I811" t="inlineStr">
        <is>
          <t>BATCH/2026/0412</t>
        </is>
      </c>
      <c r="J811" t="inlineStr">
        <is>
          <t>G00506</t>
        </is>
      </c>
      <c r="K811" t="str">
        <f>INDEX('Match Groups'!$D$5:$D$1326,MATCH(J811,'Match Groups'!$A$5:$A$1326,0))</f>
        <v>MATCH</v>
      </c>
    </row>
    <row r="812">
      <c r="A812" t="inlineStr">
        <is>
          <t>JI-03731</t>
        </is>
      </c>
      <c r="B812" t="inlineStr">
        <is>
          <t>OPS</t>
        </is>
      </c>
      <c r="C812" s="5" t="n">
        <v>46211</v>
      </c>
      <c r="D812" t="inlineStr">
        <is>
          <t>Medilab Pathology</t>
        </is>
      </c>
      <c r="E812" t="inlineStr">
        <is>
          <t>BILL/2026/0813</t>
        </is>
      </c>
      <c r="F812" t="inlineStr">
        <is>
          <t>Vendor payment BILL/2026/0813 (BATCH/2026/0412)</t>
        </is>
      </c>
      <c r="G812" s="9" t="n">
        <v>-165</v>
      </c>
      <c r="H812" t="inlineStr">
        <is>
          <t>supplier_payment</t>
        </is>
      </c>
      <c r="I812" t="inlineStr">
        <is>
          <t>BATCH/2026/0412</t>
        </is>
      </c>
      <c r="J812" t="inlineStr">
        <is>
          <t>G00506</t>
        </is>
      </c>
      <c r="K812" t="str">
        <f>INDEX('Match Groups'!$D$5:$D$1326,MATCH(J812,'Match Groups'!$A$5:$A$1326,0))</f>
        <v>MATCH</v>
      </c>
    </row>
    <row r="813">
      <c r="A813" t="inlineStr">
        <is>
          <t>JI-03732</t>
        </is>
      </c>
      <c r="B813" t="inlineStr">
        <is>
          <t>OPS</t>
        </is>
      </c>
      <c r="C813" s="5" t="n">
        <v>46211</v>
      </c>
      <c r="D813" t="inlineStr">
        <is>
          <t>Locum Physio Agency</t>
        </is>
      </c>
      <c r="E813" t="inlineStr">
        <is>
          <t>BILL/2026/0815</t>
        </is>
      </c>
      <c r="F813" t="inlineStr">
        <is>
          <t>Vendor payment BILL/2026/0815 (BATCH/2026/0412)</t>
        </is>
      </c>
      <c r="G813" s="9" t="n">
        <v>-660</v>
      </c>
      <c r="H813" t="inlineStr">
        <is>
          <t>supplier_payment</t>
        </is>
      </c>
      <c r="I813" t="inlineStr">
        <is>
          <t>BATCH/2026/0412</t>
        </is>
      </c>
      <c r="J813" t="inlineStr">
        <is>
          <t>G00506</t>
        </is>
      </c>
      <c r="K813" t="str">
        <f>INDEX('Match Groups'!$D$5:$D$1326,MATCH(J813,'Match Groups'!$A$5:$A$1326,0))</f>
        <v>MATCH</v>
      </c>
    </row>
    <row r="814">
      <c r="A814" t="inlineStr">
        <is>
          <t>JI-03733</t>
        </is>
      </c>
      <c r="B814" t="inlineStr">
        <is>
          <t>OPS</t>
        </is>
      </c>
      <c r="C814" s="5" t="n">
        <v>46211</v>
      </c>
      <c r="D814" t="inlineStr">
        <is>
          <t>Locum Physio Agency</t>
        </is>
      </c>
      <c r="E814" t="inlineStr">
        <is>
          <t>BILL/2026/0829</t>
        </is>
      </c>
      <c r="F814" t="inlineStr">
        <is>
          <t>Vendor payment BILL/2026/0829 (BATCH/2026/0412)</t>
        </is>
      </c>
      <c r="G814" s="9" t="n">
        <v>-1686.3</v>
      </c>
      <c r="H814" t="inlineStr">
        <is>
          <t>supplier_payment</t>
        </is>
      </c>
      <c r="I814" t="inlineStr">
        <is>
          <t>BATCH/2026/0412</t>
        </is>
      </c>
      <c r="J814" t="inlineStr">
        <is>
          <t>G00506</t>
        </is>
      </c>
      <c r="K814" t="str">
        <f>INDEX('Match Groups'!$D$5:$D$1326,MATCH(J814,'Match Groups'!$A$5:$A$1326,0))</f>
        <v>MATCH</v>
      </c>
    </row>
    <row r="815">
      <c r="A815" t="inlineStr">
        <is>
          <t>JI-03734</t>
        </is>
      </c>
      <c r="B815" t="inlineStr">
        <is>
          <t>OPS</t>
        </is>
      </c>
      <c r="C815" s="5" t="n">
        <v>46211</v>
      </c>
      <c r="D815" t="inlineStr">
        <is>
          <t>Clinical Education Hub</t>
        </is>
      </c>
      <c r="E815" t="inlineStr">
        <is>
          <t>BILL/2026/0820</t>
        </is>
      </c>
      <c r="F815" t="inlineStr">
        <is>
          <t>Vendor payment BILL/2026/0820 (BATCH/2026/0412)</t>
        </is>
      </c>
      <c r="G815" s="9" t="n">
        <v>-5940</v>
      </c>
      <c r="H815" t="inlineStr">
        <is>
          <t>supplier_payment</t>
        </is>
      </c>
      <c r="I815" t="inlineStr">
        <is>
          <t>BATCH/2026/0412</t>
        </is>
      </c>
      <c r="J815" t="inlineStr">
        <is>
          <t>G00506</t>
        </is>
      </c>
      <c r="K815" t="str">
        <f>INDEX('Match Groups'!$D$5:$D$1326,MATCH(J815,'Match Groups'!$A$5:$A$1326,0))</f>
        <v>MATCH</v>
      </c>
    </row>
    <row r="816">
      <c r="A816" t="inlineStr">
        <is>
          <t>JI-03735</t>
        </is>
      </c>
      <c r="B816" t="inlineStr">
        <is>
          <t>OPS</t>
        </is>
      </c>
      <c r="C816" s="5" t="n">
        <v>46211</v>
      </c>
      <c r="D816" t="inlineStr">
        <is>
          <t>Ergo Furniture Co</t>
        </is>
      </c>
      <c r="E816" t="inlineStr">
        <is>
          <t>BILL/2026/0801</t>
        </is>
      </c>
      <c r="F816" t="inlineStr">
        <is>
          <t>Vendor payment BILL/2026/0801 (BATCH/2026/0412)</t>
        </is>
      </c>
      <c r="G816" s="9" t="n">
        <v>-916.3</v>
      </c>
      <c r="H816" t="inlineStr">
        <is>
          <t>supplier_payment</t>
        </is>
      </c>
      <c r="I816" t="inlineStr">
        <is>
          <t>BATCH/2026/0412</t>
        </is>
      </c>
      <c r="J816" t="inlineStr">
        <is>
          <t>G00506</t>
        </is>
      </c>
      <c r="K816" t="str">
        <f>INDEX('Match Groups'!$D$5:$D$1326,MATCH(J816,'Match Groups'!$A$5:$A$1326,0))</f>
        <v>MATCH</v>
      </c>
    </row>
    <row r="817">
      <c r="A817" t="inlineStr">
        <is>
          <t>JI-03736</t>
        </is>
      </c>
      <c r="B817" t="inlineStr">
        <is>
          <t>OPS</t>
        </is>
      </c>
      <c r="C817" s="5" t="n">
        <v>46211</v>
      </c>
      <c r="D817" t="inlineStr">
        <is>
          <t>Ergo Furniture Co</t>
        </is>
      </c>
      <c r="E817" t="inlineStr">
        <is>
          <t>BILL/2026/0804</t>
        </is>
      </c>
      <c r="F817" t="inlineStr">
        <is>
          <t>Vendor payment BILL/2026/0804 (BATCH/2026/0412)</t>
        </is>
      </c>
      <c r="G817" s="9" t="n">
        <v>-660</v>
      </c>
      <c r="H817" t="inlineStr">
        <is>
          <t>supplier_payment</t>
        </is>
      </c>
      <c r="I817" t="inlineStr">
        <is>
          <t>BATCH/2026/0412</t>
        </is>
      </c>
      <c r="J817" t="inlineStr">
        <is>
          <t>G00506</t>
        </is>
      </c>
      <c r="K817" t="str">
        <f>INDEX('Match Groups'!$D$5:$D$1326,MATCH(J817,'Match Groups'!$A$5:$A$1326,0))</f>
        <v>MATCH</v>
      </c>
    </row>
    <row r="818">
      <c r="A818" t="inlineStr">
        <is>
          <t>JI-03737</t>
        </is>
      </c>
      <c r="B818" t="inlineStr">
        <is>
          <t>OPS</t>
        </is>
      </c>
      <c r="C818" s="5" t="n">
        <v>46211</v>
      </c>
      <c r="D818" t="inlineStr">
        <is>
          <t>Ergo Furniture Co</t>
        </is>
      </c>
      <c r="E818" t="inlineStr">
        <is>
          <t>BILL/2026/0811</t>
        </is>
      </c>
      <c r="F818" t="inlineStr">
        <is>
          <t>Vendor payment BILL/2026/0811 (BATCH/2026/0412)</t>
        </is>
      </c>
      <c r="G818" s="9" t="n">
        <v>-3862.1</v>
      </c>
      <c r="H818" t="inlineStr">
        <is>
          <t>supplier_payment</t>
        </is>
      </c>
      <c r="I818" t="inlineStr">
        <is>
          <t>BATCH/2026/0412</t>
        </is>
      </c>
      <c r="J818" t="inlineStr">
        <is>
          <t>G00506</t>
        </is>
      </c>
      <c r="K818" t="str">
        <f>INDEX('Match Groups'!$D$5:$D$1326,MATCH(J818,'Match Groups'!$A$5:$A$1326,0))</f>
        <v>MATCH</v>
      </c>
    </row>
    <row r="819">
      <c r="A819" t="inlineStr">
        <is>
          <t>JI-03738</t>
        </is>
      </c>
      <c r="B819" t="inlineStr">
        <is>
          <t>OPS</t>
        </is>
      </c>
      <c r="C819" s="5" t="n">
        <v>46211</v>
      </c>
      <c r="D819" t="inlineStr">
        <is>
          <t>Ergo Furniture Co</t>
        </is>
      </c>
      <c r="E819" t="inlineStr">
        <is>
          <t>BILL/2026/0826</t>
        </is>
      </c>
      <c r="F819" t="inlineStr">
        <is>
          <t>Vendor payment BILL/2026/0826 (BATCH/2026/0412)</t>
        </is>
      </c>
      <c r="G819" s="9" t="n">
        <v>-2420</v>
      </c>
      <c r="H819" t="inlineStr">
        <is>
          <t>supplier_payment</t>
        </is>
      </c>
      <c r="I819" t="inlineStr">
        <is>
          <t>BATCH/2026/0412</t>
        </is>
      </c>
      <c r="J819" t="inlineStr">
        <is>
          <t>G00506</t>
        </is>
      </c>
      <c r="K819" t="str">
        <f>INDEX('Match Groups'!$D$5:$D$1326,MATCH(J819,'Match Groups'!$A$5:$A$1326,0))</f>
        <v>MATCH</v>
      </c>
    </row>
    <row r="820">
      <c r="A820" t="inlineStr">
        <is>
          <t>JI-03739</t>
        </is>
      </c>
      <c r="B820" t="inlineStr">
        <is>
          <t>OPS</t>
        </is>
      </c>
      <c r="C820" s="5" t="n">
        <v>46211</v>
      </c>
      <c r="D820" t="inlineStr">
        <is>
          <t>Prime Print Services</t>
        </is>
      </c>
      <c r="E820" t="inlineStr">
        <is>
          <t>BILL/2026/0821</t>
        </is>
      </c>
      <c r="F820" t="inlineStr">
        <is>
          <t>Vendor payment BILL/2026/0821 (BATCH/2026/0412)</t>
        </is>
      </c>
      <c r="G820" s="9" t="n">
        <v>-495</v>
      </c>
      <c r="H820" t="inlineStr">
        <is>
          <t>supplier_payment</t>
        </is>
      </c>
      <c r="I820" t="inlineStr">
        <is>
          <t>BATCH/2026/0412</t>
        </is>
      </c>
      <c r="J820" t="inlineStr">
        <is>
          <t>G00506</t>
        </is>
      </c>
      <c r="K820" t="str">
        <f>INDEX('Match Groups'!$D$5:$D$1326,MATCH(J820,'Match Groups'!$A$5:$A$1326,0))</f>
        <v>MATCH</v>
      </c>
    </row>
    <row r="821">
      <c r="A821" t="inlineStr">
        <is>
          <t>JI-03740</t>
        </is>
      </c>
      <c r="B821" t="inlineStr">
        <is>
          <t>OPS</t>
        </is>
      </c>
      <c r="C821" s="5" t="n">
        <v>46211</v>
      </c>
      <c r="D821" t="inlineStr">
        <is>
          <t>Prime Print Services</t>
        </is>
      </c>
      <c r="E821" t="inlineStr">
        <is>
          <t>BILL/2026/0827</t>
        </is>
      </c>
      <c r="F821" t="inlineStr">
        <is>
          <t>Vendor payment BILL/2026/0827 (BATCH/2026/0412)</t>
        </is>
      </c>
      <c r="G821" s="9" t="n">
        <v>-495</v>
      </c>
      <c r="H821" t="inlineStr">
        <is>
          <t>supplier_payment</t>
        </is>
      </c>
      <c r="I821" t="inlineStr">
        <is>
          <t>BATCH/2026/0412</t>
        </is>
      </c>
      <c r="J821" t="inlineStr">
        <is>
          <t>G00506</t>
        </is>
      </c>
      <c r="K821" t="str">
        <f>INDEX('Match Groups'!$D$5:$D$1326,MATCH(J821,'Match Groups'!$A$5:$A$1326,0))</f>
        <v>MATCH</v>
      </c>
    </row>
    <row r="822">
      <c r="A822" t="inlineStr">
        <is>
          <t>JI-03741</t>
        </is>
      </c>
      <c r="B822" t="inlineStr">
        <is>
          <t>OPS</t>
        </is>
      </c>
      <c r="C822" s="5" t="n">
        <v>46211</v>
      </c>
      <c r="D822" t="inlineStr">
        <is>
          <t>Prime Print Services</t>
        </is>
      </c>
      <c r="E822" t="inlineStr">
        <is>
          <t>BILL/2026/0832</t>
        </is>
      </c>
      <c r="F822" t="inlineStr">
        <is>
          <t>Vendor payment BILL/2026/0832 (BATCH/2026/0412)</t>
        </is>
      </c>
      <c r="G822" s="9" t="n">
        <v>-2420</v>
      </c>
      <c r="H822" t="inlineStr">
        <is>
          <t>supplier_payment</t>
        </is>
      </c>
      <c r="I822" t="inlineStr">
        <is>
          <t>BATCH/2026/0412</t>
        </is>
      </c>
      <c r="J822" t="inlineStr">
        <is>
          <t>G00506</t>
        </is>
      </c>
      <c r="K822" t="str">
        <f>INDEX('Match Groups'!$D$5:$D$1326,MATCH(J822,'Match Groups'!$A$5:$A$1326,0))</f>
        <v>MATCH</v>
      </c>
    </row>
    <row r="823">
      <c r="A823" t="inlineStr">
        <is>
          <t>JI-03742</t>
        </is>
      </c>
      <c r="B823" t="inlineStr">
        <is>
          <t>OPS</t>
        </is>
      </c>
      <c r="C823" s="5" t="n">
        <v>46211</v>
      </c>
      <c r="D823" t="inlineStr">
        <is>
          <t>Prime Print Services</t>
        </is>
      </c>
      <c r="E823" t="inlineStr">
        <is>
          <t>BILL/2026/0834</t>
        </is>
      </c>
      <c r="F823" t="inlineStr">
        <is>
          <t>Vendor payment BILL/2026/0834 (BATCH/2026/0412)</t>
        </is>
      </c>
      <c r="G823" s="9" t="n">
        <v>-5976.3</v>
      </c>
      <c r="H823" t="inlineStr">
        <is>
          <t>supplier_payment</t>
        </is>
      </c>
      <c r="I823" t="inlineStr">
        <is>
          <t>BATCH/2026/0412</t>
        </is>
      </c>
      <c r="J823" t="inlineStr">
        <is>
          <t>G00506</t>
        </is>
      </c>
      <c r="K823" t="str">
        <f>INDEX('Match Groups'!$D$5:$D$1326,MATCH(J823,'Match Groups'!$A$5:$A$1326,0))</f>
        <v>MATCH</v>
      </c>
    </row>
    <row r="824">
      <c r="A824" t="inlineStr">
        <is>
          <t>JI-00193</t>
        </is>
      </c>
      <c r="B824" t="inlineStr">
        <is>
          <t>OPS</t>
        </is>
      </c>
      <c r="C824" s="5" t="n">
        <v>46212</v>
      </c>
      <c r="D824" t="inlineStr">
        <is>
          <t>Bluegum Plan Management</t>
        </is>
      </c>
      <c r="E824" t="inlineStr">
        <is>
          <t>INV/2026/01498</t>
        </is>
      </c>
      <c r="F824" t="inlineStr">
        <is>
          <t>Customer payment INV/2026/01498</t>
        </is>
      </c>
      <c r="G824" s="9" t="n">
        <v>446.18</v>
      </c>
      <c r="H824" t="inlineStr">
        <is>
          <t>customer_payment</t>
        </is>
      </c>
      <c r="I824" t="inlineStr"/>
      <c r="J824" t="inlineStr">
        <is>
          <t>G00122</t>
        </is>
      </c>
      <c r="K824" t="str">
        <f>INDEX('Match Groups'!$D$5:$D$1326,MATCH(J824,'Match Groups'!$A$5:$A$1326,0))</f>
        <v>MATCH</v>
      </c>
    </row>
    <row r="825">
      <c r="A825" t="inlineStr">
        <is>
          <t>JI-00194</t>
        </is>
      </c>
      <c r="B825" t="inlineStr">
        <is>
          <t>OPS</t>
        </is>
      </c>
      <c r="C825" s="5" t="n">
        <v>46212</v>
      </c>
      <c r="D825" t="inlineStr">
        <is>
          <t>Bluegum Plan Management</t>
        </is>
      </c>
      <c r="E825" t="inlineStr">
        <is>
          <t>INV/2026/01499</t>
        </is>
      </c>
      <c r="F825" t="inlineStr">
        <is>
          <t>Customer payment INV/2026/01499</t>
        </is>
      </c>
      <c r="G825" s="9" t="n">
        <v>446.18</v>
      </c>
      <c r="H825" t="inlineStr">
        <is>
          <t>customer_payment</t>
        </is>
      </c>
      <c r="I825" t="inlineStr"/>
      <c r="J825" t="inlineStr">
        <is>
          <t>G00122</t>
        </is>
      </c>
      <c r="K825" t="str">
        <f>INDEX('Match Groups'!$D$5:$D$1326,MATCH(J825,'Match Groups'!$A$5:$A$1326,0))</f>
        <v>MATCH</v>
      </c>
    </row>
    <row r="826">
      <c r="A826" t="inlineStr">
        <is>
          <t>JI-00195</t>
        </is>
      </c>
      <c r="B826" t="inlineStr">
        <is>
          <t>OPS</t>
        </is>
      </c>
      <c r="C826" s="5" t="n">
        <v>46212</v>
      </c>
      <c r="D826" t="inlineStr">
        <is>
          <t>Clearpath NDIS Plans</t>
        </is>
      </c>
      <c r="E826" t="inlineStr">
        <is>
          <t>INV/2026/01847</t>
        </is>
      </c>
      <c r="F826" t="inlineStr">
        <is>
          <t>Customer payment INV/2026/01847</t>
        </is>
      </c>
      <c r="G826" s="9" t="n">
        <v>126.99</v>
      </c>
      <c r="H826" t="inlineStr">
        <is>
          <t>customer_payment</t>
        </is>
      </c>
      <c r="I826" t="inlineStr"/>
      <c r="J826" t="inlineStr">
        <is>
          <t>G00123</t>
        </is>
      </c>
      <c r="K826" t="str">
        <f>INDEX('Match Groups'!$D$5:$D$1326,MATCH(J826,'Match Groups'!$A$5:$A$1326,0))</f>
        <v>SHORT</v>
      </c>
    </row>
    <row r="827">
      <c r="A827" t="inlineStr">
        <is>
          <t>JI-00196</t>
        </is>
      </c>
      <c r="B827" t="inlineStr">
        <is>
          <t>OPS</t>
        </is>
      </c>
      <c r="C827" s="5" t="n">
        <v>46212</v>
      </c>
      <c r="D827" t="inlineStr">
        <is>
          <t>Clearpath NDIS Plans</t>
        </is>
      </c>
      <c r="E827" t="inlineStr">
        <is>
          <t>INV/2026/01848</t>
        </is>
      </c>
      <c r="F827" t="inlineStr">
        <is>
          <t>Customer payment INV/2026/01848</t>
        </is>
      </c>
      <c r="G827" s="9" t="n">
        <v>155.19</v>
      </c>
      <c r="H827" t="inlineStr">
        <is>
          <t>customer_payment</t>
        </is>
      </c>
      <c r="I827" t="inlineStr"/>
      <c r="J827" t="inlineStr">
        <is>
          <t>G00123</t>
        </is>
      </c>
      <c r="K827" t="str">
        <f>INDEX('Match Groups'!$D$5:$D$1326,MATCH(J827,'Match Groups'!$A$5:$A$1326,0))</f>
        <v>SHORT</v>
      </c>
    </row>
    <row r="828">
      <c r="A828" t="inlineStr">
        <is>
          <t>JI-00197</t>
        </is>
      </c>
      <c r="B828" t="inlineStr">
        <is>
          <t>OPS</t>
        </is>
      </c>
      <c r="C828" s="5" t="n">
        <v>46212</v>
      </c>
      <c r="D828" t="inlineStr">
        <is>
          <t>Clearpath NDIS Plans</t>
        </is>
      </c>
      <c r="E828" t="inlineStr">
        <is>
          <t>INV/2026/01876</t>
        </is>
      </c>
      <c r="F828" t="inlineStr">
        <is>
          <t>Customer payment INV/2026/01876</t>
        </is>
      </c>
      <c r="G828" s="9" t="n">
        <v>96.98999999999999</v>
      </c>
      <c r="H828" t="inlineStr">
        <is>
          <t>customer_payment</t>
        </is>
      </c>
      <c r="I828" t="inlineStr"/>
      <c r="J828" t="inlineStr">
        <is>
          <t>G00123</t>
        </is>
      </c>
      <c r="K828" t="str">
        <f>INDEX('Match Groups'!$D$5:$D$1326,MATCH(J828,'Match Groups'!$A$5:$A$1326,0))</f>
        <v>SHORT</v>
      </c>
    </row>
    <row r="829">
      <c r="A829" t="inlineStr">
        <is>
          <t>JI-00200</t>
        </is>
      </c>
      <c r="B829" t="inlineStr">
        <is>
          <t>OPS</t>
        </is>
      </c>
      <c r="C829" s="5" t="n">
        <v>46212</v>
      </c>
      <c r="D829" t="inlineStr">
        <is>
          <t>Southern Cross Plan Mgmt</t>
        </is>
      </c>
      <c r="E829" t="inlineStr">
        <is>
          <t>INV/2026/01467</t>
        </is>
      </c>
      <c r="F829" t="inlineStr">
        <is>
          <t>Customer payment INV/2026/01467</t>
        </is>
      </c>
      <c r="G829" s="9" t="n">
        <v>349.18</v>
      </c>
      <c r="H829" t="inlineStr">
        <is>
          <t>customer_payment</t>
        </is>
      </c>
      <c r="I829" t="inlineStr"/>
      <c r="J829" t="inlineStr">
        <is>
          <t>G00125</t>
        </is>
      </c>
      <c r="K829" t="str">
        <f>INDEX('Match Groups'!$D$5:$D$1326,MATCH(J829,'Match Groups'!$A$5:$A$1326,0))</f>
        <v>MATCH</v>
      </c>
    </row>
    <row r="830">
      <c r="A830" t="inlineStr">
        <is>
          <t>JI-00201</t>
        </is>
      </c>
      <c r="B830" t="inlineStr">
        <is>
          <t>OPS</t>
        </is>
      </c>
      <c r="C830" s="5" t="n">
        <v>46212</v>
      </c>
      <c r="D830" t="inlineStr">
        <is>
          <t>Southern Cross Plan Mgmt</t>
        </is>
      </c>
      <c r="E830" t="inlineStr">
        <is>
          <t>INV/2026/01487</t>
        </is>
      </c>
      <c r="F830" t="inlineStr">
        <is>
          <t>Customer payment INV/2026/01487</t>
        </is>
      </c>
      <c r="G830" s="9" t="n">
        <v>252.19</v>
      </c>
      <c r="H830" t="inlineStr">
        <is>
          <t>customer_payment</t>
        </is>
      </c>
      <c r="I830" t="inlineStr"/>
      <c r="J830" t="inlineStr">
        <is>
          <t>G00125</t>
        </is>
      </c>
      <c r="K830" t="str">
        <f>INDEX('Match Groups'!$D$5:$D$1326,MATCH(J830,'Match Groups'!$A$5:$A$1326,0))</f>
        <v>MATCH</v>
      </c>
    </row>
    <row r="831">
      <c r="A831" t="inlineStr">
        <is>
          <t>JI-00202</t>
        </is>
      </c>
      <c r="B831" t="inlineStr">
        <is>
          <t>OPS</t>
        </is>
      </c>
      <c r="C831" s="5" t="n">
        <v>46212</v>
      </c>
      <c r="D831" t="inlineStr">
        <is>
          <t>Lyrebird Plan Management</t>
        </is>
      </c>
      <c r="E831" t="inlineStr">
        <is>
          <t>INV/2026/01470</t>
        </is>
      </c>
      <c r="F831" t="inlineStr">
        <is>
          <t>Customer payment INV/2026/01470</t>
        </is>
      </c>
      <c r="G831" s="9" t="n">
        <v>193.99</v>
      </c>
      <c r="H831" t="inlineStr">
        <is>
          <t>customer_payment</t>
        </is>
      </c>
      <c r="I831" t="inlineStr"/>
      <c r="J831" t="inlineStr">
        <is>
          <t>G00126</t>
        </is>
      </c>
      <c r="K831" t="str">
        <f>INDEX('Match Groups'!$D$5:$D$1326,MATCH(J831,'Match Groups'!$A$5:$A$1326,0))</f>
        <v>MATCH</v>
      </c>
    </row>
    <row r="832">
      <c r="A832" t="inlineStr">
        <is>
          <t>JI-00203</t>
        </is>
      </c>
      <c r="B832" t="inlineStr">
        <is>
          <t>OPS</t>
        </is>
      </c>
      <c r="C832" s="5" t="n">
        <v>46212</v>
      </c>
      <c r="D832" t="inlineStr">
        <is>
          <t>Lyrebird Plan Management</t>
        </is>
      </c>
      <c r="E832" t="inlineStr">
        <is>
          <t>INV/2026/01489</t>
        </is>
      </c>
      <c r="F832" t="inlineStr">
        <is>
          <t>Customer payment INV/2026/01489</t>
        </is>
      </c>
      <c r="G832" s="9" t="n">
        <v>145.49</v>
      </c>
      <c r="H832" t="inlineStr">
        <is>
          <t>customer_payment</t>
        </is>
      </c>
      <c r="I832" t="inlineStr"/>
      <c r="J832" t="inlineStr">
        <is>
          <t>G00126</t>
        </is>
      </c>
      <c r="K832" t="str">
        <f>INDEX('Match Groups'!$D$5:$D$1326,MATCH(J832,'Match Groups'!$A$5:$A$1326,0))</f>
        <v>MATCH</v>
      </c>
    </row>
    <row r="833">
      <c r="A833" t="inlineStr">
        <is>
          <t>JI-00204</t>
        </is>
      </c>
      <c r="B833" t="inlineStr">
        <is>
          <t>OPS</t>
        </is>
      </c>
      <c r="C833" s="5" t="n">
        <v>46212</v>
      </c>
      <c r="D833" t="inlineStr">
        <is>
          <t>Lyrebird Plan Management</t>
        </is>
      </c>
      <c r="E833" t="inlineStr">
        <is>
          <t>INV/2026/01510</t>
        </is>
      </c>
      <c r="F833" t="inlineStr">
        <is>
          <t>Customer payment INV/2026/01510</t>
        </is>
      </c>
      <c r="G833" s="9" t="n">
        <v>193.99</v>
      </c>
      <c r="H833" t="inlineStr">
        <is>
          <t>customer_payment</t>
        </is>
      </c>
      <c r="I833" t="inlineStr"/>
      <c r="J833" t="inlineStr">
        <is>
          <t>G00126</t>
        </is>
      </c>
      <c r="K833" t="str">
        <f>INDEX('Match Groups'!$D$5:$D$1326,MATCH(J833,'Match Groups'!$A$5:$A$1326,0))</f>
        <v>MATCH</v>
      </c>
    </row>
    <row r="834">
      <c r="A834" t="inlineStr">
        <is>
          <t>JI-00205</t>
        </is>
      </c>
      <c r="B834" t="inlineStr">
        <is>
          <t>OPS</t>
        </is>
      </c>
      <c r="C834" s="5" t="n">
        <v>46212</v>
      </c>
      <c r="D834" t="inlineStr">
        <is>
          <t>Lyrebird Plan Management</t>
        </is>
      </c>
      <c r="E834" t="inlineStr">
        <is>
          <t>INV/2026/01573</t>
        </is>
      </c>
      <c r="F834" t="inlineStr">
        <is>
          <t>Customer payment INV/2026/01573</t>
        </is>
      </c>
      <c r="G834" s="9" t="n">
        <v>290.98</v>
      </c>
      <c r="H834" t="inlineStr">
        <is>
          <t>customer_payment</t>
        </is>
      </c>
      <c r="I834" t="inlineStr"/>
      <c r="J834" t="inlineStr">
        <is>
          <t>G00126</t>
        </is>
      </c>
      <c r="K834" t="str">
        <f>INDEX('Match Groups'!$D$5:$D$1326,MATCH(J834,'Match Groups'!$A$5:$A$1326,0))</f>
        <v>MATCH</v>
      </c>
    </row>
    <row r="835">
      <c r="A835" t="inlineStr">
        <is>
          <t>JI-00206</t>
        </is>
      </c>
      <c r="B835" t="inlineStr">
        <is>
          <t>OPS</t>
        </is>
      </c>
      <c r="C835" s="5" t="n">
        <v>46212</v>
      </c>
      <c r="D835" t="inlineStr">
        <is>
          <t>Lyrebird Plan Management</t>
        </is>
      </c>
      <c r="E835" t="inlineStr">
        <is>
          <t>INV/2026/01603</t>
        </is>
      </c>
      <c r="F835" t="inlineStr">
        <is>
          <t>Customer payment INV/2026/01603</t>
        </is>
      </c>
      <c r="G835" s="9" t="n">
        <v>300.69</v>
      </c>
      <c r="H835" t="inlineStr">
        <is>
          <t>customer_payment</t>
        </is>
      </c>
      <c r="I835" t="inlineStr"/>
      <c r="J835" t="inlineStr">
        <is>
          <t>G00126</t>
        </is>
      </c>
      <c r="K835" t="str">
        <f>INDEX('Match Groups'!$D$5:$D$1326,MATCH(J835,'Match Groups'!$A$5:$A$1326,0))</f>
        <v>MATCH</v>
      </c>
    </row>
    <row r="836">
      <c r="A836" t="inlineStr">
        <is>
          <t>JI-00207</t>
        </is>
      </c>
      <c r="B836" t="inlineStr">
        <is>
          <t>OPS</t>
        </is>
      </c>
      <c r="C836" s="5" t="n">
        <v>46212</v>
      </c>
      <c r="D836" t="inlineStr">
        <is>
          <t>Lyrebird Plan Management</t>
        </is>
      </c>
      <c r="E836" t="inlineStr">
        <is>
          <t>INV/2026/01604</t>
        </is>
      </c>
      <c r="F836" t="inlineStr">
        <is>
          <t>Customer payment INV/2026/01604</t>
        </is>
      </c>
      <c r="G836" s="9" t="n">
        <v>387.98</v>
      </c>
      <c r="H836" t="inlineStr">
        <is>
          <t>customer_payment</t>
        </is>
      </c>
      <c r="I836" t="inlineStr"/>
      <c r="J836" t="inlineStr">
        <is>
          <t>G00126</t>
        </is>
      </c>
      <c r="K836" t="str">
        <f>INDEX('Match Groups'!$D$5:$D$1326,MATCH(J836,'Match Groups'!$A$5:$A$1326,0))</f>
        <v>MATCH</v>
      </c>
    </row>
    <row r="837">
      <c r="A837" t="inlineStr">
        <is>
          <t>JI-00208</t>
        </is>
      </c>
      <c r="B837" t="inlineStr">
        <is>
          <t>OPS</t>
        </is>
      </c>
      <c r="C837" s="5" t="n">
        <v>46212</v>
      </c>
      <c r="D837" t="inlineStr">
        <is>
          <t>Lyrebird Plan Management</t>
        </is>
      </c>
      <c r="E837" t="inlineStr">
        <is>
          <t>INV/2026/01626</t>
        </is>
      </c>
      <c r="F837" t="inlineStr">
        <is>
          <t>Customer payment INV/2026/01626</t>
        </is>
      </c>
      <c r="G837" s="9" t="n">
        <v>290.98</v>
      </c>
      <c r="H837" t="inlineStr">
        <is>
          <t>customer_payment</t>
        </is>
      </c>
      <c r="I837" t="inlineStr"/>
      <c r="J837" t="inlineStr">
        <is>
          <t>G00126</t>
        </is>
      </c>
      <c r="K837" t="str">
        <f>INDEX('Match Groups'!$D$5:$D$1326,MATCH(J837,'Match Groups'!$A$5:$A$1326,0))</f>
        <v>MATCH</v>
      </c>
    </row>
    <row r="838">
      <c r="A838" t="inlineStr">
        <is>
          <t>JI-00209</t>
        </is>
      </c>
      <c r="B838" t="inlineStr">
        <is>
          <t>OPS</t>
        </is>
      </c>
      <c r="C838" s="5" t="n">
        <v>46212</v>
      </c>
      <c r="D838" t="inlineStr">
        <is>
          <t>Lyrebird Plan Management</t>
        </is>
      </c>
      <c r="E838" t="inlineStr">
        <is>
          <t>INV/2026/01654</t>
        </is>
      </c>
      <c r="F838" t="inlineStr">
        <is>
          <t>Customer payment INV/2026/01654</t>
        </is>
      </c>
      <c r="G838" s="9" t="n">
        <v>193.99</v>
      </c>
      <c r="H838" t="inlineStr">
        <is>
          <t>customer_payment</t>
        </is>
      </c>
      <c r="I838" t="inlineStr"/>
      <c r="J838" t="inlineStr">
        <is>
          <t>G00126</t>
        </is>
      </c>
      <c r="K838" t="str">
        <f>INDEX('Match Groups'!$D$5:$D$1326,MATCH(J838,'Match Groups'!$A$5:$A$1326,0))</f>
        <v>MATCH</v>
      </c>
    </row>
    <row r="839">
      <c r="A839" t="inlineStr">
        <is>
          <t>JI-00210</t>
        </is>
      </c>
      <c r="B839" t="inlineStr">
        <is>
          <t>OPS</t>
        </is>
      </c>
      <c r="C839" s="5" t="n">
        <v>46212</v>
      </c>
      <c r="D839" t="inlineStr">
        <is>
          <t>Mallee Plan Services</t>
        </is>
      </c>
      <c r="E839" t="inlineStr">
        <is>
          <t>INV/2026/01683</t>
        </is>
      </c>
      <c r="F839" t="inlineStr">
        <is>
          <t>Customer payment INV/2026/01683</t>
        </is>
      </c>
      <c r="G839" s="9" t="n">
        <v>193.99</v>
      </c>
      <c r="H839" t="inlineStr">
        <is>
          <t>customer_payment</t>
        </is>
      </c>
      <c r="I839" t="inlineStr"/>
      <c r="J839" t="inlineStr">
        <is>
          <t>G00127</t>
        </is>
      </c>
      <c r="K839" t="str">
        <f>INDEX('Match Groups'!$D$5:$D$1326,MATCH(J839,'Match Groups'!$A$5:$A$1326,0))</f>
        <v>MATCH</v>
      </c>
    </row>
    <row r="840">
      <c r="A840" t="inlineStr">
        <is>
          <t>JI-00211</t>
        </is>
      </c>
      <c r="B840" t="inlineStr">
        <is>
          <t>OPS</t>
        </is>
      </c>
      <c r="C840" s="5" t="n">
        <v>46212</v>
      </c>
      <c r="D840" t="inlineStr">
        <is>
          <t>Mallee Plan Services</t>
        </is>
      </c>
      <c r="E840" t="inlineStr">
        <is>
          <t>INV/2026/01727</t>
        </is>
      </c>
      <c r="F840" t="inlineStr">
        <is>
          <t>Customer payment INV/2026/01727</t>
        </is>
      </c>
      <c r="G840" s="9" t="n">
        <v>252.19</v>
      </c>
      <c r="H840" t="inlineStr">
        <is>
          <t>customer_payment</t>
        </is>
      </c>
      <c r="I840" t="inlineStr"/>
      <c r="J840" t="inlineStr">
        <is>
          <t>G00127</t>
        </is>
      </c>
      <c r="K840" t="str">
        <f>INDEX('Match Groups'!$D$5:$D$1326,MATCH(J840,'Match Groups'!$A$5:$A$1326,0))</f>
        <v>MATCH</v>
      </c>
    </row>
    <row r="841">
      <c r="A841" t="inlineStr">
        <is>
          <t>JI-00212</t>
        </is>
      </c>
      <c r="B841" t="inlineStr">
        <is>
          <t>OPS</t>
        </is>
      </c>
      <c r="C841" s="5" t="n">
        <v>46212</v>
      </c>
      <c r="D841" t="inlineStr">
        <is>
          <t>Mallee Plan Services</t>
        </is>
      </c>
      <c r="E841" t="inlineStr">
        <is>
          <t>INV/2026/01772</t>
        </is>
      </c>
      <c r="F841" t="inlineStr">
        <is>
          <t>Customer payment INV/2026/01772</t>
        </is>
      </c>
      <c r="G841" s="9" t="n">
        <v>387.98</v>
      </c>
      <c r="H841" t="inlineStr">
        <is>
          <t>customer_payment</t>
        </is>
      </c>
      <c r="I841" t="inlineStr"/>
      <c r="J841" t="inlineStr">
        <is>
          <t>G00127</t>
        </is>
      </c>
      <c r="K841" t="str">
        <f>INDEX('Match Groups'!$D$5:$D$1326,MATCH(J841,'Match Groups'!$A$5:$A$1326,0))</f>
        <v>MATCH</v>
      </c>
    </row>
    <row r="842">
      <c r="A842" t="inlineStr">
        <is>
          <t>JI-00213</t>
        </is>
      </c>
      <c r="B842" t="inlineStr">
        <is>
          <t>OPS</t>
        </is>
      </c>
      <c r="C842" s="5" t="n">
        <v>46212</v>
      </c>
      <c r="D842" t="inlineStr">
        <is>
          <t>Mallee Plan Services</t>
        </is>
      </c>
      <c r="E842" t="inlineStr">
        <is>
          <t>INV/2026/01792</t>
        </is>
      </c>
      <c r="F842" t="inlineStr">
        <is>
          <t>Customer payment INV/2026/01792</t>
        </is>
      </c>
      <c r="G842" s="9" t="n">
        <v>300.69</v>
      </c>
      <c r="H842" t="inlineStr">
        <is>
          <t>customer_payment</t>
        </is>
      </c>
      <c r="I842" t="inlineStr"/>
      <c r="J842" t="inlineStr">
        <is>
          <t>G00127</t>
        </is>
      </c>
      <c r="K842" t="str">
        <f>INDEX('Match Groups'!$D$5:$D$1326,MATCH(J842,'Match Groups'!$A$5:$A$1326,0))</f>
        <v>MATCH</v>
      </c>
    </row>
    <row r="843">
      <c r="A843" t="inlineStr">
        <is>
          <t>JI-00214</t>
        </is>
      </c>
      <c r="B843" t="inlineStr">
        <is>
          <t>OPS</t>
        </is>
      </c>
      <c r="C843" s="5" t="n">
        <v>46212</v>
      </c>
      <c r="D843" t="inlineStr">
        <is>
          <t>Mallee Plan Services</t>
        </is>
      </c>
      <c r="E843" t="inlineStr">
        <is>
          <t>INV/2026/01821</t>
        </is>
      </c>
      <c r="F843" t="inlineStr">
        <is>
          <t>Customer payment INV/2026/01821</t>
        </is>
      </c>
      <c r="G843" s="9" t="n">
        <v>300.69</v>
      </c>
      <c r="H843" t="inlineStr">
        <is>
          <t>customer_payment</t>
        </is>
      </c>
      <c r="I843" t="inlineStr"/>
      <c r="J843" t="inlineStr">
        <is>
          <t>G00127</t>
        </is>
      </c>
      <c r="K843" t="str">
        <f>INDEX('Match Groups'!$D$5:$D$1326,MATCH(J843,'Match Groups'!$A$5:$A$1326,0))</f>
        <v>MATCH</v>
      </c>
    </row>
    <row r="844">
      <c r="A844" t="inlineStr">
        <is>
          <t>JI-00215</t>
        </is>
      </c>
      <c r="B844" t="inlineStr">
        <is>
          <t>OPS</t>
        </is>
      </c>
      <c r="C844" s="5" t="n">
        <v>46212</v>
      </c>
      <c r="D844" t="inlineStr">
        <is>
          <t>Mallee Plan Services</t>
        </is>
      </c>
      <c r="E844" t="inlineStr">
        <is>
          <t>INV/2026/01822</t>
        </is>
      </c>
      <c r="F844" t="inlineStr">
        <is>
          <t>Customer payment INV/2026/01822</t>
        </is>
      </c>
      <c r="G844" s="9" t="n">
        <v>242.49</v>
      </c>
      <c r="H844" t="inlineStr">
        <is>
          <t>customer_payment</t>
        </is>
      </c>
      <c r="I844" t="inlineStr"/>
      <c r="J844" t="inlineStr">
        <is>
          <t>G00127</t>
        </is>
      </c>
      <c r="K844" t="str">
        <f>INDEX('Match Groups'!$D$5:$D$1326,MATCH(J844,'Match Groups'!$A$5:$A$1326,0))</f>
        <v>MATCH</v>
      </c>
    </row>
    <row r="845">
      <c r="A845" t="inlineStr">
        <is>
          <t>JI-00245</t>
        </is>
      </c>
      <c r="B845" t="inlineStr">
        <is>
          <t>OPS</t>
        </is>
      </c>
      <c r="C845" s="5" t="n">
        <v>46212</v>
      </c>
      <c r="D845" t="inlineStr">
        <is>
          <t>Tallowwood Plans</t>
        </is>
      </c>
      <c r="E845" t="inlineStr">
        <is>
          <t>INV/2026/01817</t>
        </is>
      </c>
      <c r="F845" t="inlineStr">
        <is>
          <t>Customer payment INV/2026/01817</t>
        </is>
      </c>
      <c r="G845" s="9" t="n">
        <v>446.18</v>
      </c>
      <c r="H845" t="inlineStr">
        <is>
          <t>customer_payment</t>
        </is>
      </c>
      <c r="I845" t="inlineStr"/>
      <c r="J845" t="inlineStr">
        <is>
          <t>G00134</t>
        </is>
      </c>
      <c r="K845" t="str">
        <f>INDEX('Match Groups'!$D$5:$D$1326,MATCH(J845,'Match Groups'!$A$5:$A$1326,0))</f>
        <v>MATCH</v>
      </c>
    </row>
    <row r="846">
      <c r="A846" t="inlineStr">
        <is>
          <t>JI-00246</t>
        </is>
      </c>
      <c r="B846" t="inlineStr">
        <is>
          <t>OPS</t>
        </is>
      </c>
      <c r="C846" s="5" t="n">
        <v>46212</v>
      </c>
      <c r="D846" t="inlineStr">
        <is>
          <t>Tallowwood Plans</t>
        </is>
      </c>
      <c r="E846" t="inlineStr">
        <is>
          <t>INV/2026/01818</t>
        </is>
      </c>
      <c r="F846" t="inlineStr">
        <is>
          <t>Customer payment INV/2026/01818</t>
        </is>
      </c>
      <c r="G846" s="9" t="n">
        <v>126.99</v>
      </c>
      <c r="H846" t="inlineStr">
        <is>
          <t>customer_payment</t>
        </is>
      </c>
      <c r="I846" t="inlineStr"/>
      <c r="J846" t="inlineStr">
        <is>
          <t>G00134</t>
        </is>
      </c>
      <c r="K846" t="str">
        <f>INDEX('Match Groups'!$D$5:$D$1326,MATCH(J846,'Match Groups'!$A$5:$A$1326,0))</f>
        <v>MATCH</v>
      </c>
    </row>
    <row r="847">
      <c r="A847" t="inlineStr">
        <is>
          <t>JI-00247</t>
        </is>
      </c>
      <c r="B847" t="inlineStr">
        <is>
          <t>OPS</t>
        </is>
      </c>
      <c r="C847" s="5" t="n">
        <v>46212</v>
      </c>
      <c r="D847" t="inlineStr">
        <is>
          <t>Tallowwood Plans</t>
        </is>
      </c>
      <c r="E847" t="inlineStr">
        <is>
          <t>INV/2026/01819</t>
        </is>
      </c>
      <c r="F847" t="inlineStr">
        <is>
          <t>Customer payment INV/2026/01819</t>
        </is>
      </c>
      <c r="G847" s="9" t="n">
        <v>387.98</v>
      </c>
      <c r="H847" t="inlineStr">
        <is>
          <t>customer_payment</t>
        </is>
      </c>
      <c r="I847" t="inlineStr"/>
      <c r="J847" t="inlineStr">
        <is>
          <t>G00134</t>
        </is>
      </c>
      <c r="K847" t="str">
        <f>INDEX('Match Groups'!$D$5:$D$1326,MATCH(J847,'Match Groups'!$A$5:$A$1326,0))</f>
        <v>MATCH</v>
      </c>
    </row>
    <row r="848">
      <c r="A848" t="inlineStr">
        <is>
          <t>JI-00248</t>
        </is>
      </c>
      <c r="B848" t="inlineStr">
        <is>
          <t>OPS</t>
        </is>
      </c>
      <c r="C848" s="5" t="n">
        <v>46212</v>
      </c>
      <c r="D848" t="inlineStr">
        <is>
          <t>Tallowwood Plans</t>
        </is>
      </c>
      <c r="E848" t="inlineStr">
        <is>
          <t>INV/2026/01862</t>
        </is>
      </c>
      <c r="F848" t="inlineStr">
        <is>
          <t>Customer payment INV/2026/01862</t>
        </is>
      </c>
      <c r="G848" s="9" t="n">
        <v>193.99</v>
      </c>
      <c r="H848" t="inlineStr">
        <is>
          <t>customer_payment</t>
        </is>
      </c>
      <c r="I848" t="inlineStr"/>
      <c r="J848" t="inlineStr">
        <is>
          <t>G00134</t>
        </is>
      </c>
      <c r="K848" t="str">
        <f>INDEX('Match Groups'!$D$5:$D$1326,MATCH(J848,'Match Groups'!$A$5:$A$1326,0))</f>
        <v>MATCH</v>
      </c>
    </row>
    <row r="849">
      <c r="A849" t="inlineStr">
        <is>
          <t>JI-00249</t>
        </is>
      </c>
      <c r="B849" t="inlineStr">
        <is>
          <t>OPS</t>
        </is>
      </c>
      <c r="C849" s="5" t="n">
        <v>46212</v>
      </c>
      <c r="D849" t="inlineStr">
        <is>
          <t>Tallowwood Plans</t>
        </is>
      </c>
      <c r="E849" t="inlineStr">
        <is>
          <t>INV/2026/01863</t>
        </is>
      </c>
      <c r="F849" t="inlineStr">
        <is>
          <t>Customer payment INV/2026/01863</t>
        </is>
      </c>
      <c r="G849" s="9" t="n">
        <v>175.49</v>
      </c>
      <c r="H849" t="inlineStr">
        <is>
          <t>customer_payment</t>
        </is>
      </c>
      <c r="I849" t="inlineStr"/>
      <c r="J849" t="inlineStr">
        <is>
          <t>G00134</t>
        </is>
      </c>
      <c r="K849" t="str">
        <f>INDEX('Match Groups'!$D$5:$D$1326,MATCH(J849,'Match Groups'!$A$5:$A$1326,0))</f>
        <v>MATCH</v>
      </c>
    </row>
    <row r="850">
      <c r="A850" t="inlineStr">
        <is>
          <t>JI-00250</t>
        </is>
      </c>
      <c r="B850" t="inlineStr">
        <is>
          <t>OPS</t>
        </is>
      </c>
      <c r="C850" s="5" t="n">
        <v>46212</v>
      </c>
      <c r="D850" t="inlineStr">
        <is>
          <t>Tallowwood Plans</t>
        </is>
      </c>
      <c r="E850" t="inlineStr">
        <is>
          <t>INV/2026/01864</t>
        </is>
      </c>
      <c r="F850" t="inlineStr">
        <is>
          <t>Customer payment INV/2026/01864</t>
        </is>
      </c>
      <c r="G850" s="9" t="n">
        <v>145.49</v>
      </c>
      <c r="H850" t="inlineStr">
        <is>
          <t>customer_payment</t>
        </is>
      </c>
      <c r="I850" t="inlineStr"/>
      <c r="J850" t="inlineStr">
        <is>
          <t>G00134</t>
        </is>
      </c>
      <c r="K850" t="str">
        <f>INDEX('Match Groups'!$D$5:$D$1326,MATCH(J850,'Match Groups'!$A$5:$A$1326,0))</f>
        <v>MATCH</v>
      </c>
    </row>
    <row r="851">
      <c r="A851" t="inlineStr">
        <is>
          <t>JI-00251</t>
        </is>
      </c>
      <c r="B851" t="inlineStr">
        <is>
          <t>OPS</t>
        </is>
      </c>
      <c r="C851" s="5" t="n">
        <v>46212</v>
      </c>
      <c r="D851" t="inlineStr">
        <is>
          <t>Tallowwood Plans</t>
        </is>
      </c>
      <c r="E851" t="inlineStr">
        <is>
          <t>INV/2026/01889</t>
        </is>
      </c>
      <c r="F851" t="inlineStr">
        <is>
          <t>Customer payment INV/2026/01889</t>
        </is>
      </c>
      <c r="G851" s="9" t="n">
        <v>242.49</v>
      </c>
      <c r="H851" t="inlineStr">
        <is>
          <t>customer_payment</t>
        </is>
      </c>
      <c r="I851" t="inlineStr"/>
      <c r="J851" t="inlineStr">
        <is>
          <t>G00134</t>
        </is>
      </c>
      <c r="K851" t="str">
        <f>INDEX('Match Groups'!$D$5:$D$1326,MATCH(J851,'Match Groups'!$A$5:$A$1326,0))</f>
        <v>MATCH</v>
      </c>
    </row>
    <row r="852">
      <c r="A852" t="inlineStr">
        <is>
          <t>JI-00252</t>
        </is>
      </c>
      <c r="B852" t="inlineStr">
        <is>
          <t>OPS</t>
        </is>
      </c>
      <c r="C852" s="5" t="n">
        <v>46212</v>
      </c>
      <c r="D852" t="inlineStr">
        <is>
          <t>Tallowwood Plans</t>
        </is>
      </c>
      <c r="E852" t="inlineStr">
        <is>
          <t>INV/2026/01910</t>
        </is>
      </c>
      <c r="F852" t="inlineStr">
        <is>
          <t>Customer payment INV/2026/01910</t>
        </is>
      </c>
      <c r="G852" s="9" t="n">
        <v>145.49</v>
      </c>
      <c r="H852" t="inlineStr">
        <is>
          <t>customer_payment</t>
        </is>
      </c>
      <c r="I852" t="inlineStr"/>
      <c r="J852" t="inlineStr">
        <is>
          <t>G00134</t>
        </is>
      </c>
      <c r="K852" t="str">
        <f>INDEX('Match Groups'!$D$5:$D$1326,MATCH(J852,'Match Groups'!$A$5:$A$1326,0))</f>
        <v>MATCH</v>
      </c>
    </row>
    <row r="853">
      <c r="A853" t="inlineStr">
        <is>
          <t>JI-00253</t>
        </is>
      </c>
      <c r="B853" t="inlineStr">
        <is>
          <t>OPS</t>
        </is>
      </c>
      <c r="C853" s="5" t="n">
        <v>46212</v>
      </c>
      <c r="D853" t="inlineStr">
        <is>
          <t>Tallowwood Plans</t>
        </is>
      </c>
      <c r="E853" t="inlineStr">
        <is>
          <t>INV/2026/01935</t>
        </is>
      </c>
      <c r="F853" t="inlineStr">
        <is>
          <t>Customer payment INV/2026/01935</t>
        </is>
      </c>
      <c r="G853" s="9" t="n">
        <v>290.98</v>
      </c>
      <c r="H853" t="inlineStr">
        <is>
          <t>customer_payment</t>
        </is>
      </c>
      <c r="I853" t="inlineStr"/>
      <c r="J853" t="inlineStr">
        <is>
          <t>G00134</t>
        </is>
      </c>
      <c r="K853" t="str">
        <f>INDEX('Match Groups'!$D$5:$D$1326,MATCH(J853,'Match Groups'!$A$5:$A$1326,0))</f>
        <v>MATCH</v>
      </c>
    </row>
    <row r="854">
      <c r="A854" t="inlineStr">
        <is>
          <t>JI-00254</t>
        </is>
      </c>
      <c r="B854" t="inlineStr">
        <is>
          <t>OPS</t>
        </is>
      </c>
      <c r="C854" s="5" t="n">
        <v>46212</v>
      </c>
      <c r="D854" t="inlineStr">
        <is>
          <t>Tallowwood Plans</t>
        </is>
      </c>
      <c r="E854" t="inlineStr">
        <is>
          <t>INV/2026/01936</t>
        </is>
      </c>
      <c r="F854" t="inlineStr">
        <is>
          <t>Customer payment INV/2026/01936</t>
        </is>
      </c>
      <c r="G854" s="9" t="n">
        <v>145.49</v>
      </c>
      <c r="H854" t="inlineStr">
        <is>
          <t>customer_payment</t>
        </is>
      </c>
      <c r="I854" t="inlineStr"/>
      <c r="J854" t="inlineStr">
        <is>
          <t>G00134</t>
        </is>
      </c>
      <c r="K854" t="str">
        <f>INDEX('Match Groups'!$D$5:$D$1326,MATCH(J854,'Match Groups'!$A$5:$A$1326,0))</f>
        <v>MATCH</v>
      </c>
    </row>
    <row r="855">
      <c r="A855" t="inlineStr">
        <is>
          <t>JI-00255</t>
        </is>
      </c>
      <c r="B855" t="inlineStr">
        <is>
          <t>OPS</t>
        </is>
      </c>
      <c r="C855" s="5" t="n">
        <v>46212</v>
      </c>
      <c r="D855" t="inlineStr">
        <is>
          <t>Tallowwood Plans</t>
        </is>
      </c>
      <c r="E855" t="inlineStr">
        <is>
          <t>INV/2026/01937</t>
        </is>
      </c>
      <c r="F855" t="inlineStr">
        <is>
          <t>Customer payment INV/2026/01937</t>
        </is>
      </c>
      <c r="G855" s="9" t="n">
        <v>145.49</v>
      </c>
      <c r="H855" t="inlineStr">
        <is>
          <t>customer_payment</t>
        </is>
      </c>
      <c r="I855" t="inlineStr"/>
      <c r="J855" t="inlineStr">
        <is>
          <t>G00134</t>
        </is>
      </c>
      <c r="K855" t="str">
        <f>INDEX('Match Groups'!$D$5:$D$1326,MATCH(J855,'Match Groups'!$A$5:$A$1326,0))</f>
        <v>MATCH</v>
      </c>
    </row>
    <row r="856">
      <c r="A856" t="inlineStr">
        <is>
          <t>JI-00256</t>
        </is>
      </c>
      <c r="B856" t="inlineStr">
        <is>
          <t>OPS</t>
        </is>
      </c>
      <c r="C856" s="5" t="n">
        <v>46212</v>
      </c>
      <c r="D856" t="inlineStr">
        <is>
          <t>Tallowwood Plans</t>
        </is>
      </c>
      <c r="E856" t="inlineStr">
        <is>
          <t>INV/2026/01962</t>
        </is>
      </c>
      <c r="F856" t="inlineStr">
        <is>
          <t>Customer payment INV/2026/01962</t>
        </is>
      </c>
      <c r="G856" s="9" t="n">
        <v>145.49</v>
      </c>
      <c r="H856" t="inlineStr">
        <is>
          <t>customer_payment</t>
        </is>
      </c>
      <c r="I856" t="inlineStr"/>
      <c r="J856" t="inlineStr">
        <is>
          <t>G00134</t>
        </is>
      </c>
      <c r="K856" t="str">
        <f>INDEX('Match Groups'!$D$5:$D$1326,MATCH(J856,'Match Groups'!$A$5:$A$1326,0))</f>
        <v>MATCH</v>
      </c>
    </row>
    <row r="857">
      <c r="A857" t="inlineStr">
        <is>
          <t>JI-01573</t>
        </is>
      </c>
      <c r="B857" t="inlineStr">
        <is>
          <t>OPS</t>
        </is>
      </c>
      <c r="C857" s="5" t="n">
        <v>46212</v>
      </c>
      <c r="D857" t="inlineStr">
        <is>
          <t>Unity Workcover Agents</t>
        </is>
      </c>
      <c r="E857" t="inlineStr">
        <is>
          <t>INV/2026/01913</t>
        </is>
      </c>
      <c r="F857" t="inlineStr">
        <is>
          <t>Customer payment INV/2026/01913</t>
        </is>
      </c>
      <c r="G857" s="9" t="n">
        <v>412.5</v>
      </c>
      <c r="H857" t="inlineStr">
        <is>
          <t>customer_payment</t>
        </is>
      </c>
      <c r="I857" t="inlineStr"/>
      <c r="J857" t="inlineStr">
        <is>
          <t>G00919</t>
        </is>
      </c>
      <c r="K857" t="str">
        <f>INDEX('Match Groups'!$D$5:$D$1326,MATCH(J857,'Match Groups'!$A$5:$A$1326,0))</f>
        <v>MATCH</v>
      </c>
    </row>
    <row r="858">
      <c r="A858" t="inlineStr">
        <is>
          <t>JI-02005</t>
        </is>
      </c>
      <c r="B858" t="inlineStr">
        <is>
          <t>OPS</t>
        </is>
      </c>
      <c r="C858" s="5" t="n">
        <v>46212</v>
      </c>
      <c r="D858" t="inlineStr">
        <is>
          <t>Stripe patient 51015</t>
        </is>
      </c>
      <c r="E858" t="inlineStr">
        <is>
          <t>INV/2026/03852</t>
        </is>
      </c>
      <c r="F858" t="inlineStr">
        <is>
          <t>Customer payment INV/2026/03852</t>
        </is>
      </c>
      <c r="G858" s="9" t="n">
        <v>85</v>
      </c>
      <c r="H858" t="inlineStr">
        <is>
          <t>customer_payment</t>
        </is>
      </c>
      <c r="I858" t="inlineStr"/>
      <c r="J858" t="inlineStr">
        <is>
          <t>G00022</t>
        </is>
      </c>
      <c r="K858" t="str">
        <f>INDEX('Match Groups'!$D$5:$D$1326,MATCH(J858,'Match Groups'!$A$5:$A$1326,0))</f>
        <v>STRIPE-FEE</v>
      </c>
    </row>
    <row r="859">
      <c r="A859" t="inlineStr">
        <is>
          <t>JI-02006</t>
        </is>
      </c>
      <c r="B859" t="inlineStr">
        <is>
          <t>OPS</t>
        </is>
      </c>
      <c r="C859" s="5" t="n">
        <v>46212</v>
      </c>
      <c r="D859" t="inlineStr">
        <is>
          <t>Stripe patient 55461</t>
        </is>
      </c>
      <c r="E859" t="inlineStr">
        <is>
          <t>INV/2026/03853</t>
        </is>
      </c>
      <c r="F859" t="inlineStr">
        <is>
          <t>Customer payment INV/2026/03853</t>
        </is>
      </c>
      <c r="G859" s="9" t="n">
        <v>220</v>
      </c>
      <c r="H859" t="inlineStr">
        <is>
          <t>customer_payment</t>
        </is>
      </c>
      <c r="I859" t="inlineStr"/>
      <c r="J859" t="inlineStr">
        <is>
          <t>G00022</t>
        </is>
      </c>
      <c r="K859" t="str">
        <f>INDEX('Match Groups'!$D$5:$D$1326,MATCH(J859,'Match Groups'!$A$5:$A$1326,0))</f>
        <v>STRIPE-FEE</v>
      </c>
    </row>
    <row r="860">
      <c r="A860" t="inlineStr">
        <is>
          <t>JI-02007</t>
        </is>
      </c>
      <c r="B860" t="inlineStr">
        <is>
          <t>OPS</t>
        </is>
      </c>
      <c r="C860" s="5" t="n">
        <v>46212</v>
      </c>
      <c r="D860" t="inlineStr">
        <is>
          <t>Stripe patient 60312</t>
        </is>
      </c>
      <c r="E860" t="inlineStr">
        <is>
          <t>INV/2026/03854</t>
        </is>
      </c>
      <c r="F860" t="inlineStr">
        <is>
          <t>Customer payment INV/2026/03854</t>
        </is>
      </c>
      <c r="G860" s="9" t="n">
        <v>110</v>
      </c>
      <c r="H860" t="inlineStr">
        <is>
          <t>customer_payment</t>
        </is>
      </c>
      <c r="I860" t="inlineStr"/>
      <c r="J860" t="inlineStr">
        <is>
          <t>G00022</t>
        </is>
      </c>
      <c r="K860" t="str">
        <f>INDEX('Match Groups'!$D$5:$D$1326,MATCH(J860,'Match Groups'!$A$5:$A$1326,0))</f>
        <v>STRIPE-FEE</v>
      </c>
    </row>
    <row r="861">
      <c r="A861" t="inlineStr">
        <is>
          <t>JI-02008</t>
        </is>
      </c>
      <c r="B861" t="inlineStr">
        <is>
          <t>OPS</t>
        </is>
      </c>
      <c r="C861" s="5" t="n">
        <v>46212</v>
      </c>
      <c r="D861" t="inlineStr">
        <is>
          <t>Stripe patient 70445</t>
        </is>
      </c>
      <c r="E861" t="inlineStr">
        <is>
          <t>INV/2026/03855</t>
        </is>
      </c>
      <c r="F861" t="inlineStr">
        <is>
          <t>Customer payment INV/2026/03855</t>
        </is>
      </c>
      <c r="G861" s="9" t="n">
        <v>95</v>
      </c>
      <c r="H861" t="inlineStr">
        <is>
          <t>customer_payment</t>
        </is>
      </c>
      <c r="I861" t="inlineStr"/>
      <c r="J861" t="inlineStr">
        <is>
          <t>G00022</t>
        </is>
      </c>
      <c r="K861" t="str">
        <f>INDEX('Match Groups'!$D$5:$D$1326,MATCH(J861,'Match Groups'!$A$5:$A$1326,0))</f>
        <v>STRIPE-FEE</v>
      </c>
    </row>
    <row r="862">
      <c r="A862" t="inlineStr">
        <is>
          <t>JI-02009</t>
        </is>
      </c>
      <c r="B862" t="inlineStr">
        <is>
          <t>OPS</t>
        </is>
      </c>
      <c r="C862" s="5" t="n">
        <v>46212</v>
      </c>
      <c r="D862" t="inlineStr">
        <is>
          <t>Stripe patient 24419</t>
        </is>
      </c>
      <c r="E862" t="inlineStr">
        <is>
          <t>INV/2026/03856</t>
        </is>
      </c>
      <c r="F862" t="inlineStr">
        <is>
          <t>Customer payment INV/2026/03856</t>
        </is>
      </c>
      <c r="G862" s="9" t="n">
        <v>85</v>
      </c>
      <c r="H862" t="inlineStr">
        <is>
          <t>customer_payment</t>
        </is>
      </c>
      <c r="I862" t="inlineStr"/>
      <c r="J862" t="inlineStr">
        <is>
          <t>G00022</t>
        </is>
      </c>
      <c r="K862" t="str">
        <f>INDEX('Match Groups'!$D$5:$D$1326,MATCH(J862,'Match Groups'!$A$5:$A$1326,0))</f>
        <v>STRIPE-FEE</v>
      </c>
    </row>
    <row r="863">
      <c r="A863" t="inlineStr">
        <is>
          <t>JI-02010</t>
        </is>
      </c>
      <c r="B863" t="inlineStr">
        <is>
          <t>OPS</t>
        </is>
      </c>
      <c r="C863" s="5" t="n">
        <v>46212</v>
      </c>
      <c r="D863" t="inlineStr">
        <is>
          <t>Stripe patient 27937</t>
        </is>
      </c>
      <c r="E863" t="inlineStr">
        <is>
          <t>INV/2026/03857</t>
        </is>
      </c>
      <c r="F863" t="inlineStr">
        <is>
          <t>Customer payment INV/2026/03857</t>
        </is>
      </c>
      <c r="G863" s="9" t="n">
        <v>180</v>
      </c>
      <c r="H863" t="inlineStr">
        <is>
          <t>customer_payment</t>
        </is>
      </c>
      <c r="I863" t="inlineStr"/>
      <c r="J863" t="inlineStr">
        <is>
          <t>G00022</t>
        </is>
      </c>
      <c r="K863" t="str">
        <f>INDEX('Match Groups'!$D$5:$D$1326,MATCH(J863,'Match Groups'!$A$5:$A$1326,0))</f>
        <v>STRIPE-FEE</v>
      </c>
    </row>
    <row r="864">
      <c r="A864" t="inlineStr">
        <is>
          <t>JI-02011</t>
        </is>
      </c>
      <c r="B864" t="inlineStr">
        <is>
          <t>OPS</t>
        </is>
      </c>
      <c r="C864" s="5" t="n">
        <v>46212</v>
      </c>
      <c r="D864" t="inlineStr">
        <is>
          <t>Stripe patient 82845</t>
        </is>
      </c>
      <c r="E864" t="inlineStr">
        <is>
          <t>INV/2026/03858</t>
        </is>
      </c>
      <c r="F864" t="inlineStr">
        <is>
          <t>Customer payment INV/2026/03858</t>
        </is>
      </c>
      <c r="G864" s="9" t="n">
        <v>110</v>
      </c>
      <c r="H864" t="inlineStr">
        <is>
          <t>customer_payment</t>
        </is>
      </c>
      <c r="I864" t="inlineStr"/>
      <c r="J864" t="inlineStr">
        <is>
          <t>G00022</t>
        </is>
      </c>
      <c r="K864" t="str">
        <f>INDEX('Match Groups'!$D$5:$D$1326,MATCH(J864,'Match Groups'!$A$5:$A$1326,0))</f>
        <v>STRIPE-FEE</v>
      </c>
    </row>
    <row r="865">
      <c r="A865" t="inlineStr">
        <is>
          <t>JI-02012</t>
        </is>
      </c>
      <c r="B865" t="inlineStr">
        <is>
          <t>OPS</t>
        </is>
      </c>
      <c r="C865" s="5" t="n">
        <v>46212</v>
      </c>
      <c r="D865" t="inlineStr">
        <is>
          <t>Stripe patient 20143</t>
        </is>
      </c>
      <c r="E865" t="inlineStr">
        <is>
          <t>INV/2026/03859</t>
        </is>
      </c>
      <c r="F865" t="inlineStr">
        <is>
          <t>Customer payment INV/2026/03859</t>
        </is>
      </c>
      <c r="G865" s="9" t="n">
        <v>135</v>
      </c>
      <c r="H865" t="inlineStr">
        <is>
          <t>customer_payment</t>
        </is>
      </c>
      <c r="I865" t="inlineStr"/>
      <c r="J865" t="inlineStr">
        <is>
          <t>G00022</t>
        </is>
      </c>
      <c r="K865" t="str">
        <f>INDEX('Match Groups'!$D$5:$D$1326,MATCH(J865,'Match Groups'!$A$5:$A$1326,0))</f>
        <v>STRIPE-FEE</v>
      </c>
    </row>
    <row r="866">
      <c r="A866" t="inlineStr">
        <is>
          <t>JI-02013</t>
        </is>
      </c>
      <c r="B866" t="inlineStr">
        <is>
          <t>OPS</t>
        </is>
      </c>
      <c r="C866" s="5" t="n">
        <v>46212</v>
      </c>
      <c r="D866" t="inlineStr">
        <is>
          <t>Stripe patient 84013</t>
        </is>
      </c>
      <c r="E866" t="inlineStr">
        <is>
          <t>INV/2026/03860</t>
        </is>
      </c>
      <c r="F866" t="inlineStr">
        <is>
          <t>Customer payment INV/2026/03860</t>
        </is>
      </c>
      <c r="G866" s="9" t="n">
        <v>180</v>
      </c>
      <c r="H866" t="inlineStr">
        <is>
          <t>customer_payment</t>
        </is>
      </c>
      <c r="I866" t="inlineStr"/>
      <c r="J866" t="inlineStr">
        <is>
          <t>G00022</t>
        </is>
      </c>
      <c r="K866" t="str">
        <f>INDEX('Match Groups'!$D$5:$D$1326,MATCH(J866,'Match Groups'!$A$5:$A$1326,0))</f>
        <v>STRIPE-FEE</v>
      </c>
    </row>
    <row r="867">
      <c r="A867" t="inlineStr">
        <is>
          <t>JI-02014</t>
        </is>
      </c>
      <c r="B867" t="inlineStr">
        <is>
          <t>OPS</t>
        </is>
      </c>
      <c r="C867" s="5" t="n">
        <v>46212</v>
      </c>
      <c r="D867" t="inlineStr">
        <is>
          <t>Stripe patient 43438</t>
        </is>
      </c>
      <c r="E867" t="inlineStr">
        <is>
          <t>INV/2026/03861</t>
        </is>
      </c>
      <c r="F867" t="inlineStr">
        <is>
          <t>Customer payment INV/2026/03861</t>
        </is>
      </c>
      <c r="G867" s="9" t="n">
        <v>120</v>
      </c>
      <c r="H867" t="inlineStr">
        <is>
          <t>customer_payment</t>
        </is>
      </c>
      <c r="I867" t="inlineStr"/>
      <c r="J867" t="inlineStr">
        <is>
          <t>G00022</t>
        </is>
      </c>
      <c r="K867" t="str">
        <f>INDEX('Match Groups'!$D$5:$D$1326,MATCH(J867,'Match Groups'!$A$5:$A$1326,0))</f>
        <v>STRIPE-FEE</v>
      </c>
    </row>
    <row r="868">
      <c r="A868" t="inlineStr">
        <is>
          <t>JI-02015</t>
        </is>
      </c>
      <c r="B868" t="inlineStr">
        <is>
          <t>OPS</t>
        </is>
      </c>
      <c r="C868" s="5" t="n">
        <v>46212</v>
      </c>
      <c r="D868" t="inlineStr">
        <is>
          <t>Stripe patient 38172</t>
        </is>
      </c>
      <c r="E868" t="inlineStr">
        <is>
          <t>INV/2026/03862</t>
        </is>
      </c>
      <c r="F868" t="inlineStr">
        <is>
          <t>Customer payment INV/2026/03862</t>
        </is>
      </c>
      <c r="G868" s="9" t="n">
        <v>110</v>
      </c>
      <c r="H868" t="inlineStr">
        <is>
          <t>customer_payment</t>
        </is>
      </c>
      <c r="I868" t="inlineStr"/>
      <c r="J868" t="inlineStr">
        <is>
          <t>G00022</t>
        </is>
      </c>
      <c r="K868" t="str">
        <f>INDEX('Match Groups'!$D$5:$D$1326,MATCH(J868,'Match Groups'!$A$5:$A$1326,0))</f>
        <v>STRIPE-FEE</v>
      </c>
    </row>
    <row r="869">
      <c r="A869" t="inlineStr">
        <is>
          <t>JI-02016</t>
        </is>
      </c>
      <c r="B869" t="inlineStr">
        <is>
          <t>OPS</t>
        </is>
      </c>
      <c r="C869" s="5" t="n">
        <v>46212</v>
      </c>
      <c r="D869" t="inlineStr">
        <is>
          <t>Stripe patient 27035</t>
        </is>
      </c>
      <c r="E869" t="inlineStr">
        <is>
          <t>INV/2026/03863</t>
        </is>
      </c>
      <c r="F869" t="inlineStr">
        <is>
          <t>Customer payment INV/2026/03863</t>
        </is>
      </c>
      <c r="G869" s="9" t="n">
        <v>180</v>
      </c>
      <c r="H869" t="inlineStr">
        <is>
          <t>customer_payment</t>
        </is>
      </c>
      <c r="I869" t="inlineStr"/>
      <c r="J869" t="inlineStr">
        <is>
          <t>G00022</t>
        </is>
      </c>
      <c r="K869" t="str">
        <f>INDEX('Match Groups'!$D$5:$D$1326,MATCH(J869,'Match Groups'!$A$5:$A$1326,0))</f>
        <v>STRIPE-FEE</v>
      </c>
    </row>
    <row r="870">
      <c r="A870" t="inlineStr">
        <is>
          <t>JI-02017</t>
        </is>
      </c>
      <c r="B870" t="inlineStr">
        <is>
          <t>OPS</t>
        </is>
      </c>
      <c r="C870" s="5" t="n">
        <v>46212</v>
      </c>
      <c r="D870" t="inlineStr">
        <is>
          <t>Stripe patient 39752</t>
        </is>
      </c>
      <c r="E870" t="inlineStr">
        <is>
          <t>INV/2026/03864</t>
        </is>
      </c>
      <c r="F870" t="inlineStr">
        <is>
          <t>Customer payment INV/2026/03864</t>
        </is>
      </c>
      <c r="G870" s="9" t="n">
        <v>135</v>
      </c>
      <c r="H870" t="inlineStr">
        <is>
          <t>customer_payment</t>
        </is>
      </c>
      <c r="I870" t="inlineStr"/>
      <c r="J870" t="inlineStr">
        <is>
          <t>G00022</t>
        </is>
      </c>
      <c r="K870" t="str">
        <f>INDEX('Match Groups'!$D$5:$D$1326,MATCH(J870,'Match Groups'!$A$5:$A$1326,0))</f>
        <v>STRIPE-FEE</v>
      </c>
    </row>
    <row r="871">
      <c r="A871" t="inlineStr">
        <is>
          <t>JI-02018</t>
        </is>
      </c>
      <c r="B871" t="inlineStr">
        <is>
          <t>OPS</t>
        </is>
      </c>
      <c r="C871" s="5" t="n">
        <v>46212</v>
      </c>
      <c r="D871" t="inlineStr">
        <is>
          <t>Stripe patient 65539</t>
        </is>
      </c>
      <c r="E871" t="inlineStr">
        <is>
          <t>INV/2026/03865</t>
        </is>
      </c>
      <c r="F871" t="inlineStr">
        <is>
          <t>Customer payment INV/2026/03865</t>
        </is>
      </c>
      <c r="G871" s="9" t="n">
        <v>120</v>
      </c>
      <c r="H871" t="inlineStr">
        <is>
          <t>customer_payment</t>
        </is>
      </c>
      <c r="I871" t="inlineStr"/>
      <c r="J871" t="inlineStr">
        <is>
          <t>G00022</t>
        </is>
      </c>
      <c r="K871" t="str">
        <f>INDEX('Match Groups'!$D$5:$D$1326,MATCH(J871,'Match Groups'!$A$5:$A$1326,0))</f>
        <v>STRIPE-FEE</v>
      </c>
    </row>
    <row r="872">
      <c r="A872" t="inlineStr">
        <is>
          <t>JI-02019</t>
        </is>
      </c>
      <c r="B872" t="inlineStr">
        <is>
          <t>OPS</t>
        </is>
      </c>
      <c r="C872" s="5" t="n">
        <v>46212</v>
      </c>
      <c r="D872" t="inlineStr">
        <is>
          <t>Stripe patient 68111</t>
        </is>
      </c>
      <c r="E872" t="inlineStr">
        <is>
          <t>INV/2026/03866</t>
        </is>
      </c>
      <c r="F872" t="inlineStr">
        <is>
          <t>Customer payment INV/2026/03866</t>
        </is>
      </c>
      <c r="G872" s="9" t="n">
        <v>65</v>
      </c>
      <c r="H872" t="inlineStr">
        <is>
          <t>customer_payment</t>
        </is>
      </c>
      <c r="I872" t="inlineStr"/>
      <c r="J872" t="inlineStr">
        <is>
          <t>G00022</t>
        </is>
      </c>
      <c r="K872" t="str">
        <f>INDEX('Match Groups'!$D$5:$D$1326,MATCH(J872,'Match Groups'!$A$5:$A$1326,0))</f>
        <v>STRIPE-FEE</v>
      </c>
    </row>
    <row r="873">
      <c r="A873" t="inlineStr">
        <is>
          <t>JI-02020</t>
        </is>
      </c>
      <c r="B873" t="inlineStr">
        <is>
          <t>OPS</t>
        </is>
      </c>
      <c r="C873" s="5" t="n">
        <v>46212</v>
      </c>
      <c r="D873" t="inlineStr">
        <is>
          <t>Stripe patient 55534</t>
        </is>
      </c>
      <c r="E873" t="inlineStr">
        <is>
          <t>INV/2026/03867</t>
        </is>
      </c>
      <c r="F873" t="inlineStr">
        <is>
          <t>Customer payment INV/2026/03867</t>
        </is>
      </c>
      <c r="G873" s="9" t="n">
        <v>110</v>
      </c>
      <c r="H873" t="inlineStr">
        <is>
          <t>customer_payment</t>
        </is>
      </c>
      <c r="I873" t="inlineStr"/>
      <c r="J873" t="inlineStr">
        <is>
          <t>G00022</t>
        </is>
      </c>
      <c r="K873" t="str">
        <f>INDEX('Match Groups'!$D$5:$D$1326,MATCH(J873,'Match Groups'!$A$5:$A$1326,0))</f>
        <v>STRIPE-FEE</v>
      </c>
    </row>
    <row r="874">
      <c r="A874" t="inlineStr">
        <is>
          <t>JI-02021</t>
        </is>
      </c>
      <c r="B874" t="inlineStr">
        <is>
          <t>OPS</t>
        </is>
      </c>
      <c r="C874" s="5" t="n">
        <v>46212</v>
      </c>
      <c r="D874" t="inlineStr">
        <is>
          <t>Stripe patient 66769</t>
        </is>
      </c>
      <c r="E874" t="inlineStr">
        <is>
          <t>INV/2026/03868</t>
        </is>
      </c>
      <c r="F874" t="inlineStr">
        <is>
          <t>Customer payment INV/2026/03868</t>
        </is>
      </c>
      <c r="G874" s="9" t="n">
        <v>150</v>
      </c>
      <c r="H874" t="inlineStr">
        <is>
          <t>customer_payment</t>
        </is>
      </c>
      <c r="I874" t="inlineStr"/>
      <c r="J874" t="inlineStr">
        <is>
          <t>G00022</t>
        </is>
      </c>
      <c r="K874" t="str">
        <f>INDEX('Match Groups'!$D$5:$D$1326,MATCH(J874,'Match Groups'!$A$5:$A$1326,0))</f>
        <v>STRIPE-FEE</v>
      </c>
    </row>
    <row r="875">
      <c r="A875" t="inlineStr">
        <is>
          <t>JI-02022</t>
        </is>
      </c>
      <c r="B875" t="inlineStr">
        <is>
          <t>OPS</t>
        </is>
      </c>
      <c r="C875" s="5" t="n">
        <v>46212</v>
      </c>
      <c r="D875" t="inlineStr">
        <is>
          <t>Stripe patient 49696</t>
        </is>
      </c>
      <c r="E875" t="inlineStr">
        <is>
          <t>INV/2026/03869</t>
        </is>
      </c>
      <c r="F875" t="inlineStr">
        <is>
          <t>Customer payment INV/2026/03869</t>
        </is>
      </c>
      <c r="G875" s="9" t="n">
        <v>120</v>
      </c>
      <c r="H875" t="inlineStr">
        <is>
          <t>customer_payment</t>
        </is>
      </c>
      <c r="I875" t="inlineStr"/>
      <c r="J875" t="inlineStr">
        <is>
          <t>G00022</t>
        </is>
      </c>
      <c r="K875" t="str">
        <f>INDEX('Match Groups'!$D$5:$D$1326,MATCH(J875,'Match Groups'!$A$5:$A$1326,0))</f>
        <v>STRIPE-FEE</v>
      </c>
    </row>
    <row r="876">
      <c r="A876" t="inlineStr">
        <is>
          <t>JI-02023</t>
        </is>
      </c>
      <c r="B876" t="inlineStr">
        <is>
          <t>OPS</t>
        </is>
      </c>
      <c r="C876" s="5" t="n">
        <v>46212</v>
      </c>
      <c r="D876" t="inlineStr">
        <is>
          <t>Stripe patient 60107</t>
        </is>
      </c>
      <c r="E876" t="inlineStr">
        <is>
          <t>INV/2026/03870</t>
        </is>
      </c>
      <c r="F876" t="inlineStr">
        <is>
          <t>Customer payment INV/2026/03870</t>
        </is>
      </c>
      <c r="G876" s="9" t="n">
        <v>85</v>
      </c>
      <c r="H876" t="inlineStr">
        <is>
          <t>customer_payment</t>
        </is>
      </c>
      <c r="I876" t="inlineStr"/>
      <c r="J876" t="inlineStr">
        <is>
          <t>G00022</t>
        </is>
      </c>
      <c r="K876" t="str">
        <f>INDEX('Match Groups'!$D$5:$D$1326,MATCH(J876,'Match Groups'!$A$5:$A$1326,0))</f>
        <v>STRIPE-FEE</v>
      </c>
    </row>
    <row r="877">
      <c r="A877" t="inlineStr">
        <is>
          <t>JI-02024</t>
        </is>
      </c>
      <c r="B877" t="inlineStr">
        <is>
          <t>OPS</t>
        </is>
      </c>
      <c r="C877" s="5" t="n">
        <v>46212</v>
      </c>
      <c r="D877" t="inlineStr">
        <is>
          <t>Stripe patient 19365</t>
        </is>
      </c>
      <c r="E877" t="inlineStr">
        <is>
          <t>INV/2026/03871</t>
        </is>
      </c>
      <c r="F877" t="inlineStr">
        <is>
          <t>Customer payment INV/2026/03871</t>
        </is>
      </c>
      <c r="G877" s="9" t="n">
        <v>220</v>
      </c>
      <c r="H877" t="inlineStr">
        <is>
          <t>customer_payment</t>
        </is>
      </c>
      <c r="I877" t="inlineStr"/>
      <c r="J877" t="inlineStr">
        <is>
          <t>G00022</t>
        </is>
      </c>
      <c r="K877" t="str">
        <f>INDEX('Match Groups'!$D$5:$D$1326,MATCH(J877,'Match Groups'!$A$5:$A$1326,0))</f>
        <v>STRIPE-FEE</v>
      </c>
    </row>
    <row r="878">
      <c r="A878" t="inlineStr">
        <is>
          <t>JI-00216</t>
        </is>
      </c>
      <c r="B878" t="inlineStr">
        <is>
          <t>OPS</t>
        </is>
      </c>
      <c r="C878" s="5" t="n">
        <v>46213</v>
      </c>
      <c r="D878" t="inlineStr">
        <is>
          <t>Wattle Plan Services</t>
        </is>
      </c>
      <c r="E878" t="inlineStr">
        <is>
          <t>INV/2026/01668</t>
        </is>
      </c>
      <c r="F878" t="inlineStr">
        <is>
          <t>Customer payment INV/2026/01668</t>
        </is>
      </c>
      <c r="G878" s="9" t="n">
        <v>96.98999999999999</v>
      </c>
      <c r="H878" t="inlineStr">
        <is>
          <t>customer_payment</t>
        </is>
      </c>
      <c r="I878" t="inlineStr"/>
      <c r="J878" t="inlineStr">
        <is>
          <t>G00129</t>
        </is>
      </c>
      <c r="K878" t="str">
        <f>INDEX('Match Groups'!$D$5:$D$1326,MATCH(J878,'Match Groups'!$A$5:$A$1326,0))</f>
        <v>MATCH</v>
      </c>
    </row>
    <row r="879">
      <c r="A879" t="inlineStr">
        <is>
          <t>JI-00217</t>
        </is>
      </c>
      <c r="B879" t="inlineStr">
        <is>
          <t>OPS</t>
        </is>
      </c>
      <c r="C879" s="5" t="n">
        <v>46213</v>
      </c>
      <c r="D879" t="inlineStr">
        <is>
          <t>Wattle Plan Services</t>
        </is>
      </c>
      <c r="E879" t="inlineStr">
        <is>
          <t>INV/2026/01709</t>
        </is>
      </c>
      <c r="F879" t="inlineStr">
        <is>
          <t>Customer payment INV/2026/01709</t>
        </is>
      </c>
      <c r="G879" s="9" t="n">
        <v>175.49</v>
      </c>
      <c r="H879" t="inlineStr">
        <is>
          <t>customer_payment</t>
        </is>
      </c>
      <c r="I879" t="inlineStr"/>
      <c r="J879" t="inlineStr">
        <is>
          <t>G00129</t>
        </is>
      </c>
      <c r="K879" t="str">
        <f>INDEX('Match Groups'!$D$5:$D$1326,MATCH(J879,'Match Groups'!$A$5:$A$1326,0))</f>
        <v>MATCH</v>
      </c>
    </row>
    <row r="880">
      <c r="A880" t="inlineStr">
        <is>
          <t>JI-00218</t>
        </is>
      </c>
      <c r="B880" t="inlineStr">
        <is>
          <t>OPS</t>
        </is>
      </c>
      <c r="C880" s="5" t="n">
        <v>46213</v>
      </c>
      <c r="D880" t="inlineStr">
        <is>
          <t>Banksia Plan Co</t>
        </is>
      </c>
      <c r="E880" t="inlineStr">
        <is>
          <t>INV/2026/01670</t>
        </is>
      </c>
      <c r="F880" t="inlineStr">
        <is>
          <t>Customer payment INV/2026/01670</t>
        </is>
      </c>
      <c r="G880" s="9" t="n">
        <v>242.49</v>
      </c>
      <c r="H880" t="inlineStr">
        <is>
          <t>customer_payment</t>
        </is>
      </c>
      <c r="I880" t="inlineStr"/>
      <c r="J880" t="inlineStr">
        <is>
          <t>G00130</t>
        </is>
      </c>
      <c r="K880" t="str">
        <f>INDEX('Match Groups'!$D$5:$D$1326,MATCH(J880,'Match Groups'!$A$5:$A$1326,0))</f>
        <v>MATCH</v>
      </c>
    </row>
    <row r="881">
      <c r="A881" t="inlineStr">
        <is>
          <t>JI-00219</t>
        </is>
      </c>
      <c r="B881" t="inlineStr">
        <is>
          <t>OPS</t>
        </is>
      </c>
      <c r="C881" s="5" t="n">
        <v>46213</v>
      </c>
      <c r="D881" t="inlineStr">
        <is>
          <t>Banksia Plan Co</t>
        </is>
      </c>
      <c r="E881" t="inlineStr">
        <is>
          <t>INV/2026/01689</t>
        </is>
      </c>
      <c r="F881" t="inlineStr">
        <is>
          <t>Customer payment INV/2026/01689</t>
        </is>
      </c>
      <c r="G881" s="9" t="n">
        <v>145.49</v>
      </c>
      <c r="H881" t="inlineStr">
        <is>
          <t>customer_payment</t>
        </is>
      </c>
      <c r="I881" t="inlineStr"/>
      <c r="J881" t="inlineStr">
        <is>
          <t>G00130</t>
        </is>
      </c>
      <c r="K881" t="str">
        <f>INDEX('Match Groups'!$D$5:$D$1326,MATCH(J881,'Match Groups'!$A$5:$A$1326,0))</f>
        <v>MATCH</v>
      </c>
    </row>
    <row r="882">
      <c r="A882" t="inlineStr">
        <is>
          <t>JI-00220</t>
        </is>
      </c>
      <c r="B882" t="inlineStr">
        <is>
          <t>OPS</t>
        </is>
      </c>
      <c r="C882" s="5" t="n">
        <v>46213</v>
      </c>
      <c r="D882" t="inlineStr">
        <is>
          <t>Banksia Plan Co</t>
        </is>
      </c>
      <c r="E882" t="inlineStr">
        <is>
          <t>INV/2026/01690</t>
        </is>
      </c>
      <c r="F882" t="inlineStr">
        <is>
          <t>Customer payment INV/2026/01690</t>
        </is>
      </c>
      <c r="G882" s="9" t="n">
        <v>96.98999999999999</v>
      </c>
      <c r="H882" t="inlineStr">
        <is>
          <t>customer_payment</t>
        </is>
      </c>
      <c r="I882" t="inlineStr"/>
      <c r="J882" t="inlineStr">
        <is>
          <t>G00130</t>
        </is>
      </c>
      <c r="K882" t="str">
        <f>INDEX('Match Groups'!$D$5:$D$1326,MATCH(J882,'Match Groups'!$A$5:$A$1326,0))</f>
        <v>MATCH</v>
      </c>
    </row>
    <row r="883">
      <c r="A883" t="inlineStr">
        <is>
          <t>JI-00221</t>
        </is>
      </c>
      <c r="B883" t="inlineStr">
        <is>
          <t>OPS</t>
        </is>
      </c>
      <c r="C883" s="5" t="n">
        <v>46213</v>
      </c>
      <c r="D883" t="inlineStr">
        <is>
          <t>Banksia Plan Co</t>
        </is>
      </c>
      <c r="E883" t="inlineStr">
        <is>
          <t>INV/2026/01712</t>
        </is>
      </c>
      <c r="F883" t="inlineStr">
        <is>
          <t>Customer payment INV/2026/01712</t>
        </is>
      </c>
      <c r="G883" s="9" t="n">
        <v>387.98</v>
      </c>
      <c r="H883" t="inlineStr">
        <is>
          <t>customer_payment</t>
        </is>
      </c>
      <c r="I883" t="inlineStr"/>
      <c r="J883" t="inlineStr">
        <is>
          <t>G00130</t>
        </is>
      </c>
      <c r="K883" t="str">
        <f>INDEX('Match Groups'!$D$5:$D$1326,MATCH(J883,'Match Groups'!$A$5:$A$1326,0))</f>
        <v>MATCH</v>
      </c>
    </row>
    <row r="884">
      <c r="A884" t="inlineStr">
        <is>
          <t>JI-00222</t>
        </is>
      </c>
      <c r="B884" t="inlineStr">
        <is>
          <t>OPS</t>
        </is>
      </c>
      <c r="C884" s="5" t="n">
        <v>46213</v>
      </c>
      <c r="D884" t="inlineStr">
        <is>
          <t>Banksia Plan Co</t>
        </is>
      </c>
      <c r="E884" t="inlineStr">
        <is>
          <t>INV/2026/01713</t>
        </is>
      </c>
      <c r="F884" t="inlineStr">
        <is>
          <t>Customer payment INV/2026/01713</t>
        </is>
      </c>
      <c r="G884" s="9" t="n">
        <v>446.18</v>
      </c>
      <c r="H884" t="inlineStr">
        <is>
          <t>customer_payment</t>
        </is>
      </c>
      <c r="I884" t="inlineStr"/>
      <c r="J884" t="inlineStr">
        <is>
          <t>G00130</t>
        </is>
      </c>
      <c r="K884" t="str">
        <f>INDEX('Match Groups'!$D$5:$D$1326,MATCH(J884,'Match Groups'!$A$5:$A$1326,0))</f>
        <v>MATCH</v>
      </c>
    </row>
    <row r="885">
      <c r="A885" t="inlineStr">
        <is>
          <t>JI-00223</t>
        </is>
      </c>
      <c r="B885" t="inlineStr">
        <is>
          <t>OPS</t>
        </is>
      </c>
      <c r="C885" s="5" t="n">
        <v>46213</v>
      </c>
      <c r="D885" t="inlineStr">
        <is>
          <t>Banksia Plan Co</t>
        </is>
      </c>
      <c r="E885" t="inlineStr">
        <is>
          <t>INV/2026/01734</t>
        </is>
      </c>
      <c r="F885" t="inlineStr">
        <is>
          <t>Customer payment INV/2026/01734</t>
        </is>
      </c>
      <c r="G885" s="9" t="n">
        <v>145.49</v>
      </c>
      <c r="H885" t="inlineStr">
        <is>
          <t>customer_payment</t>
        </is>
      </c>
      <c r="I885" t="inlineStr"/>
      <c r="J885" t="inlineStr">
        <is>
          <t>G00130</t>
        </is>
      </c>
      <c r="K885" t="str">
        <f>INDEX('Match Groups'!$D$5:$D$1326,MATCH(J885,'Match Groups'!$A$5:$A$1326,0))</f>
        <v>MATCH</v>
      </c>
    </row>
    <row r="886">
      <c r="A886" t="inlineStr">
        <is>
          <t>JI-00224</t>
        </is>
      </c>
      <c r="B886" t="inlineStr">
        <is>
          <t>OPS</t>
        </is>
      </c>
      <c r="C886" s="5" t="n">
        <v>46213</v>
      </c>
      <c r="D886" t="inlineStr">
        <is>
          <t>Banksia Plan Co</t>
        </is>
      </c>
      <c r="E886" t="inlineStr">
        <is>
          <t>INV/2026/01735</t>
        </is>
      </c>
      <c r="F886" t="inlineStr">
        <is>
          <t>Customer payment INV/2026/01735</t>
        </is>
      </c>
      <c r="G886" s="9" t="n">
        <v>387.98</v>
      </c>
      <c r="H886" t="inlineStr">
        <is>
          <t>customer_payment</t>
        </is>
      </c>
      <c r="I886" t="inlineStr"/>
      <c r="J886" t="inlineStr">
        <is>
          <t>G00130</t>
        </is>
      </c>
      <c r="K886" t="str">
        <f>INDEX('Match Groups'!$D$5:$D$1326,MATCH(J886,'Match Groups'!$A$5:$A$1326,0))</f>
        <v>MATCH</v>
      </c>
    </row>
    <row r="887">
      <c r="A887" t="inlineStr">
        <is>
          <t>JI-00225</t>
        </is>
      </c>
      <c r="B887" t="inlineStr">
        <is>
          <t>OPS</t>
        </is>
      </c>
      <c r="C887" s="5" t="n">
        <v>46213</v>
      </c>
      <c r="D887" t="inlineStr">
        <is>
          <t>Banksia Plan Co</t>
        </is>
      </c>
      <c r="E887" t="inlineStr">
        <is>
          <t>INV/2026/01754</t>
        </is>
      </c>
      <c r="F887" t="inlineStr">
        <is>
          <t>Customer payment INV/2026/01754</t>
        </is>
      </c>
      <c r="G887" s="9" t="n">
        <v>96.98999999999999</v>
      </c>
      <c r="H887" t="inlineStr">
        <is>
          <t>customer_payment</t>
        </is>
      </c>
      <c r="I887" t="inlineStr"/>
      <c r="J887" t="inlineStr">
        <is>
          <t>G00130</t>
        </is>
      </c>
      <c r="K887" t="str">
        <f>INDEX('Match Groups'!$D$5:$D$1326,MATCH(J887,'Match Groups'!$A$5:$A$1326,0))</f>
        <v>MATCH</v>
      </c>
    </row>
    <row r="888">
      <c r="A888" t="inlineStr">
        <is>
          <t>JI-00226</t>
        </is>
      </c>
      <c r="B888" t="inlineStr">
        <is>
          <t>OPS</t>
        </is>
      </c>
      <c r="C888" s="5" t="n">
        <v>46213</v>
      </c>
      <c r="D888" t="inlineStr">
        <is>
          <t>Banksia Plan Co</t>
        </is>
      </c>
      <c r="E888" t="inlineStr">
        <is>
          <t>INV/2026/01755</t>
        </is>
      </c>
      <c r="F888" t="inlineStr">
        <is>
          <t>Customer payment INV/2026/01755</t>
        </is>
      </c>
      <c r="G888" s="9" t="n">
        <v>387.98</v>
      </c>
      <c r="H888" t="inlineStr">
        <is>
          <t>customer_payment</t>
        </is>
      </c>
      <c r="I888" t="inlineStr"/>
      <c r="J888" t="inlineStr">
        <is>
          <t>G00130</t>
        </is>
      </c>
      <c r="K888" t="str">
        <f>INDEX('Match Groups'!$D$5:$D$1326,MATCH(J888,'Match Groups'!$A$5:$A$1326,0))</f>
        <v>MATCH</v>
      </c>
    </row>
    <row r="889">
      <c r="A889" t="inlineStr">
        <is>
          <t>JI-00227</t>
        </is>
      </c>
      <c r="B889" t="inlineStr">
        <is>
          <t>OPS</t>
        </is>
      </c>
      <c r="C889" s="5" t="n">
        <v>46213</v>
      </c>
      <c r="D889" t="inlineStr">
        <is>
          <t>Banksia Plan Co</t>
        </is>
      </c>
      <c r="E889" t="inlineStr">
        <is>
          <t>INV/2026/01756</t>
        </is>
      </c>
      <c r="F889" t="inlineStr">
        <is>
          <t>Customer payment INV/2026/01756</t>
        </is>
      </c>
      <c r="G889" s="9" t="n">
        <v>96.98999999999999</v>
      </c>
      <c r="H889" t="inlineStr">
        <is>
          <t>customer_payment</t>
        </is>
      </c>
      <c r="I889" t="inlineStr"/>
      <c r="J889" t="inlineStr">
        <is>
          <t>G00130</t>
        </is>
      </c>
      <c r="K889" t="str">
        <f>INDEX('Match Groups'!$D$5:$D$1326,MATCH(J889,'Match Groups'!$A$5:$A$1326,0))</f>
        <v>MATCH</v>
      </c>
    </row>
    <row r="890">
      <c r="A890" t="inlineStr">
        <is>
          <t>JI-00228</t>
        </is>
      </c>
      <c r="B890" t="inlineStr">
        <is>
          <t>OPS</t>
        </is>
      </c>
      <c r="C890" s="5" t="n">
        <v>46213</v>
      </c>
      <c r="D890" t="inlineStr">
        <is>
          <t>Banksia Plan Co</t>
        </is>
      </c>
      <c r="E890" t="inlineStr">
        <is>
          <t>INV/2026/01779</t>
        </is>
      </c>
      <c r="F890" t="inlineStr">
        <is>
          <t>Customer payment INV/2026/01779</t>
        </is>
      </c>
      <c r="G890" s="9" t="n">
        <v>387.98</v>
      </c>
      <c r="H890" t="inlineStr">
        <is>
          <t>customer_payment</t>
        </is>
      </c>
      <c r="I890" t="inlineStr"/>
      <c r="J890" t="inlineStr">
        <is>
          <t>G00130</t>
        </is>
      </c>
      <c r="K890" t="str">
        <f>INDEX('Match Groups'!$D$5:$D$1326,MATCH(J890,'Match Groups'!$A$5:$A$1326,0))</f>
        <v>MATCH</v>
      </c>
    </row>
    <row r="891">
      <c r="A891" t="inlineStr">
        <is>
          <t>JI-00229</t>
        </is>
      </c>
      <c r="B891" t="inlineStr">
        <is>
          <t>OPS</t>
        </is>
      </c>
      <c r="C891" s="5" t="n">
        <v>46213</v>
      </c>
      <c r="D891" t="inlineStr">
        <is>
          <t>Banksia Plan Co</t>
        </is>
      </c>
      <c r="E891" t="inlineStr">
        <is>
          <t>INV/2026/01780</t>
        </is>
      </c>
      <c r="F891" t="inlineStr">
        <is>
          <t>Customer payment INV/2026/01780</t>
        </is>
      </c>
      <c r="G891" s="9" t="n">
        <v>387.98</v>
      </c>
      <c r="H891" t="inlineStr">
        <is>
          <t>customer_payment</t>
        </is>
      </c>
      <c r="I891" t="inlineStr"/>
      <c r="J891" t="inlineStr">
        <is>
          <t>G00130</t>
        </is>
      </c>
      <c r="K891" t="str">
        <f>INDEX('Match Groups'!$D$5:$D$1326,MATCH(J891,'Match Groups'!$A$5:$A$1326,0))</f>
        <v>MATCH</v>
      </c>
    </row>
    <row r="892">
      <c r="A892" t="inlineStr">
        <is>
          <t>JI-00230</t>
        </is>
      </c>
      <c r="B892" t="inlineStr">
        <is>
          <t>OPS</t>
        </is>
      </c>
      <c r="C892" s="5" t="n">
        <v>46213</v>
      </c>
      <c r="D892" t="inlineStr">
        <is>
          <t>Kookaburra Plan Support</t>
        </is>
      </c>
      <c r="E892" t="inlineStr">
        <is>
          <t>INV/2026/01523</t>
        </is>
      </c>
      <c r="F892" t="inlineStr">
        <is>
          <t>Customer payment INV/2026/01523</t>
        </is>
      </c>
      <c r="G892" s="9" t="n">
        <v>193.99</v>
      </c>
      <c r="H892" t="inlineStr">
        <is>
          <t>customer_payment</t>
        </is>
      </c>
      <c r="I892" t="inlineStr"/>
      <c r="J892" t="inlineStr">
        <is>
          <t>G00131</t>
        </is>
      </c>
      <c r="K892" t="str">
        <f>INDEX('Match Groups'!$D$5:$D$1326,MATCH(J892,'Match Groups'!$A$5:$A$1326,0))</f>
        <v>MATCH</v>
      </c>
    </row>
    <row r="893">
      <c r="A893" t="inlineStr">
        <is>
          <t>JI-00231</t>
        </is>
      </c>
      <c r="B893" t="inlineStr">
        <is>
          <t>OPS</t>
        </is>
      </c>
      <c r="C893" s="5" t="n">
        <v>46213</v>
      </c>
      <c r="D893" t="inlineStr">
        <is>
          <t>Kookaburra Plan Support</t>
        </is>
      </c>
      <c r="E893" t="inlineStr">
        <is>
          <t>INV/2026/01524</t>
        </is>
      </c>
      <c r="F893" t="inlineStr">
        <is>
          <t>Customer payment INV/2026/01524</t>
        </is>
      </c>
      <c r="G893" s="9" t="n">
        <v>349.18</v>
      </c>
      <c r="H893" t="inlineStr">
        <is>
          <t>customer_payment</t>
        </is>
      </c>
      <c r="I893" t="inlineStr"/>
      <c r="J893" t="inlineStr">
        <is>
          <t>G00131</t>
        </is>
      </c>
      <c r="K893" t="str">
        <f>INDEX('Match Groups'!$D$5:$D$1326,MATCH(J893,'Match Groups'!$A$5:$A$1326,0))</f>
        <v>MATCH</v>
      </c>
    </row>
    <row r="894">
      <c r="A894" t="inlineStr">
        <is>
          <t>JI-00232</t>
        </is>
      </c>
      <c r="B894" t="inlineStr">
        <is>
          <t>OPS</t>
        </is>
      </c>
      <c r="C894" s="5" t="n">
        <v>46213</v>
      </c>
      <c r="D894" t="inlineStr">
        <is>
          <t>Kookaburra Plan Support</t>
        </is>
      </c>
      <c r="E894" t="inlineStr">
        <is>
          <t>INV/2026/01566</t>
        </is>
      </c>
      <c r="F894" t="inlineStr">
        <is>
          <t>Customer payment INV/2026/01566</t>
        </is>
      </c>
      <c r="G894" s="9" t="n">
        <v>272.49</v>
      </c>
      <c r="H894" t="inlineStr">
        <is>
          <t>customer_payment</t>
        </is>
      </c>
      <c r="I894" t="inlineStr"/>
      <c r="J894" t="inlineStr">
        <is>
          <t>G00131</t>
        </is>
      </c>
      <c r="K894" t="str">
        <f>INDEX('Match Groups'!$D$5:$D$1326,MATCH(J894,'Match Groups'!$A$5:$A$1326,0))</f>
        <v>MATCH</v>
      </c>
    </row>
    <row r="895">
      <c r="A895" t="inlineStr">
        <is>
          <t>JI-00233</t>
        </is>
      </c>
      <c r="B895" t="inlineStr">
        <is>
          <t>OPS</t>
        </is>
      </c>
      <c r="C895" s="5" t="n">
        <v>46213</v>
      </c>
      <c r="D895" t="inlineStr">
        <is>
          <t>Redgum Plan Admin</t>
        </is>
      </c>
      <c r="E895" t="inlineStr">
        <is>
          <t>INV/2026/01955</t>
        </is>
      </c>
      <c r="F895" t="inlineStr">
        <is>
          <t>Customer payment INV/2026/01955</t>
        </is>
      </c>
      <c r="G895" s="9" t="n">
        <v>387.98</v>
      </c>
      <c r="H895" t="inlineStr">
        <is>
          <t>customer_payment</t>
        </is>
      </c>
      <c r="I895" t="inlineStr"/>
      <c r="J895" t="inlineStr">
        <is>
          <t>G00132</t>
        </is>
      </c>
      <c r="K895" t="str">
        <f>INDEX('Match Groups'!$D$5:$D$1326,MATCH(J895,'Match Groups'!$A$5:$A$1326,0))</f>
        <v>MATCH</v>
      </c>
    </row>
    <row r="896">
      <c r="A896" t="inlineStr">
        <is>
          <t>JI-00234</t>
        </is>
      </c>
      <c r="B896" t="inlineStr">
        <is>
          <t>OPS</t>
        </is>
      </c>
      <c r="C896" s="5" t="n">
        <v>46213</v>
      </c>
      <c r="D896" t="inlineStr">
        <is>
          <t>Redgum Plan Admin</t>
        </is>
      </c>
      <c r="E896" t="inlineStr">
        <is>
          <t>INV/2026/01956</t>
        </is>
      </c>
      <c r="F896" t="inlineStr">
        <is>
          <t>Customer payment INV/2026/01956</t>
        </is>
      </c>
      <c r="G896" s="9" t="n">
        <v>446.18</v>
      </c>
      <c r="H896" t="inlineStr">
        <is>
          <t>customer_payment</t>
        </is>
      </c>
      <c r="I896" t="inlineStr"/>
      <c r="J896" t="inlineStr">
        <is>
          <t>G00132</t>
        </is>
      </c>
      <c r="K896" t="str">
        <f>INDEX('Match Groups'!$D$5:$D$1326,MATCH(J896,'Match Groups'!$A$5:$A$1326,0))</f>
        <v>MATCH</v>
      </c>
    </row>
    <row r="897">
      <c r="A897" t="inlineStr">
        <is>
          <t>JI-00235</t>
        </is>
      </c>
      <c r="B897" t="inlineStr">
        <is>
          <t>OPS</t>
        </is>
      </c>
      <c r="C897" s="5" t="n">
        <v>46213</v>
      </c>
      <c r="D897" t="inlineStr">
        <is>
          <t>Redgum Plan Admin</t>
        </is>
      </c>
      <c r="E897" t="inlineStr">
        <is>
          <t>INV/2026/01957</t>
        </is>
      </c>
      <c r="F897" t="inlineStr">
        <is>
          <t>Customer payment INV/2026/01957</t>
        </is>
      </c>
      <c r="G897" s="9" t="n">
        <v>446.18</v>
      </c>
      <c r="H897" t="inlineStr">
        <is>
          <t>customer_payment</t>
        </is>
      </c>
      <c r="I897" t="inlineStr"/>
      <c r="J897" t="inlineStr">
        <is>
          <t>G00132</t>
        </is>
      </c>
      <c r="K897" t="str">
        <f>INDEX('Match Groups'!$D$5:$D$1326,MATCH(J897,'Match Groups'!$A$5:$A$1326,0))</f>
        <v>MATCH</v>
      </c>
    </row>
    <row r="898">
      <c r="A898" t="inlineStr">
        <is>
          <t>JI-00236</t>
        </is>
      </c>
      <c r="B898" t="inlineStr">
        <is>
          <t>OPS</t>
        </is>
      </c>
      <c r="C898" s="5" t="n">
        <v>46213</v>
      </c>
      <c r="D898" t="inlineStr">
        <is>
          <t>Redgum Plan Admin</t>
        </is>
      </c>
      <c r="E898" t="inlineStr">
        <is>
          <t>INV/2026/02004</t>
        </is>
      </c>
      <c r="F898" t="inlineStr">
        <is>
          <t>Customer payment INV/2026/02004</t>
        </is>
      </c>
      <c r="G898" s="9" t="n">
        <v>96.98999999999999</v>
      </c>
      <c r="H898" t="inlineStr">
        <is>
          <t>customer_payment</t>
        </is>
      </c>
      <c r="I898" t="inlineStr"/>
      <c r="J898" t="inlineStr">
        <is>
          <t>G00132</t>
        </is>
      </c>
      <c r="K898" t="str">
        <f>INDEX('Match Groups'!$D$5:$D$1326,MATCH(J898,'Match Groups'!$A$5:$A$1326,0))</f>
        <v>MATCH</v>
      </c>
    </row>
    <row r="899">
      <c r="A899" t="inlineStr">
        <is>
          <t>JI-00237</t>
        </is>
      </c>
      <c r="B899" t="inlineStr">
        <is>
          <t>OPS</t>
        </is>
      </c>
      <c r="C899" s="5" t="n">
        <v>46213</v>
      </c>
      <c r="D899" t="inlineStr">
        <is>
          <t>Redgum Plan Admin</t>
        </is>
      </c>
      <c r="E899" t="inlineStr">
        <is>
          <t>INV/2026/02006</t>
        </is>
      </c>
      <c r="F899" t="inlineStr">
        <is>
          <t>Customer payment INV/2026/02006</t>
        </is>
      </c>
      <c r="G899" s="9" t="n">
        <v>175.49</v>
      </c>
      <c r="H899" t="inlineStr">
        <is>
          <t>customer_payment</t>
        </is>
      </c>
      <c r="I899" t="inlineStr"/>
      <c r="J899" t="inlineStr">
        <is>
          <t>G00132</t>
        </is>
      </c>
      <c r="K899" t="str">
        <f>INDEX('Match Groups'!$D$5:$D$1326,MATCH(J899,'Match Groups'!$A$5:$A$1326,0))</f>
        <v>MATCH</v>
      </c>
    </row>
    <row r="900">
      <c r="A900" t="inlineStr">
        <is>
          <t>JI-00238</t>
        </is>
      </c>
      <c r="B900" t="inlineStr">
        <is>
          <t>OPS</t>
        </is>
      </c>
      <c r="C900" s="5" t="n">
        <v>46213</v>
      </c>
      <c r="D900" t="inlineStr">
        <is>
          <t>Redgum Plan Admin</t>
        </is>
      </c>
      <c r="E900" t="inlineStr">
        <is>
          <t>INV/2026/02030</t>
        </is>
      </c>
      <c r="F900" t="inlineStr">
        <is>
          <t>Customer payment INV/2026/02030</t>
        </is>
      </c>
      <c r="G900" s="9" t="n">
        <v>387.98</v>
      </c>
      <c r="H900" t="inlineStr">
        <is>
          <t>customer_payment</t>
        </is>
      </c>
      <c r="I900" t="inlineStr"/>
      <c r="J900" t="inlineStr">
        <is>
          <t>G00132</t>
        </is>
      </c>
      <c r="K900" t="str">
        <f>INDEX('Match Groups'!$D$5:$D$1326,MATCH(J900,'Match Groups'!$A$5:$A$1326,0))</f>
        <v>MATCH</v>
      </c>
    </row>
    <row r="901">
      <c r="A901" t="inlineStr">
        <is>
          <t>JI-00239</t>
        </is>
      </c>
      <c r="B901" t="inlineStr">
        <is>
          <t>OPS</t>
        </is>
      </c>
      <c r="C901" s="5" t="n">
        <v>46213</v>
      </c>
      <c r="D901" t="inlineStr">
        <is>
          <t>Lyrebird Plan Management</t>
        </is>
      </c>
      <c r="E901" t="inlineStr">
        <is>
          <t>INV/2026/01655</t>
        </is>
      </c>
      <c r="F901" t="inlineStr">
        <is>
          <t>Customer payment INV/2026/01655</t>
        </is>
      </c>
      <c r="G901" s="9" t="n">
        <v>145.49</v>
      </c>
      <c r="H901" t="inlineStr">
        <is>
          <t>customer_payment</t>
        </is>
      </c>
      <c r="I901" t="inlineStr"/>
      <c r="J901" t="inlineStr">
        <is>
          <t>G00133</t>
        </is>
      </c>
      <c r="K901" t="str">
        <f>INDEX('Match Groups'!$D$5:$D$1326,MATCH(J901,'Match Groups'!$A$5:$A$1326,0))</f>
        <v>MATCH</v>
      </c>
    </row>
    <row r="902">
      <c r="A902" t="inlineStr">
        <is>
          <t>JI-00240</t>
        </is>
      </c>
      <c r="B902" t="inlineStr">
        <is>
          <t>OPS</t>
        </is>
      </c>
      <c r="C902" s="5" t="n">
        <v>46213</v>
      </c>
      <c r="D902" t="inlineStr">
        <is>
          <t>Lyrebird Plan Management</t>
        </is>
      </c>
      <c r="E902" t="inlineStr">
        <is>
          <t>INV/2026/01656</t>
        </is>
      </c>
      <c r="F902" t="inlineStr">
        <is>
          <t>Customer payment INV/2026/01656</t>
        </is>
      </c>
      <c r="G902" s="9" t="n">
        <v>175.49</v>
      </c>
      <c r="H902" t="inlineStr">
        <is>
          <t>customer_payment</t>
        </is>
      </c>
      <c r="I902" t="inlineStr"/>
      <c r="J902" t="inlineStr">
        <is>
          <t>G00133</t>
        </is>
      </c>
      <c r="K902" t="str">
        <f>INDEX('Match Groups'!$D$5:$D$1326,MATCH(J902,'Match Groups'!$A$5:$A$1326,0))</f>
        <v>MATCH</v>
      </c>
    </row>
    <row r="903">
      <c r="A903" t="inlineStr">
        <is>
          <t>JI-00241</t>
        </is>
      </c>
      <c r="B903" t="inlineStr">
        <is>
          <t>OPS</t>
        </is>
      </c>
      <c r="C903" s="5" t="n">
        <v>46213</v>
      </c>
      <c r="D903" t="inlineStr">
        <is>
          <t>Lyrebird Plan Management</t>
        </is>
      </c>
      <c r="E903" t="inlineStr">
        <is>
          <t>INV/2026/01700</t>
        </is>
      </c>
      <c r="F903" t="inlineStr">
        <is>
          <t>Customer payment INV/2026/01700</t>
        </is>
      </c>
      <c r="G903" s="9" t="n">
        <v>96.98999999999999</v>
      </c>
      <c r="H903" t="inlineStr">
        <is>
          <t>customer_payment</t>
        </is>
      </c>
      <c r="I903" t="inlineStr"/>
      <c r="J903" t="inlineStr">
        <is>
          <t>G00133</t>
        </is>
      </c>
      <c r="K903" t="str">
        <f>INDEX('Match Groups'!$D$5:$D$1326,MATCH(J903,'Match Groups'!$A$5:$A$1326,0))</f>
        <v>MATCH</v>
      </c>
    </row>
    <row r="904">
      <c r="A904" t="inlineStr">
        <is>
          <t>JI-00242</t>
        </is>
      </c>
      <c r="B904" t="inlineStr">
        <is>
          <t>OPS</t>
        </is>
      </c>
      <c r="C904" s="5" t="n">
        <v>46213</v>
      </c>
      <c r="D904" t="inlineStr">
        <is>
          <t>Lyrebird Plan Management</t>
        </is>
      </c>
      <c r="E904" t="inlineStr">
        <is>
          <t>INV/2026/01701</t>
        </is>
      </c>
      <c r="F904" t="inlineStr">
        <is>
          <t>Customer payment INV/2026/01701</t>
        </is>
      </c>
      <c r="G904" s="9" t="n">
        <v>203.69</v>
      </c>
      <c r="H904" t="inlineStr">
        <is>
          <t>customer_payment</t>
        </is>
      </c>
      <c r="I904" t="inlineStr"/>
      <c r="J904" t="inlineStr">
        <is>
          <t>G00133</t>
        </is>
      </c>
      <c r="K904" t="str">
        <f>INDEX('Match Groups'!$D$5:$D$1326,MATCH(J904,'Match Groups'!$A$5:$A$1326,0))</f>
        <v>MATCH</v>
      </c>
    </row>
    <row r="905">
      <c r="A905" t="inlineStr">
        <is>
          <t>JI-00243</t>
        </is>
      </c>
      <c r="B905" t="inlineStr">
        <is>
          <t>OPS</t>
        </is>
      </c>
      <c r="C905" s="5" t="n">
        <v>46213</v>
      </c>
      <c r="D905" t="inlineStr">
        <is>
          <t>Lyrebird Plan Management</t>
        </is>
      </c>
      <c r="E905" t="inlineStr">
        <is>
          <t>INV/2026/01722</t>
        </is>
      </c>
      <c r="F905" t="inlineStr">
        <is>
          <t>Customer payment INV/2026/01722</t>
        </is>
      </c>
      <c r="G905" s="9" t="n">
        <v>300.69</v>
      </c>
      <c r="H905" t="inlineStr">
        <is>
          <t>customer_payment</t>
        </is>
      </c>
      <c r="I905" t="inlineStr"/>
      <c r="J905" t="inlineStr">
        <is>
          <t>G00133</t>
        </is>
      </c>
      <c r="K905" t="str">
        <f>INDEX('Match Groups'!$D$5:$D$1326,MATCH(J905,'Match Groups'!$A$5:$A$1326,0))</f>
        <v>MATCH</v>
      </c>
    </row>
    <row r="906">
      <c r="A906" t="inlineStr">
        <is>
          <t>JI-00244</t>
        </is>
      </c>
      <c r="B906" t="inlineStr">
        <is>
          <t>OPS</t>
        </is>
      </c>
      <c r="C906" s="5" t="n">
        <v>46213</v>
      </c>
      <c r="D906" t="inlineStr">
        <is>
          <t>Lyrebird Plan Management</t>
        </is>
      </c>
      <c r="E906" t="inlineStr">
        <is>
          <t>INV/2026/01723</t>
        </is>
      </c>
      <c r="F906" t="inlineStr">
        <is>
          <t>Customer payment INV/2026/01723</t>
        </is>
      </c>
      <c r="G906" s="9" t="n">
        <v>300.69</v>
      </c>
      <c r="H906" t="inlineStr">
        <is>
          <t>customer_payment</t>
        </is>
      </c>
      <c r="I906" t="inlineStr"/>
      <c r="J906" t="inlineStr">
        <is>
          <t>G00133</t>
        </is>
      </c>
      <c r="K906" t="str">
        <f>INDEX('Match Groups'!$D$5:$D$1326,MATCH(J906,'Match Groups'!$A$5:$A$1326,0))</f>
        <v>MATCH</v>
      </c>
    </row>
    <row r="907">
      <c r="A907" t="inlineStr">
        <is>
          <t>JI-01540</t>
        </is>
      </c>
      <c r="B907" t="inlineStr">
        <is>
          <t>OPS</t>
        </is>
      </c>
      <c r="C907" s="5" t="n">
        <v>46213</v>
      </c>
      <c r="D907" t="inlineStr">
        <is>
          <t>Harbour Mutual Health</t>
        </is>
      </c>
      <c r="E907" t="inlineStr">
        <is>
          <t>INV/2026/01912</t>
        </is>
      </c>
      <c r="F907" t="inlineStr">
        <is>
          <t>Customer payment INV/2026/01912</t>
        </is>
      </c>
      <c r="G907" s="9" t="n">
        <v>176</v>
      </c>
      <c r="H907" t="inlineStr">
        <is>
          <t>customer_payment</t>
        </is>
      </c>
      <c r="I907" t="inlineStr"/>
      <c r="J907" t="inlineStr">
        <is>
          <t>G00923</t>
        </is>
      </c>
      <c r="K907" t="str">
        <f>INDEX('Match Groups'!$D$5:$D$1326,MATCH(J907,'Match Groups'!$A$5:$A$1326,0))</f>
        <v>MATCH</v>
      </c>
    </row>
    <row r="908">
      <c r="A908" t="inlineStr">
        <is>
          <t>JI-01559</t>
        </is>
      </c>
      <c r="B908" t="inlineStr">
        <is>
          <t>OPS</t>
        </is>
      </c>
      <c r="C908" s="5" t="n">
        <v>46213</v>
      </c>
      <c r="D908" t="inlineStr">
        <is>
          <t>Coastline Health Fund</t>
        </is>
      </c>
      <c r="E908" t="inlineStr">
        <is>
          <t>INV/2026/01773</t>
        </is>
      </c>
      <c r="F908" t="inlineStr">
        <is>
          <t>Customer payment INV/2026/01773</t>
        </is>
      </c>
      <c r="G908" s="9" t="n">
        <v>412.5</v>
      </c>
      <c r="H908" t="inlineStr">
        <is>
          <t>customer_payment</t>
        </is>
      </c>
      <c r="I908" t="inlineStr"/>
      <c r="J908" t="inlineStr">
        <is>
          <t>G00924</t>
        </is>
      </c>
      <c r="K908" t="str">
        <f>INDEX('Match Groups'!$D$5:$D$1326,MATCH(J908,'Match Groups'!$A$5:$A$1326,0))</f>
        <v>MATCH</v>
      </c>
    </row>
    <row r="909">
      <c r="A909" t="inlineStr">
        <is>
          <t>JI-01563</t>
        </is>
      </c>
      <c r="B909" t="inlineStr">
        <is>
          <t>OPS</t>
        </is>
      </c>
      <c r="C909" s="5" t="n">
        <v>46213</v>
      </c>
      <c r="D909" t="inlineStr">
        <is>
          <t>Coastline Health Fund</t>
        </is>
      </c>
      <c r="E909" t="inlineStr">
        <is>
          <t>INV/2026/01967</t>
        </is>
      </c>
      <c r="F909" t="inlineStr">
        <is>
          <t>Customer payment INV/2026/01967</t>
        </is>
      </c>
      <c r="G909" s="9" t="n">
        <v>264</v>
      </c>
      <c r="H909" t="inlineStr">
        <is>
          <t>customer_payment</t>
        </is>
      </c>
      <c r="I909" t="inlineStr"/>
      <c r="J909" t="inlineStr">
        <is>
          <t>G00926</t>
        </is>
      </c>
      <c r="K909" t="str">
        <f>INDEX('Match Groups'!$D$5:$D$1326,MATCH(J909,'Match Groups'!$A$5:$A$1326,0))</f>
        <v>MATCH</v>
      </c>
    </row>
    <row r="910">
      <c r="A910" t="inlineStr">
        <is>
          <t>JI-01592</t>
        </is>
      </c>
      <c r="B910" t="inlineStr">
        <is>
          <t>OPS</t>
        </is>
      </c>
      <c r="C910" s="5" t="n">
        <v>46213</v>
      </c>
      <c r="D910" t="inlineStr">
        <is>
          <t>Pinnacle Claims Services</t>
        </is>
      </c>
      <c r="E910" t="inlineStr">
        <is>
          <t>INV/2026/01968</t>
        </is>
      </c>
      <c r="F910" t="inlineStr">
        <is>
          <t>Customer payment INV/2026/01968</t>
        </is>
      </c>
      <c r="G910" s="9" t="n">
        <v>412.5</v>
      </c>
      <c r="H910" t="inlineStr">
        <is>
          <t>customer_payment</t>
        </is>
      </c>
      <c r="I910" t="inlineStr"/>
      <c r="J910" t="inlineStr">
        <is>
          <t>G00928</t>
        </is>
      </c>
      <c r="K910" t="str">
        <f>INDEX('Match Groups'!$D$5:$D$1326,MATCH(J910,'Match Groups'!$A$5:$A$1326,0))</f>
        <v>MATCH</v>
      </c>
    </row>
    <row r="911">
      <c r="A911" t="inlineStr">
        <is>
          <t>JI-01593</t>
        </is>
      </c>
      <c r="B911" t="inlineStr">
        <is>
          <t>OPS</t>
        </is>
      </c>
      <c r="C911" s="5" t="n">
        <v>46213</v>
      </c>
      <c r="D911" t="inlineStr">
        <is>
          <t>Pinnacle Claims Services</t>
        </is>
      </c>
      <c r="E911" t="inlineStr">
        <is>
          <t>INV/2026/01991</t>
        </is>
      </c>
      <c r="F911" t="inlineStr">
        <is>
          <t>Customer payment INV/2026/01991</t>
        </is>
      </c>
      <c r="G911" s="9" t="n">
        <v>132</v>
      </c>
      <c r="H911" t="inlineStr">
        <is>
          <t>customer_payment</t>
        </is>
      </c>
      <c r="I911" t="inlineStr"/>
      <c r="J911" t="inlineStr">
        <is>
          <t>G00929</t>
        </is>
      </c>
      <c r="K911" t="str">
        <f>INDEX('Match Groups'!$D$5:$D$1326,MATCH(J911,'Match Groups'!$A$5:$A$1326,0))</f>
        <v>MATCH</v>
      </c>
    </row>
    <row r="912">
      <c r="A912" t="inlineStr">
        <is>
          <t>JI-01630</t>
        </is>
      </c>
      <c r="B912" t="inlineStr">
        <is>
          <t>OPS</t>
        </is>
      </c>
      <c r="C912" s="5" t="n">
        <v>46213</v>
      </c>
      <c r="D912" t="inlineStr">
        <is>
          <t>Northline Injury Claims</t>
        </is>
      </c>
      <c r="E912" t="inlineStr">
        <is>
          <t>INV/2026/01684</t>
        </is>
      </c>
      <c r="F912" t="inlineStr">
        <is>
          <t>Customer payment INV/2026/01684</t>
        </is>
      </c>
      <c r="G912" s="9" t="n">
        <v>990</v>
      </c>
      <c r="H912" t="inlineStr">
        <is>
          <t>customer_payment</t>
        </is>
      </c>
      <c r="I912" t="inlineStr"/>
      <c r="J912" t="inlineStr">
        <is>
          <t>G00921</t>
        </is>
      </c>
      <c r="K912" t="str">
        <f>INDEX('Match Groups'!$D$5:$D$1326,MATCH(J912,'Match Groups'!$A$5:$A$1326,0))</f>
        <v>MATCH</v>
      </c>
    </row>
    <row r="913">
      <c r="A913" t="inlineStr">
        <is>
          <t>JI-01655</t>
        </is>
      </c>
      <c r="B913" t="inlineStr">
        <is>
          <t>OPS</t>
        </is>
      </c>
      <c r="C913" s="5" t="n">
        <v>46213</v>
      </c>
      <c r="D913" t="inlineStr">
        <is>
          <t>Brightwater Civil Pty Ltd</t>
        </is>
      </c>
      <c r="E913" t="inlineStr">
        <is>
          <t>INV/2026/03413</t>
        </is>
      </c>
      <c r="F913" t="inlineStr">
        <is>
          <t>Customer payment INV/2026/03413</t>
        </is>
      </c>
      <c r="G913" s="9" t="n">
        <v>3465</v>
      </c>
      <c r="H913" t="inlineStr">
        <is>
          <t>customer_payment</t>
        </is>
      </c>
      <c r="I913" t="inlineStr"/>
      <c r="J913" t="inlineStr">
        <is>
          <t>G01122</t>
        </is>
      </c>
      <c r="K913" t="str">
        <f>INDEX('Match Groups'!$D$5:$D$1326,MATCH(J913,'Match Groups'!$A$5:$A$1326,0))</f>
        <v>MATCH</v>
      </c>
    </row>
    <row r="914">
      <c r="A914" t="inlineStr">
        <is>
          <t>JI-01761</t>
        </is>
      </c>
      <c r="B914" t="inlineStr">
        <is>
          <t>OPS</t>
        </is>
      </c>
      <c r="C914" s="5" t="n">
        <v>46213</v>
      </c>
      <c r="D914" t="inlineStr">
        <is>
          <t>Quarry Lane Concrete</t>
        </is>
      </c>
      <c r="E914" t="inlineStr">
        <is>
          <t>INV/2026/03457</t>
        </is>
      </c>
      <c r="F914" t="inlineStr">
        <is>
          <t>Customer payment INV/2026/03457</t>
        </is>
      </c>
      <c r="G914" s="9" t="n">
        <v>6971.25</v>
      </c>
      <c r="H914" t="inlineStr">
        <is>
          <t>customer_payment</t>
        </is>
      </c>
      <c r="I914" t="inlineStr"/>
      <c r="J914" t="inlineStr">
        <is>
          <t>G00931</t>
        </is>
      </c>
      <c r="K914" t="str">
        <f>INDEX('Match Groups'!$D$5:$D$1326,MATCH(J914,'Match Groups'!$A$5:$A$1326,0))</f>
        <v>MATCH</v>
      </c>
    </row>
    <row r="915">
      <c r="A915" t="inlineStr">
        <is>
          <t>JI-02025</t>
        </is>
      </c>
      <c r="B915" t="inlineStr">
        <is>
          <t>OPS</t>
        </is>
      </c>
      <c r="C915" s="5" t="n">
        <v>46213</v>
      </c>
      <c r="D915" t="inlineStr">
        <is>
          <t>Stripe patient 94194</t>
        </is>
      </c>
      <c r="E915" t="inlineStr">
        <is>
          <t>INV/2026/03872</t>
        </is>
      </c>
      <c r="F915" t="inlineStr">
        <is>
          <t>Customer payment INV/2026/03872</t>
        </is>
      </c>
      <c r="G915" s="9" t="n">
        <v>95</v>
      </c>
      <c r="H915" t="inlineStr">
        <is>
          <t>customer_payment</t>
        </is>
      </c>
      <c r="I915" t="inlineStr"/>
      <c r="J915" t="inlineStr">
        <is>
          <t>G00023</t>
        </is>
      </c>
      <c r="K915" t="str">
        <f>INDEX('Match Groups'!$D$5:$D$1326,MATCH(J915,'Match Groups'!$A$5:$A$1326,0))</f>
        <v>STRIPE-FEE</v>
      </c>
    </row>
    <row r="916">
      <c r="A916" t="inlineStr">
        <is>
          <t>JI-02026</t>
        </is>
      </c>
      <c r="B916" t="inlineStr">
        <is>
          <t>OPS</t>
        </is>
      </c>
      <c r="C916" s="5" t="n">
        <v>46213</v>
      </c>
      <c r="D916" t="inlineStr">
        <is>
          <t>Stripe patient 51380</t>
        </is>
      </c>
      <c r="E916" t="inlineStr">
        <is>
          <t>INV/2026/03873</t>
        </is>
      </c>
      <c r="F916" t="inlineStr">
        <is>
          <t>Customer payment INV/2026/03873</t>
        </is>
      </c>
      <c r="G916" s="9" t="n">
        <v>65</v>
      </c>
      <c r="H916" t="inlineStr">
        <is>
          <t>customer_payment</t>
        </is>
      </c>
      <c r="I916" t="inlineStr"/>
      <c r="J916" t="inlineStr">
        <is>
          <t>G00023</t>
        </is>
      </c>
      <c r="K916" t="str">
        <f>INDEX('Match Groups'!$D$5:$D$1326,MATCH(J916,'Match Groups'!$A$5:$A$1326,0))</f>
        <v>STRIPE-FEE</v>
      </c>
    </row>
    <row r="917">
      <c r="A917" t="inlineStr">
        <is>
          <t>JI-02027</t>
        </is>
      </c>
      <c r="B917" t="inlineStr">
        <is>
          <t>OPS</t>
        </is>
      </c>
      <c r="C917" s="5" t="n">
        <v>46213</v>
      </c>
      <c r="D917" t="inlineStr">
        <is>
          <t>Stripe patient 34351</t>
        </is>
      </c>
      <c r="E917" t="inlineStr">
        <is>
          <t>INV/2026/03874</t>
        </is>
      </c>
      <c r="F917" t="inlineStr">
        <is>
          <t>Customer payment INV/2026/03874</t>
        </is>
      </c>
      <c r="G917" s="9" t="n">
        <v>180</v>
      </c>
      <c r="H917" t="inlineStr">
        <is>
          <t>customer_payment</t>
        </is>
      </c>
      <c r="I917" t="inlineStr"/>
      <c r="J917" t="inlineStr">
        <is>
          <t>G00023</t>
        </is>
      </c>
      <c r="K917" t="str">
        <f>INDEX('Match Groups'!$D$5:$D$1326,MATCH(J917,'Match Groups'!$A$5:$A$1326,0))</f>
        <v>STRIPE-FEE</v>
      </c>
    </row>
    <row r="918">
      <c r="A918" t="inlineStr">
        <is>
          <t>JI-02028</t>
        </is>
      </c>
      <c r="B918" t="inlineStr">
        <is>
          <t>OPS</t>
        </is>
      </c>
      <c r="C918" s="5" t="n">
        <v>46213</v>
      </c>
      <c r="D918" t="inlineStr">
        <is>
          <t>Stripe patient 36346</t>
        </is>
      </c>
      <c r="E918" t="inlineStr">
        <is>
          <t>INV/2026/03875</t>
        </is>
      </c>
      <c r="F918" t="inlineStr">
        <is>
          <t>Customer payment INV/2026/03875</t>
        </is>
      </c>
      <c r="G918" s="9" t="n">
        <v>135</v>
      </c>
      <c r="H918" t="inlineStr">
        <is>
          <t>customer_payment</t>
        </is>
      </c>
      <c r="I918" t="inlineStr"/>
      <c r="J918" t="inlineStr">
        <is>
          <t>G00023</t>
        </is>
      </c>
      <c r="K918" t="str">
        <f>INDEX('Match Groups'!$D$5:$D$1326,MATCH(J918,'Match Groups'!$A$5:$A$1326,0))</f>
        <v>STRIPE-FEE</v>
      </c>
    </row>
    <row r="919">
      <c r="A919" t="inlineStr">
        <is>
          <t>JI-02029</t>
        </is>
      </c>
      <c r="B919" t="inlineStr">
        <is>
          <t>OPS</t>
        </is>
      </c>
      <c r="C919" s="5" t="n">
        <v>46213</v>
      </c>
      <c r="D919" t="inlineStr">
        <is>
          <t>Stripe patient 39969</t>
        </is>
      </c>
      <c r="E919" t="inlineStr">
        <is>
          <t>INV/2026/03876</t>
        </is>
      </c>
      <c r="F919" t="inlineStr">
        <is>
          <t>Customer payment INV/2026/03876</t>
        </is>
      </c>
      <c r="G919" s="9" t="n">
        <v>120</v>
      </c>
      <c r="H919" t="inlineStr">
        <is>
          <t>customer_payment</t>
        </is>
      </c>
      <c r="I919" t="inlineStr"/>
      <c r="J919" t="inlineStr">
        <is>
          <t>G00023</t>
        </is>
      </c>
      <c r="K919" t="str">
        <f>INDEX('Match Groups'!$D$5:$D$1326,MATCH(J919,'Match Groups'!$A$5:$A$1326,0))</f>
        <v>STRIPE-FEE</v>
      </c>
    </row>
    <row r="920">
      <c r="A920" t="inlineStr">
        <is>
          <t>JI-02030</t>
        </is>
      </c>
      <c r="B920" t="inlineStr">
        <is>
          <t>OPS</t>
        </is>
      </c>
      <c r="C920" s="5" t="n">
        <v>46213</v>
      </c>
      <c r="D920" t="inlineStr">
        <is>
          <t>Stripe patient 80944</t>
        </is>
      </c>
      <c r="E920" t="inlineStr">
        <is>
          <t>INV/2026/03877</t>
        </is>
      </c>
      <c r="F920" t="inlineStr">
        <is>
          <t>Customer payment INV/2026/03877</t>
        </is>
      </c>
      <c r="G920" s="9" t="n">
        <v>120</v>
      </c>
      <c r="H920" t="inlineStr">
        <is>
          <t>customer_payment</t>
        </is>
      </c>
      <c r="I920" t="inlineStr"/>
      <c r="J920" t="inlineStr">
        <is>
          <t>G00023</t>
        </is>
      </c>
      <c r="K920" t="str">
        <f>INDEX('Match Groups'!$D$5:$D$1326,MATCH(J920,'Match Groups'!$A$5:$A$1326,0))</f>
        <v>STRIPE-FEE</v>
      </c>
    </row>
    <row r="921">
      <c r="A921" t="inlineStr">
        <is>
          <t>JI-02031</t>
        </is>
      </c>
      <c r="B921" t="inlineStr">
        <is>
          <t>OPS</t>
        </is>
      </c>
      <c r="C921" s="5" t="n">
        <v>46213</v>
      </c>
      <c r="D921" t="inlineStr">
        <is>
          <t>Stripe patient 50923</t>
        </is>
      </c>
      <c r="E921" t="inlineStr">
        <is>
          <t>INV/2026/03878</t>
        </is>
      </c>
      <c r="F921" t="inlineStr">
        <is>
          <t>Customer payment INV/2026/03878</t>
        </is>
      </c>
      <c r="G921" s="9" t="n">
        <v>120</v>
      </c>
      <c r="H921" t="inlineStr">
        <is>
          <t>customer_payment</t>
        </is>
      </c>
      <c r="I921" t="inlineStr"/>
      <c r="J921" t="inlineStr">
        <is>
          <t>G00023</t>
        </is>
      </c>
      <c r="K921" t="str">
        <f>INDEX('Match Groups'!$D$5:$D$1326,MATCH(J921,'Match Groups'!$A$5:$A$1326,0))</f>
        <v>STRIPE-FEE</v>
      </c>
    </row>
    <row r="922">
      <c r="A922" t="inlineStr">
        <is>
          <t>JI-02032</t>
        </is>
      </c>
      <c r="B922" t="inlineStr">
        <is>
          <t>OPS</t>
        </is>
      </c>
      <c r="C922" s="5" t="n">
        <v>46213</v>
      </c>
      <c r="D922" t="inlineStr">
        <is>
          <t>Stripe patient 41259</t>
        </is>
      </c>
      <c r="E922" t="inlineStr">
        <is>
          <t>INV/2026/03879</t>
        </is>
      </c>
      <c r="F922" t="inlineStr">
        <is>
          <t>Customer payment INV/2026/03879</t>
        </is>
      </c>
      <c r="G922" s="9" t="n">
        <v>135</v>
      </c>
      <c r="H922" t="inlineStr">
        <is>
          <t>customer_payment</t>
        </is>
      </c>
      <c r="I922" t="inlineStr"/>
      <c r="J922" t="inlineStr">
        <is>
          <t>G00023</t>
        </is>
      </c>
      <c r="K922" t="str">
        <f>INDEX('Match Groups'!$D$5:$D$1326,MATCH(J922,'Match Groups'!$A$5:$A$1326,0))</f>
        <v>STRIPE-FEE</v>
      </c>
    </row>
    <row r="923">
      <c r="A923" t="inlineStr">
        <is>
          <t>JI-02033</t>
        </is>
      </c>
      <c r="B923" t="inlineStr">
        <is>
          <t>OPS</t>
        </is>
      </c>
      <c r="C923" s="5" t="n">
        <v>46213</v>
      </c>
      <c r="D923" t="inlineStr">
        <is>
          <t>Stripe patient 15096</t>
        </is>
      </c>
      <c r="E923" t="inlineStr">
        <is>
          <t>INV/2026/03880</t>
        </is>
      </c>
      <c r="F923" t="inlineStr">
        <is>
          <t>Customer payment INV/2026/03880</t>
        </is>
      </c>
      <c r="G923" s="9" t="n">
        <v>220</v>
      </c>
      <c r="H923" t="inlineStr">
        <is>
          <t>customer_payment</t>
        </is>
      </c>
      <c r="I923" t="inlineStr"/>
      <c r="J923" t="inlineStr">
        <is>
          <t>G00023</t>
        </is>
      </c>
      <c r="K923" t="str">
        <f>INDEX('Match Groups'!$D$5:$D$1326,MATCH(J923,'Match Groups'!$A$5:$A$1326,0))</f>
        <v>STRIPE-FEE</v>
      </c>
    </row>
    <row r="924">
      <c r="A924" t="inlineStr">
        <is>
          <t>JI-02034</t>
        </is>
      </c>
      <c r="B924" t="inlineStr">
        <is>
          <t>OPS</t>
        </is>
      </c>
      <c r="C924" s="5" t="n">
        <v>46213</v>
      </c>
      <c r="D924" t="inlineStr">
        <is>
          <t>Stripe patient 60907</t>
        </is>
      </c>
      <c r="E924" t="inlineStr">
        <is>
          <t>INV/2026/03881</t>
        </is>
      </c>
      <c r="F924" t="inlineStr">
        <is>
          <t>Customer payment INV/2026/03881</t>
        </is>
      </c>
      <c r="G924" s="9" t="n">
        <v>120</v>
      </c>
      <c r="H924" t="inlineStr">
        <is>
          <t>customer_payment</t>
        </is>
      </c>
      <c r="I924" t="inlineStr"/>
      <c r="J924" t="inlineStr">
        <is>
          <t>G00023</t>
        </is>
      </c>
      <c r="K924" t="str">
        <f>INDEX('Match Groups'!$D$5:$D$1326,MATCH(J924,'Match Groups'!$A$5:$A$1326,0))</f>
        <v>STRIPE-FEE</v>
      </c>
    </row>
    <row r="925">
      <c r="A925" t="inlineStr">
        <is>
          <t>JI-02035</t>
        </is>
      </c>
      <c r="B925" t="inlineStr">
        <is>
          <t>OPS</t>
        </is>
      </c>
      <c r="C925" s="5" t="n">
        <v>46213</v>
      </c>
      <c r="D925" t="inlineStr">
        <is>
          <t>Stripe patient 94053</t>
        </is>
      </c>
      <c r="E925" t="inlineStr">
        <is>
          <t>INV/2026/03882</t>
        </is>
      </c>
      <c r="F925" t="inlineStr">
        <is>
          <t>Customer payment INV/2026/03882</t>
        </is>
      </c>
      <c r="G925" s="9" t="n">
        <v>65</v>
      </c>
      <c r="H925" t="inlineStr">
        <is>
          <t>customer_payment</t>
        </is>
      </c>
      <c r="I925" t="inlineStr"/>
      <c r="J925" t="inlineStr">
        <is>
          <t>G00023</t>
        </is>
      </c>
      <c r="K925" t="str">
        <f>INDEX('Match Groups'!$D$5:$D$1326,MATCH(J925,'Match Groups'!$A$5:$A$1326,0))</f>
        <v>STRIPE-FEE</v>
      </c>
    </row>
    <row r="926">
      <c r="A926" t="inlineStr">
        <is>
          <t>JI-02036</t>
        </is>
      </c>
      <c r="B926" t="inlineStr">
        <is>
          <t>OPS</t>
        </is>
      </c>
      <c r="C926" s="5" t="n">
        <v>46213</v>
      </c>
      <c r="D926" t="inlineStr">
        <is>
          <t>Stripe patient 33882</t>
        </is>
      </c>
      <c r="E926" t="inlineStr">
        <is>
          <t>INV/2026/03883</t>
        </is>
      </c>
      <c r="F926" t="inlineStr">
        <is>
          <t>Customer payment INV/2026/03883</t>
        </is>
      </c>
      <c r="G926" s="9" t="n">
        <v>180</v>
      </c>
      <c r="H926" t="inlineStr">
        <is>
          <t>customer_payment</t>
        </is>
      </c>
      <c r="I926" t="inlineStr"/>
      <c r="J926" t="inlineStr">
        <is>
          <t>G00023</t>
        </is>
      </c>
      <c r="K926" t="str">
        <f>INDEX('Match Groups'!$D$5:$D$1326,MATCH(J926,'Match Groups'!$A$5:$A$1326,0))</f>
        <v>STRIPE-FEE</v>
      </c>
    </row>
    <row r="927">
      <c r="A927" t="inlineStr">
        <is>
          <t>JI-02037</t>
        </is>
      </c>
      <c r="B927" t="inlineStr">
        <is>
          <t>OPS</t>
        </is>
      </c>
      <c r="C927" s="5" t="n">
        <v>46213</v>
      </c>
      <c r="D927" t="inlineStr">
        <is>
          <t>Stripe patient 90243</t>
        </is>
      </c>
      <c r="E927" t="inlineStr">
        <is>
          <t>INV/2026/03884</t>
        </is>
      </c>
      <c r="F927" t="inlineStr">
        <is>
          <t>Customer payment INV/2026/03884</t>
        </is>
      </c>
      <c r="G927" s="9" t="n">
        <v>220</v>
      </c>
      <c r="H927" t="inlineStr">
        <is>
          <t>customer_payment</t>
        </is>
      </c>
      <c r="I927" t="inlineStr"/>
      <c r="J927" t="inlineStr">
        <is>
          <t>G00023</t>
        </is>
      </c>
      <c r="K927" t="str">
        <f>INDEX('Match Groups'!$D$5:$D$1326,MATCH(J927,'Match Groups'!$A$5:$A$1326,0))</f>
        <v>STRIPE-FEE</v>
      </c>
    </row>
    <row r="928">
      <c r="A928" t="inlineStr">
        <is>
          <t>JI-02038</t>
        </is>
      </c>
      <c r="B928" t="inlineStr">
        <is>
          <t>OPS</t>
        </is>
      </c>
      <c r="C928" s="5" t="n">
        <v>46213</v>
      </c>
      <c r="D928" t="inlineStr">
        <is>
          <t>Stripe patient 68437</t>
        </is>
      </c>
      <c r="E928" t="inlineStr">
        <is>
          <t>INV/2026/03885</t>
        </is>
      </c>
      <c r="F928" t="inlineStr">
        <is>
          <t>Customer payment INV/2026/03885</t>
        </is>
      </c>
      <c r="G928" s="9" t="n">
        <v>220</v>
      </c>
      <c r="H928" t="inlineStr">
        <is>
          <t>customer_payment</t>
        </is>
      </c>
      <c r="I928" t="inlineStr"/>
      <c r="J928" t="inlineStr">
        <is>
          <t>G00023</t>
        </is>
      </c>
      <c r="K928" t="str">
        <f>INDEX('Match Groups'!$D$5:$D$1326,MATCH(J928,'Match Groups'!$A$5:$A$1326,0))</f>
        <v>STRIPE-FEE</v>
      </c>
    </row>
    <row r="929">
      <c r="A929" t="inlineStr">
        <is>
          <t>JI-02039</t>
        </is>
      </c>
      <c r="B929" t="inlineStr">
        <is>
          <t>OPS</t>
        </is>
      </c>
      <c r="C929" s="5" t="n">
        <v>46213</v>
      </c>
      <c r="D929" t="inlineStr">
        <is>
          <t>Stripe patient 30236</t>
        </is>
      </c>
      <c r="E929" t="inlineStr">
        <is>
          <t>INV/2026/03886</t>
        </is>
      </c>
      <c r="F929" t="inlineStr">
        <is>
          <t>Customer payment INV/2026/03886</t>
        </is>
      </c>
      <c r="G929" s="9" t="n">
        <v>85</v>
      </c>
      <c r="H929" t="inlineStr">
        <is>
          <t>customer_payment</t>
        </is>
      </c>
      <c r="I929" t="inlineStr"/>
      <c r="J929" t="inlineStr">
        <is>
          <t>G00023</t>
        </is>
      </c>
      <c r="K929" t="str">
        <f>INDEX('Match Groups'!$D$5:$D$1326,MATCH(J929,'Match Groups'!$A$5:$A$1326,0))</f>
        <v>STRIPE-FEE</v>
      </c>
    </row>
    <row r="930">
      <c r="A930" t="inlineStr">
        <is>
          <t>JI-02040</t>
        </is>
      </c>
      <c r="B930" t="inlineStr">
        <is>
          <t>OPS</t>
        </is>
      </c>
      <c r="C930" s="5" t="n">
        <v>46213</v>
      </c>
      <c r="D930" t="inlineStr">
        <is>
          <t>Stripe patient 57731</t>
        </is>
      </c>
      <c r="E930" t="inlineStr">
        <is>
          <t>INV/2026/03887</t>
        </is>
      </c>
      <c r="F930" t="inlineStr">
        <is>
          <t>Customer payment INV/2026/03887</t>
        </is>
      </c>
      <c r="G930" s="9" t="n">
        <v>65</v>
      </c>
      <c r="H930" t="inlineStr">
        <is>
          <t>customer_payment</t>
        </is>
      </c>
      <c r="I930" t="inlineStr"/>
      <c r="J930" t="inlineStr">
        <is>
          <t>G00023</t>
        </is>
      </c>
      <c r="K930" t="str">
        <f>INDEX('Match Groups'!$D$5:$D$1326,MATCH(J930,'Match Groups'!$A$5:$A$1326,0))</f>
        <v>STRIPE-FEE</v>
      </c>
    </row>
    <row r="931">
      <c r="A931" t="inlineStr">
        <is>
          <t>JI-02041</t>
        </is>
      </c>
      <c r="B931" t="inlineStr">
        <is>
          <t>OPS</t>
        </is>
      </c>
      <c r="C931" s="5" t="n">
        <v>46213</v>
      </c>
      <c r="D931" t="inlineStr">
        <is>
          <t>Stripe patient 68716</t>
        </is>
      </c>
      <c r="E931" t="inlineStr">
        <is>
          <t>INV/2026/03888</t>
        </is>
      </c>
      <c r="F931" t="inlineStr">
        <is>
          <t>Customer payment INV/2026/03888</t>
        </is>
      </c>
      <c r="G931" s="9" t="n">
        <v>135</v>
      </c>
      <c r="H931" t="inlineStr">
        <is>
          <t>customer_payment</t>
        </is>
      </c>
      <c r="I931" t="inlineStr"/>
      <c r="J931" t="inlineStr">
        <is>
          <t>G00023</t>
        </is>
      </c>
      <c r="K931" t="str">
        <f>INDEX('Match Groups'!$D$5:$D$1326,MATCH(J931,'Match Groups'!$A$5:$A$1326,0))</f>
        <v>STRIPE-FEE</v>
      </c>
    </row>
    <row r="932">
      <c r="A932" t="inlineStr">
        <is>
          <t>JI-02042</t>
        </is>
      </c>
      <c r="B932" t="inlineStr">
        <is>
          <t>OPS</t>
        </is>
      </c>
      <c r="C932" s="5" t="n">
        <v>46213</v>
      </c>
      <c r="D932" t="inlineStr">
        <is>
          <t>Stripe patient 52715</t>
        </is>
      </c>
      <c r="E932" t="inlineStr">
        <is>
          <t>INV/2026/03889</t>
        </is>
      </c>
      <c r="F932" t="inlineStr">
        <is>
          <t>Customer payment INV/2026/03889</t>
        </is>
      </c>
      <c r="G932" s="9" t="n">
        <v>150</v>
      </c>
      <c r="H932" t="inlineStr">
        <is>
          <t>customer_payment</t>
        </is>
      </c>
      <c r="I932" t="inlineStr"/>
      <c r="J932" t="inlineStr">
        <is>
          <t>G00023</t>
        </is>
      </c>
      <c r="K932" t="str">
        <f>INDEX('Match Groups'!$D$5:$D$1326,MATCH(J932,'Match Groups'!$A$5:$A$1326,0))</f>
        <v>STRIPE-FEE</v>
      </c>
    </row>
    <row r="933">
      <c r="A933" t="inlineStr">
        <is>
          <t>JI-02043</t>
        </is>
      </c>
      <c r="B933" t="inlineStr">
        <is>
          <t>OPS</t>
        </is>
      </c>
      <c r="C933" s="5" t="n">
        <v>46213</v>
      </c>
      <c r="D933" t="inlineStr">
        <is>
          <t>Stripe patient 58006</t>
        </is>
      </c>
      <c r="E933" t="inlineStr">
        <is>
          <t>INV/2026/03890</t>
        </is>
      </c>
      <c r="F933" t="inlineStr">
        <is>
          <t>Customer payment INV/2026/03890</t>
        </is>
      </c>
      <c r="G933" s="9" t="n">
        <v>65</v>
      </c>
      <c r="H933" t="inlineStr">
        <is>
          <t>customer_payment</t>
        </is>
      </c>
      <c r="I933" t="inlineStr"/>
      <c r="J933" t="inlineStr">
        <is>
          <t>G00023</t>
        </is>
      </c>
      <c r="K933" t="str">
        <f>INDEX('Match Groups'!$D$5:$D$1326,MATCH(J933,'Match Groups'!$A$5:$A$1326,0))</f>
        <v>STRIPE-FEE</v>
      </c>
    </row>
    <row r="934">
      <c r="A934" t="inlineStr">
        <is>
          <t>JI-02044</t>
        </is>
      </c>
      <c r="B934" t="inlineStr">
        <is>
          <t>OPS</t>
        </is>
      </c>
      <c r="C934" s="5" t="n">
        <v>46213</v>
      </c>
      <c r="D934" t="inlineStr">
        <is>
          <t>Stripe patient 81967</t>
        </is>
      </c>
      <c r="E934" t="inlineStr">
        <is>
          <t>INV/2026/03891</t>
        </is>
      </c>
      <c r="F934" t="inlineStr">
        <is>
          <t>Customer payment INV/2026/03891</t>
        </is>
      </c>
      <c r="G934" s="9" t="n">
        <v>135</v>
      </c>
      <c r="H934" t="inlineStr">
        <is>
          <t>customer_payment</t>
        </is>
      </c>
      <c r="I934" t="inlineStr"/>
      <c r="J934" t="inlineStr">
        <is>
          <t>G00023</t>
        </is>
      </c>
      <c r="K934" t="str">
        <f>INDEX('Match Groups'!$D$5:$D$1326,MATCH(J934,'Match Groups'!$A$5:$A$1326,0))</f>
        <v>STRIPE-FEE</v>
      </c>
    </row>
    <row r="935">
      <c r="A935" t="inlineStr">
        <is>
          <t>JI-02045</t>
        </is>
      </c>
      <c r="B935" t="inlineStr">
        <is>
          <t>OPS</t>
        </is>
      </c>
      <c r="C935" s="5" t="n">
        <v>46213</v>
      </c>
      <c r="D935" t="inlineStr">
        <is>
          <t>Stripe patient 43260</t>
        </is>
      </c>
      <c r="E935" t="inlineStr">
        <is>
          <t>INV/2026/03892</t>
        </is>
      </c>
      <c r="F935" t="inlineStr">
        <is>
          <t>Customer payment INV/2026/03892</t>
        </is>
      </c>
      <c r="G935" s="9" t="n">
        <v>120</v>
      </c>
      <c r="H935" t="inlineStr">
        <is>
          <t>customer_payment</t>
        </is>
      </c>
      <c r="I935" t="inlineStr"/>
      <c r="J935" t="inlineStr">
        <is>
          <t>G00023</t>
        </is>
      </c>
      <c r="K935" t="str">
        <f>INDEX('Match Groups'!$D$5:$D$1326,MATCH(J935,'Match Groups'!$A$5:$A$1326,0))</f>
        <v>STRIPE-FEE</v>
      </c>
    </row>
    <row r="936">
      <c r="A936" t="inlineStr">
        <is>
          <t>JI-02046</t>
        </is>
      </c>
      <c r="B936" t="inlineStr">
        <is>
          <t>OPS</t>
        </is>
      </c>
      <c r="C936" s="5" t="n">
        <v>46213</v>
      </c>
      <c r="D936" t="inlineStr">
        <is>
          <t>Stripe patient 31524</t>
        </is>
      </c>
      <c r="E936" t="inlineStr">
        <is>
          <t>INV/2026/03893</t>
        </is>
      </c>
      <c r="F936" t="inlineStr">
        <is>
          <t>Customer payment INV/2026/03893</t>
        </is>
      </c>
      <c r="G936" s="9" t="n">
        <v>180</v>
      </c>
      <c r="H936" t="inlineStr">
        <is>
          <t>customer_payment</t>
        </is>
      </c>
      <c r="I936" t="inlineStr"/>
      <c r="J936" t="inlineStr">
        <is>
          <t>G00023</t>
        </is>
      </c>
      <c r="K936" t="str">
        <f>INDEX('Match Groups'!$D$5:$D$1326,MATCH(J936,'Match Groups'!$A$5:$A$1326,0))</f>
        <v>STRIPE-FEE</v>
      </c>
    </row>
    <row r="937">
      <c r="A937" t="inlineStr">
        <is>
          <t>JI-02047</t>
        </is>
      </c>
      <c r="B937" t="inlineStr">
        <is>
          <t>OPS</t>
        </is>
      </c>
      <c r="C937" s="5" t="n">
        <v>46213</v>
      </c>
      <c r="D937" t="inlineStr">
        <is>
          <t>Stripe patient 61294</t>
        </is>
      </c>
      <c r="E937" t="inlineStr">
        <is>
          <t>INV/2026/03894</t>
        </is>
      </c>
      <c r="F937" t="inlineStr">
        <is>
          <t>Customer payment INV/2026/03894</t>
        </is>
      </c>
      <c r="G937" s="9" t="n">
        <v>110</v>
      </c>
      <c r="H937" t="inlineStr">
        <is>
          <t>customer_payment</t>
        </is>
      </c>
      <c r="I937" t="inlineStr"/>
      <c r="J937" t="inlineStr">
        <is>
          <t>G00023</t>
        </is>
      </c>
      <c r="K937" t="str">
        <f>INDEX('Match Groups'!$D$5:$D$1326,MATCH(J937,'Match Groups'!$A$5:$A$1326,0))</f>
        <v>STRIPE-FEE</v>
      </c>
    </row>
    <row r="938">
      <c r="A938" t="inlineStr">
        <is>
          <t>JI-02048</t>
        </is>
      </c>
      <c r="B938" t="inlineStr">
        <is>
          <t>OPS</t>
        </is>
      </c>
      <c r="C938" s="5" t="n">
        <v>46213</v>
      </c>
      <c r="D938" t="inlineStr">
        <is>
          <t>Stripe patient 16848</t>
        </is>
      </c>
      <c r="E938" t="inlineStr">
        <is>
          <t>INV/2026/03895</t>
        </is>
      </c>
      <c r="F938" t="inlineStr">
        <is>
          <t>Customer payment INV/2026/03895</t>
        </is>
      </c>
      <c r="G938" s="9" t="n">
        <v>150</v>
      </c>
      <c r="H938" t="inlineStr">
        <is>
          <t>customer_payment</t>
        </is>
      </c>
      <c r="I938" t="inlineStr"/>
      <c r="J938" t="inlineStr">
        <is>
          <t>G00023</t>
        </is>
      </c>
      <c r="K938" t="str">
        <f>INDEX('Match Groups'!$D$5:$D$1326,MATCH(J938,'Match Groups'!$A$5:$A$1326,0))</f>
        <v>STRIPE-FEE</v>
      </c>
    </row>
    <row r="939">
      <c r="A939" t="inlineStr">
        <is>
          <t>JI-02049</t>
        </is>
      </c>
      <c r="B939" t="inlineStr">
        <is>
          <t>OPS</t>
        </is>
      </c>
      <c r="C939" s="5" t="n">
        <v>46213</v>
      </c>
      <c r="D939" t="inlineStr">
        <is>
          <t>Stripe patient 42112</t>
        </is>
      </c>
      <c r="E939" t="inlineStr">
        <is>
          <t>INV/2026/03896</t>
        </is>
      </c>
      <c r="F939" t="inlineStr">
        <is>
          <t>Customer payment INV/2026/03896</t>
        </is>
      </c>
      <c r="G939" s="9" t="n">
        <v>150</v>
      </c>
      <c r="H939" t="inlineStr">
        <is>
          <t>customer_payment</t>
        </is>
      </c>
      <c r="I939" t="inlineStr"/>
      <c r="J939" t="inlineStr">
        <is>
          <t>G00023</t>
        </is>
      </c>
      <c r="K939" t="str">
        <f>INDEX('Match Groups'!$D$5:$D$1326,MATCH(J939,'Match Groups'!$A$5:$A$1326,0))</f>
        <v>STRIPE-FEE</v>
      </c>
    </row>
    <row r="940">
      <c r="A940" t="inlineStr">
        <is>
          <t>JI-02050</t>
        </is>
      </c>
      <c r="B940" t="inlineStr">
        <is>
          <t>OPS</t>
        </is>
      </c>
      <c r="C940" s="5" t="n">
        <v>46213</v>
      </c>
      <c r="D940" t="inlineStr">
        <is>
          <t>Stripe patient 75076</t>
        </is>
      </c>
      <c r="E940" t="inlineStr">
        <is>
          <t>INV/2026/03897</t>
        </is>
      </c>
      <c r="F940" t="inlineStr">
        <is>
          <t>Customer payment INV/2026/03897</t>
        </is>
      </c>
      <c r="G940" s="9" t="n">
        <v>135</v>
      </c>
      <c r="H940" t="inlineStr">
        <is>
          <t>customer_payment</t>
        </is>
      </c>
      <c r="I940" t="inlineStr"/>
      <c r="J940" t="inlineStr">
        <is>
          <t>G00023</t>
        </is>
      </c>
      <c r="K940" t="str">
        <f>INDEX('Match Groups'!$D$5:$D$1326,MATCH(J940,'Match Groups'!$A$5:$A$1326,0))</f>
        <v>STRIPE-FEE</v>
      </c>
    </row>
    <row r="941">
      <c r="A941" t="inlineStr">
        <is>
          <t>JI-02051</t>
        </is>
      </c>
      <c r="B941" t="inlineStr">
        <is>
          <t>OPS</t>
        </is>
      </c>
      <c r="C941" s="5" t="n">
        <v>46213</v>
      </c>
      <c r="D941" t="inlineStr">
        <is>
          <t>Stripe patient 22013</t>
        </is>
      </c>
      <c r="E941" t="inlineStr">
        <is>
          <t>INV/2026/03898</t>
        </is>
      </c>
      <c r="F941" t="inlineStr">
        <is>
          <t>Customer payment INV/2026/03898</t>
        </is>
      </c>
      <c r="G941" s="9" t="n">
        <v>135</v>
      </c>
      <c r="H941" t="inlineStr">
        <is>
          <t>customer_payment</t>
        </is>
      </c>
      <c r="I941" t="inlineStr"/>
      <c r="J941" t="inlineStr">
        <is>
          <t>G00023</t>
        </is>
      </c>
      <c r="K941" t="str">
        <f>INDEX('Match Groups'!$D$5:$D$1326,MATCH(J941,'Match Groups'!$A$5:$A$1326,0))</f>
        <v>STRIPE-FEE</v>
      </c>
    </row>
    <row r="942">
      <c r="A942" t="inlineStr">
        <is>
          <t>JI-02052</t>
        </is>
      </c>
      <c r="B942" t="inlineStr">
        <is>
          <t>OPS</t>
        </is>
      </c>
      <c r="C942" s="5" t="n">
        <v>46213</v>
      </c>
      <c r="D942" t="inlineStr">
        <is>
          <t>Stripe patient 87534</t>
        </is>
      </c>
      <c r="E942" t="inlineStr">
        <is>
          <t>INV/2026/03899</t>
        </is>
      </c>
      <c r="F942" t="inlineStr">
        <is>
          <t>Customer payment INV/2026/03899</t>
        </is>
      </c>
      <c r="G942" s="9" t="n">
        <v>85</v>
      </c>
      <c r="H942" t="inlineStr">
        <is>
          <t>customer_payment</t>
        </is>
      </c>
      <c r="I942" t="inlineStr"/>
      <c r="J942" t="inlineStr">
        <is>
          <t>G00023</t>
        </is>
      </c>
      <c r="K942" t="str">
        <f>INDEX('Match Groups'!$D$5:$D$1326,MATCH(J942,'Match Groups'!$A$5:$A$1326,0))</f>
        <v>STRIPE-FEE</v>
      </c>
    </row>
    <row r="943">
      <c r="A943" t="inlineStr">
        <is>
          <t>JI-02053</t>
        </is>
      </c>
      <c r="B943" t="inlineStr">
        <is>
          <t>OPS</t>
        </is>
      </c>
      <c r="C943" s="5" t="n">
        <v>46213</v>
      </c>
      <c r="D943" t="inlineStr">
        <is>
          <t>Stripe patient 92530</t>
        </is>
      </c>
      <c r="E943" t="inlineStr">
        <is>
          <t>INV/2026/03900</t>
        </is>
      </c>
      <c r="F943" t="inlineStr">
        <is>
          <t>Customer payment INV/2026/03900</t>
        </is>
      </c>
      <c r="G943" s="9" t="n">
        <v>150</v>
      </c>
      <c r="H943" t="inlineStr">
        <is>
          <t>customer_payment</t>
        </is>
      </c>
      <c r="I943" t="inlineStr"/>
      <c r="J943" t="inlineStr">
        <is>
          <t>G00023</t>
        </is>
      </c>
      <c r="K943" t="str">
        <f>INDEX('Match Groups'!$D$5:$D$1326,MATCH(J943,'Match Groups'!$A$5:$A$1326,0))</f>
        <v>STRIPE-FEE</v>
      </c>
    </row>
    <row r="944">
      <c r="A944" t="inlineStr">
        <is>
          <t>JI-04308</t>
        </is>
      </c>
      <c r="B944" t="inlineStr">
        <is>
          <t>OPS</t>
        </is>
      </c>
      <c r="C944" s="5" t="n">
        <v>46213</v>
      </c>
      <c r="D944" t="inlineStr">
        <is>
          <t>Internal transfer</t>
        </is>
      </c>
      <c r="E944" t="inlineStr">
        <is>
          <t>FX0710</t>
        </is>
      </c>
      <c r="F944" t="inlineStr">
        <is>
          <t>Transfer to USD account (USD 9,000.00 @ 0.6584)</t>
        </is>
      </c>
      <c r="G944" s="9" t="n">
        <v>-13669.5</v>
      </c>
      <c r="H944" t="inlineStr">
        <is>
          <t>transfer</t>
        </is>
      </c>
      <c r="I944" t="inlineStr"/>
      <c r="J944" t="inlineStr">
        <is>
          <t>G00509</t>
        </is>
      </c>
      <c r="K944" t="str">
        <f>INDEX('Match Groups'!$D$5:$D$1326,MATCH(J944,'Match Groups'!$A$5:$A$1326,0))</f>
        <v>FXR</v>
      </c>
    </row>
    <row r="945">
      <c r="A945" t="inlineStr">
        <is>
          <t>JI-01589</t>
        </is>
      </c>
      <c r="B945" t="inlineStr">
        <is>
          <t>OPS</t>
        </is>
      </c>
      <c r="C945" s="5" t="n">
        <v>46214</v>
      </c>
      <c r="D945" t="inlineStr">
        <is>
          <t>Pinnacle Claims Services</t>
        </is>
      </c>
      <c r="E945" t="inlineStr">
        <is>
          <t>INV/2026/01746</t>
        </is>
      </c>
      <c r="F945" t="inlineStr">
        <is>
          <t>Customer payment INV/2026/01746</t>
        </is>
      </c>
      <c r="G945" s="9" t="n">
        <v>990</v>
      </c>
      <c r="H945" t="inlineStr">
        <is>
          <t>customer_payment</t>
        </is>
      </c>
      <c r="I945" t="inlineStr"/>
      <c r="J945" t="inlineStr">
        <is>
          <t>G00927</t>
        </is>
      </c>
      <c r="K945" t="str">
        <f>INDEX('Match Groups'!$D$5:$D$1326,MATCH(J945,'Match Groups'!$A$5:$A$1326,0))</f>
        <v>MATCH</v>
      </c>
    </row>
    <row r="946">
      <c r="A946" t="inlineStr">
        <is>
          <t>JI-02054</t>
        </is>
      </c>
      <c r="B946" t="inlineStr">
        <is>
          <t>OPS</t>
        </is>
      </c>
      <c r="C946" s="5" t="n">
        <v>46214</v>
      </c>
      <c r="D946" t="inlineStr">
        <is>
          <t>Stripe patient 34926</t>
        </is>
      </c>
      <c r="E946" t="inlineStr">
        <is>
          <t>INV/2026/03901</t>
        </is>
      </c>
      <c r="F946" t="inlineStr">
        <is>
          <t>Customer payment INV/2026/03901</t>
        </is>
      </c>
      <c r="G946" s="9" t="n">
        <v>65</v>
      </c>
      <c r="H946" t="inlineStr">
        <is>
          <t>customer_payment</t>
        </is>
      </c>
      <c r="I946" t="inlineStr"/>
      <c r="J946" t="inlineStr">
        <is>
          <t>G00023</t>
        </is>
      </c>
      <c r="K946" t="str">
        <f>INDEX('Match Groups'!$D$5:$D$1326,MATCH(J946,'Match Groups'!$A$5:$A$1326,0))</f>
        <v>STRIPE-FEE</v>
      </c>
    </row>
    <row r="947">
      <c r="A947" t="inlineStr">
        <is>
          <t>JI-02055</t>
        </is>
      </c>
      <c r="B947" t="inlineStr">
        <is>
          <t>OPS</t>
        </is>
      </c>
      <c r="C947" s="5" t="n">
        <v>46214</v>
      </c>
      <c r="D947" t="inlineStr">
        <is>
          <t>Stripe patient 79712</t>
        </is>
      </c>
      <c r="E947" t="inlineStr">
        <is>
          <t>INV/2026/03902</t>
        </is>
      </c>
      <c r="F947" t="inlineStr">
        <is>
          <t>Customer payment INV/2026/03902</t>
        </is>
      </c>
      <c r="G947" s="9" t="n">
        <v>120</v>
      </c>
      <c r="H947" t="inlineStr">
        <is>
          <t>customer_payment</t>
        </is>
      </c>
      <c r="I947" t="inlineStr"/>
      <c r="J947" t="inlineStr">
        <is>
          <t>G00023</t>
        </is>
      </c>
      <c r="K947" t="str">
        <f>INDEX('Match Groups'!$D$5:$D$1326,MATCH(J947,'Match Groups'!$A$5:$A$1326,0))</f>
        <v>STRIPE-FEE</v>
      </c>
    </row>
    <row r="948">
      <c r="A948" t="inlineStr">
        <is>
          <t>JI-02056</t>
        </is>
      </c>
      <c r="B948" t="inlineStr">
        <is>
          <t>OPS</t>
        </is>
      </c>
      <c r="C948" s="5" t="n">
        <v>46214</v>
      </c>
      <c r="D948" t="inlineStr">
        <is>
          <t>Stripe patient 20344</t>
        </is>
      </c>
      <c r="E948" t="inlineStr">
        <is>
          <t>INV/2026/03903</t>
        </is>
      </c>
      <c r="F948" t="inlineStr">
        <is>
          <t>Customer payment INV/2026/03903</t>
        </is>
      </c>
      <c r="G948" s="9" t="n">
        <v>150</v>
      </c>
      <c r="H948" t="inlineStr">
        <is>
          <t>customer_payment</t>
        </is>
      </c>
      <c r="I948" t="inlineStr"/>
      <c r="J948" t="inlineStr">
        <is>
          <t>G00023</t>
        </is>
      </c>
      <c r="K948" t="str">
        <f>INDEX('Match Groups'!$D$5:$D$1326,MATCH(J948,'Match Groups'!$A$5:$A$1326,0))</f>
        <v>STRIPE-FEE</v>
      </c>
    </row>
    <row r="949">
      <c r="A949" t="inlineStr">
        <is>
          <t>JI-02057</t>
        </is>
      </c>
      <c r="B949" t="inlineStr">
        <is>
          <t>OPS</t>
        </is>
      </c>
      <c r="C949" s="5" t="n">
        <v>46214</v>
      </c>
      <c r="D949" t="inlineStr">
        <is>
          <t>Stripe patient 43352</t>
        </is>
      </c>
      <c r="E949" t="inlineStr">
        <is>
          <t>INV/2026/03904</t>
        </is>
      </c>
      <c r="F949" t="inlineStr">
        <is>
          <t>Customer payment INV/2026/03904</t>
        </is>
      </c>
      <c r="G949" s="9" t="n">
        <v>110</v>
      </c>
      <c r="H949" t="inlineStr">
        <is>
          <t>customer_payment</t>
        </is>
      </c>
      <c r="I949" t="inlineStr"/>
      <c r="J949" t="inlineStr">
        <is>
          <t>G00023</t>
        </is>
      </c>
      <c r="K949" t="str">
        <f>INDEX('Match Groups'!$D$5:$D$1326,MATCH(J949,'Match Groups'!$A$5:$A$1326,0))</f>
        <v>STRIPE-FEE</v>
      </c>
    </row>
    <row r="950">
      <c r="A950" t="inlineStr">
        <is>
          <t>JI-02058</t>
        </is>
      </c>
      <c r="B950" t="inlineStr">
        <is>
          <t>OPS</t>
        </is>
      </c>
      <c r="C950" s="5" t="n">
        <v>46214</v>
      </c>
      <c r="D950" t="inlineStr">
        <is>
          <t>Stripe patient 88360</t>
        </is>
      </c>
      <c r="E950" t="inlineStr">
        <is>
          <t>INV/2026/03905</t>
        </is>
      </c>
      <c r="F950" t="inlineStr">
        <is>
          <t>Customer payment INV/2026/03905</t>
        </is>
      </c>
      <c r="G950" s="9" t="n">
        <v>180</v>
      </c>
      <c r="H950" t="inlineStr">
        <is>
          <t>customer_payment</t>
        </is>
      </c>
      <c r="I950" t="inlineStr"/>
      <c r="J950" t="inlineStr">
        <is>
          <t>G00023</t>
        </is>
      </c>
      <c r="K950" t="str">
        <f>INDEX('Match Groups'!$D$5:$D$1326,MATCH(J950,'Match Groups'!$A$5:$A$1326,0))</f>
        <v>STRIPE-FEE</v>
      </c>
    </row>
    <row r="951">
      <c r="A951" t="inlineStr">
        <is>
          <t>JI-02059</t>
        </is>
      </c>
      <c r="B951" t="inlineStr">
        <is>
          <t>OPS</t>
        </is>
      </c>
      <c r="C951" s="5" t="n">
        <v>46214</v>
      </c>
      <c r="D951" t="inlineStr">
        <is>
          <t>Stripe patient 15539</t>
        </is>
      </c>
      <c r="E951" t="inlineStr">
        <is>
          <t>INV/2026/03906</t>
        </is>
      </c>
      <c r="F951" t="inlineStr">
        <is>
          <t>Customer payment INV/2026/03906</t>
        </is>
      </c>
      <c r="G951" s="9" t="n">
        <v>85</v>
      </c>
      <c r="H951" t="inlineStr">
        <is>
          <t>customer_payment</t>
        </is>
      </c>
      <c r="I951" t="inlineStr"/>
      <c r="J951" t="inlineStr">
        <is>
          <t>G00023</t>
        </is>
      </c>
      <c r="K951" t="str">
        <f>INDEX('Match Groups'!$D$5:$D$1326,MATCH(J951,'Match Groups'!$A$5:$A$1326,0))</f>
        <v>STRIPE-FEE</v>
      </c>
    </row>
    <row r="952">
      <c r="A952" t="inlineStr">
        <is>
          <t>JI-02060</t>
        </is>
      </c>
      <c r="B952" t="inlineStr">
        <is>
          <t>OPS</t>
        </is>
      </c>
      <c r="C952" s="5" t="n">
        <v>46214</v>
      </c>
      <c r="D952" t="inlineStr">
        <is>
          <t>Stripe patient 46015</t>
        </is>
      </c>
      <c r="E952" t="inlineStr">
        <is>
          <t>INV/2026/03907</t>
        </is>
      </c>
      <c r="F952" t="inlineStr">
        <is>
          <t>Customer payment INV/2026/03907</t>
        </is>
      </c>
      <c r="G952" s="9" t="n">
        <v>85</v>
      </c>
      <c r="H952" t="inlineStr">
        <is>
          <t>customer_payment</t>
        </is>
      </c>
      <c r="I952" t="inlineStr"/>
      <c r="J952" t="inlineStr">
        <is>
          <t>G00023</t>
        </is>
      </c>
      <c r="K952" t="str">
        <f>INDEX('Match Groups'!$D$5:$D$1326,MATCH(J952,'Match Groups'!$A$5:$A$1326,0))</f>
        <v>STRIPE-FEE</v>
      </c>
    </row>
    <row r="953">
      <c r="A953" t="inlineStr">
        <is>
          <t>JI-02061</t>
        </is>
      </c>
      <c r="B953" t="inlineStr">
        <is>
          <t>OPS</t>
        </is>
      </c>
      <c r="C953" s="5" t="n">
        <v>46214</v>
      </c>
      <c r="D953" t="inlineStr">
        <is>
          <t>Stripe patient 51337</t>
        </is>
      </c>
      <c r="E953" t="inlineStr">
        <is>
          <t>INV/2026/03908</t>
        </is>
      </c>
      <c r="F953" t="inlineStr">
        <is>
          <t>Customer payment INV/2026/03908</t>
        </is>
      </c>
      <c r="G953" s="9" t="n">
        <v>150</v>
      </c>
      <c r="H953" t="inlineStr">
        <is>
          <t>customer_payment</t>
        </is>
      </c>
      <c r="I953" t="inlineStr"/>
      <c r="J953" t="inlineStr">
        <is>
          <t>G00023</t>
        </is>
      </c>
      <c r="K953" t="str">
        <f>INDEX('Match Groups'!$D$5:$D$1326,MATCH(J953,'Match Groups'!$A$5:$A$1326,0))</f>
        <v>STRIPE-FEE</v>
      </c>
    </row>
    <row r="954">
      <c r="A954" t="inlineStr">
        <is>
          <t>JI-02062</t>
        </is>
      </c>
      <c r="B954" t="inlineStr">
        <is>
          <t>OPS</t>
        </is>
      </c>
      <c r="C954" s="5" t="n">
        <v>46214</v>
      </c>
      <c r="D954" t="inlineStr">
        <is>
          <t>Stripe patient 10163</t>
        </is>
      </c>
      <c r="E954" t="inlineStr">
        <is>
          <t>INV/2026/03909</t>
        </is>
      </c>
      <c r="F954" t="inlineStr">
        <is>
          <t>Customer payment INV/2026/03909</t>
        </is>
      </c>
      <c r="G954" s="9" t="n">
        <v>85</v>
      </c>
      <c r="H954" t="inlineStr">
        <is>
          <t>customer_payment</t>
        </is>
      </c>
      <c r="I954" t="inlineStr"/>
      <c r="J954" t="inlineStr">
        <is>
          <t>G00023</t>
        </is>
      </c>
      <c r="K954" t="str">
        <f>INDEX('Match Groups'!$D$5:$D$1326,MATCH(J954,'Match Groups'!$A$5:$A$1326,0))</f>
        <v>STRIPE-FEE</v>
      </c>
    </row>
    <row r="955">
      <c r="A955" t="inlineStr">
        <is>
          <t>JI-02063</t>
        </is>
      </c>
      <c r="B955" t="inlineStr">
        <is>
          <t>OPS</t>
        </is>
      </c>
      <c r="C955" s="5" t="n">
        <v>46214</v>
      </c>
      <c r="D955" t="inlineStr">
        <is>
          <t>Stripe patient 68535</t>
        </is>
      </c>
      <c r="E955" t="inlineStr">
        <is>
          <t>INV/2026/03910</t>
        </is>
      </c>
      <c r="F955" t="inlineStr">
        <is>
          <t>Customer payment INV/2026/03910</t>
        </is>
      </c>
      <c r="G955" s="9" t="n">
        <v>95</v>
      </c>
      <c r="H955" t="inlineStr">
        <is>
          <t>customer_payment</t>
        </is>
      </c>
      <c r="I955" t="inlineStr"/>
      <c r="J955" t="inlineStr">
        <is>
          <t>G00023</t>
        </is>
      </c>
      <c r="K955" t="str">
        <f>INDEX('Match Groups'!$D$5:$D$1326,MATCH(J955,'Match Groups'!$A$5:$A$1326,0))</f>
        <v>STRIPE-FEE</v>
      </c>
    </row>
    <row r="956">
      <c r="A956" t="inlineStr">
        <is>
          <t>JI-01561</t>
        </is>
      </c>
      <c r="B956" t="inlineStr">
        <is>
          <t>OPS</t>
        </is>
      </c>
      <c r="C956" s="5" t="n">
        <v>46215</v>
      </c>
      <c r="D956" t="inlineStr">
        <is>
          <t>Coastline Health Fund</t>
        </is>
      </c>
      <c r="E956" t="inlineStr">
        <is>
          <t>INV/2026/01870</t>
        </is>
      </c>
      <c r="F956" t="inlineStr">
        <is>
          <t>Customer payment INV/2026/01870</t>
        </is>
      </c>
      <c r="G956" s="9" t="n">
        <v>990</v>
      </c>
      <c r="H956" t="inlineStr">
        <is>
          <t>customer_payment</t>
        </is>
      </c>
      <c r="I956" t="inlineStr"/>
      <c r="J956" t="inlineStr">
        <is>
          <t>G00925</t>
        </is>
      </c>
      <c r="K956" t="str">
        <f>INDEX('Match Groups'!$D$5:$D$1326,MATCH(J956,'Match Groups'!$A$5:$A$1326,0))</f>
        <v>MATCH</v>
      </c>
    </row>
    <row r="957">
      <c r="A957" t="inlineStr">
        <is>
          <t>JI-01612</t>
        </is>
      </c>
      <c r="B957" t="inlineStr">
        <is>
          <t>OPS</t>
        </is>
      </c>
      <c r="C957" s="5" t="n">
        <v>46215</v>
      </c>
      <c r="D957" t="inlineStr">
        <is>
          <t>Meridian Health Cover</t>
        </is>
      </c>
      <c r="E957" t="inlineStr">
        <is>
          <t>INV/2026/01942</t>
        </is>
      </c>
      <c r="F957" t="inlineStr">
        <is>
          <t>Customer payment INV/2026/01942</t>
        </is>
      </c>
      <c r="G957" s="9" t="n">
        <v>990</v>
      </c>
      <c r="H957" t="inlineStr">
        <is>
          <t>customer_payment</t>
        </is>
      </c>
      <c r="I957" t="inlineStr"/>
      <c r="J957" t="inlineStr">
        <is>
          <t>G00930</t>
        </is>
      </c>
      <c r="K957" t="str">
        <f>INDEX('Match Groups'!$D$5:$D$1326,MATCH(J957,'Match Groups'!$A$5:$A$1326,0))</f>
        <v>MATCH</v>
      </c>
    </row>
    <row r="958">
      <c r="A958" t="inlineStr">
        <is>
          <t>JI-01651</t>
        </is>
      </c>
      <c r="B958" t="inlineStr">
        <is>
          <t>OPS</t>
        </is>
      </c>
      <c r="C958" s="5" t="n">
        <v>46215</v>
      </c>
      <c r="D958" t="inlineStr">
        <is>
          <t>Kestrel Lane Foods</t>
        </is>
      </c>
      <c r="E958" t="inlineStr">
        <is>
          <t>INV/2026/03412</t>
        </is>
      </c>
      <c r="F958" t="inlineStr">
        <is>
          <t>Customer payment INV/2026/03412</t>
        </is>
      </c>
      <c r="G958" s="9" t="n">
        <v>5280</v>
      </c>
      <c r="H958" t="inlineStr">
        <is>
          <t>customer_payment</t>
        </is>
      </c>
      <c r="I958" t="inlineStr"/>
      <c r="J958" t="inlineStr">
        <is>
          <t>G00934</t>
        </is>
      </c>
      <c r="K958" t="str">
        <f>INDEX('Match Groups'!$D$5:$D$1326,MATCH(J958,'Match Groups'!$A$5:$A$1326,0))</f>
        <v>MATCH</v>
      </c>
    </row>
    <row r="959">
      <c r="A959" t="inlineStr">
        <is>
          <t>JI-00257</t>
        </is>
      </c>
      <c r="B959" t="inlineStr">
        <is>
          <t>OPS</t>
        </is>
      </c>
      <c r="C959" s="5" t="n">
        <v>46216</v>
      </c>
      <c r="D959" t="inlineStr">
        <is>
          <t>Riverbend Plan Partners</t>
        </is>
      </c>
      <c r="E959" t="inlineStr">
        <is>
          <t>INV/2026/01708</t>
        </is>
      </c>
      <c r="F959" t="inlineStr">
        <is>
          <t>Customer payment INV/2026/01708</t>
        </is>
      </c>
      <c r="G959" s="9" t="n">
        <v>175.49</v>
      </c>
      <c r="H959" t="inlineStr">
        <is>
          <t>customer_payment</t>
        </is>
      </c>
      <c r="I959" t="inlineStr"/>
      <c r="J959" t="inlineStr">
        <is>
          <t>G00135</t>
        </is>
      </c>
      <c r="K959" t="str">
        <f>INDEX('Match Groups'!$D$5:$D$1326,MATCH(J959,'Match Groups'!$A$5:$A$1326,0))</f>
        <v>MATCH</v>
      </c>
    </row>
    <row r="960">
      <c r="A960" t="inlineStr">
        <is>
          <t>JI-00258</t>
        </is>
      </c>
      <c r="B960" t="inlineStr">
        <is>
          <t>OPS</t>
        </is>
      </c>
      <c r="C960" s="5" t="n">
        <v>46216</v>
      </c>
      <c r="D960" t="inlineStr">
        <is>
          <t>Riverbend Plan Partners</t>
        </is>
      </c>
      <c r="E960" t="inlineStr">
        <is>
          <t>INV/2026/01730</t>
        </is>
      </c>
      <c r="F960" t="inlineStr">
        <is>
          <t>Customer payment INV/2026/01730</t>
        </is>
      </c>
      <c r="G960" s="9" t="n">
        <v>252.19</v>
      </c>
      <c r="H960" t="inlineStr">
        <is>
          <t>customer_payment</t>
        </is>
      </c>
      <c r="I960" t="inlineStr"/>
      <c r="J960" t="inlineStr">
        <is>
          <t>G00135</t>
        </is>
      </c>
      <c r="K960" t="str">
        <f>INDEX('Match Groups'!$D$5:$D$1326,MATCH(J960,'Match Groups'!$A$5:$A$1326,0))</f>
        <v>MATCH</v>
      </c>
    </row>
    <row r="961">
      <c r="A961" t="inlineStr">
        <is>
          <t>JI-00259</t>
        </is>
      </c>
      <c r="B961" t="inlineStr">
        <is>
          <t>OPS</t>
        </is>
      </c>
      <c r="C961" s="5" t="n">
        <v>46216</v>
      </c>
      <c r="D961" t="inlineStr">
        <is>
          <t>Riverbend Plan Partners</t>
        </is>
      </c>
      <c r="E961" t="inlineStr">
        <is>
          <t>INV/2026/01774</t>
        </is>
      </c>
      <c r="F961" t="inlineStr">
        <is>
          <t>Customer payment INV/2026/01774</t>
        </is>
      </c>
      <c r="G961" s="9" t="n">
        <v>272.49</v>
      </c>
      <c r="H961" t="inlineStr">
        <is>
          <t>customer_payment</t>
        </is>
      </c>
      <c r="I961" t="inlineStr"/>
      <c r="J961" t="inlineStr">
        <is>
          <t>G00135</t>
        </is>
      </c>
      <c r="K961" t="str">
        <f>INDEX('Match Groups'!$D$5:$D$1326,MATCH(J961,'Match Groups'!$A$5:$A$1326,0))</f>
        <v>MATCH</v>
      </c>
    </row>
    <row r="962">
      <c r="A962" t="inlineStr">
        <is>
          <t>JI-00260</t>
        </is>
      </c>
      <c r="B962" t="inlineStr">
        <is>
          <t>OPS</t>
        </is>
      </c>
      <c r="C962" s="5" t="n">
        <v>46216</v>
      </c>
      <c r="D962" t="inlineStr">
        <is>
          <t>Riverbend Plan Partners</t>
        </is>
      </c>
      <c r="E962" t="inlineStr">
        <is>
          <t>INV/2026/01797</t>
        </is>
      </c>
      <c r="F962" t="inlineStr">
        <is>
          <t>Customer payment INV/2026/01797</t>
        </is>
      </c>
      <c r="G962" s="9" t="n">
        <v>126.99</v>
      </c>
      <c r="H962" t="inlineStr">
        <is>
          <t>customer_payment</t>
        </is>
      </c>
      <c r="I962" t="inlineStr"/>
      <c r="J962" t="inlineStr">
        <is>
          <t>G00135</t>
        </is>
      </c>
      <c r="K962" t="str">
        <f>INDEX('Match Groups'!$D$5:$D$1326,MATCH(J962,'Match Groups'!$A$5:$A$1326,0))</f>
        <v>MATCH</v>
      </c>
    </row>
    <row r="963">
      <c r="A963" t="inlineStr">
        <is>
          <t>JI-00261</t>
        </is>
      </c>
      <c r="B963" t="inlineStr">
        <is>
          <t>OPS</t>
        </is>
      </c>
      <c r="C963" s="5" t="n">
        <v>46216</v>
      </c>
      <c r="D963" t="inlineStr">
        <is>
          <t>Riverbend Plan Partners</t>
        </is>
      </c>
      <c r="E963" t="inlineStr">
        <is>
          <t>INV/2026/01798</t>
        </is>
      </c>
      <c r="F963" t="inlineStr">
        <is>
          <t>Customer payment INV/2026/01798</t>
        </is>
      </c>
      <c r="G963" s="9" t="n">
        <v>193.99</v>
      </c>
      <c r="H963" t="inlineStr">
        <is>
          <t>customer_payment</t>
        </is>
      </c>
      <c r="I963" t="inlineStr"/>
      <c r="J963" t="inlineStr">
        <is>
          <t>G00135</t>
        </is>
      </c>
      <c r="K963" t="str">
        <f>INDEX('Match Groups'!$D$5:$D$1326,MATCH(J963,'Match Groups'!$A$5:$A$1326,0))</f>
        <v>MATCH</v>
      </c>
    </row>
    <row r="964">
      <c r="A964" t="inlineStr">
        <is>
          <t>JI-00262</t>
        </is>
      </c>
      <c r="B964" t="inlineStr">
        <is>
          <t>OPS</t>
        </is>
      </c>
      <c r="C964" s="5" t="n">
        <v>46216</v>
      </c>
      <c r="D964" t="inlineStr">
        <is>
          <t>Riverbend Plan Partners</t>
        </is>
      </c>
      <c r="E964" t="inlineStr">
        <is>
          <t>INV/2026/01845</t>
        </is>
      </c>
      <c r="F964" t="inlineStr">
        <is>
          <t>Customer payment INV/2026/01845</t>
        </is>
      </c>
      <c r="G964" s="9" t="n">
        <v>272.49</v>
      </c>
      <c r="H964" t="inlineStr">
        <is>
          <t>customer_payment</t>
        </is>
      </c>
      <c r="I964" t="inlineStr"/>
      <c r="J964" t="inlineStr">
        <is>
          <t>G00135</t>
        </is>
      </c>
      <c r="K964" t="str">
        <f>INDEX('Match Groups'!$D$5:$D$1326,MATCH(J964,'Match Groups'!$A$5:$A$1326,0))</f>
        <v>MATCH</v>
      </c>
    </row>
    <row r="965">
      <c r="A965" t="inlineStr">
        <is>
          <t>JI-00263</t>
        </is>
      </c>
      <c r="B965" t="inlineStr">
        <is>
          <t>OPS</t>
        </is>
      </c>
      <c r="C965" s="5" t="n">
        <v>46216</v>
      </c>
      <c r="D965" t="inlineStr">
        <is>
          <t>Riverbend Plan Partners</t>
        </is>
      </c>
      <c r="E965" t="inlineStr">
        <is>
          <t>INV/2026/01846</t>
        </is>
      </c>
      <c r="F965" t="inlineStr">
        <is>
          <t>Customer payment INV/2026/01846</t>
        </is>
      </c>
      <c r="G965" s="9" t="n">
        <v>96.98999999999999</v>
      </c>
      <c r="H965" t="inlineStr">
        <is>
          <t>customer_payment</t>
        </is>
      </c>
      <c r="I965" t="inlineStr"/>
      <c r="J965" t="inlineStr">
        <is>
          <t>G00135</t>
        </is>
      </c>
      <c r="K965" t="str">
        <f>INDEX('Match Groups'!$D$5:$D$1326,MATCH(J965,'Match Groups'!$A$5:$A$1326,0))</f>
        <v>MATCH</v>
      </c>
    </row>
    <row r="966">
      <c r="A966" t="inlineStr">
        <is>
          <t>JI-00264</t>
        </is>
      </c>
      <c r="B966" t="inlineStr">
        <is>
          <t>OPS</t>
        </is>
      </c>
      <c r="C966" s="5" t="n">
        <v>46216</v>
      </c>
      <c r="D966" t="inlineStr">
        <is>
          <t>Riverbend Plan Partners</t>
        </is>
      </c>
      <c r="E966" t="inlineStr">
        <is>
          <t>INV/2026/01873</t>
        </is>
      </c>
      <c r="F966" t="inlineStr">
        <is>
          <t>Customer payment INV/2026/01873</t>
        </is>
      </c>
      <c r="G966" s="9" t="n">
        <v>175.49</v>
      </c>
      <c r="H966" t="inlineStr">
        <is>
          <t>customer_payment</t>
        </is>
      </c>
      <c r="I966" t="inlineStr"/>
      <c r="J966" t="inlineStr">
        <is>
          <t>G00135</t>
        </is>
      </c>
      <c r="K966" t="str">
        <f>INDEX('Match Groups'!$D$5:$D$1326,MATCH(J966,'Match Groups'!$A$5:$A$1326,0))</f>
        <v>MATCH</v>
      </c>
    </row>
    <row r="967">
      <c r="A967" t="inlineStr">
        <is>
          <t>JI-00265</t>
        </is>
      </c>
      <c r="B967" t="inlineStr">
        <is>
          <t>OPS</t>
        </is>
      </c>
      <c r="C967" s="5" t="n">
        <v>46216</v>
      </c>
      <c r="D967" t="inlineStr">
        <is>
          <t>Ironbark Plan Management</t>
        </is>
      </c>
      <c r="E967" t="inlineStr">
        <is>
          <t>INV/2026/01563</t>
        </is>
      </c>
      <c r="F967" t="inlineStr">
        <is>
          <t>Customer payment INV/2026/01563</t>
        </is>
      </c>
      <c r="G967" s="9" t="n">
        <v>242.49</v>
      </c>
      <c r="H967" t="inlineStr">
        <is>
          <t>customer_payment</t>
        </is>
      </c>
      <c r="I967" t="inlineStr"/>
      <c r="J967" t="inlineStr">
        <is>
          <t>G00136</t>
        </is>
      </c>
      <c r="K967" t="str">
        <f>INDEX('Match Groups'!$D$5:$D$1326,MATCH(J967,'Match Groups'!$A$5:$A$1326,0))</f>
        <v>MATCH</v>
      </c>
    </row>
    <row r="968">
      <c r="A968" t="inlineStr">
        <is>
          <t>JI-00266</t>
        </is>
      </c>
      <c r="B968" t="inlineStr">
        <is>
          <t>OPS</t>
        </is>
      </c>
      <c r="C968" s="5" t="n">
        <v>46216</v>
      </c>
      <c r="D968" t="inlineStr">
        <is>
          <t>Ironbark Plan Management</t>
        </is>
      </c>
      <c r="E968" t="inlineStr">
        <is>
          <t>INV/2026/01564</t>
        </is>
      </c>
      <c r="F968" t="inlineStr">
        <is>
          <t>Customer payment INV/2026/01564</t>
        </is>
      </c>
      <c r="G968" s="9" t="n">
        <v>193.99</v>
      </c>
      <c r="H968" t="inlineStr">
        <is>
          <t>customer_payment</t>
        </is>
      </c>
      <c r="I968" t="inlineStr"/>
      <c r="J968" t="inlineStr">
        <is>
          <t>G00136</t>
        </is>
      </c>
      <c r="K968" t="str">
        <f>INDEX('Match Groups'!$D$5:$D$1326,MATCH(J968,'Match Groups'!$A$5:$A$1326,0))</f>
        <v>MATCH</v>
      </c>
    </row>
    <row r="969">
      <c r="A969" t="inlineStr">
        <is>
          <t>JI-00267</t>
        </is>
      </c>
      <c r="B969" t="inlineStr">
        <is>
          <t>OPS</t>
        </is>
      </c>
      <c r="C969" s="5" t="n">
        <v>46216</v>
      </c>
      <c r="D969" t="inlineStr">
        <is>
          <t>Redgum Plan Admin</t>
        </is>
      </c>
      <c r="E969" t="inlineStr">
        <is>
          <t>INV/2026/02005</t>
        </is>
      </c>
      <c r="F969" t="inlineStr">
        <is>
          <t>Customer payment INV/2026/02005</t>
        </is>
      </c>
      <c r="G969" s="9" t="n">
        <v>175.49</v>
      </c>
      <c r="H969" t="inlineStr">
        <is>
          <t>customer_payment</t>
        </is>
      </c>
      <c r="I969" t="inlineStr"/>
      <c r="J969" t="inlineStr">
        <is>
          <t>G00139</t>
        </is>
      </c>
      <c r="K969" t="str">
        <f>INDEX('Match Groups'!$D$5:$D$1326,MATCH(J969,'Match Groups'!$A$5:$A$1326,0))</f>
        <v>MATCH</v>
      </c>
    </row>
    <row r="970">
      <c r="A970" t="inlineStr">
        <is>
          <t>JI-00268</t>
        </is>
      </c>
      <c r="B970" t="inlineStr">
        <is>
          <t>OPS</t>
        </is>
      </c>
      <c r="C970" s="5" t="n">
        <v>46216</v>
      </c>
      <c r="D970" t="inlineStr">
        <is>
          <t>Redgum Plan Admin</t>
        </is>
      </c>
      <c r="E970" t="inlineStr">
        <is>
          <t>INV/2026/02051</t>
        </is>
      </c>
      <c r="F970" t="inlineStr">
        <is>
          <t>Customer payment INV/2026/02051</t>
        </is>
      </c>
      <c r="G970" s="9" t="n">
        <v>242.49</v>
      </c>
      <c r="H970" t="inlineStr">
        <is>
          <t>customer_payment</t>
        </is>
      </c>
      <c r="I970" t="inlineStr"/>
      <c r="J970" t="inlineStr">
        <is>
          <t>G00139</t>
        </is>
      </c>
      <c r="K970" t="str">
        <f>INDEX('Match Groups'!$D$5:$D$1326,MATCH(J970,'Match Groups'!$A$5:$A$1326,0))</f>
        <v>MATCH</v>
      </c>
    </row>
    <row r="971">
      <c r="A971" t="inlineStr">
        <is>
          <t>JI-00269</t>
        </is>
      </c>
      <c r="B971" t="inlineStr">
        <is>
          <t>OPS</t>
        </is>
      </c>
      <c r="C971" s="5" t="n">
        <v>46216</v>
      </c>
      <c r="D971" t="inlineStr">
        <is>
          <t>Redgum Plan Admin</t>
        </is>
      </c>
      <c r="E971" t="inlineStr">
        <is>
          <t>INV/2026/02098</t>
        </is>
      </c>
      <c r="F971" t="inlineStr">
        <is>
          <t>Customer payment INV/2026/02098</t>
        </is>
      </c>
      <c r="G971" s="9" t="n">
        <v>242.49</v>
      </c>
      <c r="H971" t="inlineStr">
        <is>
          <t>customer_payment</t>
        </is>
      </c>
      <c r="I971" t="inlineStr"/>
      <c r="J971" t="inlineStr">
        <is>
          <t>G00139</t>
        </is>
      </c>
      <c r="K971" t="str">
        <f>INDEX('Match Groups'!$D$5:$D$1326,MATCH(J971,'Match Groups'!$A$5:$A$1326,0))</f>
        <v>MATCH</v>
      </c>
    </row>
    <row r="972">
      <c r="A972" t="inlineStr">
        <is>
          <t>JI-00270</t>
        </is>
      </c>
      <c r="B972" t="inlineStr">
        <is>
          <t>OPS</t>
        </is>
      </c>
      <c r="C972" s="5" t="n">
        <v>46216</v>
      </c>
      <c r="D972" t="inlineStr">
        <is>
          <t>Lyrebird Plan Management</t>
        </is>
      </c>
      <c r="E972" t="inlineStr">
        <is>
          <t>INV/2026/01741</t>
        </is>
      </c>
      <c r="F972" t="inlineStr">
        <is>
          <t>Customer payment INV/2026/01741</t>
        </is>
      </c>
      <c r="G972" s="9" t="n">
        <v>387.98</v>
      </c>
      <c r="H972" t="inlineStr">
        <is>
          <t>customer_payment</t>
        </is>
      </c>
      <c r="I972" t="inlineStr"/>
      <c r="J972" t="inlineStr">
        <is>
          <t>G00140</t>
        </is>
      </c>
      <c r="K972" t="str">
        <f>INDEX('Match Groups'!$D$5:$D$1326,MATCH(J972,'Match Groups'!$A$5:$A$1326,0))</f>
        <v>MATCH</v>
      </c>
    </row>
    <row r="973">
      <c r="A973" t="inlineStr">
        <is>
          <t>JI-00271</t>
        </is>
      </c>
      <c r="B973" t="inlineStr">
        <is>
          <t>OPS</t>
        </is>
      </c>
      <c r="C973" s="5" t="n">
        <v>46216</v>
      </c>
      <c r="D973" t="inlineStr">
        <is>
          <t>Lyrebird Plan Management</t>
        </is>
      </c>
      <c r="E973" t="inlineStr">
        <is>
          <t>INV/2026/01767</t>
        </is>
      </c>
      <c r="F973" t="inlineStr">
        <is>
          <t>Customer payment INV/2026/01767</t>
        </is>
      </c>
      <c r="G973" s="9" t="n">
        <v>126.99</v>
      </c>
      <c r="H973" t="inlineStr">
        <is>
          <t>customer_payment</t>
        </is>
      </c>
      <c r="I973" t="inlineStr"/>
      <c r="J973" t="inlineStr">
        <is>
          <t>G00140</t>
        </is>
      </c>
      <c r="K973" t="str">
        <f>INDEX('Match Groups'!$D$5:$D$1326,MATCH(J973,'Match Groups'!$A$5:$A$1326,0))</f>
        <v>MATCH</v>
      </c>
    </row>
    <row r="974">
      <c r="A974" t="inlineStr">
        <is>
          <t>JI-00272</t>
        </is>
      </c>
      <c r="B974" t="inlineStr">
        <is>
          <t>OPS</t>
        </is>
      </c>
      <c r="C974" s="5" t="n">
        <v>46216</v>
      </c>
      <c r="D974" t="inlineStr">
        <is>
          <t>Lyrebird Plan Management</t>
        </is>
      </c>
      <c r="E974" t="inlineStr">
        <is>
          <t>INV/2026/01768</t>
        </is>
      </c>
      <c r="F974" t="inlineStr">
        <is>
          <t>Customer payment INV/2026/01768</t>
        </is>
      </c>
      <c r="G974" s="9" t="n">
        <v>145.49</v>
      </c>
      <c r="H974" t="inlineStr">
        <is>
          <t>customer_payment</t>
        </is>
      </c>
      <c r="I974" t="inlineStr"/>
      <c r="J974" t="inlineStr">
        <is>
          <t>G00140</t>
        </is>
      </c>
      <c r="K974" t="str">
        <f>INDEX('Match Groups'!$D$5:$D$1326,MATCH(J974,'Match Groups'!$A$5:$A$1326,0))</f>
        <v>MATCH</v>
      </c>
    </row>
    <row r="975">
      <c r="A975" t="inlineStr">
        <is>
          <t>JI-00273</t>
        </is>
      </c>
      <c r="B975" t="inlineStr">
        <is>
          <t>OPS</t>
        </is>
      </c>
      <c r="C975" s="5" t="n">
        <v>46216</v>
      </c>
      <c r="D975" t="inlineStr">
        <is>
          <t>Lyrebird Plan Management</t>
        </is>
      </c>
      <c r="E975" t="inlineStr">
        <is>
          <t>INV/2026/01786</t>
        </is>
      </c>
      <c r="F975" t="inlineStr">
        <is>
          <t>Customer payment INV/2026/01786</t>
        </is>
      </c>
      <c r="G975" s="9" t="n">
        <v>252.19</v>
      </c>
      <c r="H975" t="inlineStr">
        <is>
          <t>customer_payment</t>
        </is>
      </c>
      <c r="I975" t="inlineStr"/>
      <c r="J975" t="inlineStr">
        <is>
          <t>G00140</t>
        </is>
      </c>
      <c r="K975" t="str">
        <f>INDEX('Match Groups'!$D$5:$D$1326,MATCH(J975,'Match Groups'!$A$5:$A$1326,0))</f>
        <v>MATCH</v>
      </c>
    </row>
    <row r="976">
      <c r="A976" t="inlineStr">
        <is>
          <t>JI-00274</t>
        </is>
      </c>
      <c r="B976" t="inlineStr">
        <is>
          <t>OPS</t>
        </is>
      </c>
      <c r="C976" s="5" t="n">
        <v>46216</v>
      </c>
      <c r="D976" t="inlineStr">
        <is>
          <t>Lyrebird Plan Management</t>
        </is>
      </c>
      <c r="E976" t="inlineStr">
        <is>
          <t>INV/2026/01787</t>
        </is>
      </c>
      <c r="F976" t="inlineStr">
        <is>
          <t>Customer payment INV/2026/01787</t>
        </is>
      </c>
      <c r="G976" s="9" t="n">
        <v>155.19</v>
      </c>
      <c r="H976" t="inlineStr">
        <is>
          <t>customer_payment</t>
        </is>
      </c>
      <c r="I976" t="inlineStr"/>
      <c r="J976" t="inlineStr">
        <is>
          <t>G00140</t>
        </is>
      </c>
      <c r="K976" t="str">
        <f>INDEX('Match Groups'!$D$5:$D$1326,MATCH(J976,'Match Groups'!$A$5:$A$1326,0))</f>
        <v>MATCH</v>
      </c>
    </row>
    <row r="977">
      <c r="A977" t="inlineStr">
        <is>
          <t>JI-00275</t>
        </is>
      </c>
      <c r="B977" t="inlineStr">
        <is>
          <t>OPS</t>
        </is>
      </c>
      <c r="C977" s="5" t="n">
        <v>46216</v>
      </c>
      <c r="D977" t="inlineStr">
        <is>
          <t>Lyrebird Plan Management</t>
        </is>
      </c>
      <c r="E977" t="inlineStr">
        <is>
          <t>INV/2026/01788</t>
        </is>
      </c>
      <c r="F977" t="inlineStr">
        <is>
          <t>Customer payment INV/2026/01788</t>
        </is>
      </c>
      <c r="G977" s="9" t="n">
        <v>272.49</v>
      </c>
      <c r="H977" t="inlineStr">
        <is>
          <t>customer_payment</t>
        </is>
      </c>
      <c r="I977" t="inlineStr"/>
      <c r="J977" t="inlineStr">
        <is>
          <t>G00140</t>
        </is>
      </c>
      <c r="K977" t="str">
        <f>INDEX('Match Groups'!$D$5:$D$1326,MATCH(J977,'Match Groups'!$A$5:$A$1326,0))</f>
        <v>MATCH</v>
      </c>
    </row>
    <row r="978">
      <c r="A978" t="inlineStr">
        <is>
          <t>JI-00276</t>
        </is>
      </c>
      <c r="B978" t="inlineStr">
        <is>
          <t>OPS</t>
        </is>
      </c>
      <c r="C978" s="5" t="n">
        <v>46216</v>
      </c>
      <c r="D978" t="inlineStr">
        <is>
          <t>Lyrebird Plan Management</t>
        </is>
      </c>
      <c r="E978" t="inlineStr">
        <is>
          <t>INV/2026/01815</t>
        </is>
      </c>
      <c r="F978" t="inlineStr">
        <is>
          <t>Customer payment INV/2026/01815</t>
        </is>
      </c>
      <c r="G978" s="9" t="n">
        <v>145.49</v>
      </c>
      <c r="H978" t="inlineStr">
        <is>
          <t>customer_payment</t>
        </is>
      </c>
      <c r="I978" t="inlineStr"/>
      <c r="J978" t="inlineStr">
        <is>
          <t>G00140</t>
        </is>
      </c>
      <c r="K978" t="str">
        <f>INDEX('Match Groups'!$D$5:$D$1326,MATCH(J978,'Match Groups'!$A$5:$A$1326,0))</f>
        <v>MATCH</v>
      </c>
    </row>
    <row r="979">
      <c r="A979" t="inlineStr">
        <is>
          <t>JI-00277</t>
        </is>
      </c>
      <c r="B979" t="inlineStr">
        <is>
          <t>OPS</t>
        </is>
      </c>
      <c r="C979" s="5" t="n">
        <v>46216</v>
      </c>
      <c r="D979" t="inlineStr">
        <is>
          <t>Lyrebird Plan Management</t>
        </is>
      </c>
      <c r="E979" t="inlineStr">
        <is>
          <t>INV/2026/01816</t>
        </is>
      </c>
      <c r="F979" t="inlineStr">
        <is>
          <t>Customer payment INV/2026/01816</t>
        </is>
      </c>
      <c r="G979" s="9" t="n">
        <v>223.99</v>
      </c>
      <c r="H979" t="inlineStr">
        <is>
          <t>customer_payment</t>
        </is>
      </c>
      <c r="I979" t="inlineStr"/>
      <c r="J979" t="inlineStr">
        <is>
          <t>G00140</t>
        </is>
      </c>
      <c r="K979" t="str">
        <f>INDEX('Match Groups'!$D$5:$D$1326,MATCH(J979,'Match Groups'!$A$5:$A$1326,0))</f>
        <v>MATCH</v>
      </c>
    </row>
    <row r="980">
      <c r="A980" t="inlineStr">
        <is>
          <t>JI-00278</t>
        </is>
      </c>
      <c r="B980" t="inlineStr">
        <is>
          <t>OPS</t>
        </is>
      </c>
      <c r="C980" s="5" t="n">
        <v>46216</v>
      </c>
      <c r="D980" t="inlineStr">
        <is>
          <t>Acacia Plan Partners</t>
        </is>
      </c>
      <c r="E980" t="inlineStr">
        <is>
          <t>INV/2026/01680</t>
        </is>
      </c>
      <c r="F980" t="inlineStr">
        <is>
          <t>Customer payment INV/2026/01680</t>
        </is>
      </c>
      <c r="G980" s="9" t="n">
        <v>193.99</v>
      </c>
      <c r="H980" t="inlineStr">
        <is>
          <t>customer_payment</t>
        </is>
      </c>
      <c r="I980" t="inlineStr"/>
      <c r="J980" t="inlineStr">
        <is>
          <t>G00141</t>
        </is>
      </c>
      <c r="K980" t="str">
        <f>INDEX('Match Groups'!$D$5:$D$1326,MATCH(J980,'Match Groups'!$A$5:$A$1326,0))</f>
        <v>MATCH</v>
      </c>
    </row>
    <row r="981">
      <c r="A981" t="inlineStr">
        <is>
          <t>JI-00279</t>
        </is>
      </c>
      <c r="B981" t="inlineStr">
        <is>
          <t>OPS</t>
        </is>
      </c>
      <c r="C981" s="5" t="n">
        <v>46216</v>
      </c>
      <c r="D981" t="inlineStr">
        <is>
          <t>Acacia Plan Partners</t>
        </is>
      </c>
      <c r="E981" t="inlineStr">
        <is>
          <t>INV/2026/01681</t>
        </is>
      </c>
      <c r="F981" t="inlineStr">
        <is>
          <t>Customer payment INV/2026/01681</t>
        </is>
      </c>
      <c r="G981" s="9" t="n">
        <v>242.49</v>
      </c>
      <c r="H981" t="inlineStr">
        <is>
          <t>customer_payment</t>
        </is>
      </c>
      <c r="I981" t="inlineStr"/>
      <c r="J981" t="inlineStr">
        <is>
          <t>G00141</t>
        </is>
      </c>
      <c r="K981" t="str">
        <f>INDEX('Match Groups'!$D$5:$D$1326,MATCH(J981,'Match Groups'!$A$5:$A$1326,0))</f>
        <v>MATCH</v>
      </c>
    </row>
    <row r="982">
      <c r="A982" t="inlineStr">
        <is>
          <t>JI-00280</t>
        </is>
      </c>
      <c r="B982" t="inlineStr">
        <is>
          <t>OPS</t>
        </is>
      </c>
      <c r="C982" s="5" t="n">
        <v>46216</v>
      </c>
      <c r="D982" t="inlineStr">
        <is>
          <t>Acacia Plan Partners</t>
        </is>
      </c>
      <c r="E982" t="inlineStr">
        <is>
          <t>INV/2026/01682</t>
        </is>
      </c>
      <c r="F982" t="inlineStr">
        <is>
          <t>Customer payment INV/2026/01682</t>
        </is>
      </c>
      <c r="G982" s="9" t="n">
        <v>387.98</v>
      </c>
      <c r="H982" t="inlineStr">
        <is>
          <t>customer_payment</t>
        </is>
      </c>
      <c r="I982" t="inlineStr"/>
      <c r="J982" t="inlineStr">
        <is>
          <t>G00141</t>
        </is>
      </c>
      <c r="K982" t="str">
        <f>INDEX('Match Groups'!$D$5:$D$1326,MATCH(J982,'Match Groups'!$A$5:$A$1326,0))</f>
        <v>MATCH</v>
      </c>
    </row>
    <row r="983">
      <c r="A983" t="inlineStr">
        <is>
          <t>JI-00281</t>
        </is>
      </c>
      <c r="B983" t="inlineStr">
        <is>
          <t>OPS</t>
        </is>
      </c>
      <c r="C983" s="5" t="n">
        <v>46216</v>
      </c>
      <c r="D983" t="inlineStr">
        <is>
          <t>Acacia Plan Partners</t>
        </is>
      </c>
      <c r="E983" t="inlineStr">
        <is>
          <t>INV/2026/01702</t>
        </is>
      </c>
      <c r="F983" t="inlineStr">
        <is>
          <t>Customer payment INV/2026/01702</t>
        </is>
      </c>
      <c r="G983" s="9" t="n">
        <v>446.18</v>
      </c>
      <c r="H983" t="inlineStr">
        <is>
          <t>customer_payment</t>
        </is>
      </c>
      <c r="I983" t="inlineStr"/>
      <c r="J983" t="inlineStr">
        <is>
          <t>G00141</t>
        </is>
      </c>
      <c r="K983" t="str">
        <f>INDEX('Match Groups'!$D$5:$D$1326,MATCH(J983,'Match Groups'!$A$5:$A$1326,0))</f>
        <v>MATCH</v>
      </c>
    </row>
    <row r="984">
      <c r="A984" t="inlineStr">
        <is>
          <t>JI-00282</t>
        </is>
      </c>
      <c r="B984" t="inlineStr">
        <is>
          <t>OPS</t>
        </is>
      </c>
      <c r="C984" s="5" t="n">
        <v>46216</v>
      </c>
      <c r="D984" t="inlineStr">
        <is>
          <t>Acacia Plan Partners</t>
        </is>
      </c>
      <c r="E984" t="inlineStr">
        <is>
          <t>INV/2026/01703</t>
        </is>
      </c>
      <c r="F984" t="inlineStr">
        <is>
          <t>Customer payment INV/2026/01703</t>
        </is>
      </c>
      <c r="G984" s="9" t="n">
        <v>387.98</v>
      </c>
      <c r="H984" t="inlineStr">
        <is>
          <t>customer_payment</t>
        </is>
      </c>
      <c r="I984" t="inlineStr"/>
      <c r="J984" t="inlineStr">
        <is>
          <t>G00141</t>
        </is>
      </c>
      <c r="K984" t="str">
        <f>INDEX('Match Groups'!$D$5:$D$1326,MATCH(J984,'Match Groups'!$A$5:$A$1326,0))</f>
        <v>MATCH</v>
      </c>
    </row>
    <row r="985">
      <c r="A985" t="inlineStr">
        <is>
          <t>JI-00283</t>
        </is>
      </c>
      <c r="B985" t="inlineStr">
        <is>
          <t>OPS</t>
        </is>
      </c>
      <c r="C985" s="5" t="n">
        <v>46216</v>
      </c>
      <c r="D985" t="inlineStr">
        <is>
          <t>Acacia Plan Partners</t>
        </is>
      </c>
      <c r="E985" t="inlineStr">
        <is>
          <t>INV/2026/01726</t>
        </is>
      </c>
      <c r="F985" t="inlineStr">
        <is>
          <t>Customer payment INV/2026/01726</t>
        </is>
      </c>
      <c r="G985" s="9" t="n">
        <v>387.98</v>
      </c>
      <c r="H985" t="inlineStr">
        <is>
          <t>customer_payment</t>
        </is>
      </c>
      <c r="I985" t="inlineStr"/>
      <c r="J985" t="inlineStr">
        <is>
          <t>G00141</t>
        </is>
      </c>
      <c r="K985" t="str">
        <f>INDEX('Match Groups'!$D$5:$D$1326,MATCH(J985,'Match Groups'!$A$5:$A$1326,0))</f>
        <v>MATCH</v>
      </c>
    </row>
    <row r="986">
      <c r="A986" t="inlineStr">
        <is>
          <t>JI-01631</t>
        </is>
      </c>
      <c r="B986" t="inlineStr">
        <is>
          <t>OPS</t>
        </is>
      </c>
      <c r="C986" s="5" t="n">
        <v>46216</v>
      </c>
      <c r="D986" t="inlineStr">
        <is>
          <t>Northline Injury Claims</t>
        </is>
      </c>
      <c r="E986" t="inlineStr">
        <is>
          <t>INV/2026/01943</t>
        </is>
      </c>
      <c r="F986" t="inlineStr">
        <is>
          <t>Customer payment INV/2026/01943</t>
        </is>
      </c>
      <c r="G986" s="9" t="n">
        <v>264</v>
      </c>
      <c r="H986" t="inlineStr">
        <is>
          <t>customer_payment</t>
        </is>
      </c>
      <c r="I986" t="inlineStr"/>
      <c r="J986" t="inlineStr">
        <is>
          <t>G00932</t>
        </is>
      </c>
      <c r="K986" t="str">
        <f>INDEX('Match Groups'!$D$5:$D$1326,MATCH(J986,'Match Groups'!$A$5:$A$1326,0))</f>
        <v>MATCH</v>
      </c>
    </row>
    <row r="987">
      <c r="A987" t="inlineStr">
        <is>
          <t>JI-01682</t>
        </is>
      </c>
      <c r="B987" t="inlineStr">
        <is>
          <t>OPS</t>
        </is>
      </c>
      <c r="C987" s="5" t="n">
        <v>46216</v>
      </c>
      <c r="D987" t="inlineStr">
        <is>
          <t>Quillon Engineering</t>
        </is>
      </c>
      <c r="E987" t="inlineStr">
        <is>
          <t>INV/2026/03428</t>
        </is>
      </c>
      <c r="F987" t="inlineStr">
        <is>
          <t>Customer payment INV/2026/03428</t>
        </is>
      </c>
      <c r="G987" s="9" t="n">
        <v>5280</v>
      </c>
      <c r="H987" t="inlineStr">
        <is>
          <t>customer_payment</t>
        </is>
      </c>
      <c r="I987" t="inlineStr"/>
      <c r="J987" t="inlineStr">
        <is>
          <t>G00941</t>
        </is>
      </c>
      <c r="K987" t="str">
        <f>INDEX('Match Groups'!$D$5:$D$1326,MATCH(J987,'Match Groups'!$A$5:$A$1326,0))</f>
        <v>MATCH</v>
      </c>
    </row>
    <row r="988">
      <c r="A988" t="inlineStr">
        <is>
          <t>JI-01683</t>
        </is>
      </c>
      <c r="B988" t="inlineStr">
        <is>
          <t>OPS</t>
        </is>
      </c>
      <c r="C988" s="5" t="n">
        <v>46216</v>
      </c>
      <c r="D988" t="inlineStr">
        <is>
          <t>Quillon Engineering</t>
        </is>
      </c>
      <c r="E988" t="inlineStr">
        <is>
          <t>INV/2026/03427</t>
        </is>
      </c>
      <c r="F988" t="inlineStr">
        <is>
          <t>Customer payment INV/2026/03427</t>
        </is>
      </c>
      <c r="G988" s="9" t="n">
        <v>2035</v>
      </c>
      <c r="H988" t="inlineStr">
        <is>
          <t>customer_payment</t>
        </is>
      </c>
      <c r="I988" t="inlineStr"/>
      <c r="J988" t="inlineStr">
        <is>
          <t>G01123</t>
        </is>
      </c>
      <c r="K988" t="str">
        <f>INDEX('Match Groups'!$D$5:$D$1326,MATCH(J988,'Match Groups'!$A$5:$A$1326,0))</f>
        <v>MATCH</v>
      </c>
    </row>
    <row r="989">
      <c r="A989" t="inlineStr">
        <is>
          <t>JI-01702</t>
        </is>
      </c>
      <c r="B989" t="inlineStr">
        <is>
          <t>OPS</t>
        </is>
      </c>
      <c r="C989" s="5" t="n">
        <v>46216</v>
      </c>
      <c r="D989" t="inlineStr">
        <is>
          <t>Talisker Mining Services</t>
        </is>
      </c>
      <c r="E989" t="inlineStr">
        <is>
          <t>INV/2026/03434</t>
        </is>
      </c>
      <c r="F989" t="inlineStr">
        <is>
          <t>Customer payment INV/2026/03434</t>
        </is>
      </c>
      <c r="G989" s="9" t="n">
        <v>1471.25</v>
      </c>
      <c r="H989" t="inlineStr">
        <is>
          <t>customer_payment</t>
        </is>
      </c>
      <c r="I989" t="inlineStr"/>
      <c r="J989" t="inlineStr">
        <is>
          <t>G00942</t>
        </is>
      </c>
      <c r="K989" t="str">
        <f>INDEX('Match Groups'!$D$5:$D$1326,MATCH(J989,'Match Groups'!$A$5:$A$1326,0))</f>
        <v>MATCH</v>
      </c>
    </row>
    <row r="990">
      <c r="A990" t="inlineStr">
        <is>
          <t>JI-01752</t>
        </is>
      </c>
      <c r="B990" t="inlineStr">
        <is>
          <t>OPS</t>
        </is>
      </c>
      <c r="C990" s="5" t="n">
        <v>46216</v>
      </c>
      <c r="D990" t="inlineStr">
        <is>
          <t>Nettlefold Joinery</t>
        </is>
      </c>
      <c r="E990" t="inlineStr">
        <is>
          <t>INV/2026/03453</t>
        </is>
      </c>
      <c r="F990" t="inlineStr">
        <is>
          <t>Customer payment INV/2026/03453</t>
        </is>
      </c>
      <c r="G990" s="9" t="n">
        <v>15950</v>
      </c>
      <c r="H990" t="inlineStr">
        <is>
          <t>customer_payment</t>
        </is>
      </c>
      <c r="I990" t="inlineStr"/>
      <c r="J990" t="inlineStr">
        <is>
          <t>G00936</t>
        </is>
      </c>
      <c r="K990" t="str">
        <f>INDEX('Match Groups'!$D$5:$D$1326,MATCH(J990,'Match Groups'!$A$5:$A$1326,0))</f>
        <v>MATCH</v>
      </c>
    </row>
    <row r="991">
      <c r="A991" t="inlineStr">
        <is>
          <t>JI-02064</t>
        </is>
      </c>
      <c r="B991" t="inlineStr">
        <is>
          <t>OPS</t>
        </is>
      </c>
      <c r="C991" s="5" t="n">
        <v>46216</v>
      </c>
      <c r="D991" t="inlineStr">
        <is>
          <t>Stripe patient 61131</t>
        </is>
      </c>
      <c r="E991" t="inlineStr">
        <is>
          <t>INV/2026/03911</t>
        </is>
      </c>
      <c r="F991" t="inlineStr">
        <is>
          <t>Customer payment INV/2026/03911</t>
        </is>
      </c>
      <c r="G991" s="9" t="n">
        <v>150</v>
      </c>
      <c r="H991" t="inlineStr">
        <is>
          <t>customer_payment</t>
        </is>
      </c>
      <c r="I991" t="inlineStr"/>
      <c r="J991" t="inlineStr">
        <is>
          <t>G00024</t>
        </is>
      </c>
      <c r="K991" t="str">
        <f>INDEX('Match Groups'!$D$5:$D$1326,MATCH(J991,'Match Groups'!$A$5:$A$1326,0))</f>
        <v>STRIPE-FEE</v>
      </c>
    </row>
    <row r="992">
      <c r="A992" t="inlineStr">
        <is>
          <t>JI-02065</t>
        </is>
      </c>
      <c r="B992" t="inlineStr">
        <is>
          <t>OPS</t>
        </is>
      </c>
      <c r="C992" s="5" t="n">
        <v>46216</v>
      </c>
      <c r="D992" t="inlineStr">
        <is>
          <t>Stripe patient 73430</t>
        </is>
      </c>
      <c r="E992" t="inlineStr">
        <is>
          <t>INV/2026/03912</t>
        </is>
      </c>
      <c r="F992" t="inlineStr">
        <is>
          <t>Customer payment INV/2026/03912</t>
        </is>
      </c>
      <c r="G992" s="9" t="n">
        <v>120</v>
      </c>
      <c r="H992" t="inlineStr">
        <is>
          <t>customer_payment</t>
        </is>
      </c>
      <c r="I992" t="inlineStr"/>
      <c r="J992" t="inlineStr">
        <is>
          <t>G00024</t>
        </is>
      </c>
      <c r="K992" t="str">
        <f>INDEX('Match Groups'!$D$5:$D$1326,MATCH(J992,'Match Groups'!$A$5:$A$1326,0))</f>
        <v>STRIPE-FEE</v>
      </c>
    </row>
    <row r="993">
      <c r="A993" t="inlineStr">
        <is>
          <t>JI-02066</t>
        </is>
      </c>
      <c r="B993" t="inlineStr">
        <is>
          <t>OPS</t>
        </is>
      </c>
      <c r="C993" s="5" t="n">
        <v>46216</v>
      </c>
      <c r="D993" t="inlineStr">
        <is>
          <t>Stripe patient 39608</t>
        </is>
      </c>
      <c r="E993" t="inlineStr">
        <is>
          <t>INV/2026/03913</t>
        </is>
      </c>
      <c r="F993" t="inlineStr">
        <is>
          <t>Customer payment INV/2026/03913</t>
        </is>
      </c>
      <c r="G993" s="9" t="n">
        <v>85</v>
      </c>
      <c r="H993" t="inlineStr">
        <is>
          <t>customer_payment</t>
        </is>
      </c>
      <c r="I993" t="inlineStr"/>
      <c r="J993" t="inlineStr">
        <is>
          <t>G00024</t>
        </is>
      </c>
      <c r="K993" t="str">
        <f>INDEX('Match Groups'!$D$5:$D$1326,MATCH(J993,'Match Groups'!$A$5:$A$1326,0))</f>
        <v>STRIPE-FEE</v>
      </c>
    </row>
    <row r="994">
      <c r="A994" t="inlineStr">
        <is>
          <t>JI-02067</t>
        </is>
      </c>
      <c r="B994" t="inlineStr">
        <is>
          <t>OPS</t>
        </is>
      </c>
      <c r="C994" s="5" t="n">
        <v>46216</v>
      </c>
      <c r="D994" t="inlineStr">
        <is>
          <t>Stripe patient 18878</t>
        </is>
      </c>
      <c r="E994" t="inlineStr">
        <is>
          <t>INV/2026/03914</t>
        </is>
      </c>
      <c r="F994" t="inlineStr">
        <is>
          <t>Customer payment INV/2026/03914</t>
        </is>
      </c>
      <c r="G994" s="9" t="n">
        <v>180</v>
      </c>
      <c r="H994" t="inlineStr">
        <is>
          <t>customer_payment</t>
        </is>
      </c>
      <c r="I994" t="inlineStr"/>
      <c r="J994" t="inlineStr">
        <is>
          <t>G00024</t>
        </is>
      </c>
      <c r="K994" t="str">
        <f>INDEX('Match Groups'!$D$5:$D$1326,MATCH(J994,'Match Groups'!$A$5:$A$1326,0))</f>
        <v>STRIPE-FEE</v>
      </c>
    </row>
    <row r="995">
      <c r="A995" t="inlineStr">
        <is>
          <t>JI-02068</t>
        </is>
      </c>
      <c r="B995" t="inlineStr">
        <is>
          <t>OPS</t>
        </is>
      </c>
      <c r="C995" s="5" t="n">
        <v>46216</v>
      </c>
      <c r="D995" t="inlineStr">
        <is>
          <t>Stripe patient 50872</t>
        </is>
      </c>
      <c r="E995" t="inlineStr">
        <is>
          <t>INV/2026/03915</t>
        </is>
      </c>
      <c r="F995" t="inlineStr">
        <is>
          <t>Customer payment INV/2026/03915</t>
        </is>
      </c>
      <c r="G995" s="9" t="n">
        <v>85</v>
      </c>
      <c r="H995" t="inlineStr">
        <is>
          <t>customer_payment</t>
        </is>
      </c>
      <c r="I995" t="inlineStr"/>
      <c r="J995" t="inlineStr">
        <is>
          <t>G00024</t>
        </is>
      </c>
      <c r="K995" t="str">
        <f>INDEX('Match Groups'!$D$5:$D$1326,MATCH(J995,'Match Groups'!$A$5:$A$1326,0))</f>
        <v>STRIPE-FEE</v>
      </c>
    </row>
    <row r="996">
      <c r="A996" t="inlineStr">
        <is>
          <t>JI-02069</t>
        </is>
      </c>
      <c r="B996" t="inlineStr">
        <is>
          <t>OPS</t>
        </is>
      </c>
      <c r="C996" s="5" t="n">
        <v>46216</v>
      </c>
      <c r="D996" t="inlineStr">
        <is>
          <t>Stripe patient 48513</t>
        </is>
      </c>
      <c r="E996" t="inlineStr">
        <is>
          <t>INV/2026/03916</t>
        </is>
      </c>
      <c r="F996" t="inlineStr">
        <is>
          <t>Customer payment INV/2026/03916</t>
        </is>
      </c>
      <c r="G996" s="9" t="n">
        <v>120</v>
      </c>
      <c r="H996" t="inlineStr">
        <is>
          <t>customer_payment</t>
        </is>
      </c>
      <c r="I996" t="inlineStr"/>
      <c r="J996" t="inlineStr">
        <is>
          <t>G00024</t>
        </is>
      </c>
      <c r="K996" t="str">
        <f>INDEX('Match Groups'!$D$5:$D$1326,MATCH(J996,'Match Groups'!$A$5:$A$1326,0))</f>
        <v>STRIPE-FEE</v>
      </c>
    </row>
    <row r="997">
      <c r="A997" t="inlineStr">
        <is>
          <t>JI-02070</t>
        </is>
      </c>
      <c r="B997" t="inlineStr">
        <is>
          <t>OPS</t>
        </is>
      </c>
      <c r="C997" s="5" t="n">
        <v>46216</v>
      </c>
      <c r="D997" t="inlineStr">
        <is>
          <t>Stripe patient 34707</t>
        </is>
      </c>
      <c r="E997" t="inlineStr">
        <is>
          <t>INV/2026/03917</t>
        </is>
      </c>
      <c r="F997" t="inlineStr">
        <is>
          <t>Customer payment INV/2026/03917</t>
        </is>
      </c>
      <c r="G997" s="9" t="n">
        <v>150</v>
      </c>
      <c r="H997" t="inlineStr">
        <is>
          <t>customer_payment</t>
        </is>
      </c>
      <c r="I997" t="inlineStr"/>
      <c r="J997" t="inlineStr">
        <is>
          <t>G00024</t>
        </is>
      </c>
      <c r="K997" t="str">
        <f>INDEX('Match Groups'!$D$5:$D$1326,MATCH(J997,'Match Groups'!$A$5:$A$1326,0))</f>
        <v>STRIPE-FEE</v>
      </c>
    </row>
    <row r="998">
      <c r="A998" t="inlineStr">
        <is>
          <t>JI-02071</t>
        </is>
      </c>
      <c r="B998" t="inlineStr">
        <is>
          <t>OPS</t>
        </is>
      </c>
      <c r="C998" s="5" t="n">
        <v>46216</v>
      </c>
      <c r="D998" t="inlineStr">
        <is>
          <t>Stripe patient 95516</t>
        </is>
      </c>
      <c r="E998" t="inlineStr">
        <is>
          <t>INV/2026/03918</t>
        </is>
      </c>
      <c r="F998" t="inlineStr">
        <is>
          <t>Customer payment INV/2026/03918</t>
        </is>
      </c>
      <c r="G998" s="9" t="n">
        <v>180</v>
      </c>
      <c r="H998" t="inlineStr">
        <is>
          <t>customer_payment</t>
        </is>
      </c>
      <c r="I998" t="inlineStr"/>
      <c r="J998" t="inlineStr">
        <is>
          <t>G00024</t>
        </is>
      </c>
      <c r="K998" t="str">
        <f>INDEX('Match Groups'!$D$5:$D$1326,MATCH(J998,'Match Groups'!$A$5:$A$1326,0))</f>
        <v>STRIPE-FEE</v>
      </c>
    </row>
    <row r="999">
      <c r="A999" t="inlineStr">
        <is>
          <t>JI-02072</t>
        </is>
      </c>
      <c r="B999" t="inlineStr">
        <is>
          <t>OPS</t>
        </is>
      </c>
      <c r="C999" s="5" t="n">
        <v>46216</v>
      </c>
      <c r="D999" t="inlineStr">
        <is>
          <t>Stripe patient 15719</t>
        </is>
      </c>
      <c r="E999" t="inlineStr">
        <is>
          <t>INV/2026/03919</t>
        </is>
      </c>
      <c r="F999" t="inlineStr">
        <is>
          <t>Customer payment INV/2026/03919</t>
        </is>
      </c>
      <c r="G999" s="9" t="n">
        <v>150</v>
      </c>
      <c r="H999" t="inlineStr">
        <is>
          <t>customer_payment</t>
        </is>
      </c>
      <c r="I999" t="inlineStr"/>
      <c r="J999" t="inlineStr">
        <is>
          <t>G00024</t>
        </is>
      </c>
      <c r="K999" t="str">
        <f>INDEX('Match Groups'!$D$5:$D$1326,MATCH(J999,'Match Groups'!$A$5:$A$1326,0))</f>
        <v>STRIPE-FEE</v>
      </c>
    </row>
    <row r="1000">
      <c r="A1000" t="inlineStr">
        <is>
          <t>JI-02073</t>
        </is>
      </c>
      <c r="B1000" t="inlineStr">
        <is>
          <t>OPS</t>
        </is>
      </c>
      <c r="C1000" s="5" t="n">
        <v>46216</v>
      </c>
      <c r="D1000" t="inlineStr">
        <is>
          <t>Stripe patient 86068</t>
        </is>
      </c>
      <c r="E1000" t="inlineStr">
        <is>
          <t>INV/2026/03920</t>
        </is>
      </c>
      <c r="F1000" t="inlineStr">
        <is>
          <t>Customer payment INV/2026/03920</t>
        </is>
      </c>
      <c r="G1000" s="9" t="n">
        <v>150</v>
      </c>
      <c r="H1000" t="inlineStr">
        <is>
          <t>customer_payment</t>
        </is>
      </c>
      <c r="I1000" t="inlineStr"/>
      <c r="J1000" t="inlineStr">
        <is>
          <t>G00024</t>
        </is>
      </c>
      <c r="K1000" t="str">
        <f>INDEX('Match Groups'!$D$5:$D$1326,MATCH(J1000,'Match Groups'!$A$5:$A$1326,0))</f>
        <v>STRIPE-FEE</v>
      </c>
    </row>
    <row r="1001">
      <c r="A1001" t="inlineStr">
        <is>
          <t>JI-02074</t>
        </is>
      </c>
      <c r="B1001" t="inlineStr">
        <is>
          <t>OPS</t>
        </is>
      </c>
      <c r="C1001" s="5" t="n">
        <v>46216</v>
      </c>
      <c r="D1001" t="inlineStr">
        <is>
          <t>Stripe patient 72562</t>
        </is>
      </c>
      <c r="E1001" t="inlineStr">
        <is>
          <t>INV/2026/03921</t>
        </is>
      </c>
      <c r="F1001" t="inlineStr">
        <is>
          <t>Customer payment INV/2026/03921</t>
        </is>
      </c>
      <c r="G1001" s="9" t="n">
        <v>150</v>
      </c>
      <c r="H1001" t="inlineStr">
        <is>
          <t>customer_payment</t>
        </is>
      </c>
      <c r="I1001" t="inlineStr"/>
      <c r="J1001" t="inlineStr">
        <is>
          <t>G00024</t>
        </is>
      </c>
      <c r="K1001" t="str">
        <f>INDEX('Match Groups'!$D$5:$D$1326,MATCH(J1001,'Match Groups'!$A$5:$A$1326,0))</f>
        <v>STRIPE-FEE</v>
      </c>
    </row>
    <row r="1002">
      <c r="A1002" t="inlineStr">
        <is>
          <t>JI-02075</t>
        </is>
      </c>
      <c r="B1002" t="inlineStr">
        <is>
          <t>OPS</t>
        </is>
      </c>
      <c r="C1002" s="5" t="n">
        <v>46216</v>
      </c>
      <c r="D1002" t="inlineStr">
        <is>
          <t>Stripe patient 72671</t>
        </is>
      </c>
      <c r="E1002" t="inlineStr">
        <is>
          <t>INV/2026/03922</t>
        </is>
      </c>
      <c r="F1002" t="inlineStr">
        <is>
          <t>Customer payment INV/2026/03922</t>
        </is>
      </c>
      <c r="G1002" s="9" t="n">
        <v>85</v>
      </c>
      <c r="H1002" t="inlineStr">
        <is>
          <t>customer_payment</t>
        </is>
      </c>
      <c r="I1002" t="inlineStr"/>
      <c r="J1002" t="inlineStr">
        <is>
          <t>G00024</t>
        </is>
      </c>
      <c r="K1002" t="str">
        <f>INDEX('Match Groups'!$D$5:$D$1326,MATCH(J1002,'Match Groups'!$A$5:$A$1326,0))</f>
        <v>STRIPE-FEE</v>
      </c>
    </row>
    <row r="1003">
      <c r="A1003" t="inlineStr">
        <is>
          <t>JI-02076</t>
        </is>
      </c>
      <c r="B1003" t="inlineStr">
        <is>
          <t>OPS</t>
        </is>
      </c>
      <c r="C1003" s="5" t="n">
        <v>46216</v>
      </c>
      <c r="D1003" t="inlineStr">
        <is>
          <t>Stripe patient 95878</t>
        </is>
      </c>
      <c r="E1003" t="inlineStr">
        <is>
          <t>INV/2026/03923</t>
        </is>
      </c>
      <c r="F1003" t="inlineStr">
        <is>
          <t>Customer payment INV/2026/03923</t>
        </is>
      </c>
      <c r="G1003" s="9" t="n">
        <v>110</v>
      </c>
      <c r="H1003" t="inlineStr">
        <is>
          <t>customer_payment</t>
        </is>
      </c>
      <c r="I1003" t="inlineStr"/>
      <c r="J1003" t="inlineStr">
        <is>
          <t>G00024</t>
        </is>
      </c>
      <c r="K1003" t="str">
        <f>INDEX('Match Groups'!$D$5:$D$1326,MATCH(J1003,'Match Groups'!$A$5:$A$1326,0))</f>
        <v>STRIPE-FEE</v>
      </c>
    </row>
    <row r="1004">
      <c r="A1004" t="inlineStr">
        <is>
          <t>JI-02077</t>
        </is>
      </c>
      <c r="B1004" t="inlineStr">
        <is>
          <t>OPS</t>
        </is>
      </c>
      <c r="C1004" s="5" t="n">
        <v>46216</v>
      </c>
      <c r="D1004" t="inlineStr">
        <is>
          <t>Stripe patient 72623</t>
        </is>
      </c>
      <c r="E1004" t="inlineStr">
        <is>
          <t>INV/2026/03924</t>
        </is>
      </c>
      <c r="F1004" t="inlineStr">
        <is>
          <t>Customer payment INV/2026/03924</t>
        </is>
      </c>
      <c r="G1004" s="9" t="n">
        <v>150</v>
      </c>
      <c r="H1004" t="inlineStr">
        <is>
          <t>customer_payment</t>
        </is>
      </c>
      <c r="I1004" t="inlineStr"/>
      <c r="J1004" t="inlineStr">
        <is>
          <t>G00024</t>
        </is>
      </c>
      <c r="K1004" t="str">
        <f>INDEX('Match Groups'!$D$5:$D$1326,MATCH(J1004,'Match Groups'!$A$5:$A$1326,0))</f>
        <v>STRIPE-FEE</v>
      </c>
    </row>
    <row r="1005">
      <c r="A1005" t="inlineStr">
        <is>
          <t>JI-02078</t>
        </is>
      </c>
      <c r="B1005" t="inlineStr">
        <is>
          <t>OPS</t>
        </is>
      </c>
      <c r="C1005" s="5" t="n">
        <v>46216</v>
      </c>
      <c r="D1005" t="inlineStr">
        <is>
          <t>Stripe patient 57146</t>
        </is>
      </c>
      <c r="E1005" t="inlineStr">
        <is>
          <t>INV/2026/03925</t>
        </is>
      </c>
      <c r="F1005" t="inlineStr">
        <is>
          <t>Customer payment INV/2026/03925</t>
        </is>
      </c>
      <c r="G1005" s="9" t="n">
        <v>85</v>
      </c>
      <c r="H1005" t="inlineStr">
        <is>
          <t>customer_payment</t>
        </is>
      </c>
      <c r="I1005" t="inlineStr"/>
      <c r="J1005" t="inlineStr">
        <is>
          <t>G00024</t>
        </is>
      </c>
      <c r="K1005" t="str">
        <f>INDEX('Match Groups'!$D$5:$D$1326,MATCH(J1005,'Match Groups'!$A$5:$A$1326,0))</f>
        <v>STRIPE-FEE</v>
      </c>
    </row>
    <row r="1006">
      <c r="A1006" t="inlineStr">
        <is>
          <t>JI-02079</t>
        </is>
      </c>
      <c r="B1006" t="inlineStr">
        <is>
          <t>OPS</t>
        </is>
      </c>
      <c r="C1006" s="5" t="n">
        <v>46216</v>
      </c>
      <c r="D1006" t="inlineStr">
        <is>
          <t>Stripe patient 47565</t>
        </is>
      </c>
      <c r="E1006" t="inlineStr">
        <is>
          <t>INV/2026/03926</t>
        </is>
      </c>
      <c r="F1006" t="inlineStr">
        <is>
          <t>Customer payment INV/2026/03926</t>
        </is>
      </c>
      <c r="G1006" s="9" t="n">
        <v>110</v>
      </c>
      <c r="H1006" t="inlineStr">
        <is>
          <t>customer_payment</t>
        </is>
      </c>
      <c r="I1006" t="inlineStr"/>
      <c r="J1006" t="inlineStr">
        <is>
          <t>G00024</t>
        </is>
      </c>
      <c r="K1006" t="str">
        <f>INDEX('Match Groups'!$D$5:$D$1326,MATCH(J1006,'Match Groups'!$A$5:$A$1326,0))</f>
        <v>STRIPE-FEE</v>
      </c>
    </row>
    <row r="1007">
      <c r="A1007" t="inlineStr">
        <is>
          <t>JI-02080</t>
        </is>
      </c>
      <c r="B1007" t="inlineStr">
        <is>
          <t>OPS</t>
        </is>
      </c>
      <c r="C1007" s="5" t="n">
        <v>46216</v>
      </c>
      <c r="D1007" t="inlineStr">
        <is>
          <t>Stripe patient 97255</t>
        </is>
      </c>
      <c r="E1007" t="inlineStr">
        <is>
          <t>INV/2026/03927</t>
        </is>
      </c>
      <c r="F1007" t="inlineStr">
        <is>
          <t>Customer payment INV/2026/03927</t>
        </is>
      </c>
      <c r="G1007" s="9" t="n">
        <v>120</v>
      </c>
      <c r="H1007" t="inlineStr">
        <is>
          <t>customer_payment</t>
        </is>
      </c>
      <c r="I1007" t="inlineStr"/>
      <c r="J1007" t="inlineStr">
        <is>
          <t>G00024</t>
        </is>
      </c>
      <c r="K1007" t="str">
        <f>INDEX('Match Groups'!$D$5:$D$1326,MATCH(J1007,'Match Groups'!$A$5:$A$1326,0))</f>
        <v>STRIPE-FEE</v>
      </c>
    </row>
    <row r="1008">
      <c r="A1008" t="inlineStr">
        <is>
          <t>JI-02081</t>
        </is>
      </c>
      <c r="B1008" t="inlineStr">
        <is>
          <t>OPS</t>
        </is>
      </c>
      <c r="C1008" s="5" t="n">
        <v>46216</v>
      </c>
      <c r="D1008" t="inlineStr">
        <is>
          <t>Stripe patient 23871</t>
        </is>
      </c>
      <c r="E1008" t="inlineStr">
        <is>
          <t>INV/2026/03928</t>
        </is>
      </c>
      <c r="F1008" t="inlineStr">
        <is>
          <t>Customer payment INV/2026/03928</t>
        </is>
      </c>
      <c r="G1008" s="9" t="n">
        <v>110</v>
      </c>
      <c r="H1008" t="inlineStr">
        <is>
          <t>customer_payment</t>
        </is>
      </c>
      <c r="I1008" t="inlineStr"/>
      <c r="J1008" t="inlineStr">
        <is>
          <t>G00024</t>
        </is>
      </c>
      <c r="K1008" t="str">
        <f>INDEX('Match Groups'!$D$5:$D$1326,MATCH(J1008,'Match Groups'!$A$5:$A$1326,0))</f>
        <v>STRIPE-FEE</v>
      </c>
    </row>
    <row r="1009">
      <c r="A1009" t="inlineStr">
        <is>
          <t>JI-02082</t>
        </is>
      </c>
      <c r="B1009" t="inlineStr">
        <is>
          <t>OPS</t>
        </is>
      </c>
      <c r="C1009" s="5" t="n">
        <v>46216</v>
      </c>
      <c r="D1009" t="inlineStr">
        <is>
          <t>Stripe patient 39662</t>
        </is>
      </c>
      <c r="E1009" t="inlineStr">
        <is>
          <t>INV/2026/03929</t>
        </is>
      </c>
      <c r="F1009" t="inlineStr">
        <is>
          <t>Customer payment INV/2026/03929</t>
        </is>
      </c>
      <c r="G1009" s="9" t="n">
        <v>135</v>
      </c>
      <c r="H1009" t="inlineStr">
        <is>
          <t>customer_payment</t>
        </is>
      </c>
      <c r="I1009" t="inlineStr"/>
      <c r="J1009" t="inlineStr">
        <is>
          <t>G00024</t>
        </is>
      </c>
      <c r="K1009" t="str">
        <f>INDEX('Match Groups'!$D$5:$D$1326,MATCH(J1009,'Match Groups'!$A$5:$A$1326,0))</f>
        <v>STRIPE-FEE</v>
      </c>
    </row>
    <row r="1010">
      <c r="A1010" t="inlineStr">
        <is>
          <t>JI-04285</t>
        </is>
      </c>
      <c r="B1010" t="inlineStr">
        <is>
          <t>OPS</t>
        </is>
      </c>
      <c r="C1010" s="5" t="n">
        <v>46216</v>
      </c>
      <c r="D1010" t="inlineStr">
        <is>
          <t>Internal transfer</t>
        </is>
      </c>
      <c r="E1010" t="inlineStr">
        <is>
          <t>SWEEP 1307</t>
        </is>
      </c>
      <c r="F1010" t="inlineStr">
        <is>
          <t>Sweep from merchant account</t>
        </is>
      </c>
      <c r="G1010" s="9" t="n">
        <v>34000</v>
      </c>
      <c r="H1010" t="inlineStr">
        <is>
          <t>transfer</t>
        </is>
      </c>
      <c r="I1010" t="inlineStr"/>
      <c r="J1010" t="inlineStr">
        <is>
          <t>G00510</t>
        </is>
      </c>
      <c r="K1010" t="str">
        <f>INDEX('Match Groups'!$D$5:$D$1326,MATCH(J1010,'Match Groups'!$A$5:$A$1326,0))</f>
        <v>MATCH</v>
      </c>
    </row>
    <row r="1011">
      <c r="A1011" t="inlineStr">
        <is>
          <t>JI-00284</t>
        </is>
      </c>
      <c r="B1011" t="inlineStr">
        <is>
          <t>OPS</t>
        </is>
      </c>
      <c r="C1011" s="5" t="n">
        <v>46217</v>
      </c>
      <c r="D1011" t="inlineStr">
        <is>
          <t>Bluegum Plan Management</t>
        </is>
      </c>
      <c r="E1011" t="inlineStr">
        <is>
          <t>INV/2026/01535</t>
        </is>
      </c>
      <c r="F1011" t="inlineStr">
        <is>
          <t>Customer payment INV/2026/01535</t>
        </is>
      </c>
      <c r="G1011" s="9" t="n">
        <v>145.49</v>
      </c>
      <c r="H1011" t="inlineStr">
        <is>
          <t>customer_payment</t>
        </is>
      </c>
      <c r="I1011" t="inlineStr"/>
      <c r="J1011" t="inlineStr">
        <is>
          <t>G00142</t>
        </is>
      </c>
      <c r="K1011" t="str">
        <f>INDEX('Match Groups'!$D$5:$D$1326,MATCH(J1011,'Match Groups'!$A$5:$A$1326,0))</f>
        <v>MATCH</v>
      </c>
    </row>
    <row r="1012">
      <c r="A1012" t="inlineStr">
        <is>
          <t>JI-00285</t>
        </is>
      </c>
      <c r="B1012" t="inlineStr">
        <is>
          <t>OPS</t>
        </is>
      </c>
      <c r="C1012" s="5" t="n">
        <v>46217</v>
      </c>
      <c r="D1012" t="inlineStr">
        <is>
          <t>Bluegum Plan Management</t>
        </is>
      </c>
      <c r="E1012" t="inlineStr">
        <is>
          <t>INV/2026/01556</t>
        </is>
      </c>
      <c r="F1012" t="inlineStr">
        <is>
          <t>Customer payment INV/2026/01556</t>
        </is>
      </c>
      <c r="G1012" s="9" t="n">
        <v>417.98</v>
      </c>
      <c r="H1012" t="inlineStr">
        <is>
          <t>customer_payment</t>
        </is>
      </c>
      <c r="I1012" t="inlineStr"/>
      <c r="J1012" t="inlineStr">
        <is>
          <t>G00142</t>
        </is>
      </c>
      <c r="K1012" t="str">
        <f>INDEX('Match Groups'!$D$5:$D$1326,MATCH(J1012,'Match Groups'!$A$5:$A$1326,0))</f>
        <v>MATCH</v>
      </c>
    </row>
    <row r="1013">
      <c r="A1013" t="inlineStr">
        <is>
          <t>JI-00286</t>
        </is>
      </c>
      <c r="B1013" t="inlineStr">
        <is>
          <t>OPS</t>
        </is>
      </c>
      <c r="C1013" s="5" t="n">
        <v>46217</v>
      </c>
      <c r="D1013" t="inlineStr">
        <is>
          <t>Bluegum Plan Management</t>
        </is>
      </c>
      <c r="E1013" t="inlineStr">
        <is>
          <t>INV/2026/01583</t>
        </is>
      </c>
      <c r="F1013" t="inlineStr">
        <is>
          <t>Customer payment INV/2026/01583</t>
        </is>
      </c>
      <c r="G1013" s="9" t="n">
        <v>145.49</v>
      </c>
      <c r="H1013" t="inlineStr">
        <is>
          <t>customer_payment</t>
        </is>
      </c>
      <c r="I1013" t="inlineStr"/>
      <c r="J1013" t="inlineStr">
        <is>
          <t>G00142</t>
        </is>
      </c>
      <c r="K1013" t="str">
        <f>INDEX('Match Groups'!$D$5:$D$1326,MATCH(J1013,'Match Groups'!$A$5:$A$1326,0))</f>
        <v>MATCH</v>
      </c>
    </row>
    <row r="1014">
      <c r="A1014" t="inlineStr">
        <is>
          <t>JI-00287</t>
        </is>
      </c>
      <c r="B1014" t="inlineStr">
        <is>
          <t>OPS</t>
        </is>
      </c>
      <c r="C1014" s="5" t="n">
        <v>46217</v>
      </c>
      <c r="D1014" t="inlineStr">
        <is>
          <t>Banksia Plan Co</t>
        </is>
      </c>
      <c r="E1014" t="inlineStr">
        <is>
          <t>INV/2026/01804</t>
        </is>
      </c>
      <c r="F1014" t="inlineStr">
        <is>
          <t>Customer payment INV/2026/01804</t>
        </is>
      </c>
      <c r="G1014" s="9" t="n">
        <v>252.19</v>
      </c>
      <c r="H1014" t="inlineStr">
        <is>
          <t>customer_payment</t>
        </is>
      </c>
      <c r="I1014" t="inlineStr"/>
      <c r="J1014" t="inlineStr">
        <is>
          <t>G00143</t>
        </is>
      </c>
      <c r="K1014" t="str">
        <f>INDEX('Match Groups'!$D$5:$D$1326,MATCH(J1014,'Match Groups'!$A$5:$A$1326,0))</f>
        <v>MATCH</v>
      </c>
    </row>
    <row r="1015">
      <c r="A1015" t="inlineStr">
        <is>
          <t>JI-00288</t>
        </is>
      </c>
      <c r="B1015" t="inlineStr">
        <is>
          <t>OPS</t>
        </is>
      </c>
      <c r="C1015" s="5" t="n">
        <v>46217</v>
      </c>
      <c r="D1015" t="inlineStr">
        <is>
          <t>Banksia Plan Co</t>
        </is>
      </c>
      <c r="E1015" t="inlineStr">
        <is>
          <t>INV/2026/01805</t>
        </is>
      </c>
      <c r="F1015" t="inlineStr">
        <is>
          <t>Customer payment INV/2026/01805</t>
        </is>
      </c>
      <c r="G1015" s="9" t="n">
        <v>320.98</v>
      </c>
      <c r="H1015" t="inlineStr">
        <is>
          <t>customer_payment</t>
        </is>
      </c>
      <c r="I1015" t="inlineStr"/>
      <c r="J1015" t="inlineStr">
        <is>
          <t>G00143</t>
        </is>
      </c>
      <c r="K1015" t="str">
        <f>INDEX('Match Groups'!$D$5:$D$1326,MATCH(J1015,'Match Groups'!$A$5:$A$1326,0))</f>
        <v>MATCH</v>
      </c>
    </row>
    <row r="1016">
      <c r="A1016" t="inlineStr">
        <is>
          <t>JI-00289</t>
        </is>
      </c>
      <c r="B1016" t="inlineStr">
        <is>
          <t>OPS</t>
        </is>
      </c>
      <c r="C1016" s="5" t="n">
        <v>46217</v>
      </c>
      <c r="D1016" t="inlineStr">
        <is>
          <t>Ironbark Plan Management</t>
        </is>
      </c>
      <c r="E1016" t="inlineStr">
        <is>
          <t>INV/2026/01565</t>
        </is>
      </c>
      <c r="F1016" t="inlineStr">
        <is>
          <t>Customer payment INV/2026/01565</t>
        </is>
      </c>
      <c r="G1016" s="9" t="n">
        <v>300.69</v>
      </c>
      <c r="H1016" t="inlineStr">
        <is>
          <t>customer_payment</t>
        </is>
      </c>
      <c r="I1016" t="inlineStr"/>
      <c r="J1016" t="inlineStr">
        <is>
          <t>G00144</t>
        </is>
      </c>
      <c r="K1016" t="str">
        <f>INDEX('Match Groups'!$D$5:$D$1326,MATCH(J1016,'Match Groups'!$A$5:$A$1326,0))</f>
        <v>MATCH</v>
      </c>
    </row>
    <row r="1017">
      <c r="A1017" t="inlineStr">
        <is>
          <t>JI-00290</t>
        </is>
      </c>
      <c r="B1017" t="inlineStr">
        <is>
          <t>OPS</t>
        </is>
      </c>
      <c r="C1017" s="5" t="n">
        <v>46217</v>
      </c>
      <c r="D1017" t="inlineStr">
        <is>
          <t>Ironbark Plan Management</t>
        </is>
      </c>
      <c r="E1017" t="inlineStr">
        <is>
          <t>INV/2026/01592</t>
        </is>
      </c>
      <c r="F1017" t="inlineStr">
        <is>
          <t>Customer payment INV/2026/01592</t>
        </is>
      </c>
      <c r="G1017" s="9" t="n">
        <v>417.98</v>
      </c>
      <c r="H1017" t="inlineStr">
        <is>
          <t>customer_payment</t>
        </is>
      </c>
      <c r="I1017" t="inlineStr"/>
      <c r="J1017" t="inlineStr">
        <is>
          <t>G00144</t>
        </is>
      </c>
      <c r="K1017" t="str">
        <f>INDEX('Match Groups'!$D$5:$D$1326,MATCH(J1017,'Match Groups'!$A$5:$A$1326,0))</f>
        <v>MATCH</v>
      </c>
    </row>
    <row r="1018">
      <c r="A1018" t="inlineStr">
        <is>
          <t>JI-00291</t>
        </is>
      </c>
      <c r="B1018" t="inlineStr">
        <is>
          <t>OPS</t>
        </is>
      </c>
      <c r="C1018" s="5" t="n">
        <v>46217</v>
      </c>
      <c r="D1018" t="inlineStr">
        <is>
          <t>Ironbark Plan Management</t>
        </is>
      </c>
      <c r="E1018" t="inlineStr">
        <is>
          <t>INV/2026/01593</t>
        </is>
      </c>
      <c r="F1018" t="inlineStr">
        <is>
          <t>Customer payment INV/2026/01593</t>
        </is>
      </c>
      <c r="G1018" s="9" t="n">
        <v>387.98</v>
      </c>
      <c r="H1018" t="inlineStr">
        <is>
          <t>customer_payment</t>
        </is>
      </c>
      <c r="I1018" t="inlineStr"/>
      <c r="J1018" t="inlineStr">
        <is>
          <t>G00144</t>
        </is>
      </c>
      <c r="K1018" t="str">
        <f>INDEX('Match Groups'!$D$5:$D$1326,MATCH(J1018,'Match Groups'!$A$5:$A$1326,0))</f>
        <v>MATCH</v>
      </c>
    </row>
    <row r="1019">
      <c r="A1019" t="inlineStr">
        <is>
          <t>JI-00292</t>
        </is>
      </c>
      <c r="B1019" t="inlineStr">
        <is>
          <t>OPS</t>
        </is>
      </c>
      <c r="C1019" s="5" t="n">
        <v>46217</v>
      </c>
      <c r="D1019" t="inlineStr">
        <is>
          <t>Ironbark Plan Management</t>
        </is>
      </c>
      <c r="E1019" t="inlineStr">
        <is>
          <t>INV/2026/01645</t>
        </is>
      </c>
      <c r="F1019" t="inlineStr">
        <is>
          <t>Customer payment INV/2026/01645</t>
        </is>
      </c>
      <c r="G1019" s="9" t="n">
        <v>193.99</v>
      </c>
      <c r="H1019" t="inlineStr">
        <is>
          <t>customer_payment</t>
        </is>
      </c>
      <c r="I1019" t="inlineStr"/>
      <c r="J1019" t="inlineStr">
        <is>
          <t>G00144</t>
        </is>
      </c>
      <c r="K1019" t="str">
        <f>INDEX('Match Groups'!$D$5:$D$1326,MATCH(J1019,'Match Groups'!$A$5:$A$1326,0))</f>
        <v>MATCH</v>
      </c>
    </row>
    <row r="1020">
      <c r="A1020" t="inlineStr">
        <is>
          <t>JI-00293</t>
        </is>
      </c>
      <c r="B1020" t="inlineStr">
        <is>
          <t>OPS</t>
        </is>
      </c>
      <c r="C1020" s="5" t="n">
        <v>46217</v>
      </c>
      <c r="D1020" t="inlineStr">
        <is>
          <t>Ironbark Plan Management</t>
        </is>
      </c>
      <c r="E1020" t="inlineStr">
        <is>
          <t>INV/2026/01646</t>
        </is>
      </c>
      <c r="F1020" t="inlineStr">
        <is>
          <t>Customer payment INV/2026/01646</t>
        </is>
      </c>
      <c r="G1020" s="9" t="n">
        <v>175.49</v>
      </c>
      <c r="H1020" t="inlineStr">
        <is>
          <t>customer_payment</t>
        </is>
      </c>
      <c r="I1020" t="inlineStr"/>
      <c r="J1020" t="inlineStr">
        <is>
          <t>G00144</t>
        </is>
      </c>
      <c r="K1020" t="str">
        <f>INDEX('Match Groups'!$D$5:$D$1326,MATCH(J1020,'Match Groups'!$A$5:$A$1326,0))</f>
        <v>MATCH</v>
      </c>
    </row>
    <row r="1021">
      <c r="A1021" t="inlineStr">
        <is>
          <t>JI-00294</t>
        </is>
      </c>
      <c r="B1021" t="inlineStr">
        <is>
          <t>OPS</t>
        </is>
      </c>
      <c r="C1021" s="5" t="n">
        <v>46217</v>
      </c>
      <c r="D1021" t="inlineStr">
        <is>
          <t>Ironbark Plan Management</t>
        </is>
      </c>
      <c r="E1021" t="inlineStr">
        <is>
          <t>INV/2026/01671</t>
        </is>
      </c>
      <c r="F1021" t="inlineStr">
        <is>
          <t>Customer payment INV/2026/01671</t>
        </is>
      </c>
      <c r="G1021" s="9" t="n">
        <v>290.98</v>
      </c>
      <c r="H1021" t="inlineStr">
        <is>
          <t>customer_payment</t>
        </is>
      </c>
      <c r="I1021" t="inlineStr"/>
      <c r="J1021" t="inlineStr">
        <is>
          <t>G00144</t>
        </is>
      </c>
      <c r="K1021" t="str">
        <f>INDEX('Match Groups'!$D$5:$D$1326,MATCH(J1021,'Match Groups'!$A$5:$A$1326,0))</f>
        <v>MATCH</v>
      </c>
    </row>
    <row r="1022">
      <c r="A1022" t="inlineStr">
        <is>
          <t>JI-00295</t>
        </is>
      </c>
      <c r="B1022" t="inlineStr">
        <is>
          <t>OPS</t>
        </is>
      </c>
      <c r="C1022" s="5" t="n">
        <v>46217</v>
      </c>
      <c r="D1022" t="inlineStr">
        <is>
          <t>Ironbark Plan Management</t>
        </is>
      </c>
      <c r="E1022" t="inlineStr">
        <is>
          <t>INV/2026/01691</t>
        </is>
      </c>
      <c r="F1022" t="inlineStr">
        <is>
          <t>Customer payment INV/2026/01691</t>
        </is>
      </c>
      <c r="G1022" s="9" t="n">
        <v>193.99</v>
      </c>
      <c r="H1022" t="inlineStr">
        <is>
          <t>customer_payment</t>
        </is>
      </c>
      <c r="I1022" t="inlineStr"/>
      <c r="J1022" t="inlineStr">
        <is>
          <t>G00144</t>
        </is>
      </c>
      <c r="K1022" t="str">
        <f>INDEX('Match Groups'!$D$5:$D$1326,MATCH(J1022,'Match Groups'!$A$5:$A$1326,0))</f>
        <v>MATCH</v>
      </c>
    </row>
    <row r="1023">
      <c r="A1023" t="inlineStr">
        <is>
          <t>JI-00296</t>
        </is>
      </c>
      <c r="B1023" t="inlineStr">
        <is>
          <t>OPS</t>
        </is>
      </c>
      <c r="C1023" s="5" t="n">
        <v>46217</v>
      </c>
      <c r="D1023" t="inlineStr">
        <is>
          <t>Ironbark Plan Management</t>
        </is>
      </c>
      <c r="E1023" t="inlineStr">
        <is>
          <t>INV/2026/01692</t>
        </is>
      </c>
      <c r="F1023" t="inlineStr">
        <is>
          <t>Customer payment INV/2026/01692</t>
        </is>
      </c>
      <c r="G1023" s="9" t="n">
        <v>175.49</v>
      </c>
      <c r="H1023" t="inlineStr">
        <is>
          <t>customer_payment</t>
        </is>
      </c>
      <c r="I1023" t="inlineStr"/>
      <c r="J1023" t="inlineStr">
        <is>
          <t>G00144</t>
        </is>
      </c>
      <c r="K1023" t="str">
        <f>INDEX('Match Groups'!$D$5:$D$1326,MATCH(J1023,'Match Groups'!$A$5:$A$1326,0))</f>
        <v>MATCH</v>
      </c>
    </row>
    <row r="1024">
      <c r="A1024" t="inlineStr">
        <is>
          <t>JI-00297</t>
        </is>
      </c>
      <c r="B1024" t="inlineStr">
        <is>
          <t>OPS</t>
        </is>
      </c>
      <c r="C1024" s="5" t="n">
        <v>46217</v>
      </c>
      <c r="D1024" t="inlineStr">
        <is>
          <t>Ironbark Plan Management</t>
        </is>
      </c>
      <c r="E1024" t="inlineStr">
        <is>
          <t>INV/2026/01714</t>
        </is>
      </c>
      <c r="F1024" t="inlineStr">
        <is>
          <t>Customer payment INV/2026/01714</t>
        </is>
      </c>
      <c r="G1024" s="9" t="n">
        <v>193.99</v>
      </c>
      <c r="H1024" t="inlineStr">
        <is>
          <t>customer_payment</t>
        </is>
      </c>
      <c r="I1024" t="inlineStr"/>
      <c r="J1024" t="inlineStr">
        <is>
          <t>G00144</t>
        </is>
      </c>
      <c r="K1024" t="str">
        <f>INDEX('Match Groups'!$D$5:$D$1326,MATCH(J1024,'Match Groups'!$A$5:$A$1326,0))</f>
        <v>MATCH</v>
      </c>
    </row>
    <row r="1025">
      <c r="A1025" t="inlineStr">
        <is>
          <t>JI-00298</t>
        </is>
      </c>
      <c r="B1025" t="inlineStr">
        <is>
          <t>OPS</t>
        </is>
      </c>
      <c r="C1025" s="5" t="n">
        <v>46217</v>
      </c>
      <c r="D1025" t="inlineStr">
        <is>
          <t>Ironbark Plan Management</t>
        </is>
      </c>
      <c r="E1025" t="inlineStr">
        <is>
          <t>INV/2026/01715</t>
        </is>
      </c>
      <c r="F1025" t="inlineStr">
        <is>
          <t>Customer payment INV/2026/01715</t>
        </is>
      </c>
      <c r="G1025" s="9" t="n">
        <v>387.98</v>
      </c>
      <c r="H1025" t="inlineStr">
        <is>
          <t>customer_payment</t>
        </is>
      </c>
      <c r="I1025" t="inlineStr"/>
      <c r="J1025" t="inlineStr">
        <is>
          <t>G00144</t>
        </is>
      </c>
      <c r="K1025" t="str">
        <f>INDEX('Match Groups'!$D$5:$D$1326,MATCH(J1025,'Match Groups'!$A$5:$A$1326,0))</f>
        <v>MATCH</v>
      </c>
    </row>
    <row r="1026">
      <c r="A1026" t="inlineStr">
        <is>
          <t>JI-00299</t>
        </is>
      </c>
      <c r="B1026" t="inlineStr">
        <is>
          <t>OPS</t>
        </is>
      </c>
      <c r="C1026" s="5" t="n">
        <v>46217</v>
      </c>
      <c r="D1026" t="inlineStr">
        <is>
          <t>Ironbark Plan Management</t>
        </is>
      </c>
      <c r="E1026" t="inlineStr">
        <is>
          <t>INV/2026/01716</t>
        </is>
      </c>
      <c r="F1026" t="inlineStr">
        <is>
          <t>Customer payment INV/2026/01716</t>
        </is>
      </c>
      <c r="G1026" s="9" t="n">
        <v>446.18</v>
      </c>
      <c r="H1026" t="inlineStr">
        <is>
          <t>customer_payment</t>
        </is>
      </c>
      <c r="I1026" t="inlineStr"/>
      <c r="J1026" t="inlineStr">
        <is>
          <t>G00144</t>
        </is>
      </c>
      <c r="K1026" t="str">
        <f>INDEX('Match Groups'!$D$5:$D$1326,MATCH(J1026,'Match Groups'!$A$5:$A$1326,0))</f>
        <v>MATCH</v>
      </c>
    </row>
    <row r="1027">
      <c r="A1027" t="inlineStr">
        <is>
          <t>JI-00300</t>
        </is>
      </c>
      <c r="B1027" t="inlineStr">
        <is>
          <t>OPS</t>
        </is>
      </c>
      <c r="C1027" s="5" t="n">
        <v>46217</v>
      </c>
      <c r="D1027" t="inlineStr">
        <is>
          <t>Ironbark Plan Management</t>
        </is>
      </c>
      <c r="E1027" t="inlineStr">
        <is>
          <t>INV/2026/01736</t>
        </is>
      </c>
      <c r="F1027" t="inlineStr">
        <is>
          <t>Customer payment INV/2026/01736</t>
        </is>
      </c>
      <c r="G1027" s="9" t="n">
        <v>193.99</v>
      </c>
      <c r="H1027" t="inlineStr">
        <is>
          <t>customer_payment</t>
        </is>
      </c>
      <c r="I1027" t="inlineStr"/>
      <c r="J1027" t="inlineStr">
        <is>
          <t>G00144</t>
        </is>
      </c>
      <c r="K1027" t="str">
        <f>INDEX('Match Groups'!$D$5:$D$1326,MATCH(J1027,'Match Groups'!$A$5:$A$1326,0))</f>
        <v>MATCH</v>
      </c>
    </row>
    <row r="1028">
      <c r="A1028" t="inlineStr">
        <is>
          <t>JI-00301</t>
        </is>
      </c>
      <c r="B1028" t="inlineStr">
        <is>
          <t>OPS</t>
        </is>
      </c>
      <c r="C1028" s="5" t="n">
        <v>46217</v>
      </c>
      <c r="D1028" t="inlineStr">
        <is>
          <t>Kookaburra Plan Support</t>
        </is>
      </c>
      <c r="E1028" t="inlineStr">
        <is>
          <t>INV/2026/01647</t>
        </is>
      </c>
      <c r="F1028" t="inlineStr">
        <is>
          <t>Customer payment INV/2026/01647</t>
        </is>
      </c>
      <c r="G1028" s="9" t="n">
        <v>387.98</v>
      </c>
      <c r="H1028" t="inlineStr">
        <is>
          <t>customer_payment</t>
        </is>
      </c>
      <c r="I1028" t="inlineStr"/>
      <c r="J1028" t="inlineStr">
        <is>
          <t>G00145</t>
        </is>
      </c>
      <c r="K1028" t="str">
        <f>INDEX('Match Groups'!$D$5:$D$1326,MATCH(J1028,'Match Groups'!$A$5:$A$1326,0))</f>
        <v>MATCH</v>
      </c>
    </row>
    <row r="1029">
      <c r="A1029" t="inlineStr">
        <is>
          <t>JI-00302</t>
        </is>
      </c>
      <c r="B1029" t="inlineStr">
        <is>
          <t>OPS</t>
        </is>
      </c>
      <c r="C1029" s="5" t="n">
        <v>46217</v>
      </c>
      <c r="D1029" t="inlineStr">
        <is>
          <t>Kookaburra Plan Support</t>
        </is>
      </c>
      <c r="E1029" t="inlineStr">
        <is>
          <t>INV/2026/01648</t>
        </is>
      </c>
      <c r="F1029" t="inlineStr">
        <is>
          <t>Customer payment INV/2026/01648</t>
        </is>
      </c>
      <c r="G1029" s="9" t="n">
        <v>193.99</v>
      </c>
      <c r="H1029" t="inlineStr">
        <is>
          <t>customer_payment</t>
        </is>
      </c>
      <c r="I1029" t="inlineStr"/>
      <c r="J1029" t="inlineStr">
        <is>
          <t>G00145</t>
        </is>
      </c>
      <c r="K1029" t="str">
        <f>INDEX('Match Groups'!$D$5:$D$1326,MATCH(J1029,'Match Groups'!$A$5:$A$1326,0))</f>
        <v>MATCH</v>
      </c>
    </row>
    <row r="1030">
      <c r="A1030" t="inlineStr">
        <is>
          <t>JI-00303</t>
        </is>
      </c>
      <c r="B1030" t="inlineStr">
        <is>
          <t>OPS</t>
        </is>
      </c>
      <c r="C1030" s="5" t="n">
        <v>46217</v>
      </c>
      <c r="D1030" t="inlineStr">
        <is>
          <t>Kookaburra Plan Support</t>
        </is>
      </c>
      <c r="E1030" t="inlineStr">
        <is>
          <t>INV/2026/01672</t>
        </is>
      </c>
      <c r="F1030" t="inlineStr">
        <is>
          <t>Customer payment INV/2026/01672</t>
        </is>
      </c>
      <c r="G1030" s="9" t="n">
        <v>387.98</v>
      </c>
      <c r="H1030" t="inlineStr">
        <is>
          <t>customer_payment</t>
        </is>
      </c>
      <c r="I1030" t="inlineStr"/>
      <c r="J1030" t="inlineStr">
        <is>
          <t>G00145</t>
        </is>
      </c>
      <c r="K1030" t="str">
        <f>INDEX('Match Groups'!$D$5:$D$1326,MATCH(J1030,'Match Groups'!$A$5:$A$1326,0))</f>
        <v>MATCH</v>
      </c>
    </row>
    <row r="1031">
      <c r="A1031" t="inlineStr">
        <is>
          <t>JI-00304</t>
        </is>
      </c>
      <c r="B1031" t="inlineStr">
        <is>
          <t>OPS</t>
        </is>
      </c>
      <c r="C1031" s="5" t="n">
        <v>46217</v>
      </c>
      <c r="D1031" t="inlineStr">
        <is>
          <t>Kookaburra Plan Support</t>
        </is>
      </c>
      <c r="E1031" t="inlineStr">
        <is>
          <t>INV/2026/01693</t>
        </is>
      </c>
      <c r="F1031" t="inlineStr">
        <is>
          <t>Customer payment INV/2026/01693</t>
        </is>
      </c>
      <c r="G1031" s="9" t="n">
        <v>349.18</v>
      </c>
      <c r="H1031" t="inlineStr">
        <is>
          <t>customer_payment</t>
        </is>
      </c>
      <c r="I1031" t="inlineStr"/>
      <c r="J1031" t="inlineStr">
        <is>
          <t>G00145</t>
        </is>
      </c>
      <c r="K1031" t="str">
        <f>INDEX('Match Groups'!$D$5:$D$1326,MATCH(J1031,'Match Groups'!$A$5:$A$1326,0))</f>
        <v>MATCH</v>
      </c>
    </row>
    <row r="1032">
      <c r="A1032" t="inlineStr">
        <is>
          <t>JI-00305</t>
        </is>
      </c>
      <c r="B1032" t="inlineStr">
        <is>
          <t>OPS</t>
        </is>
      </c>
      <c r="C1032" s="5" t="n">
        <v>46217</v>
      </c>
      <c r="D1032" t="inlineStr">
        <is>
          <t>Saltbush Plan Managers</t>
        </is>
      </c>
      <c r="E1032" t="inlineStr">
        <is>
          <t>INV/2026/01673</t>
        </is>
      </c>
      <c r="F1032" t="inlineStr">
        <is>
          <t>Customer payment INV/2026/01673</t>
        </is>
      </c>
      <c r="G1032" s="9" t="n">
        <v>193.99</v>
      </c>
      <c r="H1032" t="inlineStr">
        <is>
          <t>customer_payment</t>
        </is>
      </c>
      <c r="I1032" t="inlineStr"/>
      <c r="J1032" t="inlineStr">
        <is>
          <t>G00146</t>
        </is>
      </c>
      <c r="K1032" t="str">
        <f>INDEX('Match Groups'!$D$5:$D$1326,MATCH(J1032,'Match Groups'!$A$5:$A$1326,0))</f>
        <v>MATCH</v>
      </c>
    </row>
    <row r="1033">
      <c r="A1033" t="inlineStr">
        <is>
          <t>JI-00306</t>
        </is>
      </c>
      <c r="B1033" t="inlineStr">
        <is>
          <t>OPS</t>
        </is>
      </c>
      <c r="C1033" s="5" t="n">
        <v>46217</v>
      </c>
      <c r="D1033" t="inlineStr">
        <is>
          <t>Saltbush Plan Managers</t>
        </is>
      </c>
      <c r="E1033" t="inlineStr">
        <is>
          <t>INV/2026/01674</t>
        </is>
      </c>
      <c r="F1033" t="inlineStr">
        <is>
          <t>Customer payment INV/2026/01674</t>
        </is>
      </c>
      <c r="G1033" s="9" t="n">
        <v>193.99</v>
      </c>
      <c r="H1033" t="inlineStr">
        <is>
          <t>customer_payment</t>
        </is>
      </c>
      <c r="I1033" t="inlineStr"/>
      <c r="J1033" t="inlineStr">
        <is>
          <t>G00146</t>
        </is>
      </c>
      <c r="K1033" t="str">
        <f>INDEX('Match Groups'!$D$5:$D$1326,MATCH(J1033,'Match Groups'!$A$5:$A$1326,0))</f>
        <v>MATCH</v>
      </c>
    </row>
    <row r="1034">
      <c r="A1034" t="inlineStr">
        <is>
          <t>JI-00307</t>
        </is>
      </c>
      <c r="B1034" t="inlineStr">
        <is>
          <t>OPS</t>
        </is>
      </c>
      <c r="C1034" s="5" t="n">
        <v>46217</v>
      </c>
      <c r="D1034" t="inlineStr">
        <is>
          <t>Saltbush Plan Managers</t>
        </is>
      </c>
      <c r="E1034" t="inlineStr">
        <is>
          <t>INV/2026/01695</t>
        </is>
      </c>
      <c r="F1034" t="inlineStr">
        <is>
          <t>Customer payment INV/2026/01695</t>
        </is>
      </c>
      <c r="G1034" s="9" t="n">
        <v>290.98</v>
      </c>
      <c r="H1034" t="inlineStr">
        <is>
          <t>customer_payment</t>
        </is>
      </c>
      <c r="I1034" t="inlineStr"/>
      <c r="J1034" t="inlineStr">
        <is>
          <t>G00146</t>
        </is>
      </c>
      <c r="K1034" t="str">
        <f>INDEX('Match Groups'!$D$5:$D$1326,MATCH(J1034,'Match Groups'!$A$5:$A$1326,0))</f>
        <v>MATCH</v>
      </c>
    </row>
    <row r="1035">
      <c r="A1035" t="inlineStr">
        <is>
          <t>JI-00308</t>
        </is>
      </c>
      <c r="B1035" t="inlineStr">
        <is>
          <t>OPS</t>
        </is>
      </c>
      <c r="C1035" s="5" t="n">
        <v>46217</v>
      </c>
      <c r="D1035" t="inlineStr">
        <is>
          <t>Saltbush Plan Managers</t>
        </is>
      </c>
      <c r="E1035" t="inlineStr">
        <is>
          <t>INV/2026/01696</t>
        </is>
      </c>
      <c r="F1035" t="inlineStr">
        <is>
          <t>Customer payment INV/2026/01696</t>
        </is>
      </c>
      <c r="G1035" s="9" t="n">
        <v>290.98</v>
      </c>
      <c r="H1035" t="inlineStr">
        <is>
          <t>customer_payment</t>
        </is>
      </c>
      <c r="I1035" t="inlineStr"/>
      <c r="J1035" t="inlineStr">
        <is>
          <t>G00146</t>
        </is>
      </c>
      <c r="K1035" t="str">
        <f>INDEX('Match Groups'!$D$5:$D$1326,MATCH(J1035,'Match Groups'!$A$5:$A$1326,0))</f>
        <v>MATCH</v>
      </c>
    </row>
    <row r="1036">
      <c r="A1036" t="inlineStr">
        <is>
          <t>JI-00309</t>
        </is>
      </c>
      <c r="B1036" t="inlineStr">
        <is>
          <t>OPS</t>
        </is>
      </c>
      <c r="C1036" s="5" t="n">
        <v>46217</v>
      </c>
      <c r="D1036" t="inlineStr">
        <is>
          <t>Saltbush Plan Managers</t>
        </is>
      </c>
      <c r="E1036" t="inlineStr">
        <is>
          <t>INV/2026/01719</t>
        </is>
      </c>
      <c r="F1036" t="inlineStr">
        <is>
          <t>Customer payment INV/2026/01719</t>
        </is>
      </c>
      <c r="G1036" s="9" t="n">
        <v>145.49</v>
      </c>
      <c r="H1036" t="inlineStr">
        <is>
          <t>customer_payment</t>
        </is>
      </c>
      <c r="I1036" t="inlineStr"/>
      <c r="J1036" t="inlineStr">
        <is>
          <t>G00146</t>
        </is>
      </c>
      <c r="K1036" t="str">
        <f>INDEX('Match Groups'!$D$5:$D$1326,MATCH(J1036,'Match Groups'!$A$5:$A$1326,0))</f>
        <v>MATCH</v>
      </c>
    </row>
    <row r="1037">
      <c r="A1037" t="inlineStr">
        <is>
          <t>JI-00310</t>
        </is>
      </c>
      <c r="B1037" t="inlineStr">
        <is>
          <t>OPS</t>
        </is>
      </c>
      <c r="C1037" s="5" t="n">
        <v>46217</v>
      </c>
      <c r="D1037" t="inlineStr">
        <is>
          <t>Saltbush Plan Managers</t>
        </is>
      </c>
      <c r="E1037" t="inlineStr">
        <is>
          <t>INV/2026/01720</t>
        </is>
      </c>
      <c r="F1037" t="inlineStr">
        <is>
          <t>Customer payment INV/2026/01720</t>
        </is>
      </c>
      <c r="G1037" s="9" t="n">
        <v>417.98</v>
      </c>
      <c r="H1037" t="inlineStr">
        <is>
          <t>customer_payment</t>
        </is>
      </c>
      <c r="I1037" t="inlineStr"/>
      <c r="J1037" t="inlineStr">
        <is>
          <t>G00146</t>
        </is>
      </c>
      <c r="K1037" t="str">
        <f>INDEX('Match Groups'!$D$5:$D$1326,MATCH(J1037,'Match Groups'!$A$5:$A$1326,0))</f>
        <v>MATCH</v>
      </c>
    </row>
    <row r="1038">
      <c r="A1038" t="inlineStr">
        <is>
          <t>JI-00311</t>
        </is>
      </c>
      <c r="B1038" t="inlineStr">
        <is>
          <t>OPS</t>
        </is>
      </c>
      <c r="C1038" s="5" t="n">
        <v>46217</v>
      </c>
      <c r="D1038" t="inlineStr">
        <is>
          <t>Saltbush Plan Managers</t>
        </is>
      </c>
      <c r="E1038" t="inlineStr">
        <is>
          <t>INV/2026/01761</t>
        </is>
      </c>
      <c r="F1038" t="inlineStr">
        <is>
          <t>Customer payment INV/2026/01761</t>
        </is>
      </c>
      <c r="G1038" s="9" t="n">
        <v>145.49</v>
      </c>
      <c r="H1038" t="inlineStr">
        <is>
          <t>customer_payment</t>
        </is>
      </c>
      <c r="I1038" t="inlineStr"/>
      <c r="J1038" t="inlineStr">
        <is>
          <t>G00146</t>
        </is>
      </c>
      <c r="K1038" t="str">
        <f>INDEX('Match Groups'!$D$5:$D$1326,MATCH(J1038,'Match Groups'!$A$5:$A$1326,0))</f>
        <v>MATCH</v>
      </c>
    </row>
    <row r="1039">
      <c r="A1039" t="inlineStr">
        <is>
          <t>JI-00312</t>
        </is>
      </c>
      <c r="B1039" t="inlineStr">
        <is>
          <t>OPS</t>
        </is>
      </c>
      <c r="C1039" s="5" t="n">
        <v>46217</v>
      </c>
      <c r="D1039" t="inlineStr">
        <is>
          <t>Saltbush Plan Managers</t>
        </is>
      </c>
      <c r="E1039" t="inlineStr">
        <is>
          <t>INV/2026/01762</t>
        </is>
      </c>
      <c r="F1039" t="inlineStr">
        <is>
          <t>Customer payment INV/2026/01762</t>
        </is>
      </c>
      <c r="G1039" s="9" t="n">
        <v>242.49</v>
      </c>
      <c r="H1039" t="inlineStr">
        <is>
          <t>customer_payment</t>
        </is>
      </c>
      <c r="I1039" t="inlineStr"/>
      <c r="J1039" t="inlineStr">
        <is>
          <t>G00146</t>
        </is>
      </c>
      <c r="K1039" t="str">
        <f>INDEX('Match Groups'!$D$5:$D$1326,MATCH(J1039,'Match Groups'!$A$5:$A$1326,0))</f>
        <v>MATCH</v>
      </c>
    </row>
    <row r="1040">
      <c r="A1040" t="inlineStr">
        <is>
          <t>JI-00313</t>
        </is>
      </c>
      <c r="B1040" t="inlineStr">
        <is>
          <t>OPS</t>
        </is>
      </c>
      <c r="C1040" s="5" t="n">
        <v>46217</v>
      </c>
      <c r="D1040" t="inlineStr">
        <is>
          <t>Saltbush Plan Managers</t>
        </is>
      </c>
      <c r="E1040" t="inlineStr">
        <is>
          <t>INV/2026/01785</t>
        </is>
      </c>
      <c r="F1040" t="inlineStr">
        <is>
          <t>Customer payment INV/2026/01785</t>
        </is>
      </c>
      <c r="G1040" s="9" t="n">
        <v>96.98999999999999</v>
      </c>
      <c r="H1040" t="inlineStr">
        <is>
          <t>customer_payment</t>
        </is>
      </c>
      <c r="I1040" t="inlineStr"/>
      <c r="J1040" t="inlineStr">
        <is>
          <t>G00146</t>
        </is>
      </c>
      <c r="K1040" t="str">
        <f>INDEX('Match Groups'!$D$5:$D$1326,MATCH(J1040,'Match Groups'!$A$5:$A$1326,0))</f>
        <v>MATCH</v>
      </c>
    </row>
    <row r="1041">
      <c r="A1041" t="inlineStr">
        <is>
          <t>JI-00314</t>
        </is>
      </c>
      <c r="B1041" t="inlineStr">
        <is>
          <t>OPS</t>
        </is>
      </c>
      <c r="C1041" s="5" t="n">
        <v>46217</v>
      </c>
      <c r="D1041" t="inlineStr">
        <is>
          <t>Saltbush Plan Managers</t>
        </is>
      </c>
      <c r="E1041" t="inlineStr">
        <is>
          <t>INV/2026/01808</t>
        </is>
      </c>
      <c r="F1041" t="inlineStr">
        <is>
          <t>Customer payment INV/2026/01808</t>
        </is>
      </c>
      <c r="G1041" s="9" t="n">
        <v>446.18</v>
      </c>
      <c r="H1041" t="inlineStr">
        <is>
          <t>customer_payment</t>
        </is>
      </c>
      <c r="I1041" t="inlineStr"/>
      <c r="J1041" t="inlineStr">
        <is>
          <t>G00146</t>
        </is>
      </c>
      <c r="K1041" t="str">
        <f>INDEX('Match Groups'!$D$5:$D$1326,MATCH(J1041,'Match Groups'!$A$5:$A$1326,0))</f>
        <v>MATCH</v>
      </c>
    </row>
    <row r="1042">
      <c r="A1042" t="inlineStr">
        <is>
          <t>JI-00315</t>
        </is>
      </c>
      <c r="B1042" t="inlineStr">
        <is>
          <t>OPS</t>
        </is>
      </c>
      <c r="C1042" s="5" t="n">
        <v>46217</v>
      </c>
      <c r="D1042" t="inlineStr">
        <is>
          <t>Saltbush Plan Managers</t>
        </is>
      </c>
      <c r="E1042" t="inlineStr">
        <is>
          <t>INV/2026/01829</t>
        </is>
      </c>
      <c r="F1042" t="inlineStr">
        <is>
          <t>Customer payment INV/2026/01829</t>
        </is>
      </c>
      <c r="G1042" s="9" t="n">
        <v>290.98</v>
      </c>
      <c r="H1042" t="inlineStr">
        <is>
          <t>customer_payment</t>
        </is>
      </c>
      <c r="I1042" t="inlineStr"/>
      <c r="J1042" t="inlineStr">
        <is>
          <t>G00146</t>
        </is>
      </c>
      <c r="K1042" t="str">
        <f>INDEX('Match Groups'!$D$5:$D$1326,MATCH(J1042,'Match Groups'!$A$5:$A$1326,0))</f>
        <v>MATCH</v>
      </c>
    </row>
    <row r="1043">
      <c r="A1043" t="inlineStr">
        <is>
          <t>JI-00316</t>
        </is>
      </c>
      <c r="B1043" t="inlineStr">
        <is>
          <t>OPS</t>
        </is>
      </c>
      <c r="C1043" s="5" t="n">
        <v>46217</v>
      </c>
      <c r="D1043" t="inlineStr">
        <is>
          <t>Saltbush Plan Managers</t>
        </is>
      </c>
      <c r="E1043" t="inlineStr">
        <is>
          <t>INV/2026/01830</t>
        </is>
      </c>
      <c r="F1043" t="inlineStr">
        <is>
          <t>Customer payment INV/2026/01830</t>
        </is>
      </c>
      <c r="G1043" s="9" t="n">
        <v>417.98</v>
      </c>
      <c r="H1043" t="inlineStr">
        <is>
          <t>customer_payment</t>
        </is>
      </c>
      <c r="I1043" t="inlineStr"/>
      <c r="J1043" t="inlineStr">
        <is>
          <t>G00146</t>
        </is>
      </c>
      <c r="K1043" t="str">
        <f>INDEX('Match Groups'!$D$5:$D$1326,MATCH(J1043,'Match Groups'!$A$5:$A$1326,0))</f>
        <v>MATCH</v>
      </c>
    </row>
    <row r="1044">
      <c r="A1044" t="inlineStr">
        <is>
          <t>JI-00317</t>
        </is>
      </c>
      <c r="B1044" t="inlineStr">
        <is>
          <t>OPS</t>
        </is>
      </c>
      <c r="C1044" s="5" t="n">
        <v>46217</v>
      </c>
      <c r="D1044" t="inlineStr">
        <is>
          <t>Lyrebird Plan Management</t>
        </is>
      </c>
      <c r="E1044" t="inlineStr">
        <is>
          <t>INV/2026/01834</t>
        </is>
      </c>
      <c r="F1044" t="inlineStr">
        <is>
          <t>Customer payment INV/2026/01834</t>
        </is>
      </c>
      <c r="G1044" s="9" t="n">
        <v>417.98</v>
      </c>
      <c r="H1044" t="inlineStr">
        <is>
          <t>customer_payment</t>
        </is>
      </c>
      <c r="I1044" t="inlineStr"/>
      <c r="J1044" t="inlineStr">
        <is>
          <t>G00147</t>
        </is>
      </c>
      <c r="K1044" t="str">
        <f>INDEX('Match Groups'!$D$5:$D$1326,MATCH(J1044,'Match Groups'!$A$5:$A$1326,0))</f>
        <v>MATCH</v>
      </c>
    </row>
    <row r="1045">
      <c r="A1045" t="inlineStr">
        <is>
          <t>JI-00318</t>
        </is>
      </c>
      <c r="B1045" t="inlineStr">
        <is>
          <t>OPS</t>
        </is>
      </c>
      <c r="C1045" s="5" t="n">
        <v>46217</v>
      </c>
      <c r="D1045" t="inlineStr">
        <is>
          <t>Lyrebird Plan Management</t>
        </is>
      </c>
      <c r="E1045" t="inlineStr">
        <is>
          <t>INV/2026/01835</t>
        </is>
      </c>
      <c r="F1045" t="inlineStr">
        <is>
          <t>Customer payment INV/2026/01835</t>
        </is>
      </c>
      <c r="G1045" s="9" t="n">
        <v>387.98</v>
      </c>
      <c r="H1045" t="inlineStr">
        <is>
          <t>customer_payment</t>
        </is>
      </c>
      <c r="I1045" t="inlineStr"/>
      <c r="J1045" t="inlineStr">
        <is>
          <t>G00147</t>
        </is>
      </c>
      <c r="K1045" t="str">
        <f>INDEX('Match Groups'!$D$5:$D$1326,MATCH(J1045,'Match Groups'!$A$5:$A$1326,0))</f>
        <v>MATCH</v>
      </c>
    </row>
    <row r="1046">
      <c r="A1046" t="inlineStr">
        <is>
          <t>JI-00322</t>
        </is>
      </c>
      <c r="B1046" t="inlineStr">
        <is>
          <t>OPS</t>
        </is>
      </c>
      <c r="C1046" s="5" t="n">
        <v>46217</v>
      </c>
      <c r="D1046" t="inlineStr">
        <is>
          <t>Riverbend Plan Partners</t>
        </is>
      </c>
      <c r="E1046" t="inlineStr">
        <is>
          <t>INV/2026/01874</t>
        </is>
      </c>
      <c r="F1046" t="inlineStr">
        <is>
          <t>Customer payment INV/2026/01874</t>
        </is>
      </c>
      <c r="G1046" s="9" t="n">
        <v>145.49</v>
      </c>
      <c r="H1046" t="inlineStr">
        <is>
          <t>customer_payment</t>
        </is>
      </c>
      <c r="I1046" t="inlineStr"/>
      <c r="J1046" t="inlineStr">
        <is>
          <t>G00149</t>
        </is>
      </c>
      <c r="K1046" t="str">
        <f>INDEX('Match Groups'!$D$5:$D$1326,MATCH(J1046,'Match Groups'!$A$5:$A$1326,0))</f>
        <v>MATCH</v>
      </c>
    </row>
    <row r="1047">
      <c r="A1047" t="inlineStr">
        <is>
          <t>JI-00323</t>
        </is>
      </c>
      <c r="B1047" t="inlineStr">
        <is>
          <t>OPS</t>
        </is>
      </c>
      <c r="C1047" s="5" t="n">
        <v>46217</v>
      </c>
      <c r="D1047" t="inlineStr">
        <is>
          <t>Riverbend Plan Partners</t>
        </is>
      </c>
      <c r="E1047" t="inlineStr">
        <is>
          <t>INV/2026/01875</t>
        </is>
      </c>
      <c r="F1047" t="inlineStr">
        <is>
          <t>Customer payment INV/2026/01875</t>
        </is>
      </c>
      <c r="G1047" s="9" t="n">
        <v>223.99</v>
      </c>
      <c r="H1047" t="inlineStr">
        <is>
          <t>customer_payment</t>
        </is>
      </c>
      <c r="I1047" t="inlineStr"/>
      <c r="J1047" t="inlineStr">
        <is>
          <t>G00149</t>
        </is>
      </c>
      <c r="K1047" t="str">
        <f>INDEX('Match Groups'!$D$5:$D$1326,MATCH(J1047,'Match Groups'!$A$5:$A$1326,0))</f>
        <v>MATCH</v>
      </c>
    </row>
    <row r="1048">
      <c r="A1048" t="inlineStr">
        <is>
          <t>JI-00324</t>
        </is>
      </c>
      <c r="B1048" t="inlineStr">
        <is>
          <t>OPS</t>
        </is>
      </c>
      <c r="C1048" s="5" t="n">
        <v>46217</v>
      </c>
      <c r="D1048" t="inlineStr">
        <is>
          <t>Riverbend Plan Partners</t>
        </is>
      </c>
      <c r="E1048" t="inlineStr">
        <is>
          <t>INV/2026/01894</t>
        </is>
      </c>
      <c r="F1048" t="inlineStr">
        <is>
          <t>Customer payment INV/2026/01894</t>
        </is>
      </c>
      <c r="G1048" s="9" t="n">
        <v>242.49</v>
      </c>
      <c r="H1048" t="inlineStr">
        <is>
          <t>customer_payment</t>
        </is>
      </c>
      <c r="I1048" t="inlineStr"/>
      <c r="J1048" t="inlineStr">
        <is>
          <t>G00149</t>
        </is>
      </c>
      <c r="K1048" t="str">
        <f>INDEX('Match Groups'!$D$5:$D$1326,MATCH(J1048,'Match Groups'!$A$5:$A$1326,0))</f>
        <v>MATCH</v>
      </c>
    </row>
    <row r="1049">
      <c r="A1049" t="inlineStr">
        <is>
          <t>JI-01571</t>
        </is>
      </c>
      <c r="B1049" t="inlineStr">
        <is>
          <t>OPS</t>
        </is>
      </c>
      <c r="C1049" s="5" t="n">
        <v>46217</v>
      </c>
      <c r="D1049" t="inlineStr">
        <is>
          <t>Unity Workcover Agents</t>
        </is>
      </c>
      <c r="E1049" t="inlineStr">
        <is>
          <t>INV/2026/01793</t>
        </is>
      </c>
      <c r="F1049" t="inlineStr">
        <is>
          <t>Customer payment INV/2026/01793</t>
        </is>
      </c>
      <c r="G1049" s="9" t="n">
        <v>412.5</v>
      </c>
      <c r="H1049" t="inlineStr">
        <is>
          <t>customer_payment</t>
        </is>
      </c>
      <c r="I1049" t="inlineStr"/>
      <c r="J1049" t="inlineStr">
        <is>
          <t>G00939</t>
        </is>
      </c>
      <c r="K1049" t="str">
        <f>INDEX('Match Groups'!$D$5:$D$1326,MATCH(J1049,'Match Groups'!$A$5:$A$1326,0))</f>
        <v>MATCH</v>
      </c>
    </row>
    <row r="1050">
      <c r="A1050" t="inlineStr">
        <is>
          <t>JI-01648</t>
        </is>
      </c>
      <c r="B1050" t="inlineStr">
        <is>
          <t>OPS</t>
        </is>
      </c>
      <c r="C1050" s="5" t="n">
        <v>46217</v>
      </c>
      <c r="D1050" t="inlineStr">
        <is>
          <t>Varga &amp; Holt Logistics</t>
        </is>
      </c>
      <c r="E1050" t="inlineStr">
        <is>
          <t>INV/2026/03411</t>
        </is>
      </c>
      <c r="F1050" t="inlineStr">
        <is>
          <t>Customer payment INV/2026/03411</t>
        </is>
      </c>
      <c r="G1050" s="9" t="n">
        <v>2640</v>
      </c>
      <c r="H1050" t="inlineStr">
        <is>
          <t>customer_payment</t>
        </is>
      </c>
      <c r="I1050" t="inlineStr"/>
      <c r="J1050" t="inlineStr">
        <is>
          <t>G00933</t>
        </is>
      </c>
      <c r="K1050" t="str">
        <f>INDEX('Match Groups'!$D$5:$D$1326,MATCH(J1050,'Match Groups'!$A$5:$A$1326,0))</f>
        <v>MATCH</v>
      </c>
    </row>
    <row r="1051">
      <c r="A1051" t="inlineStr">
        <is>
          <t>JI-01660</t>
        </is>
      </c>
      <c r="B1051" t="inlineStr">
        <is>
          <t>OPS</t>
        </is>
      </c>
      <c r="C1051" s="5" t="n">
        <v>46217</v>
      </c>
      <c r="D1051" t="inlineStr">
        <is>
          <t>Orchard Street Legal</t>
        </is>
      </c>
      <c r="E1051" t="inlineStr">
        <is>
          <t>INV/2026/03414</t>
        </is>
      </c>
      <c r="F1051" t="inlineStr">
        <is>
          <t>Customer payment INV/2026/03414</t>
        </is>
      </c>
      <c r="G1051" s="9" t="n">
        <v>3547.5</v>
      </c>
      <c r="H1051" t="inlineStr">
        <is>
          <t>customer_payment</t>
        </is>
      </c>
      <c r="I1051" t="inlineStr"/>
      <c r="J1051" t="inlineStr">
        <is>
          <t>G00940</t>
        </is>
      </c>
      <c r="K1051" t="str">
        <f>INDEX('Match Groups'!$D$5:$D$1326,MATCH(J1051,'Match Groups'!$A$5:$A$1326,0))</f>
        <v>MATCH</v>
      </c>
    </row>
    <row r="1052">
      <c r="A1052" t="inlineStr">
        <is>
          <t>JI-01663</t>
        </is>
      </c>
      <c r="B1052" t="inlineStr">
        <is>
          <t>OPS</t>
        </is>
      </c>
      <c r="C1052" s="5" t="n">
        <v>46217</v>
      </c>
      <c r="D1052" t="inlineStr">
        <is>
          <t>Calder Freight Group</t>
        </is>
      </c>
      <c r="E1052" t="inlineStr">
        <is>
          <t>INV/2026/03416</t>
        </is>
      </c>
      <c r="F1052" t="inlineStr">
        <is>
          <t>Customer payment INV/2026/03416</t>
        </is>
      </c>
      <c r="G1052" s="9" t="n">
        <v>3465</v>
      </c>
      <c r="H1052" t="inlineStr">
        <is>
          <t>customer_payment</t>
        </is>
      </c>
      <c r="I1052" t="inlineStr"/>
      <c r="J1052" t="inlineStr">
        <is>
          <t>G00935</t>
        </is>
      </c>
      <c r="K1052" t="str">
        <f>INDEX('Match Groups'!$D$5:$D$1326,MATCH(J1052,'Match Groups'!$A$5:$A$1326,0))</f>
        <v>MATCH</v>
      </c>
    </row>
    <row r="1053">
      <c r="A1053" t="inlineStr">
        <is>
          <t>JI-01744</t>
        </is>
      </c>
      <c r="B1053" t="inlineStr">
        <is>
          <t>OPS</t>
        </is>
      </c>
      <c r="C1053" s="5" t="n">
        <v>46217</v>
      </c>
      <c r="D1053" t="inlineStr">
        <is>
          <t>Lockhart Glass</t>
        </is>
      </c>
      <c r="E1053" t="inlineStr">
        <is>
          <t>INV/2026/03449</t>
        </is>
      </c>
      <c r="F1053" t="inlineStr">
        <is>
          <t>Customer payment INV/2026/03449</t>
        </is>
      </c>
      <c r="G1053" s="9" t="n">
        <v>5280</v>
      </c>
      <c r="H1053" t="inlineStr">
        <is>
          <t>customer_payment</t>
        </is>
      </c>
      <c r="I1053" t="inlineStr"/>
      <c r="J1053" t="inlineStr">
        <is>
          <t>G01125</t>
        </is>
      </c>
      <c r="K1053" t="str">
        <f>INDEX('Match Groups'!$D$5:$D$1326,MATCH(J1053,'Match Groups'!$A$5:$A$1326,0))</f>
        <v>MATCH</v>
      </c>
    </row>
    <row r="1054">
      <c r="A1054" t="inlineStr">
        <is>
          <t>JI-01768</t>
        </is>
      </c>
      <c r="B1054" t="inlineStr">
        <is>
          <t>OPS</t>
        </is>
      </c>
      <c r="C1054" s="5" t="n">
        <v>46217</v>
      </c>
      <c r="D1054" t="inlineStr">
        <is>
          <t>Stanhope Trucking</t>
        </is>
      </c>
      <c r="E1054" t="inlineStr">
        <is>
          <t>INV/2026/03460</t>
        </is>
      </c>
      <c r="F1054" t="inlineStr">
        <is>
          <t>Customer payment INV/2026/03460</t>
        </is>
      </c>
      <c r="G1054" s="9" t="n">
        <v>16032.5</v>
      </c>
      <c r="H1054" t="inlineStr">
        <is>
          <t>customer_payment</t>
        </is>
      </c>
      <c r="I1054" t="inlineStr"/>
      <c r="J1054" t="inlineStr">
        <is>
          <t>G00938</t>
        </is>
      </c>
      <c r="K1054" t="str">
        <f>INDEX('Match Groups'!$D$5:$D$1326,MATCH(J1054,'Match Groups'!$A$5:$A$1326,0))</f>
        <v>MATCH</v>
      </c>
    </row>
    <row r="1055">
      <c r="A1055" t="inlineStr">
        <is>
          <t>JI-02083</t>
        </is>
      </c>
      <c r="B1055" t="inlineStr">
        <is>
          <t>OPS</t>
        </is>
      </c>
      <c r="C1055" s="5" t="n">
        <v>46217</v>
      </c>
      <c r="D1055" t="inlineStr">
        <is>
          <t>Stripe patient 23765</t>
        </is>
      </c>
      <c r="E1055" t="inlineStr">
        <is>
          <t>INV/2026/03930</t>
        </is>
      </c>
      <c r="F1055" t="inlineStr">
        <is>
          <t>Customer payment INV/2026/03930</t>
        </is>
      </c>
      <c r="G1055" s="9" t="n">
        <v>65</v>
      </c>
      <c r="H1055" t="inlineStr">
        <is>
          <t>customer_payment</t>
        </is>
      </c>
      <c r="I1055" t="inlineStr"/>
      <c r="J1055" t="inlineStr">
        <is>
          <t>G00025</t>
        </is>
      </c>
      <c r="K1055" t="str">
        <f>INDEX('Match Groups'!$D$5:$D$1326,MATCH(J1055,'Match Groups'!$A$5:$A$1326,0))</f>
        <v>STRIPE-FEE</v>
      </c>
    </row>
    <row r="1056">
      <c r="A1056" t="inlineStr">
        <is>
          <t>JI-02084</t>
        </is>
      </c>
      <c r="B1056" t="inlineStr">
        <is>
          <t>OPS</t>
        </is>
      </c>
      <c r="C1056" s="5" t="n">
        <v>46217</v>
      </c>
      <c r="D1056" t="inlineStr">
        <is>
          <t>Stripe patient 90872</t>
        </is>
      </c>
      <c r="E1056" t="inlineStr">
        <is>
          <t>INV/2026/03931</t>
        </is>
      </c>
      <c r="F1056" t="inlineStr">
        <is>
          <t>Customer payment INV/2026/03931</t>
        </is>
      </c>
      <c r="G1056" s="9" t="n">
        <v>110</v>
      </c>
      <c r="H1056" t="inlineStr">
        <is>
          <t>customer_payment</t>
        </is>
      </c>
      <c r="I1056" t="inlineStr"/>
      <c r="J1056" t="inlineStr">
        <is>
          <t>G00025</t>
        </is>
      </c>
      <c r="K1056" t="str">
        <f>INDEX('Match Groups'!$D$5:$D$1326,MATCH(J1056,'Match Groups'!$A$5:$A$1326,0))</f>
        <v>STRIPE-FEE</v>
      </c>
    </row>
    <row r="1057">
      <c r="A1057" t="inlineStr">
        <is>
          <t>JI-02085</t>
        </is>
      </c>
      <c r="B1057" t="inlineStr">
        <is>
          <t>OPS</t>
        </is>
      </c>
      <c r="C1057" s="5" t="n">
        <v>46217</v>
      </c>
      <c r="D1057" t="inlineStr">
        <is>
          <t>Stripe patient 59800</t>
        </is>
      </c>
      <c r="E1057" t="inlineStr">
        <is>
          <t>INV/2026/03932</t>
        </is>
      </c>
      <c r="F1057" t="inlineStr">
        <is>
          <t>Customer payment INV/2026/03932</t>
        </is>
      </c>
      <c r="G1057" s="9" t="n">
        <v>220</v>
      </c>
      <c r="H1057" t="inlineStr">
        <is>
          <t>customer_payment</t>
        </is>
      </c>
      <c r="I1057" t="inlineStr"/>
      <c r="J1057" t="inlineStr">
        <is>
          <t>G00025</t>
        </is>
      </c>
      <c r="K1057" t="str">
        <f>INDEX('Match Groups'!$D$5:$D$1326,MATCH(J1057,'Match Groups'!$A$5:$A$1326,0))</f>
        <v>STRIPE-FEE</v>
      </c>
    </row>
    <row r="1058">
      <c r="A1058" t="inlineStr">
        <is>
          <t>JI-02086</t>
        </is>
      </c>
      <c r="B1058" t="inlineStr">
        <is>
          <t>OPS</t>
        </is>
      </c>
      <c r="C1058" s="5" t="n">
        <v>46217</v>
      </c>
      <c r="D1058" t="inlineStr">
        <is>
          <t>Stripe patient 97996</t>
        </is>
      </c>
      <c r="E1058" t="inlineStr">
        <is>
          <t>INV/2026/03933</t>
        </is>
      </c>
      <c r="F1058" t="inlineStr">
        <is>
          <t>Customer payment INV/2026/03933</t>
        </is>
      </c>
      <c r="G1058" s="9" t="n">
        <v>65</v>
      </c>
      <c r="H1058" t="inlineStr">
        <is>
          <t>customer_payment</t>
        </is>
      </c>
      <c r="I1058" t="inlineStr"/>
      <c r="J1058" t="inlineStr">
        <is>
          <t>G00025</t>
        </is>
      </c>
      <c r="K1058" t="str">
        <f>INDEX('Match Groups'!$D$5:$D$1326,MATCH(J1058,'Match Groups'!$A$5:$A$1326,0))</f>
        <v>STRIPE-FEE</v>
      </c>
    </row>
    <row r="1059">
      <c r="A1059" t="inlineStr">
        <is>
          <t>JI-02087</t>
        </is>
      </c>
      <c r="B1059" t="inlineStr">
        <is>
          <t>OPS</t>
        </is>
      </c>
      <c r="C1059" s="5" t="n">
        <v>46217</v>
      </c>
      <c r="D1059" t="inlineStr">
        <is>
          <t>Stripe patient 11003</t>
        </is>
      </c>
      <c r="E1059" t="inlineStr">
        <is>
          <t>INV/2026/03934</t>
        </is>
      </c>
      <c r="F1059" t="inlineStr">
        <is>
          <t>Customer payment INV/2026/03934</t>
        </is>
      </c>
      <c r="G1059" s="9" t="n">
        <v>150</v>
      </c>
      <c r="H1059" t="inlineStr">
        <is>
          <t>customer_payment</t>
        </is>
      </c>
      <c r="I1059" t="inlineStr"/>
      <c r="J1059" t="inlineStr">
        <is>
          <t>G00025</t>
        </is>
      </c>
      <c r="K1059" t="str">
        <f>INDEX('Match Groups'!$D$5:$D$1326,MATCH(J1059,'Match Groups'!$A$5:$A$1326,0))</f>
        <v>STRIPE-FEE</v>
      </c>
    </row>
    <row r="1060">
      <c r="A1060" t="inlineStr">
        <is>
          <t>JI-02088</t>
        </is>
      </c>
      <c r="B1060" t="inlineStr">
        <is>
          <t>OPS</t>
        </is>
      </c>
      <c r="C1060" s="5" t="n">
        <v>46217</v>
      </c>
      <c r="D1060" t="inlineStr">
        <is>
          <t>Stripe patient 96243</t>
        </is>
      </c>
      <c r="E1060" t="inlineStr">
        <is>
          <t>INV/2026/03935</t>
        </is>
      </c>
      <c r="F1060" t="inlineStr">
        <is>
          <t>Customer payment INV/2026/03935</t>
        </is>
      </c>
      <c r="G1060" s="9" t="n">
        <v>180</v>
      </c>
      <c r="H1060" t="inlineStr">
        <is>
          <t>customer_payment</t>
        </is>
      </c>
      <c r="I1060" t="inlineStr"/>
      <c r="J1060" t="inlineStr">
        <is>
          <t>G00025</t>
        </is>
      </c>
      <c r="K1060" t="str">
        <f>INDEX('Match Groups'!$D$5:$D$1326,MATCH(J1060,'Match Groups'!$A$5:$A$1326,0))</f>
        <v>STRIPE-FEE</v>
      </c>
    </row>
    <row r="1061">
      <c r="A1061" t="inlineStr">
        <is>
          <t>JI-02089</t>
        </is>
      </c>
      <c r="B1061" t="inlineStr">
        <is>
          <t>OPS</t>
        </is>
      </c>
      <c r="C1061" s="5" t="n">
        <v>46217</v>
      </c>
      <c r="D1061" t="inlineStr">
        <is>
          <t>Stripe patient 40643</t>
        </is>
      </c>
      <c r="E1061" t="inlineStr">
        <is>
          <t>INV/2026/03936</t>
        </is>
      </c>
      <c r="F1061" t="inlineStr">
        <is>
          <t>Customer payment INV/2026/03936</t>
        </is>
      </c>
      <c r="G1061" s="9" t="n">
        <v>180</v>
      </c>
      <c r="H1061" t="inlineStr">
        <is>
          <t>customer_payment</t>
        </is>
      </c>
      <c r="I1061" t="inlineStr"/>
      <c r="J1061" t="inlineStr">
        <is>
          <t>G00025</t>
        </is>
      </c>
      <c r="K1061" t="str">
        <f>INDEX('Match Groups'!$D$5:$D$1326,MATCH(J1061,'Match Groups'!$A$5:$A$1326,0))</f>
        <v>STRIPE-FEE</v>
      </c>
    </row>
    <row r="1062">
      <c r="A1062" t="inlineStr">
        <is>
          <t>JI-02090</t>
        </is>
      </c>
      <c r="B1062" t="inlineStr">
        <is>
          <t>OPS</t>
        </is>
      </c>
      <c r="C1062" s="5" t="n">
        <v>46217</v>
      </c>
      <c r="D1062" t="inlineStr">
        <is>
          <t>Stripe patient 48871</t>
        </is>
      </c>
      <c r="E1062" t="inlineStr">
        <is>
          <t>INV/2026/03937</t>
        </is>
      </c>
      <c r="F1062" t="inlineStr">
        <is>
          <t>Customer payment INV/2026/03937</t>
        </is>
      </c>
      <c r="G1062" s="9" t="n">
        <v>65</v>
      </c>
      <c r="H1062" t="inlineStr">
        <is>
          <t>customer_payment</t>
        </is>
      </c>
      <c r="I1062" t="inlineStr"/>
      <c r="J1062" t="inlineStr">
        <is>
          <t>G00025</t>
        </is>
      </c>
      <c r="K1062" t="str">
        <f>INDEX('Match Groups'!$D$5:$D$1326,MATCH(J1062,'Match Groups'!$A$5:$A$1326,0))</f>
        <v>STRIPE-FEE</v>
      </c>
    </row>
    <row r="1063">
      <c r="A1063" t="inlineStr">
        <is>
          <t>JI-02091</t>
        </is>
      </c>
      <c r="B1063" t="inlineStr">
        <is>
          <t>OPS</t>
        </is>
      </c>
      <c r="C1063" s="5" t="n">
        <v>46217</v>
      </c>
      <c r="D1063" t="inlineStr">
        <is>
          <t>Stripe patient 56550</t>
        </is>
      </c>
      <c r="E1063" t="inlineStr">
        <is>
          <t>INV/2026/03938</t>
        </is>
      </c>
      <c r="F1063" t="inlineStr">
        <is>
          <t>Customer payment INV/2026/03938</t>
        </is>
      </c>
      <c r="G1063" s="9" t="n">
        <v>135</v>
      </c>
      <c r="H1063" t="inlineStr">
        <is>
          <t>customer_payment</t>
        </is>
      </c>
      <c r="I1063" t="inlineStr"/>
      <c r="J1063" t="inlineStr">
        <is>
          <t>G00025</t>
        </is>
      </c>
      <c r="K1063" t="str">
        <f>INDEX('Match Groups'!$D$5:$D$1326,MATCH(J1063,'Match Groups'!$A$5:$A$1326,0))</f>
        <v>STRIPE-FEE</v>
      </c>
    </row>
    <row r="1064">
      <c r="A1064" t="inlineStr">
        <is>
          <t>JI-02092</t>
        </is>
      </c>
      <c r="B1064" t="inlineStr">
        <is>
          <t>OPS</t>
        </is>
      </c>
      <c r="C1064" s="5" t="n">
        <v>46217</v>
      </c>
      <c r="D1064" t="inlineStr">
        <is>
          <t>Stripe patient 11885</t>
        </is>
      </c>
      <c r="E1064" t="inlineStr">
        <is>
          <t>INV/2026/03939</t>
        </is>
      </c>
      <c r="F1064" t="inlineStr">
        <is>
          <t>Customer payment INV/2026/03939</t>
        </is>
      </c>
      <c r="G1064" s="9" t="n">
        <v>180</v>
      </c>
      <c r="H1064" t="inlineStr">
        <is>
          <t>customer_payment</t>
        </is>
      </c>
      <c r="I1064" t="inlineStr"/>
      <c r="J1064" t="inlineStr">
        <is>
          <t>G00025</t>
        </is>
      </c>
      <c r="K1064" t="str">
        <f>INDEX('Match Groups'!$D$5:$D$1326,MATCH(J1064,'Match Groups'!$A$5:$A$1326,0))</f>
        <v>STRIPE-FEE</v>
      </c>
    </row>
    <row r="1065">
      <c r="A1065" t="inlineStr">
        <is>
          <t>JI-02093</t>
        </is>
      </c>
      <c r="B1065" t="inlineStr">
        <is>
          <t>OPS</t>
        </is>
      </c>
      <c r="C1065" s="5" t="n">
        <v>46217</v>
      </c>
      <c r="D1065" t="inlineStr">
        <is>
          <t>Stripe patient 74304</t>
        </is>
      </c>
      <c r="E1065" t="inlineStr">
        <is>
          <t>INV/2026/03940</t>
        </is>
      </c>
      <c r="F1065" t="inlineStr">
        <is>
          <t>Customer payment INV/2026/03940</t>
        </is>
      </c>
      <c r="G1065" s="9" t="n">
        <v>135</v>
      </c>
      <c r="H1065" t="inlineStr">
        <is>
          <t>customer_payment</t>
        </is>
      </c>
      <c r="I1065" t="inlineStr"/>
      <c r="J1065" t="inlineStr">
        <is>
          <t>G00025</t>
        </is>
      </c>
      <c r="K1065" t="str">
        <f>INDEX('Match Groups'!$D$5:$D$1326,MATCH(J1065,'Match Groups'!$A$5:$A$1326,0))</f>
        <v>STRIPE-FEE</v>
      </c>
    </row>
    <row r="1066">
      <c r="A1066" t="inlineStr">
        <is>
          <t>JI-02094</t>
        </is>
      </c>
      <c r="B1066" t="inlineStr">
        <is>
          <t>OPS</t>
        </is>
      </c>
      <c r="C1066" s="5" t="n">
        <v>46217</v>
      </c>
      <c r="D1066" t="inlineStr">
        <is>
          <t>Stripe patient 81289</t>
        </is>
      </c>
      <c r="E1066" t="inlineStr">
        <is>
          <t>INV/2026/03941</t>
        </is>
      </c>
      <c r="F1066" t="inlineStr">
        <is>
          <t>Customer payment INV/2026/03941</t>
        </is>
      </c>
      <c r="G1066" s="9" t="n">
        <v>95</v>
      </c>
      <c r="H1066" t="inlineStr">
        <is>
          <t>customer_payment</t>
        </is>
      </c>
      <c r="I1066" t="inlineStr"/>
      <c r="J1066" t="inlineStr">
        <is>
          <t>G00025</t>
        </is>
      </c>
      <c r="K1066" t="str">
        <f>INDEX('Match Groups'!$D$5:$D$1326,MATCH(J1066,'Match Groups'!$A$5:$A$1326,0))</f>
        <v>STRIPE-FEE</v>
      </c>
    </row>
    <row r="1067">
      <c r="A1067" t="inlineStr">
        <is>
          <t>JI-02095</t>
        </is>
      </c>
      <c r="B1067" t="inlineStr">
        <is>
          <t>OPS</t>
        </is>
      </c>
      <c r="C1067" s="5" t="n">
        <v>46217</v>
      </c>
      <c r="D1067" t="inlineStr">
        <is>
          <t>Stripe patient 93524</t>
        </is>
      </c>
      <c r="E1067" t="inlineStr">
        <is>
          <t>INV/2026/03942</t>
        </is>
      </c>
      <c r="F1067" t="inlineStr">
        <is>
          <t>Customer payment INV/2026/03942</t>
        </is>
      </c>
      <c r="G1067" s="9" t="n">
        <v>135</v>
      </c>
      <c r="H1067" t="inlineStr">
        <is>
          <t>customer_payment</t>
        </is>
      </c>
      <c r="I1067" t="inlineStr"/>
      <c r="J1067" t="inlineStr">
        <is>
          <t>G00025</t>
        </is>
      </c>
      <c r="K1067" t="str">
        <f>INDEX('Match Groups'!$D$5:$D$1326,MATCH(J1067,'Match Groups'!$A$5:$A$1326,0))</f>
        <v>STRIPE-FEE</v>
      </c>
    </row>
    <row r="1068">
      <c r="A1068" t="inlineStr">
        <is>
          <t>JI-02096</t>
        </is>
      </c>
      <c r="B1068" t="inlineStr">
        <is>
          <t>OPS</t>
        </is>
      </c>
      <c r="C1068" s="5" t="n">
        <v>46217</v>
      </c>
      <c r="D1068" t="inlineStr">
        <is>
          <t>Stripe patient 46865</t>
        </is>
      </c>
      <c r="E1068" t="inlineStr">
        <is>
          <t>INV/2026/03943</t>
        </is>
      </c>
      <c r="F1068" t="inlineStr">
        <is>
          <t>Customer payment INV/2026/03943</t>
        </is>
      </c>
      <c r="G1068" s="9" t="n">
        <v>95</v>
      </c>
      <c r="H1068" t="inlineStr">
        <is>
          <t>customer_payment</t>
        </is>
      </c>
      <c r="I1068" t="inlineStr"/>
      <c r="J1068" t="inlineStr">
        <is>
          <t>G00025</t>
        </is>
      </c>
      <c r="K1068" t="str">
        <f>INDEX('Match Groups'!$D$5:$D$1326,MATCH(J1068,'Match Groups'!$A$5:$A$1326,0))</f>
        <v>STRIPE-FEE</v>
      </c>
    </row>
    <row r="1069">
      <c r="A1069" t="inlineStr">
        <is>
          <t>JI-02097</t>
        </is>
      </c>
      <c r="B1069" t="inlineStr">
        <is>
          <t>OPS</t>
        </is>
      </c>
      <c r="C1069" s="5" t="n">
        <v>46217</v>
      </c>
      <c r="D1069" t="inlineStr">
        <is>
          <t>Stripe patient 89770</t>
        </is>
      </c>
      <c r="E1069" t="inlineStr">
        <is>
          <t>INV/2026/03944</t>
        </is>
      </c>
      <c r="F1069" t="inlineStr">
        <is>
          <t>Customer payment INV/2026/03944</t>
        </is>
      </c>
      <c r="G1069" s="9" t="n">
        <v>110</v>
      </c>
      <c r="H1069" t="inlineStr">
        <is>
          <t>customer_payment</t>
        </is>
      </c>
      <c r="I1069" t="inlineStr"/>
      <c r="J1069" t="inlineStr">
        <is>
          <t>G00025</t>
        </is>
      </c>
      <c r="K1069" t="str">
        <f>INDEX('Match Groups'!$D$5:$D$1326,MATCH(J1069,'Match Groups'!$A$5:$A$1326,0))</f>
        <v>STRIPE-FEE</v>
      </c>
    </row>
    <row r="1070">
      <c r="A1070" t="inlineStr">
        <is>
          <t>JI-02098</t>
        </is>
      </c>
      <c r="B1070" t="inlineStr">
        <is>
          <t>OPS</t>
        </is>
      </c>
      <c r="C1070" s="5" t="n">
        <v>46217</v>
      </c>
      <c r="D1070" t="inlineStr">
        <is>
          <t>Stripe patient 62660</t>
        </is>
      </c>
      <c r="E1070" t="inlineStr">
        <is>
          <t>INV/2026/03945</t>
        </is>
      </c>
      <c r="F1070" t="inlineStr">
        <is>
          <t>Customer payment INV/2026/03945</t>
        </is>
      </c>
      <c r="G1070" s="9" t="n">
        <v>95</v>
      </c>
      <c r="H1070" t="inlineStr">
        <is>
          <t>customer_payment</t>
        </is>
      </c>
      <c r="I1070" t="inlineStr"/>
      <c r="J1070" t="inlineStr">
        <is>
          <t>G00025</t>
        </is>
      </c>
      <c r="K1070" t="str">
        <f>INDEX('Match Groups'!$D$5:$D$1326,MATCH(J1070,'Match Groups'!$A$5:$A$1326,0))</f>
        <v>STRIPE-FEE</v>
      </c>
    </row>
    <row r="1071">
      <c r="A1071" t="inlineStr">
        <is>
          <t>JI-02099</t>
        </is>
      </c>
      <c r="B1071" t="inlineStr">
        <is>
          <t>OPS</t>
        </is>
      </c>
      <c r="C1071" s="5" t="n">
        <v>46217</v>
      </c>
      <c r="D1071" t="inlineStr">
        <is>
          <t>Stripe patient 98893</t>
        </is>
      </c>
      <c r="E1071" t="inlineStr">
        <is>
          <t>INV/2026/03946</t>
        </is>
      </c>
      <c r="F1071" t="inlineStr">
        <is>
          <t>Customer payment INV/2026/03946</t>
        </is>
      </c>
      <c r="G1071" s="9" t="n">
        <v>95</v>
      </c>
      <c r="H1071" t="inlineStr">
        <is>
          <t>customer_payment</t>
        </is>
      </c>
      <c r="I1071" t="inlineStr"/>
      <c r="J1071" t="inlineStr">
        <is>
          <t>G00025</t>
        </is>
      </c>
      <c r="K1071" t="str">
        <f>INDEX('Match Groups'!$D$5:$D$1326,MATCH(J1071,'Match Groups'!$A$5:$A$1326,0))</f>
        <v>STRIPE-FEE</v>
      </c>
    </row>
    <row r="1072">
      <c r="A1072" t="inlineStr">
        <is>
          <t>JI-02100</t>
        </is>
      </c>
      <c r="B1072" t="inlineStr">
        <is>
          <t>OPS</t>
        </is>
      </c>
      <c r="C1072" s="5" t="n">
        <v>46217</v>
      </c>
      <c r="D1072" t="inlineStr">
        <is>
          <t>Stripe patient 41995</t>
        </is>
      </c>
      <c r="E1072" t="inlineStr">
        <is>
          <t>INV/2026/03947</t>
        </is>
      </c>
      <c r="F1072" t="inlineStr">
        <is>
          <t>Customer payment INV/2026/03947</t>
        </is>
      </c>
      <c r="G1072" s="9" t="n">
        <v>180</v>
      </c>
      <c r="H1072" t="inlineStr">
        <is>
          <t>customer_payment</t>
        </is>
      </c>
      <c r="I1072" t="inlineStr"/>
      <c r="J1072" t="inlineStr">
        <is>
          <t>G00025</t>
        </is>
      </c>
      <c r="K1072" t="str">
        <f>INDEX('Match Groups'!$D$5:$D$1326,MATCH(J1072,'Match Groups'!$A$5:$A$1326,0))</f>
        <v>STRIPE-FEE</v>
      </c>
    </row>
    <row r="1073">
      <c r="A1073" t="inlineStr">
        <is>
          <t>JI-02101</t>
        </is>
      </c>
      <c r="B1073" t="inlineStr">
        <is>
          <t>OPS</t>
        </is>
      </c>
      <c r="C1073" s="5" t="n">
        <v>46217</v>
      </c>
      <c r="D1073" t="inlineStr">
        <is>
          <t>Stripe patient 50326</t>
        </is>
      </c>
      <c r="E1073" t="inlineStr">
        <is>
          <t>INV/2026/03948</t>
        </is>
      </c>
      <c r="F1073" t="inlineStr">
        <is>
          <t>Customer payment INV/2026/03948</t>
        </is>
      </c>
      <c r="G1073" s="9" t="n">
        <v>110</v>
      </c>
      <c r="H1073" t="inlineStr">
        <is>
          <t>customer_payment</t>
        </is>
      </c>
      <c r="I1073" t="inlineStr"/>
      <c r="J1073" t="inlineStr">
        <is>
          <t>G00025</t>
        </is>
      </c>
      <c r="K1073" t="str">
        <f>INDEX('Match Groups'!$D$5:$D$1326,MATCH(J1073,'Match Groups'!$A$5:$A$1326,0))</f>
        <v>STRIPE-FEE</v>
      </c>
    </row>
    <row r="1074">
      <c r="A1074" t="inlineStr">
        <is>
          <t>JI-02102</t>
        </is>
      </c>
      <c r="B1074" t="inlineStr">
        <is>
          <t>OPS</t>
        </is>
      </c>
      <c r="C1074" s="5" t="n">
        <v>46217</v>
      </c>
      <c r="D1074" t="inlineStr">
        <is>
          <t>Stripe patient 72217</t>
        </is>
      </c>
      <c r="E1074" t="inlineStr">
        <is>
          <t>INV/2026/03949</t>
        </is>
      </c>
      <c r="F1074" t="inlineStr">
        <is>
          <t>Customer payment INV/2026/03949</t>
        </is>
      </c>
      <c r="G1074" s="9" t="n">
        <v>180</v>
      </c>
      <c r="H1074" t="inlineStr">
        <is>
          <t>customer_payment</t>
        </is>
      </c>
      <c r="I1074" t="inlineStr"/>
      <c r="J1074" t="inlineStr">
        <is>
          <t>G00025</t>
        </is>
      </c>
      <c r="K1074" t="str">
        <f>INDEX('Match Groups'!$D$5:$D$1326,MATCH(J1074,'Match Groups'!$A$5:$A$1326,0))</f>
        <v>STRIPE-FEE</v>
      </c>
    </row>
    <row r="1075">
      <c r="A1075" t="inlineStr">
        <is>
          <t>JI-02103</t>
        </is>
      </c>
      <c r="B1075" t="inlineStr">
        <is>
          <t>OPS</t>
        </is>
      </c>
      <c r="C1075" s="5" t="n">
        <v>46217</v>
      </c>
      <c r="D1075" t="inlineStr">
        <is>
          <t>Stripe patient 14656</t>
        </is>
      </c>
      <c r="E1075" t="inlineStr">
        <is>
          <t>INV/2026/03950</t>
        </is>
      </c>
      <c r="F1075" t="inlineStr">
        <is>
          <t>Customer payment INV/2026/03950</t>
        </is>
      </c>
      <c r="G1075" s="9" t="n">
        <v>110</v>
      </c>
      <c r="H1075" t="inlineStr">
        <is>
          <t>customer_payment</t>
        </is>
      </c>
      <c r="I1075" t="inlineStr"/>
      <c r="J1075" t="inlineStr">
        <is>
          <t>G00025</t>
        </is>
      </c>
      <c r="K1075" t="str">
        <f>INDEX('Match Groups'!$D$5:$D$1326,MATCH(J1075,'Match Groups'!$A$5:$A$1326,0))</f>
        <v>STRIPE-FEE</v>
      </c>
    </row>
    <row r="1076">
      <c r="A1076" t="inlineStr">
        <is>
          <t>JI-02104</t>
        </is>
      </c>
      <c r="B1076" t="inlineStr">
        <is>
          <t>OPS</t>
        </is>
      </c>
      <c r="C1076" s="5" t="n">
        <v>46217</v>
      </c>
      <c r="D1076" t="inlineStr">
        <is>
          <t>Stripe patient 10183</t>
        </is>
      </c>
      <c r="E1076" t="inlineStr">
        <is>
          <t>INV/2026/03951</t>
        </is>
      </c>
      <c r="F1076" t="inlineStr">
        <is>
          <t>Customer payment INV/2026/03951</t>
        </is>
      </c>
      <c r="G1076" s="9" t="n">
        <v>65</v>
      </c>
      <c r="H1076" t="inlineStr">
        <is>
          <t>customer_payment</t>
        </is>
      </c>
      <c r="I1076" t="inlineStr"/>
      <c r="J1076" t="inlineStr">
        <is>
          <t>G00025</t>
        </is>
      </c>
      <c r="K1076" t="str">
        <f>INDEX('Match Groups'!$D$5:$D$1326,MATCH(J1076,'Match Groups'!$A$5:$A$1326,0))</f>
        <v>STRIPE-FEE</v>
      </c>
    </row>
    <row r="1077">
      <c r="A1077" t="inlineStr">
        <is>
          <t>JI-02105</t>
        </is>
      </c>
      <c r="B1077" t="inlineStr">
        <is>
          <t>OPS</t>
        </is>
      </c>
      <c r="C1077" s="5" t="n">
        <v>46217</v>
      </c>
      <c r="D1077" t="inlineStr">
        <is>
          <t>Stripe patient 92917</t>
        </is>
      </c>
      <c r="E1077" t="inlineStr">
        <is>
          <t>INV/2026/03952</t>
        </is>
      </c>
      <c r="F1077" t="inlineStr">
        <is>
          <t>Customer payment INV/2026/03952</t>
        </is>
      </c>
      <c r="G1077" s="9" t="n">
        <v>135</v>
      </c>
      <c r="H1077" t="inlineStr">
        <is>
          <t>customer_payment</t>
        </is>
      </c>
      <c r="I1077" t="inlineStr"/>
      <c r="J1077" t="inlineStr">
        <is>
          <t>G00025</t>
        </is>
      </c>
      <c r="K1077" t="str">
        <f>INDEX('Match Groups'!$D$5:$D$1326,MATCH(J1077,'Match Groups'!$A$5:$A$1326,0))</f>
        <v>STRIPE-FEE</v>
      </c>
    </row>
    <row r="1078">
      <c r="A1078" t="inlineStr">
        <is>
          <t>JI-02106</t>
        </is>
      </c>
      <c r="B1078" t="inlineStr">
        <is>
          <t>OPS</t>
        </is>
      </c>
      <c r="C1078" s="5" t="n">
        <v>46217</v>
      </c>
      <c r="D1078" t="inlineStr">
        <is>
          <t>Stripe patient 20174</t>
        </is>
      </c>
      <c r="E1078" t="inlineStr">
        <is>
          <t>INV/2026/03953</t>
        </is>
      </c>
      <c r="F1078" t="inlineStr">
        <is>
          <t>Customer payment INV/2026/03953</t>
        </is>
      </c>
      <c r="G1078" s="9" t="n">
        <v>110</v>
      </c>
      <c r="H1078" t="inlineStr">
        <is>
          <t>customer_payment</t>
        </is>
      </c>
      <c r="I1078" t="inlineStr"/>
      <c r="J1078" t="inlineStr">
        <is>
          <t>G00025</t>
        </is>
      </c>
      <c r="K1078" t="str">
        <f>INDEX('Match Groups'!$D$5:$D$1326,MATCH(J1078,'Match Groups'!$A$5:$A$1326,0))</f>
        <v>STRIPE-FEE</v>
      </c>
    </row>
    <row r="1079">
      <c r="A1079" t="inlineStr">
        <is>
          <t>JI-02107</t>
        </is>
      </c>
      <c r="B1079" t="inlineStr">
        <is>
          <t>OPS</t>
        </is>
      </c>
      <c r="C1079" s="5" t="n">
        <v>46217</v>
      </c>
      <c r="D1079" t="inlineStr">
        <is>
          <t>Stripe patient 30899</t>
        </is>
      </c>
      <c r="E1079" t="inlineStr">
        <is>
          <t>INV/2026/03954</t>
        </is>
      </c>
      <c r="F1079" t="inlineStr">
        <is>
          <t>Customer payment INV/2026/03954</t>
        </is>
      </c>
      <c r="G1079" s="9" t="n">
        <v>220</v>
      </c>
      <c r="H1079" t="inlineStr">
        <is>
          <t>customer_payment</t>
        </is>
      </c>
      <c r="I1079" t="inlineStr"/>
      <c r="J1079" t="inlineStr">
        <is>
          <t>G00025</t>
        </is>
      </c>
      <c r="K1079" t="str">
        <f>INDEX('Match Groups'!$D$5:$D$1326,MATCH(J1079,'Match Groups'!$A$5:$A$1326,0))</f>
        <v>STRIPE-FEE</v>
      </c>
    </row>
    <row r="1080">
      <c r="A1080" t="inlineStr">
        <is>
          <t>JI-02108</t>
        </is>
      </c>
      <c r="B1080" t="inlineStr">
        <is>
          <t>OPS</t>
        </is>
      </c>
      <c r="C1080" s="5" t="n">
        <v>46217</v>
      </c>
      <c r="D1080" t="inlineStr">
        <is>
          <t>Stripe patient 98702</t>
        </is>
      </c>
      <c r="E1080" t="inlineStr">
        <is>
          <t>INV/2026/03955</t>
        </is>
      </c>
      <c r="F1080" t="inlineStr">
        <is>
          <t>Customer payment INV/2026/03955</t>
        </is>
      </c>
      <c r="G1080" s="9" t="n">
        <v>110</v>
      </c>
      <c r="H1080" t="inlineStr">
        <is>
          <t>customer_payment</t>
        </is>
      </c>
      <c r="I1080" t="inlineStr"/>
      <c r="J1080" t="inlineStr">
        <is>
          <t>G00025</t>
        </is>
      </c>
      <c r="K1080" t="str">
        <f>INDEX('Match Groups'!$D$5:$D$1326,MATCH(J1080,'Match Groups'!$A$5:$A$1326,0))</f>
        <v>STRIPE-FEE</v>
      </c>
    </row>
    <row r="1081">
      <c r="A1081" t="inlineStr">
        <is>
          <t>JI-02109</t>
        </is>
      </c>
      <c r="B1081" t="inlineStr">
        <is>
          <t>OPS</t>
        </is>
      </c>
      <c r="C1081" s="5" t="n">
        <v>46217</v>
      </c>
      <c r="D1081" t="inlineStr">
        <is>
          <t>Stripe patient 99359</t>
        </is>
      </c>
      <c r="E1081" t="inlineStr">
        <is>
          <t>INV/2026/03956</t>
        </is>
      </c>
      <c r="F1081" t="inlineStr">
        <is>
          <t>Customer payment INV/2026/03956</t>
        </is>
      </c>
      <c r="G1081" s="9" t="n">
        <v>110</v>
      </c>
      <c r="H1081" t="inlineStr">
        <is>
          <t>customer_payment</t>
        </is>
      </c>
      <c r="I1081" t="inlineStr"/>
      <c r="J1081" t="inlineStr">
        <is>
          <t>G00025</t>
        </is>
      </c>
      <c r="K1081" t="str">
        <f>INDEX('Match Groups'!$D$5:$D$1326,MATCH(J1081,'Match Groups'!$A$5:$A$1326,0))</f>
        <v>STRIPE-FEE</v>
      </c>
    </row>
    <row r="1082">
      <c r="A1082" t="inlineStr">
        <is>
          <t>JI-02110</t>
        </is>
      </c>
      <c r="B1082" t="inlineStr">
        <is>
          <t>OPS</t>
        </is>
      </c>
      <c r="C1082" s="5" t="n">
        <v>46217</v>
      </c>
      <c r="D1082" t="inlineStr">
        <is>
          <t>Stripe patient 32691</t>
        </is>
      </c>
      <c r="E1082" t="inlineStr">
        <is>
          <t>INV/2026/03957</t>
        </is>
      </c>
      <c r="F1082" t="inlineStr">
        <is>
          <t>Customer payment INV/2026/03957</t>
        </is>
      </c>
      <c r="G1082" s="9" t="n">
        <v>65</v>
      </c>
      <c r="H1082" t="inlineStr">
        <is>
          <t>customer_payment</t>
        </is>
      </c>
      <c r="I1082" t="inlineStr"/>
      <c r="J1082" t="inlineStr">
        <is>
          <t>G00025</t>
        </is>
      </c>
      <c r="K1082" t="str">
        <f>INDEX('Match Groups'!$D$5:$D$1326,MATCH(J1082,'Match Groups'!$A$5:$A$1326,0))</f>
        <v>STRIPE-FEE</v>
      </c>
    </row>
    <row r="1083">
      <c r="A1083" t="inlineStr">
        <is>
          <t>JI-02111</t>
        </is>
      </c>
      <c r="B1083" t="inlineStr">
        <is>
          <t>OPS</t>
        </is>
      </c>
      <c r="C1083" s="5" t="n">
        <v>46217</v>
      </c>
      <c r="D1083" t="inlineStr">
        <is>
          <t>Stripe patient 56798</t>
        </is>
      </c>
      <c r="E1083" t="inlineStr">
        <is>
          <t>INV/2026/03958</t>
        </is>
      </c>
      <c r="F1083" t="inlineStr">
        <is>
          <t>Customer payment INV/2026/03958</t>
        </is>
      </c>
      <c r="G1083" s="9" t="n">
        <v>180</v>
      </c>
      <c r="H1083" t="inlineStr">
        <is>
          <t>customer_payment</t>
        </is>
      </c>
      <c r="I1083" t="inlineStr"/>
      <c r="J1083" t="inlineStr">
        <is>
          <t>G00025</t>
        </is>
      </c>
      <c r="K1083" t="str">
        <f>INDEX('Match Groups'!$D$5:$D$1326,MATCH(J1083,'Match Groups'!$A$5:$A$1326,0))</f>
        <v>STRIPE-FEE</v>
      </c>
    </row>
    <row r="1084">
      <c r="A1084" t="inlineStr">
        <is>
          <t>JI-02112</t>
        </is>
      </c>
      <c r="B1084" t="inlineStr">
        <is>
          <t>OPS</t>
        </is>
      </c>
      <c r="C1084" s="5" t="n">
        <v>46217</v>
      </c>
      <c r="D1084" t="inlineStr">
        <is>
          <t>Stripe patient 37912</t>
        </is>
      </c>
      <c r="E1084" t="inlineStr">
        <is>
          <t>INV/2026/03959</t>
        </is>
      </c>
      <c r="F1084" t="inlineStr">
        <is>
          <t>Customer payment INV/2026/03959</t>
        </is>
      </c>
      <c r="G1084" s="9" t="n">
        <v>120</v>
      </c>
      <c r="H1084" t="inlineStr">
        <is>
          <t>customer_payment</t>
        </is>
      </c>
      <c r="I1084" t="inlineStr"/>
      <c r="J1084" t="inlineStr">
        <is>
          <t>G00025</t>
        </is>
      </c>
      <c r="K1084" t="str">
        <f>INDEX('Match Groups'!$D$5:$D$1326,MATCH(J1084,'Match Groups'!$A$5:$A$1326,0))</f>
        <v>STRIPE-FEE</v>
      </c>
    </row>
    <row r="1085">
      <c r="A1085" t="inlineStr">
        <is>
          <t>JI-02113</t>
        </is>
      </c>
      <c r="B1085" t="inlineStr">
        <is>
          <t>OPS</t>
        </is>
      </c>
      <c r="C1085" s="5" t="n">
        <v>46217</v>
      </c>
      <c r="D1085" t="inlineStr">
        <is>
          <t>Stripe patient 51863</t>
        </is>
      </c>
      <c r="E1085" t="inlineStr">
        <is>
          <t>INV/2026/03960</t>
        </is>
      </c>
      <c r="F1085" t="inlineStr">
        <is>
          <t>Customer payment INV/2026/03960</t>
        </is>
      </c>
      <c r="G1085" s="9" t="n">
        <v>110</v>
      </c>
      <c r="H1085" t="inlineStr">
        <is>
          <t>customer_payment</t>
        </is>
      </c>
      <c r="I1085" t="inlineStr"/>
      <c r="J1085" t="inlineStr">
        <is>
          <t>G00025</t>
        </is>
      </c>
      <c r="K1085" t="str">
        <f>INDEX('Match Groups'!$D$5:$D$1326,MATCH(J1085,'Match Groups'!$A$5:$A$1326,0))</f>
        <v>STRIPE-FEE</v>
      </c>
    </row>
    <row r="1086">
      <c r="A1086" t="inlineStr">
        <is>
          <t>JI-02114</t>
        </is>
      </c>
      <c r="B1086" t="inlineStr">
        <is>
          <t>OPS</t>
        </is>
      </c>
      <c r="C1086" s="5" t="n">
        <v>46217</v>
      </c>
      <c r="D1086" t="inlineStr">
        <is>
          <t>Stripe patient 23915</t>
        </is>
      </c>
      <c r="E1086" t="inlineStr">
        <is>
          <t>INV/2026/03961</t>
        </is>
      </c>
      <c r="F1086" t="inlineStr">
        <is>
          <t>Customer payment INV/2026/03961</t>
        </is>
      </c>
      <c r="G1086" s="9" t="n">
        <v>110</v>
      </c>
      <c r="H1086" t="inlineStr">
        <is>
          <t>customer_payment</t>
        </is>
      </c>
      <c r="I1086" t="inlineStr"/>
      <c r="J1086" t="inlineStr">
        <is>
          <t>G00025</t>
        </is>
      </c>
      <c r="K1086" t="str">
        <f>INDEX('Match Groups'!$D$5:$D$1326,MATCH(J1086,'Match Groups'!$A$5:$A$1326,0))</f>
        <v>STRIPE-FEE</v>
      </c>
    </row>
    <row r="1087">
      <c r="A1087" t="inlineStr">
        <is>
          <t>JI-02115</t>
        </is>
      </c>
      <c r="B1087" t="inlineStr">
        <is>
          <t>OPS</t>
        </is>
      </c>
      <c r="C1087" s="5" t="n">
        <v>46217</v>
      </c>
      <c r="D1087" t="inlineStr">
        <is>
          <t>Stripe patient 52341</t>
        </is>
      </c>
      <c r="E1087" t="inlineStr">
        <is>
          <t>INV/2026/03962</t>
        </is>
      </c>
      <c r="F1087" t="inlineStr">
        <is>
          <t>Customer payment INV/2026/03962</t>
        </is>
      </c>
      <c r="G1087" s="9" t="n">
        <v>180</v>
      </c>
      <c r="H1087" t="inlineStr">
        <is>
          <t>customer_payment</t>
        </is>
      </c>
      <c r="I1087" t="inlineStr"/>
      <c r="J1087" t="inlineStr">
        <is>
          <t>G00025</t>
        </is>
      </c>
      <c r="K1087" t="str">
        <f>INDEX('Match Groups'!$D$5:$D$1326,MATCH(J1087,'Match Groups'!$A$5:$A$1326,0))</f>
        <v>STRIPE-FEE</v>
      </c>
    </row>
    <row r="1088">
      <c r="A1088" t="inlineStr">
        <is>
          <t>JI-02116</t>
        </is>
      </c>
      <c r="B1088" t="inlineStr">
        <is>
          <t>OPS</t>
        </is>
      </c>
      <c r="C1088" s="5" t="n">
        <v>46217</v>
      </c>
      <c r="D1088" t="inlineStr">
        <is>
          <t>Stripe patient 12586</t>
        </is>
      </c>
      <c r="E1088" t="inlineStr">
        <is>
          <t>INV/2026/03963</t>
        </is>
      </c>
      <c r="F1088" t="inlineStr">
        <is>
          <t>Customer payment INV/2026/03963</t>
        </is>
      </c>
      <c r="G1088" s="9" t="n">
        <v>180</v>
      </c>
      <c r="H1088" t="inlineStr">
        <is>
          <t>customer_payment</t>
        </is>
      </c>
      <c r="I1088" t="inlineStr"/>
      <c r="J1088" t="inlineStr">
        <is>
          <t>G00025</t>
        </is>
      </c>
      <c r="K1088" t="str">
        <f>INDEX('Match Groups'!$D$5:$D$1326,MATCH(J1088,'Match Groups'!$A$5:$A$1326,0))</f>
        <v>STRIPE-FEE</v>
      </c>
    </row>
    <row r="1089">
      <c r="A1089" t="inlineStr">
        <is>
          <t>JI-00319</t>
        </is>
      </c>
      <c r="B1089" t="inlineStr">
        <is>
          <t>OPS</t>
        </is>
      </c>
      <c r="C1089" s="5" t="n">
        <v>46218</v>
      </c>
      <c r="D1089" t="inlineStr">
        <is>
          <t>Bluegum Plan Management</t>
        </is>
      </c>
      <c r="E1089" t="inlineStr">
        <is>
          <t>INV/2026/01584</t>
        </is>
      </c>
      <c r="F1089" t="inlineStr">
        <is>
          <t>Customer payment INV/2026/01584</t>
        </is>
      </c>
      <c r="G1089" s="9" t="n">
        <v>193.99</v>
      </c>
      <c r="H1089" t="inlineStr">
        <is>
          <t>customer_payment</t>
        </is>
      </c>
      <c r="I1089" t="inlineStr"/>
      <c r="J1089" t="inlineStr">
        <is>
          <t>G00148</t>
        </is>
      </c>
      <c r="K1089" t="str">
        <f>INDEX('Match Groups'!$D$5:$D$1326,MATCH(J1089,'Match Groups'!$A$5:$A$1326,0))</f>
        <v>MATCH</v>
      </c>
    </row>
    <row r="1090">
      <c r="A1090" t="inlineStr">
        <is>
          <t>JI-00320</t>
        </is>
      </c>
      <c r="B1090" t="inlineStr">
        <is>
          <t>OPS</t>
        </is>
      </c>
      <c r="C1090" s="5" t="n">
        <v>46218</v>
      </c>
      <c r="D1090" t="inlineStr">
        <is>
          <t>Bluegum Plan Management</t>
        </is>
      </c>
      <c r="E1090" t="inlineStr">
        <is>
          <t>INV/2026/01612</t>
        </is>
      </c>
      <c r="F1090" t="inlineStr">
        <is>
          <t>Customer payment INV/2026/01612</t>
        </is>
      </c>
      <c r="G1090" s="9" t="n">
        <v>145.49</v>
      </c>
      <c r="H1090" t="inlineStr">
        <is>
          <t>customer_payment</t>
        </is>
      </c>
      <c r="I1090" t="inlineStr"/>
      <c r="J1090" t="inlineStr">
        <is>
          <t>G00148</t>
        </is>
      </c>
      <c r="K1090" t="str">
        <f>INDEX('Match Groups'!$D$5:$D$1326,MATCH(J1090,'Match Groups'!$A$5:$A$1326,0))</f>
        <v>MATCH</v>
      </c>
    </row>
    <row r="1091">
      <c r="A1091" t="inlineStr">
        <is>
          <t>JI-00321</t>
        </is>
      </c>
      <c r="B1091" t="inlineStr">
        <is>
          <t>OPS</t>
        </is>
      </c>
      <c r="C1091" s="5" t="n">
        <v>46218</v>
      </c>
      <c r="D1091" t="inlineStr">
        <is>
          <t>Bluegum Plan Management</t>
        </is>
      </c>
      <c r="E1091" t="inlineStr">
        <is>
          <t>INV/2026/01613</t>
        </is>
      </c>
      <c r="F1091" t="inlineStr">
        <is>
          <t>Customer payment INV/2026/01613</t>
        </is>
      </c>
      <c r="G1091" s="9" t="n">
        <v>126.99</v>
      </c>
      <c r="H1091" t="inlineStr">
        <is>
          <t>customer_payment</t>
        </is>
      </c>
      <c r="I1091" t="inlineStr"/>
      <c r="J1091" t="inlineStr">
        <is>
          <t>G00148</t>
        </is>
      </c>
      <c r="K1091" t="str">
        <f>INDEX('Match Groups'!$D$5:$D$1326,MATCH(J1091,'Match Groups'!$A$5:$A$1326,0))</f>
        <v>MATCH</v>
      </c>
    </row>
    <row r="1092">
      <c r="A1092" t="inlineStr">
        <is>
          <t>JI-00325</t>
        </is>
      </c>
      <c r="B1092" t="inlineStr">
        <is>
          <t>OPS</t>
        </is>
      </c>
      <c r="C1092" s="5" t="n">
        <v>46218</v>
      </c>
      <c r="D1092" t="inlineStr">
        <is>
          <t>Kookaburra Plan Support</t>
        </is>
      </c>
      <c r="E1092" t="inlineStr">
        <is>
          <t>INV/2026/01694</t>
        </is>
      </c>
      <c r="F1092" t="inlineStr">
        <is>
          <t>Customer payment INV/2026/01694</t>
        </is>
      </c>
      <c r="G1092" s="9" t="n">
        <v>193.99</v>
      </c>
      <c r="H1092" t="inlineStr">
        <is>
          <t>customer_payment</t>
        </is>
      </c>
      <c r="I1092" t="inlineStr"/>
      <c r="J1092" t="inlineStr">
        <is>
          <t>G00150</t>
        </is>
      </c>
      <c r="K1092" t="str">
        <f>INDEX('Match Groups'!$D$5:$D$1326,MATCH(J1092,'Match Groups'!$A$5:$A$1326,0))</f>
        <v>MATCH</v>
      </c>
    </row>
    <row r="1093">
      <c r="A1093" t="inlineStr">
        <is>
          <t>JI-00326</t>
        </is>
      </c>
      <c r="B1093" t="inlineStr">
        <is>
          <t>OPS</t>
        </is>
      </c>
      <c r="C1093" s="5" t="n">
        <v>46218</v>
      </c>
      <c r="D1093" t="inlineStr">
        <is>
          <t>Kookaburra Plan Support</t>
        </is>
      </c>
      <c r="E1093" t="inlineStr">
        <is>
          <t>INV/2026/01717</t>
        </is>
      </c>
      <c r="F1093" t="inlineStr">
        <is>
          <t>Customer payment INV/2026/01717</t>
        </is>
      </c>
      <c r="G1093" s="9" t="n">
        <v>96.98999999999999</v>
      </c>
      <c r="H1093" t="inlineStr">
        <is>
          <t>customer_payment</t>
        </is>
      </c>
      <c r="I1093" t="inlineStr"/>
      <c r="J1093" t="inlineStr">
        <is>
          <t>G00150</t>
        </is>
      </c>
      <c r="K1093" t="str">
        <f>INDEX('Match Groups'!$D$5:$D$1326,MATCH(J1093,'Match Groups'!$A$5:$A$1326,0))</f>
        <v>MATCH</v>
      </c>
    </row>
    <row r="1094">
      <c r="A1094" t="inlineStr">
        <is>
          <t>JI-00327</t>
        </is>
      </c>
      <c r="B1094" t="inlineStr">
        <is>
          <t>OPS</t>
        </is>
      </c>
      <c r="C1094" s="5" t="n">
        <v>46218</v>
      </c>
      <c r="D1094" t="inlineStr">
        <is>
          <t>Kookaburra Plan Support</t>
        </is>
      </c>
      <c r="E1094" t="inlineStr">
        <is>
          <t>INV/2026/01718</t>
        </is>
      </c>
      <c r="F1094" t="inlineStr">
        <is>
          <t>Customer payment INV/2026/01718</t>
        </is>
      </c>
      <c r="G1094" s="9" t="n">
        <v>175.49</v>
      </c>
      <c r="H1094" t="inlineStr">
        <is>
          <t>customer_payment</t>
        </is>
      </c>
      <c r="I1094" t="inlineStr"/>
      <c r="J1094" t="inlineStr">
        <is>
          <t>G00150</t>
        </is>
      </c>
      <c r="K1094" t="str">
        <f>INDEX('Match Groups'!$D$5:$D$1326,MATCH(J1094,'Match Groups'!$A$5:$A$1326,0))</f>
        <v>MATCH</v>
      </c>
    </row>
    <row r="1095">
      <c r="A1095" t="inlineStr">
        <is>
          <t>JI-00328</t>
        </is>
      </c>
      <c r="B1095" t="inlineStr">
        <is>
          <t>OPS</t>
        </is>
      </c>
      <c r="C1095" s="5" t="n">
        <v>46218</v>
      </c>
      <c r="D1095" t="inlineStr">
        <is>
          <t>Kookaburra Plan Support</t>
        </is>
      </c>
      <c r="E1095" t="inlineStr">
        <is>
          <t>INV/2026/01738</t>
        </is>
      </c>
      <c r="F1095" t="inlineStr">
        <is>
          <t>Customer payment INV/2026/01738</t>
        </is>
      </c>
      <c r="G1095" s="9" t="n">
        <v>387.98</v>
      </c>
      <c r="H1095" t="inlineStr">
        <is>
          <t>customer_payment</t>
        </is>
      </c>
      <c r="I1095" t="inlineStr"/>
      <c r="J1095" t="inlineStr">
        <is>
          <t>G00150</t>
        </is>
      </c>
      <c r="K1095" t="str">
        <f>INDEX('Match Groups'!$D$5:$D$1326,MATCH(J1095,'Match Groups'!$A$5:$A$1326,0))</f>
        <v>MATCH</v>
      </c>
    </row>
    <row r="1096">
      <c r="A1096" t="inlineStr">
        <is>
          <t>JI-00329</t>
        </is>
      </c>
      <c r="B1096" t="inlineStr">
        <is>
          <t>OPS</t>
        </is>
      </c>
      <c r="C1096" s="5" t="n">
        <v>46218</v>
      </c>
      <c r="D1096" t="inlineStr">
        <is>
          <t>Redgum Plan Admin</t>
        </is>
      </c>
      <c r="E1096" t="inlineStr">
        <is>
          <t>INV/2026/02029</t>
        </is>
      </c>
      <c r="F1096" t="inlineStr">
        <is>
          <t>Customer payment INV/2026/02029</t>
        </is>
      </c>
      <c r="G1096" s="9" t="n">
        <v>203.69</v>
      </c>
      <c r="H1096" t="inlineStr">
        <is>
          <t>customer_payment</t>
        </is>
      </c>
      <c r="I1096" t="inlineStr"/>
      <c r="J1096" t="inlineStr">
        <is>
          <t>G00151</t>
        </is>
      </c>
      <c r="K1096" t="str">
        <f>INDEX('Match Groups'!$D$5:$D$1326,MATCH(J1096,'Match Groups'!$A$5:$A$1326,0))</f>
        <v>MATCH</v>
      </c>
    </row>
    <row r="1097">
      <c r="A1097" t="inlineStr">
        <is>
          <t>JI-00330</t>
        </is>
      </c>
      <c r="B1097" t="inlineStr">
        <is>
          <t>OPS</t>
        </is>
      </c>
      <c r="C1097" s="5" t="n">
        <v>46218</v>
      </c>
      <c r="D1097" t="inlineStr">
        <is>
          <t>Mallee Plan Services</t>
        </is>
      </c>
      <c r="E1097" t="inlineStr">
        <is>
          <t>INV/2026/01838</t>
        </is>
      </c>
      <c r="F1097" t="inlineStr">
        <is>
          <t>Customer payment INV/2026/01838</t>
        </is>
      </c>
      <c r="G1097" s="9" t="n">
        <v>300.69</v>
      </c>
      <c r="H1097" t="inlineStr">
        <is>
          <t>customer_payment</t>
        </is>
      </c>
      <c r="I1097" t="inlineStr"/>
      <c r="J1097" t="inlineStr">
        <is>
          <t>G00152</t>
        </is>
      </c>
      <c r="K1097" t="str">
        <f>INDEX('Match Groups'!$D$5:$D$1326,MATCH(J1097,'Match Groups'!$A$5:$A$1326,0))</f>
        <v>MATCH</v>
      </c>
    </row>
    <row r="1098">
      <c r="A1098" t="inlineStr">
        <is>
          <t>JI-00331</t>
        </is>
      </c>
      <c r="B1098" t="inlineStr">
        <is>
          <t>OPS</t>
        </is>
      </c>
      <c r="C1098" s="5" t="n">
        <v>46218</v>
      </c>
      <c r="D1098" t="inlineStr">
        <is>
          <t>Mallee Plan Services</t>
        </is>
      </c>
      <c r="E1098" t="inlineStr">
        <is>
          <t>INV/2026/01839</t>
        </is>
      </c>
      <c r="F1098" t="inlineStr">
        <is>
          <t>Customer payment INV/2026/01839</t>
        </is>
      </c>
      <c r="G1098" s="9" t="n">
        <v>96.98999999999999</v>
      </c>
      <c r="H1098" t="inlineStr">
        <is>
          <t>customer_payment</t>
        </is>
      </c>
      <c r="I1098" t="inlineStr"/>
      <c r="J1098" t="inlineStr">
        <is>
          <t>G00152</t>
        </is>
      </c>
      <c r="K1098" t="str">
        <f>INDEX('Match Groups'!$D$5:$D$1326,MATCH(J1098,'Match Groups'!$A$5:$A$1326,0))</f>
        <v>MATCH</v>
      </c>
    </row>
    <row r="1099">
      <c r="A1099" t="inlineStr">
        <is>
          <t>JI-00332</t>
        </is>
      </c>
      <c r="B1099" t="inlineStr">
        <is>
          <t>OPS</t>
        </is>
      </c>
      <c r="C1099" s="5" t="n">
        <v>46218</v>
      </c>
      <c r="D1099" t="inlineStr">
        <is>
          <t>Mallee Plan Services</t>
        </is>
      </c>
      <c r="E1099" t="inlineStr">
        <is>
          <t>INV/2026/01840</t>
        </is>
      </c>
      <c r="F1099" t="inlineStr">
        <is>
          <t>Customer payment INV/2026/01840</t>
        </is>
      </c>
      <c r="G1099" s="9" t="n">
        <v>193.99</v>
      </c>
      <c r="H1099" t="inlineStr">
        <is>
          <t>customer_payment</t>
        </is>
      </c>
      <c r="I1099" t="inlineStr"/>
      <c r="J1099" t="inlineStr">
        <is>
          <t>G00152</t>
        </is>
      </c>
      <c r="K1099" t="str">
        <f>INDEX('Match Groups'!$D$5:$D$1326,MATCH(J1099,'Match Groups'!$A$5:$A$1326,0))</f>
        <v>MATCH</v>
      </c>
    </row>
    <row r="1100">
      <c r="A1100" t="inlineStr">
        <is>
          <t>JI-00333</t>
        </is>
      </c>
      <c r="B1100" t="inlineStr">
        <is>
          <t>OPS</t>
        </is>
      </c>
      <c r="C1100" s="5" t="n">
        <v>46218</v>
      </c>
      <c r="D1100" t="inlineStr">
        <is>
          <t>Mallee Plan Services</t>
        </is>
      </c>
      <c r="E1100" t="inlineStr">
        <is>
          <t>INV/2026/01867</t>
        </is>
      </c>
      <c r="F1100" t="inlineStr">
        <is>
          <t>Customer payment INV/2026/01867</t>
        </is>
      </c>
      <c r="G1100" s="9" t="n">
        <v>155.19</v>
      </c>
      <c r="H1100" t="inlineStr">
        <is>
          <t>customer_payment</t>
        </is>
      </c>
      <c r="I1100" t="inlineStr"/>
      <c r="J1100" t="inlineStr">
        <is>
          <t>G00152</t>
        </is>
      </c>
      <c r="K1100" t="str">
        <f>INDEX('Match Groups'!$D$5:$D$1326,MATCH(J1100,'Match Groups'!$A$5:$A$1326,0))</f>
        <v>MATCH</v>
      </c>
    </row>
    <row r="1101">
      <c r="A1101" t="inlineStr">
        <is>
          <t>JI-00334</t>
        </is>
      </c>
      <c r="B1101" t="inlineStr">
        <is>
          <t>OPS</t>
        </is>
      </c>
      <c r="C1101" s="5" t="n">
        <v>46218</v>
      </c>
      <c r="D1101" t="inlineStr">
        <is>
          <t>Mallee Plan Services</t>
        </is>
      </c>
      <c r="E1101" t="inlineStr">
        <is>
          <t>INV/2026/01868</t>
        </is>
      </c>
      <c r="F1101" t="inlineStr">
        <is>
          <t>Customer payment INV/2026/01868</t>
        </is>
      </c>
      <c r="G1101" s="9" t="n">
        <v>320.98</v>
      </c>
      <c r="H1101" t="inlineStr">
        <is>
          <t>customer_payment</t>
        </is>
      </c>
      <c r="I1101" t="inlineStr"/>
      <c r="J1101" t="inlineStr">
        <is>
          <t>G00152</t>
        </is>
      </c>
      <c r="K1101" t="str">
        <f>INDEX('Match Groups'!$D$5:$D$1326,MATCH(J1101,'Match Groups'!$A$5:$A$1326,0))</f>
        <v>MATCH</v>
      </c>
    </row>
    <row r="1102">
      <c r="A1102" t="inlineStr">
        <is>
          <t>JI-00335</t>
        </is>
      </c>
      <c r="B1102" t="inlineStr">
        <is>
          <t>OPS</t>
        </is>
      </c>
      <c r="C1102" s="5" t="n">
        <v>46218</v>
      </c>
      <c r="D1102" t="inlineStr">
        <is>
          <t>Mallee Plan Services</t>
        </is>
      </c>
      <c r="E1102" t="inlineStr">
        <is>
          <t>INV/2026/01869</t>
        </is>
      </c>
      <c r="F1102" t="inlineStr">
        <is>
          <t>Customer payment INV/2026/01869</t>
        </is>
      </c>
      <c r="G1102" s="9" t="n">
        <v>387.98</v>
      </c>
      <c r="H1102" t="inlineStr">
        <is>
          <t>customer_payment</t>
        </is>
      </c>
      <c r="I1102" t="inlineStr"/>
      <c r="J1102" t="inlineStr">
        <is>
          <t>G00152</t>
        </is>
      </c>
      <c r="K1102" t="str">
        <f>INDEX('Match Groups'!$D$5:$D$1326,MATCH(J1102,'Match Groups'!$A$5:$A$1326,0))</f>
        <v>MATCH</v>
      </c>
    </row>
    <row r="1103">
      <c r="A1103" t="inlineStr">
        <is>
          <t>JI-00336</t>
        </is>
      </c>
      <c r="B1103" t="inlineStr">
        <is>
          <t>OPS</t>
        </is>
      </c>
      <c r="C1103" s="5" t="n">
        <v>46218</v>
      </c>
      <c r="D1103" t="inlineStr">
        <is>
          <t>Mallee Plan Services</t>
        </is>
      </c>
      <c r="E1103" t="inlineStr">
        <is>
          <t>INV/2026/01891</t>
        </is>
      </c>
      <c r="F1103" t="inlineStr">
        <is>
          <t>Customer payment INV/2026/01891</t>
        </is>
      </c>
      <c r="G1103" s="9" t="n">
        <v>145.49</v>
      </c>
      <c r="H1103" t="inlineStr">
        <is>
          <t>customer_payment</t>
        </is>
      </c>
      <c r="I1103" t="inlineStr"/>
      <c r="J1103" t="inlineStr">
        <is>
          <t>G00152</t>
        </is>
      </c>
      <c r="K1103" t="str">
        <f>INDEX('Match Groups'!$D$5:$D$1326,MATCH(J1103,'Match Groups'!$A$5:$A$1326,0))</f>
        <v>MATCH</v>
      </c>
    </row>
    <row r="1104">
      <c r="A1104" t="inlineStr">
        <is>
          <t>JI-00337</t>
        </is>
      </c>
      <c r="B1104" t="inlineStr">
        <is>
          <t>OPS</t>
        </is>
      </c>
      <c r="C1104" s="5" t="n">
        <v>46218</v>
      </c>
      <c r="D1104" t="inlineStr">
        <is>
          <t>Mallee Plan Services</t>
        </is>
      </c>
      <c r="E1104" t="inlineStr">
        <is>
          <t>INV/2026/01941</t>
        </is>
      </c>
      <c r="F1104" t="inlineStr">
        <is>
          <t>Customer payment INV/2026/01941</t>
        </is>
      </c>
      <c r="G1104" s="9" t="n">
        <v>145.49</v>
      </c>
      <c r="H1104" t="inlineStr">
        <is>
          <t>customer_payment</t>
        </is>
      </c>
      <c r="I1104" t="inlineStr"/>
      <c r="J1104" t="inlineStr">
        <is>
          <t>G00152</t>
        </is>
      </c>
      <c r="K1104" t="str">
        <f>INDEX('Match Groups'!$D$5:$D$1326,MATCH(J1104,'Match Groups'!$A$5:$A$1326,0))</f>
        <v>MATCH</v>
      </c>
    </row>
    <row r="1105">
      <c r="A1105" t="inlineStr">
        <is>
          <t>JI-01667</t>
        </is>
      </c>
      <c r="B1105" t="inlineStr">
        <is>
          <t>OPS</t>
        </is>
      </c>
      <c r="C1105" s="5" t="n">
        <v>46218</v>
      </c>
      <c r="D1105" t="inlineStr">
        <is>
          <t>Ostrander Manufacturing</t>
        </is>
      </c>
      <c r="E1105" t="inlineStr">
        <is>
          <t>INV/2026/03419</t>
        </is>
      </c>
      <c r="F1105" t="inlineStr">
        <is>
          <t>Customer payment INV/2026/03419</t>
        </is>
      </c>
      <c r="G1105" s="9" t="n">
        <v>6820</v>
      </c>
      <c r="H1105" t="inlineStr">
        <is>
          <t>customer_payment</t>
        </is>
      </c>
      <c r="I1105" t="inlineStr"/>
      <c r="J1105" t="inlineStr">
        <is>
          <t>G00943</t>
        </is>
      </c>
      <c r="K1105" t="str">
        <f>INDEX('Match Groups'!$D$5:$D$1326,MATCH(J1105,'Match Groups'!$A$5:$A$1326,0))</f>
        <v>MATCH</v>
      </c>
    </row>
    <row r="1106">
      <c r="A1106" t="inlineStr">
        <is>
          <t>JI-01704</t>
        </is>
      </c>
      <c r="B1106" t="inlineStr">
        <is>
          <t>OPS</t>
        </is>
      </c>
      <c r="C1106" s="5" t="n">
        <v>46218</v>
      </c>
      <c r="D1106" t="inlineStr">
        <is>
          <t>Broadmeadow Plastics</t>
        </is>
      </c>
      <c r="E1106" t="inlineStr">
        <is>
          <t>INV/2026/03435</t>
        </is>
      </c>
      <c r="F1106" t="inlineStr">
        <is>
          <t>Customer payment INV/2026/03435</t>
        </is>
      </c>
      <c r="G1106" s="9" t="n">
        <v>3616.25</v>
      </c>
      <c r="H1106" t="inlineStr">
        <is>
          <t>customer_payment</t>
        </is>
      </c>
      <c r="I1106" t="inlineStr"/>
      <c r="J1106" t="inlineStr">
        <is>
          <t>G00948</t>
        </is>
      </c>
      <c r="K1106" t="str">
        <f>INDEX('Match Groups'!$D$5:$D$1326,MATCH(J1106,'Match Groups'!$A$5:$A$1326,0))</f>
        <v>MATCH</v>
      </c>
    </row>
    <row r="1107">
      <c r="A1107" t="inlineStr">
        <is>
          <t>JI-01717</t>
        </is>
      </c>
      <c r="B1107" t="inlineStr">
        <is>
          <t>OPS</t>
        </is>
      </c>
      <c r="C1107" s="5" t="n">
        <v>46218</v>
      </c>
      <c r="D1107" t="inlineStr">
        <is>
          <t>Daintree Packaging</t>
        </is>
      </c>
      <c r="E1107" t="inlineStr">
        <is>
          <t>INV/2026/03441</t>
        </is>
      </c>
      <c r="F1107" t="inlineStr">
        <is>
          <t>Customer payment INV/2026/03441</t>
        </is>
      </c>
      <c r="G1107" s="9" t="n">
        <v>5431.25</v>
      </c>
      <c r="H1107" t="inlineStr">
        <is>
          <t>customer_payment</t>
        </is>
      </c>
      <c r="I1107" t="inlineStr"/>
      <c r="J1107" t="inlineStr">
        <is>
          <t>G00944</t>
        </is>
      </c>
      <c r="K1107" t="str">
        <f>INDEX('Match Groups'!$D$5:$D$1326,MATCH(J1107,'Match Groups'!$A$5:$A$1326,0))</f>
        <v>MATCH</v>
      </c>
    </row>
    <row r="1108">
      <c r="A1108" t="inlineStr">
        <is>
          <t>JI-01756</t>
        </is>
      </c>
      <c r="B1108" t="inlineStr">
        <is>
          <t>OPS</t>
        </is>
      </c>
      <c r="C1108" s="5" t="n">
        <v>46218</v>
      </c>
      <c r="D1108" t="inlineStr">
        <is>
          <t>Oakbank Recycling</t>
        </is>
      </c>
      <c r="E1108" t="inlineStr">
        <is>
          <t>INV/2026/03454</t>
        </is>
      </c>
      <c r="F1108" t="inlineStr">
        <is>
          <t>Customer payment INV/2026/03454</t>
        </is>
      </c>
      <c r="G1108" s="9" t="n">
        <v>2640</v>
      </c>
      <c r="H1108" t="inlineStr">
        <is>
          <t>customer_payment</t>
        </is>
      </c>
      <c r="I1108" t="inlineStr"/>
      <c r="J1108" t="inlineStr">
        <is>
          <t>G00937</t>
        </is>
      </c>
      <c r="K1108" t="str">
        <f>INDEX('Match Groups'!$D$5:$D$1326,MATCH(J1108,'Match Groups'!$A$5:$A$1326,0))</f>
        <v>MATCH</v>
      </c>
    </row>
    <row r="1109">
      <c r="A1109" t="inlineStr">
        <is>
          <t>JI-02117</t>
        </is>
      </c>
      <c r="B1109" t="inlineStr">
        <is>
          <t>OPS</t>
        </is>
      </c>
      <c r="C1109" s="5" t="n">
        <v>46218</v>
      </c>
      <c r="D1109" t="inlineStr">
        <is>
          <t>Stripe patient 64786</t>
        </is>
      </c>
      <c r="E1109" t="inlineStr">
        <is>
          <t>INV/2026/03964</t>
        </is>
      </c>
      <c r="F1109" t="inlineStr">
        <is>
          <t>Customer payment INV/2026/03964</t>
        </is>
      </c>
      <c r="G1109" s="9" t="n">
        <v>95</v>
      </c>
      <c r="H1109" t="inlineStr">
        <is>
          <t>customer_payment</t>
        </is>
      </c>
      <c r="I1109" t="inlineStr"/>
      <c r="J1109" t="inlineStr">
        <is>
          <t>G00026</t>
        </is>
      </c>
      <c r="K1109" t="str">
        <f>INDEX('Match Groups'!$D$5:$D$1326,MATCH(J1109,'Match Groups'!$A$5:$A$1326,0))</f>
        <v>STRIPE-FEE</v>
      </c>
    </row>
    <row r="1110">
      <c r="A1110" t="inlineStr">
        <is>
          <t>JI-02118</t>
        </is>
      </c>
      <c r="B1110" t="inlineStr">
        <is>
          <t>OPS</t>
        </is>
      </c>
      <c r="C1110" s="5" t="n">
        <v>46218</v>
      </c>
      <c r="D1110" t="inlineStr">
        <is>
          <t>Stripe patient 64936</t>
        </is>
      </c>
      <c r="E1110" t="inlineStr">
        <is>
          <t>INV/2026/03965</t>
        </is>
      </c>
      <c r="F1110" t="inlineStr">
        <is>
          <t>Customer payment INV/2026/03965</t>
        </is>
      </c>
      <c r="G1110" s="9" t="n">
        <v>85</v>
      </c>
      <c r="H1110" t="inlineStr">
        <is>
          <t>customer_payment</t>
        </is>
      </c>
      <c r="I1110" t="inlineStr"/>
      <c r="J1110" t="inlineStr">
        <is>
          <t>G00026</t>
        </is>
      </c>
      <c r="K1110" t="str">
        <f>INDEX('Match Groups'!$D$5:$D$1326,MATCH(J1110,'Match Groups'!$A$5:$A$1326,0))</f>
        <v>STRIPE-FEE</v>
      </c>
    </row>
    <row r="1111">
      <c r="A1111" t="inlineStr">
        <is>
          <t>JI-02119</t>
        </is>
      </c>
      <c r="B1111" t="inlineStr">
        <is>
          <t>OPS</t>
        </is>
      </c>
      <c r="C1111" s="5" t="n">
        <v>46218</v>
      </c>
      <c r="D1111" t="inlineStr">
        <is>
          <t>Stripe patient 90583</t>
        </is>
      </c>
      <c r="E1111" t="inlineStr">
        <is>
          <t>INV/2026/03966</t>
        </is>
      </c>
      <c r="F1111" t="inlineStr">
        <is>
          <t>Customer payment INV/2026/03966</t>
        </is>
      </c>
      <c r="G1111" s="9" t="n">
        <v>150</v>
      </c>
      <c r="H1111" t="inlineStr">
        <is>
          <t>customer_payment</t>
        </is>
      </c>
      <c r="I1111" t="inlineStr"/>
      <c r="J1111" t="inlineStr">
        <is>
          <t>G00026</t>
        </is>
      </c>
      <c r="K1111" t="str">
        <f>INDEX('Match Groups'!$D$5:$D$1326,MATCH(J1111,'Match Groups'!$A$5:$A$1326,0))</f>
        <v>STRIPE-FEE</v>
      </c>
    </row>
    <row r="1112">
      <c r="A1112" t="inlineStr">
        <is>
          <t>JI-02120</t>
        </is>
      </c>
      <c r="B1112" t="inlineStr">
        <is>
          <t>OPS</t>
        </is>
      </c>
      <c r="C1112" s="5" t="n">
        <v>46218</v>
      </c>
      <c r="D1112" t="inlineStr">
        <is>
          <t>Stripe patient 96114</t>
        </is>
      </c>
      <c r="E1112" t="inlineStr">
        <is>
          <t>INV/2026/03967</t>
        </is>
      </c>
      <c r="F1112" t="inlineStr">
        <is>
          <t>Customer payment INV/2026/03967</t>
        </is>
      </c>
      <c r="G1112" s="9" t="n">
        <v>110</v>
      </c>
      <c r="H1112" t="inlineStr">
        <is>
          <t>customer_payment</t>
        </is>
      </c>
      <c r="I1112" t="inlineStr"/>
      <c r="J1112" t="inlineStr">
        <is>
          <t>G00026</t>
        </is>
      </c>
      <c r="K1112" t="str">
        <f>INDEX('Match Groups'!$D$5:$D$1326,MATCH(J1112,'Match Groups'!$A$5:$A$1326,0))</f>
        <v>STRIPE-FEE</v>
      </c>
    </row>
    <row r="1113">
      <c r="A1113" t="inlineStr">
        <is>
          <t>JI-02121</t>
        </is>
      </c>
      <c r="B1113" t="inlineStr">
        <is>
          <t>OPS</t>
        </is>
      </c>
      <c r="C1113" s="5" t="n">
        <v>46218</v>
      </c>
      <c r="D1113" t="inlineStr">
        <is>
          <t>Stripe patient 61489</t>
        </is>
      </c>
      <c r="E1113" t="inlineStr">
        <is>
          <t>INV/2026/03968</t>
        </is>
      </c>
      <c r="F1113" t="inlineStr">
        <is>
          <t>Customer payment INV/2026/03968</t>
        </is>
      </c>
      <c r="G1113" s="9" t="n">
        <v>110</v>
      </c>
      <c r="H1113" t="inlineStr">
        <is>
          <t>customer_payment</t>
        </is>
      </c>
      <c r="I1113" t="inlineStr"/>
      <c r="J1113" t="inlineStr">
        <is>
          <t>G00026</t>
        </is>
      </c>
      <c r="K1113" t="str">
        <f>INDEX('Match Groups'!$D$5:$D$1326,MATCH(J1113,'Match Groups'!$A$5:$A$1326,0))</f>
        <v>STRIPE-FEE</v>
      </c>
    </row>
    <row r="1114">
      <c r="A1114" t="inlineStr">
        <is>
          <t>JI-02122</t>
        </is>
      </c>
      <c r="B1114" t="inlineStr">
        <is>
          <t>OPS</t>
        </is>
      </c>
      <c r="C1114" s="5" t="n">
        <v>46218</v>
      </c>
      <c r="D1114" t="inlineStr">
        <is>
          <t>Stripe patient 54353</t>
        </is>
      </c>
      <c r="E1114" t="inlineStr">
        <is>
          <t>INV/2026/03969</t>
        </is>
      </c>
      <c r="F1114" t="inlineStr">
        <is>
          <t>Customer payment INV/2026/03969</t>
        </is>
      </c>
      <c r="G1114" s="9" t="n">
        <v>135</v>
      </c>
      <c r="H1114" t="inlineStr">
        <is>
          <t>customer_payment</t>
        </is>
      </c>
      <c r="I1114" t="inlineStr"/>
      <c r="J1114" t="inlineStr">
        <is>
          <t>G00026</t>
        </is>
      </c>
      <c r="K1114" t="str">
        <f>INDEX('Match Groups'!$D$5:$D$1326,MATCH(J1114,'Match Groups'!$A$5:$A$1326,0))</f>
        <v>STRIPE-FEE</v>
      </c>
    </row>
    <row r="1115">
      <c r="A1115" t="inlineStr">
        <is>
          <t>JI-02123</t>
        </is>
      </c>
      <c r="B1115" t="inlineStr">
        <is>
          <t>OPS</t>
        </is>
      </c>
      <c r="C1115" s="5" t="n">
        <v>46218</v>
      </c>
      <c r="D1115" t="inlineStr">
        <is>
          <t>Stripe patient 99515</t>
        </is>
      </c>
      <c r="E1115" t="inlineStr">
        <is>
          <t>INV/2026/03970</t>
        </is>
      </c>
      <c r="F1115" t="inlineStr">
        <is>
          <t>Customer payment INV/2026/03970</t>
        </is>
      </c>
      <c r="G1115" s="9" t="n">
        <v>135</v>
      </c>
      <c r="H1115" t="inlineStr">
        <is>
          <t>customer_payment</t>
        </is>
      </c>
      <c r="I1115" t="inlineStr"/>
      <c r="J1115" t="inlineStr">
        <is>
          <t>G00026</t>
        </is>
      </c>
      <c r="K1115" t="str">
        <f>INDEX('Match Groups'!$D$5:$D$1326,MATCH(J1115,'Match Groups'!$A$5:$A$1326,0))</f>
        <v>STRIPE-FEE</v>
      </c>
    </row>
    <row r="1116">
      <c r="A1116" t="inlineStr">
        <is>
          <t>JI-02124</t>
        </is>
      </c>
      <c r="B1116" t="inlineStr">
        <is>
          <t>OPS</t>
        </is>
      </c>
      <c r="C1116" s="5" t="n">
        <v>46218</v>
      </c>
      <c r="D1116" t="inlineStr">
        <is>
          <t>Stripe patient 84085</t>
        </is>
      </c>
      <c r="E1116" t="inlineStr">
        <is>
          <t>INV/2026/03971</t>
        </is>
      </c>
      <c r="F1116" t="inlineStr">
        <is>
          <t>Customer payment INV/2026/03971</t>
        </is>
      </c>
      <c r="G1116" s="9" t="n">
        <v>150</v>
      </c>
      <c r="H1116" t="inlineStr">
        <is>
          <t>customer_payment</t>
        </is>
      </c>
      <c r="I1116" t="inlineStr"/>
      <c r="J1116" t="inlineStr">
        <is>
          <t>G00026</t>
        </is>
      </c>
      <c r="K1116" t="str">
        <f>INDEX('Match Groups'!$D$5:$D$1326,MATCH(J1116,'Match Groups'!$A$5:$A$1326,0))</f>
        <v>STRIPE-FEE</v>
      </c>
    </row>
    <row r="1117">
      <c r="A1117" t="inlineStr">
        <is>
          <t>JI-02125</t>
        </is>
      </c>
      <c r="B1117" t="inlineStr">
        <is>
          <t>OPS</t>
        </is>
      </c>
      <c r="C1117" s="5" t="n">
        <v>46218</v>
      </c>
      <c r="D1117" t="inlineStr">
        <is>
          <t>Stripe patient 75847</t>
        </is>
      </c>
      <c r="E1117" t="inlineStr">
        <is>
          <t>INV/2026/03972</t>
        </is>
      </c>
      <c r="F1117" t="inlineStr">
        <is>
          <t>Customer payment INV/2026/03972</t>
        </is>
      </c>
      <c r="G1117" s="9" t="n">
        <v>180</v>
      </c>
      <c r="H1117" t="inlineStr">
        <is>
          <t>customer_payment</t>
        </is>
      </c>
      <c r="I1117" t="inlineStr"/>
      <c r="J1117" t="inlineStr">
        <is>
          <t>G00026</t>
        </is>
      </c>
      <c r="K1117" t="str">
        <f>INDEX('Match Groups'!$D$5:$D$1326,MATCH(J1117,'Match Groups'!$A$5:$A$1326,0))</f>
        <v>STRIPE-FEE</v>
      </c>
    </row>
    <row r="1118">
      <c r="A1118" t="inlineStr">
        <is>
          <t>JI-02126</t>
        </is>
      </c>
      <c r="B1118" t="inlineStr">
        <is>
          <t>OPS</t>
        </is>
      </c>
      <c r="C1118" s="5" t="n">
        <v>46218</v>
      </c>
      <c r="D1118" t="inlineStr">
        <is>
          <t>Stripe patient 25550</t>
        </is>
      </c>
      <c r="E1118" t="inlineStr">
        <is>
          <t>INV/2026/03973</t>
        </is>
      </c>
      <c r="F1118" t="inlineStr">
        <is>
          <t>Customer payment INV/2026/03973</t>
        </is>
      </c>
      <c r="G1118" s="9" t="n">
        <v>180</v>
      </c>
      <c r="H1118" t="inlineStr">
        <is>
          <t>customer_payment</t>
        </is>
      </c>
      <c r="I1118" t="inlineStr"/>
      <c r="J1118" t="inlineStr">
        <is>
          <t>G00026</t>
        </is>
      </c>
      <c r="K1118" t="str">
        <f>INDEX('Match Groups'!$D$5:$D$1326,MATCH(J1118,'Match Groups'!$A$5:$A$1326,0))</f>
        <v>STRIPE-FEE</v>
      </c>
    </row>
    <row r="1119">
      <c r="A1119" t="inlineStr">
        <is>
          <t>JI-02127</t>
        </is>
      </c>
      <c r="B1119" t="inlineStr">
        <is>
          <t>OPS</t>
        </is>
      </c>
      <c r="C1119" s="5" t="n">
        <v>46218</v>
      </c>
      <c r="D1119" t="inlineStr">
        <is>
          <t>Stripe patient 12741</t>
        </is>
      </c>
      <c r="E1119" t="inlineStr">
        <is>
          <t>INV/2026/03974</t>
        </is>
      </c>
      <c r="F1119" t="inlineStr">
        <is>
          <t>Customer payment INV/2026/03974</t>
        </is>
      </c>
      <c r="G1119" s="9" t="n">
        <v>85</v>
      </c>
      <c r="H1119" t="inlineStr">
        <is>
          <t>customer_payment</t>
        </is>
      </c>
      <c r="I1119" t="inlineStr"/>
      <c r="J1119" t="inlineStr">
        <is>
          <t>G00026</t>
        </is>
      </c>
      <c r="K1119" t="str">
        <f>INDEX('Match Groups'!$D$5:$D$1326,MATCH(J1119,'Match Groups'!$A$5:$A$1326,0))</f>
        <v>STRIPE-FEE</v>
      </c>
    </row>
    <row r="1120">
      <c r="A1120" t="inlineStr">
        <is>
          <t>JI-02128</t>
        </is>
      </c>
      <c r="B1120" t="inlineStr">
        <is>
          <t>OPS</t>
        </is>
      </c>
      <c r="C1120" s="5" t="n">
        <v>46218</v>
      </c>
      <c r="D1120" t="inlineStr">
        <is>
          <t>Stripe patient 15253</t>
        </is>
      </c>
      <c r="E1120" t="inlineStr">
        <is>
          <t>INV/2026/03975</t>
        </is>
      </c>
      <c r="F1120" t="inlineStr">
        <is>
          <t>Customer payment INV/2026/03975</t>
        </is>
      </c>
      <c r="G1120" s="9" t="n">
        <v>110</v>
      </c>
      <c r="H1120" t="inlineStr">
        <is>
          <t>customer_payment</t>
        </is>
      </c>
      <c r="I1120" t="inlineStr"/>
      <c r="J1120" t="inlineStr">
        <is>
          <t>G00026</t>
        </is>
      </c>
      <c r="K1120" t="str">
        <f>INDEX('Match Groups'!$D$5:$D$1326,MATCH(J1120,'Match Groups'!$A$5:$A$1326,0))</f>
        <v>STRIPE-FEE</v>
      </c>
    </row>
    <row r="1121">
      <c r="A1121" t="inlineStr">
        <is>
          <t>JI-02129</t>
        </is>
      </c>
      <c r="B1121" t="inlineStr">
        <is>
          <t>OPS</t>
        </is>
      </c>
      <c r="C1121" s="5" t="n">
        <v>46218</v>
      </c>
      <c r="D1121" t="inlineStr">
        <is>
          <t>Stripe patient 32480</t>
        </is>
      </c>
      <c r="E1121" t="inlineStr">
        <is>
          <t>INV/2026/03976</t>
        </is>
      </c>
      <c r="F1121" t="inlineStr">
        <is>
          <t>Customer payment INV/2026/03976</t>
        </is>
      </c>
      <c r="G1121" s="9" t="n">
        <v>120</v>
      </c>
      <c r="H1121" t="inlineStr">
        <is>
          <t>customer_payment</t>
        </is>
      </c>
      <c r="I1121" t="inlineStr"/>
      <c r="J1121" t="inlineStr">
        <is>
          <t>G00026</t>
        </is>
      </c>
      <c r="K1121" t="str">
        <f>INDEX('Match Groups'!$D$5:$D$1326,MATCH(J1121,'Match Groups'!$A$5:$A$1326,0))</f>
        <v>STRIPE-FEE</v>
      </c>
    </row>
    <row r="1122">
      <c r="A1122" t="inlineStr">
        <is>
          <t>JI-02130</t>
        </is>
      </c>
      <c r="B1122" t="inlineStr">
        <is>
          <t>OPS</t>
        </is>
      </c>
      <c r="C1122" s="5" t="n">
        <v>46218</v>
      </c>
      <c r="D1122" t="inlineStr">
        <is>
          <t>Stripe patient 70881</t>
        </is>
      </c>
      <c r="E1122" t="inlineStr">
        <is>
          <t>INV/2026/03977</t>
        </is>
      </c>
      <c r="F1122" t="inlineStr">
        <is>
          <t>Customer payment INV/2026/03977</t>
        </is>
      </c>
      <c r="G1122" s="9" t="n">
        <v>180</v>
      </c>
      <c r="H1122" t="inlineStr">
        <is>
          <t>customer_payment</t>
        </is>
      </c>
      <c r="I1122" t="inlineStr"/>
      <c r="J1122" t="inlineStr">
        <is>
          <t>G00026</t>
        </is>
      </c>
      <c r="K1122" t="str">
        <f>INDEX('Match Groups'!$D$5:$D$1326,MATCH(J1122,'Match Groups'!$A$5:$A$1326,0))</f>
        <v>STRIPE-FEE</v>
      </c>
    </row>
    <row r="1123">
      <c r="A1123" t="inlineStr">
        <is>
          <t>JI-02131</t>
        </is>
      </c>
      <c r="B1123" t="inlineStr">
        <is>
          <t>OPS</t>
        </is>
      </c>
      <c r="C1123" s="5" t="n">
        <v>46218</v>
      </c>
      <c r="D1123" t="inlineStr">
        <is>
          <t>Stripe patient 34213</t>
        </is>
      </c>
      <c r="E1123" t="inlineStr">
        <is>
          <t>INV/2026/03978</t>
        </is>
      </c>
      <c r="F1123" t="inlineStr">
        <is>
          <t>Customer payment INV/2026/03978</t>
        </is>
      </c>
      <c r="G1123" s="9" t="n">
        <v>120</v>
      </c>
      <c r="H1123" t="inlineStr">
        <is>
          <t>customer_payment</t>
        </is>
      </c>
      <c r="I1123" t="inlineStr"/>
      <c r="J1123" t="inlineStr">
        <is>
          <t>G00026</t>
        </is>
      </c>
      <c r="K1123" t="str">
        <f>INDEX('Match Groups'!$D$5:$D$1326,MATCH(J1123,'Match Groups'!$A$5:$A$1326,0))</f>
        <v>STRIPE-FEE</v>
      </c>
    </row>
    <row r="1124">
      <c r="A1124" t="inlineStr">
        <is>
          <t>JI-02132</t>
        </is>
      </c>
      <c r="B1124" t="inlineStr">
        <is>
          <t>OPS</t>
        </is>
      </c>
      <c r="C1124" s="5" t="n">
        <v>46218</v>
      </c>
      <c r="D1124" t="inlineStr">
        <is>
          <t>Stripe patient 65825</t>
        </is>
      </c>
      <c r="E1124" t="inlineStr">
        <is>
          <t>INV/2026/03979</t>
        </is>
      </c>
      <c r="F1124" t="inlineStr">
        <is>
          <t>Customer payment INV/2026/03979</t>
        </is>
      </c>
      <c r="G1124" s="9" t="n">
        <v>150</v>
      </c>
      <c r="H1124" t="inlineStr">
        <is>
          <t>customer_payment</t>
        </is>
      </c>
      <c r="I1124" t="inlineStr"/>
      <c r="J1124" t="inlineStr">
        <is>
          <t>G00026</t>
        </is>
      </c>
      <c r="K1124" t="str">
        <f>INDEX('Match Groups'!$D$5:$D$1326,MATCH(J1124,'Match Groups'!$A$5:$A$1326,0))</f>
        <v>STRIPE-FEE</v>
      </c>
    </row>
    <row r="1125">
      <c r="A1125" t="inlineStr">
        <is>
          <t>JI-02133</t>
        </is>
      </c>
      <c r="B1125" t="inlineStr">
        <is>
          <t>OPS</t>
        </is>
      </c>
      <c r="C1125" s="5" t="n">
        <v>46218</v>
      </c>
      <c r="D1125" t="inlineStr">
        <is>
          <t>Stripe patient 11226</t>
        </is>
      </c>
      <c r="E1125" t="inlineStr">
        <is>
          <t>INV/2026/03980</t>
        </is>
      </c>
      <c r="F1125" t="inlineStr">
        <is>
          <t>Customer payment INV/2026/03980</t>
        </is>
      </c>
      <c r="G1125" s="9" t="n">
        <v>110</v>
      </c>
      <c r="H1125" t="inlineStr">
        <is>
          <t>customer_payment</t>
        </is>
      </c>
      <c r="I1125" t="inlineStr"/>
      <c r="J1125" t="inlineStr">
        <is>
          <t>G00026</t>
        </is>
      </c>
      <c r="K1125" t="str">
        <f>INDEX('Match Groups'!$D$5:$D$1326,MATCH(J1125,'Match Groups'!$A$5:$A$1326,0))</f>
        <v>STRIPE-FEE</v>
      </c>
    </row>
    <row r="1126">
      <c r="A1126" t="inlineStr">
        <is>
          <t>JI-02134</t>
        </is>
      </c>
      <c r="B1126" t="inlineStr">
        <is>
          <t>OPS</t>
        </is>
      </c>
      <c r="C1126" s="5" t="n">
        <v>46218</v>
      </c>
      <c r="D1126" t="inlineStr">
        <is>
          <t>Stripe patient 80510</t>
        </is>
      </c>
      <c r="E1126" t="inlineStr">
        <is>
          <t>INV/2026/03981</t>
        </is>
      </c>
      <c r="F1126" t="inlineStr">
        <is>
          <t>Customer payment INV/2026/03981</t>
        </is>
      </c>
      <c r="G1126" s="9" t="n">
        <v>85</v>
      </c>
      <c r="H1126" t="inlineStr">
        <is>
          <t>customer_payment</t>
        </is>
      </c>
      <c r="I1126" t="inlineStr"/>
      <c r="J1126" t="inlineStr">
        <is>
          <t>G00026</t>
        </is>
      </c>
      <c r="K1126" t="str">
        <f>INDEX('Match Groups'!$D$5:$D$1326,MATCH(J1126,'Match Groups'!$A$5:$A$1326,0))</f>
        <v>STRIPE-FEE</v>
      </c>
    </row>
    <row r="1127">
      <c r="A1127" t="inlineStr">
        <is>
          <t>JI-02135</t>
        </is>
      </c>
      <c r="B1127" t="inlineStr">
        <is>
          <t>OPS</t>
        </is>
      </c>
      <c r="C1127" s="5" t="n">
        <v>46218</v>
      </c>
      <c r="D1127" t="inlineStr">
        <is>
          <t>Stripe patient 29984</t>
        </is>
      </c>
      <c r="E1127" t="inlineStr">
        <is>
          <t>INV/2026/03982</t>
        </is>
      </c>
      <c r="F1127" t="inlineStr">
        <is>
          <t>Customer payment INV/2026/03982</t>
        </is>
      </c>
      <c r="G1127" s="9" t="n">
        <v>110</v>
      </c>
      <c r="H1127" t="inlineStr">
        <is>
          <t>customer_payment</t>
        </is>
      </c>
      <c r="I1127" t="inlineStr"/>
      <c r="J1127" t="inlineStr">
        <is>
          <t>G00026</t>
        </is>
      </c>
      <c r="K1127" t="str">
        <f>INDEX('Match Groups'!$D$5:$D$1326,MATCH(J1127,'Match Groups'!$A$5:$A$1326,0))</f>
        <v>STRIPE-FEE</v>
      </c>
    </row>
    <row r="1128">
      <c r="A1128" t="inlineStr">
        <is>
          <t>JI-02136</t>
        </is>
      </c>
      <c r="B1128" t="inlineStr">
        <is>
          <t>OPS</t>
        </is>
      </c>
      <c r="C1128" s="5" t="n">
        <v>46218</v>
      </c>
      <c r="D1128" t="inlineStr">
        <is>
          <t>Stripe patient 31546</t>
        </is>
      </c>
      <c r="E1128" t="inlineStr">
        <is>
          <t>INV/2026/03983</t>
        </is>
      </c>
      <c r="F1128" t="inlineStr">
        <is>
          <t>Customer payment INV/2026/03983</t>
        </is>
      </c>
      <c r="G1128" s="9" t="n">
        <v>110</v>
      </c>
      <c r="H1128" t="inlineStr">
        <is>
          <t>customer_payment</t>
        </is>
      </c>
      <c r="I1128" t="inlineStr"/>
      <c r="J1128" t="inlineStr">
        <is>
          <t>G00026</t>
        </is>
      </c>
      <c r="K1128" t="str">
        <f>INDEX('Match Groups'!$D$5:$D$1326,MATCH(J1128,'Match Groups'!$A$5:$A$1326,0))</f>
        <v>STRIPE-FEE</v>
      </c>
    </row>
    <row r="1129">
      <c r="A1129" t="inlineStr">
        <is>
          <t>JI-02137</t>
        </is>
      </c>
      <c r="B1129" t="inlineStr">
        <is>
          <t>OPS</t>
        </is>
      </c>
      <c r="C1129" s="5" t="n">
        <v>46218</v>
      </c>
      <c r="D1129" t="inlineStr">
        <is>
          <t>Stripe patient 17202</t>
        </is>
      </c>
      <c r="E1129" t="inlineStr">
        <is>
          <t>INV/2026/03984</t>
        </is>
      </c>
      <c r="F1129" t="inlineStr">
        <is>
          <t>Customer payment INV/2026/03984</t>
        </is>
      </c>
      <c r="G1129" s="9" t="n">
        <v>120</v>
      </c>
      <c r="H1129" t="inlineStr">
        <is>
          <t>customer_payment</t>
        </is>
      </c>
      <c r="I1129" t="inlineStr"/>
      <c r="J1129" t="inlineStr">
        <is>
          <t>G00026</t>
        </is>
      </c>
      <c r="K1129" t="str">
        <f>INDEX('Match Groups'!$D$5:$D$1326,MATCH(J1129,'Match Groups'!$A$5:$A$1326,0))</f>
        <v>STRIPE-FEE</v>
      </c>
    </row>
    <row r="1130">
      <c r="A1130" t="inlineStr">
        <is>
          <t>JI-03743</t>
        </is>
      </c>
      <c r="B1130" t="inlineStr">
        <is>
          <t>OPS</t>
        </is>
      </c>
      <c r="C1130" s="5" t="n">
        <v>46218</v>
      </c>
      <c r="D1130" t="inlineStr">
        <is>
          <t>Allied Med Consumables</t>
        </is>
      </c>
      <c r="E1130" t="inlineStr">
        <is>
          <t>BILL/2026/0856</t>
        </is>
      </c>
      <c r="F1130" t="inlineStr">
        <is>
          <t>Vendor payment BILL/2026/0856 (BATCH/2026/0413)</t>
        </is>
      </c>
      <c r="G1130" s="9" t="n">
        <v>-3862.1</v>
      </c>
      <c r="H1130" t="inlineStr">
        <is>
          <t>supplier_payment</t>
        </is>
      </c>
      <c r="I1130" t="inlineStr">
        <is>
          <t>BATCH/2026/0413</t>
        </is>
      </c>
      <c r="J1130" t="inlineStr">
        <is>
          <t>G00511</t>
        </is>
      </c>
      <c r="K1130" t="str">
        <f>INDEX('Match Groups'!$D$5:$D$1326,MATCH(J1130,'Match Groups'!$A$5:$A$1326,0))</f>
        <v>MATCH</v>
      </c>
    </row>
    <row r="1131">
      <c r="A1131" t="inlineStr">
        <is>
          <t>JI-03744</t>
        </is>
      </c>
      <c r="B1131" t="inlineStr">
        <is>
          <t>OPS</t>
        </is>
      </c>
      <c r="C1131" s="5" t="n">
        <v>46218</v>
      </c>
      <c r="D1131" t="inlineStr">
        <is>
          <t>Allied Med Consumables</t>
        </is>
      </c>
      <c r="E1131" t="inlineStr">
        <is>
          <t>BILL/2026/0860</t>
        </is>
      </c>
      <c r="F1131" t="inlineStr">
        <is>
          <t>Vendor payment BILL/2026/0860 (BATCH/2026/0413)</t>
        </is>
      </c>
      <c r="G1131" s="9" t="n">
        <v>-507.1</v>
      </c>
      <c r="H1131" t="inlineStr">
        <is>
          <t>supplier_payment</t>
        </is>
      </c>
      <c r="I1131" t="inlineStr">
        <is>
          <t>BATCH/2026/0413</t>
        </is>
      </c>
      <c r="J1131" t="inlineStr">
        <is>
          <t>G00511</t>
        </is>
      </c>
      <c r="K1131" t="str">
        <f>INDEX('Match Groups'!$D$5:$D$1326,MATCH(J1131,'Match Groups'!$A$5:$A$1326,0))</f>
        <v>MATCH</v>
      </c>
    </row>
    <row r="1132">
      <c r="A1132" t="inlineStr">
        <is>
          <t>JI-03745</t>
        </is>
      </c>
      <c r="B1132" t="inlineStr">
        <is>
          <t>OPS</t>
        </is>
      </c>
      <c r="C1132" s="5" t="n">
        <v>46218</v>
      </c>
      <c r="D1132" t="inlineStr">
        <is>
          <t>Clinicare Linen Service</t>
        </is>
      </c>
      <c r="E1132" t="inlineStr">
        <is>
          <t>BILL/2026/0854</t>
        </is>
      </c>
      <c r="F1132" t="inlineStr">
        <is>
          <t>Vendor payment BILL/2026/0854 (BATCH/2026/0413)</t>
        </is>
      </c>
      <c r="G1132" s="9" t="n">
        <v>-3850</v>
      </c>
      <c r="H1132" t="inlineStr">
        <is>
          <t>supplier_payment</t>
        </is>
      </c>
      <c r="I1132" t="inlineStr">
        <is>
          <t>BATCH/2026/0413</t>
        </is>
      </c>
      <c r="J1132" t="inlineStr">
        <is>
          <t>G00511</t>
        </is>
      </c>
      <c r="K1132" t="str">
        <f>INDEX('Match Groups'!$D$5:$D$1326,MATCH(J1132,'Match Groups'!$A$5:$A$1326,0))</f>
        <v>MATCH</v>
      </c>
    </row>
    <row r="1133">
      <c r="A1133" t="inlineStr">
        <is>
          <t>JI-03746</t>
        </is>
      </c>
      <c r="B1133" t="inlineStr">
        <is>
          <t>OPS</t>
        </is>
      </c>
      <c r="C1133" s="5" t="n">
        <v>46218</v>
      </c>
      <c r="D1133" t="inlineStr">
        <is>
          <t>Rehab Equipment Hire</t>
        </is>
      </c>
      <c r="E1133" t="inlineStr">
        <is>
          <t>BILL/2026/0853</t>
        </is>
      </c>
      <c r="F1133" t="inlineStr">
        <is>
          <t>Vendor payment BILL/2026/0853 (BATCH/2026/0413)</t>
        </is>
      </c>
      <c r="G1133" s="9" t="n">
        <v>-165</v>
      </c>
      <c r="H1133" t="inlineStr">
        <is>
          <t>supplier_payment</t>
        </is>
      </c>
      <c r="I1133" t="inlineStr">
        <is>
          <t>BATCH/2026/0413</t>
        </is>
      </c>
      <c r="J1133" t="inlineStr">
        <is>
          <t>G00511</t>
        </is>
      </c>
      <c r="K1133" t="str">
        <f>INDEX('Match Groups'!$D$5:$D$1326,MATCH(J1133,'Match Groups'!$A$5:$A$1326,0))</f>
        <v>MATCH</v>
      </c>
    </row>
    <row r="1134">
      <c r="A1134" t="inlineStr">
        <is>
          <t>JI-03747</t>
        </is>
      </c>
      <c r="B1134" t="inlineStr">
        <is>
          <t>OPS</t>
        </is>
      </c>
      <c r="C1134" s="5" t="n">
        <v>46218</v>
      </c>
      <c r="D1134" t="inlineStr">
        <is>
          <t>Rehab Equipment Hire</t>
        </is>
      </c>
      <c r="E1134" t="inlineStr">
        <is>
          <t>BILL/2026/0858</t>
        </is>
      </c>
      <c r="F1134" t="inlineStr">
        <is>
          <t>Vendor payment BILL/2026/0858 (BATCH/2026/0413)</t>
        </is>
      </c>
      <c r="G1134" s="9" t="n">
        <v>-421.3</v>
      </c>
      <c r="H1134" t="inlineStr">
        <is>
          <t>supplier_payment</t>
        </is>
      </c>
      <c r="I1134" t="inlineStr">
        <is>
          <t>BATCH/2026/0413</t>
        </is>
      </c>
      <c r="J1134" t="inlineStr">
        <is>
          <t>G00511</t>
        </is>
      </c>
      <c r="K1134" t="str">
        <f>INDEX('Match Groups'!$D$5:$D$1326,MATCH(J1134,'Match Groups'!$A$5:$A$1326,0))</f>
        <v>MATCH</v>
      </c>
    </row>
    <row r="1135">
      <c r="A1135" t="inlineStr">
        <is>
          <t>JI-03748</t>
        </is>
      </c>
      <c r="B1135" t="inlineStr">
        <is>
          <t>OPS</t>
        </is>
      </c>
      <c r="C1135" s="5" t="n">
        <v>46218</v>
      </c>
      <c r="D1135" t="inlineStr">
        <is>
          <t>Southside Couriers</t>
        </is>
      </c>
      <c r="E1135" t="inlineStr">
        <is>
          <t>BILL/2026/0857</t>
        </is>
      </c>
      <c r="F1135" t="inlineStr">
        <is>
          <t>Vendor payment BILL/2026/0857 (BATCH/2026/0413)</t>
        </is>
      </c>
      <c r="G1135" s="9" t="n">
        <v>-660</v>
      </c>
      <c r="H1135" t="inlineStr">
        <is>
          <t>supplier_payment</t>
        </is>
      </c>
      <c r="I1135" t="inlineStr">
        <is>
          <t>BATCH/2026/0413</t>
        </is>
      </c>
      <c r="J1135" t="inlineStr">
        <is>
          <t>G00511</t>
        </is>
      </c>
      <c r="K1135" t="str">
        <f>INDEX('Match Groups'!$D$5:$D$1326,MATCH(J1135,'Match Groups'!$A$5:$A$1326,0))</f>
        <v>MATCH</v>
      </c>
    </row>
    <row r="1136">
      <c r="A1136" t="inlineStr">
        <is>
          <t>JI-03749</t>
        </is>
      </c>
      <c r="B1136" t="inlineStr">
        <is>
          <t>OPS</t>
        </is>
      </c>
      <c r="C1136" s="5" t="n">
        <v>46218</v>
      </c>
      <c r="D1136" t="inlineStr">
        <is>
          <t>Brightline Signage</t>
        </is>
      </c>
      <c r="E1136" t="inlineStr">
        <is>
          <t>BILL/2026/0861</t>
        </is>
      </c>
      <c r="F1136" t="inlineStr">
        <is>
          <t>Vendor payment BILL/2026/0861 (BATCH/2026/0413)</t>
        </is>
      </c>
      <c r="G1136" s="9" t="n">
        <v>-495</v>
      </c>
      <c r="H1136" t="inlineStr">
        <is>
          <t>supplier_payment</t>
        </is>
      </c>
      <c r="I1136" t="inlineStr">
        <is>
          <t>BATCH/2026/0413</t>
        </is>
      </c>
      <c r="J1136" t="inlineStr">
        <is>
          <t>G00511</t>
        </is>
      </c>
      <c r="K1136" t="str">
        <f>INDEX('Match Groups'!$D$5:$D$1326,MATCH(J1136,'Match Groups'!$A$5:$A$1326,0))</f>
        <v>MATCH</v>
      </c>
    </row>
    <row r="1137">
      <c r="A1137" t="inlineStr">
        <is>
          <t>JI-03750</t>
        </is>
      </c>
      <c r="B1137" t="inlineStr">
        <is>
          <t>OPS</t>
        </is>
      </c>
      <c r="C1137" s="5" t="n">
        <v>46218</v>
      </c>
      <c r="D1137" t="inlineStr">
        <is>
          <t>Ergo Furniture Co</t>
        </is>
      </c>
      <c r="E1137" t="inlineStr">
        <is>
          <t>BILL/2026/0855</t>
        </is>
      </c>
      <c r="F1137" t="inlineStr">
        <is>
          <t>Vendor payment BILL/2026/0855 (BATCH/2026/0413)</t>
        </is>
      </c>
      <c r="G1137" s="9" t="n">
        <v>-1650</v>
      </c>
      <c r="H1137" t="inlineStr">
        <is>
          <t>supplier_payment</t>
        </is>
      </c>
      <c r="I1137" t="inlineStr">
        <is>
          <t>BATCH/2026/0413</t>
        </is>
      </c>
      <c r="J1137" t="inlineStr">
        <is>
          <t>G00511</t>
        </is>
      </c>
      <c r="K1137" t="str">
        <f>INDEX('Match Groups'!$D$5:$D$1326,MATCH(J1137,'Match Groups'!$A$5:$A$1326,0))</f>
        <v>MATCH</v>
      </c>
    </row>
    <row r="1138">
      <c r="A1138" t="inlineStr">
        <is>
          <t>JI-03751</t>
        </is>
      </c>
      <c r="B1138" t="inlineStr">
        <is>
          <t>OPS</t>
        </is>
      </c>
      <c r="C1138" s="5" t="n">
        <v>46218</v>
      </c>
      <c r="D1138" t="inlineStr">
        <is>
          <t>Ergo Furniture Co</t>
        </is>
      </c>
      <c r="E1138" t="inlineStr">
        <is>
          <t>BILL/2026/0859</t>
        </is>
      </c>
      <c r="F1138" t="inlineStr">
        <is>
          <t>Vendor payment BILL/2026/0859 (BATCH/2026/0413)</t>
        </is>
      </c>
      <c r="G1138" s="9" t="n">
        <v>-1210</v>
      </c>
      <c r="H1138" t="inlineStr">
        <is>
          <t>supplier_payment</t>
        </is>
      </c>
      <c r="I1138" t="inlineStr">
        <is>
          <t>BATCH/2026/0413</t>
        </is>
      </c>
      <c r="J1138" t="inlineStr">
        <is>
          <t>G00511</t>
        </is>
      </c>
      <c r="K1138" t="str">
        <f>INDEX('Match Groups'!$D$5:$D$1326,MATCH(J1138,'Match Groups'!$A$5:$A$1326,0))</f>
        <v>MATCH</v>
      </c>
    </row>
    <row r="1139">
      <c r="A1139" t="inlineStr">
        <is>
          <t>JI-03752</t>
        </is>
      </c>
      <c r="B1139" t="inlineStr">
        <is>
          <t>OPS</t>
        </is>
      </c>
      <c r="C1139" s="5" t="n">
        <v>46218</v>
      </c>
      <c r="D1139" t="inlineStr">
        <is>
          <t>Prime Print Services</t>
        </is>
      </c>
      <c r="E1139" t="inlineStr">
        <is>
          <t>BILL/2026/0852</t>
        </is>
      </c>
      <c r="F1139" t="inlineStr">
        <is>
          <t>Vendor payment BILL/2026/0852 (BATCH/2026/0413)</t>
        </is>
      </c>
      <c r="G1139" s="9" t="n">
        <v>-660</v>
      </c>
      <c r="H1139" t="inlineStr">
        <is>
          <t>supplier_payment</t>
        </is>
      </c>
      <c r="I1139" t="inlineStr">
        <is>
          <t>BATCH/2026/0413</t>
        </is>
      </c>
      <c r="J1139" t="inlineStr">
        <is>
          <t>G00511</t>
        </is>
      </c>
      <c r="K1139" t="str">
        <f>INDEX('Match Groups'!$D$5:$D$1326,MATCH(J1139,'Match Groups'!$A$5:$A$1326,0))</f>
        <v>MATCH</v>
      </c>
    </row>
    <row r="1140">
      <c r="A1140" t="inlineStr">
        <is>
          <t>JI-03753</t>
        </is>
      </c>
      <c r="B1140" t="inlineStr">
        <is>
          <t>OPS</t>
        </is>
      </c>
      <c r="C1140" s="5" t="n">
        <v>46218</v>
      </c>
      <c r="D1140" t="inlineStr">
        <is>
          <t>Greenleaf Plants Hire</t>
        </is>
      </c>
      <c r="E1140" t="inlineStr">
        <is>
          <t>BILL/2026/0823</t>
        </is>
      </c>
      <c r="F1140" t="inlineStr">
        <is>
          <t>Vendor payment BILL/2026/0823 (BATCH/2026/0413)</t>
        </is>
      </c>
      <c r="G1140" s="9" t="n">
        <v>-916.3</v>
      </c>
      <c r="H1140" t="inlineStr">
        <is>
          <t>supplier_payment</t>
        </is>
      </c>
      <c r="I1140" t="inlineStr">
        <is>
          <t>BATCH/2026/0413</t>
        </is>
      </c>
      <c r="J1140" t="inlineStr">
        <is>
          <t>G00511</t>
        </is>
      </c>
      <c r="K1140" t="str">
        <f>INDEX('Match Groups'!$D$5:$D$1326,MATCH(J1140,'Match Groups'!$A$5:$A$1326,0))</f>
        <v>MATCH</v>
      </c>
    </row>
    <row r="1141">
      <c r="A1141" t="inlineStr">
        <is>
          <t>JI-03754</t>
        </is>
      </c>
      <c r="B1141" t="inlineStr">
        <is>
          <t>OPS</t>
        </is>
      </c>
      <c r="C1141" s="5" t="n">
        <v>46218</v>
      </c>
      <c r="D1141" t="inlineStr">
        <is>
          <t>Secure Shred Australia</t>
        </is>
      </c>
      <c r="E1141" t="inlineStr">
        <is>
          <t>BILL/2026/0844</t>
        </is>
      </c>
      <c r="F1141" t="inlineStr">
        <is>
          <t>Vendor payment BILL/2026/0844 (BATCH/2026/0413)</t>
        </is>
      </c>
      <c r="G1141" s="9" t="n">
        <v>-1222.1</v>
      </c>
      <c r="H1141" t="inlineStr">
        <is>
          <t>supplier_payment</t>
        </is>
      </c>
      <c r="I1141" t="inlineStr">
        <is>
          <t>BATCH/2026/0413</t>
        </is>
      </c>
      <c r="J1141" t="inlineStr">
        <is>
          <t>G00511</t>
        </is>
      </c>
      <c r="K1141" t="str">
        <f>INDEX('Match Groups'!$D$5:$D$1326,MATCH(J1141,'Match Groups'!$A$5:$A$1326,0))</f>
        <v>MATCH</v>
      </c>
    </row>
    <row r="1142">
      <c r="A1142" t="inlineStr">
        <is>
          <t>JI-03755</t>
        </is>
      </c>
      <c r="B1142" t="inlineStr">
        <is>
          <t>OPS</t>
        </is>
      </c>
      <c r="C1142" s="5" t="n">
        <v>46218</v>
      </c>
      <c r="D1142" t="inlineStr">
        <is>
          <t>Payroll Compliance Advisers</t>
        </is>
      </c>
      <c r="E1142" t="inlineStr">
        <is>
          <t>BILL/2026/0824</t>
        </is>
      </c>
      <c r="F1142" t="inlineStr">
        <is>
          <t>Vendor payment BILL/2026/0824 (BATCH/2026/0413)</t>
        </is>
      </c>
      <c r="G1142" s="9" t="n">
        <v>-242</v>
      </c>
      <c r="H1142" t="inlineStr">
        <is>
          <t>supplier_payment</t>
        </is>
      </c>
      <c r="I1142" t="inlineStr">
        <is>
          <t>BATCH/2026/0413</t>
        </is>
      </c>
      <c r="J1142" t="inlineStr">
        <is>
          <t>G00511</t>
        </is>
      </c>
      <c r="K1142" t="str">
        <f>INDEX('Match Groups'!$D$5:$D$1326,MATCH(J1142,'Match Groups'!$A$5:$A$1326,0))</f>
        <v>MATCH</v>
      </c>
    </row>
    <row r="1143">
      <c r="A1143" t="inlineStr">
        <is>
          <t>JI-03756</t>
        </is>
      </c>
      <c r="B1143" t="inlineStr">
        <is>
          <t>OPS</t>
        </is>
      </c>
      <c r="C1143" s="5" t="n">
        <v>46218</v>
      </c>
      <c r="D1143" t="inlineStr">
        <is>
          <t>Payroll Compliance Advisers</t>
        </is>
      </c>
      <c r="E1143" t="inlineStr">
        <is>
          <t>BILL/2026/0828</t>
        </is>
      </c>
      <c r="F1143" t="inlineStr">
        <is>
          <t>Vendor payment BILL/2026/0828 (BATCH/2026/0413)</t>
        </is>
      </c>
      <c r="G1143" s="9" t="n">
        <v>-880</v>
      </c>
      <c r="H1143" t="inlineStr">
        <is>
          <t>supplier_payment</t>
        </is>
      </c>
      <c r="I1143" t="inlineStr">
        <is>
          <t>BATCH/2026/0413</t>
        </is>
      </c>
      <c r="J1143" t="inlineStr">
        <is>
          <t>G00511</t>
        </is>
      </c>
      <c r="K1143" t="str">
        <f>INDEX('Match Groups'!$D$5:$D$1326,MATCH(J1143,'Match Groups'!$A$5:$A$1326,0))</f>
        <v>MATCH</v>
      </c>
    </row>
    <row r="1144">
      <c r="A1144" t="inlineStr">
        <is>
          <t>JI-03757</t>
        </is>
      </c>
      <c r="B1144" t="inlineStr">
        <is>
          <t>OPS</t>
        </is>
      </c>
      <c r="C1144" s="5" t="n">
        <v>46218</v>
      </c>
      <c r="D1144" t="inlineStr">
        <is>
          <t>Payroll Compliance Advisers</t>
        </is>
      </c>
      <c r="E1144" t="inlineStr">
        <is>
          <t>BILL/2026/0862</t>
        </is>
      </c>
      <c r="F1144" t="inlineStr">
        <is>
          <t>Vendor payment BILL/2026/0862 (BATCH/2026/0413)</t>
        </is>
      </c>
      <c r="G1144" s="9" t="n">
        <v>-385</v>
      </c>
      <c r="H1144" t="inlineStr">
        <is>
          <t>supplier_payment</t>
        </is>
      </c>
      <c r="I1144" t="inlineStr">
        <is>
          <t>BATCH/2026/0413</t>
        </is>
      </c>
      <c r="J1144" t="inlineStr">
        <is>
          <t>G00511</t>
        </is>
      </c>
      <c r="K1144" t="str">
        <f>INDEX('Match Groups'!$D$5:$D$1326,MATCH(J1144,'Match Groups'!$A$5:$A$1326,0))</f>
        <v>MATCH</v>
      </c>
    </row>
    <row r="1145">
      <c r="A1145" t="inlineStr">
        <is>
          <t>JI-03758</t>
        </is>
      </c>
      <c r="B1145" t="inlineStr">
        <is>
          <t>OPS</t>
        </is>
      </c>
      <c r="C1145" s="5" t="n">
        <v>46218</v>
      </c>
      <c r="D1145" t="inlineStr">
        <is>
          <t>Strategic HR Partners</t>
        </is>
      </c>
      <c r="E1145" t="inlineStr">
        <is>
          <t>BILL/2026/0806</t>
        </is>
      </c>
      <c r="F1145" t="inlineStr">
        <is>
          <t>Vendor payment BILL/2026/0806 (BATCH/2026/0413)</t>
        </is>
      </c>
      <c r="G1145" s="9" t="n">
        <v>-2420</v>
      </c>
      <c r="H1145" t="inlineStr">
        <is>
          <t>supplier_payment</t>
        </is>
      </c>
      <c r="I1145" t="inlineStr">
        <is>
          <t>BATCH/2026/0413</t>
        </is>
      </c>
      <c r="J1145" t="inlineStr">
        <is>
          <t>G00511</t>
        </is>
      </c>
      <c r="K1145" t="str">
        <f>INDEX('Match Groups'!$D$5:$D$1326,MATCH(J1145,'Match Groups'!$A$5:$A$1326,0))</f>
        <v>MATCH</v>
      </c>
    </row>
    <row r="1146">
      <c r="A1146" t="inlineStr">
        <is>
          <t>JI-03759</t>
        </is>
      </c>
      <c r="B1146" t="inlineStr">
        <is>
          <t>OPS</t>
        </is>
      </c>
      <c r="C1146" s="5" t="n">
        <v>46218</v>
      </c>
      <c r="D1146" t="inlineStr">
        <is>
          <t>Compass Insurance Brokers</t>
        </is>
      </c>
      <c r="E1146" t="inlineStr">
        <is>
          <t>BILL/2026/0819</t>
        </is>
      </c>
      <c r="F1146" t="inlineStr">
        <is>
          <t>Vendor payment BILL/2026/0819 (BATCH/2026/0413)</t>
        </is>
      </c>
      <c r="G1146" s="9" t="n">
        <v>-660</v>
      </c>
      <c r="H1146" t="inlineStr">
        <is>
          <t>supplier_payment</t>
        </is>
      </c>
      <c r="I1146" t="inlineStr">
        <is>
          <t>BATCH/2026/0413</t>
        </is>
      </c>
      <c r="J1146" t="inlineStr">
        <is>
          <t>G00511</t>
        </is>
      </c>
      <c r="K1146" t="str">
        <f>INDEX('Match Groups'!$D$5:$D$1326,MATCH(J1146,'Match Groups'!$A$5:$A$1326,0))</f>
        <v>MATCH</v>
      </c>
    </row>
    <row r="1147">
      <c r="A1147" t="inlineStr">
        <is>
          <t>JI-03760</t>
        </is>
      </c>
      <c r="B1147" t="inlineStr">
        <is>
          <t>OPS</t>
        </is>
      </c>
      <c r="C1147" s="5" t="n">
        <v>46218</v>
      </c>
      <c r="D1147" t="inlineStr">
        <is>
          <t>Compass Insurance Brokers</t>
        </is>
      </c>
      <c r="E1147" t="inlineStr">
        <is>
          <t>BILL/2026/0840</t>
        </is>
      </c>
      <c r="F1147" t="inlineStr">
        <is>
          <t>Vendor payment BILL/2026/0840 (BATCH/2026/0413)</t>
        </is>
      </c>
      <c r="G1147" s="9" t="n">
        <v>-495</v>
      </c>
      <c r="H1147" t="inlineStr">
        <is>
          <t>supplier_payment</t>
        </is>
      </c>
      <c r="I1147" t="inlineStr">
        <is>
          <t>BATCH/2026/0413</t>
        </is>
      </c>
      <c r="J1147" t="inlineStr">
        <is>
          <t>G00511</t>
        </is>
      </c>
      <c r="K1147" t="str">
        <f>INDEX('Match Groups'!$D$5:$D$1326,MATCH(J1147,'Match Groups'!$A$5:$A$1326,0))</f>
        <v>MATCH</v>
      </c>
    </row>
    <row r="1148">
      <c r="A1148" t="inlineStr">
        <is>
          <t>JI-03761</t>
        </is>
      </c>
      <c r="B1148" t="inlineStr">
        <is>
          <t>OPS</t>
        </is>
      </c>
      <c r="C1148" s="5" t="n">
        <v>46218</v>
      </c>
      <c r="D1148" t="inlineStr">
        <is>
          <t>Ledgerline Tax Advisers</t>
        </is>
      </c>
      <c r="E1148" t="inlineStr">
        <is>
          <t>BILL/2026/0816</t>
        </is>
      </c>
      <c r="F1148" t="inlineStr">
        <is>
          <t>Vendor payment BILL/2026/0816 (BATCH/2026/0413)</t>
        </is>
      </c>
      <c r="G1148" s="9" t="n">
        <v>-3850</v>
      </c>
      <c r="H1148" t="inlineStr">
        <is>
          <t>supplier_payment</t>
        </is>
      </c>
      <c r="I1148" t="inlineStr">
        <is>
          <t>BATCH/2026/0413</t>
        </is>
      </c>
      <c r="J1148" t="inlineStr">
        <is>
          <t>G00511</t>
        </is>
      </c>
      <c r="K1148" t="str">
        <f>INDEX('Match Groups'!$D$5:$D$1326,MATCH(J1148,'Match Groups'!$A$5:$A$1326,0))</f>
        <v>MATCH</v>
      </c>
    </row>
    <row r="1149">
      <c r="A1149" t="inlineStr">
        <is>
          <t>JI-03762</t>
        </is>
      </c>
      <c r="B1149" t="inlineStr">
        <is>
          <t>OPS</t>
        </is>
      </c>
      <c r="C1149" s="5" t="n">
        <v>46218</v>
      </c>
      <c r="D1149" t="inlineStr">
        <is>
          <t>Ledgerline Tax Advisers</t>
        </is>
      </c>
      <c r="E1149" t="inlineStr">
        <is>
          <t>BILL/2026/0818</t>
        </is>
      </c>
      <c r="F1149" t="inlineStr">
        <is>
          <t>Vendor payment BILL/2026/0818 (BATCH/2026/0413)</t>
        </is>
      </c>
      <c r="G1149" s="9" t="n">
        <v>-5952.1</v>
      </c>
      <c r="H1149" t="inlineStr">
        <is>
          <t>supplier_payment</t>
        </is>
      </c>
      <c r="I1149" t="inlineStr">
        <is>
          <t>BATCH/2026/0413</t>
        </is>
      </c>
      <c r="J1149" t="inlineStr">
        <is>
          <t>G00511</t>
        </is>
      </c>
      <c r="K1149" t="str">
        <f>INDEX('Match Groups'!$D$5:$D$1326,MATCH(J1149,'Match Groups'!$A$5:$A$1326,0))</f>
        <v>MATCH</v>
      </c>
    </row>
    <row r="1150">
      <c r="A1150" t="inlineStr">
        <is>
          <t>JI-03763</t>
        </is>
      </c>
      <c r="B1150" t="inlineStr">
        <is>
          <t>OPS</t>
        </is>
      </c>
      <c r="C1150" s="5" t="n">
        <v>46218</v>
      </c>
      <c r="D1150" t="inlineStr">
        <is>
          <t>Harbour IT Support</t>
        </is>
      </c>
      <c r="E1150" t="inlineStr">
        <is>
          <t>BILL/2026/0837</t>
        </is>
      </c>
      <c r="F1150" t="inlineStr">
        <is>
          <t>Vendor payment BILL/2026/0837 (BATCH/2026/0413)</t>
        </is>
      </c>
      <c r="G1150" s="9" t="n">
        <v>-242</v>
      </c>
      <c r="H1150" t="inlineStr">
        <is>
          <t>supplier_payment</t>
        </is>
      </c>
      <c r="I1150" t="inlineStr">
        <is>
          <t>BATCH/2026/0413</t>
        </is>
      </c>
      <c r="J1150" t="inlineStr">
        <is>
          <t>G00511</t>
        </is>
      </c>
      <c r="K1150" t="str">
        <f>INDEX('Match Groups'!$D$5:$D$1326,MATCH(J1150,'Match Groups'!$A$5:$A$1326,0))</f>
        <v>MATCH</v>
      </c>
    </row>
    <row r="1151">
      <c r="A1151" t="inlineStr">
        <is>
          <t>JI-03899</t>
        </is>
      </c>
      <c r="B1151" t="inlineStr">
        <is>
          <t>OPS</t>
        </is>
      </c>
      <c r="C1151" s="5" t="n">
        <v>46218</v>
      </c>
      <c r="D1151" t="inlineStr">
        <is>
          <t>Telwave Business Mobile</t>
        </is>
      </c>
      <c r="E1151" t="inlineStr">
        <is>
          <t>BILL/2026/1004</t>
        </is>
      </c>
      <c r="F1151" t="inlineStr">
        <is>
          <t>Vendor payment BILL/2026/1004</t>
        </is>
      </c>
      <c r="G1151" s="9" t="n">
        <v>-1204.76</v>
      </c>
      <c r="H1151" t="inlineStr">
        <is>
          <t>supplier_payment</t>
        </is>
      </c>
      <c r="I1151" t="inlineStr"/>
      <c r="J1151" t="inlineStr">
        <is>
          <t>G01124</t>
        </is>
      </c>
      <c r="K1151" t="str">
        <f>INDEX('Match Groups'!$D$5:$D$1326,MATCH(J1151,'Match Groups'!$A$5:$A$1326,0))</f>
        <v>MATCH</v>
      </c>
    </row>
    <row r="1152">
      <c r="A1152" t="inlineStr">
        <is>
          <t>JI-03935</t>
        </is>
      </c>
      <c r="B1152" t="inlineStr">
        <is>
          <t>OPS</t>
        </is>
      </c>
      <c r="C1152" s="5" t="n">
        <v>46218</v>
      </c>
      <c r="D1152" t="inlineStr">
        <is>
          <t>Internal transfer</t>
        </is>
      </c>
      <c r="E1152" t="inlineStr">
        <is>
          <t>TFR PR260716</t>
        </is>
      </c>
      <c r="F1152" t="inlineStr">
        <is>
          <t>Transfer to payroll clearing PR260716</t>
        </is>
      </c>
      <c r="G1152" s="9" t="n">
        <v>-203128.08</v>
      </c>
      <c r="H1152" t="inlineStr">
        <is>
          <t>transfer</t>
        </is>
      </c>
      <c r="I1152" t="inlineStr"/>
      <c r="J1152" t="inlineStr">
        <is>
          <t>G00512</t>
        </is>
      </c>
      <c r="K1152" t="str">
        <f>INDEX('Match Groups'!$D$5:$D$1326,MATCH(J1152,'Match Groups'!$A$5:$A$1326,0))</f>
        <v>MATCH</v>
      </c>
    </row>
    <row r="1153">
      <c r="A1153" t="inlineStr">
        <is>
          <t>JI-00338</t>
        </is>
      </c>
      <c r="B1153" t="inlineStr">
        <is>
          <t>OPS</t>
        </is>
      </c>
      <c r="C1153" s="5" t="n">
        <v>46219</v>
      </c>
      <c r="D1153" t="inlineStr">
        <is>
          <t>Clearpath NDIS Plans</t>
        </is>
      </c>
      <c r="E1153" t="inlineStr">
        <is>
          <t>INV/2026/01877</t>
        </is>
      </c>
      <c r="F1153" t="inlineStr">
        <is>
          <t>Customer payment INV/2026/01877</t>
        </is>
      </c>
      <c r="G1153" s="9" t="n">
        <v>96.98999999999999</v>
      </c>
      <c r="H1153" t="inlineStr">
        <is>
          <t>customer_payment</t>
        </is>
      </c>
      <c r="I1153" t="inlineStr"/>
      <c r="J1153" t="inlineStr">
        <is>
          <t>G00153</t>
        </is>
      </c>
      <c r="K1153" t="str">
        <f>INDEX('Match Groups'!$D$5:$D$1326,MATCH(J1153,'Match Groups'!$A$5:$A$1326,0))</f>
        <v>MATCH</v>
      </c>
    </row>
    <row r="1154">
      <c r="A1154" t="inlineStr">
        <is>
          <t>JI-00339</t>
        </is>
      </c>
      <c r="B1154" t="inlineStr">
        <is>
          <t>OPS</t>
        </is>
      </c>
      <c r="C1154" s="5" t="n">
        <v>46219</v>
      </c>
      <c r="D1154" t="inlineStr">
        <is>
          <t>Clearpath NDIS Plans</t>
        </is>
      </c>
      <c r="E1154" t="inlineStr">
        <is>
          <t>INV/2026/01878</t>
        </is>
      </c>
      <c r="F1154" t="inlineStr">
        <is>
          <t>Customer payment INV/2026/01878</t>
        </is>
      </c>
      <c r="G1154" s="9" t="n">
        <v>417.98</v>
      </c>
      <c r="H1154" t="inlineStr">
        <is>
          <t>customer_payment</t>
        </is>
      </c>
      <c r="I1154" t="inlineStr"/>
      <c r="J1154" t="inlineStr">
        <is>
          <t>G00153</t>
        </is>
      </c>
      <c r="K1154" t="str">
        <f>INDEX('Match Groups'!$D$5:$D$1326,MATCH(J1154,'Match Groups'!$A$5:$A$1326,0))</f>
        <v>MATCH</v>
      </c>
    </row>
    <row r="1155">
      <c r="A1155" t="inlineStr">
        <is>
          <t>JI-00340</t>
        </is>
      </c>
      <c r="B1155" t="inlineStr">
        <is>
          <t>OPS</t>
        </is>
      </c>
      <c r="C1155" s="5" t="n">
        <v>46219</v>
      </c>
      <c r="D1155" t="inlineStr">
        <is>
          <t>Clearpath NDIS Plans</t>
        </is>
      </c>
      <c r="E1155" t="inlineStr">
        <is>
          <t>INV/2026/01918</t>
        </is>
      </c>
      <c r="F1155" t="inlineStr">
        <is>
          <t>Customer payment INV/2026/01918</t>
        </is>
      </c>
      <c r="G1155" s="9" t="n">
        <v>446.18</v>
      </c>
      <c r="H1155" t="inlineStr">
        <is>
          <t>customer_payment</t>
        </is>
      </c>
      <c r="I1155" t="inlineStr"/>
      <c r="J1155" t="inlineStr">
        <is>
          <t>G00153</t>
        </is>
      </c>
      <c r="K1155" t="str">
        <f>INDEX('Match Groups'!$D$5:$D$1326,MATCH(J1155,'Match Groups'!$A$5:$A$1326,0))</f>
        <v>MATCH</v>
      </c>
    </row>
    <row r="1156">
      <c r="A1156" t="inlineStr">
        <is>
          <t>JI-00341</t>
        </is>
      </c>
      <c r="B1156" t="inlineStr">
        <is>
          <t>OPS</t>
        </is>
      </c>
      <c r="C1156" s="5" t="n">
        <v>46219</v>
      </c>
      <c r="D1156" t="inlineStr">
        <is>
          <t>Clearpath NDIS Plans</t>
        </is>
      </c>
      <c r="E1156" t="inlineStr">
        <is>
          <t>INV/2026/01945</t>
        </is>
      </c>
      <c r="F1156" t="inlineStr">
        <is>
          <t>Customer payment INV/2026/01945</t>
        </is>
      </c>
      <c r="G1156" s="9" t="n">
        <v>272.49</v>
      </c>
      <c r="H1156" t="inlineStr">
        <is>
          <t>customer_payment</t>
        </is>
      </c>
      <c r="I1156" t="inlineStr"/>
      <c r="J1156" t="inlineStr">
        <is>
          <t>G00153</t>
        </is>
      </c>
      <c r="K1156" t="str">
        <f>INDEX('Match Groups'!$D$5:$D$1326,MATCH(J1156,'Match Groups'!$A$5:$A$1326,0))</f>
        <v>MATCH</v>
      </c>
    </row>
    <row r="1157">
      <c r="A1157" t="inlineStr">
        <is>
          <t>JI-00342</t>
        </is>
      </c>
      <c r="B1157" t="inlineStr">
        <is>
          <t>OPS</t>
        </is>
      </c>
      <c r="C1157" s="5" t="n">
        <v>46219</v>
      </c>
      <c r="D1157" t="inlineStr">
        <is>
          <t>Clearpath NDIS Plans</t>
        </is>
      </c>
      <c r="E1157" t="inlineStr">
        <is>
          <t>INV/2026/01946</t>
        </is>
      </c>
      <c r="F1157" t="inlineStr">
        <is>
          <t>Customer payment INV/2026/01946</t>
        </is>
      </c>
      <c r="G1157" s="9" t="n">
        <v>349.18</v>
      </c>
      <c r="H1157" t="inlineStr">
        <is>
          <t>customer_payment</t>
        </is>
      </c>
      <c r="I1157" t="inlineStr"/>
      <c r="J1157" t="inlineStr">
        <is>
          <t>G00153</t>
        </is>
      </c>
      <c r="K1157" t="str">
        <f>INDEX('Match Groups'!$D$5:$D$1326,MATCH(J1157,'Match Groups'!$A$5:$A$1326,0))</f>
        <v>MATCH</v>
      </c>
    </row>
    <row r="1158">
      <c r="A1158" t="inlineStr">
        <is>
          <t>JI-00343</t>
        </is>
      </c>
      <c r="B1158" t="inlineStr">
        <is>
          <t>OPS</t>
        </is>
      </c>
      <c r="C1158" s="5" t="n">
        <v>46219</v>
      </c>
      <c r="D1158" t="inlineStr">
        <is>
          <t>Clearpath NDIS Plans</t>
        </is>
      </c>
      <c r="E1158" t="inlineStr">
        <is>
          <t>INV/2026/01947</t>
        </is>
      </c>
      <c r="F1158" t="inlineStr">
        <is>
          <t>Customer payment INV/2026/01947</t>
        </is>
      </c>
      <c r="G1158" s="9" t="n">
        <v>242.49</v>
      </c>
      <c r="H1158" t="inlineStr">
        <is>
          <t>customer_payment</t>
        </is>
      </c>
      <c r="I1158" t="inlineStr"/>
      <c r="J1158" t="inlineStr">
        <is>
          <t>G00153</t>
        </is>
      </c>
      <c r="K1158" t="str">
        <f>INDEX('Match Groups'!$D$5:$D$1326,MATCH(J1158,'Match Groups'!$A$5:$A$1326,0))</f>
        <v>MATCH</v>
      </c>
    </row>
    <row r="1159">
      <c r="A1159" t="inlineStr">
        <is>
          <t>JI-00344</t>
        </is>
      </c>
      <c r="B1159" t="inlineStr">
        <is>
          <t>OPS</t>
        </is>
      </c>
      <c r="C1159" s="5" t="n">
        <v>46219</v>
      </c>
      <c r="D1159" t="inlineStr">
        <is>
          <t>Banksia Plan Co</t>
        </is>
      </c>
      <c r="E1159" t="inlineStr">
        <is>
          <t>INV/2026/01850</t>
        </is>
      </c>
      <c r="F1159" t="inlineStr">
        <is>
          <t>Customer payment INV/2026/01850</t>
        </is>
      </c>
      <c r="G1159" s="9" t="n">
        <v>320.98</v>
      </c>
      <c r="H1159" t="inlineStr">
        <is>
          <t>customer_payment</t>
        </is>
      </c>
      <c r="I1159" t="inlineStr"/>
      <c r="J1159" t="inlineStr">
        <is>
          <t>G00154</t>
        </is>
      </c>
      <c r="K1159" t="str">
        <f>INDEX('Match Groups'!$D$5:$D$1326,MATCH(J1159,'Match Groups'!$A$5:$A$1326,0))</f>
        <v>MATCH</v>
      </c>
    </row>
    <row r="1160">
      <c r="A1160" t="inlineStr">
        <is>
          <t>JI-00345</t>
        </is>
      </c>
      <c r="B1160" t="inlineStr">
        <is>
          <t>OPS</t>
        </is>
      </c>
      <c r="C1160" s="5" t="n">
        <v>46219</v>
      </c>
      <c r="D1160" t="inlineStr">
        <is>
          <t>Banksia Plan Co</t>
        </is>
      </c>
      <c r="E1160" t="inlineStr">
        <is>
          <t>INV/2026/01851</t>
        </is>
      </c>
      <c r="F1160" t="inlineStr">
        <is>
          <t>Customer payment INV/2026/01851</t>
        </is>
      </c>
      <c r="G1160" s="9" t="n">
        <v>145.49</v>
      </c>
      <c r="H1160" t="inlineStr">
        <is>
          <t>customer_payment</t>
        </is>
      </c>
      <c r="I1160" t="inlineStr"/>
      <c r="J1160" t="inlineStr">
        <is>
          <t>G00154</t>
        </is>
      </c>
      <c r="K1160" t="str">
        <f>INDEX('Match Groups'!$D$5:$D$1326,MATCH(J1160,'Match Groups'!$A$5:$A$1326,0))</f>
        <v>MATCH</v>
      </c>
    </row>
    <row r="1161">
      <c r="A1161" t="inlineStr">
        <is>
          <t>JI-00346</t>
        </is>
      </c>
      <c r="B1161" t="inlineStr">
        <is>
          <t>OPS</t>
        </is>
      </c>
      <c r="C1161" s="5" t="n">
        <v>46219</v>
      </c>
      <c r="D1161" t="inlineStr">
        <is>
          <t>Banksia Plan Co</t>
        </is>
      </c>
      <c r="E1161" t="inlineStr">
        <is>
          <t>INV/2026/01898</t>
        </is>
      </c>
      <c r="F1161" t="inlineStr">
        <is>
          <t>Customer payment INV/2026/01898</t>
        </is>
      </c>
      <c r="G1161" s="9" t="n">
        <v>252.19</v>
      </c>
      <c r="H1161" t="inlineStr">
        <is>
          <t>customer_payment</t>
        </is>
      </c>
      <c r="I1161" t="inlineStr"/>
      <c r="J1161" t="inlineStr">
        <is>
          <t>G00154</t>
        </is>
      </c>
      <c r="K1161" t="str">
        <f>INDEX('Match Groups'!$D$5:$D$1326,MATCH(J1161,'Match Groups'!$A$5:$A$1326,0))</f>
        <v>MATCH</v>
      </c>
    </row>
    <row r="1162">
      <c r="A1162" t="inlineStr">
        <is>
          <t>JI-00347</t>
        </is>
      </c>
      <c r="B1162" t="inlineStr">
        <is>
          <t>OPS</t>
        </is>
      </c>
      <c r="C1162" s="5" t="n">
        <v>46219</v>
      </c>
      <c r="D1162" t="inlineStr">
        <is>
          <t>Banksia Plan Co</t>
        </is>
      </c>
      <c r="E1162" t="inlineStr">
        <is>
          <t>INV/2026/01899</t>
        </is>
      </c>
      <c r="F1162" t="inlineStr">
        <is>
          <t>Customer payment INV/2026/01899</t>
        </is>
      </c>
      <c r="G1162" s="9" t="n">
        <v>387.98</v>
      </c>
      <c r="H1162" t="inlineStr">
        <is>
          <t>customer_payment</t>
        </is>
      </c>
      <c r="I1162" t="inlineStr"/>
      <c r="J1162" t="inlineStr">
        <is>
          <t>G00154</t>
        </is>
      </c>
      <c r="K1162" t="str">
        <f>INDEX('Match Groups'!$D$5:$D$1326,MATCH(J1162,'Match Groups'!$A$5:$A$1326,0))</f>
        <v>MATCH</v>
      </c>
    </row>
    <row r="1163">
      <c r="A1163" t="inlineStr">
        <is>
          <t>JI-00348</t>
        </is>
      </c>
      <c r="B1163" t="inlineStr">
        <is>
          <t>OPS</t>
        </is>
      </c>
      <c r="C1163" s="5" t="n">
        <v>46219</v>
      </c>
      <c r="D1163" t="inlineStr">
        <is>
          <t>Banksia Plan Co</t>
        </is>
      </c>
      <c r="E1163" t="inlineStr">
        <is>
          <t>INV/2026/01900</t>
        </is>
      </c>
      <c r="F1163" t="inlineStr">
        <is>
          <t>Customer payment INV/2026/01900</t>
        </is>
      </c>
      <c r="G1163" s="9" t="n">
        <v>252.19</v>
      </c>
      <c r="H1163" t="inlineStr">
        <is>
          <t>customer_payment</t>
        </is>
      </c>
      <c r="I1163" t="inlineStr"/>
      <c r="J1163" t="inlineStr">
        <is>
          <t>G00154</t>
        </is>
      </c>
      <c r="K1163" t="str">
        <f>INDEX('Match Groups'!$D$5:$D$1326,MATCH(J1163,'Match Groups'!$A$5:$A$1326,0))</f>
        <v>MATCH</v>
      </c>
    </row>
    <row r="1164">
      <c r="A1164" t="inlineStr">
        <is>
          <t>JI-00349</t>
        </is>
      </c>
      <c r="B1164" t="inlineStr">
        <is>
          <t>OPS</t>
        </is>
      </c>
      <c r="C1164" s="5" t="n">
        <v>46219</v>
      </c>
      <c r="D1164" t="inlineStr">
        <is>
          <t>Banksia Plan Co</t>
        </is>
      </c>
      <c r="E1164" t="inlineStr">
        <is>
          <t>INV/2026/01921</t>
        </is>
      </c>
      <c r="F1164" t="inlineStr">
        <is>
          <t>Customer payment INV/2026/01921</t>
        </is>
      </c>
      <c r="G1164" s="9" t="n">
        <v>446.18</v>
      </c>
      <c r="H1164" t="inlineStr">
        <is>
          <t>customer_payment</t>
        </is>
      </c>
      <c r="I1164" t="inlineStr"/>
      <c r="J1164" t="inlineStr">
        <is>
          <t>G00154</t>
        </is>
      </c>
      <c r="K1164" t="str">
        <f>INDEX('Match Groups'!$D$5:$D$1326,MATCH(J1164,'Match Groups'!$A$5:$A$1326,0))</f>
        <v>MATCH</v>
      </c>
    </row>
    <row r="1165">
      <c r="A1165" t="inlineStr">
        <is>
          <t>JI-00350</t>
        </is>
      </c>
      <c r="B1165" t="inlineStr">
        <is>
          <t>OPS</t>
        </is>
      </c>
      <c r="C1165" s="5" t="n">
        <v>46219</v>
      </c>
      <c r="D1165" t="inlineStr">
        <is>
          <t>Banksia Plan Co</t>
        </is>
      </c>
      <c r="E1165" t="inlineStr">
        <is>
          <t>INV/2026/01922</t>
        </is>
      </c>
      <c r="F1165" t="inlineStr">
        <is>
          <t>Customer payment INV/2026/01922</t>
        </is>
      </c>
      <c r="G1165" s="9" t="n">
        <v>349.18</v>
      </c>
      <c r="H1165" t="inlineStr">
        <is>
          <t>customer_payment</t>
        </is>
      </c>
      <c r="I1165" t="inlineStr"/>
      <c r="J1165" t="inlineStr">
        <is>
          <t>G00154</t>
        </is>
      </c>
      <c r="K1165" t="str">
        <f>INDEX('Match Groups'!$D$5:$D$1326,MATCH(J1165,'Match Groups'!$A$5:$A$1326,0))</f>
        <v>MATCH</v>
      </c>
    </row>
    <row r="1166">
      <c r="A1166" t="inlineStr">
        <is>
          <t>JI-00351</t>
        </is>
      </c>
      <c r="B1166" t="inlineStr">
        <is>
          <t>OPS</t>
        </is>
      </c>
      <c r="C1166" s="5" t="n">
        <v>46219</v>
      </c>
      <c r="D1166" t="inlineStr">
        <is>
          <t>Banksia Plan Co</t>
        </is>
      </c>
      <c r="E1166" t="inlineStr">
        <is>
          <t>INV/2026/01949</t>
        </is>
      </c>
      <c r="F1166" t="inlineStr">
        <is>
          <t>Customer payment INV/2026/01949</t>
        </is>
      </c>
      <c r="G1166" s="9" t="n">
        <v>193.99</v>
      </c>
      <c r="H1166" t="inlineStr">
        <is>
          <t>customer_payment</t>
        </is>
      </c>
      <c r="I1166" t="inlineStr"/>
      <c r="J1166" t="inlineStr">
        <is>
          <t>G00154</t>
        </is>
      </c>
      <c r="K1166" t="str">
        <f>INDEX('Match Groups'!$D$5:$D$1326,MATCH(J1166,'Match Groups'!$A$5:$A$1326,0))</f>
        <v>MATCH</v>
      </c>
    </row>
    <row r="1167">
      <c r="A1167" t="inlineStr">
        <is>
          <t>JI-00352</t>
        </is>
      </c>
      <c r="B1167" t="inlineStr">
        <is>
          <t>OPS</t>
        </is>
      </c>
      <c r="C1167" s="5" t="n">
        <v>46219</v>
      </c>
      <c r="D1167" t="inlineStr">
        <is>
          <t>Banksia Plan Co</t>
        </is>
      </c>
      <c r="E1167" t="inlineStr">
        <is>
          <t>INV/2026/01950</t>
        </is>
      </c>
      <c r="F1167" t="inlineStr">
        <is>
          <t>Customer payment INV/2026/01950</t>
        </is>
      </c>
      <c r="G1167" s="9" t="n">
        <v>290.98</v>
      </c>
      <c r="H1167" t="inlineStr">
        <is>
          <t>customer_payment</t>
        </is>
      </c>
      <c r="I1167" t="inlineStr"/>
      <c r="J1167" t="inlineStr">
        <is>
          <t>G00154</t>
        </is>
      </c>
      <c r="K1167" t="str">
        <f>INDEX('Match Groups'!$D$5:$D$1326,MATCH(J1167,'Match Groups'!$A$5:$A$1326,0))</f>
        <v>MATCH</v>
      </c>
    </row>
    <row r="1168">
      <c r="A1168" t="inlineStr">
        <is>
          <t>JI-00353</t>
        </is>
      </c>
      <c r="B1168" t="inlineStr">
        <is>
          <t>OPS</t>
        </is>
      </c>
      <c r="C1168" s="5" t="n">
        <v>46219</v>
      </c>
      <c r="D1168" t="inlineStr">
        <is>
          <t>Banksia Plan Co</t>
        </is>
      </c>
      <c r="E1168" t="inlineStr">
        <is>
          <t>INV/2026/01951</t>
        </is>
      </c>
      <c r="F1168" t="inlineStr">
        <is>
          <t>Customer payment INV/2026/01951</t>
        </is>
      </c>
      <c r="G1168" s="9" t="n">
        <v>193.99</v>
      </c>
      <c r="H1168" t="inlineStr">
        <is>
          <t>customer_payment</t>
        </is>
      </c>
      <c r="I1168" t="inlineStr"/>
      <c r="J1168" t="inlineStr">
        <is>
          <t>G00154</t>
        </is>
      </c>
      <c r="K1168" t="str">
        <f>INDEX('Match Groups'!$D$5:$D$1326,MATCH(J1168,'Match Groups'!$A$5:$A$1326,0))</f>
        <v>MATCH</v>
      </c>
    </row>
    <row r="1169">
      <c r="A1169" t="inlineStr">
        <is>
          <t>JI-00354</t>
        </is>
      </c>
      <c r="B1169" t="inlineStr">
        <is>
          <t>OPS</t>
        </is>
      </c>
      <c r="C1169" s="5" t="n">
        <v>46219</v>
      </c>
      <c r="D1169" t="inlineStr">
        <is>
          <t>Banksia Plan Co</t>
        </is>
      </c>
      <c r="E1169" t="inlineStr">
        <is>
          <t>INV/2026/01978</t>
        </is>
      </c>
      <c r="F1169" t="inlineStr">
        <is>
          <t>Customer payment INV/2026/01978</t>
        </is>
      </c>
      <c r="G1169" s="9" t="n">
        <v>145.49</v>
      </c>
      <c r="H1169" t="inlineStr">
        <is>
          <t>customer_payment</t>
        </is>
      </c>
      <c r="I1169" t="inlineStr"/>
      <c r="J1169" t="inlineStr">
        <is>
          <t>G00154</t>
        </is>
      </c>
      <c r="K1169" t="str">
        <f>INDEX('Match Groups'!$D$5:$D$1326,MATCH(J1169,'Match Groups'!$A$5:$A$1326,0))</f>
        <v>MATCH</v>
      </c>
    </row>
    <row r="1170">
      <c r="A1170" t="inlineStr">
        <is>
          <t>JI-00355</t>
        </is>
      </c>
      <c r="B1170" t="inlineStr">
        <is>
          <t>OPS</t>
        </is>
      </c>
      <c r="C1170" s="5" t="n">
        <v>46219</v>
      </c>
      <c r="D1170" t="inlineStr">
        <is>
          <t>Banksia Plan Co</t>
        </is>
      </c>
      <c r="E1170" t="inlineStr">
        <is>
          <t>INV/2026/01979</t>
        </is>
      </c>
      <c r="F1170" t="inlineStr">
        <is>
          <t>Customer payment INV/2026/01979</t>
        </is>
      </c>
      <c r="G1170" s="9" t="n">
        <v>242.49</v>
      </c>
      <c r="H1170" t="inlineStr">
        <is>
          <t>customer_payment</t>
        </is>
      </c>
      <c r="I1170" t="inlineStr"/>
      <c r="J1170" t="inlineStr">
        <is>
          <t>G00154</t>
        </is>
      </c>
      <c r="K1170" t="str">
        <f>INDEX('Match Groups'!$D$5:$D$1326,MATCH(J1170,'Match Groups'!$A$5:$A$1326,0))</f>
        <v>MATCH</v>
      </c>
    </row>
    <row r="1171">
      <c r="A1171" t="inlineStr">
        <is>
          <t>JI-00356</t>
        </is>
      </c>
      <c r="B1171" t="inlineStr">
        <is>
          <t>OPS</t>
        </is>
      </c>
      <c r="C1171" s="5" t="n">
        <v>46219</v>
      </c>
      <c r="D1171" t="inlineStr">
        <is>
          <t>Saltbush Plan Managers</t>
        </is>
      </c>
      <c r="E1171" t="inlineStr">
        <is>
          <t>INV/2026/01831</t>
        </is>
      </c>
      <c r="F1171" t="inlineStr">
        <is>
          <t>Customer payment INV/2026/01831</t>
        </is>
      </c>
      <c r="G1171" s="9" t="n">
        <v>203.69</v>
      </c>
      <c r="H1171" t="inlineStr">
        <is>
          <t>customer_payment</t>
        </is>
      </c>
      <c r="I1171" t="inlineStr"/>
      <c r="J1171" t="inlineStr">
        <is>
          <t>G00155</t>
        </is>
      </c>
      <c r="K1171" t="str">
        <f>INDEX('Match Groups'!$D$5:$D$1326,MATCH(J1171,'Match Groups'!$A$5:$A$1326,0))</f>
        <v>MATCH</v>
      </c>
    </row>
    <row r="1172">
      <c r="A1172" t="inlineStr">
        <is>
          <t>JI-00357</t>
        </is>
      </c>
      <c r="B1172" t="inlineStr">
        <is>
          <t>OPS</t>
        </is>
      </c>
      <c r="C1172" s="5" t="n">
        <v>46219</v>
      </c>
      <c r="D1172" t="inlineStr">
        <is>
          <t>Saltbush Plan Managers</t>
        </is>
      </c>
      <c r="E1172" t="inlineStr">
        <is>
          <t>INV/2026/01884</t>
        </is>
      </c>
      <c r="F1172" t="inlineStr">
        <is>
          <t>Customer payment INV/2026/01884</t>
        </is>
      </c>
      <c r="G1172" s="9" t="n">
        <v>290.98</v>
      </c>
      <c r="H1172" t="inlineStr">
        <is>
          <t>customer_payment</t>
        </is>
      </c>
      <c r="I1172" t="inlineStr"/>
      <c r="J1172" t="inlineStr">
        <is>
          <t>G00155</t>
        </is>
      </c>
      <c r="K1172" t="str">
        <f>INDEX('Match Groups'!$D$5:$D$1326,MATCH(J1172,'Match Groups'!$A$5:$A$1326,0))</f>
        <v>MATCH</v>
      </c>
    </row>
    <row r="1173">
      <c r="A1173" t="inlineStr">
        <is>
          <t>JI-00358</t>
        </is>
      </c>
      <c r="B1173" t="inlineStr">
        <is>
          <t>OPS</t>
        </is>
      </c>
      <c r="C1173" s="5" t="n">
        <v>46219</v>
      </c>
      <c r="D1173" t="inlineStr">
        <is>
          <t>Saltbush Plan Managers</t>
        </is>
      </c>
      <c r="E1173" t="inlineStr">
        <is>
          <t>INV/2026/01885</t>
        </is>
      </c>
      <c r="F1173" t="inlineStr">
        <is>
          <t>Customer payment INV/2026/01885</t>
        </is>
      </c>
      <c r="G1173" s="9" t="n">
        <v>349.18</v>
      </c>
      <c r="H1173" t="inlineStr">
        <is>
          <t>customer_payment</t>
        </is>
      </c>
      <c r="I1173" t="inlineStr"/>
      <c r="J1173" t="inlineStr">
        <is>
          <t>G00155</t>
        </is>
      </c>
      <c r="K1173" t="str">
        <f>INDEX('Match Groups'!$D$5:$D$1326,MATCH(J1173,'Match Groups'!$A$5:$A$1326,0))</f>
        <v>MATCH</v>
      </c>
    </row>
    <row r="1174">
      <c r="A1174" t="inlineStr">
        <is>
          <t>JI-00359</t>
        </is>
      </c>
      <c r="B1174" t="inlineStr">
        <is>
          <t>OPS</t>
        </is>
      </c>
      <c r="C1174" s="5" t="n">
        <v>46219</v>
      </c>
      <c r="D1174" t="inlineStr">
        <is>
          <t>Saltbush Plan Managers</t>
        </is>
      </c>
      <c r="E1174" t="inlineStr">
        <is>
          <t>INV/2026/01904</t>
        </is>
      </c>
      <c r="F1174" t="inlineStr">
        <is>
          <t>Customer payment INV/2026/01904</t>
        </is>
      </c>
      <c r="G1174" s="9" t="n">
        <v>96.98999999999999</v>
      </c>
      <c r="H1174" t="inlineStr">
        <is>
          <t>customer_payment</t>
        </is>
      </c>
      <c r="I1174" t="inlineStr"/>
      <c r="J1174" t="inlineStr">
        <is>
          <t>G00155</t>
        </is>
      </c>
      <c r="K1174" t="str">
        <f>INDEX('Match Groups'!$D$5:$D$1326,MATCH(J1174,'Match Groups'!$A$5:$A$1326,0))</f>
        <v>MATCH</v>
      </c>
    </row>
    <row r="1175">
      <c r="A1175" t="inlineStr">
        <is>
          <t>JI-00360</t>
        </is>
      </c>
      <c r="B1175" t="inlineStr">
        <is>
          <t>OPS</t>
        </is>
      </c>
      <c r="C1175" s="5" t="n">
        <v>46219</v>
      </c>
      <c r="D1175" t="inlineStr">
        <is>
          <t>Saltbush Plan Managers</t>
        </is>
      </c>
      <c r="E1175" t="inlineStr">
        <is>
          <t>INV/2026/01905</t>
        </is>
      </c>
      <c r="F1175" t="inlineStr">
        <is>
          <t>Customer payment INV/2026/01905</t>
        </is>
      </c>
      <c r="G1175" s="9" t="n">
        <v>290.98</v>
      </c>
      <c r="H1175" t="inlineStr">
        <is>
          <t>customer_payment</t>
        </is>
      </c>
      <c r="I1175" t="inlineStr"/>
      <c r="J1175" t="inlineStr">
        <is>
          <t>G00155</t>
        </is>
      </c>
      <c r="K1175" t="str">
        <f>INDEX('Match Groups'!$D$5:$D$1326,MATCH(J1175,'Match Groups'!$A$5:$A$1326,0))</f>
        <v>MATCH</v>
      </c>
    </row>
    <row r="1176">
      <c r="A1176" t="inlineStr">
        <is>
          <t>JI-00361</t>
        </is>
      </c>
      <c r="B1176" t="inlineStr">
        <is>
          <t>OPS</t>
        </is>
      </c>
      <c r="C1176" s="5" t="n">
        <v>46219</v>
      </c>
      <c r="D1176" t="inlineStr">
        <is>
          <t>Saltbush Plan Managers</t>
        </is>
      </c>
      <c r="E1176" t="inlineStr">
        <is>
          <t>INV/2026/01927</t>
        </is>
      </c>
      <c r="F1176" t="inlineStr">
        <is>
          <t>Customer payment INV/2026/01927</t>
        </is>
      </c>
      <c r="G1176" s="9" t="n">
        <v>96.98999999999999</v>
      </c>
      <c r="H1176" t="inlineStr">
        <is>
          <t>customer_payment</t>
        </is>
      </c>
      <c r="I1176" t="inlineStr"/>
      <c r="J1176" t="inlineStr">
        <is>
          <t>G00155</t>
        </is>
      </c>
      <c r="K1176" t="str">
        <f>INDEX('Match Groups'!$D$5:$D$1326,MATCH(J1176,'Match Groups'!$A$5:$A$1326,0))</f>
        <v>MATCH</v>
      </c>
    </row>
    <row r="1177">
      <c r="A1177" t="inlineStr">
        <is>
          <t>JI-00362</t>
        </is>
      </c>
      <c r="B1177" t="inlineStr">
        <is>
          <t>OPS</t>
        </is>
      </c>
      <c r="C1177" s="5" t="n">
        <v>46219</v>
      </c>
      <c r="D1177" t="inlineStr">
        <is>
          <t>Lyrebird Plan Management</t>
        </is>
      </c>
      <c r="E1177" t="inlineStr">
        <is>
          <t>INV/2026/01859</t>
        </is>
      </c>
      <c r="F1177" t="inlineStr">
        <is>
          <t>Customer payment INV/2026/01859</t>
        </is>
      </c>
      <c r="G1177" s="9" t="n">
        <v>96.98999999999999</v>
      </c>
      <c r="H1177" t="inlineStr">
        <is>
          <t>customer_payment</t>
        </is>
      </c>
      <c r="I1177" t="inlineStr"/>
      <c r="J1177" t="inlineStr">
        <is>
          <t>G00156</t>
        </is>
      </c>
      <c r="K1177" t="str">
        <f>INDEX('Match Groups'!$D$5:$D$1326,MATCH(J1177,'Match Groups'!$A$5:$A$1326,0))</f>
        <v>MATCH</v>
      </c>
    </row>
    <row r="1178">
      <c r="A1178" t="inlineStr">
        <is>
          <t>JI-00363</t>
        </is>
      </c>
      <c r="B1178" t="inlineStr">
        <is>
          <t>OPS</t>
        </is>
      </c>
      <c r="C1178" s="5" t="n">
        <v>46219</v>
      </c>
      <c r="D1178" t="inlineStr">
        <is>
          <t>Lyrebird Plan Management</t>
        </is>
      </c>
      <c r="E1178" t="inlineStr">
        <is>
          <t>INV/2026/01860</t>
        </is>
      </c>
      <c r="F1178" t="inlineStr">
        <is>
          <t>Customer payment INV/2026/01860</t>
        </is>
      </c>
      <c r="G1178" s="9" t="n">
        <v>96.98999999999999</v>
      </c>
      <c r="H1178" t="inlineStr">
        <is>
          <t>customer_payment</t>
        </is>
      </c>
      <c r="I1178" t="inlineStr"/>
      <c r="J1178" t="inlineStr">
        <is>
          <t>G00156</t>
        </is>
      </c>
      <c r="K1178" t="str">
        <f>INDEX('Match Groups'!$D$5:$D$1326,MATCH(J1178,'Match Groups'!$A$5:$A$1326,0))</f>
        <v>MATCH</v>
      </c>
    </row>
    <row r="1179">
      <c r="A1179" t="inlineStr">
        <is>
          <t>JI-00364</t>
        </is>
      </c>
      <c r="B1179" t="inlineStr">
        <is>
          <t>OPS</t>
        </is>
      </c>
      <c r="C1179" s="5" t="n">
        <v>46219</v>
      </c>
      <c r="D1179" t="inlineStr">
        <is>
          <t>Lyrebird Plan Management</t>
        </is>
      </c>
      <c r="E1179" t="inlineStr">
        <is>
          <t>INV/2026/01861</t>
        </is>
      </c>
      <c r="F1179" t="inlineStr">
        <is>
          <t>Customer payment INV/2026/01861</t>
        </is>
      </c>
      <c r="G1179" s="9" t="n">
        <v>155.19</v>
      </c>
      <c r="H1179" t="inlineStr">
        <is>
          <t>customer_payment</t>
        </is>
      </c>
      <c r="I1179" t="inlineStr"/>
      <c r="J1179" t="inlineStr">
        <is>
          <t>G00156</t>
        </is>
      </c>
      <c r="K1179" t="str">
        <f>INDEX('Match Groups'!$D$5:$D$1326,MATCH(J1179,'Match Groups'!$A$5:$A$1326,0))</f>
        <v>MATCH</v>
      </c>
    </row>
    <row r="1180">
      <c r="A1180" t="inlineStr">
        <is>
          <t>JI-00365</t>
        </is>
      </c>
      <c r="B1180" t="inlineStr">
        <is>
          <t>OPS</t>
        </is>
      </c>
      <c r="C1180" s="5" t="n">
        <v>46219</v>
      </c>
      <c r="D1180" t="inlineStr">
        <is>
          <t>Lyrebird Plan Management</t>
        </is>
      </c>
      <c r="E1180" t="inlineStr">
        <is>
          <t>INV/2026/01909</t>
        </is>
      </c>
      <c r="F1180" t="inlineStr">
        <is>
          <t>Customer payment INV/2026/01909</t>
        </is>
      </c>
      <c r="G1180" s="9" t="n">
        <v>193.99</v>
      </c>
      <c r="H1180" t="inlineStr">
        <is>
          <t>customer_payment</t>
        </is>
      </c>
      <c r="I1180" t="inlineStr"/>
      <c r="J1180" t="inlineStr">
        <is>
          <t>G00156</t>
        </is>
      </c>
      <c r="K1180" t="str">
        <f>INDEX('Match Groups'!$D$5:$D$1326,MATCH(J1180,'Match Groups'!$A$5:$A$1326,0))</f>
        <v>MATCH</v>
      </c>
    </row>
    <row r="1181">
      <c r="A1181" t="inlineStr">
        <is>
          <t>JI-00366</t>
        </is>
      </c>
      <c r="B1181" t="inlineStr">
        <is>
          <t>OPS</t>
        </is>
      </c>
      <c r="C1181" s="5" t="n">
        <v>46219</v>
      </c>
      <c r="D1181" t="inlineStr">
        <is>
          <t>Lyrebird Plan Management</t>
        </is>
      </c>
      <c r="E1181" t="inlineStr">
        <is>
          <t>INV/2026/01932</t>
        </is>
      </c>
      <c r="F1181" t="inlineStr">
        <is>
          <t>Customer payment INV/2026/01932</t>
        </is>
      </c>
      <c r="G1181" s="9" t="n">
        <v>193.99</v>
      </c>
      <c r="H1181" t="inlineStr">
        <is>
          <t>customer_payment</t>
        </is>
      </c>
      <c r="I1181" t="inlineStr"/>
      <c r="J1181" t="inlineStr">
        <is>
          <t>G00156</t>
        </is>
      </c>
      <c r="K1181" t="str">
        <f>INDEX('Match Groups'!$D$5:$D$1326,MATCH(J1181,'Match Groups'!$A$5:$A$1326,0))</f>
        <v>MATCH</v>
      </c>
    </row>
    <row r="1182">
      <c r="A1182" t="inlineStr">
        <is>
          <t>JI-00367</t>
        </is>
      </c>
      <c r="B1182" t="inlineStr">
        <is>
          <t>OPS</t>
        </is>
      </c>
      <c r="C1182" s="5" t="n">
        <v>46219</v>
      </c>
      <c r="D1182" t="inlineStr">
        <is>
          <t>Lyrebird Plan Management</t>
        </is>
      </c>
      <c r="E1182" t="inlineStr">
        <is>
          <t>INV/2026/01933</t>
        </is>
      </c>
      <c r="F1182" t="inlineStr">
        <is>
          <t>Customer payment INV/2026/01933</t>
        </is>
      </c>
      <c r="G1182" s="9" t="n">
        <v>145.49</v>
      </c>
      <c r="H1182" t="inlineStr">
        <is>
          <t>customer_payment</t>
        </is>
      </c>
      <c r="I1182" t="inlineStr"/>
      <c r="J1182" t="inlineStr">
        <is>
          <t>G00156</t>
        </is>
      </c>
      <c r="K1182" t="str">
        <f>INDEX('Match Groups'!$D$5:$D$1326,MATCH(J1182,'Match Groups'!$A$5:$A$1326,0))</f>
        <v>MATCH</v>
      </c>
    </row>
    <row r="1183">
      <c r="A1183" t="inlineStr">
        <is>
          <t>JI-00368</t>
        </is>
      </c>
      <c r="B1183" t="inlineStr">
        <is>
          <t>OPS</t>
        </is>
      </c>
      <c r="C1183" s="5" t="n">
        <v>46219</v>
      </c>
      <c r="D1183" t="inlineStr">
        <is>
          <t>Lyrebird Plan Management</t>
        </is>
      </c>
      <c r="E1183" t="inlineStr">
        <is>
          <t>INV/2026/01934</t>
        </is>
      </c>
      <c r="F1183" t="inlineStr">
        <is>
          <t>Customer payment INV/2026/01934</t>
        </is>
      </c>
      <c r="G1183" s="9" t="n">
        <v>96.98999999999999</v>
      </c>
      <c r="H1183" t="inlineStr">
        <is>
          <t>customer_payment</t>
        </is>
      </c>
      <c r="I1183" t="inlineStr"/>
      <c r="J1183" t="inlineStr">
        <is>
          <t>G00156</t>
        </is>
      </c>
      <c r="K1183" t="str">
        <f>INDEX('Match Groups'!$D$5:$D$1326,MATCH(J1183,'Match Groups'!$A$5:$A$1326,0))</f>
        <v>MATCH</v>
      </c>
    </row>
    <row r="1184">
      <c r="A1184" t="inlineStr">
        <is>
          <t>JI-00369</t>
        </is>
      </c>
      <c r="B1184" t="inlineStr">
        <is>
          <t>OPS</t>
        </is>
      </c>
      <c r="C1184" s="5" t="n">
        <v>46219</v>
      </c>
      <c r="D1184" t="inlineStr">
        <is>
          <t>Lyrebird Plan Management</t>
        </is>
      </c>
      <c r="E1184" t="inlineStr">
        <is>
          <t>INV/2026/01960</t>
        </is>
      </c>
      <c r="F1184" t="inlineStr">
        <is>
          <t>Customer payment INV/2026/01960</t>
        </is>
      </c>
      <c r="G1184" s="9" t="n">
        <v>272.49</v>
      </c>
      <c r="H1184" t="inlineStr">
        <is>
          <t>customer_payment</t>
        </is>
      </c>
      <c r="I1184" t="inlineStr"/>
      <c r="J1184" t="inlineStr">
        <is>
          <t>G00156</t>
        </is>
      </c>
      <c r="K1184" t="str">
        <f>INDEX('Match Groups'!$D$5:$D$1326,MATCH(J1184,'Match Groups'!$A$5:$A$1326,0))</f>
        <v>MATCH</v>
      </c>
    </row>
    <row r="1185">
      <c r="A1185" t="inlineStr">
        <is>
          <t>JI-00370</t>
        </is>
      </c>
      <c r="B1185" t="inlineStr">
        <is>
          <t>OPS</t>
        </is>
      </c>
      <c r="C1185" s="5" t="n">
        <v>46219</v>
      </c>
      <c r="D1185" t="inlineStr">
        <is>
          <t>Tallowwood Plans</t>
        </is>
      </c>
      <c r="E1185" t="inlineStr">
        <is>
          <t>INV/2026/01963</t>
        </is>
      </c>
      <c r="F1185" t="inlineStr">
        <is>
          <t>Customer payment INV/2026/01963</t>
        </is>
      </c>
      <c r="G1185" s="9" t="n">
        <v>272.49</v>
      </c>
      <c r="H1185" t="inlineStr">
        <is>
          <t>customer_payment</t>
        </is>
      </c>
      <c r="I1185" t="inlineStr"/>
      <c r="J1185" t="inlineStr">
        <is>
          <t>G00157</t>
        </is>
      </c>
      <c r="K1185" t="str">
        <f>INDEX('Match Groups'!$D$5:$D$1326,MATCH(J1185,'Match Groups'!$A$5:$A$1326,0))</f>
        <v>MATCH</v>
      </c>
    </row>
    <row r="1186">
      <c r="A1186" t="inlineStr">
        <is>
          <t>JI-00371</t>
        </is>
      </c>
      <c r="B1186" t="inlineStr">
        <is>
          <t>OPS</t>
        </is>
      </c>
      <c r="C1186" s="5" t="n">
        <v>46219</v>
      </c>
      <c r="D1186" t="inlineStr">
        <is>
          <t>Tallowwood Plans</t>
        </is>
      </c>
      <c r="E1186" t="inlineStr">
        <is>
          <t>INV/2026/01986</t>
        </is>
      </c>
      <c r="F1186" t="inlineStr">
        <is>
          <t>Customer payment INV/2026/01986</t>
        </is>
      </c>
      <c r="G1186" s="9" t="n">
        <v>193.99</v>
      </c>
      <c r="H1186" t="inlineStr">
        <is>
          <t>customer_payment</t>
        </is>
      </c>
      <c r="I1186" t="inlineStr"/>
      <c r="J1186" t="inlineStr">
        <is>
          <t>G00157</t>
        </is>
      </c>
      <c r="K1186" t="str">
        <f>INDEX('Match Groups'!$D$5:$D$1326,MATCH(J1186,'Match Groups'!$A$5:$A$1326,0))</f>
        <v>MATCH</v>
      </c>
    </row>
    <row r="1187">
      <c r="A1187" t="inlineStr">
        <is>
          <t>JI-00372</t>
        </is>
      </c>
      <c r="B1187" t="inlineStr">
        <is>
          <t>OPS</t>
        </is>
      </c>
      <c r="C1187" s="5" t="n">
        <v>46219</v>
      </c>
      <c r="D1187" t="inlineStr">
        <is>
          <t>Tallowwood Plans</t>
        </is>
      </c>
      <c r="E1187" t="inlineStr">
        <is>
          <t>INV/2026/02012</t>
        </is>
      </c>
      <c r="F1187" t="inlineStr">
        <is>
          <t>Customer payment INV/2026/02012</t>
        </is>
      </c>
      <c r="G1187" s="9" t="n">
        <v>126.99</v>
      </c>
      <c r="H1187" t="inlineStr">
        <is>
          <t>customer_payment</t>
        </is>
      </c>
      <c r="I1187" t="inlineStr"/>
      <c r="J1187" t="inlineStr">
        <is>
          <t>G00157</t>
        </is>
      </c>
      <c r="K1187" t="str">
        <f>INDEX('Match Groups'!$D$5:$D$1326,MATCH(J1187,'Match Groups'!$A$5:$A$1326,0))</f>
        <v>MATCH</v>
      </c>
    </row>
    <row r="1188">
      <c r="A1188" t="inlineStr">
        <is>
          <t>JI-00373</t>
        </is>
      </c>
      <c r="B1188" t="inlineStr">
        <is>
          <t>OPS</t>
        </is>
      </c>
      <c r="C1188" s="5" t="n">
        <v>46219</v>
      </c>
      <c r="D1188" t="inlineStr">
        <is>
          <t>Tallowwood Plans</t>
        </is>
      </c>
      <c r="E1188" t="inlineStr">
        <is>
          <t>INV/2026/02013</t>
        </is>
      </c>
      <c r="F1188" t="inlineStr">
        <is>
          <t>Customer payment INV/2026/02013</t>
        </is>
      </c>
      <c r="G1188" s="9" t="n">
        <v>193.99</v>
      </c>
      <c r="H1188" t="inlineStr">
        <is>
          <t>customer_payment</t>
        </is>
      </c>
      <c r="I1188" t="inlineStr"/>
      <c r="J1188" t="inlineStr">
        <is>
          <t>G00157</t>
        </is>
      </c>
      <c r="K1188" t="str">
        <f>INDEX('Match Groups'!$D$5:$D$1326,MATCH(J1188,'Match Groups'!$A$5:$A$1326,0))</f>
        <v>MATCH</v>
      </c>
    </row>
    <row r="1189">
      <c r="A1189" t="inlineStr">
        <is>
          <t>JI-00374</t>
        </is>
      </c>
      <c r="B1189" t="inlineStr">
        <is>
          <t>OPS</t>
        </is>
      </c>
      <c r="C1189" s="5" t="n">
        <v>46219</v>
      </c>
      <c r="D1189" t="inlineStr">
        <is>
          <t>Tallowwood Plans</t>
        </is>
      </c>
      <c r="E1189" t="inlineStr">
        <is>
          <t>INV/2026/02014</t>
        </is>
      </c>
      <c r="F1189" t="inlineStr">
        <is>
          <t>Customer payment INV/2026/02014</t>
        </is>
      </c>
      <c r="G1189" s="9" t="n">
        <v>387.98</v>
      </c>
      <c r="H1189" t="inlineStr">
        <is>
          <t>customer_payment</t>
        </is>
      </c>
      <c r="I1189" t="inlineStr"/>
      <c r="J1189" t="inlineStr">
        <is>
          <t>G00157</t>
        </is>
      </c>
      <c r="K1189" t="str">
        <f>INDEX('Match Groups'!$D$5:$D$1326,MATCH(J1189,'Match Groups'!$A$5:$A$1326,0))</f>
        <v>MATCH</v>
      </c>
    </row>
    <row r="1190">
      <c r="A1190" t="inlineStr">
        <is>
          <t>JI-00375</t>
        </is>
      </c>
      <c r="B1190" t="inlineStr">
        <is>
          <t>OPS</t>
        </is>
      </c>
      <c r="C1190" s="5" t="n">
        <v>46219</v>
      </c>
      <c r="D1190" t="inlineStr">
        <is>
          <t>Tallowwood Plans</t>
        </is>
      </c>
      <c r="E1190" t="inlineStr">
        <is>
          <t>INV/2026/02032</t>
        </is>
      </c>
      <c r="F1190" t="inlineStr">
        <is>
          <t>Customer payment INV/2026/02032</t>
        </is>
      </c>
      <c r="G1190" s="9" t="n">
        <v>387.98</v>
      </c>
      <c r="H1190" t="inlineStr">
        <is>
          <t>customer_payment</t>
        </is>
      </c>
      <c r="I1190" t="inlineStr"/>
      <c r="J1190" t="inlineStr">
        <is>
          <t>G00157</t>
        </is>
      </c>
      <c r="K1190" t="str">
        <f>INDEX('Match Groups'!$D$5:$D$1326,MATCH(J1190,'Match Groups'!$A$5:$A$1326,0))</f>
        <v>MATCH</v>
      </c>
    </row>
    <row r="1191">
      <c r="A1191" t="inlineStr">
        <is>
          <t>JI-00376</t>
        </is>
      </c>
      <c r="B1191" t="inlineStr">
        <is>
          <t>OPS</t>
        </is>
      </c>
      <c r="C1191" s="5" t="n">
        <v>46219</v>
      </c>
      <c r="D1191" t="inlineStr">
        <is>
          <t>Tallowwood Plans</t>
        </is>
      </c>
      <c r="E1191" t="inlineStr">
        <is>
          <t>INV/2026/02057</t>
        </is>
      </c>
      <c r="F1191" t="inlineStr">
        <is>
          <t>Customer payment INV/2026/02057</t>
        </is>
      </c>
      <c r="G1191" s="9" t="n">
        <v>300.69</v>
      </c>
      <c r="H1191" t="inlineStr">
        <is>
          <t>customer_payment</t>
        </is>
      </c>
      <c r="I1191" t="inlineStr"/>
      <c r="J1191" t="inlineStr">
        <is>
          <t>G00157</t>
        </is>
      </c>
      <c r="K1191" t="str">
        <f>INDEX('Match Groups'!$D$5:$D$1326,MATCH(J1191,'Match Groups'!$A$5:$A$1326,0))</f>
        <v>MATCH</v>
      </c>
    </row>
    <row r="1192">
      <c r="A1192" t="inlineStr">
        <is>
          <t>JI-00377</t>
        </is>
      </c>
      <c r="B1192" t="inlineStr">
        <is>
          <t>OPS</t>
        </is>
      </c>
      <c r="C1192" s="5" t="n">
        <v>46219</v>
      </c>
      <c r="D1192" t="inlineStr">
        <is>
          <t>Tallowwood Plans</t>
        </is>
      </c>
      <c r="E1192" t="inlineStr">
        <is>
          <t>INV/2026/02058</t>
        </is>
      </c>
      <c r="F1192" t="inlineStr">
        <is>
          <t>Customer payment INV/2026/02058</t>
        </is>
      </c>
      <c r="G1192" s="9" t="n">
        <v>242.49</v>
      </c>
      <c r="H1192" t="inlineStr">
        <is>
          <t>customer_payment</t>
        </is>
      </c>
      <c r="I1192" t="inlineStr"/>
      <c r="J1192" t="inlineStr">
        <is>
          <t>G00157</t>
        </is>
      </c>
      <c r="K1192" t="str">
        <f>INDEX('Match Groups'!$D$5:$D$1326,MATCH(J1192,'Match Groups'!$A$5:$A$1326,0))</f>
        <v>MATCH</v>
      </c>
    </row>
    <row r="1193">
      <c r="A1193" t="inlineStr">
        <is>
          <t>JI-00378</t>
        </is>
      </c>
      <c r="B1193" t="inlineStr">
        <is>
          <t>OPS</t>
        </is>
      </c>
      <c r="C1193" s="5" t="n">
        <v>46219</v>
      </c>
      <c r="D1193" t="inlineStr">
        <is>
          <t>Tallowwood Plans</t>
        </is>
      </c>
      <c r="E1193" t="inlineStr">
        <is>
          <t>INV/2026/02059</t>
        </is>
      </c>
      <c r="F1193" t="inlineStr">
        <is>
          <t>Customer payment INV/2026/02059</t>
        </is>
      </c>
      <c r="G1193" s="9" t="n">
        <v>446.18</v>
      </c>
      <c r="H1193" t="inlineStr">
        <is>
          <t>customer_payment</t>
        </is>
      </c>
      <c r="I1193" t="inlineStr"/>
      <c r="J1193" t="inlineStr">
        <is>
          <t>G00157</t>
        </is>
      </c>
      <c r="K1193" t="str">
        <f>INDEX('Match Groups'!$D$5:$D$1326,MATCH(J1193,'Match Groups'!$A$5:$A$1326,0))</f>
        <v>MATCH</v>
      </c>
    </row>
    <row r="1194">
      <c r="A1194" t="inlineStr">
        <is>
          <t>JI-00379</t>
        </is>
      </c>
      <c r="B1194" t="inlineStr">
        <is>
          <t>OPS</t>
        </is>
      </c>
      <c r="C1194" s="5" t="n">
        <v>46219</v>
      </c>
      <c r="D1194" t="inlineStr">
        <is>
          <t>Tallowwood Plans</t>
        </is>
      </c>
      <c r="E1194" t="inlineStr">
        <is>
          <t>INV/2026/02082</t>
        </is>
      </c>
      <c r="F1194" t="inlineStr">
        <is>
          <t>Customer payment INV/2026/02082</t>
        </is>
      </c>
      <c r="G1194" s="9" t="n">
        <v>446.18</v>
      </c>
      <c r="H1194" t="inlineStr">
        <is>
          <t>customer_payment</t>
        </is>
      </c>
      <c r="I1194" t="inlineStr"/>
      <c r="J1194" t="inlineStr">
        <is>
          <t>G00157</t>
        </is>
      </c>
      <c r="K1194" t="str">
        <f>INDEX('Match Groups'!$D$5:$D$1326,MATCH(J1194,'Match Groups'!$A$5:$A$1326,0))</f>
        <v>MATCH</v>
      </c>
    </row>
    <row r="1195">
      <c r="A1195" t="inlineStr">
        <is>
          <t>JI-00380</t>
        </is>
      </c>
      <c r="B1195" t="inlineStr">
        <is>
          <t>OPS</t>
        </is>
      </c>
      <c r="C1195" s="5" t="n">
        <v>46219</v>
      </c>
      <c r="D1195" t="inlineStr">
        <is>
          <t>Mallee Plan Services</t>
        </is>
      </c>
      <c r="E1195" t="inlineStr">
        <is>
          <t>INV/2026/01988</t>
        </is>
      </c>
      <c r="F1195" t="inlineStr">
        <is>
          <t>Customer payment INV/2026/01988</t>
        </is>
      </c>
      <c r="G1195" s="9" t="n">
        <v>290.98</v>
      </c>
      <c r="H1195" t="inlineStr">
        <is>
          <t>customer_payment</t>
        </is>
      </c>
      <c r="I1195" t="inlineStr"/>
      <c r="J1195" t="inlineStr">
        <is>
          <t>G00158</t>
        </is>
      </c>
      <c r="K1195" t="str">
        <f>INDEX('Match Groups'!$D$5:$D$1326,MATCH(J1195,'Match Groups'!$A$5:$A$1326,0))</f>
        <v>MATCH</v>
      </c>
    </row>
    <row r="1196">
      <c r="A1196" t="inlineStr">
        <is>
          <t>JI-00381</t>
        </is>
      </c>
      <c r="B1196" t="inlineStr">
        <is>
          <t>OPS</t>
        </is>
      </c>
      <c r="C1196" s="5" t="n">
        <v>46219</v>
      </c>
      <c r="D1196" t="inlineStr">
        <is>
          <t>Mallee Plan Services</t>
        </is>
      </c>
      <c r="E1196" t="inlineStr">
        <is>
          <t>INV/2026/01989</t>
        </is>
      </c>
      <c r="F1196" t="inlineStr">
        <is>
          <t>Customer payment INV/2026/01989</t>
        </is>
      </c>
      <c r="G1196" s="9" t="n">
        <v>203.69</v>
      </c>
      <c r="H1196" t="inlineStr">
        <is>
          <t>customer_payment</t>
        </is>
      </c>
      <c r="I1196" t="inlineStr"/>
      <c r="J1196" t="inlineStr">
        <is>
          <t>G00158</t>
        </is>
      </c>
      <c r="K1196" t="str">
        <f>INDEX('Match Groups'!$D$5:$D$1326,MATCH(J1196,'Match Groups'!$A$5:$A$1326,0))</f>
        <v>MATCH</v>
      </c>
    </row>
    <row r="1197">
      <c r="A1197" t="inlineStr">
        <is>
          <t>JI-00382</t>
        </is>
      </c>
      <c r="B1197" t="inlineStr">
        <is>
          <t>OPS</t>
        </is>
      </c>
      <c r="C1197" s="5" t="n">
        <v>46219</v>
      </c>
      <c r="D1197" t="inlineStr">
        <is>
          <t>Mallee Plan Services</t>
        </is>
      </c>
      <c r="E1197" t="inlineStr">
        <is>
          <t>INV/2026/02016</t>
        </is>
      </c>
      <c r="F1197" t="inlineStr">
        <is>
          <t>Customer payment INV/2026/02016</t>
        </is>
      </c>
      <c r="G1197" s="9" t="n">
        <v>126.99</v>
      </c>
      <c r="H1197" t="inlineStr">
        <is>
          <t>customer_payment</t>
        </is>
      </c>
      <c r="I1197" t="inlineStr"/>
      <c r="J1197" t="inlineStr">
        <is>
          <t>G00158</t>
        </is>
      </c>
      <c r="K1197" t="str">
        <f>INDEX('Match Groups'!$D$5:$D$1326,MATCH(J1197,'Match Groups'!$A$5:$A$1326,0))</f>
        <v>MATCH</v>
      </c>
    </row>
    <row r="1198">
      <c r="A1198" t="inlineStr">
        <is>
          <t>JI-00383</t>
        </is>
      </c>
      <c r="B1198" t="inlineStr">
        <is>
          <t>OPS</t>
        </is>
      </c>
      <c r="C1198" s="5" t="n">
        <v>46219</v>
      </c>
      <c r="D1198" t="inlineStr">
        <is>
          <t>Mallee Plan Services</t>
        </is>
      </c>
      <c r="E1198" t="inlineStr">
        <is>
          <t>INV/2026/02084</t>
        </is>
      </c>
      <c r="F1198" t="inlineStr">
        <is>
          <t>Customer payment INV/2026/02084</t>
        </is>
      </c>
      <c r="G1198" s="9" t="n">
        <v>96.98999999999999</v>
      </c>
      <c r="H1198" t="inlineStr">
        <is>
          <t>customer_payment</t>
        </is>
      </c>
      <c r="I1198" t="inlineStr"/>
      <c r="J1198" t="inlineStr">
        <is>
          <t>G00158</t>
        </is>
      </c>
      <c r="K1198" t="str">
        <f>INDEX('Match Groups'!$D$5:$D$1326,MATCH(J1198,'Match Groups'!$A$5:$A$1326,0))</f>
        <v>MATCH</v>
      </c>
    </row>
    <row r="1199">
      <c r="A1199" t="inlineStr">
        <is>
          <t>JI-01541</t>
        </is>
      </c>
      <c r="B1199" t="inlineStr">
        <is>
          <t>OPS</t>
        </is>
      </c>
      <c r="C1199" s="5" t="n">
        <v>46219</v>
      </c>
      <c r="D1199" t="inlineStr">
        <is>
          <t>Harbour Mutual Health</t>
        </is>
      </c>
      <c r="E1199" t="inlineStr">
        <is>
          <t>INV/2026/02085</t>
        </is>
      </c>
      <c r="F1199" t="inlineStr">
        <is>
          <t>Customer payment INV/2026/02085</t>
        </is>
      </c>
      <c r="G1199" s="9" t="n">
        <v>412.5</v>
      </c>
      <c r="H1199" t="inlineStr">
        <is>
          <t>customer_payment</t>
        </is>
      </c>
      <c r="I1199" t="inlineStr"/>
      <c r="J1199" t="inlineStr">
        <is>
          <t>G00945</t>
        </is>
      </c>
      <c r="K1199" t="str">
        <f>INDEX('Match Groups'!$D$5:$D$1326,MATCH(J1199,'Match Groups'!$A$5:$A$1326,0))</f>
        <v>MATCH</v>
      </c>
    </row>
    <row r="1200">
      <c r="A1200" t="inlineStr">
        <is>
          <t>JI-01572</t>
        </is>
      </c>
      <c r="B1200" t="inlineStr">
        <is>
          <t>OPS</t>
        </is>
      </c>
      <c r="C1200" s="5" t="n">
        <v>46219</v>
      </c>
      <c r="D1200" t="inlineStr">
        <is>
          <t>Unity Workcover Agents</t>
        </is>
      </c>
      <c r="E1200" t="inlineStr">
        <is>
          <t>INV/2026/01824</t>
        </is>
      </c>
      <c r="F1200" t="inlineStr">
        <is>
          <t>Customer payment INV/2026/01824</t>
        </is>
      </c>
      <c r="G1200" s="9" t="n">
        <v>176</v>
      </c>
      <c r="H1200" t="inlineStr">
        <is>
          <t>customer_payment</t>
        </is>
      </c>
      <c r="I1200" t="inlineStr"/>
      <c r="J1200" t="inlineStr">
        <is>
          <t>G00946</t>
        </is>
      </c>
      <c r="K1200" t="str">
        <f>INDEX('Match Groups'!$D$5:$D$1326,MATCH(J1200,'Match Groups'!$A$5:$A$1326,0))</f>
        <v>MATCH</v>
      </c>
    </row>
    <row r="1201">
      <c r="A1201" t="inlineStr">
        <is>
          <t>JI-01673</t>
        </is>
      </c>
      <c r="B1201" t="inlineStr">
        <is>
          <t>OPS</t>
        </is>
      </c>
      <c r="C1201" s="5" t="n">
        <v>46219</v>
      </c>
      <c r="D1201" t="inlineStr">
        <is>
          <t>Greystanes Building Co</t>
        </is>
      </c>
      <c r="E1201" t="inlineStr">
        <is>
          <t>INV/2026/03422</t>
        </is>
      </c>
      <c r="F1201" t="inlineStr">
        <is>
          <t>Customer payment INV/2026/03422</t>
        </is>
      </c>
      <c r="G1201" s="9" t="n">
        <v>5431.25</v>
      </c>
      <c r="H1201" t="inlineStr">
        <is>
          <t>customer_payment</t>
        </is>
      </c>
      <c r="I1201" t="inlineStr"/>
      <c r="J1201" t="inlineStr">
        <is>
          <t>G01127</t>
        </is>
      </c>
      <c r="K1201" t="str">
        <f>INDEX('Match Groups'!$D$5:$D$1326,MATCH(J1201,'Match Groups'!$A$5:$A$1326,0))</f>
        <v>MATCH</v>
      </c>
    </row>
    <row r="1202">
      <c r="A1202" t="inlineStr">
        <is>
          <t>JI-01688</t>
        </is>
      </c>
      <c r="B1202" t="inlineStr">
        <is>
          <t>OPS</t>
        </is>
      </c>
      <c r="C1202" s="5" t="n">
        <v>46219</v>
      </c>
      <c r="D1202" t="inlineStr">
        <is>
          <t>Hartigan Transport</t>
        </is>
      </c>
      <c r="E1202" t="inlineStr">
        <is>
          <t>INV/2026/03429</t>
        </is>
      </c>
      <c r="F1202" t="inlineStr">
        <is>
          <t>Customer payment INV/2026/03429</t>
        </is>
      </c>
      <c r="G1202" s="9" t="n">
        <v>2722.5</v>
      </c>
      <c r="H1202" t="inlineStr">
        <is>
          <t>customer_payment</t>
        </is>
      </c>
      <c r="I1202" t="inlineStr"/>
      <c r="J1202" t="inlineStr">
        <is>
          <t>G00947</t>
        </is>
      </c>
      <c r="K1202" t="str">
        <f>INDEX('Match Groups'!$D$5:$D$1326,MATCH(J1202,'Match Groups'!$A$5:$A$1326,0))</f>
        <v>MATCH</v>
      </c>
    </row>
    <row r="1203">
      <c r="A1203" t="inlineStr">
        <is>
          <t>JI-02138</t>
        </is>
      </c>
      <c r="B1203" t="inlineStr">
        <is>
          <t>OPS</t>
        </is>
      </c>
      <c r="C1203" s="5" t="n">
        <v>46219</v>
      </c>
      <c r="D1203" t="inlineStr">
        <is>
          <t>Stripe patient 55702</t>
        </is>
      </c>
      <c r="E1203" t="inlineStr">
        <is>
          <t>INV/2026/03985</t>
        </is>
      </c>
      <c r="F1203" t="inlineStr">
        <is>
          <t>Customer payment INV/2026/03985</t>
        </is>
      </c>
      <c r="G1203" s="9" t="n">
        <v>120</v>
      </c>
      <c r="H1203" t="inlineStr">
        <is>
          <t>customer_payment</t>
        </is>
      </c>
      <c r="I1203" t="inlineStr"/>
      <c r="J1203" t="inlineStr">
        <is>
          <t>G00027</t>
        </is>
      </c>
      <c r="K1203" t="str">
        <f>INDEX('Match Groups'!$D$5:$D$1326,MATCH(J1203,'Match Groups'!$A$5:$A$1326,0))</f>
        <v>STRIPE-FEE</v>
      </c>
    </row>
    <row r="1204">
      <c r="A1204" t="inlineStr">
        <is>
          <t>JI-02139</t>
        </is>
      </c>
      <c r="B1204" t="inlineStr">
        <is>
          <t>OPS</t>
        </is>
      </c>
      <c r="C1204" s="5" t="n">
        <v>46219</v>
      </c>
      <c r="D1204" t="inlineStr">
        <is>
          <t>Stripe patient 36636</t>
        </is>
      </c>
      <c r="E1204" t="inlineStr">
        <is>
          <t>INV/2026/03986</t>
        </is>
      </c>
      <c r="F1204" t="inlineStr">
        <is>
          <t>Customer payment INV/2026/03986</t>
        </is>
      </c>
      <c r="G1204" s="9" t="n">
        <v>180</v>
      </c>
      <c r="H1204" t="inlineStr">
        <is>
          <t>customer_payment</t>
        </is>
      </c>
      <c r="I1204" t="inlineStr"/>
      <c r="J1204" t="inlineStr">
        <is>
          <t>G00027</t>
        </is>
      </c>
      <c r="K1204" t="str">
        <f>INDEX('Match Groups'!$D$5:$D$1326,MATCH(J1204,'Match Groups'!$A$5:$A$1326,0))</f>
        <v>STRIPE-FEE</v>
      </c>
    </row>
    <row r="1205">
      <c r="A1205" t="inlineStr">
        <is>
          <t>JI-02140</t>
        </is>
      </c>
      <c r="B1205" t="inlineStr">
        <is>
          <t>OPS</t>
        </is>
      </c>
      <c r="C1205" s="5" t="n">
        <v>46219</v>
      </c>
      <c r="D1205" t="inlineStr">
        <is>
          <t>Stripe patient 28652</t>
        </is>
      </c>
      <c r="E1205" t="inlineStr">
        <is>
          <t>INV/2026/03987</t>
        </is>
      </c>
      <c r="F1205" t="inlineStr">
        <is>
          <t>Customer payment INV/2026/03987</t>
        </is>
      </c>
      <c r="G1205" s="9" t="n">
        <v>95</v>
      </c>
      <c r="H1205" t="inlineStr">
        <is>
          <t>customer_payment</t>
        </is>
      </c>
      <c r="I1205" t="inlineStr"/>
      <c r="J1205" t="inlineStr">
        <is>
          <t>G00027</t>
        </is>
      </c>
      <c r="K1205" t="str">
        <f>INDEX('Match Groups'!$D$5:$D$1326,MATCH(J1205,'Match Groups'!$A$5:$A$1326,0))</f>
        <v>STRIPE-FEE</v>
      </c>
    </row>
    <row r="1206">
      <c r="A1206" t="inlineStr">
        <is>
          <t>JI-02141</t>
        </is>
      </c>
      <c r="B1206" t="inlineStr">
        <is>
          <t>OPS</t>
        </is>
      </c>
      <c r="C1206" s="5" t="n">
        <v>46219</v>
      </c>
      <c r="D1206" t="inlineStr">
        <is>
          <t>Stripe patient 78766</t>
        </is>
      </c>
      <c r="E1206" t="inlineStr">
        <is>
          <t>INV/2026/03988</t>
        </is>
      </c>
      <c r="F1206" t="inlineStr">
        <is>
          <t>Customer payment INV/2026/03988</t>
        </is>
      </c>
      <c r="G1206" s="9" t="n">
        <v>150</v>
      </c>
      <c r="H1206" t="inlineStr">
        <is>
          <t>customer_payment</t>
        </is>
      </c>
      <c r="I1206" t="inlineStr"/>
      <c r="J1206" t="inlineStr">
        <is>
          <t>G00027</t>
        </is>
      </c>
      <c r="K1206" t="str">
        <f>INDEX('Match Groups'!$D$5:$D$1326,MATCH(J1206,'Match Groups'!$A$5:$A$1326,0))</f>
        <v>STRIPE-FEE</v>
      </c>
    </row>
    <row r="1207">
      <c r="A1207" t="inlineStr">
        <is>
          <t>JI-02142</t>
        </is>
      </c>
      <c r="B1207" t="inlineStr">
        <is>
          <t>OPS</t>
        </is>
      </c>
      <c r="C1207" s="5" t="n">
        <v>46219</v>
      </c>
      <c r="D1207" t="inlineStr">
        <is>
          <t>Stripe patient 37642</t>
        </is>
      </c>
      <c r="E1207" t="inlineStr">
        <is>
          <t>INV/2026/03989</t>
        </is>
      </c>
      <c r="F1207" t="inlineStr">
        <is>
          <t>Customer payment INV/2026/03989</t>
        </is>
      </c>
      <c r="G1207" s="9" t="n">
        <v>135</v>
      </c>
      <c r="H1207" t="inlineStr">
        <is>
          <t>customer_payment</t>
        </is>
      </c>
      <c r="I1207" t="inlineStr"/>
      <c r="J1207" t="inlineStr">
        <is>
          <t>G00027</t>
        </is>
      </c>
      <c r="K1207" t="str">
        <f>INDEX('Match Groups'!$D$5:$D$1326,MATCH(J1207,'Match Groups'!$A$5:$A$1326,0))</f>
        <v>STRIPE-FEE</v>
      </c>
    </row>
    <row r="1208">
      <c r="A1208" t="inlineStr">
        <is>
          <t>JI-02143</t>
        </is>
      </c>
      <c r="B1208" t="inlineStr">
        <is>
          <t>OPS</t>
        </is>
      </c>
      <c r="C1208" s="5" t="n">
        <v>46219</v>
      </c>
      <c r="D1208" t="inlineStr">
        <is>
          <t>Stripe patient 91480</t>
        </is>
      </c>
      <c r="E1208" t="inlineStr">
        <is>
          <t>INV/2026/03990</t>
        </is>
      </c>
      <c r="F1208" t="inlineStr">
        <is>
          <t>Customer payment INV/2026/03990</t>
        </is>
      </c>
      <c r="G1208" s="9" t="n">
        <v>180</v>
      </c>
      <c r="H1208" t="inlineStr">
        <is>
          <t>customer_payment</t>
        </is>
      </c>
      <c r="I1208" t="inlineStr"/>
      <c r="J1208" t="inlineStr">
        <is>
          <t>G00027</t>
        </is>
      </c>
      <c r="K1208" t="str">
        <f>INDEX('Match Groups'!$D$5:$D$1326,MATCH(J1208,'Match Groups'!$A$5:$A$1326,0))</f>
        <v>STRIPE-FEE</v>
      </c>
    </row>
    <row r="1209">
      <c r="A1209" t="inlineStr">
        <is>
          <t>JI-02144</t>
        </is>
      </c>
      <c r="B1209" t="inlineStr">
        <is>
          <t>OPS</t>
        </is>
      </c>
      <c r="C1209" s="5" t="n">
        <v>46219</v>
      </c>
      <c r="D1209" t="inlineStr">
        <is>
          <t>Stripe patient 54613</t>
        </is>
      </c>
      <c r="E1209" t="inlineStr">
        <is>
          <t>INV/2026/03991</t>
        </is>
      </c>
      <c r="F1209" t="inlineStr">
        <is>
          <t>Customer payment INV/2026/03991</t>
        </is>
      </c>
      <c r="G1209" s="9" t="n">
        <v>120</v>
      </c>
      <c r="H1209" t="inlineStr">
        <is>
          <t>customer_payment</t>
        </is>
      </c>
      <c r="I1209" t="inlineStr"/>
      <c r="J1209" t="inlineStr">
        <is>
          <t>G00027</t>
        </is>
      </c>
      <c r="K1209" t="str">
        <f>INDEX('Match Groups'!$D$5:$D$1326,MATCH(J1209,'Match Groups'!$A$5:$A$1326,0))</f>
        <v>STRIPE-FEE</v>
      </c>
    </row>
    <row r="1210">
      <c r="A1210" t="inlineStr">
        <is>
          <t>JI-02145</t>
        </is>
      </c>
      <c r="B1210" t="inlineStr">
        <is>
          <t>OPS</t>
        </is>
      </c>
      <c r="C1210" s="5" t="n">
        <v>46219</v>
      </c>
      <c r="D1210" t="inlineStr">
        <is>
          <t>Stripe patient 29370</t>
        </is>
      </c>
      <c r="E1210" t="inlineStr">
        <is>
          <t>INV/2026/03992</t>
        </is>
      </c>
      <c r="F1210" t="inlineStr">
        <is>
          <t>Customer payment INV/2026/03992</t>
        </is>
      </c>
      <c r="G1210" s="9" t="n">
        <v>220</v>
      </c>
      <c r="H1210" t="inlineStr">
        <is>
          <t>customer_payment</t>
        </is>
      </c>
      <c r="I1210" t="inlineStr"/>
      <c r="J1210" t="inlineStr">
        <is>
          <t>G00027</t>
        </is>
      </c>
      <c r="K1210" t="str">
        <f>INDEX('Match Groups'!$D$5:$D$1326,MATCH(J1210,'Match Groups'!$A$5:$A$1326,0))</f>
        <v>STRIPE-FEE</v>
      </c>
    </row>
    <row r="1211">
      <c r="A1211" t="inlineStr">
        <is>
          <t>JI-02146</t>
        </is>
      </c>
      <c r="B1211" t="inlineStr">
        <is>
          <t>OPS</t>
        </is>
      </c>
      <c r="C1211" s="5" t="n">
        <v>46219</v>
      </c>
      <c r="D1211" t="inlineStr">
        <is>
          <t>Stripe patient 91775</t>
        </is>
      </c>
      <c r="E1211" t="inlineStr">
        <is>
          <t>INV/2026/03993</t>
        </is>
      </c>
      <c r="F1211" t="inlineStr">
        <is>
          <t>Customer payment INV/2026/03993</t>
        </is>
      </c>
      <c r="G1211" s="9" t="n">
        <v>220</v>
      </c>
      <c r="H1211" t="inlineStr">
        <is>
          <t>customer_payment</t>
        </is>
      </c>
      <c r="I1211" t="inlineStr"/>
      <c r="J1211" t="inlineStr">
        <is>
          <t>G00027</t>
        </is>
      </c>
      <c r="K1211" t="str">
        <f>INDEX('Match Groups'!$D$5:$D$1326,MATCH(J1211,'Match Groups'!$A$5:$A$1326,0))</f>
        <v>STRIPE-FEE</v>
      </c>
    </row>
    <row r="1212">
      <c r="A1212" t="inlineStr">
        <is>
          <t>JI-02147</t>
        </is>
      </c>
      <c r="B1212" t="inlineStr">
        <is>
          <t>OPS</t>
        </is>
      </c>
      <c r="C1212" s="5" t="n">
        <v>46219</v>
      </c>
      <c r="D1212" t="inlineStr">
        <is>
          <t>Stripe patient 31269</t>
        </is>
      </c>
      <c r="E1212" t="inlineStr">
        <is>
          <t>INV/2026/03994</t>
        </is>
      </c>
      <c r="F1212" t="inlineStr">
        <is>
          <t>Customer payment INV/2026/03994</t>
        </is>
      </c>
      <c r="G1212" s="9" t="n">
        <v>110</v>
      </c>
      <c r="H1212" t="inlineStr">
        <is>
          <t>customer_payment</t>
        </is>
      </c>
      <c r="I1212" t="inlineStr"/>
      <c r="J1212" t="inlineStr">
        <is>
          <t>G00027</t>
        </is>
      </c>
      <c r="K1212" t="str">
        <f>INDEX('Match Groups'!$D$5:$D$1326,MATCH(J1212,'Match Groups'!$A$5:$A$1326,0))</f>
        <v>STRIPE-FEE</v>
      </c>
    </row>
    <row r="1213">
      <c r="A1213" t="inlineStr">
        <is>
          <t>JI-02148</t>
        </is>
      </c>
      <c r="B1213" t="inlineStr">
        <is>
          <t>OPS</t>
        </is>
      </c>
      <c r="C1213" s="5" t="n">
        <v>46219</v>
      </c>
      <c r="D1213" t="inlineStr">
        <is>
          <t>Stripe patient 93665</t>
        </is>
      </c>
      <c r="E1213" t="inlineStr">
        <is>
          <t>INV/2026/03995</t>
        </is>
      </c>
      <c r="F1213" t="inlineStr">
        <is>
          <t>Customer payment INV/2026/03995</t>
        </is>
      </c>
      <c r="G1213" s="9" t="n">
        <v>85</v>
      </c>
      <c r="H1213" t="inlineStr">
        <is>
          <t>customer_payment</t>
        </is>
      </c>
      <c r="I1213" t="inlineStr"/>
      <c r="J1213" t="inlineStr">
        <is>
          <t>G00027</t>
        </is>
      </c>
      <c r="K1213" t="str">
        <f>INDEX('Match Groups'!$D$5:$D$1326,MATCH(J1213,'Match Groups'!$A$5:$A$1326,0))</f>
        <v>STRIPE-FEE</v>
      </c>
    </row>
    <row r="1214">
      <c r="A1214" t="inlineStr">
        <is>
          <t>JI-02149</t>
        </is>
      </c>
      <c r="B1214" t="inlineStr">
        <is>
          <t>OPS</t>
        </is>
      </c>
      <c r="C1214" s="5" t="n">
        <v>46219</v>
      </c>
      <c r="D1214" t="inlineStr">
        <is>
          <t>Stripe patient 41413</t>
        </is>
      </c>
      <c r="E1214" t="inlineStr">
        <is>
          <t>INV/2026/03996</t>
        </is>
      </c>
      <c r="F1214" t="inlineStr">
        <is>
          <t>Customer payment INV/2026/03996</t>
        </is>
      </c>
      <c r="G1214" s="9" t="n">
        <v>150</v>
      </c>
      <c r="H1214" t="inlineStr">
        <is>
          <t>customer_payment</t>
        </is>
      </c>
      <c r="I1214" t="inlineStr"/>
      <c r="J1214" t="inlineStr">
        <is>
          <t>G00027</t>
        </is>
      </c>
      <c r="K1214" t="str">
        <f>INDEX('Match Groups'!$D$5:$D$1326,MATCH(J1214,'Match Groups'!$A$5:$A$1326,0))</f>
        <v>STRIPE-FEE</v>
      </c>
    </row>
    <row r="1215">
      <c r="A1215" t="inlineStr">
        <is>
          <t>JI-02150</t>
        </is>
      </c>
      <c r="B1215" t="inlineStr">
        <is>
          <t>OPS</t>
        </is>
      </c>
      <c r="C1215" s="5" t="n">
        <v>46219</v>
      </c>
      <c r="D1215" t="inlineStr">
        <is>
          <t>Stripe patient 91837</t>
        </is>
      </c>
      <c r="E1215" t="inlineStr">
        <is>
          <t>INV/2026/03997</t>
        </is>
      </c>
      <c r="F1215" t="inlineStr">
        <is>
          <t>Customer payment INV/2026/03997</t>
        </is>
      </c>
      <c r="G1215" s="9" t="n">
        <v>65</v>
      </c>
      <c r="H1215" t="inlineStr">
        <is>
          <t>customer_payment</t>
        </is>
      </c>
      <c r="I1215" t="inlineStr"/>
      <c r="J1215" t="inlineStr">
        <is>
          <t>G00027</t>
        </is>
      </c>
      <c r="K1215" t="str">
        <f>INDEX('Match Groups'!$D$5:$D$1326,MATCH(J1215,'Match Groups'!$A$5:$A$1326,0))</f>
        <v>STRIPE-FEE</v>
      </c>
    </row>
    <row r="1216">
      <c r="A1216" t="inlineStr">
        <is>
          <t>JI-02151</t>
        </is>
      </c>
      <c r="B1216" t="inlineStr">
        <is>
          <t>OPS</t>
        </is>
      </c>
      <c r="C1216" s="5" t="n">
        <v>46219</v>
      </c>
      <c r="D1216" t="inlineStr">
        <is>
          <t>Stripe patient 83019</t>
        </is>
      </c>
      <c r="E1216" t="inlineStr">
        <is>
          <t>INV/2026/03998</t>
        </is>
      </c>
      <c r="F1216" t="inlineStr">
        <is>
          <t>Customer payment INV/2026/03998</t>
        </is>
      </c>
      <c r="G1216" s="9" t="n">
        <v>150</v>
      </c>
      <c r="H1216" t="inlineStr">
        <is>
          <t>customer_payment</t>
        </is>
      </c>
      <c r="I1216" t="inlineStr"/>
      <c r="J1216" t="inlineStr">
        <is>
          <t>G00027</t>
        </is>
      </c>
      <c r="K1216" t="str">
        <f>INDEX('Match Groups'!$D$5:$D$1326,MATCH(J1216,'Match Groups'!$A$5:$A$1326,0))</f>
        <v>STRIPE-FEE</v>
      </c>
    </row>
    <row r="1217">
      <c r="A1217" t="inlineStr">
        <is>
          <t>JI-02152</t>
        </is>
      </c>
      <c r="B1217" t="inlineStr">
        <is>
          <t>OPS</t>
        </is>
      </c>
      <c r="C1217" s="5" t="n">
        <v>46219</v>
      </c>
      <c r="D1217" t="inlineStr">
        <is>
          <t>Stripe patient 22429</t>
        </is>
      </c>
      <c r="E1217" t="inlineStr">
        <is>
          <t>INV/2026/03999</t>
        </is>
      </c>
      <c r="F1217" t="inlineStr">
        <is>
          <t>Customer payment INV/2026/03999</t>
        </is>
      </c>
      <c r="G1217" s="9" t="n">
        <v>220</v>
      </c>
      <c r="H1217" t="inlineStr">
        <is>
          <t>customer_payment</t>
        </is>
      </c>
      <c r="I1217" t="inlineStr"/>
      <c r="J1217" t="inlineStr">
        <is>
          <t>G00027</t>
        </is>
      </c>
      <c r="K1217" t="str">
        <f>INDEX('Match Groups'!$D$5:$D$1326,MATCH(J1217,'Match Groups'!$A$5:$A$1326,0))</f>
        <v>STRIPE-FEE</v>
      </c>
    </row>
    <row r="1218">
      <c r="A1218" t="inlineStr">
        <is>
          <t>JI-02153</t>
        </is>
      </c>
      <c r="B1218" t="inlineStr">
        <is>
          <t>OPS</t>
        </is>
      </c>
      <c r="C1218" s="5" t="n">
        <v>46219</v>
      </c>
      <c r="D1218" t="inlineStr">
        <is>
          <t>Stripe patient 44675</t>
        </is>
      </c>
      <c r="E1218" t="inlineStr">
        <is>
          <t>INV/2026/04000</t>
        </is>
      </c>
      <c r="F1218" t="inlineStr">
        <is>
          <t>Customer payment INV/2026/04000</t>
        </is>
      </c>
      <c r="G1218" s="9" t="n">
        <v>135</v>
      </c>
      <c r="H1218" t="inlineStr">
        <is>
          <t>customer_payment</t>
        </is>
      </c>
      <c r="I1218" t="inlineStr"/>
      <c r="J1218" t="inlineStr">
        <is>
          <t>G00027</t>
        </is>
      </c>
      <c r="K1218" t="str">
        <f>INDEX('Match Groups'!$D$5:$D$1326,MATCH(J1218,'Match Groups'!$A$5:$A$1326,0))</f>
        <v>STRIPE-FEE</v>
      </c>
    </row>
    <row r="1219">
      <c r="A1219" t="inlineStr">
        <is>
          <t>JI-02154</t>
        </is>
      </c>
      <c r="B1219" t="inlineStr">
        <is>
          <t>OPS</t>
        </is>
      </c>
      <c r="C1219" s="5" t="n">
        <v>46219</v>
      </c>
      <c r="D1219" t="inlineStr">
        <is>
          <t>Stripe patient 84825</t>
        </is>
      </c>
      <c r="E1219" t="inlineStr">
        <is>
          <t>INV/2026/04001</t>
        </is>
      </c>
      <c r="F1219" t="inlineStr">
        <is>
          <t>Customer payment INV/2026/04001</t>
        </is>
      </c>
      <c r="G1219" s="9" t="n">
        <v>85</v>
      </c>
      <c r="H1219" t="inlineStr">
        <is>
          <t>customer_payment</t>
        </is>
      </c>
      <c r="I1219" t="inlineStr"/>
      <c r="J1219" t="inlineStr">
        <is>
          <t>G00027</t>
        </is>
      </c>
      <c r="K1219" t="str">
        <f>INDEX('Match Groups'!$D$5:$D$1326,MATCH(J1219,'Match Groups'!$A$5:$A$1326,0))</f>
        <v>STRIPE-FEE</v>
      </c>
    </row>
    <row r="1220">
      <c r="A1220" t="inlineStr">
        <is>
          <t>JI-02155</t>
        </is>
      </c>
      <c r="B1220" t="inlineStr">
        <is>
          <t>OPS</t>
        </is>
      </c>
      <c r="C1220" s="5" t="n">
        <v>46219</v>
      </c>
      <c r="D1220" t="inlineStr">
        <is>
          <t>Stripe patient 79554</t>
        </is>
      </c>
      <c r="E1220" t="inlineStr">
        <is>
          <t>INV/2026/04002</t>
        </is>
      </c>
      <c r="F1220" t="inlineStr">
        <is>
          <t>Customer payment INV/2026/04002</t>
        </is>
      </c>
      <c r="G1220" s="9" t="n">
        <v>150</v>
      </c>
      <c r="H1220" t="inlineStr">
        <is>
          <t>customer_payment</t>
        </is>
      </c>
      <c r="I1220" t="inlineStr"/>
      <c r="J1220" t="inlineStr">
        <is>
          <t>G00027</t>
        </is>
      </c>
      <c r="K1220" t="str">
        <f>INDEX('Match Groups'!$D$5:$D$1326,MATCH(J1220,'Match Groups'!$A$5:$A$1326,0))</f>
        <v>STRIPE-FEE</v>
      </c>
    </row>
    <row r="1221">
      <c r="A1221" t="inlineStr">
        <is>
          <t>JI-02156</t>
        </is>
      </c>
      <c r="B1221" t="inlineStr">
        <is>
          <t>OPS</t>
        </is>
      </c>
      <c r="C1221" s="5" t="n">
        <v>46219</v>
      </c>
      <c r="D1221" t="inlineStr">
        <is>
          <t>Stripe patient 18977</t>
        </is>
      </c>
      <c r="E1221" t="inlineStr">
        <is>
          <t>INV/2026/04003</t>
        </is>
      </c>
      <c r="F1221" t="inlineStr">
        <is>
          <t>Customer payment INV/2026/04003</t>
        </is>
      </c>
      <c r="G1221" s="9" t="n">
        <v>180</v>
      </c>
      <c r="H1221" t="inlineStr">
        <is>
          <t>customer_payment</t>
        </is>
      </c>
      <c r="I1221" t="inlineStr"/>
      <c r="J1221" t="inlineStr">
        <is>
          <t>G00027</t>
        </is>
      </c>
      <c r="K1221" t="str">
        <f>INDEX('Match Groups'!$D$5:$D$1326,MATCH(J1221,'Match Groups'!$A$5:$A$1326,0))</f>
        <v>STRIPE-FEE</v>
      </c>
    </row>
    <row r="1222">
      <c r="A1222" t="inlineStr">
        <is>
          <t>JI-02157</t>
        </is>
      </c>
      <c r="B1222" t="inlineStr">
        <is>
          <t>OPS</t>
        </is>
      </c>
      <c r="C1222" s="5" t="n">
        <v>46219</v>
      </c>
      <c r="D1222" t="inlineStr">
        <is>
          <t>Stripe patient 92195</t>
        </is>
      </c>
      <c r="E1222" t="inlineStr">
        <is>
          <t>INV/2026/04004</t>
        </is>
      </c>
      <c r="F1222" t="inlineStr">
        <is>
          <t>Customer payment INV/2026/04004</t>
        </is>
      </c>
      <c r="G1222" s="9" t="n">
        <v>150</v>
      </c>
      <c r="H1222" t="inlineStr">
        <is>
          <t>customer_payment</t>
        </is>
      </c>
      <c r="I1222" t="inlineStr"/>
      <c r="J1222" t="inlineStr">
        <is>
          <t>G00027</t>
        </is>
      </c>
      <c r="K1222" t="str">
        <f>INDEX('Match Groups'!$D$5:$D$1326,MATCH(J1222,'Match Groups'!$A$5:$A$1326,0))</f>
        <v>STRIPE-FEE</v>
      </c>
    </row>
    <row r="1223">
      <c r="A1223" t="inlineStr">
        <is>
          <t>JI-02158</t>
        </is>
      </c>
      <c r="B1223" t="inlineStr">
        <is>
          <t>OPS</t>
        </is>
      </c>
      <c r="C1223" s="5" t="n">
        <v>46219</v>
      </c>
      <c r="D1223" t="inlineStr">
        <is>
          <t>Stripe patient 14260</t>
        </is>
      </c>
      <c r="E1223" t="inlineStr">
        <is>
          <t>INV/2026/04005</t>
        </is>
      </c>
      <c r="F1223" t="inlineStr">
        <is>
          <t>Customer payment INV/2026/04005</t>
        </is>
      </c>
      <c r="G1223" s="9" t="n">
        <v>135</v>
      </c>
      <c r="H1223" t="inlineStr">
        <is>
          <t>customer_payment</t>
        </is>
      </c>
      <c r="I1223" t="inlineStr"/>
      <c r="J1223" t="inlineStr">
        <is>
          <t>G00027</t>
        </is>
      </c>
      <c r="K1223" t="str">
        <f>INDEX('Match Groups'!$D$5:$D$1326,MATCH(J1223,'Match Groups'!$A$5:$A$1326,0))</f>
        <v>STRIPE-FEE</v>
      </c>
    </row>
    <row r="1224">
      <c r="A1224" t="inlineStr">
        <is>
          <t>JI-02159</t>
        </is>
      </c>
      <c r="B1224" t="inlineStr">
        <is>
          <t>OPS</t>
        </is>
      </c>
      <c r="C1224" s="5" t="n">
        <v>46219</v>
      </c>
      <c r="D1224" t="inlineStr">
        <is>
          <t>Stripe patient 74446</t>
        </is>
      </c>
      <c r="E1224" t="inlineStr">
        <is>
          <t>INV/2026/04006</t>
        </is>
      </c>
      <c r="F1224" t="inlineStr">
        <is>
          <t>Customer payment INV/2026/04006</t>
        </is>
      </c>
      <c r="G1224" s="9" t="n">
        <v>65</v>
      </c>
      <c r="H1224" t="inlineStr">
        <is>
          <t>customer_payment</t>
        </is>
      </c>
      <c r="I1224" t="inlineStr"/>
      <c r="J1224" t="inlineStr">
        <is>
          <t>G00027</t>
        </is>
      </c>
      <c r="K1224" t="str">
        <f>INDEX('Match Groups'!$D$5:$D$1326,MATCH(J1224,'Match Groups'!$A$5:$A$1326,0))</f>
        <v>STRIPE-FEE</v>
      </c>
    </row>
    <row r="1225">
      <c r="A1225" t="inlineStr">
        <is>
          <t>JI-02160</t>
        </is>
      </c>
      <c r="B1225" t="inlineStr">
        <is>
          <t>OPS</t>
        </is>
      </c>
      <c r="C1225" s="5" t="n">
        <v>46219</v>
      </c>
      <c r="D1225" t="inlineStr">
        <is>
          <t>Stripe patient 95160</t>
        </is>
      </c>
      <c r="E1225" t="inlineStr">
        <is>
          <t>INV/2026/04007</t>
        </is>
      </c>
      <c r="F1225" t="inlineStr">
        <is>
          <t>Customer payment INV/2026/04007</t>
        </is>
      </c>
      <c r="G1225" s="9" t="n">
        <v>85</v>
      </c>
      <c r="H1225" t="inlineStr">
        <is>
          <t>customer_payment</t>
        </is>
      </c>
      <c r="I1225" t="inlineStr"/>
      <c r="J1225" t="inlineStr">
        <is>
          <t>G00027</t>
        </is>
      </c>
      <c r="K1225" t="str">
        <f>INDEX('Match Groups'!$D$5:$D$1326,MATCH(J1225,'Match Groups'!$A$5:$A$1326,0))</f>
        <v>STRIPE-FEE</v>
      </c>
    </row>
    <row r="1226">
      <c r="A1226" t="inlineStr">
        <is>
          <t>JI-03898</t>
        </is>
      </c>
      <c r="B1226" t="inlineStr">
        <is>
          <t>OPS</t>
        </is>
      </c>
      <c r="C1226" s="5" t="n">
        <v>46219</v>
      </c>
      <c r="D1226" t="inlineStr">
        <is>
          <t>Fleetwise Vehicle Leasing</t>
        </is>
      </c>
      <c r="E1226" t="inlineStr">
        <is>
          <t>BILL/2026/1002</t>
        </is>
      </c>
      <c r="F1226" t="inlineStr">
        <is>
          <t>Vendor payment BILL/2026/1002</t>
        </is>
      </c>
      <c r="G1226" s="9" t="n">
        <v>-3184.62</v>
      </c>
      <c r="H1226" t="inlineStr">
        <is>
          <t>supplier_payment</t>
        </is>
      </c>
      <c r="I1226" t="inlineStr"/>
      <c r="J1226" t="inlineStr">
        <is>
          <t>G01126</t>
        </is>
      </c>
      <c r="K1226" t="str">
        <f>INDEX('Match Groups'!$D$5:$D$1326,MATCH(J1226,'Match Groups'!$A$5:$A$1326,0))</f>
        <v>MATCH</v>
      </c>
    </row>
    <row r="1227">
      <c r="A1227" t="inlineStr">
        <is>
          <t>JI-00384</t>
        </is>
      </c>
      <c r="B1227" t="inlineStr">
        <is>
          <t>OPS</t>
        </is>
      </c>
      <c r="C1227" s="5" t="n">
        <v>46220</v>
      </c>
      <c r="D1227" t="inlineStr">
        <is>
          <t>Clearpath NDIS Plans</t>
        </is>
      </c>
      <c r="E1227" t="inlineStr">
        <is>
          <t>INV/2026/01973</t>
        </is>
      </c>
      <c r="F1227" t="inlineStr">
        <is>
          <t>Customer payment INV/2026/01973</t>
        </is>
      </c>
      <c r="G1227" s="9" t="n">
        <v>155.19</v>
      </c>
      <c r="H1227" t="inlineStr">
        <is>
          <t>customer_payment</t>
        </is>
      </c>
      <c r="I1227" t="inlineStr"/>
      <c r="J1227" t="inlineStr">
        <is>
          <t>G00160</t>
        </is>
      </c>
      <c r="K1227" t="str">
        <f>INDEX('Match Groups'!$D$5:$D$1326,MATCH(J1227,'Match Groups'!$A$5:$A$1326,0))</f>
        <v>MATCH</v>
      </c>
    </row>
    <row r="1228">
      <c r="A1228" t="inlineStr">
        <is>
          <t>JI-00385</t>
        </is>
      </c>
      <c r="B1228" t="inlineStr">
        <is>
          <t>OPS</t>
        </is>
      </c>
      <c r="C1228" s="5" t="n">
        <v>46220</v>
      </c>
      <c r="D1228" t="inlineStr">
        <is>
          <t>Clearpath NDIS Plans</t>
        </is>
      </c>
      <c r="E1228" t="inlineStr">
        <is>
          <t>INV/2026/01974</t>
        </is>
      </c>
      <c r="F1228" t="inlineStr">
        <is>
          <t>Customer payment INV/2026/01974</t>
        </is>
      </c>
      <c r="G1228" s="9" t="n">
        <v>145.49</v>
      </c>
      <c r="H1228" t="inlineStr">
        <is>
          <t>customer_payment</t>
        </is>
      </c>
      <c r="I1228" t="inlineStr"/>
      <c r="J1228" t="inlineStr">
        <is>
          <t>G00160</t>
        </is>
      </c>
      <c r="K1228" t="str">
        <f>INDEX('Match Groups'!$D$5:$D$1326,MATCH(J1228,'Match Groups'!$A$5:$A$1326,0))</f>
        <v>MATCH</v>
      </c>
    </row>
    <row r="1229">
      <c r="A1229" t="inlineStr">
        <is>
          <t>JI-00386</t>
        </is>
      </c>
      <c r="B1229" t="inlineStr">
        <is>
          <t>OPS</t>
        </is>
      </c>
      <c r="C1229" s="5" t="n">
        <v>46220</v>
      </c>
      <c r="D1229" t="inlineStr">
        <is>
          <t>Ironbark Plan Management</t>
        </is>
      </c>
      <c r="E1229" t="inlineStr">
        <is>
          <t>INV/2026/01737</t>
        </is>
      </c>
      <c r="F1229" t="inlineStr">
        <is>
          <t>Customer payment INV/2026/01737</t>
        </is>
      </c>
      <c r="G1229" s="9" t="n">
        <v>67.89</v>
      </c>
      <c r="H1229" t="inlineStr">
        <is>
          <t>customer_payment</t>
        </is>
      </c>
      <c r="I1229" t="inlineStr"/>
      <c r="J1229" t="inlineStr">
        <is>
          <t>G00162</t>
        </is>
      </c>
      <c r="K1229" t="str">
        <f>INDEX('Match Groups'!$D$5:$D$1326,MATCH(J1229,'Match Groups'!$A$5:$A$1326,0))</f>
        <v>MATCH</v>
      </c>
    </row>
    <row r="1230">
      <c r="A1230" t="inlineStr">
        <is>
          <t>JI-00387</t>
        </is>
      </c>
      <c r="B1230" t="inlineStr">
        <is>
          <t>OPS</t>
        </is>
      </c>
      <c r="C1230" s="5" t="n">
        <v>46220</v>
      </c>
      <c r="D1230" t="inlineStr">
        <is>
          <t>Ironbark Plan Management</t>
        </is>
      </c>
      <c r="E1230" t="inlineStr">
        <is>
          <t>INV/2026/01757</t>
        </is>
      </c>
      <c r="F1230" t="inlineStr">
        <is>
          <t>Customer payment INV/2026/01757</t>
        </is>
      </c>
      <c r="G1230" s="9" t="n">
        <v>446.18</v>
      </c>
      <c r="H1230" t="inlineStr">
        <is>
          <t>customer_payment</t>
        </is>
      </c>
      <c r="I1230" t="inlineStr"/>
      <c r="J1230" t="inlineStr">
        <is>
          <t>G00162</t>
        </is>
      </c>
      <c r="K1230" t="str">
        <f>INDEX('Match Groups'!$D$5:$D$1326,MATCH(J1230,'Match Groups'!$A$5:$A$1326,0))</f>
        <v>MATCH</v>
      </c>
    </row>
    <row r="1231">
      <c r="A1231" t="inlineStr">
        <is>
          <t>JI-00388</t>
        </is>
      </c>
      <c r="B1231" t="inlineStr">
        <is>
          <t>OPS</t>
        </is>
      </c>
      <c r="C1231" s="5" t="n">
        <v>46220</v>
      </c>
      <c r="D1231" t="inlineStr">
        <is>
          <t>Ironbark Plan Management</t>
        </is>
      </c>
      <c r="E1231" t="inlineStr">
        <is>
          <t>INV/2026/01781</t>
        </is>
      </c>
      <c r="F1231" t="inlineStr">
        <is>
          <t>Customer payment INV/2026/01781</t>
        </is>
      </c>
      <c r="G1231" s="9" t="n">
        <v>96.98999999999999</v>
      </c>
      <c r="H1231" t="inlineStr">
        <is>
          <t>customer_payment</t>
        </is>
      </c>
      <c r="I1231" t="inlineStr"/>
      <c r="J1231" t="inlineStr">
        <is>
          <t>G00162</t>
        </is>
      </c>
      <c r="K1231" t="str">
        <f>INDEX('Match Groups'!$D$5:$D$1326,MATCH(J1231,'Match Groups'!$A$5:$A$1326,0))</f>
        <v>MATCH</v>
      </c>
    </row>
    <row r="1232">
      <c r="A1232" t="inlineStr">
        <is>
          <t>JI-00389</t>
        </is>
      </c>
      <c r="B1232" t="inlineStr">
        <is>
          <t>OPS</t>
        </is>
      </c>
      <c r="C1232" s="5" t="n">
        <v>46220</v>
      </c>
      <c r="D1232" t="inlineStr">
        <is>
          <t>Ironbark Plan Management</t>
        </is>
      </c>
      <c r="E1232" t="inlineStr">
        <is>
          <t>INV/2026/01806</t>
        </is>
      </c>
      <c r="F1232" t="inlineStr">
        <is>
          <t>Customer payment INV/2026/01806</t>
        </is>
      </c>
      <c r="G1232" s="9" t="n">
        <v>300.69</v>
      </c>
      <c r="H1232" t="inlineStr">
        <is>
          <t>customer_payment</t>
        </is>
      </c>
      <c r="I1232" t="inlineStr"/>
      <c r="J1232" t="inlineStr">
        <is>
          <t>G00162</t>
        </is>
      </c>
      <c r="K1232" t="str">
        <f>INDEX('Match Groups'!$D$5:$D$1326,MATCH(J1232,'Match Groups'!$A$5:$A$1326,0))</f>
        <v>MATCH</v>
      </c>
    </row>
    <row r="1233">
      <c r="A1233" t="inlineStr">
        <is>
          <t>JI-00390</t>
        </is>
      </c>
      <c r="B1233" t="inlineStr">
        <is>
          <t>OPS</t>
        </is>
      </c>
      <c r="C1233" s="5" t="n">
        <v>46220</v>
      </c>
      <c r="D1233" t="inlineStr">
        <is>
          <t>Tallowwood Plans</t>
        </is>
      </c>
      <c r="E1233" t="inlineStr">
        <is>
          <t>INV/2026/02081</t>
        </is>
      </c>
      <c r="F1233" t="inlineStr">
        <is>
          <t>Customer payment INV/2026/02081</t>
        </is>
      </c>
      <c r="G1233" s="9" t="n">
        <v>155.19</v>
      </c>
      <c r="H1233" t="inlineStr">
        <is>
          <t>customer_payment</t>
        </is>
      </c>
      <c r="I1233" t="inlineStr"/>
      <c r="J1233" t="inlineStr">
        <is>
          <t>G00163</t>
        </is>
      </c>
      <c r="K1233" t="str">
        <f>INDEX('Match Groups'!$D$5:$D$1326,MATCH(J1233,'Match Groups'!$A$5:$A$1326,0))</f>
        <v>MATCH</v>
      </c>
    </row>
    <row r="1234">
      <c r="A1234" t="inlineStr">
        <is>
          <t>JI-00391</t>
        </is>
      </c>
      <c r="B1234" t="inlineStr">
        <is>
          <t>OPS</t>
        </is>
      </c>
      <c r="C1234" s="5" t="n">
        <v>46220</v>
      </c>
      <c r="D1234" t="inlineStr">
        <is>
          <t>Tallowwood Plans</t>
        </is>
      </c>
      <c r="E1234" t="inlineStr">
        <is>
          <t>INV/2026/02125</t>
        </is>
      </c>
      <c r="F1234" t="inlineStr">
        <is>
          <t>Customer payment INV/2026/02125</t>
        </is>
      </c>
      <c r="G1234" s="9" t="n">
        <v>290.98</v>
      </c>
      <c r="H1234" t="inlineStr">
        <is>
          <t>customer_payment</t>
        </is>
      </c>
      <c r="I1234" t="inlineStr"/>
      <c r="J1234" t="inlineStr">
        <is>
          <t>G00163</t>
        </is>
      </c>
      <c r="K1234" t="str">
        <f>INDEX('Match Groups'!$D$5:$D$1326,MATCH(J1234,'Match Groups'!$A$5:$A$1326,0))</f>
        <v>MATCH</v>
      </c>
    </row>
    <row r="1235">
      <c r="A1235" t="inlineStr">
        <is>
          <t>JI-00392</t>
        </is>
      </c>
      <c r="B1235" t="inlineStr">
        <is>
          <t>OPS</t>
        </is>
      </c>
      <c r="C1235" s="5" t="n">
        <v>46220</v>
      </c>
      <c r="D1235" t="inlineStr">
        <is>
          <t>Acacia Plan Partners</t>
        </is>
      </c>
      <c r="E1235" t="inlineStr">
        <is>
          <t>INV/2026/01743</t>
        </is>
      </c>
      <c r="F1235" t="inlineStr">
        <is>
          <t>Customer payment INV/2026/01743</t>
        </is>
      </c>
      <c r="G1235" s="9" t="n">
        <v>290.98</v>
      </c>
      <c r="H1235" t="inlineStr">
        <is>
          <t>customer_payment</t>
        </is>
      </c>
      <c r="I1235" t="inlineStr"/>
      <c r="J1235" t="inlineStr">
        <is>
          <t>G00164</t>
        </is>
      </c>
      <c r="K1235" t="str">
        <f>INDEX('Match Groups'!$D$5:$D$1326,MATCH(J1235,'Match Groups'!$A$5:$A$1326,0))</f>
        <v>MATCH</v>
      </c>
    </row>
    <row r="1236">
      <c r="A1236" t="inlineStr">
        <is>
          <t>JI-00393</t>
        </is>
      </c>
      <c r="B1236" t="inlineStr">
        <is>
          <t>OPS</t>
        </is>
      </c>
      <c r="C1236" s="5" t="n">
        <v>46220</v>
      </c>
      <c r="D1236" t="inlineStr">
        <is>
          <t>Acacia Plan Partners</t>
        </is>
      </c>
      <c r="E1236" t="inlineStr">
        <is>
          <t>INV/2026/01744</t>
        </is>
      </c>
      <c r="F1236" t="inlineStr">
        <is>
          <t>Customer payment INV/2026/01744</t>
        </is>
      </c>
      <c r="G1236" s="9" t="n">
        <v>145.49</v>
      </c>
      <c r="H1236" t="inlineStr">
        <is>
          <t>customer_payment</t>
        </is>
      </c>
      <c r="I1236" t="inlineStr"/>
      <c r="J1236" t="inlineStr">
        <is>
          <t>G00164</t>
        </is>
      </c>
      <c r="K1236" t="str">
        <f>INDEX('Match Groups'!$D$5:$D$1326,MATCH(J1236,'Match Groups'!$A$5:$A$1326,0))</f>
        <v>MATCH</v>
      </c>
    </row>
    <row r="1237">
      <c r="A1237" t="inlineStr">
        <is>
          <t>JI-00394</t>
        </is>
      </c>
      <c r="B1237" t="inlineStr">
        <is>
          <t>OPS</t>
        </is>
      </c>
      <c r="C1237" s="5" t="n">
        <v>46220</v>
      </c>
      <c r="D1237" t="inlineStr">
        <is>
          <t>Acacia Plan Partners</t>
        </is>
      </c>
      <c r="E1237" t="inlineStr">
        <is>
          <t>INV/2026/01745</t>
        </is>
      </c>
      <c r="F1237" t="inlineStr">
        <is>
          <t>Customer payment INV/2026/01745</t>
        </is>
      </c>
      <c r="G1237" s="9" t="n">
        <v>193.99</v>
      </c>
      <c r="H1237" t="inlineStr">
        <is>
          <t>customer_payment</t>
        </is>
      </c>
      <c r="I1237" t="inlineStr"/>
      <c r="J1237" t="inlineStr">
        <is>
          <t>G00164</t>
        </is>
      </c>
      <c r="K1237" t="str">
        <f>INDEX('Match Groups'!$D$5:$D$1326,MATCH(J1237,'Match Groups'!$A$5:$A$1326,0))</f>
        <v>MATCH</v>
      </c>
    </row>
    <row r="1238">
      <c r="A1238" t="inlineStr">
        <is>
          <t>JI-00395</t>
        </is>
      </c>
      <c r="B1238" t="inlineStr">
        <is>
          <t>OPS</t>
        </is>
      </c>
      <c r="C1238" s="5" t="n">
        <v>46220</v>
      </c>
      <c r="D1238" t="inlineStr">
        <is>
          <t>Acacia Plan Partners</t>
        </is>
      </c>
      <c r="E1238" t="inlineStr">
        <is>
          <t>INV/2026/01770</t>
        </is>
      </c>
      <c r="F1238" t="inlineStr">
        <is>
          <t>Customer payment INV/2026/01770</t>
        </is>
      </c>
      <c r="G1238" s="9" t="n">
        <v>193.99</v>
      </c>
      <c r="H1238" t="inlineStr">
        <is>
          <t>customer_payment</t>
        </is>
      </c>
      <c r="I1238" t="inlineStr"/>
      <c r="J1238" t="inlineStr">
        <is>
          <t>G00164</t>
        </is>
      </c>
      <c r="K1238" t="str">
        <f>INDEX('Match Groups'!$D$5:$D$1326,MATCH(J1238,'Match Groups'!$A$5:$A$1326,0))</f>
        <v>MATCH</v>
      </c>
    </row>
    <row r="1239">
      <c r="A1239" t="inlineStr">
        <is>
          <t>JI-00396</t>
        </is>
      </c>
      <c r="B1239" t="inlineStr">
        <is>
          <t>OPS</t>
        </is>
      </c>
      <c r="C1239" s="5" t="n">
        <v>46220</v>
      </c>
      <c r="D1239" t="inlineStr">
        <is>
          <t>Acacia Plan Partners</t>
        </is>
      </c>
      <c r="E1239" t="inlineStr">
        <is>
          <t>INV/2026/01771</t>
        </is>
      </c>
      <c r="F1239" t="inlineStr">
        <is>
          <t>Customer payment INV/2026/01771</t>
        </is>
      </c>
      <c r="G1239" s="9" t="n">
        <v>145.49</v>
      </c>
      <c r="H1239" t="inlineStr">
        <is>
          <t>customer_payment</t>
        </is>
      </c>
      <c r="I1239" t="inlineStr"/>
      <c r="J1239" t="inlineStr">
        <is>
          <t>G00164</t>
        </is>
      </c>
      <c r="K1239" t="str">
        <f>INDEX('Match Groups'!$D$5:$D$1326,MATCH(J1239,'Match Groups'!$A$5:$A$1326,0))</f>
        <v>MATCH</v>
      </c>
    </row>
    <row r="1240">
      <c r="A1240" t="inlineStr">
        <is>
          <t>JI-00397</t>
        </is>
      </c>
      <c r="B1240" t="inlineStr">
        <is>
          <t>OPS</t>
        </is>
      </c>
      <c r="C1240" s="5" t="n">
        <v>46220</v>
      </c>
      <c r="D1240" t="inlineStr">
        <is>
          <t>Acacia Plan Partners</t>
        </is>
      </c>
      <c r="E1240" t="inlineStr">
        <is>
          <t>INV/2026/01790</t>
        </is>
      </c>
      <c r="F1240" t="inlineStr">
        <is>
          <t>Customer payment INV/2026/01790</t>
        </is>
      </c>
      <c r="G1240" s="9" t="n">
        <v>272.49</v>
      </c>
      <c r="H1240" t="inlineStr">
        <is>
          <t>customer_payment</t>
        </is>
      </c>
      <c r="I1240" t="inlineStr"/>
      <c r="J1240" t="inlineStr">
        <is>
          <t>G00164</t>
        </is>
      </c>
      <c r="K1240" t="str">
        <f>INDEX('Match Groups'!$D$5:$D$1326,MATCH(J1240,'Match Groups'!$A$5:$A$1326,0))</f>
        <v>MATCH</v>
      </c>
    </row>
    <row r="1241">
      <c r="A1241" t="inlineStr">
        <is>
          <t>JI-00398</t>
        </is>
      </c>
      <c r="B1241" t="inlineStr">
        <is>
          <t>OPS</t>
        </is>
      </c>
      <c r="C1241" s="5" t="n">
        <v>46220</v>
      </c>
      <c r="D1241" t="inlineStr">
        <is>
          <t>Mallee Plan Services</t>
        </is>
      </c>
      <c r="E1241" t="inlineStr">
        <is>
          <t>INV/2026/02103</t>
        </is>
      </c>
      <c r="F1241" t="inlineStr">
        <is>
          <t>Customer payment INV/2026/02103</t>
        </is>
      </c>
      <c r="G1241" s="9" t="n">
        <v>145.49</v>
      </c>
      <c r="H1241" t="inlineStr">
        <is>
          <t>customer_payment</t>
        </is>
      </c>
      <c r="I1241" t="inlineStr"/>
      <c r="J1241" t="inlineStr">
        <is>
          <t>G00165</t>
        </is>
      </c>
      <c r="K1241" t="str">
        <f>INDEX('Match Groups'!$D$5:$D$1326,MATCH(J1241,'Match Groups'!$A$5:$A$1326,0))</f>
        <v>MATCH</v>
      </c>
    </row>
    <row r="1242">
      <c r="A1242" t="inlineStr">
        <is>
          <t>JI-00399</t>
        </is>
      </c>
      <c r="B1242" t="inlineStr">
        <is>
          <t>OPS</t>
        </is>
      </c>
      <c r="C1242" s="5" t="n">
        <v>46220</v>
      </c>
      <c r="D1242" t="inlineStr">
        <is>
          <t>Mallee Plan Services</t>
        </is>
      </c>
      <c r="E1242" t="inlineStr">
        <is>
          <t>INV/2026/02128</t>
        </is>
      </c>
      <c r="F1242" t="inlineStr">
        <is>
          <t>Customer payment INV/2026/02128</t>
        </is>
      </c>
      <c r="G1242" s="9" t="n">
        <v>145.49</v>
      </c>
      <c r="H1242" t="inlineStr">
        <is>
          <t>customer_payment</t>
        </is>
      </c>
      <c r="I1242" t="inlineStr"/>
      <c r="J1242" t="inlineStr">
        <is>
          <t>G00165</t>
        </is>
      </c>
      <c r="K1242" t="str">
        <f>INDEX('Match Groups'!$D$5:$D$1326,MATCH(J1242,'Match Groups'!$A$5:$A$1326,0))</f>
        <v>MATCH</v>
      </c>
    </row>
    <row r="1243">
      <c r="A1243" t="inlineStr">
        <is>
          <t>JI-01539</t>
        </is>
      </c>
      <c r="B1243" t="inlineStr">
        <is>
          <t>OPS</t>
        </is>
      </c>
      <c r="C1243" s="5" t="n">
        <v>46220</v>
      </c>
      <c r="D1243" t="inlineStr">
        <is>
          <t>Harbour Mutual Health</t>
        </is>
      </c>
      <c r="E1243" t="inlineStr">
        <is>
          <t>INV/2026/01892</t>
        </is>
      </c>
      <c r="F1243" t="inlineStr">
        <is>
          <t>Customer payment INV/2026/01892</t>
        </is>
      </c>
      <c r="G1243" s="9" t="n">
        <v>88</v>
      </c>
      <c r="H1243" t="inlineStr">
        <is>
          <t>customer_payment</t>
        </is>
      </c>
      <c r="I1243" t="inlineStr"/>
      <c r="J1243" t="inlineStr">
        <is>
          <t>G00949</t>
        </is>
      </c>
      <c r="K1243" t="str">
        <f>INDEX('Match Groups'!$D$5:$D$1326,MATCH(J1243,'Match Groups'!$A$5:$A$1326,0))</f>
        <v>MATCH</v>
      </c>
    </row>
    <row r="1244">
      <c r="A1244" t="inlineStr">
        <is>
          <t>JI-01564</t>
        </is>
      </c>
      <c r="B1244" t="inlineStr">
        <is>
          <t>OPS</t>
        </is>
      </c>
      <c r="C1244" s="5" t="n">
        <v>46220</v>
      </c>
      <c r="D1244" t="inlineStr">
        <is>
          <t>Coastline Health Fund</t>
        </is>
      </c>
      <c r="E1244" t="inlineStr">
        <is>
          <t>INV/2026/02034</t>
        </is>
      </c>
      <c r="F1244" t="inlineStr">
        <is>
          <t>Customer payment INV/2026/02034</t>
        </is>
      </c>
      <c r="G1244" s="9" t="n">
        <v>412.5</v>
      </c>
      <c r="H1244" t="inlineStr">
        <is>
          <t>customer_payment</t>
        </is>
      </c>
      <c r="I1244" t="inlineStr"/>
      <c r="J1244" t="inlineStr">
        <is>
          <t>G00950</t>
        </is>
      </c>
      <c r="K1244" t="str">
        <f>INDEX('Match Groups'!$D$5:$D$1326,MATCH(J1244,'Match Groups'!$A$5:$A$1326,0))</f>
        <v>MATCH</v>
      </c>
    </row>
    <row r="1245">
      <c r="A1245" t="inlineStr">
        <is>
          <t>JI-01769</t>
        </is>
      </c>
      <c r="B1245" t="inlineStr">
        <is>
          <t>OPS</t>
        </is>
      </c>
      <c r="C1245" s="5" t="n">
        <v>46220</v>
      </c>
      <c r="D1245" t="inlineStr">
        <is>
          <t>Stanhope Trucking</t>
        </is>
      </c>
      <c r="E1245" t="inlineStr">
        <is>
          <t>INV/2026/03461</t>
        </is>
      </c>
      <c r="F1245" t="inlineStr">
        <is>
          <t>Customer payment INV/2026/03461</t>
        </is>
      </c>
      <c r="G1245" s="9" t="n">
        <v>6820</v>
      </c>
      <c r="H1245" t="inlineStr">
        <is>
          <t>customer_payment</t>
        </is>
      </c>
      <c r="I1245" t="inlineStr"/>
      <c r="J1245" t="inlineStr">
        <is>
          <t>G01128</t>
        </is>
      </c>
      <c r="K1245" t="str">
        <f>INDEX('Match Groups'!$D$5:$D$1326,MATCH(J1245,'Match Groups'!$A$5:$A$1326,0))</f>
        <v>MATCH</v>
      </c>
    </row>
    <row r="1246">
      <c r="A1246" t="inlineStr">
        <is>
          <t>JI-02161</t>
        </is>
      </c>
      <c r="B1246" t="inlineStr">
        <is>
          <t>OPS</t>
        </is>
      </c>
      <c r="C1246" s="5" t="n">
        <v>46220</v>
      </c>
      <c r="D1246" t="inlineStr">
        <is>
          <t>Stripe patient 62995</t>
        </is>
      </c>
      <c r="E1246" t="inlineStr">
        <is>
          <t>INV/2026/04008</t>
        </is>
      </c>
      <c r="F1246" t="inlineStr">
        <is>
          <t>Customer payment INV/2026/04008</t>
        </is>
      </c>
      <c r="G1246" s="9" t="n">
        <v>85</v>
      </c>
      <c r="H1246" t="inlineStr">
        <is>
          <t>customer_payment</t>
        </is>
      </c>
      <c r="I1246" t="inlineStr"/>
      <c r="J1246" t="inlineStr">
        <is>
          <t>G00028</t>
        </is>
      </c>
      <c r="K1246" t="str">
        <f>INDEX('Match Groups'!$D$5:$D$1326,MATCH(J1246,'Match Groups'!$A$5:$A$1326,0))</f>
        <v>STRIPE-FEE</v>
      </c>
    </row>
    <row r="1247">
      <c r="A1247" t="inlineStr">
        <is>
          <t>JI-02162</t>
        </is>
      </c>
      <c r="B1247" t="inlineStr">
        <is>
          <t>OPS</t>
        </is>
      </c>
      <c r="C1247" s="5" t="n">
        <v>46220</v>
      </c>
      <c r="D1247" t="inlineStr">
        <is>
          <t>Stripe patient 58069</t>
        </is>
      </c>
      <c r="E1247" t="inlineStr">
        <is>
          <t>INV/2026/04009</t>
        </is>
      </c>
      <c r="F1247" t="inlineStr">
        <is>
          <t>Customer payment INV/2026/04009</t>
        </is>
      </c>
      <c r="G1247" s="9" t="n">
        <v>180</v>
      </c>
      <c r="H1247" t="inlineStr">
        <is>
          <t>customer_payment</t>
        </is>
      </c>
      <c r="I1247" t="inlineStr"/>
      <c r="J1247" t="inlineStr">
        <is>
          <t>G00028</t>
        </is>
      </c>
      <c r="K1247" t="str">
        <f>INDEX('Match Groups'!$D$5:$D$1326,MATCH(J1247,'Match Groups'!$A$5:$A$1326,0))</f>
        <v>STRIPE-FEE</v>
      </c>
    </row>
    <row r="1248">
      <c r="A1248" t="inlineStr">
        <is>
          <t>JI-02163</t>
        </is>
      </c>
      <c r="B1248" t="inlineStr">
        <is>
          <t>OPS</t>
        </is>
      </c>
      <c r="C1248" s="5" t="n">
        <v>46220</v>
      </c>
      <c r="D1248" t="inlineStr">
        <is>
          <t>Stripe patient 70013</t>
        </is>
      </c>
      <c r="E1248" t="inlineStr">
        <is>
          <t>INV/2026/04010</t>
        </is>
      </c>
      <c r="F1248" t="inlineStr">
        <is>
          <t>Customer payment INV/2026/04010</t>
        </is>
      </c>
      <c r="G1248" s="9" t="n">
        <v>180</v>
      </c>
      <c r="H1248" t="inlineStr">
        <is>
          <t>customer_payment</t>
        </is>
      </c>
      <c r="I1248" t="inlineStr"/>
      <c r="J1248" t="inlineStr">
        <is>
          <t>G00028</t>
        </is>
      </c>
      <c r="K1248" t="str">
        <f>INDEX('Match Groups'!$D$5:$D$1326,MATCH(J1248,'Match Groups'!$A$5:$A$1326,0))</f>
        <v>STRIPE-FEE</v>
      </c>
    </row>
    <row r="1249">
      <c r="A1249" t="inlineStr">
        <is>
          <t>JI-02164</t>
        </is>
      </c>
      <c r="B1249" t="inlineStr">
        <is>
          <t>OPS</t>
        </is>
      </c>
      <c r="C1249" s="5" t="n">
        <v>46220</v>
      </c>
      <c r="D1249" t="inlineStr">
        <is>
          <t>Stripe patient 63239</t>
        </is>
      </c>
      <c r="E1249" t="inlineStr">
        <is>
          <t>INV/2026/04011</t>
        </is>
      </c>
      <c r="F1249" t="inlineStr">
        <is>
          <t>Customer payment INV/2026/04011</t>
        </is>
      </c>
      <c r="G1249" s="9" t="n">
        <v>220</v>
      </c>
      <c r="H1249" t="inlineStr">
        <is>
          <t>customer_payment</t>
        </is>
      </c>
      <c r="I1249" t="inlineStr"/>
      <c r="J1249" t="inlineStr">
        <is>
          <t>G00028</t>
        </is>
      </c>
      <c r="K1249" t="str">
        <f>INDEX('Match Groups'!$D$5:$D$1326,MATCH(J1249,'Match Groups'!$A$5:$A$1326,0))</f>
        <v>STRIPE-FEE</v>
      </c>
    </row>
    <row r="1250">
      <c r="A1250" t="inlineStr">
        <is>
          <t>JI-02165</t>
        </is>
      </c>
      <c r="B1250" t="inlineStr">
        <is>
          <t>OPS</t>
        </is>
      </c>
      <c r="C1250" s="5" t="n">
        <v>46220</v>
      </c>
      <c r="D1250" t="inlineStr">
        <is>
          <t>Stripe patient 94540</t>
        </is>
      </c>
      <c r="E1250" t="inlineStr">
        <is>
          <t>INV/2026/04012</t>
        </is>
      </c>
      <c r="F1250" t="inlineStr">
        <is>
          <t>Customer payment INV/2026/04012</t>
        </is>
      </c>
      <c r="G1250" s="9" t="n">
        <v>95</v>
      </c>
      <c r="H1250" t="inlineStr">
        <is>
          <t>customer_payment</t>
        </is>
      </c>
      <c r="I1250" t="inlineStr"/>
      <c r="J1250" t="inlineStr">
        <is>
          <t>G00028</t>
        </is>
      </c>
      <c r="K1250" t="str">
        <f>INDEX('Match Groups'!$D$5:$D$1326,MATCH(J1250,'Match Groups'!$A$5:$A$1326,0))</f>
        <v>STRIPE-FEE</v>
      </c>
    </row>
    <row r="1251">
      <c r="A1251" t="inlineStr">
        <is>
          <t>JI-02166</t>
        </is>
      </c>
      <c r="B1251" t="inlineStr">
        <is>
          <t>OPS</t>
        </is>
      </c>
      <c r="C1251" s="5" t="n">
        <v>46220</v>
      </c>
      <c r="D1251" t="inlineStr">
        <is>
          <t>Stripe patient 95049</t>
        </is>
      </c>
      <c r="E1251" t="inlineStr">
        <is>
          <t>INV/2026/04013</t>
        </is>
      </c>
      <c r="F1251" t="inlineStr">
        <is>
          <t>Customer payment INV/2026/04013</t>
        </is>
      </c>
      <c r="G1251" s="9" t="n">
        <v>85</v>
      </c>
      <c r="H1251" t="inlineStr">
        <is>
          <t>customer_payment</t>
        </is>
      </c>
      <c r="I1251" t="inlineStr"/>
      <c r="J1251" t="inlineStr">
        <is>
          <t>G00028</t>
        </is>
      </c>
      <c r="K1251" t="str">
        <f>INDEX('Match Groups'!$D$5:$D$1326,MATCH(J1251,'Match Groups'!$A$5:$A$1326,0))</f>
        <v>STRIPE-FEE</v>
      </c>
    </row>
    <row r="1252">
      <c r="A1252" t="inlineStr">
        <is>
          <t>JI-02167</t>
        </is>
      </c>
      <c r="B1252" t="inlineStr">
        <is>
          <t>OPS</t>
        </is>
      </c>
      <c r="C1252" s="5" t="n">
        <v>46220</v>
      </c>
      <c r="D1252" t="inlineStr">
        <is>
          <t>Stripe patient 85470</t>
        </is>
      </c>
      <c r="E1252" t="inlineStr">
        <is>
          <t>INV/2026/04014</t>
        </is>
      </c>
      <c r="F1252" t="inlineStr">
        <is>
          <t>Customer payment INV/2026/04014</t>
        </is>
      </c>
      <c r="G1252" s="9" t="n">
        <v>135</v>
      </c>
      <c r="H1252" t="inlineStr">
        <is>
          <t>customer_payment</t>
        </is>
      </c>
      <c r="I1252" t="inlineStr"/>
      <c r="J1252" t="inlineStr">
        <is>
          <t>G00028</t>
        </is>
      </c>
      <c r="K1252" t="str">
        <f>INDEX('Match Groups'!$D$5:$D$1326,MATCH(J1252,'Match Groups'!$A$5:$A$1326,0))</f>
        <v>STRIPE-FEE</v>
      </c>
    </row>
    <row r="1253">
      <c r="A1253" t="inlineStr">
        <is>
          <t>JI-02168</t>
        </is>
      </c>
      <c r="B1253" t="inlineStr">
        <is>
          <t>OPS</t>
        </is>
      </c>
      <c r="C1253" s="5" t="n">
        <v>46220</v>
      </c>
      <c r="D1253" t="inlineStr">
        <is>
          <t>Stripe patient 65107</t>
        </is>
      </c>
      <c r="E1253" t="inlineStr">
        <is>
          <t>INV/2026/04015</t>
        </is>
      </c>
      <c r="F1253" t="inlineStr">
        <is>
          <t>Customer payment INV/2026/04015</t>
        </is>
      </c>
      <c r="G1253" s="9" t="n">
        <v>110</v>
      </c>
      <c r="H1253" t="inlineStr">
        <is>
          <t>customer_payment</t>
        </is>
      </c>
      <c r="I1253" t="inlineStr"/>
      <c r="J1253" t="inlineStr">
        <is>
          <t>G00028</t>
        </is>
      </c>
      <c r="K1253" t="str">
        <f>INDEX('Match Groups'!$D$5:$D$1326,MATCH(J1253,'Match Groups'!$A$5:$A$1326,0))</f>
        <v>STRIPE-FEE</v>
      </c>
    </row>
    <row r="1254">
      <c r="A1254" t="inlineStr">
        <is>
          <t>JI-02169</t>
        </is>
      </c>
      <c r="B1254" t="inlineStr">
        <is>
          <t>OPS</t>
        </is>
      </c>
      <c r="C1254" s="5" t="n">
        <v>46220</v>
      </c>
      <c r="D1254" t="inlineStr">
        <is>
          <t>Stripe patient 42875</t>
        </is>
      </c>
      <c r="E1254" t="inlineStr">
        <is>
          <t>INV/2026/04016</t>
        </is>
      </c>
      <c r="F1254" t="inlineStr">
        <is>
          <t>Customer payment INV/2026/04016</t>
        </is>
      </c>
      <c r="G1254" s="9" t="n">
        <v>85</v>
      </c>
      <c r="H1254" t="inlineStr">
        <is>
          <t>customer_payment</t>
        </is>
      </c>
      <c r="I1254" t="inlineStr"/>
      <c r="J1254" t="inlineStr">
        <is>
          <t>G00028</t>
        </is>
      </c>
      <c r="K1254" t="str">
        <f>INDEX('Match Groups'!$D$5:$D$1326,MATCH(J1254,'Match Groups'!$A$5:$A$1326,0))</f>
        <v>STRIPE-FEE</v>
      </c>
    </row>
    <row r="1255">
      <c r="A1255" t="inlineStr">
        <is>
          <t>JI-02170</t>
        </is>
      </c>
      <c r="B1255" t="inlineStr">
        <is>
          <t>OPS</t>
        </is>
      </c>
      <c r="C1255" s="5" t="n">
        <v>46220</v>
      </c>
      <c r="D1255" t="inlineStr">
        <is>
          <t>Stripe patient 62054</t>
        </is>
      </c>
      <c r="E1255" t="inlineStr">
        <is>
          <t>INV/2026/04017</t>
        </is>
      </c>
      <c r="F1255" t="inlineStr">
        <is>
          <t>Customer payment INV/2026/04017</t>
        </is>
      </c>
      <c r="G1255" s="9" t="n">
        <v>95</v>
      </c>
      <c r="H1255" t="inlineStr">
        <is>
          <t>customer_payment</t>
        </is>
      </c>
      <c r="I1255" t="inlineStr"/>
      <c r="J1255" t="inlineStr">
        <is>
          <t>G00028</t>
        </is>
      </c>
      <c r="K1255" t="str">
        <f>INDEX('Match Groups'!$D$5:$D$1326,MATCH(J1255,'Match Groups'!$A$5:$A$1326,0))</f>
        <v>STRIPE-FEE</v>
      </c>
    </row>
    <row r="1256">
      <c r="A1256" t="inlineStr">
        <is>
          <t>JI-02171</t>
        </is>
      </c>
      <c r="B1256" t="inlineStr">
        <is>
          <t>OPS</t>
        </is>
      </c>
      <c r="C1256" s="5" t="n">
        <v>46220</v>
      </c>
      <c r="D1256" t="inlineStr">
        <is>
          <t>Stripe patient 33255</t>
        </is>
      </c>
      <c r="E1256" t="inlineStr">
        <is>
          <t>INV/2026/04018</t>
        </is>
      </c>
      <c r="F1256" t="inlineStr">
        <is>
          <t>Customer payment INV/2026/04018</t>
        </is>
      </c>
      <c r="G1256" s="9" t="n">
        <v>150</v>
      </c>
      <c r="H1256" t="inlineStr">
        <is>
          <t>customer_payment</t>
        </is>
      </c>
      <c r="I1256" t="inlineStr"/>
      <c r="J1256" t="inlineStr">
        <is>
          <t>G00028</t>
        </is>
      </c>
      <c r="K1256" t="str">
        <f>INDEX('Match Groups'!$D$5:$D$1326,MATCH(J1256,'Match Groups'!$A$5:$A$1326,0))</f>
        <v>STRIPE-FEE</v>
      </c>
    </row>
    <row r="1257">
      <c r="A1257" t="inlineStr">
        <is>
          <t>JI-02172</t>
        </is>
      </c>
      <c r="B1257" t="inlineStr">
        <is>
          <t>OPS</t>
        </is>
      </c>
      <c r="C1257" s="5" t="n">
        <v>46220</v>
      </c>
      <c r="D1257" t="inlineStr">
        <is>
          <t>Stripe patient 43823</t>
        </is>
      </c>
      <c r="E1257" t="inlineStr">
        <is>
          <t>INV/2026/04019</t>
        </is>
      </c>
      <c r="F1257" t="inlineStr">
        <is>
          <t>Customer payment INV/2026/04019</t>
        </is>
      </c>
      <c r="G1257" s="9" t="n">
        <v>120</v>
      </c>
      <c r="H1257" t="inlineStr">
        <is>
          <t>customer_payment</t>
        </is>
      </c>
      <c r="I1257" t="inlineStr"/>
      <c r="J1257" t="inlineStr">
        <is>
          <t>G00028</t>
        </is>
      </c>
      <c r="K1257" t="str">
        <f>INDEX('Match Groups'!$D$5:$D$1326,MATCH(J1257,'Match Groups'!$A$5:$A$1326,0))</f>
        <v>STRIPE-FEE</v>
      </c>
    </row>
    <row r="1258">
      <c r="A1258" t="inlineStr">
        <is>
          <t>JI-02173</t>
        </is>
      </c>
      <c r="B1258" t="inlineStr">
        <is>
          <t>OPS</t>
        </is>
      </c>
      <c r="C1258" s="5" t="n">
        <v>46220</v>
      </c>
      <c r="D1258" t="inlineStr">
        <is>
          <t>Stripe patient 48929</t>
        </is>
      </c>
      <c r="E1258" t="inlineStr">
        <is>
          <t>INV/2026/04020</t>
        </is>
      </c>
      <c r="F1258" t="inlineStr">
        <is>
          <t>Customer payment INV/2026/04020</t>
        </is>
      </c>
      <c r="G1258" s="9" t="n">
        <v>120</v>
      </c>
      <c r="H1258" t="inlineStr">
        <is>
          <t>customer_payment</t>
        </is>
      </c>
      <c r="I1258" t="inlineStr"/>
      <c r="J1258" t="inlineStr">
        <is>
          <t>G00028</t>
        </is>
      </c>
      <c r="K1258" t="str">
        <f>INDEX('Match Groups'!$D$5:$D$1326,MATCH(J1258,'Match Groups'!$A$5:$A$1326,0))</f>
        <v>STRIPE-FEE</v>
      </c>
    </row>
    <row r="1259">
      <c r="A1259" t="inlineStr">
        <is>
          <t>JI-02174</t>
        </is>
      </c>
      <c r="B1259" t="inlineStr">
        <is>
          <t>OPS</t>
        </is>
      </c>
      <c r="C1259" s="5" t="n">
        <v>46220</v>
      </c>
      <c r="D1259" t="inlineStr">
        <is>
          <t>Stripe patient 14154</t>
        </is>
      </c>
      <c r="E1259" t="inlineStr">
        <is>
          <t>INV/2026/04021</t>
        </is>
      </c>
      <c r="F1259" t="inlineStr">
        <is>
          <t>Customer payment INV/2026/04021</t>
        </is>
      </c>
      <c r="G1259" s="9" t="n">
        <v>180</v>
      </c>
      <c r="H1259" t="inlineStr">
        <is>
          <t>customer_payment</t>
        </is>
      </c>
      <c r="I1259" t="inlineStr"/>
      <c r="J1259" t="inlineStr">
        <is>
          <t>G00028</t>
        </is>
      </c>
      <c r="K1259" t="str">
        <f>INDEX('Match Groups'!$D$5:$D$1326,MATCH(J1259,'Match Groups'!$A$5:$A$1326,0))</f>
        <v>STRIPE-FEE</v>
      </c>
    </row>
    <row r="1260">
      <c r="A1260" t="inlineStr">
        <is>
          <t>JI-02175</t>
        </is>
      </c>
      <c r="B1260" t="inlineStr">
        <is>
          <t>OPS</t>
        </is>
      </c>
      <c r="C1260" s="5" t="n">
        <v>46220</v>
      </c>
      <c r="D1260" t="inlineStr">
        <is>
          <t>Stripe patient 84683</t>
        </is>
      </c>
      <c r="E1260" t="inlineStr">
        <is>
          <t>INV/2026/04022</t>
        </is>
      </c>
      <c r="F1260" t="inlineStr">
        <is>
          <t>Customer payment INV/2026/04022</t>
        </is>
      </c>
      <c r="G1260" s="9" t="n">
        <v>150</v>
      </c>
      <c r="H1260" t="inlineStr">
        <is>
          <t>customer_payment</t>
        </is>
      </c>
      <c r="I1260" t="inlineStr"/>
      <c r="J1260" t="inlineStr">
        <is>
          <t>G00028</t>
        </is>
      </c>
      <c r="K1260" t="str">
        <f>INDEX('Match Groups'!$D$5:$D$1326,MATCH(J1260,'Match Groups'!$A$5:$A$1326,0))</f>
        <v>STRIPE-FEE</v>
      </c>
    </row>
    <row r="1261">
      <c r="A1261" t="inlineStr">
        <is>
          <t>JI-02176</t>
        </is>
      </c>
      <c r="B1261" t="inlineStr">
        <is>
          <t>OPS</t>
        </is>
      </c>
      <c r="C1261" s="5" t="n">
        <v>46220</v>
      </c>
      <c r="D1261" t="inlineStr">
        <is>
          <t>Stripe patient 93789</t>
        </is>
      </c>
      <c r="E1261" t="inlineStr">
        <is>
          <t>INV/2026/04023</t>
        </is>
      </c>
      <c r="F1261" t="inlineStr">
        <is>
          <t>Customer payment INV/2026/04023</t>
        </is>
      </c>
      <c r="G1261" s="9" t="n">
        <v>180</v>
      </c>
      <c r="H1261" t="inlineStr">
        <is>
          <t>customer_payment</t>
        </is>
      </c>
      <c r="I1261" t="inlineStr"/>
      <c r="J1261" t="inlineStr">
        <is>
          <t>G00028</t>
        </is>
      </c>
      <c r="K1261" t="str">
        <f>INDEX('Match Groups'!$D$5:$D$1326,MATCH(J1261,'Match Groups'!$A$5:$A$1326,0))</f>
        <v>STRIPE-FEE</v>
      </c>
    </row>
    <row r="1262">
      <c r="A1262" t="inlineStr">
        <is>
          <t>JI-02177</t>
        </is>
      </c>
      <c r="B1262" t="inlineStr">
        <is>
          <t>OPS</t>
        </is>
      </c>
      <c r="C1262" s="5" t="n">
        <v>46220</v>
      </c>
      <c r="D1262" t="inlineStr">
        <is>
          <t>Stripe patient 73908</t>
        </is>
      </c>
      <c r="E1262" t="inlineStr">
        <is>
          <t>INV/2026/04024</t>
        </is>
      </c>
      <c r="F1262" t="inlineStr">
        <is>
          <t>Customer payment INV/2026/04024</t>
        </is>
      </c>
      <c r="G1262" s="9" t="n">
        <v>110</v>
      </c>
      <c r="H1262" t="inlineStr">
        <is>
          <t>customer_payment</t>
        </is>
      </c>
      <c r="I1262" t="inlineStr"/>
      <c r="J1262" t="inlineStr">
        <is>
          <t>G00028</t>
        </is>
      </c>
      <c r="K1262" t="str">
        <f>INDEX('Match Groups'!$D$5:$D$1326,MATCH(J1262,'Match Groups'!$A$5:$A$1326,0))</f>
        <v>STRIPE-FEE</v>
      </c>
    </row>
    <row r="1263">
      <c r="A1263" t="inlineStr">
        <is>
          <t>JI-02178</t>
        </is>
      </c>
      <c r="B1263" t="inlineStr">
        <is>
          <t>OPS</t>
        </is>
      </c>
      <c r="C1263" s="5" t="n">
        <v>46220</v>
      </c>
      <c r="D1263" t="inlineStr">
        <is>
          <t>Stripe patient 85210</t>
        </is>
      </c>
      <c r="E1263" t="inlineStr">
        <is>
          <t>INV/2026/04025</t>
        </is>
      </c>
      <c r="F1263" t="inlineStr">
        <is>
          <t>Customer payment INV/2026/04025</t>
        </is>
      </c>
      <c r="G1263" s="9" t="n">
        <v>180</v>
      </c>
      <c r="H1263" t="inlineStr">
        <is>
          <t>customer_payment</t>
        </is>
      </c>
      <c r="I1263" t="inlineStr"/>
      <c r="J1263" t="inlineStr">
        <is>
          <t>G00028</t>
        </is>
      </c>
      <c r="K1263" t="str">
        <f>INDEX('Match Groups'!$D$5:$D$1326,MATCH(J1263,'Match Groups'!$A$5:$A$1326,0))</f>
        <v>STRIPE-FEE</v>
      </c>
    </row>
    <row r="1264">
      <c r="A1264" t="inlineStr">
        <is>
          <t>JI-02179</t>
        </is>
      </c>
      <c r="B1264" t="inlineStr">
        <is>
          <t>OPS</t>
        </is>
      </c>
      <c r="C1264" s="5" t="n">
        <v>46220</v>
      </c>
      <c r="D1264" t="inlineStr">
        <is>
          <t>Stripe patient 15072</t>
        </is>
      </c>
      <c r="E1264" t="inlineStr">
        <is>
          <t>INV/2026/04026</t>
        </is>
      </c>
      <c r="F1264" t="inlineStr">
        <is>
          <t>Customer payment INV/2026/04026</t>
        </is>
      </c>
      <c r="G1264" s="9" t="n">
        <v>180</v>
      </c>
      <c r="H1264" t="inlineStr">
        <is>
          <t>customer_payment</t>
        </is>
      </c>
      <c r="I1264" t="inlineStr"/>
      <c r="J1264" t="inlineStr">
        <is>
          <t>G00028</t>
        </is>
      </c>
      <c r="K1264" t="str">
        <f>INDEX('Match Groups'!$D$5:$D$1326,MATCH(J1264,'Match Groups'!$A$5:$A$1326,0))</f>
        <v>STRIPE-FEE</v>
      </c>
    </row>
    <row r="1265">
      <c r="A1265" t="inlineStr">
        <is>
          <t>JI-02180</t>
        </is>
      </c>
      <c r="B1265" t="inlineStr">
        <is>
          <t>OPS</t>
        </is>
      </c>
      <c r="C1265" s="5" t="n">
        <v>46220</v>
      </c>
      <c r="D1265" t="inlineStr">
        <is>
          <t>Stripe patient 95255</t>
        </is>
      </c>
      <c r="E1265" t="inlineStr">
        <is>
          <t>INV/2026/04027</t>
        </is>
      </c>
      <c r="F1265" t="inlineStr">
        <is>
          <t>Customer payment INV/2026/04027</t>
        </is>
      </c>
      <c r="G1265" s="9" t="n">
        <v>65</v>
      </c>
      <c r="H1265" t="inlineStr">
        <is>
          <t>customer_payment</t>
        </is>
      </c>
      <c r="I1265" t="inlineStr"/>
      <c r="J1265" t="inlineStr">
        <is>
          <t>G00028</t>
        </is>
      </c>
      <c r="K1265" t="str">
        <f>INDEX('Match Groups'!$D$5:$D$1326,MATCH(J1265,'Match Groups'!$A$5:$A$1326,0))</f>
        <v>STRIPE-FEE</v>
      </c>
    </row>
    <row r="1266">
      <c r="A1266" t="inlineStr">
        <is>
          <t>JI-02181</t>
        </is>
      </c>
      <c r="B1266" t="inlineStr">
        <is>
          <t>OPS</t>
        </is>
      </c>
      <c r="C1266" s="5" t="n">
        <v>46220</v>
      </c>
      <c r="D1266" t="inlineStr">
        <is>
          <t>Stripe patient 32235</t>
        </is>
      </c>
      <c r="E1266" t="inlineStr">
        <is>
          <t>INV/2026/04028</t>
        </is>
      </c>
      <c r="F1266" t="inlineStr">
        <is>
          <t>Customer payment INV/2026/04028</t>
        </is>
      </c>
      <c r="G1266" s="9" t="n">
        <v>120</v>
      </c>
      <c r="H1266" t="inlineStr">
        <is>
          <t>customer_payment</t>
        </is>
      </c>
      <c r="I1266" t="inlineStr"/>
      <c r="J1266" t="inlineStr">
        <is>
          <t>G00028</t>
        </is>
      </c>
      <c r="K1266" t="str">
        <f>INDEX('Match Groups'!$D$5:$D$1326,MATCH(J1266,'Match Groups'!$A$5:$A$1326,0))</f>
        <v>STRIPE-FEE</v>
      </c>
    </row>
    <row r="1267">
      <c r="A1267" t="inlineStr">
        <is>
          <t>JI-02182</t>
        </is>
      </c>
      <c r="B1267" t="inlineStr">
        <is>
          <t>OPS</t>
        </is>
      </c>
      <c r="C1267" s="5" t="n">
        <v>46220</v>
      </c>
      <c r="D1267" t="inlineStr">
        <is>
          <t>Stripe patient 61323</t>
        </is>
      </c>
      <c r="E1267" t="inlineStr">
        <is>
          <t>INV/2026/04029</t>
        </is>
      </c>
      <c r="F1267" t="inlineStr">
        <is>
          <t>Customer payment INV/2026/04029</t>
        </is>
      </c>
      <c r="G1267" s="9" t="n">
        <v>95</v>
      </c>
      <c r="H1267" t="inlineStr">
        <is>
          <t>customer_payment</t>
        </is>
      </c>
      <c r="I1267" t="inlineStr"/>
      <c r="J1267" t="inlineStr">
        <is>
          <t>G00028</t>
        </is>
      </c>
      <c r="K1267" t="str">
        <f>INDEX('Match Groups'!$D$5:$D$1326,MATCH(J1267,'Match Groups'!$A$5:$A$1326,0))</f>
        <v>STRIPE-FEE</v>
      </c>
    </row>
    <row r="1268">
      <c r="A1268" t="inlineStr">
        <is>
          <t>JI-02183</t>
        </is>
      </c>
      <c r="B1268" t="inlineStr">
        <is>
          <t>OPS</t>
        </is>
      </c>
      <c r="C1268" s="5" t="n">
        <v>46220</v>
      </c>
      <c r="D1268" t="inlineStr">
        <is>
          <t>Stripe patient 45864</t>
        </is>
      </c>
      <c r="E1268" t="inlineStr">
        <is>
          <t>INV/2026/04030</t>
        </is>
      </c>
      <c r="F1268" t="inlineStr">
        <is>
          <t>Customer payment INV/2026/04030</t>
        </is>
      </c>
      <c r="G1268" s="9" t="n">
        <v>85</v>
      </c>
      <c r="H1268" t="inlineStr">
        <is>
          <t>customer_payment</t>
        </is>
      </c>
      <c r="I1268" t="inlineStr"/>
      <c r="J1268" t="inlineStr">
        <is>
          <t>G00028</t>
        </is>
      </c>
      <c r="K1268" t="str">
        <f>INDEX('Match Groups'!$D$5:$D$1326,MATCH(J1268,'Match Groups'!$A$5:$A$1326,0))</f>
        <v>STRIPE-FEE</v>
      </c>
    </row>
    <row r="1269">
      <c r="A1269" t="inlineStr">
        <is>
          <t>JI-02184</t>
        </is>
      </c>
      <c r="B1269" t="inlineStr">
        <is>
          <t>OPS</t>
        </is>
      </c>
      <c r="C1269" s="5" t="n">
        <v>46220</v>
      </c>
      <c r="D1269" t="inlineStr">
        <is>
          <t>Stripe patient 63384</t>
        </is>
      </c>
      <c r="E1269" t="inlineStr">
        <is>
          <t>INV/2026/04031</t>
        </is>
      </c>
      <c r="F1269" t="inlineStr">
        <is>
          <t>Customer payment INV/2026/04031</t>
        </is>
      </c>
      <c r="G1269" s="9" t="n">
        <v>135</v>
      </c>
      <c r="H1269" t="inlineStr">
        <is>
          <t>customer_payment</t>
        </is>
      </c>
      <c r="I1269" t="inlineStr"/>
      <c r="J1269" t="inlineStr">
        <is>
          <t>G00028</t>
        </is>
      </c>
      <c r="K1269" t="str">
        <f>INDEX('Match Groups'!$D$5:$D$1326,MATCH(J1269,'Match Groups'!$A$5:$A$1326,0))</f>
        <v>STRIPE-FEE</v>
      </c>
    </row>
    <row r="1270">
      <c r="A1270" t="inlineStr">
        <is>
          <t>JI-02185</t>
        </is>
      </c>
      <c r="B1270" t="inlineStr">
        <is>
          <t>OPS</t>
        </is>
      </c>
      <c r="C1270" s="5" t="n">
        <v>46220</v>
      </c>
      <c r="D1270" t="inlineStr">
        <is>
          <t>Stripe patient 57647</t>
        </is>
      </c>
      <c r="E1270" t="inlineStr">
        <is>
          <t>INV/2026/04032</t>
        </is>
      </c>
      <c r="F1270" t="inlineStr">
        <is>
          <t>Customer payment INV/2026/04032</t>
        </is>
      </c>
      <c r="G1270" s="9" t="n">
        <v>120</v>
      </c>
      <c r="H1270" t="inlineStr">
        <is>
          <t>customer_payment</t>
        </is>
      </c>
      <c r="I1270" t="inlineStr"/>
      <c r="J1270" t="inlineStr">
        <is>
          <t>G00028</t>
        </is>
      </c>
      <c r="K1270" t="str">
        <f>INDEX('Match Groups'!$D$5:$D$1326,MATCH(J1270,'Match Groups'!$A$5:$A$1326,0))</f>
        <v>STRIPE-FEE</v>
      </c>
    </row>
    <row r="1271">
      <c r="A1271" t="inlineStr">
        <is>
          <t>JI-02186</t>
        </is>
      </c>
      <c r="B1271" t="inlineStr">
        <is>
          <t>OPS</t>
        </is>
      </c>
      <c r="C1271" s="5" t="n">
        <v>46220</v>
      </c>
      <c r="D1271" t="inlineStr">
        <is>
          <t>Stripe patient 78975</t>
        </is>
      </c>
      <c r="E1271" t="inlineStr">
        <is>
          <t>INV/2026/04033</t>
        </is>
      </c>
      <c r="F1271" t="inlineStr">
        <is>
          <t>Customer payment INV/2026/04033</t>
        </is>
      </c>
      <c r="G1271" s="9" t="n">
        <v>180</v>
      </c>
      <c r="H1271" t="inlineStr">
        <is>
          <t>customer_payment</t>
        </is>
      </c>
      <c r="I1271" t="inlineStr"/>
      <c r="J1271" t="inlineStr">
        <is>
          <t>G00028</t>
        </is>
      </c>
      <c r="K1271" t="str">
        <f>INDEX('Match Groups'!$D$5:$D$1326,MATCH(J1271,'Match Groups'!$A$5:$A$1326,0))</f>
        <v>STRIPE-FEE</v>
      </c>
    </row>
    <row r="1272">
      <c r="A1272" t="inlineStr">
        <is>
          <t>JI-02187</t>
        </is>
      </c>
      <c r="B1272" t="inlineStr">
        <is>
          <t>OPS</t>
        </is>
      </c>
      <c r="C1272" s="5" t="n">
        <v>46221</v>
      </c>
      <c r="D1272" t="inlineStr">
        <is>
          <t>Stripe patient 11300</t>
        </is>
      </c>
      <c r="E1272" t="inlineStr">
        <is>
          <t>INV/2026/04034</t>
        </is>
      </c>
      <c r="F1272" t="inlineStr">
        <is>
          <t>Customer payment INV/2026/04034</t>
        </is>
      </c>
      <c r="G1272" s="9" t="n">
        <v>95</v>
      </c>
      <c r="H1272" t="inlineStr">
        <is>
          <t>customer_payment</t>
        </is>
      </c>
      <c r="I1272" t="inlineStr"/>
      <c r="J1272" t="inlineStr">
        <is>
          <t>G00028</t>
        </is>
      </c>
      <c r="K1272" t="str">
        <f>INDEX('Match Groups'!$D$5:$D$1326,MATCH(J1272,'Match Groups'!$A$5:$A$1326,0))</f>
        <v>STRIPE-FEE</v>
      </c>
    </row>
    <row r="1273">
      <c r="A1273" t="inlineStr">
        <is>
          <t>JI-02188</t>
        </is>
      </c>
      <c r="B1273" t="inlineStr">
        <is>
          <t>OPS</t>
        </is>
      </c>
      <c r="C1273" s="5" t="n">
        <v>46221</v>
      </c>
      <c r="D1273" t="inlineStr">
        <is>
          <t>Stripe patient 96232</t>
        </is>
      </c>
      <c r="E1273" t="inlineStr">
        <is>
          <t>INV/2026/04035</t>
        </is>
      </c>
      <c r="F1273" t="inlineStr">
        <is>
          <t>Customer payment INV/2026/04035</t>
        </is>
      </c>
      <c r="G1273" s="9" t="n">
        <v>110</v>
      </c>
      <c r="H1273" t="inlineStr">
        <is>
          <t>customer_payment</t>
        </is>
      </c>
      <c r="I1273" t="inlineStr"/>
      <c r="J1273" t="inlineStr">
        <is>
          <t>G00028</t>
        </is>
      </c>
      <c r="K1273" t="str">
        <f>INDEX('Match Groups'!$D$5:$D$1326,MATCH(J1273,'Match Groups'!$A$5:$A$1326,0))</f>
        <v>STRIPE-FEE</v>
      </c>
    </row>
    <row r="1274">
      <c r="A1274" t="inlineStr">
        <is>
          <t>JI-02189</t>
        </is>
      </c>
      <c r="B1274" t="inlineStr">
        <is>
          <t>OPS</t>
        </is>
      </c>
      <c r="C1274" s="5" t="n">
        <v>46221</v>
      </c>
      <c r="D1274" t="inlineStr">
        <is>
          <t>Stripe patient 24230</t>
        </is>
      </c>
      <c r="E1274" t="inlineStr">
        <is>
          <t>INV/2026/04036</t>
        </is>
      </c>
      <c r="F1274" t="inlineStr">
        <is>
          <t>Customer payment INV/2026/04036</t>
        </is>
      </c>
      <c r="G1274" s="9" t="n">
        <v>135</v>
      </c>
      <c r="H1274" t="inlineStr">
        <is>
          <t>customer_payment</t>
        </is>
      </c>
      <c r="I1274" t="inlineStr"/>
      <c r="J1274" t="inlineStr">
        <is>
          <t>G00028</t>
        </is>
      </c>
      <c r="K1274" t="str">
        <f>INDEX('Match Groups'!$D$5:$D$1326,MATCH(J1274,'Match Groups'!$A$5:$A$1326,0))</f>
        <v>STRIPE-FEE</v>
      </c>
    </row>
    <row r="1275">
      <c r="A1275" t="inlineStr">
        <is>
          <t>JI-02190</t>
        </is>
      </c>
      <c r="B1275" t="inlineStr">
        <is>
          <t>OPS</t>
        </is>
      </c>
      <c r="C1275" s="5" t="n">
        <v>46221</v>
      </c>
      <c r="D1275" t="inlineStr">
        <is>
          <t>Stripe patient 84627</t>
        </is>
      </c>
      <c r="E1275" t="inlineStr">
        <is>
          <t>INV/2026/04037</t>
        </is>
      </c>
      <c r="F1275" t="inlineStr">
        <is>
          <t>Customer payment INV/2026/04037</t>
        </is>
      </c>
      <c r="G1275" s="9" t="n">
        <v>95</v>
      </c>
      <c r="H1275" t="inlineStr">
        <is>
          <t>customer_payment</t>
        </is>
      </c>
      <c r="I1275" t="inlineStr"/>
      <c r="J1275" t="inlineStr">
        <is>
          <t>G00028</t>
        </is>
      </c>
      <c r="K1275" t="str">
        <f>INDEX('Match Groups'!$D$5:$D$1326,MATCH(J1275,'Match Groups'!$A$5:$A$1326,0))</f>
        <v>STRIPE-FEE</v>
      </c>
    </row>
    <row r="1276">
      <c r="A1276" t="inlineStr">
        <is>
          <t>JI-02191</t>
        </is>
      </c>
      <c r="B1276" t="inlineStr">
        <is>
          <t>OPS</t>
        </is>
      </c>
      <c r="C1276" s="5" t="n">
        <v>46221</v>
      </c>
      <c r="D1276" t="inlineStr">
        <is>
          <t>Stripe patient 89380</t>
        </is>
      </c>
      <c r="E1276" t="inlineStr">
        <is>
          <t>INV/2026/04038</t>
        </is>
      </c>
      <c r="F1276" t="inlineStr">
        <is>
          <t>Customer payment INV/2026/04038</t>
        </is>
      </c>
      <c r="G1276" s="9" t="n">
        <v>120</v>
      </c>
      <c r="H1276" t="inlineStr">
        <is>
          <t>customer_payment</t>
        </is>
      </c>
      <c r="I1276" t="inlineStr"/>
      <c r="J1276" t="inlineStr">
        <is>
          <t>G00028</t>
        </is>
      </c>
      <c r="K1276" t="str">
        <f>INDEX('Match Groups'!$D$5:$D$1326,MATCH(J1276,'Match Groups'!$A$5:$A$1326,0))</f>
        <v>STRIPE-FEE</v>
      </c>
    </row>
    <row r="1277">
      <c r="A1277" t="inlineStr">
        <is>
          <t>JI-02192</t>
        </is>
      </c>
      <c r="B1277" t="inlineStr">
        <is>
          <t>OPS</t>
        </is>
      </c>
      <c r="C1277" s="5" t="n">
        <v>46221</v>
      </c>
      <c r="D1277" t="inlineStr">
        <is>
          <t>Stripe patient 14172</t>
        </is>
      </c>
      <c r="E1277" t="inlineStr">
        <is>
          <t>INV/2026/04039</t>
        </is>
      </c>
      <c r="F1277" t="inlineStr">
        <is>
          <t>Customer payment INV/2026/04039</t>
        </is>
      </c>
      <c r="G1277" s="9" t="n">
        <v>85</v>
      </c>
      <c r="H1277" t="inlineStr">
        <is>
          <t>customer_payment</t>
        </is>
      </c>
      <c r="I1277" t="inlineStr"/>
      <c r="J1277" t="inlineStr">
        <is>
          <t>G00028</t>
        </is>
      </c>
      <c r="K1277" t="str">
        <f>INDEX('Match Groups'!$D$5:$D$1326,MATCH(J1277,'Match Groups'!$A$5:$A$1326,0))</f>
        <v>STRIPE-FEE</v>
      </c>
    </row>
    <row r="1278">
      <c r="A1278" t="inlineStr">
        <is>
          <t>JI-02193</t>
        </is>
      </c>
      <c r="B1278" t="inlineStr">
        <is>
          <t>OPS</t>
        </is>
      </c>
      <c r="C1278" s="5" t="n">
        <v>46221</v>
      </c>
      <c r="D1278" t="inlineStr">
        <is>
          <t>Stripe patient 13250</t>
        </is>
      </c>
      <c r="E1278" t="inlineStr">
        <is>
          <t>INV/2026/04040</t>
        </is>
      </c>
      <c r="F1278" t="inlineStr">
        <is>
          <t>Customer payment INV/2026/04040</t>
        </is>
      </c>
      <c r="G1278" s="9" t="n">
        <v>95</v>
      </c>
      <c r="H1278" t="inlineStr">
        <is>
          <t>customer_payment</t>
        </is>
      </c>
      <c r="I1278" t="inlineStr"/>
      <c r="J1278" t="inlineStr">
        <is>
          <t>G00028</t>
        </is>
      </c>
      <c r="K1278" t="str">
        <f>INDEX('Match Groups'!$D$5:$D$1326,MATCH(J1278,'Match Groups'!$A$5:$A$1326,0))</f>
        <v>STRIPE-FEE</v>
      </c>
    </row>
    <row r="1279">
      <c r="A1279" t="inlineStr">
        <is>
          <t>JI-02194</t>
        </is>
      </c>
      <c r="B1279" t="inlineStr">
        <is>
          <t>OPS</t>
        </is>
      </c>
      <c r="C1279" s="5" t="n">
        <v>46221</v>
      </c>
      <c r="D1279" t="inlineStr">
        <is>
          <t>Stripe patient 47893</t>
        </is>
      </c>
      <c r="E1279" t="inlineStr">
        <is>
          <t>INV/2026/04041</t>
        </is>
      </c>
      <c r="F1279" t="inlineStr">
        <is>
          <t>Customer payment INV/2026/04041</t>
        </is>
      </c>
      <c r="G1279" s="9" t="n">
        <v>110</v>
      </c>
      <c r="H1279" t="inlineStr">
        <is>
          <t>customer_payment</t>
        </is>
      </c>
      <c r="I1279" t="inlineStr"/>
      <c r="J1279" t="inlineStr">
        <is>
          <t>G00028</t>
        </is>
      </c>
      <c r="K1279" t="str">
        <f>INDEX('Match Groups'!$D$5:$D$1326,MATCH(J1279,'Match Groups'!$A$5:$A$1326,0))</f>
        <v>STRIPE-FEE</v>
      </c>
    </row>
    <row r="1280">
      <c r="A1280" t="inlineStr">
        <is>
          <t>JI-02195</t>
        </is>
      </c>
      <c r="B1280" t="inlineStr">
        <is>
          <t>OPS</t>
        </is>
      </c>
      <c r="C1280" s="5" t="n">
        <v>46221</v>
      </c>
      <c r="D1280" t="inlineStr">
        <is>
          <t>Stripe patient 31228</t>
        </is>
      </c>
      <c r="E1280" t="inlineStr">
        <is>
          <t>INV/2026/04042</t>
        </is>
      </c>
      <c r="F1280" t="inlineStr">
        <is>
          <t>Customer payment INV/2026/04042</t>
        </is>
      </c>
      <c r="G1280" s="9" t="n">
        <v>180</v>
      </c>
      <c r="H1280" t="inlineStr">
        <is>
          <t>customer_payment</t>
        </is>
      </c>
      <c r="I1280" t="inlineStr"/>
      <c r="J1280" t="inlineStr">
        <is>
          <t>G00028</t>
        </is>
      </c>
      <c r="K1280" t="str">
        <f>INDEX('Match Groups'!$D$5:$D$1326,MATCH(J1280,'Match Groups'!$A$5:$A$1326,0))</f>
        <v>STRIPE-FEE</v>
      </c>
    </row>
    <row r="1281">
      <c r="A1281" t="inlineStr">
        <is>
          <t>JI-02196</t>
        </is>
      </c>
      <c r="B1281" t="inlineStr">
        <is>
          <t>OPS</t>
        </is>
      </c>
      <c r="C1281" s="5" t="n">
        <v>46221</v>
      </c>
      <c r="D1281" t="inlineStr">
        <is>
          <t>Stripe patient 14476</t>
        </is>
      </c>
      <c r="E1281" t="inlineStr">
        <is>
          <t>INV/2026/04043</t>
        </is>
      </c>
      <c r="F1281" t="inlineStr">
        <is>
          <t>Customer payment INV/2026/04043</t>
        </is>
      </c>
      <c r="G1281" s="9" t="n">
        <v>65</v>
      </c>
      <c r="H1281" t="inlineStr">
        <is>
          <t>customer_payment</t>
        </is>
      </c>
      <c r="I1281" t="inlineStr"/>
      <c r="J1281" t="inlineStr">
        <is>
          <t>G00028</t>
        </is>
      </c>
      <c r="K1281" t="str">
        <f>INDEX('Match Groups'!$D$5:$D$1326,MATCH(J1281,'Match Groups'!$A$5:$A$1326,0))</f>
        <v>STRIPE-FEE</v>
      </c>
    </row>
    <row r="1282">
      <c r="A1282" t="inlineStr">
        <is>
          <t>JI-02197</t>
        </is>
      </c>
      <c r="B1282" t="inlineStr">
        <is>
          <t>OPS</t>
        </is>
      </c>
      <c r="C1282" s="5" t="n">
        <v>46221</v>
      </c>
      <c r="D1282" t="inlineStr">
        <is>
          <t>Stripe patient 49925</t>
        </is>
      </c>
      <c r="E1282" t="inlineStr">
        <is>
          <t>INV/2026/04044</t>
        </is>
      </c>
      <c r="F1282" t="inlineStr">
        <is>
          <t>Customer payment INV/2026/04044</t>
        </is>
      </c>
      <c r="G1282" s="9" t="n">
        <v>85</v>
      </c>
      <c r="H1282" t="inlineStr">
        <is>
          <t>customer_payment</t>
        </is>
      </c>
      <c r="I1282" t="inlineStr"/>
      <c r="J1282" t="inlineStr">
        <is>
          <t>G00028</t>
        </is>
      </c>
      <c r="K1282" t="str">
        <f>INDEX('Match Groups'!$D$5:$D$1326,MATCH(J1282,'Match Groups'!$A$5:$A$1326,0))</f>
        <v>STRIPE-FEE</v>
      </c>
    </row>
    <row r="1283">
      <c r="A1283" t="inlineStr">
        <is>
          <t>JI-02198</t>
        </is>
      </c>
      <c r="B1283" t="inlineStr">
        <is>
          <t>OPS</t>
        </is>
      </c>
      <c r="C1283" s="5" t="n">
        <v>46221</v>
      </c>
      <c r="D1283" t="inlineStr">
        <is>
          <t>Stripe patient 41946</t>
        </is>
      </c>
      <c r="E1283" t="inlineStr">
        <is>
          <t>INV/2026/04045</t>
        </is>
      </c>
      <c r="F1283" t="inlineStr">
        <is>
          <t>Customer payment INV/2026/04045</t>
        </is>
      </c>
      <c r="G1283" s="9" t="n">
        <v>120</v>
      </c>
      <c r="H1283" t="inlineStr">
        <is>
          <t>customer_payment</t>
        </is>
      </c>
      <c r="I1283" t="inlineStr"/>
      <c r="J1283" t="inlineStr">
        <is>
          <t>G00028</t>
        </is>
      </c>
      <c r="K1283" t="str">
        <f>INDEX('Match Groups'!$D$5:$D$1326,MATCH(J1283,'Match Groups'!$A$5:$A$1326,0))</f>
        <v>STRIPE-FEE</v>
      </c>
    </row>
    <row r="1284">
      <c r="A1284" t="inlineStr">
        <is>
          <t>JI-01714</t>
        </is>
      </c>
      <c r="B1284" t="inlineStr">
        <is>
          <t>OPS</t>
        </is>
      </c>
      <c r="C1284" s="5" t="n">
        <v>46222</v>
      </c>
      <c r="D1284" t="inlineStr">
        <is>
          <t>Cobblestone Retail Group</t>
        </is>
      </c>
      <c r="E1284" t="inlineStr">
        <is>
          <t>INV/2026/03440</t>
        </is>
      </c>
      <c r="F1284" t="inlineStr">
        <is>
          <t>Customer payment INV/2026/03440</t>
        </is>
      </c>
      <c r="G1284" s="9" t="n">
        <v>15950</v>
      </c>
      <c r="H1284" t="inlineStr">
        <is>
          <t>customer_payment</t>
        </is>
      </c>
      <c r="I1284" t="inlineStr"/>
      <c r="J1284" t="inlineStr">
        <is>
          <t>G00956</t>
        </is>
      </c>
      <c r="K1284" t="str">
        <f>INDEX('Match Groups'!$D$5:$D$1326,MATCH(J1284,'Match Groups'!$A$5:$A$1326,0))</f>
        <v>MATCH</v>
      </c>
    </row>
    <row r="1285">
      <c r="A1285" t="inlineStr">
        <is>
          <t>JI-01731</t>
        </is>
      </c>
      <c r="B1285" t="inlineStr">
        <is>
          <t>OPS</t>
        </is>
      </c>
      <c r="C1285" s="5" t="n">
        <v>46222</v>
      </c>
      <c r="D1285" t="inlineStr">
        <is>
          <t>Inglewood Cold Storage</t>
        </is>
      </c>
      <c r="E1285" t="inlineStr">
        <is>
          <t>INV/2026/03446</t>
        </is>
      </c>
      <c r="F1285" t="inlineStr">
        <is>
          <t>Customer payment INV/2026/03446</t>
        </is>
      </c>
      <c r="G1285" s="9" t="n">
        <v>5280</v>
      </c>
      <c r="H1285" t="inlineStr">
        <is>
          <t>customer_payment</t>
        </is>
      </c>
      <c r="I1285" t="inlineStr"/>
      <c r="J1285" t="inlineStr">
        <is>
          <t>G00951</t>
        </is>
      </c>
      <c r="K1285" t="str">
        <f>INDEX('Match Groups'!$D$5:$D$1326,MATCH(J1285,'Match Groups'!$A$5:$A$1326,0))</f>
        <v>MATCH</v>
      </c>
    </row>
    <row r="1286">
      <c r="A1286" t="inlineStr">
        <is>
          <t>JI-00400</t>
        </is>
      </c>
      <c r="B1286" t="inlineStr">
        <is>
          <t>OPS</t>
        </is>
      </c>
      <c r="C1286" s="5" t="n">
        <v>46223</v>
      </c>
      <c r="D1286" t="inlineStr">
        <is>
          <t>Bluegum Plan Management</t>
        </is>
      </c>
      <c r="E1286" t="inlineStr">
        <is>
          <t>INV/2026/01614</t>
        </is>
      </c>
      <c r="F1286" t="inlineStr">
        <is>
          <t>Customer payment INV/2026/01614</t>
        </is>
      </c>
      <c r="G1286" s="9" t="n">
        <v>387.98</v>
      </c>
      <c r="H1286" t="inlineStr">
        <is>
          <t>customer_payment</t>
        </is>
      </c>
      <c r="I1286" t="inlineStr"/>
      <c r="J1286" t="inlineStr">
        <is>
          <t>G00166</t>
        </is>
      </c>
      <c r="K1286" t="str">
        <f>INDEX('Match Groups'!$D$5:$D$1326,MATCH(J1286,'Match Groups'!$A$5:$A$1326,0))</f>
        <v>MATCH</v>
      </c>
    </row>
    <row r="1287">
      <c r="A1287" t="inlineStr">
        <is>
          <t>JI-00401</t>
        </is>
      </c>
      <c r="B1287" t="inlineStr">
        <is>
          <t>OPS</t>
        </is>
      </c>
      <c r="C1287" s="5" t="n">
        <v>46223</v>
      </c>
      <c r="D1287" t="inlineStr">
        <is>
          <t>Bluegum Plan Management</t>
        </is>
      </c>
      <c r="E1287" t="inlineStr">
        <is>
          <t>INV/2026/01638</t>
        </is>
      </c>
      <c r="F1287" t="inlineStr">
        <is>
          <t>Customer payment INV/2026/01638</t>
        </is>
      </c>
      <c r="G1287" s="9" t="n">
        <v>145.49</v>
      </c>
      <c r="H1287" t="inlineStr">
        <is>
          <t>customer_payment</t>
        </is>
      </c>
      <c r="I1287" t="inlineStr"/>
      <c r="J1287" t="inlineStr">
        <is>
          <t>G00166</t>
        </is>
      </c>
      <c r="K1287" t="str">
        <f>INDEX('Match Groups'!$D$5:$D$1326,MATCH(J1287,'Match Groups'!$A$5:$A$1326,0))</f>
        <v>MATCH</v>
      </c>
    </row>
    <row r="1288">
      <c r="A1288" t="inlineStr">
        <is>
          <t>JI-00402</t>
        </is>
      </c>
      <c r="B1288" t="inlineStr">
        <is>
          <t>OPS</t>
        </is>
      </c>
      <c r="C1288" s="5" t="n">
        <v>46223</v>
      </c>
      <c r="D1288" t="inlineStr">
        <is>
          <t>Bluegum Plan Management</t>
        </is>
      </c>
      <c r="E1288" t="inlineStr">
        <is>
          <t>INV/2026/01639</t>
        </is>
      </c>
      <c r="F1288" t="inlineStr">
        <is>
          <t>Customer payment INV/2026/01639</t>
        </is>
      </c>
      <c r="G1288" s="9" t="n">
        <v>417.98</v>
      </c>
      <c r="H1288" t="inlineStr">
        <is>
          <t>customer_payment</t>
        </is>
      </c>
      <c r="I1288" t="inlineStr"/>
      <c r="J1288" t="inlineStr">
        <is>
          <t>G00166</t>
        </is>
      </c>
      <c r="K1288" t="str">
        <f>INDEX('Match Groups'!$D$5:$D$1326,MATCH(J1288,'Match Groups'!$A$5:$A$1326,0))</f>
        <v>MATCH</v>
      </c>
    </row>
    <row r="1289">
      <c r="A1289" t="inlineStr">
        <is>
          <t>JI-00403</t>
        </is>
      </c>
      <c r="B1289" t="inlineStr">
        <is>
          <t>OPS</t>
        </is>
      </c>
      <c r="C1289" s="5" t="n">
        <v>46223</v>
      </c>
      <c r="D1289" t="inlineStr">
        <is>
          <t>Bluegum Plan Management</t>
        </is>
      </c>
      <c r="E1289" t="inlineStr">
        <is>
          <t>INV/2026/01662</t>
        </is>
      </c>
      <c r="F1289" t="inlineStr">
        <is>
          <t>Customer payment INV/2026/01662</t>
        </is>
      </c>
      <c r="G1289" s="9" t="n">
        <v>417.98</v>
      </c>
      <c r="H1289" t="inlineStr">
        <is>
          <t>customer_payment</t>
        </is>
      </c>
      <c r="I1289" t="inlineStr"/>
      <c r="J1289" t="inlineStr">
        <is>
          <t>G00166</t>
        </is>
      </c>
      <c r="K1289" t="str">
        <f>INDEX('Match Groups'!$D$5:$D$1326,MATCH(J1289,'Match Groups'!$A$5:$A$1326,0))</f>
        <v>MATCH</v>
      </c>
    </row>
    <row r="1290">
      <c r="A1290" t="inlineStr">
        <is>
          <t>JI-00404</t>
        </is>
      </c>
      <c r="B1290" t="inlineStr">
        <is>
          <t>OPS</t>
        </is>
      </c>
      <c r="C1290" s="5" t="n">
        <v>46223</v>
      </c>
      <c r="D1290" t="inlineStr">
        <is>
          <t>Bluegum Plan Management</t>
        </is>
      </c>
      <c r="E1290" t="inlineStr">
        <is>
          <t>INV/2026/01685</t>
        </is>
      </c>
      <c r="F1290" t="inlineStr">
        <is>
          <t>Customer payment INV/2026/01685</t>
        </is>
      </c>
      <c r="G1290" s="9" t="n">
        <v>320.98</v>
      </c>
      <c r="H1290" t="inlineStr">
        <is>
          <t>customer_payment</t>
        </is>
      </c>
      <c r="I1290" t="inlineStr"/>
      <c r="J1290" t="inlineStr">
        <is>
          <t>G00166</t>
        </is>
      </c>
      <c r="K1290" t="str">
        <f>INDEX('Match Groups'!$D$5:$D$1326,MATCH(J1290,'Match Groups'!$A$5:$A$1326,0))</f>
        <v>MATCH</v>
      </c>
    </row>
    <row r="1291">
      <c r="A1291" t="inlineStr">
        <is>
          <t>JI-00405</t>
        </is>
      </c>
      <c r="B1291" t="inlineStr">
        <is>
          <t>OPS</t>
        </is>
      </c>
      <c r="C1291" s="5" t="n">
        <v>46223</v>
      </c>
      <c r="D1291" t="inlineStr">
        <is>
          <t>Bluegum Plan Management</t>
        </is>
      </c>
      <c r="E1291" t="inlineStr">
        <is>
          <t>INV/2026/01686</t>
        </is>
      </c>
      <c r="F1291" t="inlineStr">
        <is>
          <t>Customer payment INV/2026/01686</t>
        </is>
      </c>
      <c r="G1291" s="9" t="n">
        <v>290.98</v>
      </c>
      <c r="H1291" t="inlineStr">
        <is>
          <t>customer_payment</t>
        </is>
      </c>
      <c r="I1291" t="inlineStr"/>
      <c r="J1291" t="inlineStr">
        <is>
          <t>G00166</t>
        </is>
      </c>
      <c r="K1291" t="str">
        <f>INDEX('Match Groups'!$D$5:$D$1326,MATCH(J1291,'Match Groups'!$A$5:$A$1326,0))</f>
        <v>MATCH</v>
      </c>
    </row>
    <row r="1292">
      <c r="A1292" t="inlineStr">
        <is>
          <t>JI-00406</t>
        </is>
      </c>
      <c r="B1292" t="inlineStr">
        <is>
          <t>OPS</t>
        </is>
      </c>
      <c r="C1292" s="5" t="n">
        <v>46223</v>
      </c>
      <c r="D1292" t="inlineStr">
        <is>
          <t>Clearpath NDIS Plans</t>
        </is>
      </c>
      <c r="E1292" t="inlineStr">
        <is>
          <t>INV/2026/01975</t>
        </is>
      </c>
      <c r="F1292" t="inlineStr">
        <is>
          <t>Customer payment INV/2026/01975</t>
        </is>
      </c>
      <c r="G1292" s="9" t="n">
        <v>145.49</v>
      </c>
      <c r="H1292" t="inlineStr">
        <is>
          <t>customer_payment</t>
        </is>
      </c>
      <c r="I1292" t="inlineStr"/>
      <c r="J1292" t="inlineStr">
        <is>
          <t>G00167</t>
        </is>
      </c>
      <c r="K1292" t="str">
        <f>INDEX('Match Groups'!$D$5:$D$1326,MATCH(J1292,'Match Groups'!$A$5:$A$1326,0))</f>
        <v>MATCH</v>
      </c>
    </row>
    <row r="1293">
      <c r="A1293" t="inlineStr">
        <is>
          <t>JI-00407</t>
        </is>
      </c>
      <c r="B1293" t="inlineStr">
        <is>
          <t>OPS</t>
        </is>
      </c>
      <c r="C1293" s="5" t="n">
        <v>46223</v>
      </c>
      <c r="D1293" t="inlineStr">
        <is>
          <t>Clearpath NDIS Plans</t>
        </is>
      </c>
      <c r="E1293" t="inlineStr">
        <is>
          <t>INV/2026/01995</t>
        </is>
      </c>
      <c r="F1293" t="inlineStr">
        <is>
          <t>Customer payment INV/2026/01995</t>
        </is>
      </c>
      <c r="G1293" s="9" t="n">
        <v>242.49</v>
      </c>
      <c r="H1293" t="inlineStr">
        <is>
          <t>customer_payment</t>
        </is>
      </c>
      <c r="I1293" t="inlineStr"/>
      <c r="J1293" t="inlineStr">
        <is>
          <t>G00167</t>
        </is>
      </c>
      <c r="K1293" t="str">
        <f>INDEX('Match Groups'!$D$5:$D$1326,MATCH(J1293,'Match Groups'!$A$5:$A$1326,0))</f>
        <v>MATCH</v>
      </c>
    </row>
    <row r="1294">
      <c r="A1294" t="inlineStr">
        <is>
          <t>JI-00408</t>
        </is>
      </c>
      <c r="B1294" t="inlineStr">
        <is>
          <t>OPS</t>
        </is>
      </c>
      <c r="C1294" s="5" t="n">
        <v>46223</v>
      </c>
      <c r="D1294" t="inlineStr">
        <is>
          <t>Clearpath NDIS Plans</t>
        </is>
      </c>
      <c r="E1294" t="inlineStr">
        <is>
          <t>INV/2026/02021</t>
        </is>
      </c>
      <c r="F1294" t="inlineStr">
        <is>
          <t>Customer payment INV/2026/02021</t>
        </is>
      </c>
      <c r="G1294" s="9" t="n">
        <v>272.49</v>
      </c>
      <c r="H1294" t="inlineStr">
        <is>
          <t>customer_payment</t>
        </is>
      </c>
      <c r="I1294" t="inlineStr"/>
      <c r="J1294" t="inlineStr">
        <is>
          <t>G00167</t>
        </is>
      </c>
      <c r="K1294" t="str">
        <f>INDEX('Match Groups'!$D$5:$D$1326,MATCH(J1294,'Match Groups'!$A$5:$A$1326,0))</f>
        <v>MATCH</v>
      </c>
    </row>
    <row r="1295">
      <c r="A1295" t="inlineStr">
        <is>
          <t>JI-00409</t>
        </is>
      </c>
      <c r="B1295" t="inlineStr">
        <is>
          <t>OPS</t>
        </is>
      </c>
      <c r="C1295" s="5" t="n">
        <v>46223</v>
      </c>
      <c r="D1295" t="inlineStr">
        <is>
          <t>Clearpath NDIS Plans</t>
        </is>
      </c>
      <c r="E1295" t="inlineStr">
        <is>
          <t>INV/2026/02040</t>
        </is>
      </c>
      <c r="F1295" t="inlineStr">
        <is>
          <t>Customer payment INV/2026/02040</t>
        </is>
      </c>
      <c r="G1295" s="9" t="n">
        <v>349.18</v>
      </c>
      <c r="H1295" t="inlineStr">
        <is>
          <t>customer_payment</t>
        </is>
      </c>
      <c r="I1295" t="inlineStr"/>
      <c r="J1295" t="inlineStr">
        <is>
          <t>G00167</t>
        </is>
      </c>
      <c r="K1295" t="str">
        <f>INDEX('Match Groups'!$D$5:$D$1326,MATCH(J1295,'Match Groups'!$A$5:$A$1326,0))</f>
        <v>MATCH</v>
      </c>
    </row>
    <row r="1296">
      <c r="A1296" t="inlineStr">
        <is>
          <t>JI-00410</t>
        </is>
      </c>
      <c r="B1296" t="inlineStr">
        <is>
          <t>OPS</t>
        </is>
      </c>
      <c r="C1296" s="5" t="n">
        <v>46223</v>
      </c>
      <c r="D1296" t="inlineStr">
        <is>
          <t>Wattle Plan Services</t>
        </is>
      </c>
      <c r="E1296" t="inlineStr">
        <is>
          <t>INV/2026/01710</t>
        </is>
      </c>
      <c r="F1296" t="inlineStr">
        <is>
          <t>Customer payment INV/2026/01710</t>
        </is>
      </c>
      <c r="G1296" s="9" t="n">
        <v>417.98</v>
      </c>
      <c r="H1296" t="inlineStr">
        <is>
          <t>customer_payment</t>
        </is>
      </c>
      <c r="I1296" t="inlineStr"/>
      <c r="J1296" t="inlineStr">
        <is>
          <t>G00168</t>
        </is>
      </c>
      <c r="K1296" t="str">
        <f>INDEX('Match Groups'!$D$5:$D$1326,MATCH(J1296,'Match Groups'!$A$5:$A$1326,0))</f>
        <v>MATCH</v>
      </c>
    </row>
    <row r="1297">
      <c r="A1297" t="inlineStr">
        <is>
          <t>JI-00411</t>
        </is>
      </c>
      <c r="B1297" t="inlineStr">
        <is>
          <t>OPS</t>
        </is>
      </c>
      <c r="C1297" s="5" t="n">
        <v>46223</v>
      </c>
      <c r="D1297" t="inlineStr">
        <is>
          <t>Wattle Plan Services</t>
        </is>
      </c>
      <c r="E1297" t="inlineStr">
        <is>
          <t>INV/2026/01711</t>
        </is>
      </c>
      <c r="F1297" t="inlineStr">
        <is>
          <t>Customer payment INV/2026/01711</t>
        </is>
      </c>
      <c r="G1297" s="9" t="n">
        <v>387.98</v>
      </c>
      <c r="H1297" t="inlineStr">
        <is>
          <t>customer_payment</t>
        </is>
      </c>
      <c r="I1297" t="inlineStr"/>
      <c r="J1297" t="inlineStr">
        <is>
          <t>G00168</t>
        </is>
      </c>
      <c r="K1297" t="str">
        <f>INDEX('Match Groups'!$D$5:$D$1326,MATCH(J1297,'Match Groups'!$A$5:$A$1326,0))</f>
        <v>MATCH</v>
      </c>
    </row>
    <row r="1298">
      <c r="A1298" t="inlineStr">
        <is>
          <t>JI-00412</t>
        </is>
      </c>
      <c r="B1298" t="inlineStr">
        <is>
          <t>OPS</t>
        </is>
      </c>
      <c r="C1298" s="5" t="n">
        <v>46223</v>
      </c>
      <c r="D1298" t="inlineStr">
        <is>
          <t>Wattle Plan Services</t>
        </is>
      </c>
      <c r="E1298" t="inlineStr">
        <is>
          <t>INV/2026/01732</t>
        </is>
      </c>
      <c r="F1298" t="inlineStr">
        <is>
          <t>Customer payment INV/2026/01732</t>
        </is>
      </c>
      <c r="G1298" s="9" t="n">
        <v>145.49</v>
      </c>
      <c r="H1298" t="inlineStr">
        <is>
          <t>customer_payment</t>
        </is>
      </c>
      <c r="I1298" t="inlineStr"/>
      <c r="J1298" t="inlineStr">
        <is>
          <t>G00168</t>
        </is>
      </c>
      <c r="K1298" t="str">
        <f>INDEX('Match Groups'!$D$5:$D$1326,MATCH(J1298,'Match Groups'!$A$5:$A$1326,0))</f>
        <v>MATCH</v>
      </c>
    </row>
    <row r="1299">
      <c r="A1299" t="inlineStr">
        <is>
          <t>JI-00413</t>
        </is>
      </c>
      <c r="B1299" t="inlineStr">
        <is>
          <t>OPS</t>
        </is>
      </c>
      <c r="C1299" s="5" t="n">
        <v>46223</v>
      </c>
      <c r="D1299" t="inlineStr">
        <is>
          <t>Banksia Plan Co</t>
        </is>
      </c>
      <c r="E1299" t="inlineStr">
        <is>
          <t>INV/2026/02115</t>
        </is>
      </c>
      <c r="F1299" t="inlineStr">
        <is>
          <t>Customer payment INV/2026/02115</t>
        </is>
      </c>
      <c r="G1299" s="9" t="n">
        <v>349.18</v>
      </c>
      <c r="H1299" t="inlineStr">
        <is>
          <t>customer_payment</t>
        </is>
      </c>
      <c r="I1299" t="inlineStr"/>
      <c r="J1299" t="inlineStr">
        <is>
          <t>G00169</t>
        </is>
      </c>
      <c r="K1299" t="str">
        <f>INDEX('Match Groups'!$D$5:$D$1326,MATCH(J1299,'Match Groups'!$A$5:$A$1326,0))</f>
        <v>MATCH</v>
      </c>
    </row>
    <row r="1300">
      <c r="A1300" t="inlineStr">
        <is>
          <t>JI-00414</t>
        </is>
      </c>
      <c r="B1300" t="inlineStr">
        <is>
          <t>OPS</t>
        </is>
      </c>
      <c r="C1300" s="5" t="n">
        <v>46223</v>
      </c>
      <c r="D1300" t="inlineStr">
        <is>
          <t>Banksia Plan Co</t>
        </is>
      </c>
      <c r="E1300" t="inlineStr">
        <is>
          <t>INV/2026/02136</t>
        </is>
      </c>
      <c r="F1300" t="inlineStr">
        <is>
          <t>Customer payment INV/2026/02136</t>
        </is>
      </c>
      <c r="G1300" s="9" t="n">
        <v>349.18</v>
      </c>
      <c r="H1300" t="inlineStr">
        <is>
          <t>customer_payment</t>
        </is>
      </c>
      <c r="I1300" t="inlineStr"/>
      <c r="J1300" t="inlineStr">
        <is>
          <t>G00169</t>
        </is>
      </c>
      <c r="K1300" t="str">
        <f>INDEX('Match Groups'!$D$5:$D$1326,MATCH(J1300,'Match Groups'!$A$5:$A$1326,0))</f>
        <v>MATCH</v>
      </c>
    </row>
    <row r="1301">
      <c r="A1301" t="inlineStr">
        <is>
          <t>JI-00415</t>
        </is>
      </c>
      <c r="B1301" t="inlineStr">
        <is>
          <t>OPS</t>
        </is>
      </c>
      <c r="C1301" s="5" t="n">
        <v>46223</v>
      </c>
      <c r="D1301" t="inlineStr">
        <is>
          <t>Banksia Plan Co</t>
        </is>
      </c>
      <c r="E1301" t="inlineStr">
        <is>
          <t>INV/2026/02137</t>
        </is>
      </c>
      <c r="F1301" t="inlineStr">
        <is>
          <t>Customer payment INV/2026/02137</t>
        </is>
      </c>
      <c r="G1301" s="9" t="n">
        <v>96.98999999999999</v>
      </c>
      <c r="H1301" t="inlineStr">
        <is>
          <t>customer_payment</t>
        </is>
      </c>
      <c r="I1301" t="inlineStr"/>
      <c r="J1301" t="inlineStr">
        <is>
          <t>G00169</t>
        </is>
      </c>
      <c r="K1301" t="str">
        <f>INDEX('Match Groups'!$D$5:$D$1326,MATCH(J1301,'Match Groups'!$A$5:$A$1326,0))</f>
        <v>MATCH</v>
      </c>
    </row>
    <row r="1302">
      <c r="A1302" t="inlineStr">
        <is>
          <t>JI-00416</t>
        </is>
      </c>
      <c r="B1302" t="inlineStr">
        <is>
          <t>OPS</t>
        </is>
      </c>
      <c r="C1302" s="5" t="n">
        <v>46223</v>
      </c>
      <c r="D1302" t="inlineStr">
        <is>
          <t>Banksia Plan Co</t>
        </is>
      </c>
      <c r="E1302" t="inlineStr">
        <is>
          <t>INV/2026/02209</t>
        </is>
      </c>
      <c r="F1302" t="inlineStr">
        <is>
          <t>Customer payment INV/2026/02209</t>
        </is>
      </c>
      <c r="G1302" s="9" t="n">
        <v>320.98</v>
      </c>
      <c r="H1302" t="inlineStr">
        <is>
          <t>customer_payment</t>
        </is>
      </c>
      <c r="I1302" t="inlineStr"/>
      <c r="J1302" t="inlineStr">
        <is>
          <t>G00169</t>
        </is>
      </c>
      <c r="K1302" t="str">
        <f>INDEX('Match Groups'!$D$5:$D$1326,MATCH(J1302,'Match Groups'!$A$5:$A$1326,0))</f>
        <v>MATCH</v>
      </c>
    </row>
    <row r="1303">
      <c r="A1303" t="inlineStr">
        <is>
          <t>JI-00417</t>
        </is>
      </c>
      <c r="B1303" t="inlineStr">
        <is>
          <t>OPS</t>
        </is>
      </c>
      <c r="C1303" s="5" t="n">
        <v>46223</v>
      </c>
      <c r="D1303" t="inlineStr">
        <is>
          <t>Kookaburra Plan Support</t>
        </is>
      </c>
      <c r="E1303" t="inlineStr">
        <is>
          <t>INV/2026/01758</t>
        </is>
      </c>
      <c r="F1303" t="inlineStr">
        <is>
          <t>Customer payment INV/2026/01758</t>
        </is>
      </c>
      <c r="G1303" s="9" t="n">
        <v>193.99</v>
      </c>
      <c r="H1303" t="inlineStr">
        <is>
          <t>customer_payment</t>
        </is>
      </c>
      <c r="I1303" t="inlineStr"/>
      <c r="J1303" t="inlineStr">
        <is>
          <t>G00170</t>
        </is>
      </c>
      <c r="K1303" t="str">
        <f>INDEX('Match Groups'!$D$5:$D$1326,MATCH(J1303,'Match Groups'!$A$5:$A$1326,0))</f>
        <v>MATCH</v>
      </c>
    </row>
    <row r="1304">
      <c r="A1304" t="inlineStr">
        <is>
          <t>JI-00418</t>
        </is>
      </c>
      <c r="B1304" t="inlineStr">
        <is>
          <t>OPS</t>
        </is>
      </c>
      <c r="C1304" s="5" t="n">
        <v>46223</v>
      </c>
      <c r="D1304" t="inlineStr">
        <is>
          <t>Kookaburra Plan Support</t>
        </is>
      </c>
      <c r="E1304" t="inlineStr">
        <is>
          <t>INV/2026/01759</t>
        </is>
      </c>
      <c r="F1304" t="inlineStr">
        <is>
          <t>Customer payment INV/2026/01759</t>
        </is>
      </c>
      <c r="G1304" s="9" t="n">
        <v>155.19</v>
      </c>
      <c r="H1304" t="inlineStr">
        <is>
          <t>customer_payment</t>
        </is>
      </c>
      <c r="I1304" t="inlineStr"/>
      <c r="J1304" t="inlineStr">
        <is>
          <t>G00170</t>
        </is>
      </c>
      <c r="K1304" t="str">
        <f>INDEX('Match Groups'!$D$5:$D$1326,MATCH(J1304,'Match Groups'!$A$5:$A$1326,0))</f>
        <v>MATCH</v>
      </c>
    </row>
    <row r="1305">
      <c r="A1305" t="inlineStr">
        <is>
          <t>JI-00419</t>
        </is>
      </c>
      <c r="B1305" t="inlineStr">
        <is>
          <t>OPS</t>
        </is>
      </c>
      <c r="C1305" s="5" t="n">
        <v>46223</v>
      </c>
      <c r="D1305" t="inlineStr">
        <is>
          <t>Kookaburra Plan Support</t>
        </is>
      </c>
      <c r="E1305" t="inlineStr">
        <is>
          <t>INV/2026/01760</t>
        </is>
      </c>
      <c r="F1305" t="inlineStr">
        <is>
          <t>Customer payment INV/2026/01760</t>
        </is>
      </c>
      <c r="G1305" s="9" t="n">
        <v>290.98</v>
      </c>
      <c r="H1305" t="inlineStr">
        <is>
          <t>customer_payment</t>
        </is>
      </c>
      <c r="I1305" t="inlineStr"/>
      <c r="J1305" t="inlineStr">
        <is>
          <t>G00170</t>
        </is>
      </c>
      <c r="K1305" t="str">
        <f>INDEX('Match Groups'!$D$5:$D$1326,MATCH(J1305,'Match Groups'!$A$5:$A$1326,0))</f>
        <v>MATCH</v>
      </c>
    </row>
    <row r="1306">
      <c r="A1306" t="inlineStr">
        <is>
          <t>JI-00420</t>
        </is>
      </c>
      <c r="B1306" t="inlineStr">
        <is>
          <t>OPS</t>
        </is>
      </c>
      <c r="C1306" s="5" t="n">
        <v>46223</v>
      </c>
      <c r="D1306" t="inlineStr">
        <is>
          <t>Kookaburra Plan Support</t>
        </is>
      </c>
      <c r="E1306" t="inlineStr">
        <is>
          <t>INV/2026/01782</t>
        </is>
      </c>
      <c r="F1306" t="inlineStr">
        <is>
          <t>Customer payment INV/2026/01782</t>
        </is>
      </c>
      <c r="G1306" s="9" t="n">
        <v>252.19</v>
      </c>
      <c r="H1306" t="inlineStr">
        <is>
          <t>customer_payment</t>
        </is>
      </c>
      <c r="I1306" t="inlineStr"/>
      <c r="J1306" t="inlineStr">
        <is>
          <t>G00170</t>
        </is>
      </c>
      <c r="K1306" t="str">
        <f>INDEX('Match Groups'!$D$5:$D$1326,MATCH(J1306,'Match Groups'!$A$5:$A$1326,0))</f>
        <v>MATCH</v>
      </c>
    </row>
    <row r="1307">
      <c r="A1307" t="inlineStr">
        <is>
          <t>JI-00421</t>
        </is>
      </c>
      <c r="B1307" t="inlineStr">
        <is>
          <t>OPS</t>
        </is>
      </c>
      <c r="C1307" s="5" t="n">
        <v>46223</v>
      </c>
      <c r="D1307" t="inlineStr">
        <is>
          <t>Kookaburra Plan Support</t>
        </is>
      </c>
      <c r="E1307" t="inlineStr">
        <is>
          <t>INV/2026/01783</t>
        </is>
      </c>
      <c r="F1307" t="inlineStr">
        <is>
          <t>Customer payment INV/2026/01783</t>
        </is>
      </c>
      <c r="G1307" s="9" t="n">
        <v>290.98</v>
      </c>
      <c r="H1307" t="inlineStr">
        <is>
          <t>customer_payment</t>
        </is>
      </c>
      <c r="I1307" t="inlineStr"/>
      <c r="J1307" t="inlineStr">
        <is>
          <t>G00170</t>
        </is>
      </c>
      <c r="K1307" t="str">
        <f>INDEX('Match Groups'!$D$5:$D$1326,MATCH(J1307,'Match Groups'!$A$5:$A$1326,0))</f>
        <v>MATCH</v>
      </c>
    </row>
    <row r="1308">
      <c r="A1308" t="inlineStr">
        <is>
          <t>JI-00422</t>
        </is>
      </c>
      <c r="B1308" t="inlineStr">
        <is>
          <t>OPS</t>
        </is>
      </c>
      <c r="C1308" s="5" t="n">
        <v>46223</v>
      </c>
      <c r="D1308" t="inlineStr">
        <is>
          <t>Kookaburra Plan Support</t>
        </is>
      </c>
      <c r="E1308" t="inlineStr">
        <is>
          <t>INV/2026/01784</t>
        </is>
      </c>
      <c r="F1308" t="inlineStr">
        <is>
          <t>Customer payment INV/2026/01784</t>
        </is>
      </c>
      <c r="G1308" s="9" t="n">
        <v>193.99</v>
      </c>
      <c r="H1308" t="inlineStr">
        <is>
          <t>customer_payment</t>
        </is>
      </c>
      <c r="I1308" t="inlineStr"/>
      <c r="J1308" t="inlineStr">
        <is>
          <t>G00170</t>
        </is>
      </c>
      <c r="K1308" t="str">
        <f>INDEX('Match Groups'!$D$5:$D$1326,MATCH(J1308,'Match Groups'!$A$5:$A$1326,0))</f>
        <v>MATCH</v>
      </c>
    </row>
    <row r="1309">
      <c r="A1309" t="inlineStr">
        <is>
          <t>JI-00423</t>
        </is>
      </c>
      <c r="B1309" t="inlineStr">
        <is>
          <t>OPS</t>
        </is>
      </c>
      <c r="C1309" s="5" t="n">
        <v>46223</v>
      </c>
      <c r="D1309" t="inlineStr">
        <is>
          <t>Kookaburra Plan Support</t>
        </is>
      </c>
      <c r="E1309" t="inlineStr">
        <is>
          <t>INV/2026/01807</t>
        </is>
      </c>
      <c r="F1309" t="inlineStr">
        <is>
          <t>Customer payment INV/2026/01807</t>
        </is>
      </c>
      <c r="G1309" s="9" t="n">
        <v>387.98</v>
      </c>
      <c r="H1309" t="inlineStr">
        <is>
          <t>customer_payment</t>
        </is>
      </c>
      <c r="I1309" t="inlineStr"/>
      <c r="J1309" t="inlineStr">
        <is>
          <t>G00170</t>
        </is>
      </c>
      <c r="K1309" t="str">
        <f>INDEX('Match Groups'!$D$5:$D$1326,MATCH(J1309,'Match Groups'!$A$5:$A$1326,0))</f>
        <v>MATCH</v>
      </c>
    </row>
    <row r="1310">
      <c r="A1310" t="inlineStr">
        <is>
          <t>JI-00424</t>
        </is>
      </c>
      <c r="B1310" t="inlineStr">
        <is>
          <t>OPS</t>
        </is>
      </c>
      <c r="C1310" s="5" t="n">
        <v>46223</v>
      </c>
      <c r="D1310" t="inlineStr">
        <is>
          <t>Kookaburra Plan Support</t>
        </is>
      </c>
      <c r="E1310" t="inlineStr">
        <is>
          <t>INV/2026/01828</t>
        </is>
      </c>
      <c r="F1310" t="inlineStr">
        <is>
          <t>Customer payment INV/2026/01828</t>
        </is>
      </c>
      <c r="G1310" s="9" t="n">
        <v>145.49</v>
      </c>
      <c r="H1310" t="inlineStr">
        <is>
          <t>customer_payment</t>
        </is>
      </c>
      <c r="I1310" t="inlineStr"/>
      <c r="J1310" t="inlineStr">
        <is>
          <t>G00170</t>
        </is>
      </c>
      <c r="K1310" t="str">
        <f>INDEX('Match Groups'!$D$5:$D$1326,MATCH(J1310,'Match Groups'!$A$5:$A$1326,0))</f>
        <v>MATCH</v>
      </c>
    </row>
    <row r="1311">
      <c r="A1311" t="inlineStr">
        <is>
          <t>JI-00425</t>
        </is>
      </c>
      <c r="B1311" t="inlineStr">
        <is>
          <t>OPS</t>
        </is>
      </c>
      <c r="C1311" s="5" t="n">
        <v>46223</v>
      </c>
      <c r="D1311" t="inlineStr">
        <is>
          <t>Kookaburra Plan Support</t>
        </is>
      </c>
      <c r="E1311" t="inlineStr">
        <is>
          <t>INV/2026/01854</t>
        </is>
      </c>
      <c r="F1311" t="inlineStr">
        <is>
          <t>Customer payment INV/2026/01854</t>
        </is>
      </c>
      <c r="G1311" s="9" t="n">
        <v>203.69</v>
      </c>
      <c r="H1311" t="inlineStr">
        <is>
          <t>customer_payment</t>
        </is>
      </c>
      <c r="I1311" t="inlineStr"/>
      <c r="J1311" t="inlineStr">
        <is>
          <t>G00170</t>
        </is>
      </c>
      <c r="K1311" t="str">
        <f>INDEX('Match Groups'!$D$5:$D$1326,MATCH(J1311,'Match Groups'!$A$5:$A$1326,0))</f>
        <v>MATCH</v>
      </c>
    </row>
    <row r="1312">
      <c r="A1312" t="inlineStr">
        <is>
          <t>JI-00426</t>
        </is>
      </c>
      <c r="B1312" t="inlineStr">
        <is>
          <t>OPS</t>
        </is>
      </c>
      <c r="C1312" s="5" t="n">
        <v>46223</v>
      </c>
      <c r="D1312" t="inlineStr">
        <is>
          <t>Kookaburra Plan Support</t>
        </is>
      </c>
      <c r="E1312" t="inlineStr">
        <is>
          <t>INV/2026/01855</t>
        </is>
      </c>
      <c r="F1312" t="inlineStr">
        <is>
          <t>Customer payment INV/2026/01855</t>
        </is>
      </c>
      <c r="G1312" s="9" t="n">
        <v>193.99</v>
      </c>
      <c r="H1312" t="inlineStr">
        <is>
          <t>customer_payment</t>
        </is>
      </c>
      <c r="I1312" t="inlineStr"/>
      <c r="J1312" t="inlineStr">
        <is>
          <t>G00170</t>
        </is>
      </c>
      <c r="K1312" t="str">
        <f>INDEX('Match Groups'!$D$5:$D$1326,MATCH(J1312,'Match Groups'!$A$5:$A$1326,0))</f>
        <v>MATCH</v>
      </c>
    </row>
    <row r="1313">
      <c r="A1313" t="inlineStr">
        <is>
          <t>JI-00427</t>
        </is>
      </c>
      <c r="B1313" t="inlineStr">
        <is>
          <t>OPS</t>
        </is>
      </c>
      <c r="C1313" s="5" t="n">
        <v>46223</v>
      </c>
      <c r="D1313" t="inlineStr">
        <is>
          <t>Kookaburra Plan Support</t>
        </is>
      </c>
      <c r="E1313" t="inlineStr">
        <is>
          <t>INV/2026/01882</t>
        </is>
      </c>
      <c r="F1313" t="inlineStr">
        <is>
          <t>Customer payment INV/2026/01882</t>
        </is>
      </c>
      <c r="G1313" s="9" t="n">
        <v>155.19</v>
      </c>
      <c r="H1313" t="inlineStr">
        <is>
          <t>customer_payment</t>
        </is>
      </c>
      <c r="I1313" t="inlineStr"/>
      <c r="J1313" t="inlineStr">
        <is>
          <t>G00170</t>
        </is>
      </c>
      <c r="K1313" t="str">
        <f>INDEX('Match Groups'!$D$5:$D$1326,MATCH(J1313,'Match Groups'!$A$5:$A$1326,0))</f>
        <v>MATCH</v>
      </c>
    </row>
    <row r="1314">
      <c r="A1314" t="inlineStr">
        <is>
          <t>JI-00428</t>
        </is>
      </c>
      <c r="B1314" t="inlineStr">
        <is>
          <t>OPS</t>
        </is>
      </c>
      <c r="C1314" s="5" t="n">
        <v>46223</v>
      </c>
      <c r="D1314" t="inlineStr">
        <is>
          <t>Kookaburra Plan Support</t>
        </is>
      </c>
      <c r="E1314" t="inlineStr">
        <is>
          <t>INV/2026/01883</t>
        </is>
      </c>
      <c r="F1314" t="inlineStr">
        <is>
          <t>Customer payment INV/2026/01883</t>
        </is>
      </c>
      <c r="G1314" s="9" t="n">
        <v>387.98</v>
      </c>
      <c r="H1314" t="inlineStr">
        <is>
          <t>customer_payment</t>
        </is>
      </c>
      <c r="I1314" t="inlineStr"/>
      <c r="J1314" t="inlineStr">
        <is>
          <t>G00170</t>
        </is>
      </c>
      <c r="K1314" t="str">
        <f>INDEX('Match Groups'!$D$5:$D$1326,MATCH(J1314,'Match Groups'!$A$5:$A$1326,0))</f>
        <v>MATCH</v>
      </c>
    </row>
    <row r="1315">
      <c r="A1315" t="inlineStr">
        <is>
          <t>JI-00429</t>
        </is>
      </c>
      <c r="B1315" t="inlineStr">
        <is>
          <t>OPS</t>
        </is>
      </c>
      <c r="C1315" s="5" t="n">
        <v>46223</v>
      </c>
      <c r="D1315" t="inlineStr">
        <is>
          <t>Redgum Plan Admin</t>
        </is>
      </c>
      <c r="E1315" t="inlineStr">
        <is>
          <t>INV/2026/02123</t>
        </is>
      </c>
      <c r="F1315" t="inlineStr">
        <is>
          <t>Customer payment INV/2026/02123</t>
        </is>
      </c>
      <c r="G1315" s="9" t="n">
        <v>272.49</v>
      </c>
      <c r="H1315" t="inlineStr">
        <is>
          <t>customer_payment</t>
        </is>
      </c>
      <c r="I1315" t="inlineStr"/>
      <c r="J1315" t="inlineStr">
        <is>
          <t>G00171</t>
        </is>
      </c>
      <c r="K1315" t="str">
        <f>INDEX('Match Groups'!$D$5:$D$1326,MATCH(J1315,'Match Groups'!$A$5:$A$1326,0))</f>
        <v>MATCH</v>
      </c>
    </row>
    <row r="1316">
      <c r="A1316" t="inlineStr">
        <is>
          <t>JI-00430</t>
        </is>
      </c>
      <c r="B1316" t="inlineStr">
        <is>
          <t>OPS</t>
        </is>
      </c>
      <c r="C1316" s="5" t="n">
        <v>46223</v>
      </c>
      <c r="D1316" t="inlineStr">
        <is>
          <t>Redgum Plan Admin</t>
        </is>
      </c>
      <c r="E1316" t="inlineStr">
        <is>
          <t>INV/2026/02142</t>
        </is>
      </c>
      <c r="F1316" t="inlineStr">
        <is>
          <t>Customer payment INV/2026/02142</t>
        </is>
      </c>
      <c r="G1316" s="9" t="n">
        <v>96.98999999999999</v>
      </c>
      <c r="H1316" t="inlineStr">
        <is>
          <t>customer_payment</t>
        </is>
      </c>
      <c r="I1316" t="inlineStr"/>
      <c r="J1316" t="inlineStr">
        <is>
          <t>G00171</t>
        </is>
      </c>
      <c r="K1316" t="str">
        <f>INDEX('Match Groups'!$D$5:$D$1326,MATCH(J1316,'Match Groups'!$A$5:$A$1326,0))</f>
        <v>MATCH</v>
      </c>
    </row>
    <row r="1317">
      <c r="A1317" t="inlineStr">
        <is>
          <t>JI-00431</t>
        </is>
      </c>
      <c r="B1317" t="inlineStr">
        <is>
          <t>OPS</t>
        </is>
      </c>
      <c r="C1317" s="5" t="n">
        <v>46223</v>
      </c>
      <c r="D1317" t="inlineStr">
        <is>
          <t>Redgum Plan Admin</t>
        </is>
      </c>
      <c r="E1317" t="inlineStr">
        <is>
          <t>INV/2026/02143</t>
        </is>
      </c>
      <c r="F1317" t="inlineStr">
        <is>
          <t>Customer payment INV/2026/02143</t>
        </is>
      </c>
      <c r="G1317" s="9" t="n">
        <v>155.19</v>
      </c>
      <c r="H1317" t="inlineStr">
        <is>
          <t>customer_payment</t>
        </is>
      </c>
      <c r="I1317" t="inlineStr"/>
      <c r="J1317" t="inlineStr">
        <is>
          <t>G00171</t>
        </is>
      </c>
      <c r="K1317" t="str">
        <f>INDEX('Match Groups'!$D$5:$D$1326,MATCH(J1317,'Match Groups'!$A$5:$A$1326,0))</f>
        <v>MATCH</v>
      </c>
    </row>
    <row r="1318">
      <c r="A1318" t="inlineStr">
        <is>
          <t>JI-00432</t>
        </is>
      </c>
      <c r="B1318" t="inlineStr">
        <is>
          <t>OPS</t>
        </is>
      </c>
      <c r="C1318" s="5" t="n">
        <v>46223</v>
      </c>
      <c r="D1318" t="inlineStr">
        <is>
          <t>Redgum Plan Admin</t>
        </is>
      </c>
      <c r="E1318" t="inlineStr">
        <is>
          <t>INV/2026/02169</t>
        </is>
      </c>
      <c r="F1318" t="inlineStr">
        <is>
          <t>Customer payment INV/2026/02169</t>
        </is>
      </c>
      <c r="G1318" s="9" t="n">
        <v>96.98999999999999</v>
      </c>
      <c r="H1318" t="inlineStr">
        <is>
          <t>customer_payment</t>
        </is>
      </c>
      <c r="I1318" t="inlineStr"/>
      <c r="J1318" t="inlineStr">
        <is>
          <t>G00171</t>
        </is>
      </c>
      <c r="K1318" t="str">
        <f>INDEX('Match Groups'!$D$5:$D$1326,MATCH(J1318,'Match Groups'!$A$5:$A$1326,0))</f>
        <v>MATCH</v>
      </c>
    </row>
    <row r="1319">
      <c r="A1319" t="inlineStr">
        <is>
          <t>JI-00433</t>
        </is>
      </c>
      <c r="B1319" t="inlineStr">
        <is>
          <t>OPS</t>
        </is>
      </c>
      <c r="C1319" s="5" t="n">
        <v>46223</v>
      </c>
      <c r="D1319" t="inlineStr">
        <is>
          <t>Redgum Plan Admin</t>
        </is>
      </c>
      <c r="E1319" t="inlineStr">
        <is>
          <t>INV/2026/02217</t>
        </is>
      </c>
      <c r="F1319" t="inlineStr">
        <is>
          <t>Customer payment INV/2026/02217</t>
        </is>
      </c>
      <c r="G1319" s="9" t="n">
        <v>417.98</v>
      </c>
      <c r="H1319" t="inlineStr">
        <is>
          <t>customer_payment</t>
        </is>
      </c>
      <c r="I1319" t="inlineStr"/>
      <c r="J1319" t="inlineStr">
        <is>
          <t>G00171</t>
        </is>
      </c>
      <c r="K1319" t="str">
        <f>INDEX('Match Groups'!$D$5:$D$1326,MATCH(J1319,'Match Groups'!$A$5:$A$1326,0))</f>
        <v>MATCH</v>
      </c>
    </row>
    <row r="1320">
      <c r="A1320" t="inlineStr">
        <is>
          <t>JI-00434</t>
        </is>
      </c>
      <c r="B1320" t="inlineStr">
        <is>
          <t>OPS</t>
        </is>
      </c>
      <c r="C1320" s="5" t="n">
        <v>46223</v>
      </c>
      <c r="D1320" t="inlineStr">
        <is>
          <t>Lyrebird Plan Management</t>
        </is>
      </c>
      <c r="E1320" t="inlineStr">
        <is>
          <t>INV/2026/01961</t>
        </is>
      </c>
      <c r="F1320" t="inlineStr">
        <is>
          <t>Customer payment INV/2026/01961</t>
        </is>
      </c>
      <c r="G1320" s="9" t="n">
        <v>193.99</v>
      </c>
      <c r="H1320" t="inlineStr">
        <is>
          <t>customer_payment</t>
        </is>
      </c>
      <c r="I1320" t="inlineStr"/>
      <c r="J1320" t="inlineStr">
        <is>
          <t>G00172</t>
        </is>
      </c>
      <c r="K1320" t="str">
        <f>INDEX('Match Groups'!$D$5:$D$1326,MATCH(J1320,'Match Groups'!$A$5:$A$1326,0))</f>
        <v>MATCH</v>
      </c>
    </row>
    <row r="1321">
      <c r="A1321" t="inlineStr">
        <is>
          <t>JI-00435</t>
        </is>
      </c>
      <c r="B1321" t="inlineStr">
        <is>
          <t>OPS</t>
        </is>
      </c>
      <c r="C1321" s="5" t="n">
        <v>46223</v>
      </c>
      <c r="D1321" t="inlineStr">
        <is>
          <t>Lyrebird Plan Management</t>
        </is>
      </c>
      <c r="E1321" t="inlineStr">
        <is>
          <t>INV/2026/02010</t>
        </is>
      </c>
      <c r="F1321" t="inlineStr">
        <is>
          <t>Customer payment INV/2026/02010</t>
        </is>
      </c>
      <c r="G1321" s="9" t="n">
        <v>446.18</v>
      </c>
      <c r="H1321" t="inlineStr">
        <is>
          <t>customer_payment</t>
        </is>
      </c>
      <c r="I1321" t="inlineStr"/>
      <c r="J1321" t="inlineStr">
        <is>
          <t>G00172</t>
        </is>
      </c>
      <c r="K1321" t="str">
        <f>INDEX('Match Groups'!$D$5:$D$1326,MATCH(J1321,'Match Groups'!$A$5:$A$1326,0))</f>
        <v>MATCH</v>
      </c>
    </row>
    <row r="1322">
      <c r="A1322" t="inlineStr">
        <is>
          <t>JI-00436</t>
        </is>
      </c>
      <c r="B1322" t="inlineStr">
        <is>
          <t>OPS</t>
        </is>
      </c>
      <c r="C1322" s="5" t="n">
        <v>46223</v>
      </c>
      <c r="D1322" t="inlineStr">
        <is>
          <t>Lyrebird Plan Management</t>
        </is>
      </c>
      <c r="E1322" t="inlineStr">
        <is>
          <t>INV/2026/02011</t>
        </is>
      </c>
      <c r="F1322" t="inlineStr">
        <is>
          <t>Customer payment INV/2026/02011</t>
        </is>
      </c>
      <c r="G1322" s="9" t="n">
        <v>145.49</v>
      </c>
      <c r="H1322" t="inlineStr">
        <is>
          <t>customer_payment</t>
        </is>
      </c>
      <c r="I1322" t="inlineStr"/>
      <c r="J1322" t="inlineStr">
        <is>
          <t>G00172</t>
        </is>
      </c>
      <c r="K1322" t="str">
        <f>INDEX('Match Groups'!$D$5:$D$1326,MATCH(J1322,'Match Groups'!$A$5:$A$1326,0))</f>
        <v>MATCH</v>
      </c>
    </row>
    <row r="1323">
      <c r="A1323" t="inlineStr">
        <is>
          <t>JI-00437</t>
        </is>
      </c>
      <c r="B1323" t="inlineStr">
        <is>
          <t>OPS</t>
        </is>
      </c>
      <c r="C1323" s="5" t="n">
        <v>46223</v>
      </c>
      <c r="D1323" t="inlineStr">
        <is>
          <t>Tallowwood Plans</t>
        </is>
      </c>
      <c r="E1323" t="inlineStr">
        <is>
          <t>INV/2026/02126</t>
        </is>
      </c>
      <c r="F1323" t="inlineStr">
        <is>
          <t>Customer payment INV/2026/02126</t>
        </is>
      </c>
      <c r="G1323" s="9" t="n">
        <v>272.49</v>
      </c>
      <c r="H1323" t="inlineStr">
        <is>
          <t>customer_payment</t>
        </is>
      </c>
      <c r="I1323" t="inlineStr"/>
      <c r="J1323" t="inlineStr">
        <is>
          <t>G00173</t>
        </is>
      </c>
      <c r="K1323" t="str">
        <f>INDEX('Match Groups'!$D$5:$D$1326,MATCH(J1323,'Match Groups'!$A$5:$A$1326,0))</f>
        <v>MATCH</v>
      </c>
    </row>
    <row r="1324">
      <c r="A1324" t="inlineStr">
        <is>
          <t>JI-00438</t>
        </is>
      </c>
      <c r="B1324" t="inlineStr">
        <is>
          <t>OPS</t>
        </is>
      </c>
      <c r="C1324" s="5" t="n">
        <v>46223</v>
      </c>
      <c r="D1324" t="inlineStr">
        <is>
          <t>Tallowwood Plans</t>
        </is>
      </c>
      <c r="E1324" t="inlineStr">
        <is>
          <t>INV/2026/02148</t>
        </is>
      </c>
      <c r="F1324" t="inlineStr">
        <is>
          <t>Customer payment INV/2026/02148</t>
        </is>
      </c>
      <c r="G1324" s="9" t="n">
        <v>145.49</v>
      </c>
      <c r="H1324" t="inlineStr">
        <is>
          <t>customer_payment</t>
        </is>
      </c>
      <c r="I1324" t="inlineStr"/>
      <c r="J1324" t="inlineStr">
        <is>
          <t>G00173</t>
        </is>
      </c>
      <c r="K1324" t="str">
        <f>INDEX('Match Groups'!$D$5:$D$1326,MATCH(J1324,'Match Groups'!$A$5:$A$1326,0))</f>
        <v>MATCH</v>
      </c>
    </row>
    <row r="1325">
      <c r="A1325" t="inlineStr">
        <is>
          <t>JI-00439</t>
        </is>
      </c>
      <c r="B1325" t="inlineStr">
        <is>
          <t>OPS</t>
        </is>
      </c>
      <c r="C1325" s="5" t="n">
        <v>46223</v>
      </c>
      <c r="D1325" t="inlineStr">
        <is>
          <t>Tallowwood Plans</t>
        </is>
      </c>
      <c r="E1325" t="inlineStr">
        <is>
          <t>INV/2026/02175</t>
        </is>
      </c>
      <c r="F1325" t="inlineStr">
        <is>
          <t>Customer payment INV/2026/02175</t>
        </is>
      </c>
      <c r="G1325" s="9" t="n">
        <v>290.98</v>
      </c>
      <c r="H1325" t="inlineStr">
        <is>
          <t>customer_payment</t>
        </is>
      </c>
      <c r="I1325" t="inlineStr"/>
      <c r="J1325" t="inlineStr">
        <is>
          <t>G00173</t>
        </is>
      </c>
      <c r="K1325" t="str">
        <f>INDEX('Match Groups'!$D$5:$D$1326,MATCH(J1325,'Match Groups'!$A$5:$A$1326,0))</f>
        <v>MATCH</v>
      </c>
    </row>
    <row r="1326">
      <c r="A1326" t="inlineStr">
        <is>
          <t>JI-01575</t>
        </is>
      </c>
      <c r="B1326" t="inlineStr">
        <is>
          <t>OPS</t>
        </is>
      </c>
      <c r="C1326" s="5" t="n">
        <v>46223</v>
      </c>
      <c r="D1326" t="inlineStr">
        <is>
          <t>Unity Workcover Agents</t>
        </is>
      </c>
      <c r="E1326" t="inlineStr">
        <is>
          <t>INV/2026/02035</t>
        </is>
      </c>
      <c r="F1326" t="inlineStr">
        <is>
          <t>Customer payment INV/2026/02035</t>
        </is>
      </c>
      <c r="G1326" s="9" t="n">
        <v>990</v>
      </c>
      <c r="H1326" t="inlineStr">
        <is>
          <t>customer_payment</t>
        </is>
      </c>
      <c r="I1326" t="inlineStr"/>
      <c r="J1326" t="inlineStr">
        <is>
          <t>G00952</t>
        </is>
      </c>
      <c r="K1326" t="str">
        <f>INDEX('Match Groups'!$D$5:$D$1326,MATCH(J1326,'Match Groups'!$A$5:$A$1326,0))</f>
        <v>MATCH</v>
      </c>
    </row>
    <row r="1327">
      <c r="A1327" t="inlineStr">
        <is>
          <t>JI-02199</t>
        </is>
      </c>
      <c r="B1327" t="inlineStr">
        <is>
          <t>OPS</t>
        </is>
      </c>
      <c r="C1327" s="5" t="n">
        <v>46223</v>
      </c>
      <c r="D1327" t="inlineStr">
        <is>
          <t>Stripe patient 74661</t>
        </is>
      </c>
      <c r="E1327" t="inlineStr">
        <is>
          <t>INV/2026/04046</t>
        </is>
      </c>
      <c r="F1327" t="inlineStr">
        <is>
          <t>Customer payment INV/2026/04046</t>
        </is>
      </c>
      <c r="G1327" s="9" t="n">
        <v>65</v>
      </c>
      <c r="H1327" t="inlineStr">
        <is>
          <t>customer_payment</t>
        </is>
      </c>
      <c r="I1327" t="inlineStr"/>
      <c r="J1327" t="inlineStr">
        <is>
          <t>G00029</t>
        </is>
      </c>
      <c r="K1327" t="str">
        <f>INDEX('Match Groups'!$D$5:$D$1326,MATCH(J1327,'Match Groups'!$A$5:$A$1326,0))</f>
        <v>STRIPE-FEE</v>
      </c>
    </row>
    <row r="1328">
      <c r="A1328" t="inlineStr">
        <is>
          <t>JI-02200</t>
        </is>
      </c>
      <c r="B1328" t="inlineStr">
        <is>
          <t>OPS</t>
        </is>
      </c>
      <c r="C1328" s="5" t="n">
        <v>46223</v>
      </c>
      <c r="D1328" t="inlineStr">
        <is>
          <t>Stripe patient 73174</t>
        </is>
      </c>
      <c r="E1328" t="inlineStr">
        <is>
          <t>INV/2026/04047</t>
        </is>
      </c>
      <c r="F1328" t="inlineStr">
        <is>
          <t>Customer payment INV/2026/04047</t>
        </is>
      </c>
      <c r="G1328" s="9" t="n">
        <v>180</v>
      </c>
      <c r="H1328" t="inlineStr">
        <is>
          <t>customer_payment</t>
        </is>
      </c>
      <c r="I1328" t="inlineStr"/>
      <c r="J1328" t="inlineStr">
        <is>
          <t>G00029</t>
        </is>
      </c>
      <c r="K1328" t="str">
        <f>INDEX('Match Groups'!$D$5:$D$1326,MATCH(J1328,'Match Groups'!$A$5:$A$1326,0))</f>
        <v>STRIPE-FEE</v>
      </c>
    </row>
    <row r="1329">
      <c r="A1329" t="inlineStr">
        <is>
          <t>JI-02201</t>
        </is>
      </c>
      <c r="B1329" t="inlineStr">
        <is>
          <t>OPS</t>
        </is>
      </c>
      <c r="C1329" s="5" t="n">
        <v>46223</v>
      </c>
      <c r="D1329" t="inlineStr">
        <is>
          <t>Stripe patient 59145</t>
        </is>
      </c>
      <c r="E1329" t="inlineStr">
        <is>
          <t>INV/2026/04048</t>
        </is>
      </c>
      <c r="F1329" t="inlineStr">
        <is>
          <t>Customer payment INV/2026/04048</t>
        </is>
      </c>
      <c r="G1329" s="9" t="n">
        <v>95</v>
      </c>
      <c r="H1329" t="inlineStr">
        <is>
          <t>customer_payment</t>
        </is>
      </c>
      <c r="I1329" t="inlineStr"/>
      <c r="J1329" t="inlineStr">
        <is>
          <t>G00029</t>
        </is>
      </c>
      <c r="K1329" t="str">
        <f>INDEX('Match Groups'!$D$5:$D$1326,MATCH(J1329,'Match Groups'!$A$5:$A$1326,0))</f>
        <v>STRIPE-FEE</v>
      </c>
    </row>
    <row r="1330">
      <c r="A1330" t="inlineStr">
        <is>
          <t>JI-02202</t>
        </is>
      </c>
      <c r="B1330" t="inlineStr">
        <is>
          <t>OPS</t>
        </is>
      </c>
      <c r="C1330" s="5" t="n">
        <v>46223</v>
      </c>
      <c r="D1330" t="inlineStr">
        <is>
          <t>Stripe patient 17875</t>
        </is>
      </c>
      <c r="E1330" t="inlineStr">
        <is>
          <t>INV/2026/04049</t>
        </is>
      </c>
      <c r="F1330" t="inlineStr">
        <is>
          <t>Customer payment INV/2026/04049</t>
        </is>
      </c>
      <c r="G1330" s="9" t="n">
        <v>110</v>
      </c>
      <c r="H1330" t="inlineStr">
        <is>
          <t>customer_payment</t>
        </is>
      </c>
      <c r="I1330" t="inlineStr"/>
      <c r="J1330" t="inlineStr">
        <is>
          <t>G00029</t>
        </is>
      </c>
      <c r="K1330" t="str">
        <f>INDEX('Match Groups'!$D$5:$D$1326,MATCH(J1330,'Match Groups'!$A$5:$A$1326,0))</f>
        <v>STRIPE-FEE</v>
      </c>
    </row>
    <row r="1331">
      <c r="A1331" t="inlineStr">
        <is>
          <t>JI-02203</t>
        </is>
      </c>
      <c r="B1331" t="inlineStr">
        <is>
          <t>OPS</t>
        </is>
      </c>
      <c r="C1331" s="5" t="n">
        <v>46223</v>
      </c>
      <c r="D1331" t="inlineStr">
        <is>
          <t>Stripe patient 64644</t>
        </is>
      </c>
      <c r="E1331" t="inlineStr">
        <is>
          <t>INV/2026/04050</t>
        </is>
      </c>
      <c r="F1331" t="inlineStr">
        <is>
          <t>Customer payment INV/2026/04050</t>
        </is>
      </c>
      <c r="G1331" s="9" t="n">
        <v>95</v>
      </c>
      <c r="H1331" t="inlineStr">
        <is>
          <t>customer_payment</t>
        </is>
      </c>
      <c r="I1331" t="inlineStr"/>
      <c r="J1331" t="inlineStr">
        <is>
          <t>G00029</t>
        </is>
      </c>
      <c r="K1331" t="str">
        <f>INDEX('Match Groups'!$D$5:$D$1326,MATCH(J1331,'Match Groups'!$A$5:$A$1326,0))</f>
        <v>STRIPE-FEE</v>
      </c>
    </row>
    <row r="1332">
      <c r="A1332" t="inlineStr">
        <is>
          <t>JI-02204</t>
        </is>
      </c>
      <c r="B1332" t="inlineStr">
        <is>
          <t>OPS</t>
        </is>
      </c>
      <c r="C1332" s="5" t="n">
        <v>46223</v>
      </c>
      <c r="D1332" t="inlineStr">
        <is>
          <t>Stripe patient 10215</t>
        </is>
      </c>
      <c r="E1332" t="inlineStr">
        <is>
          <t>INV/2026/04051</t>
        </is>
      </c>
      <c r="F1332" t="inlineStr">
        <is>
          <t>Customer payment INV/2026/04051</t>
        </is>
      </c>
      <c r="G1332" s="9" t="n">
        <v>150</v>
      </c>
      <c r="H1332" t="inlineStr">
        <is>
          <t>customer_payment</t>
        </is>
      </c>
      <c r="I1332" t="inlineStr"/>
      <c r="J1332" t="inlineStr">
        <is>
          <t>G00029</t>
        </is>
      </c>
      <c r="K1332" t="str">
        <f>INDEX('Match Groups'!$D$5:$D$1326,MATCH(J1332,'Match Groups'!$A$5:$A$1326,0))</f>
        <v>STRIPE-FEE</v>
      </c>
    </row>
    <row r="1333">
      <c r="A1333" t="inlineStr">
        <is>
          <t>JI-02205</t>
        </is>
      </c>
      <c r="B1333" t="inlineStr">
        <is>
          <t>OPS</t>
        </is>
      </c>
      <c r="C1333" s="5" t="n">
        <v>46223</v>
      </c>
      <c r="D1333" t="inlineStr">
        <is>
          <t>Stripe patient 11946</t>
        </is>
      </c>
      <c r="E1333" t="inlineStr">
        <is>
          <t>INV/2026/04052</t>
        </is>
      </c>
      <c r="F1333" t="inlineStr">
        <is>
          <t>Customer payment INV/2026/04052</t>
        </is>
      </c>
      <c r="G1333" s="9" t="n">
        <v>85</v>
      </c>
      <c r="H1333" t="inlineStr">
        <is>
          <t>customer_payment</t>
        </is>
      </c>
      <c r="I1333" t="inlineStr"/>
      <c r="J1333" t="inlineStr">
        <is>
          <t>G00029</t>
        </is>
      </c>
      <c r="K1333" t="str">
        <f>INDEX('Match Groups'!$D$5:$D$1326,MATCH(J1333,'Match Groups'!$A$5:$A$1326,0))</f>
        <v>STRIPE-FEE</v>
      </c>
    </row>
    <row r="1334">
      <c r="A1334" t="inlineStr">
        <is>
          <t>JI-02206</t>
        </is>
      </c>
      <c r="B1334" t="inlineStr">
        <is>
          <t>OPS</t>
        </is>
      </c>
      <c r="C1334" s="5" t="n">
        <v>46223</v>
      </c>
      <c r="D1334" t="inlineStr">
        <is>
          <t>Stripe patient 91276</t>
        </is>
      </c>
      <c r="E1334" t="inlineStr">
        <is>
          <t>INV/2026/04053</t>
        </is>
      </c>
      <c r="F1334" t="inlineStr">
        <is>
          <t>Customer payment INV/2026/04053</t>
        </is>
      </c>
      <c r="G1334" s="9" t="n">
        <v>95</v>
      </c>
      <c r="H1334" t="inlineStr">
        <is>
          <t>customer_payment</t>
        </is>
      </c>
      <c r="I1334" t="inlineStr"/>
      <c r="J1334" t="inlineStr">
        <is>
          <t>G00029</t>
        </is>
      </c>
      <c r="K1334" t="str">
        <f>INDEX('Match Groups'!$D$5:$D$1326,MATCH(J1334,'Match Groups'!$A$5:$A$1326,0))</f>
        <v>STRIPE-FEE</v>
      </c>
    </row>
    <row r="1335">
      <c r="A1335" t="inlineStr">
        <is>
          <t>JI-02207</t>
        </is>
      </c>
      <c r="B1335" t="inlineStr">
        <is>
          <t>OPS</t>
        </is>
      </c>
      <c r="C1335" s="5" t="n">
        <v>46223</v>
      </c>
      <c r="D1335" t="inlineStr">
        <is>
          <t>Stripe patient 34930</t>
        </is>
      </c>
      <c r="E1335" t="inlineStr">
        <is>
          <t>INV/2026/04054</t>
        </is>
      </c>
      <c r="F1335" t="inlineStr">
        <is>
          <t>Customer payment INV/2026/04054</t>
        </is>
      </c>
      <c r="G1335" s="9" t="n">
        <v>65</v>
      </c>
      <c r="H1335" t="inlineStr">
        <is>
          <t>customer_payment</t>
        </is>
      </c>
      <c r="I1335" t="inlineStr"/>
      <c r="J1335" t="inlineStr">
        <is>
          <t>G00029</t>
        </is>
      </c>
      <c r="K1335" t="str">
        <f>INDEX('Match Groups'!$D$5:$D$1326,MATCH(J1335,'Match Groups'!$A$5:$A$1326,0))</f>
        <v>STRIPE-FEE</v>
      </c>
    </row>
    <row r="1336">
      <c r="A1336" t="inlineStr">
        <is>
          <t>JI-02208</t>
        </is>
      </c>
      <c r="B1336" t="inlineStr">
        <is>
          <t>OPS</t>
        </is>
      </c>
      <c r="C1336" s="5" t="n">
        <v>46223</v>
      </c>
      <c r="D1336" t="inlineStr">
        <is>
          <t>Stripe patient 29404</t>
        </is>
      </c>
      <c r="E1336" t="inlineStr">
        <is>
          <t>INV/2026/04055</t>
        </is>
      </c>
      <c r="F1336" t="inlineStr">
        <is>
          <t>Customer payment INV/2026/04055</t>
        </is>
      </c>
      <c r="G1336" s="9" t="n">
        <v>85</v>
      </c>
      <c r="H1336" t="inlineStr">
        <is>
          <t>customer_payment</t>
        </is>
      </c>
      <c r="I1336" t="inlineStr"/>
      <c r="J1336" t="inlineStr">
        <is>
          <t>G00029</t>
        </is>
      </c>
      <c r="K1336" t="str">
        <f>INDEX('Match Groups'!$D$5:$D$1326,MATCH(J1336,'Match Groups'!$A$5:$A$1326,0))</f>
        <v>STRIPE-FEE</v>
      </c>
    </row>
    <row r="1337">
      <c r="A1337" t="inlineStr">
        <is>
          <t>JI-02209</t>
        </is>
      </c>
      <c r="B1337" t="inlineStr">
        <is>
          <t>OPS</t>
        </is>
      </c>
      <c r="C1337" s="5" t="n">
        <v>46223</v>
      </c>
      <c r="D1337" t="inlineStr">
        <is>
          <t>Stripe patient 70136</t>
        </is>
      </c>
      <c r="E1337" t="inlineStr">
        <is>
          <t>INV/2026/04056</t>
        </is>
      </c>
      <c r="F1337" t="inlineStr">
        <is>
          <t>Customer payment INV/2026/04056</t>
        </is>
      </c>
      <c r="G1337" s="9" t="n">
        <v>65</v>
      </c>
      <c r="H1337" t="inlineStr">
        <is>
          <t>customer_payment</t>
        </is>
      </c>
      <c r="I1337" t="inlineStr"/>
      <c r="J1337" t="inlineStr">
        <is>
          <t>G00029</t>
        </is>
      </c>
      <c r="K1337" t="str">
        <f>INDEX('Match Groups'!$D$5:$D$1326,MATCH(J1337,'Match Groups'!$A$5:$A$1326,0))</f>
        <v>STRIPE-FEE</v>
      </c>
    </row>
    <row r="1338">
      <c r="A1338" t="inlineStr">
        <is>
          <t>JI-02210</t>
        </is>
      </c>
      <c r="B1338" t="inlineStr">
        <is>
          <t>OPS</t>
        </is>
      </c>
      <c r="C1338" s="5" t="n">
        <v>46223</v>
      </c>
      <c r="D1338" t="inlineStr">
        <is>
          <t>Stripe patient 71053</t>
        </is>
      </c>
      <c r="E1338" t="inlineStr">
        <is>
          <t>INV/2026/04057</t>
        </is>
      </c>
      <c r="F1338" t="inlineStr">
        <is>
          <t>Customer payment INV/2026/04057</t>
        </is>
      </c>
      <c r="G1338" s="9" t="n">
        <v>180</v>
      </c>
      <c r="H1338" t="inlineStr">
        <is>
          <t>customer_payment</t>
        </is>
      </c>
      <c r="I1338" t="inlineStr"/>
      <c r="J1338" t="inlineStr">
        <is>
          <t>G00029</t>
        </is>
      </c>
      <c r="K1338" t="str">
        <f>INDEX('Match Groups'!$D$5:$D$1326,MATCH(J1338,'Match Groups'!$A$5:$A$1326,0))</f>
        <v>STRIPE-FEE</v>
      </c>
    </row>
    <row r="1339">
      <c r="A1339" t="inlineStr">
        <is>
          <t>JI-02211</t>
        </is>
      </c>
      <c r="B1339" t="inlineStr">
        <is>
          <t>OPS</t>
        </is>
      </c>
      <c r="C1339" s="5" t="n">
        <v>46223</v>
      </c>
      <c r="D1339" t="inlineStr">
        <is>
          <t>Stripe patient 19940</t>
        </is>
      </c>
      <c r="E1339" t="inlineStr">
        <is>
          <t>INV/2026/04058</t>
        </is>
      </c>
      <c r="F1339" t="inlineStr">
        <is>
          <t>Customer payment INV/2026/04058</t>
        </is>
      </c>
      <c r="G1339" s="9" t="n">
        <v>110</v>
      </c>
      <c r="H1339" t="inlineStr">
        <is>
          <t>customer_payment</t>
        </is>
      </c>
      <c r="I1339" t="inlineStr"/>
      <c r="J1339" t="inlineStr">
        <is>
          <t>G00029</t>
        </is>
      </c>
      <c r="K1339" t="str">
        <f>INDEX('Match Groups'!$D$5:$D$1326,MATCH(J1339,'Match Groups'!$A$5:$A$1326,0))</f>
        <v>STRIPE-FEE</v>
      </c>
    </row>
    <row r="1340">
      <c r="A1340" t="inlineStr">
        <is>
          <t>JI-02212</t>
        </is>
      </c>
      <c r="B1340" t="inlineStr">
        <is>
          <t>OPS</t>
        </is>
      </c>
      <c r="C1340" s="5" t="n">
        <v>46223</v>
      </c>
      <c r="D1340" t="inlineStr">
        <is>
          <t>Stripe patient 29913</t>
        </is>
      </c>
      <c r="E1340" t="inlineStr">
        <is>
          <t>INV/2026/04059</t>
        </is>
      </c>
      <c r="F1340" t="inlineStr">
        <is>
          <t>Customer payment INV/2026/04059</t>
        </is>
      </c>
      <c r="G1340" s="9" t="n">
        <v>150</v>
      </c>
      <c r="H1340" t="inlineStr">
        <is>
          <t>customer_payment</t>
        </is>
      </c>
      <c r="I1340" t="inlineStr"/>
      <c r="J1340" t="inlineStr">
        <is>
          <t>G00029</t>
        </is>
      </c>
      <c r="K1340" t="str">
        <f>INDEX('Match Groups'!$D$5:$D$1326,MATCH(J1340,'Match Groups'!$A$5:$A$1326,0))</f>
        <v>STRIPE-FEE</v>
      </c>
    </row>
    <row r="1341">
      <c r="A1341" t="inlineStr">
        <is>
          <t>JI-02213</t>
        </is>
      </c>
      <c r="B1341" t="inlineStr">
        <is>
          <t>OPS</t>
        </is>
      </c>
      <c r="C1341" s="5" t="n">
        <v>46223</v>
      </c>
      <c r="D1341" t="inlineStr">
        <is>
          <t>Stripe patient 97918</t>
        </is>
      </c>
      <c r="E1341" t="inlineStr">
        <is>
          <t>INV/2026/04060</t>
        </is>
      </c>
      <c r="F1341" t="inlineStr">
        <is>
          <t>Customer payment INV/2026/04060</t>
        </is>
      </c>
      <c r="G1341" s="9" t="n">
        <v>85</v>
      </c>
      <c r="H1341" t="inlineStr">
        <is>
          <t>customer_payment</t>
        </is>
      </c>
      <c r="I1341" t="inlineStr"/>
      <c r="J1341" t="inlineStr">
        <is>
          <t>G00029</t>
        </is>
      </c>
      <c r="K1341" t="str">
        <f>INDEX('Match Groups'!$D$5:$D$1326,MATCH(J1341,'Match Groups'!$A$5:$A$1326,0))</f>
        <v>STRIPE-FEE</v>
      </c>
    </row>
    <row r="1342">
      <c r="A1342" t="inlineStr">
        <is>
          <t>JI-02214</t>
        </is>
      </c>
      <c r="B1342" t="inlineStr">
        <is>
          <t>OPS</t>
        </is>
      </c>
      <c r="C1342" s="5" t="n">
        <v>46223</v>
      </c>
      <c r="D1342" t="inlineStr">
        <is>
          <t>Stripe patient 44067</t>
        </is>
      </c>
      <c r="E1342" t="inlineStr">
        <is>
          <t>INV/2026/04061</t>
        </is>
      </c>
      <c r="F1342" t="inlineStr">
        <is>
          <t>Customer payment INV/2026/04061</t>
        </is>
      </c>
      <c r="G1342" s="9" t="n">
        <v>85</v>
      </c>
      <c r="H1342" t="inlineStr">
        <is>
          <t>customer_payment</t>
        </is>
      </c>
      <c r="I1342" t="inlineStr"/>
      <c r="J1342" t="inlineStr">
        <is>
          <t>G00029</t>
        </is>
      </c>
      <c r="K1342" t="str">
        <f>INDEX('Match Groups'!$D$5:$D$1326,MATCH(J1342,'Match Groups'!$A$5:$A$1326,0))</f>
        <v>STRIPE-FEE</v>
      </c>
    </row>
    <row r="1343">
      <c r="A1343" t="inlineStr">
        <is>
          <t>JI-02215</t>
        </is>
      </c>
      <c r="B1343" t="inlineStr">
        <is>
          <t>OPS</t>
        </is>
      </c>
      <c r="C1343" s="5" t="n">
        <v>46223</v>
      </c>
      <c r="D1343" t="inlineStr">
        <is>
          <t>Stripe patient 34607</t>
        </is>
      </c>
      <c r="E1343" t="inlineStr">
        <is>
          <t>INV/2026/04062</t>
        </is>
      </c>
      <c r="F1343" t="inlineStr">
        <is>
          <t>Customer payment INV/2026/04062</t>
        </is>
      </c>
      <c r="G1343" s="9" t="n">
        <v>135</v>
      </c>
      <c r="H1343" t="inlineStr">
        <is>
          <t>customer_payment</t>
        </is>
      </c>
      <c r="I1343" t="inlineStr"/>
      <c r="J1343" t="inlineStr">
        <is>
          <t>G00029</t>
        </is>
      </c>
      <c r="K1343" t="str">
        <f>INDEX('Match Groups'!$D$5:$D$1326,MATCH(J1343,'Match Groups'!$A$5:$A$1326,0))</f>
        <v>STRIPE-FEE</v>
      </c>
    </row>
    <row r="1344">
      <c r="A1344" t="inlineStr">
        <is>
          <t>JI-02216</t>
        </is>
      </c>
      <c r="B1344" t="inlineStr">
        <is>
          <t>OPS</t>
        </is>
      </c>
      <c r="C1344" s="5" t="n">
        <v>46223</v>
      </c>
      <c r="D1344" t="inlineStr">
        <is>
          <t>Stripe patient 63392</t>
        </is>
      </c>
      <c r="E1344" t="inlineStr">
        <is>
          <t>INV/2026/04063</t>
        </is>
      </c>
      <c r="F1344" t="inlineStr">
        <is>
          <t>Customer payment INV/2026/04063</t>
        </is>
      </c>
      <c r="G1344" s="9" t="n">
        <v>95</v>
      </c>
      <c r="H1344" t="inlineStr">
        <is>
          <t>customer_payment</t>
        </is>
      </c>
      <c r="I1344" t="inlineStr"/>
      <c r="J1344" t="inlineStr">
        <is>
          <t>G00029</t>
        </is>
      </c>
      <c r="K1344" t="str">
        <f>INDEX('Match Groups'!$D$5:$D$1326,MATCH(J1344,'Match Groups'!$A$5:$A$1326,0))</f>
        <v>STRIPE-FEE</v>
      </c>
    </row>
    <row r="1345">
      <c r="A1345" t="inlineStr">
        <is>
          <t>JI-02217</t>
        </is>
      </c>
      <c r="B1345" t="inlineStr">
        <is>
          <t>OPS</t>
        </is>
      </c>
      <c r="C1345" s="5" t="n">
        <v>46223</v>
      </c>
      <c r="D1345" t="inlineStr">
        <is>
          <t>Stripe patient 46588</t>
        </is>
      </c>
      <c r="E1345" t="inlineStr">
        <is>
          <t>INV/2026/04064</t>
        </is>
      </c>
      <c r="F1345" t="inlineStr">
        <is>
          <t>Customer payment INV/2026/04064</t>
        </is>
      </c>
      <c r="G1345" s="9" t="n">
        <v>85</v>
      </c>
      <c r="H1345" t="inlineStr">
        <is>
          <t>customer_payment</t>
        </is>
      </c>
      <c r="I1345" t="inlineStr"/>
      <c r="J1345" t="inlineStr">
        <is>
          <t>G00029</t>
        </is>
      </c>
      <c r="K1345" t="str">
        <f>INDEX('Match Groups'!$D$5:$D$1326,MATCH(J1345,'Match Groups'!$A$5:$A$1326,0))</f>
        <v>STRIPE-FEE</v>
      </c>
    </row>
    <row r="1346">
      <c r="A1346" t="inlineStr">
        <is>
          <t>JI-02218</t>
        </is>
      </c>
      <c r="B1346" t="inlineStr">
        <is>
          <t>OPS</t>
        </is>
      </c>
      <c r="C1346" s="5" t="n">
        <v>46223</v>
      </c>
      <c r="D1346" t="inlineStr">
        <is>
          <t>Stripe patient 89266</t>
        </is>
      </c>
      <c r="E1346" t="inlineStr">
        <is>
          <t>INV/2026/04065</t>
        </is>
      </c>
      <c r="F1346" t="inlineStr">
        <is>
          <t>Customer payment INV/2026/04065</t>
        </is>
      </c>
      <c r="G1346" s="9" t="n">
        <v>65</v>
      </c>
      <c r="H1346" t="inlineStr">
        <is>
          <t>customer_payment</t>
        </is>
      </c>
      <c r="I1346" t="inlineStr"/>
      <c r="J1346" t="inlineStr">
        <is>
          <t>G00029</t>
        </is>
      </c>
      <c r="K1346" t="str">
        <f>INDEX('Match Groups'!$D$5:$D$1326,MATCH(J1346,'Match Groups'!$A$5:$A$1326,0))</f>
        <v>STRIPE-FEE</v>
      </c>
    </row>
    <row r="1347">
      <c r="A1347" t="inlineStr">
        <is>
          <t>JI-02219</t>
        </is>
      </c>
      <c r="B1347" t="inlineStr">
        <is>
          <t>OPS</t>
        </is>
      </c>
      <c r="C1347" s="5" t="n">
        <v>46223</v>
      </c>
      <c r="D1347" t="inlineStr">
        <is>
          <t>Stripe patient 16876</t>
        </is>
      </c>
      <c r="E1347" t="inlineStr">
        <is>
          <t>INV/2026/04066</t>
        </is>
      </c>
      <c r="F1347" t="inlineStr">
        <is>
          <t>Customer payment INV/2026/04066</t>
        </is>
      </c>
      <c r="G1347" s="9" t="n">
        <v>110</v>
      </c>
      <c r="H1347" t="inlineStr">
        <is>
          <t>customer_payment</t>
        </is>
      </c>
      <c r="I1347" t="inlineStr"/>
      <c r="J1347" t="inlineStr">
        <is>
          <t>G00029</t>
        </is>
      </c>
      <c r="K1347" t="str">
        <f>INDEX('Match Groups'!$D$5:$D$1326,MATCH(J1347,'Match Groups'!$A$5:$A$1326,0))</f>
        <v>STRIPE-FEE</v>
      </c>
    </row>
    <row r="1348">
      <c r="A1348" t="inlineStr">
        <is>
          <t>JI-02220</t>
        </is>
      </c>
      <c r="B1348" t="inlineStr">
        <is>
          <t>OPS</t>
        </is>
      </c>
      <c r="C1348" s="5" t="n">
        <v>46223</v>
      </c>
      <c r="D1348" t="inlineStr">
        <is>
          <t>Stripe patient 76786</t>
        </is>
      </c>
      <c r="E1348" t="inlineStr">
        <is>
          <t>INV/2026/04067</t>
        </is>
      </c>
      <c r="F1348" t="inlineStr">
        <is>
          <t>Customer payment INV/2026/04067</t>
        </is>
      </c>
      <c r="G1348" s="9" t="n">
        <v>65</v>
      </c>
      <c r="H1348" t="inlineStr">
        <is>
          <t>customer_payment</t>
        </is>
      </c>
      <c r="I1348" t="inlineStr"/>
      <c r="J1348" t="inlineStr">
        <is>
          <t>G00029</t>
        </is>
      </c>
      <c r="K1348" t="str">
        <f>INDEX('Match Groups'!$D$5:$D$1326,MATCH(J1348,'Match Groups'!$A$5:$A$1326,0))</f>
        <v>STRIPE-FEE</v>
      </c>
    </row>
    <row r="1349">
      <c r="A1349" t="inlineStr">
        <is>
          <t>JI-02221</t>
        </is>
      </c>
      <c r="B1349" t="inlineStr">
        <is>
          <t>OPS</t>
        </is>
      </c>
      <c r="C1349" s="5" t="n">
        <v>46223</v>
      </c>
      <c r="D1349" t="inlineStr">
        <is>
          <t>Stripe patient 54193</t>
        </is>
      </c>
      <c r="E1349" t="inlineStr">
        <is>
          <t>INV/2026/04068</t>
        </is>
      </c>
      <c r="F1349" t="inlineStr">
        <is>
          <t>Customer payment INV/2026/04068</t>
        </is>
      </c>
      <c r="G1349" s="9" t="n">
        <v>120</v>
      </c>
      <c r="H1349" t="inlineStr">
        <is>
          <t>customer_payment</t>
        </is>
      </c>
      <c r="I1349" t="inlineStr"/>
      <c r="J1349" t="inlineStr">
        <is>
          <t>G00029</t>
        </is>
      </c>
      <c r="K1349" t="str">
        <f>INDEX('Match Groups'!$D$5:$D$1326,MATCH(J1349,'Match Groups'!$A$5:$A$1326,0))</f>
        <v>STRIPE-FEE</v>
      </c>
    </row>
    <row r="1350">
      <c r="A1350" t="inlineStr">
        <is>
          <t>JI-02222</t>
        </is>
      </c>
      <c r="B1350" t="inlineStr">
        <is>
          <t>OPS</t>
        </is>
      </c>
      <c r="C1350" s="5" t="n">
        <v>46223</v>
      </c>
      <c r="D1350" t="inlineStr">
        <is>
          <t>Stripe patient 28628</t>
        </is>
      </c>
      <c r="E1350" t="inlineStr">
        <is>
          <t>INV/2026/04069</t>
        </is>
      </c>
      <c r="F1350" t="inlineStr">
        <is>
          <t>Customer payment INV/2026/04069</t>
        </is>
      </c>
      <c r="G1350" s="9" t="n">
        <v>110</v>
      </c>
      <c r="H1350" t="inlineStr">
        <is>
          <t>customer_payment</t>
        </is>
      </c>
      <c r="I1350" t="inlineStr"/>
      <c r="J1350" t="inlineStr">
        <is>
          <t>G00029</t>
        </is>
      </c>
      <c r="K1350" t="str">
        <f>INDEX('Match Groups'!$D$5:$D$1326,MATCH(J1350,'Match Groups'!$A$5:$A$1326,0))</f>
        <v>STRIPE-FEE</v>
      </c>
    </row>
    <row r="1351">
      <c r="A1351" t="inlineStr">
        <is>
          <t>JI-02223</t>
        </is>
      </c>
      <c r="B1351" t="inlineStr">
        <is>
          <t>OPS</t>
        </is>
      </c>
      <c r="C1351" s="5" t="n">
        <v>46223</v>
      </c>
      <c r="D1351" t="inlineStr">
        <is>
          <t>Stripe patient 60694</t>
        </is>
      </c>
      <c r="E1351" t="inlineStr">
        <is>
          <t>INV/2026/04070</t>
        </is>
      </c>
      <c r="F1351" t="inlineStr">
        <is>
          <t>Customer payment INV/2026/04070</t>
        </is>
      </c>
      <c r="G1351" s="9" t="n">
        <v>95</v>
      </c>
      <c r="H1351" t="inlineStr">
        <is>
          <t>customer_payment</t>
        </is>
      </c>
      <c r="I1351" t="inlineStr"/>
      <c r="J1351" t="inlineStr">
        <is>
          <t>G00029</t>
        </is>
      </c>
      <c r="K1351" t="str">
        <f>INDEX('Match Groups'!$D$5:$D$1326,MATCH(J1351,'Match Groups'!$A$5:$A$1326,0))</f>
        <v>STRIPE-FEE</v>
      </c>
    </row>
    <row r="1352">
      <c r="A1352" t="inlineStr">
        <is>
          <t>JI-02224</t>
        </is>
      </c>
      <c r="B1352" t="inlineStr">
        <is>
          <t>OPS</t>
        </is>
      </c>
      <c r="C1352" s="5" t="n">
        <v>46223</v>
      </c>
      <c r="D1352" t="inlineStr">
        <is>
          <t>Stripe patient 32906</t>
        </is>
      </c>
      <c r="E1352" t="inlineStr">
        <is>
          <t>INV/2026/04071</t>
        </is>
      </c>
      <c r="F1352" t="inlineStr">
        <is>
          <t>Customer payment INV/2026/04071</t>
        </is>
      </c>
      <c r="G1352" s="9" t="n">
        <v>180</v>
      </c>
      <c r="H1352" t="inlineStr">
        <is>
          <t>customer_payment</t>
        </is>
      </c>
      <c r="I1352" t="inlineStr"/>
      <c r="J1352" t="inlineStr">
        <is>
          <t>G00029</t>
        </is>
      </c>
      <c r="K1352" t="str">
        <f>INDEX('Match Groups'!$D$5:$D$1326,MATCH(J1352,'Match Groups'!$A$5:$A$1326,0))</f>
        <v>STRIPE-FEE</v>
      </c>
    </row>
    <row r="1353">
      <c r="A1353" t="inlineStr">
        <is>
          <t>JI-02225</t>
        </is>
      </c>
      <c r="B1353" t="inlineStr">
        <is>
          <t>OPS</t>
        </is>
      </c>
      <c r="C1353" s="5" t="n">
        <v>46223</v>
      </c>
      <c r="D1353" t="inlineStr">
        <is>
          <t>Stripe patient 76160</t>
        </is>
      </c>
      <c r="E1353" t="inlineStr">
        <is>
          <t>INV/2026/04072</t>
        </is>
      </c>
      <c r="F1353" t="inlineStr">
        <is>
          <t>Customer payment INV/2026/04072</t>
        </is>
      </c>
      <c r="G1353" s="9" t="n">
        <v>150</v>
      </c>
      <c r="H1353" t="inlineStr">
        <is>
          <t>customer_payment</t>
        </is>
      </c>
      <c r="I1353" t="inlineStr"/>
      <c r="J1353" t="inlineStr">
        <is>
          <t>G00029</t>
        </is>
      </c>
      <c r="K1353" t="str">
        <f>INDEX('Match Groups'!$D$5:$D$1326,MATCH(J1353,'Match Groups'!$A$5:$A$1326,0))</f>
        <v>STRIPE-FEE</v>
      </c>
    </row>
    <row r="1354">
      <c r="A1354" t="inlineStr">
        <is>
          <t>JI-02226</t>
        </is>
      </c>
      <c r="B1354" t="inlineStr">
        <is>
          <t>OPS</t>
        </is>
      </c>
      <c r="C1354" s="5" t="n">
        <v>46223</v>
      </c>
      <c r="D1354" t="inlineStr">
        <is>
          <t>Stripe patient 87274</t>
        </is>
      </c>
      <c r="E1354" t="inlineStr">
        <is>
          <t>INV/2026/04073</t>
        </is>
      </c>
      <c r="F1354" t="inlineStr">
        <is>
          <t>Customer payment INV/2026/04073</t>
        </is>
      </c>
      <c r="G1354" s="9" t="n">
        <v>180</v>
      </c>
      <c r="H1354" t="inlineStr">
        <is>
          <t>customer_payment</t>
        </is>
      </c>
      <c r="I1354" t="inlineStr"/>
      <c r="J1354" t="inlineStr">
        <is>
          <t>G00029</t>
        </is>
      </c>
      <c r="K1354" t="str">
        <f>INDEX('Match Groups'!$D$5:$D$1326,MATCH(J1354,'Match Groups'!$A$5:$A$1326,0))</f>
        <v>STRIPE-FEE</v>
      </c>
    </row>
    <row r="1355">
      <c r="A1355" t="inlineStr">
        <is>
          <t>JI-02227</t>
        </is>
      </c>
      <c r="B1355" t="inlineStr">
        <is>
          <t>OPS</t>
        </is>
      </c>
      <c r="C1355" s="5" t="n">
        <v>46223</v>
      </c>
      <c r="D1355" t="inlineStr">
        <is>
          <t>Stripe patient 25299</t>
        </is>
      </c>
      <c r="E1355" t="inlineStr">
        <is>
          <t>INV/2026/04074</t>
        </is>
      </c>
      <c r="F1355" t="inlineStr">
        <is>
          <t>Customer payment INV/2026/04074</t>
        </is>
      </c>
      <c r="G1355" s="9" t="n">
        <v>180</v>
      </c>
      <c r="H1355" t="inlineStr">
        <is>
          <t>customer_payment</t>
        </is>
      </c>
      <c r="I1355" t="inlineStr"/>
      <c r="J1355" t="inlineStr">
        <is>
          <t>G00029</t>
        </is>
      </c>
      <c r="K1355" t="str">
        <f>INDEX('Match Groups'!$D$5:$D$1326,MATCH(J1355,'Match Groups'!$A$5:$A$1326,0))</f>
        <v>STRIPE-FEE</v>
      </c>
    </row>
    <row r="1356">
      <c r="A1356" t="inlineStr">
        <is>
          <t>JI-02228</t>
        </is>
      </c>
      <c r="B1356" t="inlineStr">
        <is>
          <t>OPS</t>
        </is>
      </c>
      <c r="C1356" s="5" t="n">
        <v>46223</v>
      </c>
      <c r="D1356" t="inlineStr">
        <is>
          <t>Stripe patient 82180</t>
        </is>
      </c>
      <c r="E1356" t="inlineStr">
        <is>
          <t>INV/2026/04075</t>
        </is>
      </c>
      <c r="F1356" t="inlineStr">
        <is>
          <t>Customer payment INV/2026/04075</t>
        </is>
      </c>
      <c r="G1356" s="9" t="n">
        <v>135</v>
      </c>
      <c r="H1356" t="inlineStr">
        <is>
          <t>customer_payment</t>
        </is>
      </c>
      <c r="I1356" t="inlineStr"/>
      <c r="J1356" t="inlineStr">
        <is>
          <t>G00029</t>
        </is>
      </c>
      <c r="K1356" t="str">
        <f>INDEX('Match Groups'!$D$5:$D$1326,MATCH(J1356,'Match Groups'!$A$5:$A$1326,0))</f>
        <v>STRIPE-FEE</v>
      </c>
    </row>
    <row r="1357">
      <c r="A1357" t="inlineStr">
        <is>
          <t>JI-02229</t>
        </is>
      </c>
      <c r="B1357" t="inlineStr">
        <is>
          <t>OPS</t>
        </is>
      </c>
      <c r="C1357" s="5" t="n">
        <v>46223</v>
      </c>
      <c r="D1357" t="inlineStr">
        <is>
          <t>Stripe patient 89743</t>
        </is>
      </c>
      <c r="E1357" t="inlineStr">
        <is>
          <t>INV/2026/04076</t>
        </is>
      </c>
      <c r="F1357" t="inlineStr">
        <is>
          <t>Customer payment INV/2026/04076</t>
        </is>
      </c>
      <c r="G1357" s="9" t="n">
        <v>180</v>
      </c>
      <c r="H1357" t="inlineStr">
        <is>
          <t>customer_payment</t>
        </is>
      </c>
      <c r="I1357" t="inlineStr"/>
      <c r="J1357" t="inlineStr">
        <is>
          <t>G00029</t>
        </is>
      </c>
      <c r="K1357" t="str">
        <f>INDEX('Match Groups'!$D$5:$D$1326,MATCH(J1357,'Match Groups'!$A$5:$A$1326,0))</f>
        <v>STRIPE-FEE</v>
      </c>
    </row>
    <row r="1358">
      <c r="A1358" t="inlineStr">
        <is>
          <t>JI-02230</t>
        </is>
      </c>
      <c r="B1358" t="inlineStr">
        <is>
          <t>OPS</t>
        </is>
      </c>
      <c r="C1358" s="5" t="n">
        <v>46223</v>
      </c>
      <c r="D1358" t="inlineStr">
        <is>
          <t>Stripe patient 63249</t>
        </is>
      </c>
      <c r="E1358" t="inlineStr">
        <is>
          <t>INV/2026/04077</t>
        </is>
      </c>
      <c r="F1358" t="inlineStr">
        <is>
          <t>Customer payment INV/2026/04077</t>
        </is>
      </c>
      <c r="G1358" s="9" t="n">
        <v>220</v>
      </c>
      <c r="H1358" t="inlineStr">
        <is>
          <t>customer_payment</t>
        </is>
      </c>
      <c r="I1358" t="inlineStr"/>
      <c r="J1358" t="inlineStr">
        <is>
          <t>G00029</t>
        </is>
      </c>
      <c r="K1358" t="str">
        <f>INDEX('Match Groups'!$D$5:$D$1326,MATCH(J1358,'Match Groups'!$A$5:$A$1326,0))</f>
        <v>STRIPE-FEE</v>
      </c>
    </row>
    <row r="1359">
      <c r="A1359" t="inlineStr">
        <is>
          <t>JI-04287</t>
        </is>
      </c>
      <c r="B1359" t="inlineStr">
        <is>
          <t>OPS</t>
        </is>
      </c>
      <c r="C1359" s="5" t="n">
        <v>46223</v>
      </c>
      <c r="D1359" t="inlineStr">
        <is>
          <t>Internal transfer</t>
        </is>
      </c>
      <c r="E1359" t="inlineStr">
        <is>
          <t>SWEEP 2007</t>
        </is>
      </c>
      <c r="F1359" t="inlineStr">
        <is>
          <t>Sweep from merchant account</t>
        </is>
      </c>
      <c r="G1359" s="9" t="n">
        <v>22000</v>
      </c>
      <c r="H1359" t="inlineStr">
        <is>
          <t>transfer</t>
        </is>
      </c>
      <c r="I1359" t="inlineStr"/>
      <c r="J1359" t="inlineStr">
        <is>
          <t>G00513</t>
        </is>
      </c>
      <c r="K1359" t="str">
        <f>INDEX('Match Groups'!$D$5:$D$1326,MATCH(J1359,'Match Groups'!$A$5:$A$1326,0))</f>
        <v>MATCH</v>
      </c>
    </row>
    <row r="1360">
      <c r="A1360" t="inlineStr">
        <is>
          <t>JI-00440</t>
        </is>
      </c>
      <c r="B1360" t="inlineStr">
        <is>
          <t>OPS</t>
        </is>
      </c>
      <c r="C1360" s="5" t="n">
        <v>46224</v>
      </c>
      <c r="D1360" t="inlineStr">
        <is>
          <t>Bluegum Plan Management</t>
        </is>
      </c>
      <c r="E1360" t="inlineStr">
        <is>
          <t>INV/2026/01687</t>
        </is>
      </c>
      <c r="F1360" t="inlineStr">
        <is>
          <t>Customer payment INV/2026/01687</t>
        </is>
      </c>
      <c r="G1360" s="9" t="n">
        <v>193.99</v>
      </c>
      <c r="H1360" t="inlineStr">
        <is>
          <t>customer_payment</t>
        </is>
      </c>
      <c r="I1360" t="inlineStr"/>
      <c r="J1360" t="inlineStr">
        <is>
          <t>G00174</t>
        </is>
      </c>
      <c r="K1360" t="str">
        <f>INDEX('Match Groups'!$D$5:$D$1326,MATCH(J1360,'Match Groups'!$A$5:$A$1326,0))</f>
        <v>MATCH</v>
      </c>
    </row>
    <row r="1361">
      <c r="A1361" t="inlineStr">
        <is>
          <t>JI-00441</t>
        </is>
      </c>
      <c r="B1361" t="inlineStr">
        <is>
          <t>OPS</t>
        </is>
      </c>
      <c r="C1361" s="5" t="n">
        <v>46224</v>
      </c>
      <c r="D1361" t="inlineStr">
        <is>
          <t>Bluegum Plan Management</t>
        </is>
      </c>
      <c r="E1361" t="inlineStr">
        <is>
          <t>INV/2026/01706</t>
        </is>
      </c>
      <c r="F1361" t="inlineStr">
        <is>
          <t>Customer payment INV/2026/01706</t>
        </is>
      </c>
      <c r="G1361" s="9" t="n">
        <v>272.49</v>
      </c>
      <c r="H1361" t="inlineStr">
        <is>
          <t>customer_payment</t>
        </is>
      </c>
      <c r="I1361" t="inlineStr"/>
      <c r="J1361" t="inlineStr">
        <is>
          <t>G00174</t>
        </is>
      </c>
      <c r="K1361" t="str">
        <f>INDEX('Match Groups'!$D$5:$D$1326,MATCH(J1361,'Match Groups'!$A$5:$A$1326,0))</f>
        <v>MATCH</v>
      </c>
    </row>
    <row r="1362">
      <c r="A1362" t="inlineStr">
        <is>
          <t>JI-00442</t>
        </is>
      </c>
      <c r="B1362" t="inlineStr">
        <is>
          <t>OPS</t>
        </is>
      </c>
      <c r="C1362" s="5" t="n">
        <v>46224</v>
      </c>
      <c r="D1362" t="inlineStr">
        <is>
          <t>Bluegum Plan Management</t>
        </is>
      </c>
      <c r="E1362" t="inlineStr">
        <is>
          <t>INV/2026/01747</t>
        </is>
      </c>
      <c r="F1362" t="inlineStr">
        <is>
          <t>Customer payment INV/2026/01747</t>
        </is>
      </c>
      <c r="G1362" s="9" t="n">
        <v>193.99</v>
      </c>
      <c r="H1362" t="inlineStr">
        <is>
          <t>customer_payment</t>
        </is>
      </c>
      <c r="I1362" t="inlineStr"/>
      <c r="J1362" t="inlineStr">
        <is>
          <t>G00174</t>
        </is>
      </c>
      <c r="K1362" t="str">
        <f>INDEX('Match Groups'!$D$5:$D$1326,MATCH(J1362,'Match Groups'!$A$5:$A$1326,0))</f>
        <v>MATCH</v>
      </c>
    </row>
    <row r="1363">
      <c r="A1363" t="inlineStr">
        <is>
          <t>JI-00443</t>
        </is>
      </c>
      <c r="B1363" t="inlineStr">
        <is>
          <t>OPS</t>
        </is>
      </c>
      <c r="C1363" s="5" t="n">
        <v>46224</v>
      </c>
      <c r="D1363" t="inlineStr">
        <is>
          <t>Riverbend Plan Partners</t>
        </is>
      </c>
      <c r="E1363" t="inlineStr">
        <is>
          <t>INV/2026/02108</t>
        </is>
      </c>
      <c r="F1363" t="inlineStr">
        <is>
          <t>Customer payment INV/2026/02108</t>
        </is>
      </c>
      <c r="G1363" s="9" t="n">
        <v>252.19</v>
      </c>
      <c r="H1363" t="inlineStr">
        <is>
          <t>customer_payment</t>
        </is>
      </c>
      <c r="I1363" t="inlineStr"/>
      <c r="J1363" t="inlineStr">
        <is>
          <t>G00175</t>
        </is>
      </c>
      <c r="K1363" t="str">
        <f>INDEX('Match Groups'!$D$5:$D$1326,MATCH(J1363,'Match Groups'!$A$5:$A$1326,0))</f>
        <v>MATCH</v>
      </c>
    </row>
    <row r="1364">
      <c r="A1364" t="inlineStr">
        <is>
          <t>JI-00444</t>
        </is>
      </c>
      <c r="B1364" t="inlineStr">
        <is>
          <t>OPS</t>
        </is>
      </c>
      <c r="C1364" s="5" t="n">
        <v>46224</v>
      </c>
      <c r="D1364" t="inlineStr">
        <is>
          <t>Riverbend Plan Partners</t>
        </is>
      </c>
      <c r="E1364" t="inlineStr">
        <is>
          <t>INV/2026/02109</t>
        </is>
      </c>
      <c r="F1364" t="inlineStr">
        <is>
          <t>Customer payment INV/2026/02109</t>
        </is>
      </c>
      <c r="G1364" s="9" t="n">
        <v>145.49</v>
      </c>
      <c r="H1364" t="inlineStr">
        <is>
          <t>customer_payment</t>
        </is>
      </c>
      <c r="I1364" t="inlineStr"/>
      <c r="J1364" t="inlineStr">
        <is>
          <t>G00175</t>
        </is>
      </c>
      <c r="K1364" t="str">
        <f>INDEX('Match Groups'!$D$5:$D$1326,MATCH(J1364,'Match Groups'!$A$5:$A$1326,0))</f>
        <v>MATCH</v>
      </c>
    </row>
    <row r="1365">
      <c r="A1365" t="inlineStr">
        <is>
          <t>JI-00445</t>
        </is>
      </c>
      <c r="B1365" t="inlineStr">
        <is>
          <t>OPS</t>
        </is>
      </c>
      <c r="C1365" s="5" t="n">
        <v>46224</v>
      </c>
      <c r="D1365" t="inlineStr">
        <is>
          <t>Riverbend Plan Partners</t>
        </is>
      </c>
      <c r="E1365" t="inlineStr">
        <is>
          <t>INV/2026/02110</t>
        </is>
      </c>
      <c r="F1365" t="inlineStr">
        <is>
          <t>Customer payment INV/2026/02110</t>
        </is>
      </c>
      <c r="G1365" s="9" t="n">
        <v>417.98</v>
      </c>
      <c r="H1365" t="inlineStr">
        <is>
          <t>customer_payment</t>
        </is>
      </c>
      <c r="I1365" t="inlineStr"/>
      <c r="J1365" t="inlineStr">
        <is>
          <t>G00175</t>
        </is>
      </c>
      <c r="K1365" t="str">
        <f>INDEX('Match Groups'!$D$5:$D$1326,MATCH(J1365,'Match Groups'!$A$5:$A$1326,0))</f>
        <v>MATCH</v>
      </c>
    </row>
    <row r="1366">
      <c r="A1366" t="inlineStr">
        <is>
          <t>JI-00446</t>
        </is>
      </c>
      <c r="B1366" t="inlineStr">
        <is>
          <t>OPS</t>
        </is>
      </c>
      <c r="C1366" s="5" t="n">
        <v>46224</v>
      </c>
      <c r="D1366" t="inlineStr">
        <is>
          <t>Riverbend Plan Partners</t>
        </is>
      </c>
      <c r="E1366" t="inlineStr">
        <is>
          <t>INV/2026/02132</t>
        </is>
      </c>
      <c r="F1366" t="inlineStr">
        <is>
          <t>Customer payment INV/2026/02132</t>
        </is>
      </c>
      <c r="G1366" s="9" t="n">
        <v>96.98999999999999</v>
      </c>
      <c r="H1366" t="inlineStr">
        <is>
          <t>customer_payment</t>
        </is>
      </c>
      <c r="I1366" t="inlineStr"/>
      <c r="J1366" t="inlineStr">
        <is>
          <t>G00175</t>
        </is>
      </c>
      <c r="K1366" t="str">
        <f>INDEX('Match Groups'!$D$5:$D$1326,MATCH(J1366,'Match Groups'!$A$5:$A$1326,0))</f>
        <v>MATCH</v>
      </c>
    </row>
    <row r="1367">
      <c r="A1367" t="inlineStr">
        <is>
          <t>JI-00447</t>
        </is>
      </c>
      <c r="B1367" t="inlineStr">
        <is>
          <t>OPS</t>
        </is>
      </c>
      <c r="C1367" s="5" t="n">
        <v>46224</v>
      </c>
      <c r="D1367" t="inlineStr">
        <is>
          <t>Riverbend Plan Partners</t>
        </is>
      </c>
      <c r="E1367" t="inlineStr">
        <is>
          <t>INV/2026/02133</t>
        </is>
      </c>
      <c r="F1367" t="inlineStr">
        <is>
          <t>Customer payment INV/2026/02133</t>
        </is>
      </c>
      <c r="G1367" s="9" t="n">
        <v>300.69</v>
      </c>
      <c r="H1367" t="inlineStr">
        <is>
          <t>customer_payment</t>
        </is>
      </c>
      <c r="I1367" t="inlineStr"/>
      <c r="J1367" t="inlineStr">
        <is>
          <t>G00175</t>
        </is>
      </c>
      <c r="K1367" t="str">
        <f>INDEX('Match Groups'!$D$5:$D$1326,MATCH(J1367,'Match Groups'!$A$5:$A$1326,0))</f>
        <v>MATCH</v>
      </c>
    </row>
    <row r="1368">
      <c r="A1368" t="inlineStr">
        <is>
          <t>JI-00448</t>
        </is>
      </c>
      <c r="B1368" t="inlineStr">
        <is>
          <t>OPS</t>
        </is>
      </c>
      <c r="C1368" s="5" t="n">
        <v>46224</v>
      </c>
      <c r="D1368" t="inlineStr">
        <is>
          <t>Riverbend Plan Partners</t>
        </is>
      </c>
      <c r="E1368" t="inlineStr">
        <is>
          <t>INV/2026/02158</t>
        </is>
      </c>
      <c r="F1368" t="inlineStr">
        <is>
          <t>Customer payment INV/2026/02158</t>
        </is>
      </c>
      <c r="G1368" s="9" t="n">
        <v>242.49</v>
      </c>
      <c r="H1368" t="inlineStr">
        <is>
          <t>customer_payment</t>
        </is>
      </c>
      <c r="I1368" t="inlineStr"/>
      <c r="J1368" t="inlineStr">
        <is>
          <t>G00175</t>
        </is>
      </c>
      <c r="K1368" t="str">
        <f>INDEX('Match Groups'!$D$5:$D$1326,MATCH(J1368,'Match Groups'!$A$5:$A$1326,0))</f>
        <v>MATCH</v>
      </c>
    </row>
    <row r="1369">
      <c r="A1369" t="inlineStr">
        <is>
          <t>JI-00449</t>
        </is>
      </c>
      <c r="B1369" t="inlineStr">
        <is>
          <t>OPS</t>
        </is>
      </c>
      <c r="C1369" s="5" t="n">
        <v>46224</v>
      </c>
      <c r="D1369" t="inlineStr">
        <is>
          <t>Clearpath NDIS Plans</t>
        </is>
      </c>
      <c r="E1369" t="inlineStr">
        <is>
          <t>INV/2026/02041</t>
        </is>
      </c>
      <c r="F1369" t="inlineStr">
        <is>
          <t>Customer payment INV/2026/02041</t>
        </is>
      </c>
      <c r="G1369" s="9" t="n">
        <v>155.19</v>
      </c>
      <c r="H1369" t="inlineStr">
        <is>
          <t>customer_payment</t>
        </is>
      </c>
      <c r="I1369" t="inlineStr"/>
      <c r="J1369" t="inlineStr">
        <is>
          <t>G00176</t>
        </is>
      </c>
      <c r="K1369" t="str">
        <f>INDEX('Match Groups'!$D$5:$D$1326,MATCH(J1369,'Match Groups'!$A$5:$A$1326,0))</f>
        <v>MATCH</v>
      </c>
    </row>
    <row r="1370">
      <c r="A1370" t="inlineStr">
        <is>
          <t>JI-00450</t>
        </is>
      </c>
      <c r="B1370" t="inlineStr">
        <is>
          <t>OPS</t>
        </is>
      </c>
      <c r="C1370" s="5" t="n">
        <v>46224</v>
      </c>
      <c r="D1370" t="inlineStr">
        <is>
          <t>Clearpath NDIS Plans</t>
        </is>
      </c>
      <c r="E1370" t="inlineStr">
        <is>
          <t>INV/2026/02042</t>
        </is>
      </c>
      <c r="F1370" t="inlineStr">
        <is>
          <t>Customer payment INV/2026/02042</t>
        </is>
      </c>
      <c r="G1370" s="9" t="n">
        <v>290.98</v>
      </c>
      <c r="H1370" t="inlineStr">
        <is>
          <t>customer_payment</t>
        </is>
      </c>
      <c r="I1370" t="inlineStr"/>
      <c r="J1370" t="inlineStr">
        <is>
          <t>G00176</t>
        </is>
      </c>
      <c r="K1370" t="str">
        <f>INDEX('Match Groups'!$D$5:$D$1326,MATCH(J1370,'Match Groups'!$A$5:$A$1326,0))</f>
        <v>MATCH</v>
      </c>
    </row>
    <row r="1371">
      <c r="A1371" t="inlineStr">
        <is>
          <t>JI-00451</t>
        </is>
      </c>
      <c r="B1371" t="inlineStr">
        <is>
          <t>OPS</t>
        </is>
      </c>
      <c r="C1371" s="5" t="n">
        <v>46224</v>
      </c>
      <c r="D1371" t="inlineStr">
        <is>
          <t>Clearpath NDIS Plans</t>
        </is>
      </c>
      <c r="E1371" t="inlineStr">
        <is>
          <t>INV/2026/02070</t>
        </is>
      </c>
      <c r="F1371" t="inlineStr">
        <is>
          <t>Customer payment INV/2026/02070</t>
        </is>
      </c>
      <c r="G1371" s="9" t="n">
        <v>145.49</v>
      </c>
      <c r="H1371" t="inlineStr">
        <is>
          <t>customer_payment</t>
        </is>
      </c>
      <c r="I1371" t="inlineStr"/>
      <c r="J1371" t="inlineStr">
        <is>
          <t>G00176</t>
        </is>
      </c>
      <c r="K1371" t="str">
        <f>INDEX('Match Groups'!$D$5:$D$1326,MATCH(J1371,'Match Groups'!$A$5:$A$1326,0))</f>
        <v>MATCH</v>
      </c>
    </row>
    <row r="1372">
      <c r="A1372" t="inlineStr">
        <is>
          <t>JI-00452</t>
        </is>
      </c>
      <c r="B1372" t="inlineStr">
        <is>
          <t>OPS</t>
        </is>
      </c>
      <c r="C1372" s="5" t="n">
        <v>46224</v>
      </c>
      <c r="D1372" t="inlineStr">
        <is>
          <t>Clearpath NDIS Plans</t>
        </is>
      </c>
      <c r="E1372" t="inlineStr">
        <is>
          <t>INV/2026/02071</t>
        </is>
      </c>
      <c r="F1372" t="inlineStr">
        <is>
          <t>Customer payment INV/2026/02071</t>
        </is>
      </c>
      <c r="G1372" s="9" t="n">
        <v>300.69</v>
      </c>
      <c r="H1372" t="inlineStr">
        <is>
          <t>customer_payment</t>
        </is>
      </c>
      <c r="I1372" t="inlineStr"/>
      <c r="J1372" t="inlineStr">
        <is>
          <t>G00176</t>
        </is>
      </c>
      <c r="K1372" t="str">
        <f>INDEX('Match Groups'!$D$5:$D$1326,MATCH(J1372,'Match Groups'!$A$5:$A$1326,0))</f>
        <v>MATCH</v>
      </c>
    </row>
    <row r="1373">
      <c r="A1373" t="inlineStr">
        <is>
          <t>JI-00453</t>
        </is>
      </c>
      <c r="B1373" t="inlineStr">
        <is>
          <t>OPS</t>
        </is>
      </c>
      <c r="C1373" s="5" t="n">
        <v>46224</v>
      </c>
      <c r="D1373" t="inlineStr">
        <is>
          <t>Clearpath NDIS Plans</t>
        </is>
      </c>
      <c r="E1373" t="inlineStr">
        <is>
          <t>INV/2026/02091</t>
        </is>
      </c>
      <c r="F1373" t="inlineStr">
        <is>
          <t>Customer payment INV/2026/02091</t>
        </is>
      </c>
      <c r="G1373" s="9" t="n">
        <v>242.49</v>
      </c>
      <c r="H1373" t="inlineStr">
        <is>
          <t>customer_payment</t>
        </is>
      </c>
      <c r="I1373" t="inlineStr"/>
      <c r="J1373" t="inlineStr">
        <is>
          <t>G00176</t>
        </is>
      </c>
      <c r="K1373" t="str">
        <f>INDEX('Match Groups'!$D$5:$D$1326,MATCH(J1373,'Match Groups'!$A$5:$A$1326,0))</f>
        <v>MATCH</v>
      </c>
    </row>
    <row r="1374">
      <c r="A1374" t="inlineStr">
        <is>
          <t>JI-00454</t>
        </is>
      </c>
      <c r="B1374" t="inlineStr">
        <is>
          <t>OPS</t>
        </is>
      </c>
      <c r="C1374" s="5" t="n">
        <v>46224</v>
      </c>
      <c r="D1374" t="inlineStr">
        <is>
          <t>Clearpath NDIS Plans</t>
        </is>
      </c>
      <c r="E1374" t="inlineStr">
        <is>
          <t>INV/2026/02092</t>
        </is>
      </c>
      <c r="F1374" t="inlineStr">
        <is>
          <t>Customer payment INV/2026/02092</t>
        </is>
      </c>
      <c r="G1374" s="9" t="n">
        <v>126.99</v>
      </c>
      <c r="H1374" t="inlineStr">
        <is>
          <t>customer_payment</t>
        </is>
      </c>
      <c r="I1374" t="inlineStr"/>
      <c r="J1374" t="inlineStr">
        <is>
          <t>G00176</t>
        </is>
      </c>
      <c r="K1374" t="str">
        <f>INDEX('Match Groups'!$D$5:$D$1326,MATCH(J1374,'Match Groups'!$A$5:$A$1326,0))</f>
        <v>MATCH</v>
      </c>
    </row>
    <row r="1375">
      <c r="A1375" t="inlineStr">
        <is>
          <t>JI-00455</t>
        </is>
      </c>
      <c r="B1375" t="inlineStr">
        <is>
          <t>OPS</t>
        </is>
      </c>
      <c r="C1375" s="5" t="n">
        <v>46224</v>
      </c>
      <c r="D1375" t="inlineStr">
        <is>
          <t>Clearpath NDIS Plans</t>
        </is>
      </c>
      <c r="E1375" t="inlineStr">
        <is>
          <t>INV/2026/02111</t>
        </is>
      </c>
      <c r="F1375" t="inlineStr">
        <is>
          <t>Customer payment INV/2026/02111</t>
        </is>
      </c>
      <c r="G1375" s="9" t="n">
        <v>193.99</v>
      </c>
      <c r="H1375" t="inlineStr">
        <is>
          <t>customer_payment</t>
        </is>
      </c>
      <c r="I1375" t="inlineStr"/>
      <c r="J1375" t="inlineStr">
        <is>
          <t>G00176</t>
        </is>
      </c>
      <c r="K1375" t="str">
        <f>INDEX('Match Groups'!$D$5:$D$1326,MATCH(J1375,'Match Groups'!$A$5:$A$1326,0))</f>
        <v>MATCH</v>
      </c>
    </row>
    <row r="1376">
      <c r="A1376" t="inlineStr">
        <is>
          <t>JI-00456</t>
        </is>
      </c>
      <c r="B1376" t="inlineStr">
        <is>
          <t>OPS</t>
        </is>
      </c>
      <c r="C1376" s="5" t="n">
        <v>46224</v>
      </c>
      <c r="D1376" t="inlineStr">
        <is>
          <t>Clearpath NDIS Plans</t>
        </is>
      </c>
      <c r="E1376" t="inlineStr">
        <is>
          <t>INV/2026/02112</t>
        </is>
      </c>
      <c r="F1376" t="inlineStr">
        <is>
          <t>Customer payment INV/2026/02112</t>
        </is>
      </c>
      <c r="G1376" s="9" t="n">
        <v>446.18</v>
      </c>
      <c r="H1376" t="inlineStr">
        <is>
          <t>customer_payment</t>
        </is>
      </c>
      <c r="I1376" t="inlineStr"/>
      <c r="J1376" t="inlineStr">
        <is>
          <t>G00176</t>
        </is>
      </c>
      <c r="K1376" t="str">
        <f>INDEX('Match Groups'!$D$5:$D$1326,MATCH(J1376,'Match Groups'!$A$5:$A$1326,0))</f>
        <v>MATCH</v>
      </c>
    </row>
    <row r="1377">
      <c r="A1377" t="inlineStr">
        <is>
          <t>JI-00457</t>
        </is>
      </c>
      <c r="B1377" t="inlineStr">
        <is>
          <t>OPS</t>
        </is>
      </c>
      <c r="C1377" s="5" t="n">
        <v>46224</v>
      </c>
      <c r="D1377" t="inlineStr">
        <is>
          <t>Clearpath NDIS Plans</t>
        </is>
      </c>
      <c r="E1377" t="inlineStr">
        <is>
          <t>INV/2026/02159</t>
        </is>
      </c>
      <c r="F1377" t="inlineStr">
        <is>
          <t>Customer payment INV/2026/02159</t>
        </is>
      </c>
      <c r="G1377" s="9" t="n">
        <v>387.98</v>
      </c>
      <c r="H1377" t="inlineStr">
        <is>
          <t>customer_payment</t>
        </is>
      </c>
      <c r="I1377" t="inlineStr"/>
      <c r="J1377" t="inlineStr">
        <is>
          <t>G00176</t>
        </is>
      </c>
      <c r="K1377" t="str">
        <f>INDEX('Match Groups'!$D$5:$D$1326,MATCH(J1377,'Match Groups'!$A$5:$A$1326,0))</f>
        <v>MATCH</v>
      </c>
    </row>
    <row r="1378">
      <c r="A1378" t="inlineStr">
        <is>
          <t>JI-00458</t>
        </is>
      </c>
      <c r="B1378" t="inlineStr">
        <is>
          <t>OPS</t>
        </is>
      </c>
      <c r="C1378" s="5" t="n">
        <v>46224</v>
      </c>
      <c r="D1378" t="inlineStr">
        <is>
          <t>Clearpath NDIS Plans</t>
        </is>
      </c>
      <c r="E1378" t="inlineStr">
        <is>
          <t>INV/2026/02185</t>
        </is>
      </c>
      <c r="F1378" t="inlineStr">
        <is>
          <t>Customer payment INV/2026/02185</t>
        </is>
      </c>
      <c r="G1378" s="9" t="n">
        <v>242.49</v>
      </c>
      <c r="H1378" t="inlineStr">
        <is>
          <t>customer_payment</t>
        </is>
      </c>
      <c r="I1378" t="inlineStr"/>
      <c r="J1378" t="inlineStr">
        <is>
          <t>G00176</t>
        </is>
      </c>
      <c r="K1378" t="str">
        <f>INDEX('Match Groups'!$D$5:$D$1326,MATCH(J1378,'Match Groups'!$A$5:$A$1326,0))</f>
        <v>MATCH</v>
      </c>
    </row>
    <row r="1379">
      <c r="A1379" t="inlineStr">
        <is>
          <t>JI-00459</t>
        </is>
      </c>
      <c r="B1379" t="inlineStr">
        <is>
          <t>OPS</t>
        </is>
      </c>
      <c r="C1379" s="5" t="n">
        <v>46224</v>
      </c>
      <c r="D1379" t="inlineStr">
        <is>
          <t>Clearpath NDIS Plans</t>
        </is>
      </c>
      <c r="E1379" t="inlineStr">
        <is>
          <t>INV/2026/02186</t>
        </is>
      </c>
      <c r="F1379" t="inlineStr">
        <is>
          <t>Customer payment INV/2026/02186</t>
        </is>
      </c>
      <c r="G1379" s="9" t="n">
        <v>290.98</v>
      </c>
      <c r="H1379" t="inlineStr">
        <is>
          <t>customer_payment</t>
        </is>
      </c>
      <c r="I1379" t="inlineStr"/>
      <c r="J1379" t="inlineStr">
        <is>
          <t>G00176</t>
        </is>
      </c>
      <c r="K1379" t="str">
        <f>INDEX('Match Groups'!$D$5:$D$1326,MATCH(J1379,'Match Groups'!$A$5:$A$1326,0))</f>
        <v>MATCH</v>
      </c>
    </row>
    <row r="1380">
      <c r="A1380" t="inlineStr">
        <is>
          <t>JI-00460</t>
        </is>
      </c>
      <c r="B1380" t="inlineStr">
        <is>
          <t>OPS</t>
        </is>
      </c>
      <c r="C1380" s="5" t="n">
        <v>46224</v>
      </c>
      <c r="D1380" t="inlineStr">
        <is>
          <t>Clearpath NDIS Plans</t>
        </is>
      </c>
      <c r="E1380" t="inlineStr">
        <is>
          <t>INV/2026/02187</t>
        </is>
      </c>
      <c r="F1380" t="inlineStr">
        <is>
          <t>Customer payment INV/2026/02187</t>
        </is>
      </c>
      <c r="G1380" s="9" t="n">
        <v>320.98</v>
      </c>
      <c r="H1380" t="inlineStr">
        <is>
          <t>customer_payment</t>
        </is>
      </c>
      <c r="I1380" t="inlineStr"/>
      <c r="J1380" t="inlineStr">
        <is>
          <t>G00176</t>
        </is>
      </c>
      <c r="K1380" t="str">
        <f>INDEX('Match Groups'!$D$5:$D$1326,MATCH(J1380,'Match Groups'!$A$5:$A$1326,0))</f>
        <v>MATCH</v>
      </c>
    </row>
    <row r="1381">
      <c r="A1381" t="inlineStr">
        <is>
          <t>JI-00461</t>
        </is>
      </c>
      <c r="B1381" t="inlineStr">
        <is>
          <t>OPS</t>
        </is>
      </c>
      <c r="C1381" s="5" t="n">
        <v>46224</v>
      </c>
      <c r="D1381" t="inlineStr">
        <is>
          <t>Wattle Plan Services</t>
        </is>
      </c>
      <c r="E1381" t="inlineStr">
        <is>
          <t>INV/2026/01733</t>
        </is>
      </c>
      <c r="F1381" t="inlineStr">
        <is>
          <t>Customer payment INV/2026/01733</t>
        </is>
      </c>
      <c r="G1381" s="9" t="n">
        <v>145.49</v>
      </c>
      <c r="H1381" t="inlineStr">
        <is>
          <t>customer_payment</t>
        </is>
      </c>
      <c r="I1381" t="inlineStr"/>
      <c r="J1381" t="inlineStr">
        <is>
          <t>G00177</t>
        </is>
      </c>
      <c r="K1381" t="str">
        <f>INDEX('Match Groups'!$D$5:$D$1326,MATCH(J1381,'Match Groups'!$A$5:$A$1326,0))</f>
        <v>MATCH</v>
      </c>
    </row>
    <row r="1382">
      <c r="A1382" t="inlineStr">
        <is>
          <t>JI-00462</t>
        </is>
      </c>
      <c r="B1382" t="inlineStr">
        <is>
          <t>OPS</t>
        </is>
      </c>
      <c r="C1382" s="5" t="n">
        <v>46224</v>
      </c>
      <c r="D1382" t="inlineStr">
        <is>
          <t>Wattle Plan Services</t>
        </is>
      </c>
      <c r="E1382" t="inlineStr">
        <is>
          <t>INV/2026/01751</t>
        </is>
      </c>
      <c r="F1382" t="inlineStr">
        <is>
          <t>Customer payment INV/2026/01751</t>
        </is>
      </c>
      <c r="G1382" s="9" t="n">
        <v>290.98</v>
      </c>
      <c r="H1382" t="inlineStr">
        <is>
          <t>customer_payment</t>
        </is>
      </c>
      <c r="I1382" t="inlineStr"/>
      <c r="J1382" t="inlineStr">
        <is>
          <t>G00177</t>
        </is>
      </c>
      <c r="K1382" t="str">
        <f>INDEX('Match Groups'!$D$5:$D$1326,MATCH(J1382,'Match Groups'!$A$5:$A$1326,0))</f>
        <v>MATCH</v>
      </c>
    </row>
    <row r="1383">
      <c r="A1383" t="inlineStr">
        <is>
          <t>JI-00463</t>
        </is>
      </c>
      <c r="B1383" t="inlineStr">
        <is>
          <t>OPS</t>
        </is>
      </c>
      <c r="C1383" s="5" t="n">
        <v>46224</v>
      </c>
      <c r="D1383" t="inlineStr">
        <is>
          <t>Wattle Plan Services</t>
        </is>
      </c>
      <c r="E1383" t="inlineStr">
        <is>
          <t>INV/2026/01752</t>
        </is>
      </c>
      <c r="F1383" t="inlineStr">
        <is>
          <t>Customer payment INV/2026/01752</t>
        </is>
      </c>
      <c r="G1383" s="9" t="n">
        <v>96.98999999999999</v>
      </c>
      <c r="H1383" t="inlineStr">
        <is>
          <t>customer_payment</t>
        </is>
      </c>
      <c r="I1383" t="inlineStr"/>
      <c r="J1383" t="inlineStr">
        <is>
          <t>G00177</t>
        </is>
      </c>
      <c r="K1383" t="str">
        <f>INDEX('Match Groups'!$D$5:$D$1326,MATCH(J1383,'Match Groups'!$A$5:$A$1326,0))</f>
        <v>MATCH</v>
      </c>
    </row>
    <row r="1384">
      <c r="A1384" t="inlineStr">
        <is>
          <t>JI-00464</t>
        </is>
      </c>
      <c r="B1384" t="inlineStr">
        <is>
          <t>OPS</t>
        </is>
      </c>
      <c r="C1384" s="5" t="n">
        <v>46224</v>
      </c>
      <c r="D1384" t="inlineStr">
        <is>
          <t>Wattle Plan Services</t>
        </is>
      </c>
      <c r="E1384" t="inlineStr">
        <is>
          <t>INV/2026/01753</t>
        </is>
      </c>
      <c r="F1384" t="inlineStr">
        <is>
          <t>Customer payment INV/2026/01753</t>
        </is>
      </c>
      <c r="G1384" s="9" t="n">
        <v>193.99</v>
      </c>
      <c r="H1384" t="inlineStr">
        <is>
          <t>customer_payment</t>
        </is>
      </c>
      <c r="I1384" t="inlineStr"/>
      <c r="J1384" t="inlineStr">
        <is>
          <t>G00177</t>
        </is>
      </c>
      <c r="K1384" t="str">
        <f>INDEX('Match Groups'!$D$5:$D$1326,MATCH(J1384,'Match Groups'!$A$5:$A$1326,0))</f>
        <v>MATCH</v>
      </c>
    </row>
    <row r="1385">
      <c r="A1385" t="inlineStr">
        <is>
          <t>JI-00465</t>
        </is>
      </c>
      <c r="B1385" t="inlineStr">
        <is>
          <t>OPS</t>
        </is>
      </c>
      <c r="C1385" s="5" t="n">
        <v>46224</v>
      </c>
      <c r="D1385" t="inlineStr">
        <is>
          <t>Wattle Plan Services</t>
        </is>
      </c>
      <c r="E1385" t="inlineStr">
        <is>
          <t>INV/2026/01777</t>
        </is>
      </c>
      <c r="F1385" t="inlineStr">
        <is>
          <t>Customer payment INV/2026/01777</t>
        </is>
      </c>
      <c r="G1385" s="9" t="n">
        <v>349.18</v>
      </c>
      <c r="H1385" t="inlineStr">
        <is>
          <t>customer_payment</t>
        </is>
      </c>
      <c r="I1385" t="inlineStr"/>
      <c r="J1385" t="inlineStr">
        <is>
          <t>G00177</t>
        </is>
      </c>
      <c r="K1385" t="str">
        <f>INDEX('Match Groups'!$D$5:$D$1326,MATCH(J1385,'Match Groups'!$A$5:$A$1326,0))</f>
        <v>MATCH</v>
      </c>
    </row>
    <row r="1386">
      <c r="A1386" t="inlineStr">
        <is>
          <t>JI-00466</t>
        </is>
      </c>
      <c r="B1386" t="inlineStr">
        <is>
          <t>OPS</t>
        </is>
      </c>
      <c r="C1386" s="5" t="n">
        <v>46224</v>
      </c>
      <c r="D1386" t="inlineStr">
        <is>
          <t>Wattle Plan Services</t>
        </is>
      </c>
      <c r="E1386" t="inlineStr">
        <is>
          <t>INV/2026/01778</t>
        </is>
      </c>
      <c r="F1386" t="inlineStr">
        <is>
          <t>Customer payment INV/2026/01778</t>
        </is>
      </c>
      <c r="G1386" s="9" t="n">
        <v>290.98</v>
      </c>
      <c r="H1386" t="inlineStr">
        <is>
          <t>customer_payment</t>
        </is>
      </c>
      <c r="I1386" t="inlineStr"/>
      <c r="J1386" t="inlineStr">
        <is>
          <t>G00177</t>
        </is>
      </c>
      <c r="K1386" t="str">
        <f>INDEX('Match Groups'!$D$5:$D$1326,MATCH(J1386,'Match Groups'!$A$5:$A$1326,0))</f>
        <v>MATCH</v>
      </c>
    </row>
    <row r="1387">
      <c r="A1387" t="inlineStr">
        <is>
          <t>JI-00467</t>
        </is>
      </c>
      <c r="B1387" t="inlineStr">
        <is>
          <t>OPS</t>
        </is>
      </c>
      <c r="C1387" s="5" t="n">
        <v>46224</v>
      </c>
      <c r="D1387" t="inlineStr">
        <is>
          <t>Lyrebird Plan Management</t>
        </is>
      </c>
      <c r="E1387" t="inlineStr">
        <is>
          <t>INV/2026/02031</t>
        </is>
      </c>
      <c r="F1387" t="inlineStr">
        <is>
          <t>Customer payment INV/2026/02031</t>
        </is>
      </c>
      <c r="G1387" s="9" t="n">
        <v>193.99</v>
      </c>
      <c r="H1387" t="inlineStr">
        <is>
          <t>customer_payment</t>
        </is>
      </c>
      <c r="I1387" t="inlineStr"/>
      <c r="J1387" t="inlineStr">
        <is>
          <t>G00178</t>
        </is>
      </c>
      <c r="K1387" t="str">
        <f>INDEX('Match Groups'!$D$5:$D$1326,MATCH(J1387,'Match Groups'!$A$5:$A$1326,0))</f>
        <v>MATCH</v>
      </c>
    </row>
    <row r="1388">
      <c r="A1388" t="inlineStr">
        <is>
          <t>JI-00468</t>
        </is>
      </c>
      <c r="B1388" t="inlineStr">
        <is>
          <t>OPS</t>
        </is>
      </c>
      <c r="C1388" s="5" t="n">
        <v>46224</v>
      </c>
      <c r="D1388" t="inlineStr">
        <is>
          <t>Lyrebird Plan Management</t>
        </is>
      </c>
      <c r="E1388" t="inlineStr">
        <is>
          <t>INV/2026/02055</t>
        </is>
      </c>
      <c r="F1388" t="inlineStr">
        <is>
          <t>Customer payment INV/2026/02055</t>
        </is>
      </c>
      <c r="G1388" s="9" t="n">
        <v>175.49</v>
      </c>
      <c r="H1388" t="inlineStr">
        <is>
          <t>customer_payment</t>
        </is>
      </c>
      <c r="I1388" t="inlineStr"/>
      <c r="J1388" t="inlineStr">
        <is>
          <t>G00178</t>
        </is>
      </c>
      <c r="K1388" t="str">
        <f>INDEX('Match Groups'!$D$5:$D$1326,MATCH(J1388,'Match Groups'!$A$5:$A$1326,0))</f>
        <v>MATCH</v>
      </c>
    </row>
    <row r="1389">
      <c r="A1389" t="inlineStr">
        <is>
          <t>JI-00469</t>
        </is>
      </c>
      <c r="B1389" t="inlineStr">
        <is>
          <t>OPS</t>
        </is>
      </c>
      <c r="C1389" s="5" t="n">
        <v>46224</v>
      </c>
      <c r="D1389" t="inlineStr">
        <is>
          <t>Lyrebird Plan Management</t>
        </is>
      </c>
      <c r="E1389" t="inlineStr">
        <is>
          <t>INV/2026/02056</t>
        </is>
      </c>
      <c r="F1389" t="inlineStr">
        <is>
          <t>Customer payment INV/2026/02056</t>
        </is>
      </c>
      <c r="G1389" s="9" t="n">
        <v>96.98999999999999</v>
      </c>
      <c r="H1389" t="inlineStr">
        <is>
          <t>customer_payment</t>
        </is>
      </c>
      <c r="I1389" t="inlineStr"/>
      <c r="J1389" t="inlineStr">
        <is>
          <t>G00178</t>
        </is>
      </c>
      <c r="K1389" t="str">
        <f>INDEX('Match Groups'!$D$5:$D$1326,MATCH(J1389,'Match Groups'!$A$5:$A$1326,0))</f>
        <v>MATCH</v>
      </c>
    </row>
    <row r="1390">
      <c r="A1390" t="inlineStr">
        <is>
          <t>JI-00470</t>
        </is>
      </c>
      <c r="B1390" t="inlineStr">
        <is>
          <t>OPS</t>
        </is>
      </c>
      <c r="C1390" s="5" t="n">
        <v>46224</v>
      </c>
      <c r="D1390" t="inlineStr">
        <is>
          <t>Acacia Plan Partners</t>
        </is>
      </c>
      <c r="E1390" t="inlineStr">
        <is>
          <t>INV/2026/01791</t>
        </is>
      </c>
      <c r="F1390" t="inlineStr">
        <is>
          <t>Customer payment INV/2026/01791</t>
        </is>
      </c>
      <c r="G1390" s="9" t="n">
        <v>272.49</v>
      </c>
      <c r="H1390" t="inlineStr">
        <is>
          <t>customer_payment</t>
        </is>
      </c>
      <c r="I1390" t="inlineStr"/>
      <c r="J1390" t="inlineStr">
        <is>
          <t>G00179</t>
        </is>
      </c>
      <c r="K1390" t="str">
        <f>INDEX('Match Groups'!$D$5:$D$1326,MATCH(J1390,'Match Groups'!$A$5:$A$1326,0))</f>
        <v>MATCH</v>
      </c>
    </row>
    <row r="1391">
      <c r="A1391" t="inlineStr">
        <is>
          <t>JI-00471</t>
        </is>
      </c>
      <c r="B1391" t="inlineStr">
        <is>
          <t>OPS</t>
        </is>
      </c>
      <c r="C1391" s="5" t="n">
        <v>46224</v>
      </c>
      <c r="D1391" t="inlineStr">
        <is>
          <t>Acacia Plan Partners</t>
        </is>
      </c>
      <c r="E1391" t="inlineStr">
        <is>
          <t>INV/2026/01820</t>
        </is>
      </c>
      <c r="F1391" t="inlineStr">
        <is>
          <t>Customer payment INV/2026/01820</t>
        </is>
      </c>
      <c r="G1391" s="9" t="n">
        <v>300.69</v>
      </c>
      <c r="H1391" t="inlineStr">
        <is>
          <t>customer_payment</t>
        </is>
      </c>
      <c r="I1391" t="inlineStr"/>
      <c r="J1391" t="inlineStr">
        <is>
          <t>G00179</t>
        </is>
      </c>
      <c r="K1391" t="str">
        <f>INDEX('Match Groups'!$D$5:$D$1326,MATCH(J1391,'Match Groups'!$A$5:$A$1326,0))</f>
        <v>MATCH</v>
      </c>
    </row>
    <row r="1392">
      <c r="A1392" t="inlineStr">
        <is>
          <t>JI-00472</t>
        </is>
      </c>
      <c r="B1392" t="inlineStr">
        <is>
          <t>OPS</t>
        </is>
      </c>
      <c r="C1392" s="5" t="n">
        <v>46224</v>
      </c>
      <c r="D1392" t="inlineStr">
        <is>
          <t>Acacia Plan Partners</t>
        </is>
      </c>
      <c r="E1392" t="inlineStr">
        <is>
          <t>INV/2026/01836</t>
        </is>
      </c>
      <c r="F1392" t="inlineStr">
        <is>
          <t>Customer payment INV/2026/01836</t>
        </is>
      </c>
      <c r="G1392" s="9" t="n">
        <v>387.98</v>
      </c>
      <c r="H1392" t="inlineStr">
        <is>
          <t>customer_payment</t>
        </is>
      </c>
      <c r="I1392" t="inlineStr"/>
      <c r="J1392" t="inlineStr">
        <is>
          <t>G00179</t>
        </is>
      </c>
      <c r="K1392" t="str">
        <f>INDEX('Match Groups'!$D$5:$D$1326,MATCH(J1392,'Match Groups'!$A$5:$A$1326,0))</f>
        <v>MATCH</v>
      </c>
    </row>
    <row r="1393">
      <c r="A1393" t="inlineStr">
        <is>
          <t>JI-00473</t>
        </is>
      </c>
      <c r="B1393" t="inlineStr">
        <is>
          <t>OPS</t>
        </is>
      </c>
      <c r="C1393" s="5" t="n">
        <v>46224</v>
      </c>
      <c r="D1393" t="inlineStr">
        <is>
          <t>Acacia Plan Partners</t>
        </is>
      </c>
      <c r="E1393" t="inlineStr">
        <is>
          <t>INV/2026/01837</t>
        </is>
      </c>
      <c r="F1393" t="inlineStr">
        <is>
          <t>Customer payment INV/2026/01837</t>
        </is>
      </c>
      <c r="G1393" s="9" t="n">
        <v>145.49</v>
      </c>
      <c r="H1393" t="inlineStr">
        <is>
          <t>customer_payment</t>
        </is>
      </c>
      <c r="I1393" t="inlineStr"/>
      <c r="J1393" t="inlineStr">
        <is>
          <t>G00179</t>
        </is>
      </c>
      <c r="K1393" t="str">
        <f>INDEX('Match Groups'!$D$5:$D$1326,MATCH(J1393,'Match Groups'!$A$5:$A$1326,0))</f>
        <v>MATCH</v>
      </c>
    </row>
    <row r="1394">
      <c r="A1394" t="inlineStr">
        <is>
          <t>JI-00474</t>
        </is>
      </c>
      <c r="B1394" t="inlineStr">
        <is>
          <t>OPS</t>
        </is>
      </c>
      <c r="C1394" s="5" t="n">
        <v>46224</v>
      </c>
      <c r="D1394" t="inlineStr">
        <is>
          <t>Acacia Plan Partners</t>
        </is>
      </c>
      <c r="E1394" t="inlineStr">
        <is>
          <t>INV/2026/01865</t>
        </is>
      </c>
      <c r="F1394" t="inlineStr">
        <is>
          <t>Customer payment INV/2026/01865</t>
        </is>
      </c>
      <c r="G1394" s="9" t="n">
        <v>349.18</v>
      </c>
      <c r="H1394" t="inlineStr">
        <is>
          <t>customer_payment</t>
        </is>
      </c>
      <c r="I1394" t="inlineStr"/>
      <c r="J1394" t="inlineStr">
        <is>
          <t>G00179</t>
        </is>
      </c>
      <c r="K1394" t="str">
        <f>INDEX('Match Groups'!$D$5:$D$1326,MATCH(J1394,'Match Groups'!$A$5:$A$1326,0))</f>
        <v>MATCH</v>
      </c>
    </row>
    <row r="1395">
      <c r="A1395" t="inlineStr">
        <is>
          <t>JI-00475</t>
        </is>
      </c>
      <c r="B1395" t="inlineStr">
        <is>
          <t>OPS</t>
        </is>
      </c>
      <c r="C1395" s="5" t="n">
        <v>46224</v>
      </c>
      <c r="D1395" t="inlineStr">
        <is>
          <t>Acacia Plan Partners</t>
        </is>
      </c>
      <c r="E1395" t="inlineStr">
        <is>
          <t>INV/2026/01866</t>
        </is>
      </c>
      <c r="F1395" t="inlineStr">
        <is>
          <t>Customer payment INV/2026/01866</t>
        </is>
      </c>
      <c r="G1395" s="9" t="n">
        <v>272.49</v>
      </c>
      <c r="H1395" t="inlineStr">
        <is>
          <t>customer_payment</t>
        </is>
      </c>
      <c r="I1395" t="inlineStr"/>
      <c r="J1395" t="inlineStr">
        <is>
          <t>G00179</t>
        </is>
      </c>
      <c r="K1395" t="str">
        <f>INDEX('Match Groups'!$D$5:$D$1326,MATCH(J1395,'Match Groups'!$A$5:$A$1326,0))</f>
        <v>MATCH</v>
      </c>
    </row>
    <row r="1396">
      <c r="A1396" t="inlineStr">
        <is>
          <t>JI-00476</t>
        </is>
      </c>
      <c r="B1396" t="inlineStr">
        <is>
          <t>OPS</t>
        </is>
      </c>
      <c r="C1396" s="5" t="n">
        <v>46224</v>
      </c>
      <c r="D1396" t="inlineStr">
        <is>
          <t>Acacia Plan Partners</t>
        </is>
      </c>
      <c r="E1396" t="inlineStr">
        <is>
          <t>INV/2026/01890</t>
        </is>
      </c>
      <c r="F1396" t="inlineStr">
        <is>
          <t>Customer payment INV/2026/01890</t>
        </is>
      </c>
      <c r="G1396" s="9" t="n">
        <v>417.98</v>
      </c>
      <c r="H1396" t="inlineStr">
        <is>
          <t>customer_payment</t>
        </is>
      </c>
      <c r="I1396" t="inlineStr"/>
      <c r="J1396" t="inlineStr">
        <is>
          <t>G00179</t>
        </is>
      </c>
      <c r="K1396" t="str">
        <f>INDEX('Match Groups'!$D$5:$D$1326,MATCH(J1396,'Match Groups'!$A$5:$A$1326,0))</f>
        <v>MATCH</v>
      </c>
    </row>
    <row r="1397">
      <c r="A1397" t="inlineStr">
        <is>
          <t>JI-00477</t>
        </is>
      </c>
      <c r="B1397" t="inlineStr">
        <is>
          <t>OPS</t>
        </is>
      </c>
      <c r="C1397" s="5" t="n">
        <v>46224</v>
      </c>
      <c r="D1397" t="inlineStr">
        <is>
          <t>Acacia Plan Partners</t>
        </is>
      </c>
      <c r="E1397" t="inlineStr">
        <is>
          <t>INV/2026/01911</t>
        </is>
      </c>
      <c r="F1397" t="inlineStr">
        <is>
          <t>Customer payment INV/2026/01911</t>
        </is>
      </c>
      <c r="G1397" s="9" t="n">
        <v>96.98999999999999</v>
      </c>
      <c r="H1397" t="inlineStr">
        <is>
          <t>customer_payment</t>
        </is>
      </c>
      <c r="I1397" t="inlineStr"/>
      <c r="J1397" t="inlineStr">
        <is>
          <t>G00179</t>
        </is>
      </c>
      <c r="K1397" t="str">
        <f>INDEX('Match Groups'!$D$5:$D$1326,MATCH(J1397,'Match Groups'!$A$5:$A$1326,0))</f>
        <v>MATCH</v>
      </c>
    </row>
    <row r="1398">
      <c r="A1398" t="inlineStr">
        <is>
          <t>JI-01562</t>
        </is>
      </c>
      <c r="B1398" t="inlineStr">
        <is>
          <t>OPS</t>
        </is>
      </c>
      <c r="C1398" s="5" t="n">
        <v>46224</v>
      </c>
      <c r="D1398" t="inlineStr">
        <is>
          <t>Coastline Health Fund</t>
        </is>
      </c>
      <c r="E1398" t="inlineStr">
        <is>
          <t>INV/2026/01893</t>
        </is>
      </c>
      <c r="F1398" t="inlineStr">
        <is>
          <t>Customer payment INV/2026/01893</t>
        </is>
      </c>
      <c r="G1398" s="9" t="n">
        <v>176</v>
      </c>
      <c r="H1398" t="inlineStr">
        <is>
          <t>customer_payment</t>
        </is>
      </c>
      <c r="I1398" t="inlineStr"/>
      <c r="J1398" t="inlineStr">
        <is>
          <t>G00957</t>
        </is>
      </c>
      <c r="K1398" t="str">
        <f>INDEX('Match Groups'!$D$5:$D$1326,MATCH(J1398,'Match Groups'!$A$5:$A$1326,0))</f>
        <v>MATCH</v>
      </c>
    </row>
    <row r="1399">
      <c r="A1399" t="inlineStr">
        <is>
          <t>JI-01565</t>
        </is>
      </c>
      <c r="B1399" t="inlineStr">
        <is>
          <t>OPS</t>
        </is>
      </c>
      <c r="C1399" s="5" t="n">
        <v>46224</v>
      </c>
      <c r="D1399" t="inlineStr">
        <is>
          <t>Coastline Health Fund</t>
        </is>
      </c>
      <c r="E1399" t="inlineStr">
        <is>
          <t>INV/2026/02062</t>
        </is>
      </c>
      <c r="F1399" t="inlineStr">
        <is>
          <t>Customer payment INV/2026/02062</t>
        </is>
      </c>
      <c r="G1399" s="9" t="n">
        <v>412.5</v>
      </c>
      <c r="H1399" t="inlineStr">
        <is>
          <t>customer_payment</t>
        </is>
      </c>
      <c r="I1399" t="inlineStr"/>
      <c r="J1399" t="inlineStr">
        <is>
          <t>G00958</t>
        </is>
      </c>
      <c r="K1399" t="str">
        <f>INDEX('Match Groups'!$D$5:$D$1326,MATCH(J1399,'Match Groups'!$A$5:$A$1326,0))</f>
        <v>MATCH</v>
      </c>
    </row>
    <row r="1400">
      <c r="A1400" t="inlineStr">
        <is>
          <t>JI-01616</t>
        </is>
      </c>
      <c r="B1400" t="inlineStr">
        <is>
          <t>OPS</t>
        </is>
      </c>
      <c r="C1400" s="5" t="n">
        <v>46224</v>
      </c>
      <c r="D1400" t="inlineStr">
        <is>
          <t>Meridian Health Cover</t>
        </is>
      </c>
      <c r="E1400" t="inlineStr">
        <is>
          <t>INV/2026/02105</t>
        </is>
      </c>
      <c r="F1400" t="inlineStr">
        <is>
          <t>Customer payment INV/2026/02105</t>
        </is>
      </c>
      <c r="G1400" s="9" t="n">
        <v>264</v>
      </c>
      <c r="H1400" t="inlineStr">
        <is>
          <t>customer_payment</t>
        </is>
      </c>
      <c r="I1400" t="inlineStr"/>
      <c r="J1400" t="inlineStr">
        <is>
          <t>G00954</t>
        </is>
      </c>
      <c r="K1400" t="str">
        <f>INDEX('Match Groups'!$D$5:$D$1326,MATCH(J1400,'Match Groups'!$A$5:$A$1326,0))</f>
        <v>MATCH</v>
      </c>
    </row>
    <row r="1401">
      <c r="A1401" t="inlineStr">
        <is>
          <t>JI-01670</t>
        </is>
      </c>
      <c r="B1401" t="inlineStr">
        <is>
          <t>OPS</t>
        </is>
      </c>
      <c r="C1401" s="5" t="n">
        <v>46224</v>
      </c>
      <c r="D1401" t="inlineStr">
        <is>
          <t>Pellucid Software Pty Ltd</t>
        </is>
      </c>
      <c r="E1401" t="inlineStr">
        <is>
          <t>INV/2026/03421</t>
        </is>
      </c>
      <c r="F1401" t="inlineStr">
        <is>
          <t>Customer payment INV/2026/03421</t>
        </is>
      </c>
      <c r="G1401" s="9" t="n">
        <v>15950</v>
      </c>
      <c r="H1401" t="inlineStr">
        <is>
          <t>customer_payment</t>
        </is>
      </c>
      <c r="I1401" t="inlineStr"/>
      <c r="J1401" t="inlineStr">
        <is>
          <t>G00955</t>
        </is>
      </c>
      <c r="K1401" t="str">
        <f>INDEX('Match Groups'!$D$5:$D$1326,MATCH(J1401,'Match Groups'!$A$5:$A$1326,0))</f>
        <v>MATCH</v>
      </c>
    </row>
    <row r="1402">
      <c r="A1402" t="inlineStr">
        <is>
          <t>JI-02231</t>
        </is>
      </c>
      <c r="B1402" t="inlineStr">
        <is>
          <t>OPS</t>
        </is>
      </c>
      <c r="C1402" s="5" t="n">
        <v>46224</v>
      </c>
      <c r="D1402" t="inlineStr">
        <is>
          <t>Stripe patient 97285</t>
        </is>
      </c>
      <c r="E1402" t="inlineStr">
        <is>
          <t>INV/2026/04078</t>
        </is>
      </c>
      <c r="F1402" t="inlineStr">
        <is>
          <t>Customer payment INV/2026/04078</t>
        </is>
      </c>
      <c r="G1402" s="9" t="n">
        <v>95</v>
      </c>
      <c r="H1402" t="inlineStr">
        <is>
          <t>customer_payment</t>
        </is>
      </c>
      <c r="I1402" t="inlineStr"/>
      <c r="J1402" t="inlineStr">
        <is>
          <t>G00030</t>
        </is>
      </c>
      <c r="K1402" t="str">
        <f>INDEX('Match Groups'!$D$5:$D$1326,MATCH(J1402,'Match Groups'!$A$5:$A$1326,0))</f>
        <v>STRIPE-FEE</v>
      </c>
    </row>
    <row r="1403">
      <c r="A1403" t="inlineStr">
        <is>
          <t>JI-02232</t>
        </is>
      </c>
      <c r="B1403" t="inlineStr">
        <is>
          <t>OPS</t>
        </is>
      </c>
      <c r="C1403" s="5" t="n">
        <v>46224</v>
      </c>
      <c r="D1403" t="inlineStr">
        <is>
          <t>Stripe patient 16956</t>
        </is>
      </c>
      <c r="E1403" t="inlineStr">
        <is>
          <t>INV/2026/04079</t>
        </is>
      </c>
      <c r="F1403" t="inlineStr">
        <is>
          <t>Customer payment INV/2026/04079</t>
        </is>
      </c>
      <c r="G1403" s="9" t="n">
        <v>85</v>
      </c>
      <c r="H1403" t="inlineStr">
        <is>
          <t>customer_payment</t>
        </is>
      </c>
      <c r="I1403" t="inlineStr"/>
      <c r="J1403" t="inlineStr">
        <is>
          <t>G00030</t>
        </is>
      </c>
      <c r="K1403" t="str">
        <f>INDEX('Match Groups'!$D$5:$D$1326,MATCH(J1403,'Match Groups'!$A$5:$A$1326,0))</f>
        <v>STRIPE-FEE</v>
      </c>
    </row>
    <row r="1404">
      <c r="A1404" t="inlineStr">
        <is>
          <t>JI-02233</t>
        </is>
      </c>
      <c r="B1404" t="inlineStr">
        <is>
          <t>OPS</t>
        </is>
      </c>
      <c r="C1404" s="5" t="n">
        <v>46224</v>
      </c>
      <c r="D1404" t="inlineStr">
        <is>
          <t>Stripe patient 37698</t>
        </is>
      </c>
      <c r="E1404" t="inlineStr">
        <is>
          <t>INV/2026/04080</t>
        </is>
      </c>
      <c r="F1404" t="inlineStr">
        <is>
          <t>Customer payment INV/2026/04080</t>
        </is>
      </c>
      <c r="G1404" s="9" t="n">
        <v>180</v>
      </c>
      <c r="H1404" t="inlineStr">
        <is>
          <t>customer_payment</t>
        </is>
      </c>
      <c r="I1404" t="inlineStr"/>
      <c r="J1404" t="inlineStr">
        <is>
          <t>G00030</t>
        </is>
      </c>
      <c r="K1404" t="str">
        <f>INDEX('Match Groups'!$D$5:$D$1326,MATCH(J1404,'Match Groups'!$A$5:$A$1326,0))</f>
        <v>STRIPE-FEE</v>
      </c>
    </row>
    <row r="1405">
      <c r="A1405" t="inlineStr">
        <is>
          <t>JI-02234</t>
        </is>
      </c>
      <c r="B1405" t="inlineStr">
        <is>
          <t>OPS</t>
        </is>
      </c>
      <c r="C1405" s="5" t="n">
        <v>46224</v>
      </c>
      <c r="D1405" t="inlineStr">
        <is>
          <t>Stripe patient 53672</t>
        </is>
      </c>
      <c r="E1405" t="inlineStr">
        <is>
          <t>INV/2026/04081</t>
        </is>
      </c>
      <c r="F1405" t="inlineStr">
        <is>
          <t>Customer payment INV/2026/04081</t>
        </is>
      </c>
      <c r="G1405" s="9" t="n">
        <v>135</v>
      </c>
      <c r="H1405" t="inlineStr">
        <is>
          <t>customer_payment</t>
        </is>
      </c>
      <c r="I1405" t="inlineStr"/>
      <c r="J1405" t="inlineStr">
        <is>
          <t>G00030</t>
        </is>
      </c>
      <c r="K1405" t="str">
        <f>INDEX('Match Groups'!$D$5:$D$1326,MATCH(J1405,'Match Groups'!$A$5:$A$1326,0))</f>
        <v>STRIPE-FEE</v>
      </c>
    </row>
    <row r="1406">
      <c r="A1406" t="inlineStr">
        <is>
          <t>JI-02235</t>
        </is>
      </c>
      <c r="B1406" t="inlineStr">
        <is>
          <t>OPS</t>
        </is>
      </c>
      <c r="C1406" s="5" t="n">
        <v>46224</v>
      </c>
      <c r="D1406" t="inlineStr">
        <is>
          <t>Stripe patient 77301</t>
        </is>
      </c>
      <c r="E1406" t="inlineStr">
        <is>
          <t>INV/2026/04082</t>
        </is>
      </c>
      <c r="F1406" t="inlineStr">
        <is>
          <t>Customer payment INV/2026/04082</t>
        </is>
      </c>
      <c r="G1406" s="9" t="n">
        <v>180</v>
      </c>
      <c r="H1406" t="inlineStr">
        <is>
          <t>customer_payment</t>
        </is>
      </c>
      <c r="I1406" t="inlineStr"/>
      <c r="J1406" t="inlineStr">
        <is>
          <t>G00030</t>
        </is>
      </c>
      <c r="K1406" t="str">
        <f>INDEX('Match Groups'!$D$5:$D$1326,MATCH(J1406,'Match Groups'!$A$5:$A$1326,0))</f>
        <v>STRIPE-FEE</v>
      </c>
    </row>
    <row r="1407">
      <c r="A1407" t="inlineStr">
        <is>
          <t>JI-02236</t>
        </is>
      </c>
      <c r="B1407" t="inlineStr">
        <is>
          <t>OPS</t>
        </is>
      </c>
      <c r="C1407" s="5" t="n">
        <v>46224</v>
      </c>
      <c r="D1407" t="inlineStr">
        <is>
          <t>Stripe patient 89458</t>
        </is>
      </c>
      <c r="E1407" t="inlineStr">
        <is>
          <t>INV/2026/04083</t>
        </is>
      </c>
      <c r="F1407" t="inlineStr">
        <is>
          <t>Customer payment INV/2026/04083</t>
        </is>
      </c>
      <c r="G1407" s="9" t="n">
        <v>65</v>
      </c>
      <c r="H1407" t="inlineStr">
        <is>
          <t>customer_payment</t>
        </is>
      </c>
      <c r="I1407" t="inlineStr"/>
      <c r="J1407" t="inlineStr">
        <is>
          <t>G00030</t>
        </is>
      </c>
      <c r="K1407" t="str">
        <f>INDEX('Match Groups'!$D$5:$D$1326,MATCH(J1407,'Match Groups'!$A$5:$A$1326,0))</f>
        <v>STRIPE-FEE</v>
      </c>
    </row>
    <row r="1408">
      <c r="A1408" t="inlineStr">
        <is>
          <t>JI-02237</t>
        </is>
      </c>
      <c r="B1408" t="inlineStr">
        <is>
          <t>OPS</t>
        </is>
      </c>
      <c r="C1408" s="5" t="n">
        <v>46224</v>
      </c>
      <c r="D1408" t="inlineStr">
        <is>
          <t>Stripe patient 73458</t>
        </is>
      </c>
      <c r="E1408" t="inlineStr">
        <is>
          <t>INV/2026/04084</t>
        </is>
      </c>
      <c r="F1408" t="inlineStr">
        <is>
          <t>Customer payment INV/2026/04084</t>
        </is>
      </c>
      <c r="G1408" s="9" t="n">
        <v>220</v>
      </c>
      <c r="H1408" t="inlineStr">
        <is>
          <t>customer_payment</t>
        </is>
      </c>
      <c r="I1408" t="inlineStr"/>
      <c r="J1408" t="inlineStr">
        <is>
          <t>G00030</t>
        </is>
      </c>
      <c r="K1408" t="str">
        <f>INDEX('Match Groups'!$D$5:$D$1326,MATCH(J1408,'Match Groups'!$A$5:$A$1326,0))</f>
        <v>STRIPE-FEE</v>
      </c>
    </row>
    <row r="1409">
      <c r="A1409" t="inlineStr">
        <is>
          <t>JI-02238</t>
        </is>
      </c>
      <c r="B1409" t="inlineStr">
        <is>
          <t>OPS</t>
        </is>
      </c>
      <c r="C1409" s="5" t="n">
        <v>46224</v>
      </c>
      <c r="D1409" t="inlineStr">
        <is>
          <t>Stripe patient 56366</t>
        </is>
      </c>
      <c r="E1409" t="inlineStr">
        <is>
          <t>INV/2026/04085</t>
        </is>
      </c>
      <c r="F1409" t="inlineStr">
        <is>
          <t>Customer payment INV/2026/04085</t>
        </is>
      </c>
      <c r="G1409" s="9" t="n">
        <v>220</v>
      </c>
      <c r="H1409" t="inlineStr">
        <is>
          <t>customer_payment</t>
        </is>
      </c>
      <c r="I1409" t="inlineStr"/>
      <c r="J1409" t="inlineStr">
        <is>
          <t>G00030</t>
        </is>
      </c>
      <c r="K1409" t="str">
        <f>INDEX('Match Groups'!$D$5:$D$1326,MATCH(J1409,'Match Groups'!$A$5:$A$1326,0))</f>
        <v>STRIPE-FEE</v>
      </c>
    </row>
    <row r="1410">
      <c r="A1410" t="inlineStr">
        <is>
          <t>JI-02239</t>
        </is>
      </c>
      <c r="B1410" t="inlineStr">
        <is>
          <t>OPS</t>
        </is>
      </c>
      <c r="C1410" s="5" t="n">
        <v>46224</v>
      </c>
      <c r="D1410" t="inlineStr">
        <is>
          <t>Stripe patient 19630</t>
        </is>
      </c>
      <c r="E1410" t="inlineStr">
        <is>
          <t>INV/2026/04086</t>
        </is>
      </c>
      <c r="F1410" t="inlineStr">
        <is>
          <t>Customer payment INV/2026/04086</t>
        </is>
      </c>
      <c r="G1410" s="9" t="n">
        <v>120</v>
      </c>
      <c r="H1410" t="inlineStr">
        <is>
          <t>customer_payment</t>
        </is>
      </c>
      <c r="I1410" t="inlineStr"/>
      <c r="J1410" t="inlineStr">
        <is>
          <t>G00030</t>
        </is>
      </c>
      <c r="K1410" t="str">
        <f>INDEX('Match Groups'!$D$5:$D$1326,MATCH(J1410,'Match Groups'!$A$5:$A$1326,0))</f>
        <v>STRIPE-FEE</v>
      </c>
    </row>
    <row r="1411">
      <c r="A1411" t="inlineStr">
        <is>
          <t>JI-02240</t>
        </is>
      </c>
      <c r="B1411" t="inlineStr">
        <is>
          <t>OPS</t>
        </is>
      </c>
      <c r="C1411" s="5" t="n">
        <v>46224</v>
      </c>
      <c r="D1411" t="inlineStr">
        <is>
          <t>Stripe patient 76177</t>
        </is>
      </c>
      <c r="E1411" t="inlineStr">
        <is>
          <t>INV/2026/04087</t>
        </is>
      </c>
      <c r="F1411" t="inlineStr">
        <is>
          <t>Customer payment INV/2026/04087</t>
        </is>
      </c>
      <c r="G1411" s="9" t="n">
        <v>95</v>
      </c>
      <c r="H1411" t="inlineStr">
        <is>
          <t>customer_payment</t>
        </is>
      </c>
      <c r="I1411" t="inlineStr"/>
      <c r="J1411" t="inlineStr">
        <is>
          <t>G00030</t>
        </is>
      </c>
      <c r="K1411" t="str">
        <f>INDEX('Match Groups'!$D$5:$D$1326,MATCH(J1411,'Match Groups'!$A$5:$A$1326,0))</f>
        <v>STRIPE-FEE</v>
      </c>
    </row>
    <row r="1412">
      <c r="A1412" t="inlineStr">
        <is>
          <t>JI-02241</t>
        </is>
      </c>
      <c r="B1412" t="inlineStr">
        <is>
          <t>OPS</t>
        </is>
      </c>
      <c r="C1412" s="5" t="n">
        <v>46224</v>
      </c>
      <c r="D1412" t="inlineStr">
        <is>
          <t>Stripe patient 40520</t>
        </is>
      </c>
      <c r="E1412" t="inlineStr">
        <is>
          <t>INV/2026/04088</t>
        </is>
      </c>
      <c r="F1412" t="inlineStr">
        <is>
          <t>Customer payment INV/2026/04088</t>
        </is>
      </c>
      <c r="G1412" s="9" t="n">
        <v>150</v>
      </c>
      <c r="H1412" t="inlineStr">
        <is>
          <t>customer_payment</t>
        </is>
      </c>
      <c r="I1412" t="inlineStr"/>
      <c r="J1412" t="inlineStr">
        <is>
          <t>G00030</t>
        </is>
      </c>
      <c r="K1412" t="str">
        <f>INDEX('Match Groups'!$D$5:$D$1326,MATCH(J1412,'Match Groups'!$A$5:$A$1326,0))</f>
        <v>STRIPE-FEE</v>
      </c>
    </row>
    <row r="1413">
      <c r="A1413" t="inlineStr">
        <is>
          <t>JI-02242</t>
        </is>
      </c>
      <c r="B1413" t="inlineStr">
        <is>
          <t>OPS</t>
        </is>
      </c>
      <c r="C1413" s="5" t="n">
        <v>46224</v>
      </c>
      <c r="D1413" t="inlineStr">
        <is>
          <t>Stripe patient 36077</t>
        </is>
      </c>
      <c r="E1413" t="inlineStr">
        <is>
          <t>INV/2026/04089</t>
        </is>
      </c>
      <c r="F1413" t="inlineStr">
        <is>
          <t>Customer payment INV/2026/04089</t>
        </is>
      </c>
      <c r="G1413" s="9" t="n">
        <v>65</v>
      </c>
      <c r="H1413" t="inlineStr">
        <is>
          <t>customer_payment</t>
        </is>
      </c>
      <c r="I1413" t="inlineStr"/>
      <c r="J1413" t="inlineStr">
        <is>
          <t>G00030</t>
        </is>
      </c>
      <c r="K1413" t="str">
        <f>INDEX('Match Groups'!$D$5:$D$1326,MATCH(J1413,'Match Groups'!$A$5:$A$1326,0))</f>
        <v>STRIPE-FEE</v>
      </c>
    </row>
    <row r="1414">
      <c r="A1414" t="inlineStr">
        <is>
          <t>JI-02243</t>
        </is>
      </c>
      <c r="B1414" t="inlineStr">
        <is>
          <t>OPS</t>
        </is>
      </c>
      <c r="C1414" s="5" t="n">
        <v>46224</v>
      </c>
      <c r="D1414" t="inlineStr">
        <is>
          <t>Stripe patient 33501</t>
        </is>
      </c>
      <c r="E1414" t="inlineStr">
        <is>
          <t>INV/2026/04090</t>
        </is>
      </c>
      <c r="F1414" t="inlineStr">
        <is>
          <t>Customer payment INV/2026/04090</t>
        </is>
      </c>
      <c r="G1414" s="9" t="n">
        <v>65</v>
      </c>
      <c r="H1414" t="inlineStr">
        <is>
          <t>customer_payment</t>
        </is>
      </c>
      <c r="I1414" t="inlineStr"/>
      <c r="J1414" t="inlineStr">
        <is>
          <t>G00030</t>
        </is>
      </c>
      <c r="K1414" t="str">
        <f>INDEX('Match Groups'!$D$5:$D$1326,MATCH(J1414,'Match Groups'!$A$5:$A$1326,0))</f>
        <v>STRIPE-FEE</v>
      </c>
    </row>
    <row r="1415">
      <c r="A1415" t="inlineStr">
        <is>
          <t>JI-02244</t>
        </is>
      </c>
      <c r="B1415" t="inlineStr">
        <is>
          <t>OPS</t>
        </is>
      </c>
      <c r="C1415" s="5" t="n">
        <v>46224</v>
      </c>
      <c r="D1415" t="inlineStr">
        <is>
          <t>Stripe patient 30741</t>
        </is>
      </c>
      <c r="E1415" t="inlineStr">
        <is>
          <t>INV/2026/04091</t>
        </is>
      </c>
      <c r="F1415" t="inlineStr">
        <is>
          <t>Customer payment INV/2026/04091</t>
        </is>
      </c>
      <c r="G1415" s="9" t="n">
        <v>220</v>
      </c>
      <c r="H1415" t="inlineStr">
        <is>
          <t>customer_payment</t>
        </is>
      </c>
      <c r="I1415" t="inlineStr"/>
      <c r="J1415" t="inlineStr">
        <is>
          <t>G00030</t>
        </is>
      </c>
      <c r="K1415" t="str">
        <f>INDEX('Match Groups'!$D$5:$D$1326,MATCH(J1415,'Match Groups'!$A$5:$A$1326,0))</f>
        <v>STRIPE-FEE</v>
      </c>
    </row>
    <row r="1416">
      <c r="A1416" t="inlineStr">
        <is>
          <t>JI-02245</t>
        </is>
      </c>
      <c r="B1416" t="inlineStr">
        <is>
          <t>OPS</t>
        </is>
      </c>
      <c r="C1416" s="5" t="n">
        <v>46224</v>
      </c>
      <c r="D1416" t="inlineStr">
        <is>
          <t>Stripe patient 19462</t>
        </is>
      </c>
      <c r="E1416" t="inlineStr">
        <is>
          <t>INV/2026/04092</t>
        </is>
      </c>
      <c r="F1416" t="inlineStr">
        <is>
          <t>Customer payment INV/2026/04092</t>
        </is>
      </c>
      <c r="G1416" s="9" t="n">
        <v>180</v>
      </c>
      <c r="H1416" t="inlineStr">
        <is>
          <t>customer_payment</t>
        </is>
      </c>
      <c r="I1416" t="inlineStr"/>
      <c r="J1416" t="inlineStr">
        <is>
          <t>G00030</t>
        </is>
      </c>
      <c r="K1416" t="str">
        <f>INDEX('Match Groups'!$D$5:$D$1326,MATCH(J1416,'Match Groups'!$A$5:$A$1326,0))</f>
        <v>STRIPE-FEE</v>
      </c>
    </row>
    <row r="1417">
      <c r="A1417" t="inlineStr">
        <is>
          <t>JI-02246</t>
        </is>
      </c>
      <c r="B1417" t="inlineStr">
        <is>
          <t>OPS</t>
        </is>
      </c>
      <c r="C1417" s="5" t="n">
        <v>46224</v>
      </c>
      <c r="D1417" t="inlineStr">
        <is>
          <t>Stripe patient 15441</t>
        </is>
      </c>
      <c r="E1417" t="inlineStr">
        <is>
          <t>INV/2026/04093</t>
        </is>
      </c>
      <c r="F1417" t="inlineStr">
        <is>
          <t>Customer payment INV/2026/04093</t>
        </is>
      </c>
      <c r="G1417" s="9" t="n">
        <v>110</v>
      </c>
      <c r="H1417" t="inlineStr">
        <is>
          <t>customer_payment</t>
        </is>
      </c>
      <c r="I1417" t="inlineStr"/>
      <c r="J1417" t="inlineStr">
        <is>
          <t>G00030</t>
        </is>
      </c>
      <c r="K1417" t="str">
        <f>INDEX('Match Groups'!$D$5:$D$1326,MATCH(J1417,'Match Groups'!$A$5:$A$1326,0))</f>
        <v>STRIPE-FEE</v>
      </c>
    </row>
    <row r="1418">
      <c r="A1418" t="inlineStr">
        <is>
          <t>JI-02247</t>
        </is>
      </c>
      <c r="B1418" t="inlineStr">
        <is>
          <t>OPS</t>
        </is>
      </c>
      <c r="C1418" s="5" t="n">
        <v>46224</v>
      </c>
      <c r="D1418" t="inlineStr">
        <is>
          <t>Stripe patient 34905</t>
        </is>
      </c>
      <c r="E1418" t="inlineStr">
        <is>
          <t>INV/2026/04094</t>
        </is>
      </c>
      <c r="F1418" t="inlineStr">
        <is>
          <t>Customer payment INV/2026/04094</t>
        </is>
      </c>
      <c r="G1418" s="9" t="n">
        <v>85</v>
      </c>
      <c r="H1418" t="inlineStr">
        <is>
          <t>customer_payment</t>
        </is>
      </c>
      <c r="I1418" t="inlineStr"/>
      <c r="J1418" t="inlineStr">
        <is>
          <t>G00030</t>
        </is>
      </c>
      <c r="K1418" t="str">
        <f>INDEX('Match Groups'!$D$5:$D$1326,MATCH(J1418,'Match Groups'!$A$5:$A$1326,0))</f>
        <v>STRIPE-FEE</v>
      </c>
    </row>
    <row r="1419">
      <c r="A1419" t="inlineStr">
        <is>
          <t>JI-02248</t>
        </is>
      </c>
      <c r="B1419" t="inlineStr">
        <is>
          <t>OPS</t>
        </is>
      </c>
      <c r="C1419" s="5" t="n">
        <v>46224</v>
      </c>
      <c r="D1419" t="inlineStr">
        <is>
          <t>Stripe patient 15694</t>
        </is>
      </c>
      <c r="E1419" t="inlineStr">
        <is>
          <t>INV/2026/04095</t>
        </is>
      </c>
      <c r="F1419" t="inlineStr">
        <is>
          <t>Customer payment INV/2026/04095</t>
        </is>
      </c>
      <c r="G1419" s="9" t="n">
        <v>85</v>
      </c>
      <c r="H1419" t="inlineStr">
        <is>
          <t>customer_payment</t>
        </is>
      </c>
      <c r="I1419" t="inlineStr"/>
      <c r="J1419" t="inlineStr">
        <is>
          <t>G00030</t>
        </is>
      </c>
      <c r="K1419" t="str">
        <f>INDEX('Match Groups'!$D$5:$D$1326,MATCH(J1419,'Match Groups'!$A$5:$A$1326,0))</f>
        <v>STRIPE-FEE</v>
      </c>
    </row>
    <row r="1420">
      <c r="A1420" t="inlineStr">
        <is>
          <t>JI-02249</t>
        </is>
      </c>
      <c r="B1420" t="inlineStr">
        <is>
          <t>OPS</t>
        </is>
      </c>
      <c r="C1420" s="5" t="n">
        <v>46224</v>
      </c>
      <c r="D1420" t="inlineStr">
        <is>
          <t>Stripe patient 11767</t>
        </is>
      </c>
      <c r="E1420" t="inlineStr">
        <is>
          <t>INV/2026/04096</t>
        </is>
      </c>
      <c r="F1420" t="inlineStr">
        <is>
          <t>Customer payment INV/2026/04096</t>
        </is>
      </c>
      <c r="G1420" s="9" t="n">
        <v>120</v>
      </c>
      <c r="H1420" t="inlineStr">
        <is>
          <t>customer_payment</t>
        </is>
      </c>
      <c r="I1420" t="inlineStr"/>
      <c r="J1420" t="inlineStr">
        <is>
          <t>G00030</t>
        </is>
      </c>
      <c r="K1420" t="str">
        <f>INDEX('Match Groups'!$D$5:$D$1326,MATCH(J1420,'Match Groups'!$A$5:$A$1326,0))</f>
        <v>STRIPE-FEE</v>
      </c>
    </row>
    <row r="1421">
      <c r="A1421" t="inlineStr">
        <is>
          <t>JI-02250</t>
        </is>
      </c>
      <c r="B1421" t="inlineStr">
        <is>
          <t>OPS</t>
        </is>
      </c>
      <c r="C1421" s="5" t="n">
        <v>46224</v>
      </c>
      <c r="D1421" t="inlineStr">
        <is>
          <t>Stripe patient 86654</t>
        </is>
      </c>
      <c r="E1421" t="inlineStr">
        <is>
          <t>INV/2026/04097</t>
        </is>
      </c>
      <c r="F1421" t="inlineStr">
        <is>
          <t>Customer payment INV/2026/04097</t>
        </is>
      </c>
      <c r="G1421" s="9" t="n">
        <v>135</v>
      </c>
      <c r="H1421" t="inlineStr">
        <is>
          <t>customer_payment</t>
        </is>
      </c>
      <c r="I1421" t="inlineStr"/>
      <c r="J1421" t="inlineStr">
        <is>
          <t>G00030</t>
        </is>
      </c>
      <c r="K1421" t="str">
        <f>INDEX('Match Groups'!$D$5:$D$1326,MATCH(J1421,'Match Groups'!$A$5:$A$1326,0))</f>
        <v>STRIPE-FEE</v>
      </c>
    </row>
    <row r="1422">
      <c r="A1422" t="inlineStr">
        <is>
          <t>JI-00478</t>
        </is>
      </c>
      <c r="B1422" t="inlineStr">
        <is>
          <t>OPS</t>
        </is>
      </c>
      <c r="C1422" s="5" t="n">
        <v>46225</v>
      </c>
      <c r="D1422" t="inlineStr">
        <is>
          <t>Bluegum Plan Management</t>
        </is>
      </c>
      <c r="E1422" t="inlineStr">
        <is>
          <t>INV/2026/01748</t>
        </is>
      </c>
      <c r="F1422" t="inlineStr">
        <is>
          <t>Customer payment INV/2026/01748</t>
        </is>
      </c>
      <c r="G1422" s="9" t="n">
        <v>320.98</v>
      </c>
      <c r="H1422" t="inlineStr">
        <is>
          <t>customer_payment</t>
        </is>
      </c>
      <c r="I1422" t="inlineStr"/>
      <c r="J1422" t="inlineStr">
        <is>
          <t>G00180</t>
        </is>
      </c>
      <c r="K1422" t="str">
        <f>INDEX('Match Groups'!$D$5:$D$1326,MATCH(J1422,'Match Groups'!$A$5:$A$1326,0))</f>
        <v>MATCH</v>
      </c>
    </row>
    <row r="1423">
      <c r="A1423" t="inlineStr">
        <is>
          <t>JI-00479</t>
        </is>
      </c>
      <c r="B1423" t="inlineStr">
        <is>
          <t>OPS</t>
        </is>
      </c>
      <c r="C1423" s="5" t="n">
        <v>46225</v>
      </c>
      <c r="D1423" t="inlineStr">
        <is>
          <t>Bluegum Plan Management</t>
        </is>
      </c>
      <c r="E1423" t="inlineStr">
        <is>
          <t>INV/2026/01795</t>
        </is>
      </c>
      <c r="F1423" t="inlineStr">
        <is>
          <t>Customer payment INV/2026/01795</t>
        </is>
      </c>
      <c r="G1423" s="9" t="n">
        <v>175.49</v>
      </c>
      <c r="H1423" t="inlineStr">
        <is>
          <t>customer_payment</t>
        </is>
      </c>
      <c r="I1423" t="inlineStr"/>
      <c r="J1423" t="inlineStr">
        <is>
          <t>G00180</t>
        </is>
      </c>
      <c r="K1423" t="str">
        <f>INDEX('Match Groups'!$D$5:$D$1326,MATCH(J1423,'Match Groups'!$A$5:$A$1326,0))</f>
        <v>MATCH</v>
      </c>
    </row>
    <row r="1424">
      <c r="A1424" t="inlineStr">
        <is>
          <t>JI-00480</t>
        </is>
      </c>
      <c r="B1424" t="inlineStr">
        <is>
          <t>OPS</t>
        </is>
      </c>
      <c r="C1424" s="5" t="n">
        <v>46225</v>
      </c>
      <c r="D1424" t="inlineStr">
        <is>
          <t>Riverbend Plan Partners</t>
        </is>
      </c>
      <c r="E1424" t="inlineStr">
        <is>
          <t>INV/2026/02183</t>
        </is>
      </c>
      <c r="F1424" t="inlineStr">
        <is>
          <t>Customer payment INV/2026/02183</t>
        </is>
      </c>
      <c r="G1424" s="9" t="n">
        <v>252.19</v>
      </c>
      <c r="H1424" t="inlineStr">
        <is>
          <t>customer_payment</t>
        </is>
      </c>
      <c r="I1424" t="inlineStr"/>
      <c r="J1424" t="inlineStr">
        <is>
          <t>G00181</t>
        </is>
      </c>
      <c r="K1424" t="str">
        <f>INDEX('Match Groups'!$D$5:$D$1326,MATCH(J1424,'Match Groups'!$A$5:$A$1326,0))</f>
        <v>MATCH</v>
      </c>
    </row>
    <row r="1425">
      <c r="A1425" t="inlineStr">
        <is>
          <t>JI-00481</t>
        </is>
      </c>
      <c r="B1425" t="inlineStr">
        <is>
          <t>OPS</t>
        </is>
      </c>
      <c r="C1425" s="5" t="n">
        <v>46225</v>
      </c>
      <c r="D1425" t="inlineStr">
        <is>
          <t>Riverbend Plan Partners</t>
        </is>
      </c>
      <c r="E1425" t="inlineStr">
        <is>
          <t>INV/2026/02184</t>
        </is>
      </c>
      <c r="F1425" t="inlineStr">
        <is>
          <t>Customer payment INV/2026/02184</t>
        </is>
      </c>
      <c r="G1425" s="9" t="n">
        <v>290.98</v>
      </c>
      <c r="H1425" t="inlineStr">
        <is>
          <t>customer_payment</t>
        </is>
      </c>
      <c r="I1425" t="inlineStr"/>
      <c r="J1425" t="inlineStr">
        <is>
          <t>G00181</t>
        </is>
      </c>
      <c r="K1425" t="str">
        <f>INDEX('Match Groups'!$D$5:$D$1326,MATCH(J1425,'Match Groups'!$A$5:$A$1326,0))</f>
        <v>MATCH</v>
      </c>
    </row>
    <row r="1426">
      <c r="A1426" t="inlineStr">
        <is>
          <t>JI-00482</t>
        </is>
      </c>
      <c r="B1426" t="inlineStr">
        <is>
          <t>OPS</t>
        </is>
      </c>
      <c r="C1426" s="5" t="n">
        <v>46225</v>
      </c>
      <c r="D1426" t="inlineStr">
        <is>
          <t>Riverbend Plan Partners</t>
        </is>
      </c>
      <c r="E1426" t="inlineStr">
        <is>
          <t>INV/2026/02204</t>
        </is>
      </c>
      <c r="F1426" t="inlineStr">
        <is>
          <t>Customer payment INV/2026/02204</t>
        </is>
      </c>
      <c r="G1426" s="9" t="n">
        <v>155.19</v>
      </c>
      <c r="H1426" t="inlineStr">
        <is>
          <t>customer_payment</t>
        </is>
      </c>
      <c r="I1426" t="inlineStr"/>
      <c r="J1426" t="inlineStr">
        <is>
          <t>G00181</t>
        </is>
      </c>
      <c r="K1426" t="str">
        <f>INDEX('Match Groups'!$D$5:$D$1326,MATCH(J1426,'Match Groups'!$A$5:$A$1326,0))</f>
        <v>MATCH</v>
      </c>
    </row>
    <row r="1427">
      <c r="A1427" t="inlineStr">
        <is>
          <t>JI-00483</t>
        </is>
      </c>
      <c r="B1427" t="inlineStr">
        <is>
          <t>OPS</t>
        </is>
      </c>
      <c r="C1427" s="5" t="n">
        <v>46225</v>
      </c>
      <c r="D1427" t="inlineStr">
        <is>
          <t>Clearpath NDIS Plans</t>
        </is>
      </c>
      <c r="E1427" t="inlineStr">
        <is>
          <t>INV/2026/02206</t>
        </is>
      </c>
      <c r="F1427" t="inlineStr">
        <is>
          <t>Customer payment INV/2026/02206</t>
        </is>
      </c>
      <c r="G1427" s="9" t="n">
        <v>290.98</v>
      </c>
      <c r="H1427" t="inlineStr">
        <is>
          <t>customer_payment</t>
        </is>
      </c>
      <c r="I1427" t="inlineStr"/>
      <c r="J1427" t="inlineStr">
        <is>
          <t>G00182</t>
        </is>
      </c>
      <c r="K1427" t="str">
        <f>INDEX('Match Groups'!$D$5:$D$1326,MATCH(J1427,'Match Groups'!$A$5:$A$1326,0))</f>
        <v>MATCH</v>
      </c>
    </row>
    <row r="1428">
      <c r="A1428" t="inlineStr">
        <is>
          <t>JI-00484</t>
        </is>
      </c>
      <c r="B1428" t="inlineStr">
        <is>
          <t>OPS</t>
        </is>
      </c>
      <c r="C1428" s="5" t="n">
        <v>46225</v>
      </c>
      <c r="D1428" t="inlineStr">
        <is>
          <t>Ironbark Plan Management</t>
        </is>
      </c>
      <c r="E1428" t="inlineStr">
        <is>
          <t>INV/2026/01827</t>
        </is>
      </c>
      <c r="F1428" t="inlineStr">
        <is>
          <t>Customer payment INV/2026/01827</t>
        </is>
      </c>
      <c r="G1428" s="9" t="n">
        <v>349.18</v>
      </c>
      <c r="H1428" t="inlineStr">
        <is>
          <t>customer_payment</t>
        </is>
      </c>
      <c r="I1428" t="inlineStr"/>
      <c r="J1428" t="inlineStr">
        <is>
          <t>G00183</t>
        </is>
      </c>
      <c r="K1428" t="str">
        <f>INDEX('Match Groups'!$D$5:$D$1326,MATCH(J1428,'Match Groups'!$A$5:$A$1326,0))</f>
        <v>MATCH</v>
      </c>
    </row>
    <row r="1429">
      <c r="A1429" t="inlineStr">
        <is>
          <t>JI-00485</t>
        </is>
      </c>
      <c r="B1429" t="inlineStr">
        <is>
          <t>OPS</t>
        </is>
      </c>
      <c r="C1429" s="5" t="n">
        <v>46225</v>
      </c>
      <c r="D1429" t="inlineStr">
        <is>
          <t>Ironbark Plan Management</t>
        </is>
      </c>
      <c r="E1429" t="inlineStr">
        <is>
          <t>INV/2026/01852</t>
        </is>
      </c>
      <c r="F1429" t="inlineStr">
        <is>
          <t>Customer payment INV/2026/01852</t>
        </is>
      </c>
      <c r="G1429" s="9" t="n">
        <v>145.49</v>
      </c>
      <c r="H1429" t="inlineStr">
        <is>
          <t>customer_payment</t>
        </is>
      </c>
      <c r="I1429" t="inlineStr"/>
      <c r="J1429" t="inlineStr">
        <is>
          <t>G00183</t>
        </is>
      </c>
      <c r="K1429" t="str">
        <f>INDEX('Match Groups'!$D$5:$D$1326,MATCH(J1429,'Match Groups'!$A$5:$A$1326,0))</f>
        <v>MATCH</v>
      </c>
    </row>
    <row r="1430">
      <c r="A1430" t="inlineStr">
        <is>
          <t>JI-00486</t>
        </is>
      </c>
      <c r="B1430" t="inlineStr">
        <is>
          <t>OPS</t>
        </is>
      </c>
      <c r="C1430" s="5" t="n">
        <v>46225</v>
      </c>
      <c r="D1430" t="inlineStr">
        <is>
          <t>Ironbark Plan Management</t>
        </is>
      </c>
      <c r="E1430" t="inlineStr">
        <is>
          <t>INV/2026/01853</t>
        </is>
      </c>
      <c r="F1430" t="inlineStr">
        <is>
          <t>Customer payment INV/2026/01853</t>
        </is>
      </c>
      <c r="G1430" s="9" t="n">
        <v>145.49</v>
      </c>
      <c r="H1430" t="inlineStr">
        <is>
          <t>customer_payment</t>
        </is>
      </c>
      <c r="I1430" t="inlineStr"/>
      <c r="J1430" t="inlineStr">
        <is>
          <t>G00183</t>
        </is>
      </c>
      <c r="K1430" t="str">
        <f>INDEX('Match Groups'!$D$5:$D$1326,MATCH(J1430,'Match Groups'!$A$5:$A$1326,0))</f>
        <v>MATCH</v>
      </c>
    </row>
    <row r="1431">
      <c r="A1431" t="inlineStr">
        <is>
          <t>JI-00487</t>
        </is>
      </c>
      <c r="B1431" t="inlineStr">
        <is>
          <t>OPS</t>
        </is>
      </c>
      <c r="C1431" s="5" t="n">
        <v>46225</v>
      </c>
      <c r="D1431" t="inlineStr">
        <is>
          <t>Ironbark Plan Management</t>
        </is>
      </c>
      <c r="E1431" t="inlineStr">
        <is>
          <t>INV/2026/01881</t>
        </is>
      </c>
      <c r="F1431" t="inlineStr">
        <is>
          <t>Customer payment INV/2026/01881</t>
        </is>
      </c>
      <c r="G1431" s="9" t="n">
        <v>272.49</v>
      </c>
      <c r="H1431" t="inlineStr">
        <is>
          <t>customer_payment</t>
        </is>
      </c>
      <c r="I1431" t="inlineStr"/>
      <c r="J1431" t="inlineStr">
        <is>
          <t>G00183</t>
        </is>
      </c>
      <c r="K1431" t="str">
        <f>INDEX('Match Groups'!$D$5:$D$1326,MATCH(J1431,'Match Groups'!$A$5:$A$1326,0))</f>
        <v>MATCH</v>
      </c>
    </row>
    <row r="1432">
      <c r="A1432" t="inlineStr">
        <is>
          <t>JI-00488</t>
        </is>
      </c>
      <c r="B1432" t="inlineStr">
        <is>
          <t>OPS</t>
        </is>
      </c>
      <c r="C1432" s="5" t="n">
        <v>46225</v>
      </c>
      <c r="D1432" t="inlineStr">
        <is>
          <t>Ironbark Plan Management</t>
        </is>
      </c>
      <c r="E1432" t="inlineStr">
        <is>
          <t>INV/2026/01901</t>
        </is>
      </c>
      <c r="F1432" t="inlineStr">
        <is>
          <t>Customer payment INV/2026/01901</t>
        </is>
      </c>
      <c r="G1432" s="9" t="n">
        <v>290.98</v>
      </c>
      <c r="H1432" t="inlineStr">
        <is>
          <t>customer_payment</t>
        </is>
      </c>
      <c r="I1432" t="inlineStr"/>
      <c r="J1432" t="inlineStr">
        <is>
          <t>G00183</t>
        </is>
      </c>
      <c r="K1432" t="str">
        <f>INDEX('Match Groups'!$D$5:$D$1326,MATCH(J1432,'Match Groups'!$A$5:$A$1326,0))</f>
        <v>MATCH</v>
      </c>
    </row>
    <row r="1433">
      <c r="A1433" t="inlineStr">
        <is>
          <t>JI-00489</t>
        </is>
      </c>
      <c r="B1433" t="inlineStr">
        <is>
          <t>OPS</t>
        </is>
      </c>
      <c r="C1433" s="5" t="n">
        <v>46225</v>
      </c>
      <c r="D1433" t="inlineStr">
        <is>
          <t>Ironbark Plan Management</t>
        </is>
      </c>
      <c r="E1433" t="inlineStr">
        <is>
          <t>INV/2026/01923</t>
        </is>
      </c>
      <c r="F1433" t="inlineStr">
        <is>
          <t>Customer payment INV/2026/01923</t>
        </is>
      </c>
      <c r="G1433" s="9" t="n">
        <v>300.69</v>
      </c>
      <c r="H1433" t="inlineStr">
        <is>
          <t>customer_payment</t>
        </is>
      </c>
      <c r="I1433" t="inlineStr"/>
      <c r="J1433" t="inlineStr">
        <is>
          <t>G00183</t>
        </is>
      </c>
      <c r="K1433" t="str">
        <f>INDEX('Match Groups'!$D$5:$D$1326,MATCH(J1433,'Match Groups'!$A$5:$A$1326,0))</f>
        <v>MATCH</v>
      </c>
    </row>
    <row r="1434">
      <c r="A1434" t="inlineStr">
        <is>
          <t>JI-00490</t>
        </is>
      </c>
      <c r="B1434" t="inlineStr">
        <is>
          <t>OPS</t>
        </is>
      </c>
      <c r="C1434" s="5" t="n">
        <v>46225</v>
      </c>
      <c r="D1434" t="inlineStr">
        <is>
          <t>Ironbark Plan Management</t>
        </is>
      </c>
      <c r="E1434" t="inlineStr">
        <is>
          <t>INV/2026/01980</t>
        </is>
      </c>
      <c r="F1434" t="inlineStr">
        <is>
          <t>Customer payment INV/2026/01980</t>
        </is>
      </c>
      <c r="G1434" s="9" t="n">
        <v>272.49</v>
      </c>
      <c r="H1434" t="inlineStr">
        <is>
          <t>customer_payment</t>
        </is>
      </c>
      <c r="I1434" t="inlineStr"/>
      <c r="J1434" t="inlineStr">
        <is>
          <t>G00183</t>
        </is>
      </c>
      <c r="K1434" t="str">
        <f>INDEX('Match Groups'!$D$5:$D$1326,MATCH(J1434,'Match Groups'!$A$5:$A$1326,0))</f>
        <v>MATCH</v>
      </c>
    </row>
    <row r="1435">
      <c r="A1435" t="inlineStr">
        <is>
          <t>JI-00491</t>
        </is>
      </c>
      <c r="B1435" t="inlineStr">
        <is>
          <t>OPS</t>
        </is>
      </c>
      <c r="C1435" s="5" t="n">
        <v>46225</v>
      </c>
      <c r="D1435" t="inlineStr">
        <is>
          <t>Ironbark Plan Management</t>
        </is>
      </c>
      <c r="E1435" t="inlineStr">
        <is>
          <t>INV/2026/02000</t>
        </is>
      </c>
      <c r="F1435" t="inlineStr">
        <is>
          <t>Customer payment INV/2026/02000</t>
        </is>
      </c>
      <c r="G1435" s="9" t="n">
        <v>272.49</v>
      </c>
      <c r="H1435" t="inlineStr">
        <is>
          <t>customer_payment</t>
        </is>
      </c>
      <c r="I1435" t="inlineStr"/>
      <c r="J1435" t="inlineStr">
        <is>
          <t>G00183</t>
        </is>
      </c>
      <c r="K1435" t="str">
        <f>INDEX('Match Groups'!$D$5:$D$1326,MATCH(J1435,'Match Groups'!$A$5:$A$1326,0))</f>
        <v>MATCH</v>
      </c>
    </row>
    <row r="1436">
      <c r="A1436" t="inlineStr">
        <is>
          <t>JI-00492</t>
        </is>
      </c>
      <c r="B1436" t="inlineStr">
        <is>
          <t>OPS</t>
        </is>
      </c>
      <c r="C1436" s="5" t="n">
        <v>46225</v>
      </c>
      <c r="D1436" t="inlineStr">
        <is>
          <t>Ironbark Plan Management</t>
        </is>
      </c>
      <c r="E1436" t="inlineStr">
        <is>
          <t>INV/2026/02001</t>
        </is>
      </c>
      <c r="F1436" t="inlineStr">
        <is>
          <t>Customer payment INV/2026/02001</t>
        </is>
      </c>
      <c r="G1436" s="9" t="n">
        <v>96.98999999999999</v>
      </c>
      <c r="H1436" t="inlineStr">
        <is>
          <t>customer_payment</t>
        </is>
      </c>
      <c r="I1436" t="inlineStr"/>
      <c r="J1436" t="inlineStr">
        <is>
          <t>G00183</t>
        </is>
      </c>
      <c r="K1436" t="str">
        <f>INDEX('Match Groups'!$D$5:$D$1326,MATCH(J1436,'Match Groups'!$A$5:$A$1326,0))</f>
        <v>MATCH</v>
      </c>
    </row>
    <row r="1437">
      <c r="A1437" t="inlineStr">
        <is>
          <t>JI-00493</t>
        </is>
      </c>
      <c r="B1437" t="inlineStr">
        <is>
          <t>OPS</t>
        </is>
      </c>
      <c r="C1437" s="5" t="n">
        <v>46225</v>
      </c>
      <c r="D1437" t="inlineStr">
        <is>
          <t>Ironbark Plan Management</t>
        </is>
      </c>
      <c r="E1437" t="inlineStr">
        <is>
          <t>INV/2026/02024</t>
        </is>
      </c>
      <c r="F1437" t="inlineStr">
        <is>
          <t>Customer payment INV/2026/02024</t>
        </is>
      </c>
      <c r="G1437" s="9" t="n">
        <v>203.69</v>
      </c>
      <c r="H1437" t="inlineStr">
        <is>
          <t>customer_payment</t>
        </is>
      </c>
      <c r="I1437" t="inlineStr"/>
      <c r="J1437" t="inlineStr">
        <is>
          <t>G00183</t>
        </is>
      </c>
      <c r="K1437" t="str">
        <f>INDEX('Match Groups'!$D$5:$D$1326,MATCH(J1437,'Match Groups'!$A$5:$A$1326,0))</f>
        <v>MATCH</v>
      </c>
    </row>
    <row r="1438">
      <c r="A1438" t="inlineStr">
        <is>
          <t>JI-00494</t>
        </is>
      </c>
      <c r="B1438" t="inlineStr">
        <is>
          <t>OPS</t>
        </is>
      </c>
      <c r="C1438" s="5" t="n">
        <v>46225</v>
      </c>
      <c r="D1438" t="inlineStr">
        <is>
          <t>Ironbark Plan Management</t>
        </is>
      </c>
      <c r="E1438" t="inlineStr">
        <is>
          <t>INV/2026/02025</t>
        </is>
      </c>
      <c r="F1438" t="inlineStr">
        <is>
          <t>Customer payment INV/2026/02025</t>
        </is>
      </c>
      <c r="G1438" s="9" t="n">
        <v>349.18</v>
      </c>
      <c r="H1438" t="inlineStr">
        <is>
          <t>customer_payment</t>
        </is>
      </c>
      <c r="I1438" t="inlineStr"/>
      <c r="J1438" t="inlineStr">
        <is>
          <t>G00183</t>
        </is>
      </c>
      <c r="K1438" t="str">
        <f>INDEX('Match Groups'!$D$5:$D$1326,MATCH(J1438,'Match Groups'!$A$5:$A$1326,0))</f>
        <v>MATCH</v>
      </c>
    </row>
    <row r="1439">
      <c r="A1439" t="inlineStr">
        <is>
          <t>JI-00495</t>
        </is>
      </c>
      <c r="B1439" t="inlineStr">
        <is>
          <t>OPS</t>
        </is>
      </c>
      <c r="C1439" s="5" t="n">
        <v>46225</v>
      </c>
      <c r="D1439" t="inlineStr">
        <is>
          <t>Ironbark Plan Management</t>
        </is>
      </c>
      <c r="E1439" t="inlineStr">
        <is>
          <t>INV/2026/02026</t>
        </is>
      </c>
      <c r="F1439" t="inlineStr">
        <is>
          <t>Customer payment INV/2026/02026</t>
        </is>
      </c>
      <c r="G1439" s="9" t="n">
        <v>290.98</v>
      </c>
      <c r="H1439" t="inlineStr">
        <is>
          <t>customer_payment</t>
        </is>
      </c>
      <c r="I1439" t="inlineStr"/>
      <c r="J1439" t="inlineStr">
        <is>
          <t>G00183</t>
        </is>
      </c>
      <c r="K1439" t="str">
        <f>INDEX('Match Groups'!$D$5:$D$1326,MATCH(J1439,'Match Groups'!$A$5:$A$1326,0))</f>
        <v>MATCH</v>
      </c>
    </row>
    <row r="1440">
      <c r="A1440" t="inlineStr">
        <is>
          <t>JI-00496</t>
        </is>
      </c>
      <c r="B1440" t="inlineStr">
        <is>
          <t>OPS</t>
        </is>
      </c>
      <c r="C1440" s="5" t="n">
        <v>46225</v>
      </c>
      <c r="D1440" t="inlineStr">
        <is>
          <t>Lyrebird Plan Management</t>
        </is>
      </c>
      <c r="E1440" t="inlineStr">
        <is>
          <t>INV/2026/02099</t>
        </is>
      </c>
      <c r="F1440" t="inlineStr">
        <is>
          <t>Customer payment INV/2026/02099</t>
        </is>
      </c>
      <c r="G1440" s="9" t="n">
        <v>193.99</v>
      </c>
      <c r="H1440" t="inlineStr">
        <is>
          <t>customer_payment</t>
        </is>
      </c>
      <c r="I1440" t="inlineStr"/>
      <c r="J1440" t="inlineStr">
        <is>
          <t>G00185</t>
        </is>
      </c>
      <c r="K1440" t="str">
        <f>INDEX('Match Groups'!$D$5:$D$1326,MATCH(J1440,'Match Groups'!$A$5:$A$1326,0))</f>
        <v>MATCH</v>
      </c>
    </row>
    <row r="1441">
      <c r="A1441" t="inlineStr">
        <is>
          <t>JI-00497</t>
        </is>
      </c>
      <c r="B1441" t="inlineStr">
        <is>
          <t>OPS</t>
        </is>
      </c>
      <c r="C1441" s="5" t="n">
        <v>46225</v>
      </c>
      <c r="D1441" t="inlineStr">
        <is>
          <t>Lyrebird Plan Management</t>
        </is>
      </c>
      <c r="E1441" t="inlineStr">
        <is>
          <t>INV/2026/02100</t>
        </is>
      </c>
      <c r="F1441" t="inlineStr">
        <is>
          <t>Customer payment INV/2026/02100</t>
        </is>
      </c>
      <c r="G1441" s="9" t="n">
        <v>417.98</v>
      </c>
      <c r="H1441" t="inlineStr">
        <is>
          <t>customer_payment</t>
        </is>
      </c>
      <c r="I1441" t="inlineStr"/>
      <c r="J1441" t="inlineStr">
        <is>
          <t>G00185</t>
        </is>
      </c>
      <c r="K1441" t="str">
        <f>INDEX('Match Groups'!$D$5:$D$1326,MATCH(J1441,'Match Groups'!$A$5:$A$1326,0))</f>
        <v>MATCH</v>
      </c>
    </row>
    <row r="1442">
      <c r="A1442" t="inlineStr">
        <is>
          <t>JI-00498</t>
        </is>
      </c>
      <c r="B1442" t="inlineStr">
        <is>
          <t>OPS</t>
        </is>
      </c>
      <c r="C1442" s="5" t="n">
        <v>46225</v>
      </c>
      <c r="D1442" t="inlineStr">
        <is>
          <t>Lyrebird Plan Management</t>
        </is>
      </c>
      <c r="E1442" t="inlineStr">
        <is>
          <t>INV/2026/02124</t>
        </is>
      </c>
      <c r="F1442" t="inlineStr">
        <is>
          <t>Customer payment INV/2026/02124</t>
        </is>
      </c>
      <c r="G1442" s="9" t="n">
        <v>96.98999999999999</v>
      </c>
      <c r="H1442" t="inlineStr">
        <is>
          <t>customer_payment</t>
        </is>
      </c>
      <c r="I1442" t="inlineStr"/>
      <c r="J1442" t="inlineStr">
        <is>
          <t>G00185</t>
        </is>
      </c>
      <c r="K1442" t="str">
        <f>INDEX('Match Groups'!$D$5:$D$1326,MATCH(J1442,'Match Groups'!$A$5:$A$1326,0))</f>
        <v>MATCH</v>
      </c>
    </row>
    <row r="1443">
      <c r="A1443" t="inlineStr">
        <is>
          <t>JI-00499</t>
        </is>
      </c>
      <c r="B1443" t="inlineStr">
        <is>
          <t>OPS</t>
        </is>
      </c>
      <c r="C1443" s="5" t="n">
        <v>46225</v>
      </c>
      <c r="D1443" t="inlineStr">
        <is>
          <t>Lyrebird Plan Management</t>
        </is>
      </c>
      <c r="E1443" t="inlineStr">
        <is>
          <t>INV/2026/02146</t>
        </is>
      </c>
      <c r="F1443" t="inlineStr">
        <is>
          <t>Customer payment INV/2026/02146</t>
        </is>
      </c>
      <c r="G1443" s="9" t="n">
        <v>349.18</v>
      </c>
      <c r="H1443" t="inlineStr">
        <is>
          <t>customer_payment</t>
        </is>
      </c>
      <c r="I1443" t="inlineStr"/>
      <c r="J1443" t="inlineStr">
        <is>
          <t>G00185</t>
        </is>
      </c>
      <c r="K1443" t="str">
        <f>INDEX('Match Groups'!$D$5:$D$1326,MATCH(J1443,'Match Groups'!$A$5:$A$1326,0))</f>
        <v>MATCH</v>
      </c>
    </row>
    <row r="1444">
      <c r="A1444" t="inlineStr">
        <is>
          <t>JI-00500</t>
        </is>
      </c>
      <c r="B1444" t="inlineStr">
        <is>
          <t>OPS</t>
        </is>
      </c>
      <c r="C1444" s="5" t="n">
        <v>46225</v>
      </c>
      <c r="D1444" t="inlineStr">
        <is>
          <t>Lyrebird Plan Management</t>
        </is>
      </c>
      <c r="E1444" t="inlineStr">
        <is>
          <t>INV/2026/02147</t>
        </is>
      </c>
      <c r="F1444" t="inlineStr">
        <is>
          <t>Customer payment INV/2026/02147</t>
        </is>
      </c>
      <c r="G1444" s="9" t="n">
        <v>387.98</v>
      </c>
      <c r="H1444" t="inlineStr">
        <is>
          <t>customer_payment</t>
        </is>
      </c>
      <c r="I1444" t="inlineStr"/>
      <c r="J1444" t="inlineStr">
        <is>
          <t>G00185</t>
        </is>
      </c>
      <c r="K1444" t="str">
        <f>INDEX('Match Groups'!$D$5:$D$1326,MATCH(J1444,'Match Groups'!$A$5:$A$1326,0))</f>
        <v>MATCH</v>
      </c>
    </row>
    <row r="1445">
      <c r="A1445" t="inlineStr">
        <is>
          <t>JI-00501</t>
        </is>
      </c>
      <c r="B1445" t="inlineStr">
        <is>
          <t>OPS</t>
        </is>
      </c>
      <c r="C1445" s="5" t="n">
        <v>46225</v>
      </c>
      <c r="D1445" t="inlineStr">
        <is>
          <t>Lyrebird Plan Management</t>
        </is>
      </c>
      <c r="E1445" t="inlineStr">
        <is>
          <t>INV/2026/02172</t>
        </is>
      </c>
      <c r="F1445" t="inlineStr">
        <is>
          <t>Customer payment INV/2026/02172</t>
        </is>
      </c>
      <c r="G1445" s="9" t="n">
        <v>242.49</v>
      </c>
      <c r="H1445" t="inlineStr">
        <is>
          <t>customer_payment</t>
        </is>
      </c>
      <c r="I1445" t="inlineStr"/>
      <c r="J1445" t="inlineStr">
        <is>
          <t>G00185</t>
        </is>
      </c>
      <c r="K1445" t="str">
        <f>INDEX('Match Groups'!$D$5:$D$1326,MATCH(J1445,'Match Groups'!$A$5:$A$1326,0))</f>
        <v>MATCH</v>
      </c>
    </row>
    <row r="1446">
      <c r="A1446" t="inlineStr">
        <is>
          <t>JI-00502</t>
        </is>
      </c>
      <c r="B1446" t="inlineStr">
        <is>
          <t>OPS</t>
        </is>
      </c>
      <c r="C1446" s="5" t="n">
        <v>46225</v>
      </c>
      <c r="D1446" t="inlineStr">
        <is>
          <t>Lyrebird Plan Management</t>
        </is>
      </c>
      <c r="E1446" t="inlineStr">
        <is>
          <t>INV/2026/02174</t>
        </is>
      </c>
      <c r="F1446" t="inlineStr">
        <is>
          <t>Customer payment INV/2026/02174</t>
        </is>
      </c>
      <c r="G1446" s="9" t="n">
        <v>96.98999999999999</v>
      </c>
      <c r="H1446" t="inlineStr">
        <is>
          <t>customer_payment</t>
        </is>
      </c>
      <c r="I1446" t="inlineStr"/>
      <c r="J1446" t="inlineStr">
        <is>
          <t>G00185</t>
        </is>
      </c>
      <c r="K1446" t="str">
        <f>INDEX('Match Groups'!$D$5:$D$1326,MATCH(J1446,'Match Groups'!$A$5:$A$1326,0))</f>
        <v>MATCH</v>
      </c>
    </row>
    <row r="1447">
      <c r="A1447" t="inlineStr">
        <is>
          <t>JI-00503</t>
        </is>
      </c>
      <c r="B1447" t="inlineStr">
        <is>
          <t>OPS</t>
        </is>
      </c>
      <c r="C1447" s="5" t="n">
        <v>46225</v>
      </c>
      <c r="D1447" t="inlineStr">
        <is>
          <t>Lyrebird Plan Management</t>
        </is>
      </c>
      <c r="E1447" t="inlineStr">
        <is>
          <t>INV/2026/02219</t>
        </is>
      </c>
      <c r="F1447" t="inlineStr">
        <is>
          <t>Customer payment INV/2026/02219</t>
        </is>
      </c>
      <c r="G1447" s="9" t="n">
        <v>349.18</v>
      </c>
      <c r="H1447" t="inlineStr">
        <is>
          <t>customer_payment</t>
        </is>
      </c>
      <c r="I1447" t="inlineStr"/>
      <c r="J1447" t="inlineStr">
        <is>
          <t>G00185</t>
        </is>
      </c>
      <c r="K1447" t="str">
        <f>INDEX('Match Groups'!$D$5:$D$1326,MATCH(J1447,'Match Groups'!$A$5:$A$1326,0))</f>
        <v>MATCH</v>
      </c>
    </row>
    <row r="1448">
      <c r="A1448" t="inlineStr">
        <is>
          <t>JI-00504</t>
        </is>
      </c>
      <c r="B1448" t="inlineStr">
        <is>
          <t>OPS</t>
        </is>
      </c>
      <c r="C1448" s="5" t="n">
        <v>46225</v>
      </c>
      <c r="D1448" t="inlineStr">
        <is>
          <t>Lyrebird Plan Management</t>
        </is>
      </c>
      <c r="E1448" t="inlineStr">
        <is>
          <t>INV/2026/02220</t>
        </is>
      </c>
      <c r="F1448" t="inlineStr">
        <is>
          <t>Customer payment INV/2026/02220</t>
        </is>
      </c>
      <c r="G1448" s="9" t="n">
        <v>290.98</v>
      </c>
      <c r="H1448" t="inlineStr">
        <is>
          <t>customer_payment</t>
        </is>
      </c>
      <c r="I1448" t="inlineStr"/>
      <c r="J1448" t="inlineStr">
        <is>
          <t>G00185</t>
        </is>
      </c>
      <c r="K1448" t="str">
        <f>INDEX('Match Groups'!$D$5:$D$1326,MATCH(J1448,'Match Groups'!$A$5:$A$1326,0))</f>
        <v>MATCH</v>
      </c>
    </row>
    <row r="1449">
      <c r="A1449" t="inlineStr">
        <is>
          <t>JI-00505</t>
        </is>
      </c>
      <c r="B1449" t="inlineStr">
        <is>
          <t>OPS</t>
        </is>
      </c>
      <c r="C1449" s="5" t="n">
        <v>46225</v>
      </c>
      <c r="D1449" t="inlineStr">
        <is>
          <t>Tallowwood Plans</t>
        </is>
      </c>
      <c r="E1449" t="inlineStr">
        <is>
          <t>INV/2026/02149</t>
        </is>
      </c>
      <c r="F1449" t="inlineStr">
        <is>
          <t>Customer payment INV/2026/02149</t>
        </is>
      </c>
      <c r="G1449" s="9" t="n">
        <v>387.98</v>
      </c>
      <c r="H1449" t="inlineStr">
        <is>
          <t>customer_payment</t>
        </is>
      </c>
      <c r="I1449" t="inlineStr"/>
      <c r="J1449" t="inlineStr">
        <is>
          <t>G00186</t>
        </is>
      </c>
      <c r="K1449" t="str">
        <f>INDEX('Match Groups'!$D$5:$D$1326,MATCH(J1449,'Match Groups'!$A$5:$A$1326,0))</f>
        <v>MATCH</v>
      </c>
    </row>
    <row r="1450">
      <c r="A1450" t="inlineStr">
        <is>
          <t>JI-00506</t>
        </is>
      </c>
      <c r="B1450" t="inlineStr">
        <is>
          <t>OPS</t>
        </is>
      </c>
      <c r="C1450" s="5" t="n">
        <v>46225</v>
      </c>
      <c r="D1450" t="inlineStr">
        <is>
          <t>Tallowwood Plans</t>
        </is>
      </c>
      <c r="E1450" t="inlineStr">
        <is>
          <t>INV/2026/02176</t>
        </is>
      </c>
      <c r="F1450" t="inlineStr">
        <is>
          <t>Customer payment INV/2026/02176</t>
        </is>
      </c>
      <c r="G1450" s="9" t="n">
        <v>96.98999999999999</v>
      </c>
      <c r="H1450" t="inlineStr">
        <is>
          <t>customer_payment</t>
        </is>
      </c>
      <c r="I1450" t="inlineStr"/>
      <c r="J1450" t="inlineStr">
        <is>
          <t>G00186</t>
        </is>
      </c>
      <c r="K1450" t="str">
        <f>INDEX('Match Groups'!$D$5:$D$1326,MATCH(J1450,'Match Groups'!$A$5:$A$1326,0))</f>
        <v>MATCH</v>
      </c>
    </row>
    <row r="1451">
      <c r="A1451" t="inlineStr">
        <is>
          <t>JI-00507</t>
        </is>
      </c>
      <c r="B1451" t="inlineStr">
        <is>
          <t>OPS</t>
        </is>
      </c>
      <c r="C1451" s="5" t="n">
        <v>46225</v>
      </c>
      <c r="D1451" t="inlineStr">
        <is>
          <t>Tallowwood Plans</t>
        </is>
      </c>
      <c r="E1451" t="inlineStr">
        <is>
          <t>INV/2026/02222</t>
        </is>
      </c>
      <c r="F1451" t="inlineStr">
        <is>
          <t>Customer payment INV/2026/02222</t>
        </is>
      </c>
      <c r="G1451" s="9" t="n">
        <v>387.98</v>
      </c>
      <c r="H1451" t="inlineStr">
        <is>
          <t>customer_payment</t>
        </is>
      </c>
      <c r="I1451" t="inlineStr"/>
      <c r="J1451" t="inlineStr">
        <is>
          <t>G00186</t>
        </is>
      </c>
      <c r="K1451" t="str">
        <f>INDEX('Match Groups'!$D$5:$D$1326,MATCH(J1451,'Match Groups'!$A$5:$A$1326,0))</f>
        <v>MATCH</v>
      </c>
    </row>
    <row r="1452">
      <c r="A1452" t="inlineStr">
        <is>
          <t>JI-00508</t>
        </is>
      </c>
      <c r="B1452" t="inlineStr">
        <is>
          <t>OPS</t>
        </is>
      </c>
      <c r="C1452" s="5" t="n">
        <v>46225</v>
      </c>
      <c r="D1452" t="inlineStr">
        <is>
          <t>Acacia Plan Partners</t>
        </is>
      </c>
      <c r="E1452" t="inlineStr">
        <is>
          <t>INV/2026/01938</t>
        </is>
      </c>
      <c r="F1452" t="inlineStr">
        <is>
          <t>Customer payment INV/2026/01938</t>
        </is>
      </c>
      <c r="G1452" s="9" t="n">
        <v>96.98999999999999</v>
      </c>
      <c r="H1452" t="inlineStr">
        <is>
          <t>customer_payment</t>
        </is>
      </c>
      <c r="I1452" t="inlineStr"/>
      <c r="J1452" t="inlineStr">
        <is>
          <t>G00187</t>
        </is>
      </c>
      <c r="K1452" t="str">
        <f>INDEX('Match Groups'!$D$5:$D$1326,MATCH(J1452,'Match Groups'!$A$5:$A$1326,0))</f>
        <v>MATCH</v>
      </c>
    </row>
    <row r="1453">
      <c r="A1453" t="inlineStr">
        <is>
          <t>JI-00509</t>
        </is>
      </c>
      <c r="B1453" t="inlineStr">
        <is>
          <t>OPS</t>
        </is>
      </c>
      <c r="C1453" s="5" t="n">
        <v>46225</v>
      </c>
      <c r="D1453" t="inlineStr">
        <is>
          <t>Acacia Plan Partners</t>
        </is>
      </c>
      <c r="E1453" t="inlineStr">
        <is>
          <t>INV/2026/01939</t>
        </is>
      </c>
      <c r="F1453" t="inlineStr">
        <is>
          <t>Customer payment INV/2026/01939</t>
        </is>
      </c>
      <c r="G1453" s="9" t="n">
        <v>145.49</v>
      </c>
      <c r="H1453" t="inlineStr">
        <is>
          <t>customer_payment</t>
        </is>
      </c>
      <c r="I1453" t="inlineStr"/>
      <c r="J1453" t="inlineStr">
        <is>
          <t>G00187</t>
        </is>
      </c>
      <c r="K1453" t="str">
        <f>INDEX('Match Groups'!$D$5:$D$1326,MATCH(J1453,'Match Groups'!$A$5:$A$1326,0))</f>
        <v>MATCH</v>
      </c>
    </row>
    <row r="1454">
      <c r="A1454" t="inlineStr">
        <is>
          <t>JI-00510</t>
        </is>
      </c>
      <c r="B1454" t="inlineStr">
        <is>
          <t>OPS</t>
        </is>
      </c>
      <c r="C1454" s="5" t="n">
        <v>46225</v>
      </c>
      <c r="D1454" t="inlineStr">
        <is>
          <t>Acacia Plan Partners</t>
        </is>
      </c>
      <c r="E1454" t="inlineStr">
        <is>
          <t>INV/2026/01940</t>
        </is>
      </c>
      <c r="F1454" t="inlineStr">
        <is>
          <t>Customer payment INV/2026/01940</t>
        </is>
      </c>
      <c r="G1454" s="9" t="n">
        <v>387.98</v>
      </c>
      <c r="H1454" t="inlineStr">
        <is>
          <t>customer_payment</t>
        </is>
      </c>
      <c r="I1454" t="inlineStr"/>
      <c r="J1454" t="inlineStr">
        <is>
          <t>G00187</t>
        </is>
      </c>
      <c r="K1454" t="str">
        <f>INDEX('Match Groups'!$D$5:$D$1326,MATCH(J1454,'Match Groups'!$A$5:$A$1326,0))</f>
        <v>MATCH</v>
      </c>
    </row>
    <row r="1455">
      <c r="A1455" t="inlineStr">
        <is>
          <t>JI-00511</t>
        </is>
      </c>
      <c r="B1455" t="inlineStr">
        <is>
          <t>OPS</t>
        </is>
      </c>
      <c r="C1455" s="5" t="n">
        <v>46225</v>
      </c>
      <c r="D1455" t="inlineStr">
        <is>
          <t>Mallee Plan Services</t>
        </is>
      </c>
      <c r="E1455" t="inlineStr">
        <is>
          <t>INV/2026/02102</t>
        </is>
      </c>
      <c r="F1455" t="inlineStr">
        <is>
          <t>Customer payment INV/2026/02102</t>
        </is>
      </c>
      <c r="G1455" s="9" t="n">
        <v>252.19</v>
      </c>
      <c r="H1455" t="inlineStr">
        <is>
          <t>customer_payment</t>
        </is>
      </c>
      <c r="I1455" t="inlineStr"/>
      <c r="J1455" t="inlineStr">
        <is>
          <t>G00188</t>
        </is>
      </c>
      <c r="K1455" t="str">
        <f>INDEX('Match Groups'!$D$5:$D$1326,MATCH(J1455,'Match Groups'!$A$5:$A$1326,0))</f>
        <v>MATCH</v>
      </c>
    </row>
    <row r="1456">
      <c r="A1456" t="inlineStr">
        <is>
          <t>JI-00512</t>
        </is>
      </c>
      <c r="B1456" t="inlineStr">
        <is>
          <t>OPS</t>
        </is>
      </c>
      <c r="C1456" s="5" t="n">
        <v>46225</v>
      </c>
      <c r="D1456" t="inlineStr">
        <is>
          <t>Mallee Plan Services</t>
        </is>
      </c>
      <c r="E1456" t="inlineStr">
        <is>
          <t>INV/2026/02227</t>
        </is>
      </c>
      <c r="F1456" t="inlineStr">
        <is>
          <t>Customer payment INV/2026/02227</t>
        </is>
      </c>
      <c r="G1456" s="9" t="n">
        <v>193.99</v>
      </c>
      <c r="H1456" t="inlineStr">
        <is>
          <t>customer_payment</t>
        </is>
      </c>
      <c r="I1456" t="inlineStr"/>
      <c r="J1456" t="inlineStr">
        <is>
          <t>G00188</t>
        </is>
      </c>
      <c r="K1456" t="str">
        <f>INDEX('Match Groups'!$D$5:$D$1326,MATCH(J1456,'Match Groups'!$A$5:$A$1326,0))</f>
        <v>MATCH</v>
      </c>
    </row>
    <row r="1457">
      <c r="A1457" t="inlineStr">
        <is>
          <t>JI-01542</t>
        </is>
      </c>
      <c r="B1457" t="inlineStr">
        <is>
          <t>OPS</t>
        </is>
      </c>
      <c r="C1457" s="5" t="n">
        <v>46225</v>
      </c>
      <c r="D1457" t="inlineStr">
        <is>
          <t>Harbour Mutual Health</t>
        </is>
      </c>
      <c r="E1457" t="inlineStr">
        <is>
          <t>INV/2026/02129</t>
        </is>
      </c>
      <c r="F1457" t="inlineStr">
        <is>
          <t>Customer payment INV/2026/02129</t>
        </is>
      </c>
      <c r="G1457" s="9" t="n">
        <v>412.5</v>
      </c>
      <c r="H1457" t="inlineStr">
        <is>
          <t>customer_payment</t>
        </is>
      </c>
      <c r="I1457" t="inlineStr"/>
      <c r="J1457" t="inlineStr">
        <is>
          <t>G00959</t>
        </is>
      </c>
      <c r="K1457" t="str">
        <f>INDEX('Match Groups'!$D$5:$D$1326,MATCH(J1457,'Match Groups'!$A$5:$A$1326,0))</f>
        <v>MATCH</v>
      </c>
    </row>
    <row r="1458">
      <c r="A1458" t="inlineStr">
        <is>
          <t>JI-01591</t>
        </is>
      </c>
      <c r="B1458" t="inlineStr">
        <is>
          <t>OPS</t>
        </is>
      </c>
      <c r="C1458" s="5" t="n">
        <v>46225</v>
      </c>
      <c r="D1458" t="inlineStr">
        <is>
          <t>Pinnacle Claims Services</t>
        </is>
      </c>
      <c r="E1458" t="inlineStr">
        <is>
          <t>INV/2026/01871</t>
        </is>
      </c>
      <c r="F1458" t="inlineStr">
        <is>
          <t>Customer payment INV/2026/01871</t>
        </is>
      </c>
      <c r="G1458" s="9" t="n">
        <v>88</v>
      </c>
      <c r="H1458" t="inlineStr">
        <is>
          <t>customer_payment</t>
        </is>
      </c>
      <c r="I1458" t="inlineStr"/>
      <c r="J1458" t="inlineStr">
        <is>
          <t>G00953</t>
        </is>
      </c>
      <c r="K1458" t="str">
        <f>INDEX('Match Groups'!$D$5:$D$1326,MATCH(J1458,'Match Groups'!$A$5:$A$1326,0))</f>
        <v>MATCH</v>
      </c>
    </row>
    <row r="1459">
      <c r="A1459" t="inlineStr">
        <is>
          <t>JI-02251</t>
        </is>
      </c>
      <c r="B1459" t="inlineStr">
        <is>
          <t>OPS</t>
        </is>
      </c>
      <c r="C1459" s="5" t="n">
        <v>46225</v>
      </c>
      <c r="D1459" t="inlineStr">
        <is>
          <t>Stripe patient 66134</t>
        </is>
      </c>
      <c r="E1459" t="inlineStr">
        <is>
          <t>INV/2026/04098</t>
        </is>
      </c>
      <c r="F1459" t="inlineStr">
        <is>
          <t>Customer payment INV/2026/04098</t>
        </is>
      </c>
      <c r="G1459" s="9" t="n">
        <v>220</v>
      </c>
      <c r="H1459" t="inlineStr">
        <is>
          <t>customer_payment</t>
        </is>
      </c>
      <c r="I1459" t="inlineStr"/>
      <c r="J1459" t="inlineStr">
        <is>
          <t>G00031</t>
        </is>
      </c>
      <c r="K1459" t="str">
        <f>INDEX('Match Groups'!$D$5:$D$1326,MATCH(J1459,'Match Groups'!$A$5:$A$1326,0))</f>
        <v>STRIPE-FEE</v>
      </c>
    </row>
    <row r="1460">
      <c r="A1460" t="inlineStr">
        <is>
          <t>JI-02252</t>
        </is>
      </c>
      <c r="B1460" t="inlineStr">
        <is>
          <t>OPS</t>
        </is>
      </c>
      <c r="C1460" s="5" t="n">
        <v>46225</v>
      </c>
      <c r="D1460" t="inlineStr">
        <is>
          <t>Stripe patient 27446</t>
        </is>
      </c>
      <c r="E1460" t="inlineStr">
        <is>
          <t>INV/2026/04099</t>
        </is>
      </c>
      <c r="F1460" t="inlineStr">
        <is>
          <t>Customer payment INV/2026/04099</t>
        </is>
      </c>
      <c r="G1460" s="9" t="n">
        <v>180</v>
      </c>
      <c r="H1460" t="inlineStr">
        <is>
          <t>customer_payment</t>
        </is>
      </c>
      <c r="I1460" t="inlineStr"/>
      <c r="J1460" t="inlineStr">
        <is>
          <t>G00031</t>
        </is>
      </c>
      <c r="K1460" t="str">
        <f>INDEX('Match Groups'!$D$5:$D$1326,MATCH(J1460,'Match Groups'!$A$5:$A$1326,0))</f>
        <v>STRIPE-FEE</v>
      </c>
    </row>
    <row r="1461">
      <c r="A1461" t="inlineStr">
        <is>
          <t>JI-02253</t>
        </is>
      </c>
      <c r="B1461" t="inlineStr">
        <is>
          <t>OPS</t>
        </is>
      </c>
      <c r="C1461" s="5" t="n">
        <v>46225</v>
      </c>
      <c r="D1461" t="inlineStr">
        <is>
          <t>Stripe patient 70745</t>
        </is>
      </c>
      <c r="E1461" t="inlineStr">
        <is>
          <t>INV/2026/04100</t>
        </is>
      </c>
      <c r="F1461" t="inlineStr">
        <is>
          <t>Customer payment INV/2026/04100</t>
        </is>
      </c>
      <c r="G1461" s="9" t="n">
        <v>150</v>
      </c>
      <c r="H1461" t="inlineStr">
        <is>
          <t>customer_payment</t>
        </is>
      </c>
      <c r="I1461" t="inlineStr"/>
      <c r="J1461" t="inlineStr">
        <is>
          <t>G00031</t>
        </is>
      </c>
      <c r="K1461" t="str">
        <f>INDEX('Match Groups'!$D$5:$D$1326,MATCH(J1461,'Match Groups'!$A$5:$A$1326,0))</f>
        <v>STRIPE-FEE</v>
      </c>
    </row>
    <row r="1462">
      <c r="A1462" t="inlineStr">
        <is>
          <t>JI-02254</t>
        </is>
      </c>
      <c r="B1462" t="inlineStr">
        <is>
          <t>OPS</t>
        </is>
      </c>
      <c r="C1462" s="5" t="n">
        <v>46225</v>
      </c>
      <c r="D1462" t="inlineStr">
        <is>
          <t>Stripe patient 88307</t>
        </is>
      </c>
      <c r="E1462" t="inlineStr">
        <is>
          <t>INV/2026/04101</t>
        </is>
      </c>
      <c r="F1462" t="inlineStr">
        <is>
          <t>Customer payment INV/2026/04101</t>
        </is>
      </c>
      <c r="G1462" s="9" t="n">
        <v>220</v>
      </c>
      <c r="H1462" t="inlineStr">
        <is>
          <t>customer_payment</t>
        </is>
      </c>
      <c r="I1462" t="inlineStr"/>
      <c r="J1462" t="inlineStr">
        <is>
          <t>G00031</t>
        </is>
      </c>
      <c r="K1462" t="str">
        <f>INDEX('Match Groups'!$D$5:$D$1326,MATCH(J1462,'Match Groups'!$A$5:$A$1326,0))</f>
        <v>STRIPE-FEE</v>
      </c>
    </row>
    <row r="1463">
      <c r="A1463" t="inlineStr">
        <is>
          <t>JI-02255</t>
        </is>
      </c>
      <c r="B1463" t="inlineStr">
        <is>
          <t>OPS</t>
        </is>
      </c>
      <c r="C1463" s="5" t="n">
        <v>46225</v>
      </c>
      <c r="D1463" t="inlineStr">
        <is>
          <t>Stripe patient 56785</t>
        </is>
      </c>
      <c r="E1463" t="inlineStr">
        <is>
          <t>INV/2026/04102</t>
        </is>
      </c>
      <c r="F1463" t="inlineStr">
        <is>
          <t>Customer payment INV/2026/04102</t>
        </is>
      </c>
      <c r="G1463" s="9" t="n">
        <v>85</v>
      </c>
      <c r="H1463" t="inlineStr">
        <is>
          <t>customer_payment</t>
        </is>
      </c>
      <c r="I1463" t="inlineStr"/>
      <c r="J1463" t="inlineStr">
        <is>
          <t>G00031</t>
        </is>
      </c>
      <c r="K1463" t="str">
        <f>INDEX('Match Groups'!$D$5:$D$1326,MATCH(J1463,'Match Groups'!$A$5:$A$1326,0))</f>
        <v>STRIPE-FEE</v>
      </c>
    </row>
    <row r="1464">
      <c r="A1464" t="inlineStr">
        <is>
          <t>JI-02256</t>
        </is>
      </c>
      <c r="B1464" t="inlineStr">
        <is>
          <t>OPS</t>
        </is>
      </c>
      <c r="C1464" s="5" t="n">
        <v>46225</v>
      </c>
      <c r="D1464" t="inlineStr">
        <is>
          <t>Stripe patient 51727</t>
        </is>
      </c>
      <c r="E1464" t="inlineStr">
        <is>
          <t>INV/2026/04103</t>
        </is>
      </c>
      <c r="F1464" t="inlineStr">
        <is>
          <t>Customer payment INV/2026/04103</t>
        </is>
      </c>
      <c r="G1464" s="9" t="n">
        <v>135</v>
      </c>
      <c r="H1464" t="inlineStr">
        <is>
          <t>customer_payment</t>
        </is>
      </c>
      <c r="I1464" t="inlineStr"/>
      <c r="J1464" t="inlineStr">
        <is>
          <t>G00031</t>
        </is>
      </c>
      <c r="K1464" t="str">
        <f>INDEX('Match Groups'!$D$5:$D$1326,MATCH(J1464,'Match Groups'!$A$5:$A$1326,0))</f>
        <v>STRIPE-FEE</v>
      </c>
    </row>
    <row r="1465">
      <c r="A1465" t="inlineStr">
        <is>
          <t>JI-02257</t>
        </is>
      </c>
      <c r="B1465" t="inlineStr">
        <is>
          <t>OPS</t>
        </is>
      </c>
      <c r="C1465" s="5" t="n">
        <v>46225</v>
      </c>
      <c r="D1465" t="inlineStr">
        <is>
          <t>Stripe patient 48311</t>
        </is>
      </c>
      <c r="E1465" t="inlineStr">
        <is>
          <t>INV/2026/04104</t>
        </is>
      </c>
      <c r="F1465" t="inlineStr">
        <is>
          <t>Customer payment INV/2026/04104</t>
        </is>
      </c>
      <c r="G1465" s="9" t="n">
        <v>180</v>
      </c>
      <c r="H1465" t="inlineStr">
        <is>
          <t>customer_payment</t>
        </is>
      </c>
      <c r="I1465" t="inlineStr"/>
      <c r="J1465" t="inlineStr">
        <is>
          <t>G00031</t>
        </is>
      </c>
      <c r="K1465" t="str">
        <f>INDEX('Match Groups'!$D$5:$D$1326,MATCH(J1465,'Match Groups'!$A$5:$A$1326,0))</f>
        <v>STRIPE-FEE</v>
      </c>
    </row>
    <row r="1466">
      <c r="A1466" t="inlineStr">
        <is>
          <t>JI-02258</t>
        </is>
      </c>
      <c r="B1466" t="inlineStr">
        <is>
          <t>OPS</t>
        </is>
      </c>
      <c r="C1466" s="5" t="n">
        <v>46225</v>
      </c>
      <c r="D1466" t="inlineStr">
        <is>
          <t>Stripe patient 28558</t>
        </is>
      </c>
      <c r="E1466" t="inlineStr">
        <is>
          <t>INV/2026/04105</t>
        </is>
      </c>
      <c r="F1466" t="inlineStr">
        <is>
          <t>Customer payment INV/2026/04105</t>
        </is>
      </c>
      <c r="G1466" s="9" t="n">
        <v>95</v>
      </c>
      <c r="H1466" t="inlineStr">
        <is>
          <t>customer_payment</t>
        </is>
      </c>
      <c r="I1466" t="inlineStr"/>
      <c r="J1466" t="inlineStr">
        <is>
          <t>G00031</t>
        </is>
      </c>
      <c r="K1466" t="str">
        <f>INDEX('Match Groups'!$D$5:$D$1326,MATCH(J1466,'Match Groups'!$A$5:$A$1326,0))</f>
        <v>STRIPE-FEE</v>
      </c>
    </row>
    <row r="1467">
      <c r="A1467" t="inlineStr">
        <is>
          <t>JI-02259</t>
        </is>
      </c>
      <c r="B1467" t="inlineStr">
        <is>
          <t>OPS</t>
        </is>
      </c>
      <c r="C1467" s="5" t="n">
        <v>46225</v>
      </c>
      <c r="D1467" t="inlineStr">
        <is>
          <t>Stripe patient 23710</t>
        </is>
      </c>
      <c r="E1467" t="inlineStr">
        <is>
          <t>INV/2026/04106</t>
        </is>
      </c>
      <c r="F1467" t="inlineStr">
        <is>
          <t>Customer payment INV/2026/04106</t>
        </is>
      </c>
      <c r="G1467" s="9" t="n">
        <v>85</v>
      </c>
      <c r="H1467" t="inlineStr">
        <is>
          <t>customer_payment</t>
        </is>
      </c>
      <c r="I1467" t="inlineStr"/>
      <c r="J1467" t="inlineStr">
        <is>
          <t>G00031</t>
        </is>
      </c>
      <c r="K1467" t="str">
        <f>INDEX('Match Groups'!$D$5:$D$1326,MATCH(J1467,'Match Groups'!$A$5:$A$1326,0))</f>
        <v>STRIPE-FEE</v>
      </c>
    </row>
    <row r="1468">
      <c r="A1468" t="inlineStr">
        <is>
          <t>JI-02260</t>
        </is>
      </c>
      <c r="B1468" t="inlineStr">
        <is>
          <t>OPS</t>
        </is>
      </c>
      <c r="C1468" s="5" t="n">
        <v>46225</v>
      </c>
      <c r="D1468" t="inlineStr">
        <is>
          <t>Stripe patient 90321</t>
        </is>
      </c>
      <c r="E1468" t="inlineStr">
        <is>
          <t>INV/2026/04107</t>
        </is>
      </c>
      <c r="F1468" t="inlineStr">
        <is>
          <t>Customer payment INV/2026/04107</t>
        </is>
      </c>
      <c r="G1468" s="9" t="n">
        <v>110</v>
      </c>
      <c r="H1468" t="inlineStr">
        <is>
          <t>customer_payment</t>
        </is>
      </c>
      <c r="I1468" t="inlineStr"/>
      <c r="J1468" t="inlineStr">
        <is>
          <t>G00031</t>
        </is>
      </c>
      <c r="K1468" t="str">
        <f>INDEX('Match Groups'!$D$5:$D$1326,MATCH(J1468,'Match Groups'!$A$5:$A$1326,0))</f>
        <v>STRIPE-FEE</v>
      </c>
    </row>
    <row r="1469">
      <c r="A1469" t="inlineStr">
        <is>
          <t>JI-02261</t>
        </is>
      </c>
      <c r="B1469" t="inlineStr">
        <is>
          <t>OPS</t>
        </is>
      </c>
      <c r="C1469" s="5" t="n">
        <v>46225</v>
      </c>
      <c r="D1469" t="inlineStr">
        <is>
          <t>Stripe patient 80196</t>
        </is>
      </c>
      <c r="E1469" t="inlineStr">
        <is>
          <t>INV/2026/04108</t>
        </is>
      </c>
      <c r="F1469" t="inlineStr">
        <is>
          <t>Customer payment INV/2026/04108</t>
        </is>
      </c>
      <c r="G1469" s="9" t="n">
        <v>150</v>
      </c>
      <c r="H1469" t="inlineStr">
        <is>
          <t>customer_payment</t>
        </is>
      </c>
      <c r="I1469" t="inlineStr"/>
      <c r="J1469" t="inlineStr">
        <is>
          <t>G00031</t>
        </is>
      </c>
      <c r="K1469" t="str">
        <f>INDEX('Match Groups'!$D$5:$D$1326,MATCH(J1469,'Match Groups'!$A$5:$A$1326,0))</f>
        <v>STRIPE-FEE</v>
      </c>
    </row>
    <row r="1470">
      <c r="A1470" t="inlineStr">
        <is>
          <t>JI-02262</t>
        </is>
      </c>
      <c r="B1470" t="inlineStr">
        <is>
          <t>OPS</t>
        </is>
      </c>
      <c r="C1470" s="5" t="n">
        <v>46225</v>
      </c>
      <c r="D1470" t="inlineStr">
        <is>
          <t>Stripe patient 65430</t>
        </is>
      </c>
      <c r="E1470" t="inlineStr">
        <is>
          <t>INV/2026/04109</t>
        </is>
      </c>
      <c r="F1470" t="inlineStr">
        <is>
          <t>Customer payment INV/2026/04109</t>
        </is>
      </c>
      <c r="G1470" s="9" t="n">
        <v>85</v>
      </c>
      <c r="H1470" t="inlineStr">
        <is>
          <t>customer_payment</t>
        </is>
      </c>
      <c r="I1470" t="inlineStr"/>
      <c r="J1470" t="inlineStr">
        <is>
          <t>G00031</t>
        </is>
      </c>
      <c r="K1470" t="str">
        <f>INDEX('Match Groups'!$D$5:$D$1326,MATCH(J1470,'Match Groups'!$A$5:$A$1326,0))</f>
        <v>STRIPE-FEE</v>
      </c>
    </row>
    <row r="1471">
      <c r="A1471" t="inlineStr">
        <is>
          <t>JI-02263</t>
        </is>
      </c>
      <c r="B1471" t="inlineStr">
        <is>
          <t>OPS</t>
        </is>
      </c>
      <c r="C1471" s="5" t="n">
        <v>46225</v>
      </c>
      <c r="D1471" t="inlineStr">
        <is>
          <t>Stripe patient 20303</t>
        </is>
      </c>
      <c r="E1471" t="inlineStr">
        <is>
          <t>INV/2026/04110</t>
        </is>
      </c>
      <c r="F1471" t="inlineStr">
        <is>
          <t>Customer payment INV/2026/04110</t>
        </is>
      </c>
      <c r="G1471" s="9" t="n">
        <v>95</v>
      </c>
      <c r="H1471" t="inlineStr">
        <is>
          <t>customer_payment</t>
        </is>
      </c>
      <c r="I1471" t="inlineStr"/>
      <c r="J1471" t="inlineStr">
        <is>
          <t>G00031</t>
        </is>
      </c>
      <c r="K1471" t="str">
        <f>INDEX('Match Groups'!$D$5:$D$1326,MATCH(J1471,'Match Groups'!$A$5:$A$1326,0))</f>
        <v>STRIPE-FEE</v>
      </c>
    </row>
    <row r="1472">
      <c r="A1472" t="inlineStr">
        <is>
          <t>JI-02264</t>
        </is>
      </c>
      <c r="B1472" t="inlineStr">
        <is>
          <t>OPS</t>
        </is>
      </c>
      <c r="C1472" s="5" t="n">
        <v>46225</v>
      </c>
      <c r="D1472" t="inlineStr">
        <is>
          <t>Stripe patient 41342</t>
        </is>
      </c>
      <c r="E1472" t="inlineStr">
        <is>
          <t>INV/2026/04111</t>
        </is>
      </c>
      <c r="F1472" t="inlineStr">
        <is>
          <t>Customer payment INV/2026/04111</t>
        </is>
      </c>
      <c r="G1472" s="9" t="n">
        <v>95</v>
      </c>
      <c r="H1472" t="inlineStr">
        <is>
          <t>customer_payment</t>
        </is>
      </c>
      <c r="I1472" t="inlineStr"/>
      <c r="J1472" t="inlineStr">
        <is>
          <t>G00031</t>
        </is>
      </c>
      <c r="K1472" t="str">
        <f>INDEX('Match Groups'!$D$5:$D$1326,MATCH(J1472,'Match Groups'!$A$5:$A$1326,0))</f>
        <v>STRIPE-FEE</v>
      </c>
    </row>
    <row r="1473">
      <c r="A1473" t="inlineStr">
        <is>
          <t>JI-02265</t>
        </is>
      </c>
      <c r="B1473" t="inlineStr">
        <is>
          <t>OPS</t>
        </is>
      </c>
      <c r="C1473" s="5" t="n">
        <v>46225</v>
      </c>
      <c r="D1473" t="inlineStr">
        <is>
          <t>Stripe patient 10038</t>
        </is>
      </c>
      <c r="E1473" t="inlineStr">
        <is>
          <t>INV/2026/04112</t>
        </is>
      </c>
      <c r="F1473" t="inlineStr">
        <is>
          <t>Customer payment INV/2026/04112</t>
        </is>
      </c>
      <c r="G1473" s="9" t="n">
        <v>150</v>
      </c>
      <c r="H1473" t="inlineStr">
        <is>
          <t>customer_payment</t>
        </is>
      </c>
      <c r="I1473" t="inlineStr"/>
      <c r="J1473" t="inlineStr">
        <is>
          <t>G00031</t>
        </is>
      </c>
      <c r="K1473" t="str">
        <f>INDEX('Match Groups'!$D$5:$D$1326,MATCH(J1473,'Match Groups'!$A$5:$A$1326,0))</f>
        <v>STRIPE-FEE</v>
      </c>
    </row>
    <row r="1474">
      <c r="A1474" t="inlineStr">
        <is>
          <t>JI-02266</t>
        </is>
      </c>
      <c r="B1474" t="inlineStr">
        <is>
          <t>OPS</t>
        </is>
      </c>
      <c r="C1474" s="5" t="n">
        <v>46225</v>
      </c>
      <c r="D1474" t="inlineStr">
        <is>
          <t>Stripe patient 65077</t>
        </is>
      </c>
      <c r="E1474" t="inlineStr">
        <is>
          <t>INV/2026/04113</t>
        </is>
      </c>
      <c r="F1474" t="inlineStr">
        <is>
          <t>Customer payment INV/2026/04113</t>
        </is>
      </c>
      <c r="G1474" s="9" t="n">
        <v>85</v>
      </c>
      <c r="H1474" t="inlineStr">
        <is>
          <t>customer_payment</t>
        </is>
      </c>
      <c r="I1474" t="inlineStr"/>
      <c r="J1474" t="inlineStr">
        <is>
          <t>G00031</t>
        </is>
      </c>
      <c r="K1474" t="str">
        <f>INDEX('Match Groups'!$D$5:$D$1326,MATCH(J1474,'Match Groups'!$A$5:$A$1326,0))</f>
        <v>STRIPE-FEE</v>
      </c>
    </row>
    <row r="1475">
      <c r="A1475" t="inlineStr">
        <is>
          <t>JI-02267</t>
        </is>
      </c>
      <c r="B1475" t="inlineStr">
        <is>
          <t>OPS</t>
        </is>
      </c>
      <c r="C1475" s="5" t="n">
        <v>46225</v>
      </c>
      <c r="D1475" t="inlineStr">
        <is>
          <t>Stripe patient 32088</t>
        </is>
      </c>
      <c r="E1475" t="inlineStr">
        <is>
          <t>INV/2026/04114</t>
        </is>
      </c>
      <c r="F1475" t="inlineStr">
        <is>
          <t>Customer payment INV/2026/04114</t>
        </is>
      </c>
      <c r="G1475" s="9" t="n">
        <v>95</v>
      </c>
      <c r="H1475" t="inlineStr">
        <is>
          <t>customer_payment</t>
        </is>
      </c>
      <c r="I1475" t="inlineStr"/>
      <c r="J1475" t="inlineStr">
        <is>
          <t>G00031</t>
        </is>
      </c>
      <c r="K1475" t="str">
        <f>INDEX('Match Groups'!$D$5:$D$1326,MATCH(J1475,'Match Groups'!$A$5:$A$1326,0))</f>
        <v>STRIPE-FEE</v>
      </c>
    </row>
    <row r="1476">
      <c r="A1476" t="inlineStr">
        <is>
          <t>JI-02268</t>
        </is>
      </c>
      <c r="B1476" t="inlineStr">
        <is>
          <t>OPS</t>
        </is>
      </c>
      <c r="C1476" s="5" t="n">
        <v>46225</v>
      </c>
      <c r="D1476" t="inlineStr">
        <is>
          <t>Stripe patient 61674</t>
        </is>
      </c>
      <c r="E1476" t="inlineStr">
        <is>
          <t>INV/2026/04115</t>
        </is>
      </c>
      <c r="F1476" t="inlineStr">
        <is>
          <t>Customer payment INV/2026/04115</t>
        </is>
      </c>
      <c r="G1476" s="9" t="n">
        <v>150</v>
      </c>
      <c r="H1476" t="inlineStr">
        <is>
          <t>customer_payment</t>
        </is>
      </c>
      <c r="I1476" t="inlineStr"/>
      <c r="J1476" t="inlineStr">
        <is>
          <t>G00031</t>
        </is>
      </c>
      <c r="K1476" t="str">
        <f>INDEX('Match Groups'!$D$5:$D$1326,MATCH(J1476,'Match Groups'!$A$5:$A$1326,0))</f>
        <v>STRIPE-FEE</v>
      </c>
    </row>
    <row r="1477">
      <c r="A1477" t="inlineStr">
        <is>
          <t>JI-02269</t>
        </is>
      </c>
      <c r="B1477" t="inlineStr">
        <is>
          <t>OPS</t>
        </is>
      </c>
      <c r="C1477" s="5" t="n">
        <v>46225</v>
      </c>
      <c r="D1477" t="inlineStr">
        <is>
          <t>Stripe patient 59539</t>
        </is>
      </c>
      <c r="E1477" t="inlineStr">
        <is>
          <t>INV/2026/04116</t>
        </is>
      </c>
      <c r="F1477" t="inlineStr">
        <is>
          <t>Customer payment INV/2026/04116</t>
        </is>
      </c>
      <c r="G1477" s="9" t="n">
        <v>220</v>
      </c>
      <c r="H1477" t="inlineStr">
        <is>
          <t>customer_payment</t>
        </is>
      </c>
      <c r="I1477" t="inlineStr"/>
      <c r="J1477" t="inlineStr">
        <is>
          <t>G00031</t>
        </is>
      </c>
      <c r="K1477" t="str">
        <f>INDEX('Match Groups'!$D$5:$D$1326,MATCH(J1477,'Match Groups'!$A$5:$A$1326,0))</f>
        <v>STRIPE-FEE</v>
      </c>
    </row>
    <row r="1478">
      <c r="A1478" t="inlineStr">
        <is>
          <t>JI-02270</t>
        </is>
      </c>
      <c r="B1478" t="inlineStr">
        <is>
          <t>OPS</t>
        </is>
      </c>
      <c r="C1478" s="5" t="n">
        <v>46225</v>
      </c>
      <c r="D1478" t="inlineStr">
        <is>
          <t>Stripe patient 80694</t>
        </is>
      </c>
      <c r="E1478" t="inlineStr">
        <is>
          <t>INV/2026/04117</t>
        </is>
      </c>
      <c r="F1478" t="inlineStr">
        <is>
          <t>Customer payment INV/2026/04117</t>
        </is>
      </c>
      <c r="G1478" s="9" t="n">
        <v>65</v>
      </c>
      <c r="H1478" t="inlineStr">
        <is>
          <t>customer_payment</t>
        </is>
      </c>
      <c r="I1478" t="inlineStr"/>
      <c r="J1478" t="inlineStr">
        <is>
          <t>G00031</t>
        </is>
      </c>
      <c r="K1478" t="str">
        <f>INDEX('Match Groups'!$D$5:$D$1326,MATCH(J1478,'Match Groups'!$A$5:$A$1326,0))</f>
        <v>STRIPE-FEE</v>
      </c>
    </row>
    <row r="1479">
      <c r="A1479" t="inlineStr">
        <is>
          <t>JI-02271</t>
        </is>
      </c>
      <c r="B1479" t="inlineStr">
        <is>
          <t>OPS</t>
        </is>
      </c>
      <c r="C1479" s="5" t="n">
        <v>46225</v>
      </c>
      <c r="D1479" t="inlineStr">
        <is>
          <t>Stripe patient 29174</t>
        </is>
      </c>
      <c r="E1479" t="inlineStr">
        <is>
          <t>INV/2026/04118</t>
        </is>
      </c>
      <c r="F1479" t="inlineStr">
        <is>
          <t>Customer payment INV/2026/04118</t>
        </is>
      </c>
      <c r="G1479" s="9" t="n">
        <v>95</v>
      </c>
      <c r="H1479" t="inlineStr">
        <is>
          <t>customer_payment</t>
        </is>
      </c>
      <c r="I1479" t="inlineStr"/>
      <c r="J1479" t="inlineStr">
        <is>
          <t>G00031</t>
        </is>
      </c>
      <c r="K1479" t="str">
        <f>INDEX('Match Groups'!$D$5:$D$1326,MATCH(J1479,'Match Groups'!$A$5:$A$1326,0))</f>
        <v>STRIPE-FEE</v>
      </c>
    </row>
    <row r="1480">
      <c r="A1480" t="inlineStr">
        <is>
          <t>JI-03764</t>
        </is>
      </c>
      <c r="B1480" t="inlineStr">
        <is>
          <t>OPS</t>
        </is>
      </c>
      <c r="C1480" s="5" t="n">
        <v>46225</v>
      </c>
      <c r="D1480" t="inlineStr">
        <is>
          <t>Allied Med Consumables</t>
        </is>
      </c>
      <c r="E1480" t="inlineStr">
        <is>
          <t>BILL/2026/0872</t>
        </is>
      </c>
      <c r="F1480" t="inlineStr">
        <is>
          <t>Vendor payment BILL/2026/0872 (BATCH/2026/0414)</t>
        </is>
      </c>
      <c r="G1480" s="9" t="n">
        <v>-880</v>
      </c>
      <c r="H1480" t="inlineStr">
        <is>
          <t>supplier_payment</t>
        </is>
      </c>
      <c r="I1480" t="inlineStr">
        <is>
          <t>BATCH/2026/0414</t>
        </is>
      </c>
      <c r="J1480" t="inlineStr">
        <is>
          <t>G00514</t>
        </is>
      </c>
      <c r="K1480" t="str">
        <f>INDEX('Match Groups'!$D$5:$D$1326,MATCH(J1480,'Match Groups'!$A$5:$A$1326,0))</f>
        <v>MATCH</v>
      </c>
    </row>
    <row r="1481">
      <c r="A1481" t="inlineStr">
        <is>
          <t>JI-03765</t>
        </is>
      </c>
      <c r="B1481" t="inlineStr">
        <is>
          <t>OPS</t>
        </is>
      </c>
      <c r="C1481" s="5" t="n">
        <v>46225</v>
      </c>
      <c r="D1481" t="inlineStr">
        <is>
          <t>Paperline Stationery Pty</t>
        </is>
      </c>
      <c r="E1481" t="inlineStr">
        <is>
          <t>BILL/2026/0863</t>
        </is>
      </c>
      <c r="F1481" t="inlineStr">
        <is>
          <t>Vendor payment BILL/2026/0863 (BATCH/2026/0414)</t>
        </is>
      </c>
      <c r="G1481" s="9" t="n">
        <v>-916.3</v>
      </c>
      <c r="H1481" t="inlineStr">
        <is>
          <t>supplier_payment</t>
        </is>
      </c>
      <c r="I1481" t="inlineStr">
        <is>
          <t>BATCH/2026/0414</t>
        </is>
      </c>
      <c r="J1481" t="inlineStr">
        <is>
          <t>G00514</t>
        </is>
      </c>
      <c r="K1481" t="str">
        <f>INDEX('Match Groups'!$D$5:$D$1326,MATCH(J1481,'Match Groups'!$A$5:$A$1326,0))</f>
        <v>MATCH</v>
      </c>
    </row>
    <row r="1482">
      <c r="A1482" t="inlineStr">
        <is>
          <t>JI-03766</t>
        </is>
      </c>
      <c r="B1482" t="inlineStr">
        <is>
          <t>OPS</t>
        </is>
      </c>
      <c r="C1482" s="5" t="n">
        <v>46225</v>
      </c>
      <c r="D1482" t="inlineStr">
        <is>
          <t>Locum Physio Agency</t>
        </is>
      </c>
      <c r="E1482" t="inlineStr">
        <is>
          <t>BILL/2026/0869</t>
        </is>
      </c>
      <c r="F1482" t="inlineStr">
        <is>
          <t>Vendor payment BILL/2026/0869 (BATCH/2026/0414)</t>
        </is>
      </c>
      <c r="G1482" s="9" t="n">
        <v>-495</v>
      </c>
      <c r="H1482" t="inlineStr">
        <is>
          <t>supplier_payment</t>
        </is>
      </c>
      <c r="I1482" t="inlineStr">
        <is>
          <t>BATCH/2026/0414</t>
        </is>
      </c>
      <c r="J1482" t="inlineStr">
        <is>
          <t>G00514</t>
        </is>
      </c>
      <c r="K1482" t="str">
        <f>INDEX('Match Groups'!$D$5:$D$1326,MATCH(J1482,'Match Groups'!$A$5:$A$1326,0))</f>
        <v>MATCH</v>
      </c>
    </row>
    <row r="1483">
      <c r="A1483" t="inlineStr">
        <is>
          <t>JI-03767</t>
        </is>
      </c>
      <c r="B1483" t="inlineStr">
        <is>
          <t>OPS</t>
        </is>
      </c>
      <c r="C1483" s="5" t="n">
        <v>46225</v>
      </c>
      <c r="D1483" t="inlineStr">
        <is>
          <t>Ergo Furniture Co</t>
        </is>
      </c>
      <c r="E1483" t="inlineStr">
        <is>
          <t>BILL/2026/0868</t>
        </is>
      </c>
      <c r="F1483" t="inlineStr">
        <is>
          <t>Vendor payment BILL/2026/0868 (BATCH/2026/0414)</t>
        </is>
      </c>
      <c r="G1483" s="9" t="n">
        <v>-2432.1</v>
      </c>
      <c r="H1483" t="inlineStr">
        <is>
          <t>supplier_payment</t>
        </is>
      </c>
      <c r="I1483" t="inlineStr">
        <is>
          <t>BATCH/2026/0414</t>
        </is>
      </c>
      <c r="J1483" t="inlineStr">
        <is>
          <t>G00514</t>
        </is>
      </c>
      <c r="K1483" t="str">
        <f>INDEX('Match Groups'!$D$5:$D$1326,MATCH(J1483,'Match Groups'!$A$5:$A$1326,0))</f>
        <v>MATCH</v>
      </c>
    </row>
    <row r="1484">
      <c r="A1484" t="inlineStr">
        <is>
          <t>JI-03768</t>
        </is>
      </c>
      <c r="B1484" t="inlineStr">
        <is>
          <t>OPS</t>
        </is>
      </c>
      <c r="C1484" s="5" t="n">
        <v>46225</v>
      </c>
      <c r="D1484" t="inlineStr">
        <is>
          <t>Greenleaf Plants Hire</t>
        </is>
      </c>
      <c r="E1484" t="inlineStr">
        <is>
          <t>BILL/2026/0867</t>
        </is>
      </c>
      <c r="F1484" t="inlineStr">
        <is>
          <t>Vendor payment BILL/2026/0867 (BATCH/2026/0414)</t>
        </is>
      </c>
      <c r="G1484" s="9" t="n">
        <v>-165</v>
      </c>
      <c r="H1484" t="inlineStr">
        <is>
          <t>supplier_payment</t>
        </is>
      </c>
      <c r="I1484" t="inlineStr">
        <is>
          <t>BATCH/2026/0414</t>
        </is>
      </c>
      <c r="J1484" t="inlineStr">
        <is>
          <t>G00514</t>
        </is>
      </c>
      <c r="K1484" t="str">
        <f>INDEX('Match Groups'!$D$5:$D$1326,MATCH(J1484,'Match Groups'!$A$5:$A$1326,0))</f>
        <v>MATCH</v>
      </c>
    </row>
    <row r="1485">
      <c r="A1485" t="inlineStr">
        <is>
          <t>JI-03769</t>
        </is>
      </c>
      <c r="B1485" t="inlineStr">
        <is>
          <t>OPS</t>
        </is>
      </c>
      <c r="C1485" s="5" t="n">
        <v>46225</v>
      </c>
      <c r="D1485" t="inlineStr">
        <is>
          <t>Secure Shred Australia</t>
        </is>
      </c>
      <c r="E1485" t="inlineStr">
        <is>
          <t>BILL/2026/0870</t>
        </is>
      </c>
      <c r="F1485" t="inlineStr">
        <is>
          <t>Vendor payment BILL/2026/0870 (BATCH/2026/0414)</t>
        </is>
      </c>
      <c r="G1485" s="9" t="n">
        <v>-531.3</v>
      </c>
      <c r="H1485" t="inlineStr">
        <is>
          <t>supplier_payment</t>
        </is>
      </c>
      <c r="I1485" t="inlineStr">
        <is>
          <t>BATCH/2026/0414</t>
        </is>
      </c>
      <c r="J1485" t="inlineStr">
        <is>
          <t>G00514</t>
        </is>
      </c>
      <c r="K1485" t="str">
        <f>INDEX('Match Groups'!$D$5:$D$1326,MATCH(J1485,'Match Groups'!$A$5:$A$1326,0))</f>
        <v>MATCH</v>
      </c>
    </row>
    <row r="1486">
      <c r="A1486" t="inlineStr">
        <is>
          <t>JI-03770</t>
        </is>
      </c>
      <c r="B1486" t="inlineStr">
        <is>
          <t>OPS</t>
        </is>
      </c>
      <c r="C1486" s="5" t="n">
        <v>46225</v>
      </c>
      <c r="D1486" t="inlineStr">
        <is>
          <t>Payroll Compliance Advisers</t>
        </is>
      </c>
      <c r="E1486" t="inlineStr">
        <is>
          <t>BILL/2026/0871</t>
        </is>
      </c>
      <c r="F1486" t="inlineStr">
        <is>
          <t>Vendor payment BILL/2026/0871 (BATCH/2026/0414)</t>
        </is>
      </c>
      <c r="G1486" s="9" t="n">
        <v>-880</v>
      </c>
      <c r="H1486" t="inlineStr">
        <is>
          <t>supplier_payment</t>
        </is>
      </c>
      <c r="I1486" t="inlineStr">
        <is>
          <t>BATCH/2026/0414</t>
        </is>
      </c>
      <c r="J1486" t="inlineStr">
        <is>
          <t>G00514</t>
        </is>
      </c>
      <c r="K1486" t="str">
        <f>INDEX('Match Groups'!$D$5:$D$1326,MATCH(J1486,'Match Groups'!$A$5:$A$1326,0))</f>
        <v>MATCH</v>
      </c>
    </row>
    <row r="1487">
      <c r="A1487" t="inlineStr">
        <is>
          <t>JI-03771</t>
        </is>
      </c>
      <c r="B1487" t="inlineStr">
        <is>
          <t>OPS</t>
        </is>
      </c>
      <c r="C1487" s="5" t="n">
        <v>46225</v>
      </c>
      <c r="D1487" t="inlineStr">
        <is>
          <t>Strategic HR Partners</t>
        </is>
      </c>
      <c r="E1487" t="inlineStr">
        <is>
          <t>BILL/2026/0865</t>
        </is>
      </c>
      <c r="F1487" t="inlineStr">
        <is>
          <t>Vendor payment BILL/2026/0865 (BATCH/2026/0414)</t>
        </is>
      </c>
      <c r="G1487" s="9" t="n">
        <v>-5976.3</v>
      </c>
      <c r="H1487" t="inlineStr">
        <is>
          <t>supplier_payment</t>
        </is>
      </c>
      <c r="I1487" t="inlineStr">
        <is>
          <t>BATCH/2026/0414</t>
        </is>
      </c>
      <c r="J1487" t="inlineStr">
        <is>
          <t>G00514</t>
        </is>
      </c>
      <c r="K1487" t="str">
        <f>INDEX('Match Groups'!$D$5:$D$1326,MATCH(J1487,'Match Groups'!$A$5:$A$1326,0))</f>
        <v>MATCH</v>
      </c>
    </row>
    <row r="1488">
      <c r="A1488" t="inlineStr">
        <is>
          <t>JI-03772</t>
        </is>
      </c>
      <c r="B1488" t="inlineStr">
        <is>
          <t>OPS</t>
        </is>
      </c>
      <c r="C1488" s="5" t="n">
        <v>46225</v>
      </c>
      <c r="D1488" t="inlineStr">
        <is>
          <t>Harbour IT Support</t>
        </is>
      </c>
      <c r="E1488" t="inlineStr">
        <is>
          <t>BILL/2026/0864</t>
        </is>
      </c>
      <c r="F1488" t="inlineStr">
        <is>
          <t>Vendor payment BILL/2026/0864 (BATCH/2026/0414)</t>
        </is>
      </c>
      <c r="G1488" s="9" t="n">
        <v>-916.3</v>
      </c>
      <c r="H1488" t="inlineStr">
        <is>
          <t>supplier_payment</t>
        </is>
      </c>
      <c r="I1488" t="inlineStr">
        <is>
          <t>BATCH/2026/0414</t>
        </is>
      </c>
      <c r="J1488" t="inlineStr">
        <is>
          <t>G00514</t>
        </is>
      </c>
      <c r="K1488" t="str">
        <f>INDEX('Match Groups'!$D$5:$D$1326,MATCH(J1488,'Match Groups'!$A$5:$A$1326,0))</f>
        <v>MATCH</v>
      </c>
    </row>
    <row r="1489">
      <c r="A1489" t="inlineStr">
        <is>
          <t>JI-03773</t>
        </is>
      </c>
      <c r="B1489" t="inlineStr">
        <is>
          <t>OPS</t>
        </is>
      </c>
      <c r="C1489" s="5" t="n">
        <v>46225</v>
      </c>
      <c r="D1489" t="inlineStr">
        <is>
          <t>Fibrewire Networks</t>
        </is>
      </c>
      <c r="E1489" t="inlineStr">
        <is>
          <t>BILL/2026/0836</t>
        </is>
      </c>
      <c r="F1489" t="inlineStr">
        <is>
          <t>Vendor payment BILL/2026/0836 (BATCH/2026/0414)</t>
        </is>
      </c>
      <c r="G1489" s="9" t="n">
        <v>-1650</v>
      </c>
      <c r="H1489" t="inlineStr">
        <is>
          <t>supplier_payment</t>
        </is>
      </c>
      <c r="I1489" t="inlineStr">
        <is>
          <t>BATCH/2026/0414</t>
        </is>
      </c>
      <c r="J1489" t="inlineStr">
        <is>
          <t>G00514</t>
        </is>
      </c>
      <c r="K1489" t="str">
        <f>INDEX('Match Groups'!$D$5:$D$1326,MATCH(J1489,'Match Groups'!$A$5:$A$1326,0))</f>
        <v>MATCH</v>
      </c>
    </row>
    <row r="1490">
      <c r="A1490" t="inlineStr">
        <is>
          <t>JI-03774</t>
        </is>
      </c>
      <c r="B1490" t="inlineStr">
        <is>
          <t>OPS</t>
        </is>
      </c>
      <c r="C1490" s="5" t="n">
        <v>46225</v>
      </c>
      <c r="D1490" t="inlineStr">
        <is>
          <t>Fibrewire Networks</t>
        </is>
      </c>
      <c r="E1490" t="inlineStr">
        <is>
          <t>BILL/2026/0838</t>
        </is>
      </c>
      <c r="F1490" t="inlineStr">
        <is>
          <t>Vendor payment BILL/2026/0838 (BATCH/2026/0414)</t>
        </is>
      </c>
      <c r="G1490" s="9" t="n">
        <v>-1686.3</v>
      </c>
      <c r="H1490" t="inlineStr">
        <is>
          <t>supplier_payment</t>
        </is>
      </c>
      <c r="I1490" t="inlineStr">
        <is>
          <t>BATCH/2026/0414</t>
        </is>
      </c>
      <c r="J1490" t="inlineStr">
        <is>
          <t>G00514</t>
        </is>
      </c>
      <c r="K1490" t="str">
        <f>INDEX('Match Groups'!$D$5:$D$1326,MATCH(J1490,'Match Groups'!$A$5:$A$1326,0))</f>
        <v>MATCH</v>
      </c>
    </row>
    <row r="1491">
      <c r="A1491" t="inlineStr">
        <is>
          <t>JI-03775</t>
        </is>
      </c>
      <c r="B1491" t="inlineStr">
        <is>
          <t>OPS</t>
        </is>
      </c>
      <c r="C1491" s="5" t="n">
        <v>46225</v>
      </c>
      <c r="D1491" t="inlineStr">
        <is>
          <t>Ward Electrical</t>
        </is>
      </c>
      <c r="E1491" t="inlineStr">
        <is>
          <t>BILL/2026/0810</t>
        </is>
      </c>
      <c r="F1491" t="inlineStr">
        <is>
          <t>Vendor payment BILL/2026/0810 (BATCH/2026/0414)</t>
        </is>
      </c>
      <c r="G1491" s="9" t="n">
        <v>-385</v>
      </c>
      <c r="H1491" t="inlineStr">
        <is>
          <t>supplier_payment</t>
        </is>
      </c>
      <c r="I1491" t="inlineStr">
        <is>
          <t>BATCH/2026/0414</t>
        </is>
      </c>
      <c r="J1491" t="inlineStr">
        <is>
          <t>G00514</t>
        </is>
      </c>
      <c r="K1491" t="str">
        <f>INDEX('Match Groups'!$D$5:$D$1326,MATCH(J1491,'Match Groups'!$A$5:$A$1326,0))</f>
        <v>MATCH</v>
      </c>
    </row>
    <row r="1492">
      <c r="A1492" t="inlineStr">
        <is>
          <t>JI-03776</t>
        </is>
      </c>
      <c r="B1492" t="inlineStr">
        <is>
          <t>OPS</t>
        </is>
      </c>
      <c r="C1492" s="5" t="n">
        <v>46225</v>
      </c>
      <c r="D1492" t="inlineStr">
        <is>
          <t>Alpine Water Coolers</t>
        </is>
      </c>
      <c r="E1492" t="inlineStr">
        <is>
          <t>BILL/2026/0802</t>
        </is>
      </c>
      <c r="F1492" t="inlineStr">
        <is>
          <t>Vendor payment BILL/2026/0802 (BATCH/2026/0414)</t>
        </is>
      </c>
      <c r="G1492" s="9" t="n">
        <v>-660</v>
      </c>
      <c r="H1492" t="inlineStr">
        <is>
          <t>supplier_payment</t>
        </is>
      </c>
      <c r="I1492" t="inlineStr">
        <is>
          <t>BATCH/2026/0414</t>
        </is>
      </c>
      <c r="J1492" t="inlineStr">
        <is>
          <t>G00514</t>
        </is>
      </c>
      <c r="K1492" t="str">
        <f>INDEX('Match Groups'!$D$5:$D$1326,MATCH(J1492,'Match Groups'!$A$5:$A$1326,0))</f>
        <v>MATCH</v>
      </c>
    </row>
    <row r="1493">
      <c r="A1493" t="inlineStr">
        <is>
          <t>JI-03777</t>
        </is>
      </c>
      <c r="B1493" t="inlineStr">
        <is>
          <t>OPS</t>
        </is>
      </c>
      <c r="C1493" s="5" t="n">
        <v>46225</v>
      </c>
      <c r="D1493" t="inlineStr">
        <is>
          <t>Alpine Water Coolers</t>
        </is>
      </c>
      <c r="E1493" t="inlineStr">
        <is>
          <t>BILL/2026/0843</t>
        </is>
      </c>
      <c r="F1493" t="inlineStr">
        <is>
          <t>Vendor payment BILL/2026/0843 (BATCH/2026/0414)</t>
        </is>
      </c>
      <c r="G1493" s="9" t="n">
        <v>-2420</v>
      </c>
      <c r="H1493" t="inlineStr">
        <is>
          <t>supplier_payment</t>
        </is>
      </c>
      <c r="I1493" t="inlineStr">
        <is>
          <t>BATCH/2026/0414</t>
        </is>
      </c>
      <c r="J1493" t="inlineStr">
        <is>
          <t>G00514</t>
        </is>
      </c>
      <c r="K1493" t="str">
        <f>INDEX('Match Groups'!$D$5:$D$1326,MATCH(J1493,'Match Groups'!$A$5:$A$1326,0))</f>
        <v>MATCH</v>
      </c>
    </row>
    <row r="1494">
      <c r="A1494" t="inlineStr">
        <is>
          <t>JI-03778</t>
        </is>
      </c>
      <c r="B1494" t="inlineStr">
        <is>
          <t>OPS</t>
        </is>
      </c>
      <c r="C1494" s="5" t="n">
        <v>46225</v>
      </c>
      <c r="D1494" t="inlineStr">
        <is>
          <t>Statewide Uniforms</t>
        </is>
      </c>
      <c r="E1494" t="inlineStr">
        <is>
          <t>BILL/2026/0851</t>
        </is>
      </c>
      <c r="F1494" t="inlineStr">
        <is>
          <t>Vendor payment BILL/2026/0851 (BATCH/2026/0414)</t>
        </is>
      </c>
      <c r="G1494" s="9" t="n">
        <v>-3850</v>
      </c>
      <c r="H1494" t="inlineStr">
        <is>
          <t>supplier_payment</t>
        </is>
      </c>
      <c r="I1494" t="inlineStr">
        <is>
          <t>BATCH/2026/0414</t>
        </is>
      </c>
      <c r="J1494" t="inlineStr">
        <is>
          <t>G00514</t>
        </is>
      </c>
      <c r="K1494" t="str">
        <f>INDEX('Match Groups'!$D$5:$D$1326,MATCH(J1494,'Match Groups'!$A$5:$A$1326,0))</f>
        <v>MATCH</v>
      </c>
    </row>
    <row r="1495">
      <c r="A1495" t="inlineStr">
        <is>
          <t>JI-03779</t>
        </is>
      </c>
      <c r="B1495" t="inlineStr">
        <is>
          <t>OPS</t>
        </is>
      </c>
      <c r="C1495" s="5" t="n">
        <v>46225</v>
      </c>
      <c r="D1495" t="inlineStr">
        <is>
          <t>Statewide Uniforms</t>
        </is>
      </c>
      <c r="E1495" t="inlineStr">
        <is>
          <t>BILL/2026/0866</t>
        </is>
      </c>
      <c r="F1495" t="inlineStr">
        <is>
          <t>Vendor payment BILL/2026/0866 (BATCH/2026/0414)</t>
        </is>
      </c>
      <c r="G1495" s="9" t="n">
        <v>-5976.3</v>
      </c>
      <c r="H1495" t="inlineStr">
        <is>
          <t>supplier_payment</t>
        </is>
      </c>
      <c r="I1495" t="inlineStr">
        <is>
          <t>BATCH/2026/0414</t>
        </is>
      </c>
      <c r="J1495" t="inlineStr">
        <is>
          <t>G00514</t>
        </is>
      </c>
      <c r="K1495" t="str">
        <f>INDEX('Match Groups'!$D$5:$D$1326,MATCH(J1495,'Match Groups'!$A$5:$A$1326,0))</f>
        <v>MATCH</v>
      </c>
    </row>
    <row r="1496">
      <c r="A1496" t="inlineStr">
        <is>
          <t>JI-03900</t>
        </is>
      </c>
      <c r="B1496" t="inlineStr">
        <is>
          <t>OPS</t>
        </is>
      </c>
      <c r="C1496" s="5" t="n">
        <v>46225</v>
      </c>
      <c r="D1496" t="inlineStr">
        <is>
          <t>Powerco Energy Retail</t>
        </is>
      </c>
      <c r="E1496" t="inlineStr">
        <is>
          <t>BILL/2026/1006</t>
        </is>
      </c>
      <c r="F1496" t="inlineStr">
        <is>
          <t>Vendor payment BILL/2026/1006</t>
        </is>
      </c>
      <c r="G1496" s="9" t="n">
        <v>-2634.18</v>
      </c>
      <c r="H1496" t="inlineStr">
        <is>
          <t>supplier_payment</t>
        </is>
      </c>
      <c r="I1496" t="inlineStr"/>
      <c r="J1496" t="inlineStr">
        <is>
          <t>G01129</t>
        </is>
      </c>
      <c r="K1496" t="str">
        <f>INDEX('Match Groups'!$D$5:$D$1326,MATCH(J1496,'Match Groups'!$A$5:$A$1326,0))</f>
        <v>MATCH</v>
      </c>
    </row>
    <row r="1497">
      <c r="A1497" t="inlineStr">
        <is>
          <t>JI-00513</t>
        </is>
      </c>
      <c r="B1497" t="inlineStr">
        <is>
          <t>OPS</t>
        </is>
      </c>
      <c r="C1497" s="5" t="n">
        <v>46226</v>
      </c>
      <c r="D1497" t="inlineStr">
        <is>
          <t>Wattle Plan Services</t>
        </is>
      </c>
      <c r="E1497" t="inlineStr">
        <is>
          <t>INV/2026/01801</t>
        </is>
      </c>
      <c r="F1497" t="inlineStr">
        <is>
          <t>Customer payment INV/2026/01801</t>
        </is>
      </c>
      <c r="G1497" s="9" t="n">
        <v>387.98</v>
      </c>
      <c r="H1497" t="inlineStr">
        <is>
          <t>customer_payment</t>
        </is>
      </c>
      <c r="I1497" t="inlineStr"/>
      <c r="J1497" t="inlineStr">
        <is>
          <t>G00189</t>
        </is>
      </c>
      <c r="K1497" t="str">
        <f>INDEX('Match Groups'!$D$5:$D$1326,MATCH(J1497,'Match Groups'!$A$5:$A$1326,0))</f>
        <v>MATCH</v>
      </c>
    </row>
    <row r="1498">
      <c r="A1498" t="inlineStr">
        <is>
          <t>JI-00514</t>
        </is>
      </c>
      <c r="B1498" t="inlineStr">
        <is>
          <t>OPS</t>
        </is>
      </c>
      <c r="C1498" s="5" t="n">
        <v>46226</v>
      </c>
      <c r="D1498" t="inlineStr">
        <is>
          <t>Wattle Plan Services</t>
        </is>
      </c>
      <c r="E1498" t="inlineStr">
        <is>
          <t>INV/2026/01802</t>
        </is>
      </c>
      <c r="F1498" t="inlineStr">
        <is>
          <t>Customer payment INV/2026/01802</t>
        </is>
      </c>
      <c r="G1498" s="9" t="n">
        <v>155.19</v>
      </c>
      <c r="H1498" t="inlineStr">
        <is>
          <t>customer_payment</t>
        </is>
      </c>
      <c r="I1498" t="inlineStr"/>
      <c r="J1498" t="inlineStr">
        <is>
          <t>G00189</t>
        </is>
      </c>
      <c r="K1498" t="str">
        <f>INDEX('Match Groups'!$D$5:$D$1326,MATCH(J1498,'Match Groups'!$A$5:$A$1326,0))</f>
        <v>MATCH</v>
      </c>
    </row>
    <row r="1499">
      <c r="A1499" t="inlineStr">
        <is>
          <t>JI-00515</t>
        </is>
      </c>
      <c r="B1499" t="inlineStr">
        <is>
          <t>OPS</t>
        </is>
      </c>
      <c r="C1499" s="5" t="n">
        <v>46226</v>
      </c>
      <c r="D1499" t="inlineStr">
        <is>
          <t>Wattle Plan Services</t>
        </is>
      </c>
      <c r="E1499" t="inlineStr">
        <is>
          <t>INV/2026/01803</t>
        </is>
      </c>
      <c r="F1499" t="inlineStr">
        <is>
          <t>Customer payment INV/2026/01803</t>
        </is>
      </c>
      <c r="G1499" s="9" t="n">
        <v>242.49</v>
      </c>
      <c r="H1499" t="inlineStr">
        <is>
          <t>customer_payment</t>
        </is>
      </c>
      <c r="I1499" t="inlineStr"/>
      <c r="J1499" t="inlineStr">
        <is>
          <t>G00189</t>
        </is>
      </c>
      <c r="K1499" t="str">
        <f>INDEX('Match Groups'!$D$5:$D$1326,MATCH(J1499,'Match Groups'!$A$5:$A$1326,0))</f>
        <v>MATCH</v>
      </c>
    </row>
    <row r="1500">
      <c r="A1500" t="inlineStr">
        <is>
          <t>JI-00516</t>
        </is>
      </c>
      <c r="B1500" t="inlineStr">
        <is>
          <t>OPS</t>
        </is>
      </c>
      <c r="C1500" s="5" t="n">
        <v>46226</v>
      </c>
      <c r="D1500" t="inlineStr">
        <is>
          <t>Banksia Plan Co</t>
        </is>
      </c>
      <c r="E1500" t="inlineStr">
        <is>
          <t>INV/2026/02135</t>
        </is>
      </c>
      <c r="F1500" t="inlineStr">
        <is>
          <t>Customer payment INV/2026/02135</t>
        </is>
      </c>
      <c r="G1500" s="9" t="n">
        <v>446.18</v>
      </c>
      <c r="H1500" t="inlineStr">
        <is>
          <t>customer_payment</t>
        </is>
      </c>
      <c r="I1500" t="inlineStr"/>
      <c r="J1500" t="inlineStr">
        <is>
          <t>G00190</t>
        </is>
      </c>
      <c r="K1500" t="str">
        <f>INDEX('Match Groups'!$D$5:$D$1326,MATCH(J1500,'Match Groups'!$A$5:$A$1326,0))</f>
        <v>MATCH</v>
      </c>
    </row>
    <row r="1501">
      <c r="A1501" t="inlineStr">
        <is>
          <t>JI-00517</t>
        </is>
      </c>
      <c r="B1501" t="inlineStr">
        <is>
          <t>OPS</t>
        </is>
      </c>
      <c r="C1501" s="5" t="n">
        <v>46226</v>
      </c>
      <c r="D1501" t="inlineStr">
        <is>
          <t>Banksia Plan Co</t>
        </is>
      </c>
      <c r="E1501" t="inlineStr">
        <is>
          <t>INV/2026/02160</t>
        </is>
      </c>
      <c r="F1501" t="inlineStr">
        <is>
          <t>Customer payment INV/2026/02160</t>
        </is>
      </c>
      <c r="G1501" s="9" t="n">
        <v>96.98999999999999</v>
      </c>
      <c r="H1501" t="inlineStr">
        <is>
          <t>customer_payment</t>
        </is>
      </c>
      <c r="I1501" t="inlineStr"/>
      <c r="J1501" t="inlineStr">
        <is>
          <t>G00190</t>
        </is>
      </c>
      <c r="K1501" t="str">
        <f>INDEX('Match Groups'!$D$5:$D$1326,MATCH(J1501,'Match Groups'!$A$5:$A$1326,0))</f>
        <v>MATCH</v>
      </c>
    </row>
    <row r="1502">
      <c r="A1502" t="inlineStr">
        <is>
          <t>JI-00518</t>
        </is>
      </c>
      <c r="B1502" t="inlineStr">
        <is>
          <t>OPS</t>
        </is>
      </c>
      <c r="C1502" s="5" t="n">
        <v>46226</v>
      </c>
      <c r="D1502" t="inlineStr">
        <is>
          <t>Ironbark Plan Management</t>
        </is>
      </c>
      <c r="E1502" t="inlineStr">
        <is>
          <t>INV/2026/02047</t>
        </is>
      </c>
      <c r="F1502" t="inlineStr">
        <is>
          <t>Customer payment INV/2026/02047</t>
        </is>
      </c>
      <c r="G1502" s="9" t="n">
        <v>193.99</v>
      </c>
      <c r="H1502" t="inlineStr">
        <is>
          <t>customer_payment</t>
        </is>
      </c>
      <c r="I1502" t="inlineStr"/>
      <c r="J1502" t="inlineStr">
        <is>
          <t>G00191</t>
        </is>
      </c>
      <c r="K1502" t="str">
        <f>INDEX('Match Groups'!$D$5:$D$1326,MATCH(J1502,'Match Groups'!$A$5:$A$1326,0))</f>
        <v>MATCH</v>
      </c>
    </row>
    <row r="1503">
      <c r="A1503" t="inlineStr">
        <is>
          <t>JI-00519</t>
        </is>
      </c>
      <c r="B1503" t="inlineStr">
        <is>
          <t>OPS</t>
        </is>
      </c>
      <c r="C1503" s="5" t="n">
        <v>46226</v>
      </c>
      <c r="D1503" t="inlineStr">
        <is>
          <t>Ironbark Plan Management</t>
        </is>
      </c>
      <c r="E1503" t="inlineStr">
        <is>
          <t>INV/2026/02048</t>
        </is>
      </c>
      <c r="F1503" t="inlineStr">
        <is>
          <t>Customer payment INV/2026/02048</t>
        </is>
      </c>
      <c r="G1503" s="9" t="n">
        <v>223.99</v>
      </c>
      <c r="H1503" t="inlineStr">
        <is>
          <t>customer_payment</t>
        </is>
      </c>
      <c r="I1503" t="inlineStr"/>
      <c r="J1503" t="inlineStr">
        <is>
          <t>G00191</t>
        </is>
      </c>
      <c r="K1503" t="str">
        <f>INDEX('Match Groups'!$D$5:$D$1326,MATCH(J1503,'Match Groups'!$A$5:$A$1326,0))</f>
        <v>MATCH</v>
      </c>
    </row>
    <row r="1504">
      <c r="A1504" t="inlineStr">
        <is>
          <t>JI-00520</t>
        </is>
      </c>
      <c r="B1504" t="inlineStr">
        <is>
          <t>OPS</t>
        </is>
      </c>
      <c r="C1504" s="5" t="n">
        <v>46226</v>
      </c>
      <c r="D1504" t="inlineStr">
        <is>
          <t>Ironbark Plan Management</t>
        </is>
      </c>
      <c r="E1504" t="inlineStr">
        <is>
          <t>INV/2026/02073</t>
        </is>
      </c>
      <c r="F1504" t="inlineStr">
        <is>
          <t>Customer payment INV/2026/02073</t>
        </is>
      </c>
      <c r="G1504" s="9" t="n">
        <v>193.99</v>
      </c>
      <c r="H1504" t="inlineStr">
        <is>
          <t>customer_payment</t>
        </is>
      </c>
      <c r="I1504" t="inlineStr"/>
      <c r="J1504" t="inlineStr">
        <is>
          <t>G00191</t>
        </is>
      </c>
      <c r="K1504" t="str">
        <f>INDEX('Match Groups'!$D$5:$D$1326,MATCH(J1504,'Match Groups'!$A$5:$A$1326,0))</f>
        <v>MATCH</v>
      </c>
    </row>
    <row r="1505">
      <c r="A1505" t="inlineStr">
        <is>
          <t>JI-00521</t>
        </is>
      </c>
      <c r="B1505" t="inlineStr">
        <is>
          <t>OPS</t>
        </is>
      </c>
      <c r="C1505" s="5" t="n">
        <v>46226</v>
      </c>
      <c r="D1505" t="inlineStr">
        <is>
          <t>Ironbark Plan Management</t>
        </is>
      </c>
      <c r="E1505" t="inlineStr">
        <is>
          <t>INV/2026/02074</t>
        </is>
      </c>
      <c r="F1505" t="inlineStr">
        <is>
          <t>Customer payment INV/2026/02074</t>
        </is>
      </c>
      <c r="G1505" s="9" t="n">
        <v>193.99</v>
      </c>
      <c r="H1505" t="inlineStr">
        <is>
          <t>customer_payment</t>
        </is>
      </c>
      <c r="I1505" t="inlineStr"/>
      <c r="J1505" t="inlineStr">
        <is>
          <t>G00191</t>
        </is>
      </c>
      <c r="K1505" t="str">
        <f>INDEX('Match Groups'!$D$5:$D$1326,MATCH(J1505,'Match Groups'!$A$5:$A$1326,0))</f>
        <v>MATCH</v>
      </c>
    </row>
    <row r="1506">
      <c r="A1506" t="inlineStr">
        <is>
          <t>JI-00522</t>
        </is>
      </c>
      <c r="B1506" t="inlineStr">
        <is>
          <t>OPS</t>
        </is>
      </c>
      <c r="C1506" s="5" t="n">
        <v>46226</v>
      </c>
      <c r="D1506" t="inlineStr">
        <is>
          <t>Ironbark Plan Management</t>
        </is>
      </c>
      <c r="E1506" t="inlineStr">
        <is>
          <t>INV/2026/02116</t>
        </is>
      </c>
      <c r="F1506" t="inlineStr">
        <is>
          <t>Customer payment INV/2026/02116</t>
        </is>
      </c>
      <c r="G1506" s="9" t="n">
        <v>417.98</v>
      </c>
      <c r="H1506" t="inlineStr">
        <is>
          <t>customer_payment</t>
        </is>
      </c>
      <c r="I1506" t="inlineStr"/>
      <c r="J1506" t="inlineStr">
        <is>
          <t>G00191</t>
        </is>
      </c>
      <c r="K1506" t="str">
        <f>INDEX('Match Groups'!$D$5:$D$1326,MATCH(J1506,'Match Groups'!$A$5:$A$1326,0))</f>
        <v>MATCH</v>
      </c>
    </row>
    <row r="1507">
      <c r="A1507" t="inlineStr">
        <is>
          <t>JI-00523</t>
        </is>
      </c>
      <c r="B1507" t="inlineStr">
        <is>
          <t>OPS</t>
        </is>
      </c>
      <c r="C1507" s="5" t="n">
        <v>46226</v>
      </c>
      <c r="D1507" t="inlineStr">
        <is>
          <t>Ironbark Plan Management</t>
        </is>
      </c>
      <c r="E1507" t="inlineStr">
        <is>
          <t>INV/2026/02117</t>
        </is>
      </c>
      <c r="F1507" t="inlineStr">
        <is>
          <t>Customer payment INV/2026/02117</t>
        </is>
      </c>
      <c r="G1507" s="9" t="n">
        <v>387.98</v>
      </c>
      <c r="H1507" t="inlineStr">
        <is>
          <t>customer_payment</t>
        </is>
      </c>
      <c r="I1507" t="inlineStr"/>
      <c r="J1507" t="inlineStr">
        <is>
          <t>G00191</t>
        </is>
      </c>
      <c r="K1507" t="str">
        <f>INDEX('Match Groups'!$D$5:$D$1326,MATCH(J1507,'Match Groups'!$A$5:$A$1326,0))</f>
        <v>MATCH</v>
      </c>
    </row>
    <row r="1508">
      <c r="A1508" t="inlineStr">
        <is>
          <t>JI-00524</t>
        </is>
      </c>
      <c r="B1508" t="inlineStr">
        <is>
          <t>OPS</t>
        </is>
      </c>
      <c r="C1508" s="5" t="n">
        <v>46226</v>
      </c>
      <c r="D1508" t="inlineStr">
        <is>
          <t>Ironbark Plan Management</t>
        </is>
      </c>
      <c r="E1508" t="inlineStr">
        <is>
          <t>INV/2026/02138</t>
        </is>
      </c>
      <c r="F1508" t="inlineStr">
        <is>
          <t>Customer payment INV/2026/02138</t>
        </is>
      </c>
      <c r="G1508" s="9" t="n">
        <v>145.49</v>
      </c>
      <c r="H1508" t="inlineStr">
        <is>
          <t>customer_payment</t>
        </is>
      </c>
      <c r="I1508" t="inlineStr"/>
      <c r="J1508" t="inlineStr">
        <is>
          <t>G00191</t>
        </is>
      </c>
      <c r="K1508" t="str">
        <f>INDEX('Match Groups'!$D$5:$D$1326,MATCH(J1508,'Match Groups'!$A$5:$A$1326,0))</f>
        <v>MATCH</v>
      </c>
    </row>
    <row r="1509">
      <c r="A1509" t="inlineStr">
        <is>
          <t>JI-00525</t>
        </is>
      </c>
      <c r="B1509" t="inlineStr">
        <is>
          <t>OPS</t>
        </is>
      </c>
      <c r="C1509" s="5" t="n">
        <v>46226</v>
      </c>
      <c r="D1509" t="inlineStr">
        <is>
          <t>Ironbark Plan Management</t>
        </is>
      </c>
      <c r="E1509" t="inlineStr">
        <is>
          <t>INV/2026/02139</t>
        </is>
      </c>
      <c r="F1509" t="inlineStr">
        <is>
          <t>Customer payment INV/2026/02139</t>
        </is>
      </c>
      <c r="G1509" s="9" t="n">
        <v>242.49</v>
      </c>
      <c r="H1509" t="inlineStr">
        <is>
          <t>customer_payment</t>
        </is>
      </c>
      <c r="I1509" t="inlineStr"/>
      <c r="J1509" t="inlineStr">
        <is>
          <t>G00191</t>
        </is>
      </c>
      <c r="K1509" t="str">
        <f>INDEX('Match Groups'!$D$5:$D$1326,MATCH(J1509,'Match Groups'!$A$5:$A$1326,0))</f>
        <v>MATCH</v>
      </c>
    </row>
    <row r="1510">
      <c r="A1510" t="inlineStr">
        <is>
          <t>JI-00526</t>
        </is>
      </c>
      <c r="B1510" t="inlineStr">
        <is>
          <t>OPS</t>
        </is>
      </c>
      <c r="C1510" s="5" t="n">
        <v>46226</v>
      </c>
      <c r="D1510" t="inlineStr">
        <is>
          <t>Ironbark Plan Management</t>
        </is>
      </c>
      <c r="E1510" t="inlineStr">
        <is>
          <t>INV/2026/02140</t>
        </is>
      </c>
      <c r="F1510" t="inlineStr">
        <is>
          <t>Customer payment INV/2026/02140</t>
        </is>
      </c>
      <c r="G1510" s="9" t="n">
        <v>387.98</v>
      </c>
      <c r="H1510" t="inlineStr">
        <is>
          <t>customer_payment</t>
        </is>
      </c>
      <c r="I1510" t="inlineStr"/>
      <c r="J1510" t="inlineStr">
        <is>
          <t>G00191</t>
        </is>
      </c>
      <c r="K1510" t="str">
        <f>INDEX('Match Groups'!$D$5:$D$1326,MATCH(J1510,'Match Groups'!$A$5:$A$1326,0))</f>
        <v>MATCH</v>
      </c>
    </row>
    <row r="1511">
      <c r="A1511" t="inlineStr">
        <is>
          <t>JI-00527</t>
        </is>
      </c>
      <c r="B1511" t="inlineStr">
        <is>
          <t>OPS</t>
        </is>
      </c>
      <c r="C1511" s="5" t="n">
        <v>46226</v>
      </c>
      <c r="D1511" t="inlineStr">
        <is>
          <t>Ironbark Plan Management</t>
        </is>
      </c>
      <c r="E1511" t="inlineStr">
        <is>
          <t>INV/2026/02161</t>
        </is>
      </c>
      <c r="F1511" t="inlineStr">
        <is>
          <t>Customer payment INV/2026/02161</t>
        </is>
      </c>
      <c r="G1511" s="9" t="n">
        <v>290.98</v>
      </c>
      <c r="H1511" t="inlineStr">
        <is>
          <t>customer_payment</t>
        </is>
      </c>
      <c r="I1511" t="inlineStr"/>
      <c r="J1511" t="inlineStr">
        <is>
          <t>G00191</t>
        </is>
      </c>
      <c r="K1511" t="str">
        <f>INDEX('Match Groups'!$D$5:$D$1326,MATCH(J1511,'Match Groups'!$A$5:$A$1326,0))</f>
        <v>MATCH</v>
      </c>
    </row>
    <row r="1512">
      <c r="A1512" t="inlineStr">
        <is>
          <t>JI-00528</t>
        </is>
      </c>
      <c r="B1512" t="inlineStr">
        <is>
          <t>OPS</t>
        </is>
      </c>
      <c r="C1512" s="5" t="n">
        <v>46226</v>
      </c>
      <c r="D1512" t="inlineStr">
        <is>
          <t>Ironbark Plan Management</t>
        </is>
      </c>
      <c r="E1512" t="inlineStr">
        <is>
          <t>INV/2026/02162</t>
        </is>
      </c>
      <c r="F1512" t="inlineStr">
        <is>
          <t>Customer payment INV/2026/02162</t>
        </is>
      </c>
      <c r="G1512" s="9" t="n">
        <v>290.98</v>
      </c>
      <c r="H1512" t="inlineStr">
        <is>
          <t>customer_payment</t>
        </is>
      </c>
      <c r="I1512" t="inlineStr"/>
      <c r="J1512" t="inlineStr">
        <is>
          <t>G00191</t>
        </is>
      </c>
      <c r="K1512" t="str">
        <f>INDEX('Match Groups'!$D$5:$D$1326,MATCH(J1512,'Match Groups'!$A$5:$A$1326,0))</f>
        <v>MATCH</v>
      </c>
    </row>
    <row r="1513">
      <c r="A1513" t="inlineStr">
        <is>
          <t>JI-00529</t>
        </is>
      </c>
      <c r="B1513" t="inlineStr">
        <is>
          <t>OPS</t>
        </is>
      </c>
      <c r="C1513" s="5" t="n">
        <v>46226</v>
      </c>
      <c r="D1513" t="inlineStr">
        <is>
          <t>Ironbark Plan Management</t>
        </is>
      </c>
      <c r="E1513" t="inlineStr">
        <is>
          <t>INV/2026/02163</t>
        </is>
      </c>
      <c r="F1513" t="inlineStr">
        <is>
          <t>Customer payment INV/2026/02163</t>
        </is>
      </c>
      <c r="G1513" s="9" t="n">
        <v>242.49</v>
      </c>
      <c r="H1513" t="inlineStr">
        <is>
          <t>customer_payment</t>
        </is>
      </c>
      <c r="I1513" t="inlineStr"/>
      <c r="J1513" t="inlineStr">
        <is>
          <t>G00191</t>
        </is>
      </c>
      <c r="K1513" t="str">
        <f>INDEX('Match Groups'!$D$5:$D$1326,MATCH(J1513,'Match Groups'!$A$5:$A$1326,0))</f>
        <v>MATCH</v>
      </c>
    </row>
    <row r="1514">
      <c r="A1514" t="inlineStr">
        <is>
          <t>JI-00530</t>
        </is>
      </c>
      <c r="B1514" t="inlineStr">
        <is>
          <t>OPS</t>
        </is>
      </c>
      <c r="C1514" s="5" t="n">
        <v>46226</v>
      </c>
      <c r="D1514" t="inlineStr">
        <is>
          <t>Kookaburra Plan Support</t>
        </is>
      </c>
      <c r="E1514" t="inlineStr">
        <is>
          <t>INV/2026/02075</t>
        </is>
      </c>
      <c r="F1514" t="inlineStr">
        <is>
          <t>Customer payment INV/2026/02075</t>
        </is>
      </c>
      <c r="G1514" s="9" t="n">
        <v>300.69</v>
      </c>
      <c r="H1514" t="inlineStr">
        <is>
          <t>customer_payment</t>
        </is>
      </c>
      <c r="I1514" t="inlineStr"/>
      <c r="J1514" t="inlineStr">
        <is>
          <t>G00192</t>
        </is>
      </c>
      <c r="K1514" t="str">
        <f>INDEX('Match Groups'!$D$5:$D$1326,MATCH(J1514,'Match Groups'!$A$5:$A$1326,0))</f>
        <v>MATCH</v>
      </c>
    </row>
    <row r="1515">
      <c r="A1515" t="inlineStr">
        <is>
          <t>JI-00531</t>
        </is>
      </c>
      <c r="B1515" t="inlineStr">
        <is>
          <t>OPS</t>
        </is>
      </c>
      <c r="C1515" s="5" t="n">
        <v>46226</v>
      </c>
      <c r="D1515" t="inlineStr">
        <is>
          <t>Kookaburra Plan Support</t>
        </is>
      </c>
      <c r="E1515" t="inlineStr">
        <is>
          <t>INV/2026/02076</t>
        </is>
      </c>
      <c r="F1515" t="inlineStr">
        <is>
          <t>Customer payment INV/2026/02076</t>
        </is>
      </c>
      <c r="G1515" s="9" t="n">
        <v>252.19</v>
      </c>
      <c r="H1515" t="inlineStr">
        <is>
          <t>customer_payment</t>
        </is>
      </c>
      <c r="I1515" t="inlineStr"/>
      <c r="J1515" t="inlineStr">
        <is>
          <t>G00192</t>
        </is>
      </c>
      <c r="K1515" t="str">
        <f>INDEX('Match Groups'!$D$5:$D$1326,MATCH(J1515,'Match Groups'!$A$5:$A$1326,0))</f>
        <v>MATCH</v>
      </c>
    </row>
    <row r="1516">
      <c r="A1516" t="inlineStr">
        <is>
          <t>JI-00532</t>
        </is>
      </c>
      <c r="B1516" t="inlineStr">
        <is>
          <t>OPS</t>
        </is>
      </c>
      <c r="C1516" s="5" t="n">
        <v>46226</v>
      </c>
      <c r="D1516" t="inlineStr">
        <is>
          <t>Kookaburra Plan Support</t>
        </is>
      </c>
      <c r="E1516" t="inlineStr">
        <is>
          <t>INV/2026/02096</t>
        </is>
      </c>
      <c r="F1516" t="inlineStr">
        <is>
          <t>Customer payment INV/2026/02096</t>
        </is>
      </c>
      <c r="G1516" s="9" t="n">
        <v>387.98</v>
      </c>
      <c r="H1516" t="inlineStr">
        <is>
          <t>customer_payment</t>
        </is>
      </c>
      <c r="I1516" t="inlineStr"/>
      <c r="J1516" t="inlineStr">
        <is>
          <t>G00192</t>
        </is>
      </c>
      <c r="K1516" t="str">
        <f>INDEX('Match Groups'!$D$5:$D$1326,MATCH(J1516,'Match Groups'!$A$5:$A$1326,0))</f>
        <v>MATCH</v>
      </c>
    </row>
    <row r="1517">
      <c r="A1517" t="inlineStr">
        <is>
          <t>JI-00533</t>
        </is>
      </c>
      <c r="B1517" t="inlineStr">
        <is>
          <t>OPS</t>
        </is>
      </c>
      <c r="C1517" s="5" t="n">
        <v>46226</v>
      </c>
      <c r="D1517" t="inlineStr">
        <is>
          <t>Kookaburra Plan Support</t>
        </is>
      </c>
      <c r="E1517" t="inlineStr">
        <is>
          <t>INV/2026/02118</t>
        </is>
      </c>
      <c r="F1517" t="inlineStr">
        <is>
          <t>Customer payment INV/2026/02118</t>
        </is>
      </c>
      <c r="G1517" s="9" t="n">
        <v>417.98</v>
      </c>
      <c r="H1517" t="inlineStr">
        <is>
          <t>customer_payment</t>
        </is>
      </c>
      <c r="I1517" t="inlineStr"/>
      <c r="J1517" t="inlineStr">
        <is>
          <t>G00192</t>
        </is>
      </c>
      <c r="K1517" t="str">
        <f>INDEX('Match Groups'!$D$5:$D$1326,MATCH(J1517,'Match Groups'!$A$5:$A$1326,0))</f>
        <v>MATCH</v>
      </c>
    </row>
    <row r="1518">
      <c r="A1518" t="inlineStr">
        <is>
          <t>JI-00534</t>
        </is>
      </c>
      <c r="B1518" t="inlineStr">
        <is>
          <t>OPS</t>
        </is>
      </c>
      <c r="C1518" s="5" t="n">
        <v>46226</v>
      </c>
      <c r="D1518" t="inlineStr">
        <is>
          <t>Kookaburra Plan Support</t>
        </is>
      </c>
      <c r="E1518" t="inlineStr">
        <is>
          <t>INV/2026/02119</t>
        </is>
      </c>
      <c r="F1518" t="inlineStr">
        <is>
          <t>Customer payment INV/2026/02119</t>
        </is>
      </c>
      <c r="G1518" s="9" t="n">
        <v>145.49</v>
      </c>
      <c r="H1518" t="inlineStr">
        <is>
          <t>customer_payment</t>
        </is>
      </c>
      <c r="I1518" t="inlineStr"/>
      <c r="J1518" t="inlineStr">
        <is>
          <t>G00192</t>
        </is>
      </c>
      <c r="K1518" t="str">
        <f>INDEX('Match Groups'!$D$5:$D$1326,MATCH(J1518,'Match Groups'!$A$5:$A$1326,0))</f>
        <v>MATCH</v>
      </c>
    </row>
    <row r="1519">
      <c r="A1519" t="inlineStr">
        <is>
          <t>JI-00535</t>
        </is>
      </c>
      <c r="B1519" t="inlineStr">
        <is>
          <t>OPS</t>
        </is>
      </c>
      <c r="C1519" s="5" t="n">
        <v>46226</v>
      </c>
      <c r="D1519" t="inlineStr">
        <is>
          <t>Kookaburra Plan Support</t>
        </is>
      </c>
      <c r="E1519" t="inlineStr">
        <is>
          <t>INV/2026/02120</t>
        </is>
      </c>
      <c r="F1519" t="inlineStr">
        <is>
          <t>Customer payment INV/2026/02120</t>
        </is>
      </c>
      <c r="G1519" s="9" t="n">
        <v>387.98</v>
      </c>
      <c r="H1519" t="inlineStr">
        <is>
          <t>customer_payment</t>
        </is>
      </c>
      <c r="I1519" t="inlineStr"/>
      <c r="J1519" t="inlineStr">
        <is>
          <t>G00192</t>
        </is>
      </c>
      <c r="K1519" t="str">
        <f>INDEX('Match Groups'!$D$5:$D$1326,MATCH(J1519,'Match Groups'!$A$5:$A$1326,0))</f>
        <v>MATCH</v>
      </c>
    </row>
    <row r="1520">
      <c r="A1520" t="inlineStr">
        <is>
          <t>JI-00536</t>
        </is>
      </c>
      <c r="B1520" t="inlineStr">
        <is>
          <t>OPS</t>
        </is>
      </c>
      <c r="C1520" s="5" t="n">
        <v>46226</v>
      </c>
      <c r="D1520" t="inlineStr">
        <is>
          <t>Kookaburra Plan Support</t>
        </is>
      </c>
      <c r="E1520" t="inlineStr">
        <is>
          <t>INV/2026/02141</t>
        </is>
      </c>
      <c r="F1520" t="inlineStr">
        <is>
          <t>Customer payment INV/2026/02141</t>
        </is>
      </c>
      <c r="G1520" s="9" t="n">
        <v>446.18</v>
      </c>
      <c r="H1520" t="inlineStr">
        <is>
          <t>customer_payment</t>
        </is>
      </c>
      <c r="I1520" t="inlineStr"/>
      <c r="J1520" t="inlineStr">
        <is>
          <t>G00192</t>
        </is>
      </c>
      <c r="K1520" t="str">
        <f>INDEX('Match Groups'!$D$5:$D$1326,MATCH(J1520,'Match Groups'!$A$5:$A$1326,0))</f>
        <v>MATCH</v>
      </c>
    </row>
    <row r="1521">
      <c r="A1521" t="inlineStr">
        <is>
          <t>JI-00537</t>
        </is>
      </c>
      <c r="B1521" t="inlineStr">
        <is>
          <t>OPS</t>
        </is>
      </c>
      <c r="C1521" s="5" t="n">
        <v>46226</v>
      </c>
      <c r="D1521" t="inlineStr">
        <is>
          <t>Kookaburra Plan Support</t>
        </is>
      </c>
      <c r="E1521" t="inlineStr">
        <is>
          <t>INV/2026/02164</t>
        </is>
      </c>
      <c r="F1521" t="inlineStr">
        <is>
          <t>Customer payment INV/2026/02164</t>
        </is>
      </c>
      <c r="G1521" s="9" t="n">
        <v>155.19</v>
      </c>
      <c r="H1521" t="inlineStr">
        <is>
          <t>customer_payment</t>
        </is>
      </c>
      <c r="I1521" t="inlineStr"/>
      <c r="J1521" t="inlineStr">
        <is>
          <t>G00192</t>
        </is>
      </c>
      <c r="K1521" t="str">
        <f>INDEX('Match Groups'!$D$5:$D$1326,MATCH(J1521,'Match Groups'!$A$5:$A$1326,0))</f>
        <v>MATCH</v>
      </c>
    </row>
    <row r="1522">
      <c r="A1522" t="inlineStr">
        <is>
          <t>JI-00538</t>
        </is>
      </c>
      <c r="B1522" t="inlineStr">
        <is>
          <t>OPS</t>
        </is>
      </c>
      <c r="C1522" s="5" t="n">
        <v>46226</v>
      </c>
      <c r="D1522" t="inlineStr">
        <is>
          <t>Kookaburra Plan Support</t>
        </is>
      </c>
      <c r="E1522" t="inlineStr">
        <is>
          <t>INV/2026/02165</t>
        </is>
      </c>
      <c r="F1522" t="inlineStr">
        <is>
          <t>Customer payment INV/2026/02165</t>
        </is>
      </c>
      <c r="G1522" s="9" t="n">
        <v>446.18</v>
      </c>
      <c r="H1522" t="inlineStr">
        <is>
          <t>customer_payment</t>
        </is>
      </c>
      <c r="I1522" t="inlineStr"/>
      <c r="J1522" t="inlineStr">
        <is>
          <t>G00192</t>
        </is>
      </c>
      <c r="K1522" t="str">
        <f>INDEX('Match Groups'!$D$5:$D$1326,MATCH(J1522,'Match Groups'!$A$5:$A$1326,0))</f>
        <v>MATCH</v>
      </c>
    </row>
    <row r="1523">
      <c r="A1523" t="inlineStr">
        <is>
          <t>JI-00539</t>
        </is>
      </c>
      <c r="B1523" t="inlineStr">
        <is>
          <t>OPS</t>
        </is>
      </c>
      <c r="C1523" s="5" t="n">
        <v>46226</v>
      </c>
      <c r="D1523" t="inlineStr">
        <is>
          <t>Kookaburra Plan Support</t>
        </is>
      </c>
      <c r="E1523" t="inlineStr">
        <is>
          <t>INV/2026/02166</t>
        </is>
      </c>
      <c r="F1523" t="inlineStr">
        <is>
          <t>Customer payment INV/2026/02166</t>
        </is>
      </c>
      <c r="G1523" s="9" t="n">
        <v>96.98999999999999</v>
      </c>
      <c r="H1523" t="inlineStr">
        <is>
          <t>customer_payment</t>
        </is>
      </c>
      <c r="I1523" t="inlineStr"/>
      <c r="J1523" t="inlineStr">
        <is>
          <t>G00192</t>
        </is>
      </c>
      <c r="K1523" t="str">
        <f>INDEX('Match Groups'!$D$5:$D$1326,MATCH(J1523,'Match Groups'!$A$5:$A$1326,0))</f>
        <v>MATCH</v>
      </c>
    </row>
    <row r="1524">
      <c r="A1524" t="inlineStr">
        <is>
          <t>JI-00540</t>
        </is>
      </c>
      <c r="B1524" t="inlineStr">
        <is>
          <t>OPS</t>
        </is>
      </c>
      <c r="C1524" s="5" t="n">
        <v>46226</v>
      </c>
      <c r="D1524" t="inlineStr">
        <is>
          <t>Kookaburra Plan Support</t>
        </is>
      </c>
      <c r="E1524" t="inlineStr">
        <is>
          <t>INV/2026/02191</t>
        </is>
      </c>
      <c r="F1524" t="inlineStr">
        <is>
          <t>Customer payment INV/2026/02191</t>
        </is>
      </c>
      <c r="G1524" s="9" t="n">
        <v>203.69</v>
      </c>
      <c r="H1524" t="inlineStr">
        <is>
          <t>customer_payment</t>
        </is>
      </c>
      <c r="I1524" t="inlineStr"/>
      <c r="J1524" t="inlineStr">
        <is>
          <t>G00192</t>
        </is>
      </c>
      <c r="K1524" t="str">
        <f>INDEX('Match Groups'!$D$5:$D$1326,MATCH(J1524,'Match Groups'!$A$5:$A$1326,0))</f>
        <v>MATCH</v>
      </c>
    </row>
    <row r="1525">
      <c r="A1525" t="inlineStr">
        <is>
          <t>JI-00541</t>
        </is>
      </c>
      <c r="B1525" t="inlineStr">
        <is>
          <t>OPS</t>
        </is>
      </c>
      <c r="C1525" s="5" t="n">
        <v>46226</v>
      </c>
      <c r="D1525" t="inlineStr">
        <is>
          <t>Kookaburra Plan Support</t>
        </is>
      </c>
      <c r="E1525" t="inlineStr">
        <is>
          <t>INV/2026/02212</t>
        </is>
      </c>
      <c r="F1525" t="inlineStr">
        <is>
          <t>Customer payment INV/2026/02212</t>
        </is>
      </c>
      <c r="G1525" s="9" t="n">
        <v>252.19</v>
      </c>
      <c r="H1525" t="inlineStr">
        <is>
          <t>customer_payment</t>
        </is>
      </c>
      <c r="I1525" t="inlineStr"/>
      <c r="J1525" t="inlineStr">
        <is>
          <t>G00192</t>
        </is>
      </c>
      <c r="K1525" t="str">
        <f>INDEX('Match Groups'!$D$5:$D$1326,MATCH(J1525,'Match Groups'!$A$5:$A$1326,0))</f>
        <v>MATCH</v>
      </c>
    </row>
    <row r="1526">
      <c r="A1526" t="inlineStr">
        <is>
          <t>JI-00542</t>
        </is>
      </c>
      <c r="B1526" t="inlineStr">
        <is>
          <t>OPS</t>
        </is>
      </c>
      <c r="C1526" s="5" t="n">
        <v>46226</v>
      </c>
      <c r="D1526" t="inlineStr">
        <is>
          <t>Lyrebird Plan Management</t>
        </is>
      </c>
      <c r="E1526" t="inlineStr">
        <is>
          <t>INV/2026/02173</t>
        </is>
      </c>
      <c r="F1526" t="inlineStr">
        <is>
          <t>Customer payment INV/2026/02173</t>
        </is>
      </c>
      <c r="G1526" s="9" t="n">
        <v>272.49</v>
      </c>
      <c r="H1526" t="inlineStr">
        <is>
          <t>customer_payment</t>
        </is>
      </c>
      <c r="I1526" t="inlineStr"/>
      <c r="J1526" t="inlineStr">
        <is>
          <t>G00193</t>
        </is>
      </c>
      <c r="K1526" t="str">
        <f>INDEX('Match Groups'!$D$5:$D$1326,MATCH(J1526,'Match Groups'!$A$5:$A$1326,0))</f>
        <v>MATCH</v>
      </c>
    </row>
    <row r="1527">
      <c r="A1527" t="inlineStr">
        <is>
          <t>JI-00543</t>
        </is>
      </c>
      <c r="B1527" t="inlineStr">
        <is>
          <t>OPS</t>
        </is>
      </c>
      <c r="C1527" s="5" t="n">
        <v>46226</v>
      </c>
      <c r="D1527" t="inlineStr">
        <is>
          <t>Lyrebird Plan Management</t>
        </is>
      </c>
      <c r="E1527" t="inlineStr">
        <is>
          <t>INV/2026/02198</t>
        </is>
      </c>
      <c r="F1527" t="inlineStr">
        <is>
          <t>Customer payment INV/2026/02198</t>
        </is>
      </c>
      <c r="G1527" s="9" t="n">
        <v>242.49</v>
      </c>
      <c r="H1527" t="inlineStr">
        <is>
          <t>customer_payment</t>
        </is>
      </c>
      <c r="I1527" t="inlineStr"/>
      <c r="J1527" t="inlineStr">
        <is>
          <t>G00193</t>
        </is>
      </c>
      <c r="K1527" t="str">
        <f>INDEX('Match Groups'!$D$5:$D$1326,MATCH(J1527,'Match Groups'!$A$5:$A$1326,0))</f>
        <v>MATCH</v>
      </c>
    </row>
    <row r="1528">
      <c r="A1528" t="inlineStr">
        <is>
          <t>JI-00544</t>
        </is>
      </c>
      <c r="B1528" t="inlineStr">
        <is>
          <t>OPS</t>
        </is>
      </c>
      <c r="C1528" s="5" t="n">
        <v>46226</v>
      </c>
      <c r="D1528" t="inlineStr">
        <is>
          <t>Lyrebird Plan Management</t>
        </is>
      </c>
      <c r="E1528" t="inlineStr">
        <is>
          <t>INV/2026/02221</t>
        </is>
      </c>
      <c r="F1528" t="inlineStr">
        <is>
          <t>Customer payment INV/2026/02221</t>
        </is>
      </c>
      <c r="G1528" s="9" t="n">
        <v>145.49</v>
      </c>
      <c r="H1528" t="inlineStr">
        <is>
          <t>customer_payment</t>
        </is>
      </c>
      <c r="I1528" t="inlineStr"/>
      <c r="J1528" t="inlineStr">
        <is>
          <t>G00193</t>
        </is>
      </c>
      <c r="K1528" t="str">
        <f>INDEX('Match Groups'!$D$5:$D$1326,MATCH(J1528,'Match Groups'!$A$5:$A$1326,0))</f>
        <v>MATCH</v>
      </c>
    </row>
    <row r="1529">
      <c r="A1529" t="inlineStr">
        <is>
          <t>JI-00545</t>
        </is>
      </c>
      <c r="B1529" t="inlineStr">
        <is>
          <t>OPS</t>
        </is>
      </c>
      <c r="C1529" s="5" t="n">
        <v>46226</v>
      </c>
      <c r="D1529" t="inlineStr">
        <is>
          <t>Lyrebird Plan Management</t>
        </is>
      </c>
      <c r="E1529" t="inlineStr">
        <is>
          <t>INV/2026/02244</t>
        </is>
      </c>
      <c r="F1529" t="inlineStr">
        <is>
          <t>Customer payment INV/2026/02244</t>
        </is>
      </c>
      <c r="G1529" s="9" t="n">
        <v>145.49</v>
      </c>
      <c r="H1529" t="inlineStr">
        <is>
          <t>customer_payment</t>
        </is>
      </c>
      <c r="I1529" t="inlineStr"/>
      <c r="J1529" t="inlineStr">
        <is>
          <t>G00193</t>
        </is>
      </c>
      <c r="K1529" t="str">
        <f>INDEX('Match Groups'!$D$5:$D$1326,MATCH(J1529,'Match Groups'!$A$5:$A$1326,0))</f>
        <v>MATCH</v>
      </c>
    </row>
    <row r="1530">
      <c r="A1530" t="inlineStr">
        <is>
          <t>JI-00546</t>
        </is>
      </c>
      <c r="B1530" t="inlineStr">
        <is>
          <t>OPS</t>
        </is>
      </c>
      <c r="C1530" s="5" t="n">
        <v>46226</v>
      </c>
      <c r="D1530" t="inlineStr">
        <is>
          <t>Acacia Plan Partners</t>
        </is>
      </c>
      <c r="E1530" t="inlineStr">
        <is>
          <t>INV/2026/01964</t>
        </is>
      </c>
      <c r="F1530" t="inlineStr">
        <is>
          <t>Customer payment INV/2026/01964</t>
        </is>
      </c>
      <c r="G1530" s="9" t="n">
        <v>417.98</v>
      </c>
      <c r="H1530" t="inlineStr">
        <is>
          <t>customer_payment</t>
        </is>
      </c>
      <c r="I1530" t="inlineStr"/>
      <c r="J1530" t="inlineStr">
        <is>
          <t>G00194</t>
        </is>
      </c>
      <c r="K1530" t="str">
        <f>INDEX('Match Groups'!$D$5:$D$1326,MATCH(J1530,'Match Groups'!$A$5:$A$1326,0))</f>
        <v>MATCH</v>
      </c>
    </row>
    <row r="1531">
      <c r="A1531" t="inlineStr">
        <is>
          <t>JI-00547</t>
        </is>
      </c>
      <c r="B1531" t="inlineStr">
        <is>
          <t>OPS</t>
        </is>
      </c>
      <c r="C1531" s="5" t="n">
        <v>46226</v>
      </c>
      <c r="D1531" t="inlineStr">
        <is>
          <t>Acacia Plan Partners</t>
        </is>
      </c>
      <c r="E1531" t="inlineStr">
        <is>
          <t>INV/2026/01965</t>
        </is>
      </c>
      <c r="F1531" t="inlineStr">
        <is>
          <t>Customer payment INV/2026/01965</t>
        </is>
      </c>
      <c r="G1531" s="9" t="n">
        <v>242.49</v>
      </c>
      <c r="H1531" t="inlineStr">
        <is>
          <t>customer_payment</t>
        </is>
      </c>
      <c r="I1531" t="inlineStr"/>
      <c r="J1531" t="inlineStr">
        <is>
          <t>G00194</t>
        </is>
      </c>
      <c r="K1531" t="str">
        <f>INDEX('Match Groups'!$D$5:$D$1326,MATCH(J1531,'Match Groups'!$A$5:$A$1326,0))</f>
        <v>MATCH</v>
      </c>
    </row>
    <row r="1532">
      <c r="A1532" t="inlineStr">
        <is>
          <t>JI-00548</t>
        </is>
      </c>
      <c r="B1532" t="inlineStr">
        <is>
          <t>OPS</t>
        </is>
      </c>
      <c r="C1532" s="5" t="n">
        <v>46226</v>
      </c>
      <c r="D1532" t="inlineStr">
        <is>
          <t>Acacia Plan Partners</t>
        </is>
      </c>
      <c r="E1532" t="inlineStr">
        <is>
          <t>INV/2026/01966</t>
        </is>
      </c>
      <c r="F1532" t="inlineStr">
        <is>
          <t>Customer payment INV/2026/01966</t>
        </is>
      </c>
      <c r="G1532" s="9" t="n">
        <v>193.99</v>
      </c>
      <c r="H1532" t="inlineStr">
        <is>
          <t>customer_payment</t>
        </is>
      </c>
      <c r="I1532" t="inlineStr"/>
      <c r="J1532" t="inlineStr">
        <is>
          <t>G00194</t>
        </is>
      </c>
      <c r="K1532" t="str">
        <f>INDEX('Match Groups'!$D$5:$D$1326,MATCH(J1532,'Match Groups'!$A$5:$A$1326,0))</f>
        <v>MATCH</v>
      </c>
    </row>
    <row r="1533">
      <c r="A1533" t="inlineStr">
        <is>
          <t>JI-00549</t>
        </is>
      </c>
      <c r="B1533" t="inlineStr">
        <is>
          <t>OPS</t>
        </is>
      </c>
      <c r="C1533" s="5" t="n">
        <v>46226</v>
      </c>
      <c r="D1533" t="inlineStr">
        <is>
          <t>Acacia Plan Partners</t>
        </is>
      </c>
      <c r="E1533" t="inlineStr">
        <is>
          <t>INV/2026/01987</t>
        </is>
      </c>
      <c r="F1533" t="inlineStr">
        <is>
          <t>Customer payment INV/2026/01987</t>
        </is>
      </c>
      <c r="G1533" s="9" t="n">
        <v>242.49</v>
      </c>
      <c r="H1533" t="inlineStr">
        <is>
          <t>customer_payment</t>
        </is>
      </c>
      <c r="I1533" t="inlineStr"/>
      <c r="J1533" t="inlineStr">
        <is>
          <t>G00194</t>
        </is>
      </c>
      <c r="K1533" t="str">
        <f>INDEX('Match Groups'!$D$5:$D$1326,MATCH(J1533,'Match Groups'!$A$5:$A$1326,0))</f>
        <v>MATCH</v>
      </c>
    </row>
    <row r="1534">
      <c r="A1534" t="inlineStr">
        <is>
          <t>JI-00550</t>
        </is>
      </c>
      <c r="B1534" t="inlineStr">
        <is>
          <t>OPS</t>
        </is>
      </c>
      <c r="C1534" s="5" t="n">
        <v>46226</v>
      </c>
      <c r="D1534" t="inlineStr">
        <is>
          <t>Mallee Plan Services</t>
        </is>
      </c>
      <c r="E1534" t="inlineStr">
        <is>
          <t>INV/2026/02226</t>
        </is>
      </c>
      <c r="F1534" t="inlineStr">
        <is>
          <t>Customer payment INV/2026/02226</t>
        </is>
      </c>
      <c r="G1534" s="9" t="n">
        <v>290.98</v>
      </c>
      <c r="H1534" t="inlineStr">
        <is>
          <t>customer_payment</t>
        </is>
      </c>
      <c r="I1534" t="inlineStr"/>
      <c r="J1534" t="inlineStr">
        <is>
          <t>G00195</t>
        </is>
      </c>
      <c r="K1534" t="str">
        <f>INDEX('Match Groups'!$D$5:$D$1326,MATCH(J1534,'Match Groups'!$A$5:$A$1326,0))</f>
        <v>MATCH</v>
      </c>
    </row>
    <row r="1535">
      <c r="A1535" t="inlineStr">
        <is>
          <t>JI-00551</t>
        </is>
      </c>
      <c r="B1535" t="inlineStr">
        <is>
          <t>OPS</t>
        </is>
      </c>
      <c r="C1535" s="5" t="n">
        <v>46226</v>
      </c>
      <c r="D1535" t="inlineStr">
        <is>
          <t>Mallee Plan Services</t>
        </is>
      </c>
      <c r="E1535" t="inlineStr">
        <is>
          <t>INV/2026/02228</t>
        </is>
      </c>
      <c r="F1535" t="inlineStr">
        <is>
          <t>Customer payment INV/2026/02228</t>
        </is>
      </c>
      <c r="G1535" s="9" t="n">
        <v>145.49</v>
      </c>
      <c r="H1535" t="inlineStr">
        <is>
          <t>customer_payment</t>
        </is>
      </c>
      <c r="I1535" t="inlineStr"/>
      <c r="J1535" t="inlineStr">
        <is>
          <t>G00195</t>
        </is>
      </c>
      <c r="K1535" t="str">
        <f>INDEX('Match Groups'!$D$5:$D$1326,MATCH(J1535,'Match Groups'!$A$5:$A$1326,0))</f>
        <v>MATCH</v>
      </c>
    </row>
    <row r="1536">
      <c r="A1536" t="inlineStr">
        <is>
          <t>JI-01594</t>
        </is>
      </c>
      <c r="B1536" t="inlineStr">
        <is>
          <t>OPS</t>
        </is>
      </c>
      <c r="C1536" s="5" t="n">
        <v>46226</v>
      </c>
      <c r="D1536" t="inlineStr">
        <is>
          <t>Pinnacle Claims Services</t>
        </is>
      </c>
      <c r="E1536" t="inlineStr">
        <is>
          <t>INV/2026/02036</t>
        </is>
      </c>
      <c r="F1536" t="inlineStr">
        <is>
          <t>Customer payment INV/2026/02036</t>
        </is>
      </c>
      <c r="G1536" s="9" t="n">
        <v>990</v>
      </c>
      <c r="H1536" t="inlineStr">
        <is>
          <t>customer_payment</t>
        </is>
      </c>
      <c r="I1536" t="inlineStr"/>
      <c r="J1536" t="inlineStr">
        <is>
          <t>G00960</t>
        </is>
      </c>
      <c r="K1536" t="str">
        <f>INDEX('Match Groups'!$D$5:$D$1326,MATCH(J1536,'Match Groups'!$A$5:$A$1326,0))</f>
        <v>MATCH</v>
      </c>
    </row>
    <row r="1537">
      <c r="A1537" t="inlineStr">
        <is>
          <t>JI-01595</t>
        </is>
      </c>
      <c r="B1537" t="inlineStr">
        <is>
          <t>OPS</t>
        </is>
      </c>
      <c r="C1537" s="5" t="n">
        <v>46226</v>
      </c>
      <c r="D1537" t="inlineStr">
        <is>
          <t>Pinnacle Claims Services</t>
        </is>
      </c>
      <c r="E1537" t="inlineStr">
        <is>
          <t>INV/2026/02064</t>
        </is>
      </c>
      <c r="F1537" t="inlineStr">
        <is>
          <t>Customer payment INV/2026/02064</t>
        </is>
      </c>
      <c r="G1537" s="9" t="n">
        <v>990</v>
      </c>
      <c r="H1537" t="inlineStr">
        <is>
          <t>customer_payment</t>
        </is>
      </c>
      <c r="I1537" t="inlineStr"/>
      <c r="J1537" t="inlineStr">
        <is>
          <t>G00961</t>
        </is>
      </c>
      <c r="K1537" t="str">
        <f>INDEX('Match Groups'!$D$5:$D$1326,MATCH(J1537,'Match Groups'!$A$5:$A$1326,0))</f>
        <v>MATCH</v>
      </c>
    </row>
    <row r="1538">
      <c r="A1538" t="inlineStr">
        <is>
          <t>JI-02273</t>
        </is>
      </c>
      <c r="B1538" t="inlineStr">
        <is>
          <t>OPS</t>
        </is>
      </c>
      <c r="C1538" s="5" t="n">
        <v>46226</v>
      </c>
      <c r="D1538" t="inlineStr">
        <is>
          <t>Stripe patient 41992</t>
        </is>
      </c>
      <c r="E1538" t="inlineStr">
        <is>
          <t>INV/2026/04119</t>
        </is>
      </c>
      <c r="F1538" t="inlineStr">
        <is>
          <t>Customer payment INV/2026/04119</t>
        </is>
      </c>
      <c r="G1538" s="9" t="n">
        <v>135</v>
      </c>
      <c r="H1538" t="inlineStr">
        <is>
          <t>customer_payment</t>
        </is>
      </c>
      <c r="I1538" t="inlineStr"/>
      <c r="J1538" t="inlineStr">
        <is>
          <t>G00032</t>
        </is>
      </c>
      <c r="K1538" t="str">
        <f>INDEX('Match Groups'!$D$5:$D$1326,MATCH(J1538,'Match Groups'!$A$5:$A$1326,0))</f>
        <v>STRIPE-FEE</v>
      </c>
    </row>
    <row r="1539">
      <c r="A1539" t="inlineStr">
        <is>
          <t>JI-02274</t>
        </is>
      </c>
      <c r="B1539" t="inlineStr">
        <is>
          <t>OPS</t>
        </is>
      </c>
      <c r="C1539" s="5" t="n">
        <v>46226</v>
      </c>
      <c r="D1539" t="inlineStr">
        <is>
          <t>Stripe patient 19808</t>
        </is>
      </c>
      <c r="E1539" t="inlineStr">
        <is>
          <t>INV/2026/04120</t>
        </is>
      </c>
      <c r="F1539" t="inlineStr">
        <is>
          <t>Customer payment INV/2026/04120</t>
        </is>
      </c>
      <c r="G1539" s="9" t="n">
        <v>180</v>
      </c>
      <c r="H1539" t="inlineStr">
        <is>
          <t>customer_payment</t>
        </is>
      </c>
      <c r="I1539" t="inlineStr"/>
      <c r="J1539" t="inlineStr">
        <is>
          <t>G00032</t>
        </is>
      </c>
      <c r="K1539" t="str">
        <f>INDEX('Match Groups'!$D$5:$D$1326,MATCH(J1539,'Match Groups'!$A$5:$A$1326,0))</f>
        <v>STRIPE-FEE</v>
      </c>
    </row>
    <row r="1540">
      <c r="A1540" t="inlineStr">
        <is>
          <t>JI-02275</t>
        </is>
      </c>
      <c r="B1540" t="inlineStr">
        <is>
          <t>OPS</t>
        </is>
      </c>
      <c r="C1540" s="5" t="n">
        <v>46226</v>
      </c>
      <c r="D1540" t="inlineStr">
        <is>
          <t>Stripe patient 71484</t>
        </is>
      </c>
      <c r="E1540" t="inlineStr">
        <is>
          <t>INV/2026/04121</t>
        </is>
      </c>
      <c r="F1540" t="inlineStr">
        <is>
          <t>Customer payment INV/2026/04121</t>
        </is>
      </c>
      <c r="G1540" s="9" t="n">
        <v>150</v>
      </c>
      <c r="H1540" t="inlineStr">
        <is>
          <t>customer_payment</t>
        </is>
      </c>
      <c r="I1540" t="inlineStr"/>
      <c r="J1540" t="inlineStr">
        <is>
          <t>G00032</t>
        </is>
      </c>
      <c r="K1540" t="str">
        <f>INDEX('Match Groups'!$D$5:$D$1326,MATCH(J1540,'Match Groups'!$A$5:$A$1326,0))</f>
        <v>STRIPE-FEE</v>
      </c>
    </row>
    <row r="1541">
      <c r="A1541" t="inlineStr">
        <is>
          <t>JI-02276</t>
        </is>
      </c>
      <c r="B1541" t="inlineStr">
        <is>
          <t>OPS</t>
        </is>
      </c>
      <c r="C1541" s="5" t="n">
        <v>46226</v>
      </c>
      <c r="D1541" t="inlineStr">
        <is>
          <t>Stripe patient 24809</t>
        </is>
      </c>
      <c r="E1541" t="inlineStr">
        <is>
          <t>INV/2026/04122</t>
        </is>
      </c>
      <c r="F1541" t="inlineStr">
        <is>
          <t>Customer payment INV/2026/04122</t>
        </is>
      </c>
      <c r="G1541" s="9" t="n">
        <v>85</v>
      </c>
      <c r="H1541" t="inlineStr">
        <is>
          <t>customer_payment</t>
        </is>
      </c>
      <c r="I1541" t="inlineStr"/>
      <c r="J1541" t="inlineStr">
        <is>
          <t>G00032</t>
        </is>
      </c>
      <c r="K1541" t="str">
        <f>INDEX('Match Groups'!$D$5:$D$1326,MATCH(J1541,'Match Groups'!$A$5:$A$1326,0))</f>
        <v>STRIPE-FEE</v>
      </c>
    </row>
    <row r="1542">
      <c r="A1542" t="inlineStr">
        <is>
          <t>JI-02277</t>
        </is>
      </c>
      <c r="B1542" t="inlineStr">
        <is>
          <t>OPS</t>
        </is>
      </c>
      <c r="C1542" s="5" t="n">
        <v>46226</v>
      </c>
      <c r="D1542" t="inlineStr">
        <is>
          <t>Stripe patient 87433</t>
        </is>
      </c>
      <c r="E1542" t="inlineStr">
        <is>
          <t>INV/2026/04123</t>
        </is>
      </c>
      <c r="F1542" t="inlineStr">
        <is>
          <t>Customer payment INV/2026/04123</t>
        </is>
      </c>
      <c r="G1542" s="9" t="n">
        <v>120</v>
      </c>
      <c r="H1542" t="inlineStr">
        <is>
          <t>customer_payment</t>
        </is>
      </c>
      <c r="I1542" t="inlineStr"/>
      <c r="J1542" t="inlineStr">
        <is>
          <t>G00032</t>
        </is>
      </c>
      <c r="K1542" t="str">
        <f>INDEX('Match Groups'!$D$5:$D$1326,MATCH(J1542,'Match Groups'!$A$5:$A$1326,0))</f>
        <v>STRIPE-FEE</v>
      </c>
    </row>
    <row r="1543">
      <c r="A1543" t="inlineStr">
        <is>
          <t>JI-02278</t>
        </is>
      </c>
      <c r="B1543" t="inlineStr">
        <is>
          <t>OPS</t>
        </is>
      </c>
      <c r="C1543" s="5" t="n">
        <v>46226</v>
      </c>
      <c r="D1543" t="inlineStr">
        <is>
          <t>Stripe patient 12068</t>
        </is>
      </c>
      <c r="E1543" t="inlineStr">
        <is>
          <t>INV/2026/04124</t>
        </is>
      </c>
      <c r="F1543" t="inlineStr">
        <is>
          <t>Customer payment INV/2026/04124</t>
        </is>
      </c>
      <c r="G1543" s="9" t="n">
        <v>180</v>
      </c>
      <c r="H1543" t="inlineStr">
        <is>
          <t>customer_payment</t>
        </is>
      </c>
      <c r="I1543" t="inlineStr"/>
      <c r="J1543" t="inlineStr">
        <is>
          <t>G00032</t>
        </is>
      </c>
      <c r="K1543" t="str">
        <f>INDEX('Match Groups'!$D$5:$D$1326,MATCH(J1543,'Match Groups'!$A$5:$A$1326,0))</f>
        <v>STRIPE-FEE</v>
      </c>
    </row>
    <row r="1544">
      <c r="A1544" t="inlineStr">
        <is>
          <t>JI-02279</t>
        </is>
      </c>
      <c r="B1544" t="inlineStr">
        <is>
          <t>OPS</t>
        </is>
      </c>
      <c r="C1544" s="5" t="n">
        <v>46226</v>
      </c>
      <c r="D1544" t="inlineStr">
        <is>
          <t>Stripe patient 75615</t>
        </is>
      </c>
      <c r="E1544" t="inlineStr">
        <is>
          <t>INV/2026/04125</t>
        </is>
      </c>
      <c r="F1544" t="inlineStr">
        <is>
          <t>Customer payment INV/2026/04125</t>
        </is>
      </c>
      <c r="G1544" s="9" t="n">
        <v>220</v>
      </c>
      <c r="H1544" t="inlineStr">
        <is>
          <t>customer_payment</t>
        </is>
      </c>
      <c r="I1544" t="inlineStr"/>
      <c r="J1544" t="inlineStr">
        <is>
          <t>G00032</t>
        </is>
      </c>
      <c r="K1544" t="str">
        <f>INDEX('Match Groups'!$D$5:$D$1326,MATCH(J1544,'Match Groups'!$A$5:$A$1326,0))</f>
        <v>STRIPE-FEE</v>
      </c>
    </row>
    <row r="1545">
      <c r="A1545" t="inlineStr">
        <is>
          <t>JI-02280</t>
        </is>
      </c>
      <c r="B1545" t="inlineStr">
        <is>
          <t>OPS</t>
        </is>
      </c>
      <c r="C1545" s="5" t="n">
        <v>46226</v>
      </c>
      <c r="D1545" t="inlineStr">
        <is>
          <t>Stripe patient 41207</t>
        </is>
      </c>
      <c r="E1545" t="inlineStr">
        <is>
          <t>INV/2026/04126</t>
        </is>
      </c>
      <c r="F1545" t="inlineStr">
        <is>
          <t>Customer payment INV/2026/04126</t>
        </is>
      </c>
      <c r="G1545" s="9" t="n">
        <v>150</v>
      </c>
      <c r="H1545" t="inlineStr">
        <is>
          <t>customer_payment</t>
        </is>
      </c>
      <c r="I1545" t="inlineStr"/>
      <c r="J1545" t="inlineStr">
        <is>
          <t>G00032</t>
        </is>
      </c>
      <c r="K1545" t="str">
        <f>INDEX('Match Groups'!$D$5:$D$1326,MATCH(J1545,'Match Groups'!$A$5:$A$1326,0))</f>
        <v>STRIPE-FEE</v>
      </c>
    </row>
    <row r="1546">
      <c r="A1546" t="inlineStr">
        <is>
          <t>JI-02281</t>
        </is>
      </c>
      <c r="B1546" t="inlineStr">
        <is>
          <t>OPS</t>
        </is>
      </c>
      <c r="C1546" s="5" t="n">
        <v>46226</v>
      </c>
      <c r="D1546" t="inlineStr">
        <is>
          <t>Stripe patient 13090</t>
        </is>
      </c>
      <c r="E1546" t="inlineStr">
        <is>
          <t>INV/2026/04127</t>
        </is>
      </c>
      <c r="F1546" t="inlineStr">
        <is>
          <t>Customer payment INV/2026/04127</t>
        </is>
      </c>
      <c r="G1546" s="9" t="n">
        <v>150</v>
      </c>
      <c r="H1546" t="inlineStr">
        <is>
          <t>customer_payment</t>
        </is>
      </c>
      <c r="I1546" t="inlineStr"/>
      <c r="J1546" t="inlineStr">
        <is>
          <t>G00032</t>
        </is>
      </c>
      <c r="K1546" t="str">
        <f>INDEX('Match Groups'!$D$5:$D$1326,MATCH(J1546,'Match Groups'!$A$5:$A$1326,0))</f>
        <v>STRIPE-FEE</v>
      </c>
    </row>
    <row r="1547">
      <c r="A1547" t="inlineStr">
        <is>
          <t>JI-02282</t>
        </is>
      </c>
      <c r="B1547" t="inlineStr">
        <is>
          <t>OPS</t>
        </is>
      </c>
      <c r="C1547" s="5" t="n">
        <v>46226</v>
      </c>
      <c r="D1547" t="inlineStr">
        <is>
          <t>Stripe patient 53279</t>
        </is>
      </c>
      <c r="E1547" t="inlineStr">
        <is>
          <t>INV/2026/04128</t>
        </is>
      </c>
      <c r="F1547" t="inlineStr">
        <is>
          <t>Customer payment INV/2026/04128</t>
        </is>
      </c>
      <c r="G1547" s="9" t="n">
        <v>150</v>
      </c>
      <c r="H1547" t="inlineStr">
        <is>
          <t>customer_payment</t>
        </is>
      </c>
      <c r="I1547" t="inlineStr"/>
      <c r="J1547" t="inlineStr">
        <is>
          <t>G00032</t>
        </is>
      </c>
      <c r="K1547" t="str">
        <f>INDEX('Match Groups'!$D$5:$D$1326,MATCH(J1547,'Match Groups'!$A$5:$A$1326,0))</f>
        <v>STRIPE-FEE</v>
      </c>
    </row>
    <row r="1548">
      <c r="A1548" t="inlineStr">
        <is>
          <t>JI-02283</t>
        </is>
      </c>
      <c r="B1548" t="inlineStr">
        <is>
          <t>OPS</t>
        </is>
      </c>
      <c r="C1548" s="5" t="n">
        <v>46226</v>
      </c>
      <c r="D1548" t="inlineStr">
        <is>
          <t>Stripe patient 69410</t>
        </is>
      </c>
      <c r="E1548" t="inlineStr">
        <is>
          <t>INV/2026/04129</t>
        </is>
      </c>
      <c r="F1548" t="inlineStr">
        <is>
          <t>Customer payment INV/2026/04129</t>
        </is>
      </c>
      <c r="G1548" s="9" t="n">
        <v>85</v>
      </c>
      <c r="H1548" t="inlineStr">
        <is>
          <t>customer_payment</t>
        </is>
      </c>
      <c r="I1548" t="inlineStr"/>
      <c r="J1548" t="inlineStr">
        <is>
          <t>G00032</t>
        </is>
      </c>
      <c r="K1548" t="str">
        <f>INDEX('Match Groups'!$D$5:$D$1326,MATCH(J1548,'Match Groups'!$A$5:$A$1326,0))</f>
        <v>STRIPE-FEE</v>
      </c>
    </row>
    <row r="1549">
      <c r="A1549" t="inlineStr">
        <is>
          <t>JI-02284</t>
        </is>
      </c>
      <c r="B1549" t="inlineStr">
        <is>
          <t>OPS</t>
        </is>
      </c>
      <c r="C1549" s="5" t="n">
        <v>46226</v>
      </c>
      <c r="D1549" t="inlineStr">
        <is>
          <t>Stripe patient 63054</t>
        </is>
      </c>
      <c r="E1549" t="inlineStr">
        <is>
          <t>INV/2026/04130</t>
        </is>
      </c>
      <c r="F1549" t="inlineStr">
        <is>
          <t>Customer payment INV/2026/04130</t>
        </is>
      </c>
      <c r="G1549" s="9" t="n">
        <v>180</v>
      </c>
      <c r="H1549" t="inlineStr">
        <is>
          <t>customer_payment</t>
        </is>
      </c>
      <c r="I1549" t="inlineStr"/>
      <c r="J1549" t="inlineStr">
        <is>
          <t>G00032</t>
        </is>
      </c>
      <c r="K1549" t="str">
        <f>INDEX('Match Groups'!$D$5:$D$1326,MATCH(J1549,'Match Groups'!$A$5:$A$1326,0))</f>
        <v>STRIPE-FEE</v>
      </c>
    </row>
    <row r="1550">
      <c r="A1550" t="inlineStr">
        <is>
          <t>JI-02285</t>
        </is>
      </c>
      <c r="B1550" t="inlineStr">
        <is>
          <t>OPS</t>
        </is>
      </c>
      <c r="C1550" s="5" t="n">
        <v>46226</v>
      </c>
      <c r="D1550" t="inlineStr">
        <is>
          <t>Stripe patient 86814</t>
        </is>
      </c>
      <c r="E1550" t="inlineStr">
        <is>
          <t>INV/2026/04131</t>
        </is>
      </c>
      <c r="F1550" t="inlineStr">
        <is>
          <t>Customer payment INV/2026/04131</t>
        </is>
      </c>
      <c r="G1550" s="9" t="n">
        <v>95</v>
      </c>
      <c r="H1550" t="inlineStr">
        <is>
          <t>customer_payment</t>
        </is>
      </c>
      <c r="I1550" t="inlineStr"/>
      <c r="J1550" t="inlineStr">
        <is>
          <t>G00032</t>
        </is>
      </c>
      <c r="K1550" t="str">
        <f>INDEX('Match Groups'!$D$5:$D$1326,MATCH(J1550,'Match Groups'!$A$5:$A$1326,0))</f>
        <v>STRIPE-FEE</v>
      </c>
    </row>
    <row r="1551">
      <c r="A1551" t="inlineStr">
        <is>
          <t>JI-02286</t>
        </is>
      </c>
      <c r="B1551" t="inlineStr">
        <is>
          <t>OPS</t>
        </is>
      </c>
      <c r="C1551" s="5" t="n">
        <v>46226</v>
      </c>
      <c r="D1551" t="inlineStr">
        <is>
          <t>Stripe patient 74563</t>
        </is>
      </c>
      <c r="E1551" t="inlineStr">
        <is>
          <t>INV/2026/04132</t>
        </is>
      </c>
      <c r="F1551" t="inlineStr">
        <is>
          <t>Customer payment INV/2026/04132</t>
        </is>
      </c>
      <c r="G1551" s="9" t="n">
        <v>220</v>
      </c>
      <c r="H1551" t="inlineStr">
        <is>
          <t>customer_payment</t>
        </is>
      </c>
      <c r="I1551" t="inlineStr"/>
      <c r="J1551" t="inlineStr">
        <is>
          <t>G00032</t>
        </is>
      </c>
      <c r="K1551" t="str">
        <f>INDEX('Match Groups'!$D$5:$D$1326,MATCH(J1551,'Match Groups'!$A$5:$A$1326,0))</f>
        <v>STRIPE-FEE</v>
      </c>
    </row>
    <row r="1552">
      <c r="A1552" t="inlineStr">
        <is>
          <t>JI-02287</t>
        </is>
      </c>
      <c r="B1552" t="inlineStr">
        <is>
          <t>OPS</t>
        </is>
      </c>
      <c r="C1552" s="5" t="n">
        <v>46226</v>
      </c>
      <c r="D1552" t="inlineStr">
        <is>
          <t>Stripe patient 32476</t>
        </is>
      </c>
      <c r="E1552" t="inlineStr">
        <is>
          <t>INV/2026/04133</t>
        </is>
      </c>
      <c r="F1552" t="inlineStr">
        <is>
          <t>Customer payment INV/2026/04133</t>
        </is>
      </c>
      <c r="G1552" s="9" t="n">
        <v>135</v>
      </c>
      <c r="H1552" t="inlineStr">
        <is>
          <t>customer_payment</t>
        </is>
      </c>
      <c r="I1552" t="inlineStr"/>
      <c r="J1552" t="inlineStr">
        <is>
          <t>G00032</t>
        </is>
      </c>
      <c r="K1552" t="str">
        <f>INDEX('Match Groups'!$D$5:$D$1326,MATCH(J1552,'Match Groups'!$A$5:$A$1326,0))</f>
        <v>STRIPE-FEE</v>
      </c>
    </row>
    <row r="1553">
      <c r="A1553" t="inlineStr">
        <is>
          <t>JI-02288</t>
        </is>
      </c>
      <c r="B1553" t="inlineStr">
        <is>
          <t>OPS</t>
        </is>
      </c>
      <c r="C1553" s="5" t="n">
        <v>46226</v>
      </c>
      <c r="D1553" t="inlineStr">
        <is>
          <t>Stripe patient 44137</t>
        </is>
      </c>
      <c r="E1553" t="inlineStr">
        <is>
          <t>INV/2026/04134</t>
        </is>
      </c>
      <c r="F1553" t="inlineStr">
        <is>
          <t>Customer payment INV/2026/04134</t>
        </is>
      </c>
      <c r="G1553" s="9" t="n">
        <v>110</v>
      </c>
      <c r="H1553" t="inlineStr">
        <is>
          <t>customer_payment</t>
        </is>
      </c>
      <c r="I1553" t="inlineStr"/>
      <c r="J1553" t="inlineStr">
        <is>
          <t>G00032</t>
        </is>
      </c>
      <c r="K1553" t="str">
        <f>INDEX('Match Groups'!$D$5:$D$1326,MATCH(J1553,'Match Groups'!$A$5:$A$1326,0))</f>
        <v>STRIPE-FEE</v>
      </c>
    </row>
    <row r="1554">
      <c r="A1554" t="inlineStr">
        <is>
          <t>JI-02289</t>
        </is>
      </c>
      <c r="B1554" t="inlineStr">
        <is>
          <t>OPS</t>
        </is>
      </c>
      <c r="C1554" s="5" t="n">
        <v>46226</v>
      </c>
      <c r="D1554" t="inlineStr">
        <is>
          <t>Stripe patient 92705</t>
        </is>
      </c>
      <c r="E1554" t="inlineStr">
        <is>
          <t>INV/2026/04135</t>
        </is>
      </c>
      <c r="F1554" t="inlineStr">
        <is>
          <t>Customer payment INV/2026/04135</t>
        </is>
      </c>
      <c r="G1554" s="9" t="n">
        <v>65</v>
      </c>
      <c r="H1554" t="inlineStr">
        <is>
          <t>customer_payment</t>
        </is>
      </c>
      <c r="I1554" t="inlineStr"/>
      <c r="J1554" t="inlineStr">
        <is>
          <t>G00032</t>
        </is>
      </c>
      <c r="K1554" t="str">
        <f>INDEX('Match Groups'!$D$5:$D$1326,MATCH(J1554,'Match Groups'!$A$5:$A$1326,0))</f>
        <v>STRIPE-FEE</v>
      </c>
    </row>
    <row r="1555">
      <c r="A1555" t="inlineStr">
        <is>
          <t>JI-02290</t>
        </is>
      </c>
      <c r="B1555" t="inlineStr">
        <is>
          <t>OPS</t>
        </is>
      </c>
      <c r="C1555" s="5" t="n">
        <v>46226</v>
      </c>
      <c r="D1555" t="inlineStr">
        <is>
          <t>Stripe patient 48106</t>
        </is>
      </c>
      <c r="E1555" t="inlineStr">
        <is>
          <t>INV/2026/04136</t>
        </is>
      </c>
      <c r="F1555" t="inlineStr">
        <is>
          <t>Customer payment INV/2026/04136</t>
        </is>
      </c>
      <c r="G1555" s="9" t="n">
        <v>65</v>
      </c>
      <c r="H1555" t="inlineStr">
        <is>
          <t>customer_payment</t>
        </is>
      </c>
      <c r="I1555" t="inlineStr"/>
      <c r="J1555" t="inlineStr">
        <is>
          <t>G00032</t>
        </is>
      </c>
      <c r="K1555" t="str">
        <f>INDEX('Match Groups'!$D$5:$D$1326,MATCH(J1555,'Match Groups'!$A$5:$A$1326,0))</f>
        <v>STRIPE-FEE</v>
      </c>
    </row>
    <row r="1556">
      <c r="A1556" t="inlineStr">
        <is>
          <t>JI-02291</t>
        </is>
      </c>
      <c r="B1556" t="inlineStr">
        <is>
          <t>OPS</t>
        </is>
      </c>
      <c r="C1556" s="5" t="n">
        <v>46226</v>
      </c>
      <c r="D1556" t="inlineStr">
        <is>
          <t>Stripe patient 40884</t>
        </is>
      </c>
      <c r="E1556" t="inlineStr">
        <is>
          <t>INV/2026/04137</t>
        </is>
      </c>
      <c r="F1556" t="inlineStr">
        <is>
          <t>Customer payment INV/2026/04137</t>
        </is>
      </c>
      <c r="G1556" s="9" t="n">
        <v>65</v>
      </c>
      <c r="H1556" t="inlineStr">
        <is>
          <t>customer_payment</t>
        </is>
      </c>
      <c r="I1556" t="inlineStr"/>
      <c r="J1556" t="inlineStr">
        <is>
          <t>G00032</t>
        </is>
      </c>
      <c r="K1556" t="str">
        <f>INDEX('Match Groups'!$D$5:$D$1326,MATCH(J1556,'Match Groups'!$A$5:$A$1326,0))</f>
        <v>STRIPE-FEE</v>
      </c>
    </row>
    <row r="1557">
      <c r="A1557" t="inlineStr">
        <is>
          <t>JI-02292</t>
        </is>
      </c>
      <c r="B1557" t="inlineStr">
        <is>
          <t>OPS</t>
        </is>
      </c>
      <c r="C1557" s="5" t="n">
        <v>46226</v>
      </c>
      <c r="D1557" t="inlineStr">
        <is>
          <t>Stripe patient 83479</t>
        </is>
      </c>
      <c r="E1557" t="inlineStr">
        <is>
          <t>INV/2026/04138</t>
        </is>
      </c>
      <c r="F1557" t="inlineStr">
        <is>
          <t>Customer payment INV/2026/04138</t>
        </is>
      </c>
      <c r="G1557" s="9" t="n">
        <v>135</v>
      </c>
      <c r="H1557" t="inlineStr">
        <is>
          <t>customer_payment</t>
        </is>
      </c>
      <c r="I1557" t="inlineStr"/>
      <c r="J1557" t="inlineStr">
        <is>
          <t>G00032</t>
        </is>
      </c>
      <c r="K1557" t="str">
        <f>INDEX('Match Groups'!$D$5:$D$1326,MATCH(J1557,'Match Groups'!$A$5:$A$1326,0))</f>
        <v>STRIPE-FEE</v>
      </c>
    </row>
    <row r="1558">
      <c r="A1558" t="inlineStr">
        <is>
          <t>JI-02293</t>
        </is>
      </c>
      <c r="B1558" t="inlineStr">
        <is>
          <t>OPS</t>
        </is>
      </c>
      <c r="C1558" s="5" t="n">
        <v>46226</v>
      </c>
      <c r="D1558" t="inlineStr">
        <is>
          <t>Stripe patient 47597</t>
        </is>
      </c>
      <c r="E1558" t="inlineStr">
        <is>
          <t>INV/2026/04139</t>
        </is>
      </c>
      <c r="F1558" t="inlineStr">
        <is>
          <t>Customer payment INV/2026/04139</t>
        </is>
      </c>
      <c r="G1558" s="9" t="n">
        <v>180</v>
      </c>
      <c r="H1558" t="inlineStr">
        <is>
          <t>customer_payment</t>
        </is>
      </c>
      <c r="I1558" t="inlineStr"/>
      <c r="J1558" t="inlineStr">
        <is>
          <t>G00032</t>
        </is>
      </c>
      <c r="K1558" t="str">
        <f>INDEX('Match Groups'!$D$5:$D$1326,MATCH(J1558,'Match Groups'!$A$5:$A$1326,0))</f>
        <v>STRIPE-FEE</v>
      </c>
    </row>
    <row r="1559">
      <c r="A1559" t="inlineStr">
        <is>
          <t>JI-02294</t>
        </is>
      </c>
      <c r="B1559" t="inlineStr">
        <is>
          <t>OPS</t>
        </is>
      </c>
      <c r="C1559" s="5" t="n">
        <v>46226</v>
      </c>
      <c r="D1559" t="inlineStr">
        <is>
          <t>Stripe patient 68917</t>
        </is>
      </c>
      <c r="E1559" t="inlineStr">
        <is>
          <t>INV/2026/04140</t>
        </is>
      </c>
      <c r="F1559" t="inlineStr">
        <is>
          <t>Customer payment INV/2026/04140</t>
        </is>
      </c>
      <c r="G1559" s="9" t="n">
        <v>150</v>
      </c>
      <c r="H1559" t="inlineStr">
        <is>
          <t>customer_payment</t>
        </is>
      </c>
      <c r="I1559" t="inlineStr"/>
      <c r="J1559" t="inlineStr">
        <is>
          <t>G00032</t>
        </is>
      </c>
      <c r="K1559" t="str">
        <f>INDEX('Match Groups'!$D$5:$D$1326,MATCH(J1559,'Match Groups'!$A$5:$A$1326,0))</f>
        <v>STRIPE-FEE</v>
      </c>
    </row>
    <row r="1560">
      <c r="A1560" t="inlineStr">
        <is>
          <t>JI-02295</t>
        </is>
      </c>
      <c r="B1560" t="inlineStr">
        <is>
          <t>OPS</t>
        </is>
      </c>
      <c r="C1560" s="5" t="n">
        <v>46226</v>
      </c>
      <c r="D1560" t="inlineStr">
        <is>
          <t>Stripe patient 50286</t>
        </is>
      </c>
      <c r="E1560" t="inlineStr">
        <is>
          <t>INV/2026/04141</t>
        </is>
      </c>
      <c r="F1560" t="inlineStr">
        <is>
          <t>Customer payment INV/2026/04141</t>
        </is>
      </c>
      <c r="G1560" s="9" t="n">
        <v>95</v>
      </c>
      <c r="H1560" t="inlineStr">
        <is>
          <t>customer_payment</t>
        </is>
      </c>
      <c r="I1560" t="inlineStr"/>
      <c r="J1560" t="inlineStr">
        <is>
          <t>G00032</t>
        </is>
      </c>
      <c r="K1560" t="str">
        <f>INDEX('Match Groups'!$D$5:$D$1326,MATCH(J1560,'Match Groups'!$A$5:$A$1326,0))</f>
        <v>STRIPE-FEE</v>
      </c>
    </row>
    <row r="1561">
      <c r="A1561" t="inlineStr">
        <is>
          <t>JI-02296</t>
        </is>
      </c>
      <c r="B1561" t="inlineStr">
        <is>
          <t>OPS</t>
        </is>
      </c>
      <c r="C1561" s="5" t="n">
        <v>46226</v>
      </c>
      <c r="D1561" t="inlineStr">
        <is>
          <t>Stripe patient 67686</t>
        </is>
      </c>
      <c r="E1561" t="inlineStr">
        <is>
          <t>INV/2026/04142</t>
        </is>
      </c>
      <c r="F1561" t="inlineStr">
        <is>
          <t>Customer payment INV/2026/04142</t>
        </is>
      </c>
      <c r="G1561" s="9" t="n">
        <v>135</v>
      </c>
      <c r="H1561" t="inlineStr">
        <is>
          <t>customer_payment</t>
        </is>
      </c>
      <c r="I1561" t="inlineStr"/>
      <c r="J1561" t="inlineStr">
        <is>
          <t>G00032</t>
        </is>
      </c>
      <c r="K1561" t="str">
        <f>INDEX('Match Groups'!$D$5:$D$1326,MATCH(J1561,'Match Groups'!$A$5:$A$1326,0))</f>
        <v>STRIPE-FEE</v>
      </c>
    </row>
    <row r="1562">
      <c r="A1562" t="inlineStr">
        <is>
          <t>JI-02297</t>
        </is>
      </c>
      <c r="B1562" t="inlineStr">
        <is>
          <t>OPS</t>
        </is>
      </c>
      <c r="C1562" s="5" t="n">
        <v>46226</v>
      </c>
      <c r="D1562" t="inlineStr">
        <is>
          <t>Stripe patient 83838</t>
        </is>
      </c>
      <c r="E1562" t="inlineStr">
        <is>
          <t>INV/2026/04143</t>
        </is>
      </c>
      <c r="F1562" t="inlineStr">
        <is>
          <t>Customer payment INV/2026/04143</t>
        </is>
      </c>
      <c r="G1562" s="9" t="n">
        <v>120</v>
      </c>
      <c r="H1562" t="inlineStr">
        <is>
          <t>customer_payment</t>
        </is>
      </c>
      <c r="I1562" t="inlineStr"/>
      <c r="J1562" t="inlineStr">
        <is>
          <t>G00032</t>
        </is>
      </c>
      <c r="K1562" t="str">
        <f>INDEX('Match Groups'!$D$5:$D$1326,MATCH(J1562,'Match Groups'!$A$5:$A$1326,0))</f>
        <v>STRIPE-FEE</v>
      </c>
    </row>
    <row r="1563">
      <c r="A1563" t="inlineStr">
        <is>
          <t>JI-02298</t>
        </is>
      </c>
      <c r="B1563" t="inlineStr">
        <is>
          <t>OPS</t>
        </is>
      </c>
      <c r="C1563" s="5" t="n">
        <v>46226</v>
      </c>
      <c r="D1563" t="inlineStr">
        <is>
          <t>Stripe patient 94777</t>
        </is>
      </c>
      <c r="E1563" t="inlineStr">
        <is>
          <t>INV/2026/04144</t>
        </is>
      </c>
      <c r="F1563" t="inlineStr">
        <is>
          <t>Customer payment INV/2026/04144</t>
        </is>
      </c>
      <c r="G1563" s="9" t="n">
        <v>95</v>
      </c>
      <c r="H1563" t="inlineStr">
        <is>
          <t>customer_payment</t>
        </is>
      </c>
      <c r="I1563" t="inlineStr"/>
      <c r="J1563" t="inlineStr">
        <is>
          <t>G00032</t>
        </is>
      </c>
      <c r="K1563" t="str">
        <f>INDEX('Match Groups'!$D$5:$D$1326,MATCH(J1563,'Match Groups'!$A$5:$A$1326,0))</f>
        <v>STRIPE-FEE</v>
      </c>
    </row>
    <row r="1564">
      <c r="A1564" t="inlineStr">
        <is>
          <t>JI-02299</t>
        </is>
      </c>
      <c r="B1564" t="inlineStr">
        <is>
          <t>OPS</t>
        </is>
      </c>
      <c r="C1564" s="5" t="n">
        <v>46226</v>
      </c>
      <c r="D1564" t="inlineStr">
        <is>
          <t>Stripe patient 44441</t>
        </is>
      </c>
      <c r="E1564" t="inlineStr">
        <is>
          <t>INV/2026/04145</t>
        </is>
      </c>
      <c r="F1564" t="inlineStr">
        <is>
          <t>Customer payment INV/2026/04145</t>
        </is>
      </c>
      <c r="G1564" s="9" t="n">
        <v>120</v>
      </c>
      <c r="H1564" t="inlineStr">
        <is>
          <t>customer_payment</t>
        </is>
      </c>
      <c r="I1564" t="inlineStr"/>
      <c r="J1564" t="inlineStr">
        <is>
          <t>G00032</t>
        </is>
      </c>
      <c r="K1564" t="str">
        <f>INDEX('Match Groups'!$D$5:$D$1326,MATCH(J1564,'Match Groups'!$A$5:$A$1326,0))</f>
        <v>STRIPE-FEE</v>
      </c>
    </row>
    <row r="1565">
      <c r="A1565" t="inlineStr">
        <is>
          <t>JI-02300</t>
        </is>
      </c>
      <c r="B1565" t="inlineStr">
        <is>
          <t>OPS</t>
        </is>
      </c>
      <c r="C1565" s="5" t="n">
        <v>46226</v>
      </c>
      <c r="D1565" t="inlineStr">
        <is>
          <t>Stripe patient 82083</t>
        </is>
      </c>
      <c r="E1565" t="inlineStr">
        <is>
          <t>INV/2026/04146</t>
        </is>
      </c>
      <c r="F1565" t="inlineStr">
        <is>
          <t>Customer payment INV/2026/04146</t>
        </is>
      </c>
      <c r="G1565" s="9" t="n">
        <v>95</v>
      </c>
      <c r="H1565" t="inlineStr">
        <is>
          <t>customer_payment</t>
        </is>
      </c>
      <c r="I1565" t="inlineStr"/>
      <c r="J1565" t="inlineStr">
        <is>
          <t>G00032</t>
        </is>
      </c>
      <c r="K1565" t="str">
        <f>INDEX('Match Groups'!$D$5:$D$1326,MATCH(J1565,'Match Groups'!$A$5:$A$1326,0))</f>
        <v>STRIPE-FEE</v>
      </c>
    </row>
    <row r="1566">
      <c r="A1566" t="inlineStr">
        <is>
          <t>JI-02301</t>
        </is>
      </c>
      <c r="B1566" t="inlineStr">
        <is>
          <t>OPS</t>
        </is>
      </c>
      <c r="C1566" s="5" t="n">
        <v>46226</v>
      </c>
      <c r="D1566" t="inlineStr">
        <is>
          <t>Stripe patient 84168</t>
        </is>
      </c>
      <c r="E1566" t="inlineStr">
        <is>
          <t>INV/2026/04147</t>
        </is>
      </c>
      <c r="F1566" t="inlineStr">
        <is>
          <t>Customer payment INV/2026/04147</t>
        </is>
      </c>
      <c r="G1566" s="9" t="n">
        <v>220</v>
      </c>
      <c r="H1566" t="inlineStr">
        <is>
          <t>customer_payment</t>
        </is>
      </c>
      <c r="I1566" t="inlineStr"/>
      <c r="J1566" t="inlineStr">
        <is>
          <t>G00032</t>
        </is>
      </c>
      <c r="K1566" t="str">
        <f>INDEX('Match Groups'!$D$5:$D$1326,MATCH(J1566,'Match Groups'!$A$5:$A$1326,0))</f>
        <v>STRIPE-FEE</v>
      </c>
    </row>
    <row r="1567">
      <c r="A1567" t="inlineStr">
        <is>
          <t>JI-02302</t>
        </is>
      </c>
      <c r="B1567" t="inlineStr">
        <is>
          <t>OPS</t>
        </is>
      </c>
      <c r="C1567" s="5" t="n">
        <v>46226</v>
      </c>
      <c r="D1567" t="inlineStr">
        <is>
          <t>Stripe patient 17949</t>
        </is>
      </c>
      <c r="E1567" t="inlineStr">
        <is>
          <t>INV/2026/04148</t>
        </is>
      </c>
      <c r="F1567" t="inlineStr">
        <is>
          <t>Customer payment INV/2026/04148</t>
        </is>
      </c>
      <c r="G1567" s="9" t="n">
        <v>180</v>
      </c>
      <c r="H1567" t="inlineStr">
        <is>
          <t>customer_payment</t>
        </is>
      </c>
      <c r="I1567" t="inlineStr"/>
      <c r="J1567" t="inlineStr">
        <is>
          <t>G00032</t>
        </is>
      </c>
      <c r="K1567" t="str">
        <f>INDEX('Match Groups'!$D$5:$D$1326,MATCH(J1567,'Match Groups'!$A$5:$A$1326,0))</f>
        <v>STRIPE-FEE</v>
      </c>
    </row>
    <row r="1568">
      <c r="A1568" t="inlineStr">
        <is>
          <t>JI-02303</t>
        </is>
      </c>
      <c r="B1568" t="inlineStr">
        <is>
          <t>OPS</t>
        </is>
      </c>
      <c r="C1568" s="5" t="n">
        <v>46226</v>
      </c>
      <c r="D1568" t="inlineStr">
        <is>
          <t>Stripe patient 66882</t>
        </is>
      </c>
      <c r="E1568" t="inlineStr">
        <is>
          <t>INV/2026/04149</t>
        </is>
      </c>
      <c r="F1568" t="inlineStr">
        <is>
          <t>Customer payment INV/2026/04149</t>
        </is>
      </c>
      <c r="G1568" s="9" t="n">
        <v>220</v>
      </c>
      <c r="H1568" t="inlineStr">
        <is>
          <t>customer_payment</t>
        </is>
      </c>
      <c r="I1568" t="inlineStr"/>
      <c r="J1568" t="inlineStr">
        <is>
          <t>G00032</t>
        </is>
      </c>
      <c r="K1568" t="str">
        <f>INDEX('Match Groups'!$D$5:$D$1326,MATCH(J1568,'Match Groups'!$A$5:$A$1326,0))</f>
        <v>STRIPE-FEE</v>
      </c>
    </row>
    <row r="1569">
      <c r="A1569" t="inlineStr">
        <is>
          <t>JI-02304</t>
        </is>
      </c>
      <c r="B1569" t="inlineStr">
        <is>
          <t>OPS</t>
        </is>
      </c>
      <c r="C1569" s="5" t="n">
        <v>46226</v>
      </c>
      <c r="D1569" t="inlineStr">
        <is>
          <t>Stripe patient 74888</t>
        </is>
      </c>
      <c r="E1569" t="inlineStr">
        <is>
          <t>INV/2026/04150</t>
        </is>
      </c>
      <c r="F1569" t="inlineStr">
        <is>
          <t>Customer payment INV/2026/04150</t>
        </is>
      </c>
      <c r="G1569" s="9" t="n">
        <v>120</v>
      </c>
      <c r="H1569" t="inlineStr">
        <is>
          <t>customer_payment</t>
        </is>
      </c>
      <c r="I1569" t="inlineStr"/>
      <c r="J1569" t="inlineStr">
        <is>
          <t>G00032</t>
        </is>
      </c>
      <c r="K1569" t="str">
        <f>INDEX('Match Groups'!$D$5:$D$1326,MATCH(J1569,'Match Groups'!$A$5:$A$1326,0))</f>
        <v>STRIPE-FEE</v>
      </c>
    </row>
    <row r="1570">
      <c r="A1570" t="inlineStr">
        <is>
          <t>JI-02305</t>
        </is>
      </c>
      <c r="B1570" t="inlineStr">
        <is>
          <t>OPS</t>
        </is>
      </c>
      <c r="C1570" s="5" t="n">
        <v>46226</v>
      </c>
      <c r="D1570" t="inlineStr">
        <is>
          <t>Stripe patient 13356</t>
        </is>
      </c>
      <c r="E1570" t="inlineStr">
        <is>
          <t>INV/2026/04151</t>
        </is>
      </c>
      <c r="F1570" t="inlineStr">
        <is>
          <t>Customer payment INV/2026/04151</t>
        </is>
      </c>
      <c r="G1570" s="9" t="n">
        <v>120</v>
      </c>
      <c r="H1570" t="inlineStr">
        <is>
          <t>customer_payment</t>
        </is>
      </c>
      <c r="I1570" t="inlineStr"/>
      <c r="J1570" t="inlineStr">
        <is>
          <t>G00032</t>
        </is>
      </c>
      <c r="K1570" t="str">
        <f>INDEX('Match Groups'!$D$5:$D$1326,MATCH(J1570,'Match Groups'!$A$5:$A$1326,0))</f>
        <v>STRIPE-FEE</v>
      </c>
    </row>
    <row r="1571">
      <c r="A1571" t="inlineStr">
        <is>
          <t>JI-00552</t>
        </is>
      </c>
      <c r="B1571" t="inlineStr">
        <is>
          <t>OPS</t>
        </is>
      </c>
      <c r="C1571" s="5" t="n">
        <v>46227</v>
      </c>
      <c r="D1571" t="inlineStr">
        <is>
          <t>Bluegum Plan Management</t>
        </is>
      </c>
      <c r="E1571" t="inlineStr">
        <is>
          <t>INV/2026/01796</t>
        </is>
      </c>
      <c r="F1571" t="inlineStr">
        <is>
          <t>Customer payment INV/2026/01796</t>
        </is>
      </c>
      <c r="G1571" s="9" t="n">
        <v>290.98</v>
      </c>
      <c r="H1571" t="inlineStr">
        <is>
          <t>customer_payment</t>
        </is>
      </c>
      <c r="I1571" t="inlineStr"/>
      <c r="J1571" t="inlineStr">
        <is>
          <t>G00196</t>
        </is>
      </c>
      <c r="K1571" t="str">
        <f>INDEX('Match Groups'!$D$5:$D$1326,MATCH(J1571,'Match Groups'!$A$5:$A$1326,0))</f>
        <v>MATCH</v>
      </c>
    </row>
    <row r="1572">
      <c r="A1572" t="inlineStr">
        <is>
          <t>JI-00553</t>
        </is>
      </c>
      <c r="B1572" t="inlineStr">
        <is>
          <t>OPS</t>
        </is>
      </c>
      <c r="C1572" s="5" t="n">
        <v>46227</v>
      </c>
      <c r="D1572" t="inlineStr">
        <is>
          <t>Bluegum Plan Management</t>
        </is>
      </c>
      <c r="E1572" t="inlineStr">
        <is>
          <t>INV/2026/01826</t>
        </is>
      </c>
      <c r="F1572" t="inlineStr">
        <is>
          <t>Customer payment INV/2026/01826</t>
        </is>
      </c>
      <c r="G1572" s="9" t="n">
        <v>96.98999999999999</v>
      </c>
      <c r="H1572" t="inlineStr">
        <is>
          <t>customer_payment</t>
        </is>
      </c>
      <c r="I1572" t="inlineStr"/>
      <c r="J1572" t="inlineStr">
        <is>
          <t>G00196</t>
        </is>
      </c>
      <c r="K1572" t="str">
        <f>INDEX('Match Groups'!$D$5:$D$1326,MATCH(J1572,'Match Groups'!$A$5:$A$1326,0))</f>
        <v>MATCH</v>
      </c>
    </row>
    <row r="1573">
      <c r="A1573" t="inlineStr">
        <is>
          <t>JI-00554</t>
        </is>
      </c>
      <c r="B1573" t="inlineStr">
        <is>
          <t>OPS</t>
        </is>
      </c>
      <c r="C1573" s="5" t="n">
        <v>46227</v>
      </c>
      <c r="D1573" t="inlineStr">
        <is>
          <t>Bluegum Plan Management</t>
        </is>
      </c>
      <c r="E1573" t="inlineStr">
        <is>
          <t>INV/2026/01843</t>
        </is>
      </c>
      <c r="F1573" t="inlineStr">
        <is>
          <t>Customer payment INV/2026/01843</t>
        </is>
      </c>
      <c r="G1573" s="9" t="n">
        <v>242.49</v>
      </c>
      <c r="H1573" t="inlineStr">
        <is>
          <t>customer_payment</t>
        </is>
      </c>
      <c r="I1573" t="inlineStr"/>
      <c r="J1573" t="inlineStr">
        <is>
          <t>G00196</t>
        </is>
      </c>
      <c r="K1573" t="str">
        <f>INDEX('Match Groups'!$D$5:$D$1326,MATCH(J1573,'Match Groups'!$A$5:$A$1326,0))</f>
        <v>MATCH</v>
      </c>
    </row>
    <row r="1574">
      <c r="A1574" t="inlineStr">
        <is>
          <t>JI-00555</t>
        </is>
      </c>
      <c r="B1574" t="inlineStr">
        <is>
          <t>OPS</t>
        </is>
      </c>
      <c r="C1574" s="5" t="n">
        <v>46227</v>
      </c>
      <c r="D1574" t="inlineStr">
        <is>
          <t>Bluegum Plan Management</t>
        </is>
      </c>
      <c r="E1574" t="inlineStr">
        <is>
          <t>INV/2026/01844</t>
        </is>
      </c>
      <c r="F1574" t="inlineStr">
        <is>
          <t>Customer payment INV/2026/01844</t>
        </is>
      </c>
      <c r="G1574" s="9" t="n">
        <v>96.98999999999999</v>
      </c>
      <c r="H1574" t="inlineStr">
        <is>
          <t>customer_payment</t>
        </is>
      </c>
      <c r="I1574" t="inlineStr"/>
      <c r="J1574" t="inlineStr">
        <is>
          <t>G00196</t>
        </is>
      </c>
      <c r="K1574" t="str">
        <f>INDEX('Match Groups'!$D$5:$D$1326,MATCH(J1574,'Match Groups'!$A$5:$A$1326,0))</f>
        <v>MATCH</v>
      </c>
    </row>
    <row r="1575">
      <c r="A1575" t="inlineStr">
        <is>
          <t>JI-00556</t>
        </is>
      </c>
      <c r="B1575" t="inlineStr">
        <is>
          <t>OPS</t>
        </is>
      </c>
      <c r="C1575" s="5" t="n">
        <v>46227</v>
      </c>
      <c r="D1575" t="inlineStr">
        <is>
          <t>Bluegum Plan Management</t>
        </is>
      </c>
      <c r="E1575" t="inlineStr">
        <is>
          <t>INV/2026/01872</t>
        </is>
      </c>
      <c r="F1575" t="inlineStr">
        <is>
          <t>Customer payment INV/2026/01872</t>
        </is>
      </c>
      <c r="G1575" s="9" t="n">
        <v>96.98999999999999</v>
      </c>
      <c r="H1575" t="inlineStr">
        <is>
          <t>customer_payment</t>
        </is>
      </c>
      <c r="I1575" t="inlineStr"/>
      <c r="J1575" t="inlineStr">
        <is>
          <t>G00196</t>
        </is>
      </c>
      <c r="K1575" t="str">
        <f>INDEX('Match Groups'!$D$5:$D$1326,MATCH(J1575,'Match Groups'!$A$5:$A$1326,0))</f>
        <v>MATCH</v>
      </c>
    </row>
    <row r="1576">
      <c r="A1576" t="inlineStr">
        <is>
          <t>JI-00557</t>
        </is>
      </c>
      <c r="B1576" t="inlineStr">
        <is>
          <t>OPS</t>
        </is>
      </c>
      <c r="C1576" s="5" t="n">
        <v>46227</v>
      </c>
      <c r="D1576" t="inlineStr">
        <is>
          <t>Bluegum Plan Management</t>
        </is>
      </c>
      <c r="E1576" t="inlineStr">
        <is>
          <t>INV/2026/01914</t>
        </is>
      </c>
      <c r="F1576" t="inlineStr">
        <is>
          <t>Customer payment INV/2026/01914</t>
        </is>
      </c>
      <c r="G1576" s="9" t="n">
        <v>223.99</v>
      </c>
      <c r="H1576" t="inlineStr">
        <is>
          <t>customer_payment</t>
        </is>
      </c>
      <c r="I1576" t="inlineStr"/>
      <c r="J1576" t="inlineStr">
        <is>
          <t>G00196</t>
        </is>
      </c>
      <c r="K1576" t="str">
        <f>INDEX('Match Groups'!$D$5:$D$1326,MATCH(J1576,'Match Groups'!$A$5:$A$1326,0))</f>
        <v>MATCH</v>
      </c>
    </row>
    <row r="1577">
      <c r="A1577" t="inlineStr">
        <is>
          <t>JI-00558</t>
        </is>
      </c>
      <c r="B1577" t="inlineStr">
        <is>
          <t>OPS</t>
        </is>
      </c>
      <c r="C1577" s="5" t="n">
        <v>46227</v>
      </c>
      <c r="D1577" t="inlineStr">
        <is>
          <t>Wattle Plan Services</t>
        </is>
      </c>
      <c r="E1577" t="inlineStr">
        <is>
          <t>INV/2026/01849</t>
        </is>
      </c>
      <c r="F1577" t="inlineStr">
        <is>
          <t>Customer payment INV/2026/01849</t>
        </is>
      </c>
      <c r="G1577" s="9" t="n">
        <v>446.18</v>
      </c>
      <c r="H1577" t="inlineStr">
        <is>
          <t>customer_payment</t>
        </is>
      </c>
      <c r="I1577" t="inlineStr"/>
      <c r="J1577" t="inlineStr">
        <is>
          <t>G00197</t>
        </is>
      </c>
      <c r="K1577" t="str">
        <f>INDEX('Match Groups'!$D$5:$D$1326,MATCH(J1577,'Match Groups'!$A$5:$A$1326,0))</f>
        <v>MATCH</v>
      </c>
    </row>
    <row r="1578">
      <c r="A1578" t="inlineStr">
        <is>
          <t>JI-00559</t>
        </is>
      </c>
      <c r="B1578" t="inlineStr">
        <is>
          <t>OPS</t>
        </is>
      </c>
      <c r="C1578" s="5" t="n">
        <v>46227</v>
      </c>
      <c r="D1578" t="inlineStr">
        <is>
          <t>Wattle Plan Services</t>
        </is>
      </c>
      <c r="E1578" t="inlineStr">
        <is>
          <t>INV/2026/01879</t>
        </is>
      </c>
      <c r="F1578" t="inlineStr">
        <is>
          <t>Customer payment INV/2026/01879</t>
        </is>
      </c>
      <c r="G1578" s="9" t="n">
        <v>145.49</v>
      </c>
      <c r="H1578" t="inlineStr">
        <is>
          <t>customer_payment</t>
        </is>
      </c>
      <c r="I1578" t="inlineStr"/>
      <c r="J1578" t="inlineStr">
        <is>
          <t>G00197</t>
        </is>
      </c>
      <c r="K1578" t="str">
        <f>INDEX('Match Groups'!$D$5:$D$1326,MATCH(J1578,'Match Groups'!$A$5:$A$1326,0))</f>
        <v>MATCH</v>
      </c>
    </row>
    <row r="1579">
      <c r="A1579" t="inlineStr">
        <is>
          <t>JI-00560</t>
        </is>
      </c>
      <c r="B1579" t="inlineStr">
        <is>
          <t>OPS</t>
        </is>
      </c>
      <c r="C1579" s="5" t="n">
        <v>46227</v>
      </c>
      <c r="D1579" t="inlineStr">
        <is>
          <t>Wattle Plan Services</t>
        </is>
      </c>
      <c r="E1579" t="inlineStr">
        <is>
          <t>INV/2026/01880</t>
        </is>
      </c>
      <c r="F1579" t="inlineStr">
        <is>
          <t>Customer payment INV/2026/01880</t>
        </is>
      </c>
      <c r="G1579" s="9" t="n">
        <v>242.49</v>
      </c>
      <c r="H1579" t="inlineStr">
        <is>
          <t>customer_payment</t>
        </is>
      </c>
      <c r="I1579" t="inlineStr"/>
      <c r="J1579" t="inlineStr">
        <is>
          <t>G00197</t>
        </is>
      </c>
      <c r="K1579" t="str">
        <f>INDEX('Match Groups'!$D$5:$D$1326,MATCH(J1579,'Match Groups'!$A$5:$A$1326,0))</f>
        <v>MATCH</v>
      </c>
    </row>
    <row r="1580">
      <c r="A1580" t="inlineStr">
        <is>
          <t>JI-00561</t>
        </is>
      </c>
      <c r="B1580" t="inlineStr">
        <is>
          <t>OPS</t>
        </is>
      </c>
      <c r="C1580" s="5" t="n">
        <v>46227</v>
      </c>
      <c r="D1580" t="inlineStr">
        <is>
          <t>Wattle Plan Services</t>
        </is>
      </c>
      <c r="E1580" t="inlineStr">
        <is>
          <t>INV/2026/01896</t>
        </is>
      </c>
      <c r="F1580" t="inlineStr">
        <is>
          <t>Customer payment INV/2026/01896</t>
        </is>
      </c>
      <c r="G1580" s="9" t="n">
        <v>320.98</v>
      </c>
      <c r="H1580" t="inlineStr">
        <is>
          <t>customer_payment</t>
        </is>
      </c>
      <c r="I1580" t="inlineStr"/>
      <c r="J1580" t="inlineStr">
        <is>
          <t>G00197</t>
        </is>
      </c>
      <c r="K1580" t="str">
        <f>INDEX('Match Groups'!$D$5:$D$1326,MATCH(J1580,'Match Groups'!$A$5:$A$1326,0))</f>
        <v>MATCH</v>
      </c>
    </row>
    <row r="1581">
      <c r="A1581" t="inlineStr">
        <is>
          <t>JI-00562</t>
        </is>
      </c>
      <c r="B1581" t="inlineStr">
        <is>
          <t>OPS</t>
        </is>
      </c>
      <c r="C1581" s="5" t="n">
        <v>46227</v>
      </c>
      <c r="D1581" t="inlineStr">
        <is>
          <t>Wattle Plan Services</t>
        </is>
      </c>
      <c r="E1581" t="inlineStr">
        <is>
          <t>INV/2026/01897</t>
        </is>
      </c>
      <c r="F1581" t="inlineStr">
        <is>
          <t>Customer payment INV/2026/01897</t>
        </is>
      </c>
      <c r="G1581" s="9" t="n">
        <v>387.98</v>
      </c>
      <c r="H1581" t="inlineStr">
        <is>
          <t>customer_payment</t>
        </is>
      </c>
      <c r="I1581" t="inlineStr"/>
      <c r="J1581" t="inlineStr">
        <is>
          <t>G00197</t>
        </is>
      </c>
      <c r="K1581" t="str">
        <f>INDEX('Match Groups'!$D$5:$D$1326,MATCH(J1581,'Match Groups'!$A$5:$A$1326,0))</f>
        <v>MATCH</v>
      </c>
    </row>
    <row r="1582">
      <c r="A1582" t="inlineStr">
        <is>
          <t>JI-00563</t>
        </is>
      </c>
      <c r="B1582" t="inlineStr">
        <is>
          <t>OPS</t>
        </is>
      </c>
      <c r="C1582" s="5" t="n">
        <v>46227</v>
      </c>
      <c r="D1582" t="inlineStr">
        <is>
          <t>Wattle Plan Services</t>
        </is>
      </c>
      <c r="E1582" t="inlineStr">
        <is>
          <t>INV/2026/01919</t>
        </is>
      </c>
      <c r="F1582" t="inlineStr">
        <is>
          <t>Customer payment INV/2026/01919</t>
        </is>
      </c>
      <c r="G1582" s="9" t="n">
        <v>290.98</v>
      </c>
      <c r="H1582" t="inlineStr">
        <is>
          <t>customer_payment</t>
        </is>
      </c>
      <c r="I1582" t="inlineStr"/>
      <c r="J1582" t="inlineStr">
        <is>
          <t>G00197</t>
        </is>
      </c>
      <c r="K1582" t="str">
        <f>INDEX('Match Groups'!$D$5:$D$1326,MATCH(J1582,'Match Groups'!$A$5:$A$1326,0))</f>
        <v>MATCH</v>
      </c>
    </row>
    <row r="1583">
      <c r="A1583" t="inlineStr">
        <is>
          <t>JI-00564</t>
        </is>
      </c>
      <c r="B1583" t="inlineStr">
        <is>
          <t>OPS</t>
        </is>
      </c>
      <c r="C1583" s="5" t="n">
        <v>46227</v>
      </c>
      <c r="D1583" t="inlineStr">
        <is>
          <t>Wattle Plan Services</t>
        </is>
      </c>
      <c r="E1583" t="inlineStr">
        <is>
          <t>INV/2026/01920</t>
        </is>
      </c>
      <c r="F1583" t="inlineStr">
        <is>
          <t>Customer payment INV/2026/01920</t>
        </is>
      </c>
      <c r="G1583" s="9" t="n">
        <v>223.99</v>
      </c>
      <c r="H1583" t="inlineStr">
        <is>
          <t>customer_payment</t>
        </is>
      </c>
      <c r="I1583" t="inlineStr"/>
      <c r="J1583" t="inlineStr">
        <is>
          <t>G00197</t>
        </is>
      </c>
      <c r="K1583" t="str">
        <f>INDEX('Match Groups'!$D$5:$D$1326,MATCH(J1583,'Match Groups'!$A$5:$A$1326,0))</f>
        <v>MATCH</v>
      </c>
    </row>
    <row r="1584">
      <c r="A1584" t="inlineStr">
        <is>
          <t>JI-00565</t>
        </is>
      </c>
      <c r="B1584" t="inlineStr">
        <is>
          <t>OPS</t>
        </is>
      </c>
      <c r="C1584" s="5" t="n">
        <v>46227</v>
      </c>
      <c r="D1584" t="inlineStr">
        <is>
          <t>Wattle Plan Services</t>
        </is>
      </c>
      <c r="E1584" t="inlineStr">
        <is>
          <t>INV/2026/01948</t>
        </is>
      </c>
      <c r="F1584" t="inlineStr">
        <is>
          <t>Customer payment INV/2026/01948</t>
        </is>
      </c>
      <c r="G1584" s="9" t="n">
        <v>387.98</v>
      </c>
      <c r="H1584" t="inlineStr">
        <is>
          <t>customer_payment</t>
        </is>
      </c>
      <c r="I1584" t="inlineStr"/>
      <c r="J1584" t="inlineStr">
        <is>
          <t>G00197</t>
        </is>
      </c>
      <c r="K1584" t="str">
        <f>INDEX('Match Groups'!$D$5:$D$1326,MATCH(J1584,'Match Groups'!$A$5:$A$1326,0))</f>
        <v>MATCH</v>
      </c>
    </row>
    <row r="1585">
      <c r="A1585" t="inlineStr">
        <is>
          <t>JI-00566</t>
        </is>
      </c>
      <c r="B1585" t="inlineStr">
        <is>
          <t>OPS</t>
        </is>
      </c>
      <c r="C1585" s="5" t="n">
        <v>46227</v>
      </c>
      <c r="D1585" t="inlineStr">
        <is>
          <t>Wattle Plan Services</t>
        </is>
      </c>
      <c r="E1585" t="inlineStr">
        <is>
          <t>INV/2026/01976</t>
        </is>
      </c>
      <c r="F1585" t="inlineStr">
        <is>
          <t>Customer payment INV/2026/01976</t>
        </is>
      </c>
      <c r="G1585" s="9" t="n">
        <v>387.98</v>
      </c>
      <c r="H1585" t="inlineStr">
        <is>
          <t>customer_payment</t>
        </is>
      </c>
      <c r="I1585" t="inlineStr"/>
      <c r="J1585" t="inlineStr">
        <is>
          <t>G00197</t>
        </is>
      </c>
      <c r="K1585" t="str">
        <f>INDEX('Match Groups'!$D$5:$D$1326,MATCH(J1585,'Match Groups'!$A$5:$A$1326,0))</f>
        <v>MATCH</v>
      </c>
    </row>
    <row r="1586">
      <c r="A1586" t="inlineStr">
        <is>
          <t>JI-00567</t>
        </is>
      </c>
      <c r="B1586" t="inlineStr">
        <is>
          <t>OPS</t>
        </is>
      </c>
      <c r="C1586" s="5" t="n">
        <v>46227</v>
      </c>
      <c r="D1586" t="inlineStr">
        <is>
          <t>Wattle Plan Services</t>
        </is>
      </c>
      <c r="E1586" t="inlineStr">
        <is>
          <t>INV/2026/01977</t>
        </is>
      </c>
      <c r="F1586" t="inlineStr">
        <is>
          <t>Customer payment INV/2026/01977</t>
        </is>
      </c>
      <c r="G1586" s="9" t="n">
        <v>145.49</v>
      </c>
      <c r="H1586" t="inlineStr">
        <is>
          <t>customer_payment</t>
        </is>
      </c>
      <c r="I1586" t="inlineStr"/>
      <c r="J1586" t="inlineStr">
        <is>
          <t>G00197</t>
        </is>
      </c>
      <c r="K1586" t="str">
        <f>INDEX('Match Groups'!$D$5:$D$1326,MATCH(J1586,'Match Groups'!$A$5:$A$1326,0))</f>
        <v>MATCH</v>
      </c>
    </row>
    <row r="1587">
      <c r="A1587" t="inlineStr">
        <is>
          <t>JI-00568</t>
        </is>
      </c>
      <c r="B1587" t="inlineStr">
        <is>
          <t>OPS</t>
        </is>
      </c>
      <c r="C1587" s="5" t="n">
        <v>46227</v>
      </c>
      <c r="D1587" t="inlineStr">
        <is>
          <t>Wattle Plan Services</t>
        </is>
      </c>
      <c r="E1587" t="inlineStr">
        <is>
          <t>INV/2026/01996</t>
        </is>
      </c>
      <c r="F1587" t="inlineStr">
        <is>
          <t>Customer payment INV/2026/01996</t>
        </is>
      </c>
      <c r="G1587" s="9" t="n">
        <v>290.98</v>
      </c>
      <c r="H1587" t="inlineStr">
        <is>
          <t>customer_payment</t>
        </is>
      </c>
      <c r="I1587" t="inlineStr"/>
      <c r="J1587" t="inlineStr">
        <is>
          <t>G00197</t>
        </is>
      </c>
      <c r="K1587" t="str">
        <f>INDEX('Match Groups'!$D$5:$D$1326,MATCH(J1587,'Match Groups'!$A$5:$A$1326,0))</f>
        <v>MATCH</v>
      </c>
    </row>
    <row r="1588">
      <c r="A1588" t="inlineStr">
        <is>
          <t>JI-00569</t>
        </is>
      </c>
      <c r="B1588" t="inlineStr">
        <is>
          <t>OPS</t>
        </is>
      </c>
      <c r="C1588" s="5" t="n">
        <v>46227</v>
      </c>
      <c r="D1588" t="inlineStr">
        <is>
          <t>Wattle Plan Services</t>
        </is>
      </c>
      <c r="E1588" t="inlineStr">
        <is>
          <t>INV/2026/01997</t>
        </is>
      </c>
      <c r="F1588" t="inlineStr">
        <is>
          <t>Customer payment INV/2026/01997</t>
        </is>
      </c>
      <c r="G1588" s="9" t="n">
        <v>223.99</v>
      </c>
      <c r="H1588" t="inlineStr">
        <is>
          <t>customer_payment</t>
        </is>
      </c>
      <c r="I1588" t="inlineStr"/>
      <c r="J1588" t="inlineStr">
        <is>
          <t>G00197</t>
        </is>
      </c>
      <c r="K1588" t="str">
        <f>INDEX('Match Groups'!$D$5:$D$1326,MATCH(J1588,'Match Groups'!$A$5:$A$1326,0))</f>
        <v>MATCH</v>
      </c>
    </row>
    <row r="1589">
      <c r="A1589" t="inlineStr">
        <is>
          <t>JI-00570</t>
        </is>
      </c>
      <c r="B1589" t="inlineStr">
        <is>
          <t>OPS</t>
        </is>
      </c>
      <c r="C1589" s="5" t="n">
        <v>46227</v>
      </c>
      <c r="D1589" t="inlineStr">
        <is>
          <t>Kookaburra Plan Support</t>
        </is>
      </c>
      <c r="E1589" t="inlineStr">
        <is>
          <t>INV/2026/02192</t>
        </is>
      </c>
      <c r="F1589" t="inlineStr">
        <is>
          <t>Customer payment INV/2026/02192</t>
        </is>
      </c>
      <c r="G1589" s="9" t="n">
        <v>193.99</v>
      </c>
      <c r="H1589" t="inlineStr">
        <is>
          <t>customer_payment</t>
        </is>
      </c>
      <c r="I1589" t="inlineStr"/>
      <c r="J1589" t="inlineStr">
        <is>
          <t>G00198</t>
        </is>
      </c>
      <c r="K1589" t="str">
        <f>INDEX('Match Groups'!$D$5:$D$1326,MATCH(J1589,'Match Groups'!$A$5:$A$1326,0))</f>
        <v>MATCH</v>
      </c>
    </row>
    <row r="1590">
      <c r="A1590" t="inlineStr">
        <is>
          <t>JI-00571</t>
        </is>
      </c>
      <c r="B1590" t="inlineStr">
        <is>
          <t>OPS</t>
        </is>
      </c>
      <c r="C1590" s="5" t="n">
        <v>46227</v>
      </c>
      <c r="D1590" t="inlineStr">
        <is>
          <t>Kookaburra Plan Support</t>
        </is>
      </c>
      <c r="E1590" t="inlineStr">
        <is>
          <t>INV/2026/02193</t>
        </is>
      </c>
      <c r="F1590" t="inlineStr">
        <is>
          <t>Customer payment INV/2026/02193</t>
        </is>
      </c>
      <c r="G1590" s="9" t="n">
        <v>417.98</v>
      </c>
      <c r="H1590" t="inlineStr">
        <is>
          <t>customer_payment</t>
        </is>
      </c>
      <c r="I1590" t="inlineStr"/>
      <c r="J1590" t="inlineStr">
        <is>
          <t>G00198</t>
        </is>
      </c>
      <c r="K1590" t="str">
        <f>INDEX('Match Groups'!$D$5:$D$1326,MATCH(J1590,'Match Groups'!$A$5:$A$1326,0))</f>
        <v>MATCH</v>
      </c>
    </row>
    <row r="1591">
      <c r="A1591" t="inlineStr">
        <is>
          <t>JI-00572</t>
        </is>
      </c>
      <c r="B1591" t="inlineStr">
        <is>
          <t>OPS</t>
        </is>
      </c>
      <c r="C1591" s="5" t="n">
        <v>46227</v>
      </c>
      <c r="D1591" t="inlineStr">
        <is>
          <t>Kookaburra Plan Support</t>
        </is>
      </c>
      <c r="E1591" t="inlineStr">
        <is>
          <t>INV/2026/02213</t>
        </is>
      </c>
      <c r="F1591" t="inlineStr">
        <is>
          <t>Customer payment INV/2026/02213</t>
        </is>
      </c>
      <c r="G1591" s="9" t="n">
        <v>175.49</v>
      </c>
      <c r="H1591" t="inlineStr">
        <is>
          <t>customer_payment</t>
        </is>
      </c>
      <c r="I1591" t="inlineStr"/>
      <c r="J1591" t="inlineStr">
        <is>
          <t>G00198</t>
        </is>
      </c>
      <c r="K1591" t="str">
        <f>INDEX('Match Groups'!$D$5:$D$1326,MATCH(J1591,'Match Groups'!$A$5:$A$1326,0))</f>
        <v>MATCH</v>
      </c>
    </row>
    <row r="1592">
      <c r="A1592" t="inlineStr">
        <is>
          <t>JI-00573</t>
        </is>
      </c>
      <c r="B1592" t="inlineStr">
        <is>
          <t>OPS</t>
        </is>
      </c>
      <c r="C1592" s="5" t="n">
        <v>46227</v>
      </c>
      <c r="D1592" t="inlineStr">
        <is>
          <t>Saltbush Plan Managers</t>
        </is>
      </c>
      <c r="E1592" t="inlineStr">
        <is>
          <t>INV/2026/01953</t>
        </is>
      </c>
      <c r="F1592" t="inlineStr">
        <is>
          <t>Customer payment INV/2026/01953</t>
        </is>
      </c>
      <c r="G1592" s="9" t="n">
        <v>320.98</v>
      </c>
      <c r="H1592" t="inlineStr">
        <is>
          <t>customer_payment</t>
        </is>
      </c>
      <c r="I1592" t="inlineStr"/>
      <c r="J1592" t="inlineStr">
        <is>
          <t>G00199</t>
        </is>
      </c>
      <c r="K1592" t="str">
        <f>INDEX('Match Groups'!$D$5:$D$1326,MATCH(J1592,'Match Groups'!$A$5:$A$1326,0))</f>
        <v>MATCH</v>
      </c>
    </row>
    <row r="1593">
      <c r="A1593" t="inlineStr">
        <is>
          <t>JI-00574</t>
        </is>
      </c>
      <c r="B1593" t="inlineStr">
        <is>
          <t>OPS</t>
        </is>
      </c>
      <c r="C1593" s="5" t="n">
        <v>46227</v>
      </c>
      <c r="D1593" t="inlineStr">
        <is>
          <t>Saltbush Plan Managers</t>
        </is>
      </c>
      <c r="E1593" t="inlineStr">
        <is>
          <t>INV/2026/01954</t>
        </is>
      </c>
      <c r="F1593" t="inlineStr">
        <is>
          <t>Customer payment INV/2026/01954</t>
        </is>
      </c>
      <c r="G1593" s="9" t="n">
        <v>320.98</v>
      </c>
      <c r="H1593" t="inlineStr">
        <is>
          <t>customer_payment</t>
        </is>
      </c>
      <c r="I1593" t="inlineStr"/>
      <c r="J1593" t="inlineStr">
        <is>
          <t>G00199</t>
        </is>
      </c>
      <c r="K1593" t="str">
        <f>INDEX('Match Groups'!$D$5:$D$1326,MATCH(J1593,'Match Groups'!$A$5:$A$1326,0))</f>
        <v>MATCH</v>
      </c>
    </row>
    <row r="1594">
      <c r="A1594" t="inlineStr">
        <is>
          <t>JI-00575</t>
        </is>
      </c>
      <c r="B1594" t="inlineStr">
        <is>
          <t>OPS</t>
        </is>
      </c>
      <c r="C1594" s="5" t="n">
        <v>46227</v>
      </c>
      <c r="D1594" t="inlineStr">
        <is>
          <t>Saltbush Plan Managers</t>
        </is>
      </c>
      <c r="E1594" t="inlineStr">
        <is>
          <t>INV/2026/01982</t>
        </is>
      </c>
      <c r="F1594" t="inlineStr">
        <is>
          <t>Customer payment INV/2026/01982</t>
        </is>
      </c>
      <c r="G1594" s="9" t="n">
        <v>242.49</v>
      </c>
      <c r="H1594" t="inlineStr">
        <is>
          <t>customer_payment</t>
        </is>
      </c>
      <c r="I1594" t="inlineStr"/>
      <c r="J1594" t="inlineStr">
        <is>
          <t>G00199</t>
        </is>
      </c>
      <c r="K1594" t="str">
        <f>INDEX('Match Groups'!$D$5:$D$1326,MATCH(J1594,'Match Groups'!$A$5:$A$1326,0))</f>
        <v>MATCH</v>
      </c>
    </row>
    <row r="1595">
      <c r="A1595" t="inlineStr">
        <is>
          <t>JI-00576</t>
        </is>
      </c>
      <c r="B1595" t="inlineStr">
        <is>
          <t>OPS</t>
        </is>
      </c>
      <c r="C1595" s="5" t="n">
        <v>46227</v>
      </c>
      <c r="D1595" t="inlineStr">
        <is>
          <t>Saltbush Plan Managers</t>
        </is>
      </c>
      <c r="E1595" t="inlineStr">
        <is>
          <t>INV/2026/01983</t>
        </is>
      </c>
      <c r="F1595" t="inlineStr">
        <is>
          <t>Customer payment INV/2026/01983</t>
        </is>
      </c>
      <c r="G1595" s="9" t="n">
        <v>242.49</v>
      </c>
      <c r="H1595" t="inlineStr">
        <is>
          <t>customer_payment</t>
        </is>
      </c>
      <c r="I1595" t="inlineStr"/>
      <c r="J1595" t="inlineStr">
        <is>
          <t>G00199</t>
        </is>
      </c>
      <c r="K1595" t="str">
        <f>INDEX('Match Groups'!$D$5:$D$1326,MATCH(J1595,'Match Groups'!$A$5:$A$1326,0))</f>
        <v>MATCH</v>
      </c>
    </row>
    <row r="1596">
      <c r="A1596" t="inlineStr">
        <is>
          <t>JI-00577</t>
        </is>
      </c>
      <c r="B1596" t="inlineStr">
        <is>
          <t>OPS</t>
        </is>
      </c>
      <c r="C1596" s="5" t="n">
        <v>46227</v>
      </c>
      <c r="D1596" t="inlineStr">
        <is>
          <t>Saltbush Plan Managers</t>
        </is>
      </c>
      <c r="E1596" t="inlineStr">
        <is>
          <t>INV/2026/02002</t>
        </is>
      </c>
      <c r="F1596" t="inlineStr">
        <is>
          <t>Customer payment INV/2026/02002</t>
        </is>
      </c>
      <c r="G1596" s="9" t="n">
        <v>446.18</v>
      </c>
      <c r="H1596" t="inlineStr">
        <is>
          <t>customer_payment</t>
        </is>
      </c>
      <c r="I1596" t="inlineStr"/>
      <c r="J1596" t="inlineStr">
        <is>
          <t>G00199</t>
        </is>
      </c>
      <c r="K1596" t="str">
        <f>INDEX('Match Groups'!$D$5:$D$1326,MATCH(J1596,'Match Groups'!$A$5:$A$1326,0))</f>
        <v>MATCH</v>
      </c>
    </row>
    <row r="1597">
      <c r="A1597" t="inlineStr">
        <is>
          <t>JI-00578</t>
        </is>
      </c>
      <c r="B1597" t="inlineStr">
        <is>
          <t>OPS</t>
        </is>
      </c>
      <c r="C1597" s="5" t="n">
        <v>46227</v>
      </c>
      <c r="D1597" t="inlineStr">
        <is>
          <t>Saltbush Plan Managers</t>
        </is>
      </c>
      <c r="E1597" t="inlineStr">
        <is>
          <t>INV/2026/02003</t>
        </is>
      </c>
      <c r="F1597" t="inlineStr">
        <is>
          <t>Customer payment INV/2026/02003</t>
        </is>
      </c>
      <c r="G1597" s="9" t="n">
        <v>290.98</v>
      </c>
      <c r="H1597" t="inlineStr">
        <is>
          <t>customer_payment</t>
        </is>
      </c>
      <c r="I1597" t="inlineStr"/>
      <c r="J1597" t="inlineStr">
        <is>
          <t>G00199</t>
        </is>
      </c>
      <c r="K1597" t="str">
        <f>INDEX('Match Groups'!$D$5:$D$1326,MATCH(J1597,'Match Groups'!$A$5:$A$1326,0))</f>
        <v>MATCH</v>
      </c>
    </row>
    <row r="1598">
      <c r="A1598" t="inlineStr">
        <is>
          <t>JI-00579</t>
        </is>
      </c>
      <c r="B1598" t="inlineStr">
        <is>
          <t>OPS</t>
        </is>
      </c>
      <c r="C1598" s="5" t="n">
        <v>46227</v>
      </c>
      <c r="D1598" t="inlineStr">
        <is>
          <t>Southern Cross Plan Mgmt</t>
        </is>
      </c>
      <c r="E1598" t="inlineStr">
        <is>
          <t>INV/2026/01488</t>
        </is>
      </c>
      <c r="F1598" t="inlineStr">
        <is>
          <t>Customer payment INV/2026/01488</t>
        </is>
      </c>
      <c r="G1598" s="9" t="n">
        <v>446.18</v>
      </c>
      <c r="H1598" t="inlineStr">
        <is>
          <t>customer_payment</t>
        </is>
      </c>
      <c r="I1598" t="inlineStr"/>
      <c r="J1598" t="inlineStr">
        <is>
          <t>G00200</t>
        </is>
      </c>
      <c r="K1598" t="str">
        <f>INDEX('Match Groups'!$D$5:$D$1326,MATCH(J1598,'Match Groups'!$A$5:$A$1326,0))</f>
        <v>MATCH</v>
      </c>
    </row>
    <row r="1599">
      <c r="A1599" t="inlineStr">
        <is>
          <t>JI-00580</t>
        </is>
      </c>
      <c r="B1599" t="inlineStr">
        <is>
          <t>OPS</t>
        </is>
      </c>
      <c r="C1599" s="5" t="n">
        <v>46227</v>
      </c>
      <c r="D1599" t="inlineStr">
        <is>
          <t>Southern Cross Plan Mgmt</t>
        </is>
      </c>
      <c r="E1599" t="inlineStr">
        <is>
          <t>INV/2026/01509</t>
        </is>
      </c>
      <c r="F1599" t="inlineStr">
        <is>
          <t>Customer payment INV/2026/01509</t>
        </is>
      </c>
      <c r="G1599" s="9" t="n">
        <v>193.99</v>
      </c>
      <c r="H1599" t="inlineStr">
        <is>
          <t>customer_payment</t>
        </is>
      </c>
      <c r="I1599" t="inlineStr"/>
      <c r="J1599" t="inlineStr">
        <is>
          <t>G00200</t>
        </is>
      </c>
      <c r="K1599" t="str">
        <f>INDEX('Match Groups'!$D$5:$D$1326,MATCH(J1599,'Match Groups'!$A$5:$A$1326,0))</f>
        <v>MATCH</v>
      </c>
    </row>
    <row r="1600">
      <c r="A1600" t="inlineStr">
        <is>
          <t>JI-00581</t>
        </is>
      </c>
      <c r="B1600" t="inlineStr">
        <is>
          <t>OPS</t>
        </is>
      </c>
      <c r="C1600" s="5" t="n">
        <v>46227</v>
      </c>
      <c r="D1600" t="inlineStr">
        <is>
          <t>Southern Cross Plan Mgmt</t>
        </is>
      </c>
      <c r="E1600" t="inlineStr">
        <is>
          <t>INV/2026/01529</t>
        </is>
      </c>
      <c r="F1600" t="inlineStr">
        <is>
          <t>Customer payment INV/2026/01529</t>
        </is>
      </c>
      <c r="G1600" s="9" t="n">
        <v>96.98999999999999</v>
      </c>
      <c r="H1600" t="inlineStr">
        <is>
          <t>customer_payment</t>
        </is>
      </c>
      <c r="I1600" t="inlineStr"/>
      <c r="J1600" t="inlineStr">
        <is>
          <t>G00200</t>
        </is>
      </c>
      <c r="K1600" t="str">
        <f>INDEX('Match Groups'!$D$5:$D$1326,MATCH(J1600,'Match Groups'!$A$5:$A$1326,0))</f>
        <v>MATCH</v>
      </c>
    </row>
    <row r="1601">
      <c r="A1601" t="inlineStr">
        <is>
          <t>JI-00582</t>
        </is>
      </c>
      <c r="B1601" t="inlineStr">
        <is>
          <t>OPS</t>
        </is>
      </c>
      <c r="C1601" s="5" t="n">
        <v>46227</v>
      </c>
      <c r="D1601" t="inlineStr">
        <is>
          <t>Lyrebird Plan Management</t>
        </is>
      </c>
      <c r="E1601" t="inlineStr">
        <is>
          <t>INV/2026/02199</t>
        </is>
      </c>
      <c r="F1601" t="inlineStr">
        <is>
          <t>Customer payment INV/2026/02199</t>
        </is>
      </c>
      <c r="G1601" s="9" t="n">
        <v>387.98</v>
      </c>
      <c r="H1601" t="inlineStr">
        <is>
          <t>customer_payment</t>
        </is>
      </c>
      <c r="I1601" t="inlineStr"/>
      <c r="J1601" t="inlineStr">
        <is>
          <t>G00201</t>
        </is>
      </c>
      <c r="K1601" t="str">
        <f>INDEX('Match Groups'!$D$5:$D$1326,MATCH(J1601,'Match Groups'!$A$5:$A$1326,0))</f>
        <v>MATCH</v>
      </c>
    </row>
    <row r="1602">
      <c r="A1602" t="inlineStr">
        <is>
          <t>JI-00583</t>
        </is>
      </c>
      <c r="B1602" t="inlineStr">
        <is>
          <t>OPS</t>
        </is>
      </c>
      <c r="C1602" s="5" t="n">
        <v>46227</v>
      </c>
      <c r="D1602" t="inlineStr">
        <is>
          <t>Lyrebird Plan Management</t>
        </is>
      </c>
      <c r="E1602" t="inlineStr">
        <is>
          <t>INV/2026/02243</t>
        </is>
      </c>
      <c r="F1602" t="inlineStr">
        <is>
          <t>Customer payment INV/2026/02243</t>
        </is>
      </c>
      <c r="G1602" s="9" t="n">
        <v>126.99</v>
      </c>
      <c r="H1602" t="inlineStr">
        <is>
          <t>customer_payment</t>
        </is>
      </c>
      <c r="I1602" t="inlineStr"/>
      <c r="J1602" t="inlineStr">
        <is>
          <t>G00201</t>
        </is>
      </c>
      <c r="K1602" t="str">
        <f>INDEX('Match Groups'!$D$5:$D$1326,MATCH(J1602,'Match Groups'!$A$5:$A$1326,0))</f>
        <v>MATCH</v>
      </c>
    </row>
    <row r="1603">
      <c r="A1603" t="inlineStr">
        <is>
          <t>JI-01613</t>
        </is>
      </c>
      <c r="B1603" t="inlineStr">
        <is>
          <t>OPS</t>
        </is>
      </c>
      <c r="C1603" s="5" t="n">
        <v>46227</v>
      </c>
      <c r="D1603" t="inlineStr">
        <is>
          <t>Meridian Health Cover</t>
        </is>
      </c>
      <c r="E1603" t="inlineStr">
        <is>
          <t>INV/2026/01969</t>
        </is>
      </c>
      <c r="F1603" t="inlineStr">
        <is>
          <t>Customer payment INV/2026/01969</t>
        </is>
      </c>
      <c r="G1603" s="9" t="n">
        <v>176</v>
      </c>
      <c r="H1603" t="inlineStr">
        <is>
          <t>customer_payment</t>
        </is>
      </c>
      <c r="I1603" t="inlineStr"/>
      <c r="J1603" t="inlineStr">
        <is>
          <t>G00964</t>
        </is>
      </c>
      <c r="K1603" t="str">
        <f>INDEX('Match Groups'!$D$5:$D$1326,MATCH(J1603,'Match Groups'!$A$5:$A$1326,0))</f>
        <v>MATCH</v>
      </c>
    </row>
    <row r="1604">
      <c r="A1604" t="inlineStr">
        <is>
          <t>JI-01728</t>
        </is>
      </c>
      <c r="B1604" t="inlineStr">
        <is>
          <t>OPS</t>
        </is>
      </c>
      <c r="C1604" s="5" t="n">
        <v>46227</v>
      </c>
      <c r="D1604" t="inlineStr">
        <is>
          <t>Hollis &amp; Fry Architects</t>
        </is>
      </c>
      <c r="E1604" t="inlineStr">
        <is>
          <t>INV/2026/03445</t>
        </is>
      </c>
      <c r="F1604" t="inlineStr">
        <is>
          <t>Customer payment INV/2026/03445</t>
        </is>
      </c>
      <c r="G1604" s="9" t="n">
        <v>15950</v>
      </c>
      <c r="H1604" t="inlineStr">
        <is>
          <t>customer_payment</t>
        </is>
      </c>
      <c r="I1604" t="inlineStr"/>
      <c r="J1604" t="inlineStr">
        <is>
          <t>G00963</t>
        </is>
      </c>
      <c r="K1604" t="str">
        <f>INDEX('Match Groups'!$D$5:$D$1326,MATCH(J1604,'Match Groups'!$A$5:$A$1326,0))</f>
        <v>MATCH</v>
      </c>
    </row>
    <row r="1605">
      <c r="A1605" t="inlineStr">
        <is>
          <t>JI-02272</t>
        </is>
      </c>
      <c r="B1605" t="inlineStr">
        <is>
          <t>OPS</t>
        </is>
      </c>
      <c r="C1605" s="5" t="n">
        <v>46227</v>
      </c>
      <c r="D1605" t="inlineStr">
        <is>
          <t>Stripe patient 70745</t>
        </is>
      </c>
      <c r="E1605" t="inlineStr">
        <is>
          <t>INV/2026/04100</t>
        </is>
      </c>
      <c r="F1605" t="inlineStr">
        <is>
          <t>Refund INV/2026/04100</t>
        </is>
      </c>
      <c r="G1605" s="9" t="n">
        <v>-150</v>
      </c>
      <c r="H1605" t="inlineStr">
        <is>
          <t>customer_refund</t>
        </is>
      </c>
      <c r="I1605" t="inlineStr"/>
      <c r="J1605" t="inlineStr">
        <is>
          <t>G00031</t>
        </is>
      </c>
      <c r="K1605" t="str">
        <f>INDEX('Match Groups'!$D$5:$D$1326,MATCH(J1605,'Match Groups'!$A$5:$A$1326,0))</f>
        <v>STRIPE-FEE</v>
      </c>
    </row>
    <row r="1606">
      <c r="A1606" t="inlineStr">
        <is>
          <t>JI-02306</t>
        </is>
      </c>
      <c r="B1606" t="inlineStr">
        <is>
          <t>OPS</t>
        </is>
      </c>
      <c r="C1606" s="5" t="n">
        <v>46227</v>
      </c>
      <c r="D1606" t="inlineStr">
        <is>
          <t>Stripe patient 54826</t>
        </is>
      </c>
      <c r="E1606" t="inlineStr">
        <is>
          <t>INV/2026/04152</t>
        </is>
      </c>
      <c r="F1606" t="inlineStr">
        <is>
          <t>Customer payment INV/2026/04152</t>
        </is>
      </c>
      <c r="G1606" s="9" t="n">
        <v>135</v>
      </c>
      <c r="H1606" t="inlineStr">
        <is>
          <t>customer_payment</t>
        </is>
      </c>
      <c r="I1606" t="inlineStr"/>
      <c r="J1606" t="inlineStr">
        <is>
          <t>G00033</t>
        </is>
      </c>
      <c r="K1606" t="str">
        <f>INDEX('Match Groups'!$D$5:$D$1326,MATCH(J1606,'Match Groups'!$A$5:$A$1326,0))</f>
        <v>STRIPE-FEE</v>
      </c>
    </row>
    <row r="1607">
      <c r="A1607" t="inlineStr">
        <is>
          <t>JI-02307</t>
        </is>
      </c>
      <c r="B1607" t="inlineStr">
        <is>
          <t>OPS</t>
        </is>
      </c>
      <c r="C1607" s="5" t="n">
        <v>46227</v>
      </c>
      <c r="D1607" t="inlineStr">
        <is>
          <t>Stripe patient 55123</t>
        </is>
      </c>
      <c r="E1607" t="inlineStr">
        <is>
          <t>INV/2026/04153</t>
        </is>
      </c>
      <c r="F1607" t="inlineStr">
        <is>
          <t>Customer payment INV/2026/04153</t>
        </is>
      </c>
      <c r="G1607" s="9" t="n">
        <v>150</v>
      </c>
      <c r="H1607" t="inlineStr">
        <is>
          <t>customer_payment</t>
        </is>
      </c>
      <c r="I1607" t="inlineStr"/>
      <c r="J1607" t="inlineStr">
        <is>
          <t>G00033</t>
        </is>
      </c>
      <c r="K1607" t="str">
        <f>INDEX('Match Groups'!$D$5:$D$1326,MATCH(J1607,'Match Groups'!$A$5:$A$1326,0))</f>
        <v>STRIPE-FEE</v>
      </c>
    </row>
    <row r="1608">
      <c r="A1608" t="inlineStr">
        <is>
          <t>JI-02308</t>
        </is>
      </c>
      <c r="B1608" t="inlineStr">
        <is>
          <t>OPS</t>
        </is>
      </c>
      <c r="C1608" s="5" t="n">
        <v>46227</v>
      </c>
      <c r="D1608" t="inlineStr">
        <is>
          <t>Stripe patient 21632</t>
        </is>
      </c>
      <c r="E1608" t="inlineStr">
        <is>
          <t>INV/2026/04154</t>
        </is>
      </c>
      <c r="F1608" t="inlineStr">
        <is>
          <t>Customer payment INV/2026/04154</t>
        </is>
      </c>
      <c r="G1608" s="9" t="n">
        <v>65</v>
      </c>
      <c r="H1608" t="inlineStr">
        <is>
          <t>customer_payment</t>
        </is>
      </c>
      <c r="I1608" t="inlineStr"/>
      <c r="J1608" t="inlineStr">
        <is>
          <t>G00033</t>
        </is>
      </c>
      <c r="K1608" t="str">
        <f>INDEX('Match Groups'!$D$5:$D$1326,MATCH(J1608,'Match Groups'!$A$5:$A$1326,0))</f>
        <v>STRIPE-FEE</v>
      </c>
    </row>
    <row r="1609">
      <c r="A1609" t="inlineStr">
        <is>
          <t>JI-02309</t>
        </is>
      </c>
      <c r="B1609" t="inlineStr">
        <is>
          <t>OPS</t>
        </is>
      </c>
      <c r="C1609" s="5" t="n">
        <v>46227</v>
      </c>
      <c r="D1609" t="inlineStr">
        <is>
          <t>Stripe patient 65297</t>
        </is>
      </c>
      <c r="E1609" t="inlineStr">
        <is>
          <t>INV/2026/04155</t>
        </is>
      </c>
      <c r="F1609" t="inlineStr">
        <is>
          <t>Customer payment INV/2026/04155</t>
        </is>
      </c>
      <c r="G1609" s="9" t="n">
        <v>120</v>
      </c>
      <c r="H1609" t="inlineStr">
        <is>
          <t>customer_payment</t>
        </is>
      </c>
      <c r="I1609" t="inlineStr"/>
      <c r="J1609" t="inlineStr">
        <is>
          <t>G00033</t>
        </is>
      </c>
      <c r="K1609" t="str">
        <f>INDEX('Match Groups'!$D$5:$D$1326,MATCH(J1609,'Match Groups'!$A$5:$A$1326,0))</f>
        <v>STRIPE-FEE</v>
      </c>
    </row>
    <row r="1610">
      <c r="A1610" t="inlineStr">
        <is>
          <t>JI-02310</t>
        </is>
      </c>
      <c r="B1610" t="inlineStr">
        <is>
          <t>OPS</t>
        </is>
      </c>
      <c r="C1610" s="5" t="n">
        <v>46227</v>
      </c>
      <c r="D1610" t="inlineStr">
        <is>
          <t>Stripe patient 27473</t>
        </is>
      </c>
      <c r="E1610" t="inlineStr">
        <is>
          <t>INV/2026/04156</t>
        </is>
      </c>
      <c r="F1610" t="inlineStr">
        <is>
          <t>Customer payment INV/2026/04156</t>
        </is>
      </c>
      <c r="G1610" s="9" t="n">
        <v>110</v>
      </c>
      <c r="H1610" t="inlineStr">
        <is>
          <t>customer_payment</t>
        </is>
      </c>
      <c r="I1610" t="inlineStr"/>
      <c r="J1610" t="inlineStr">
        <is>
          <t>G00033</t>
        </is>
      </c>
      <c r="K1610" t="str">
        <f>INDEX('Match Groups'!$D$5:$D$1326,MATCH(J1610,'Match Groups'!$A$5:$A$1326,0))</f>
        <v>STRIPE-FEE</v>
      </c>
    </row>
    <row r="1611">
      <c r="A1611" t="inlineStr">
        <is>
          <t>JI-02311</t>
        </is>
      </c>
      <c r="B1611" t="inlineStr">
        <is>
          <t>OPS</t>
        </is>
      </c>
      <c r="C1611" s="5" t="n">
        <v>46227</v>
      </c>
      <c r="D1611" t="inlineStr">
        <is>
          <t>Stripe patient 24330</t>
        </is>
      </c>
      <c r="E1611" t="inlineStr">
        <is>
          <t>INV/2026/04157</t>
        </is>
      </c>
      <c r="F1611" t="inlineStr">
        <is>
          <t>Customer payment INV/2026/04157</t>
        </is>
      </c>
      <c r="G1611" s="9" t="n">
        <v>220</v>
      </c>
      <c r="H1611" t="inlineStr">
        <is>
          <t>customer_payment</t>
        </is>
      </c>
      <c r="I1611" t="inlineStr"/>
      <c r="J1611" t="inlineStr">
        <is>
          <t>G00033</t>
        </is>
      </c>
      <c r="K1611" t="str">
        <f>INDEX('Match Groups'!$D$5:$D$1326,MATCH(J1611,'Match Groups'!$A$5:$A$1326,0))</f>
        <v>STRIPE-FEE</v>
      </c>
    </row>
    <row r="1612">
      <c r="A1612" t="inlineStr">
        <is>
          <t>JI-02312</t>
        </is>
      </c>
      <c r="B1612" t="inlineStr">
        <is>
          <t>OPS</t>
        </is>
      </c>
      <c r="C1612" s="5" t="n">
        <v>46227</v>
      </c>
      <c r="D1612" t="inlineStr">
        <is>
          <t>Stripe patient 26012</t>
        </is>
      </c>
      <c r="E1612" t="inlineStr">
        <is>
          <t>INV/2026/04158</t>
        </is>
      </c>
      <c r="F1612" t="inlineStr">
        <is>
          <t>Customer payment INV/2026/04158</t>
        </is>
      </c>
      <c r="G1612" s="9" t="n">
        <v>95</v>
      </c>
      <c r="H1612" t="inlineStr">
        <is>
          <t>customer_payment</t>
        </is>
      </c>
      <c r="I1612" t="inlineStr"/>
      <c r="J1612" t="inlineStr">
        <is>
          <t>G00033</t>
        </is>
      </c>
      <c r="K1612" t="str">
        <f>INDEX('Match Groups'!$D$5:$D$1326,MATCH(J1612,'Match Groups'!$A$5:$A$1326,0))</f>
        <v>STRIPE-FEE</v>
      </c>
    </row>
    <row r="1613">
      <c r="A1613" t="inlineStr">
        <is>
          <t>JI-02313</t>
        </is>
      </c>
      <c r="B1613" t="inlineStr">
        <is>
          <t>OPS</t>
        </is>
      </c>
      <c r="C1613" s="5" t="n">
        <v>46227</v>
      </c>
      <c r="D1613" t="inlineStr">
        <is>
          <t>Stripe patient 91212</t>
        </is>
      </c>
      <c r="E1613" t="inlineStr">
        <is>
          <t>INV/2026/04159</t>
        </is>
      </c>
      <c r="F1613" t="inlineStr">
        <is>
          <t>Customer payment INV/2026/04159</t>
        </is>
      </c>
      <c r="G1613" s="9" t="n">
        <v>95</v>
      </c>
      <c r="H1613" t="inlineStr">
        <is>
          <t>customer_payment</t>
        </is>
      </c>
      <c r="I1613" t="inlineStr"/>
      <c r="J1613" t="inlineStr">
        <is>
          <t>G00033</t>
        </is>
      </c>
      <c r="K1613" t="str">
        <f>INDEX('Match Groups'!$D$5:$D$1326,MATCH(J1613,'Match Groups'!$A$5:$A$1326,0))</f>
        <v>STRIPE-FEE</v>
      </c>
    </row>
    <row r="1614">
      <c r="A1614" t="inlineStr">
        <is>
          <t>JI-02314</t>
        </is>
      </c>
      <c r="B1614" t="inlineStr">
        <is>
          <t>OPS</t>
        </is>
      </c>
      <c r="C1614" s="5" t="n">
        <v>46227</v>
      </c>
      <c r="D1614" t="inlineStr">
        <is>
          <t>Stripe patient 24175</t>
        </is>
      </c>
      <c r="E1614" t="inlineStr">
        <is>
          <t>INV/2026/04160</t>
        </is>
      </c>
      <c r="F1614" t="inlineStr">
        <is>
          <t>Customer payment INV/2026/04160</t>
        </is>
      </c>
      <c r="G1614" s="9" t="n">
        <v>135</v>
      </c>
      <c r="H1614" t="inlineStr">
        <is>
          <t>customer_payment</t>
        </is>
      </c>
      <c r="I1614" t="inlineStr"/>
      <c r="J1614" t="inlineStr">
        <is>
          <t>G00033</t>
        </is>
      </c>
      <c r="K1614" t="str">
        <f>INDEX('Match Groups'!$D$5:$D$1326,MATCH(J1614,'Match Groups'!$A$5:$A$1326,0))</f>
        <v>STRIPE-FEE</v>
      </c>
    </row>
    <row r="1615">
      <c r="A1615" t="inlineStr">
        <is>
          <t>JI-02315</t>
        </is>
      </c>
      <c r="B1615" t="inlineStr">
        <is>
          <t>OPS</t>
        </is>
      </c>
      <c r="C1615" s="5" t="n">
        <v>46227</v>
      </c>
      <c r="D1615" t="inlineStr">
        <is>
          <t>Stripe patient 50401</t>
        </is>
      </c>
      <c r="E1615" t="inlineStr">
        <is>
          <t>INV/2026/04161</t>
        </is>
      </c>
      <c r="F1615" t="inlineStr">
        <is>
          <t>Customer payment INV/2026/04161</t>
        </is>
      </c>
      <c r="G1615" s="9" t="n">
        <v>150</v>
      </c>
      <c r="H1615" t="inlineStr">
        <is>
          <t>customer_payment</t>
        </is>
      </c>
      <c r="I1615" t="inlineStr"/>
      <c r="J1615" t="inlineStr">
        <is>
          <t>G00033</t>
        </is>
      </c>
      <c r="K1615" t="str">
        <f>INDEX('Match Groups'!$D$5:$D$1326,MATCH(J1615,'Match Groups'!$A$5:$A$1326,0))</f>
        <v>STRIPE-FEE</v>
      </c>
    </row>
    <row r="1616">
      <c r="A1616" t="inlineStr">
        <is>
          <t>JI-02316</t>
        </is>
      </c>
      <c r="B1616" t="inlineStr">
        <is>
          <t>OPS</t>
        </is>
      </c>
      <c r="C1616" s="5" t="n">
        <v>46227</v>
      </c>
      <c r="D1616" t="inlineStr">
        <is>
          <t>Stripe patient 56836</t>
        </is>
      </c>
      <c r="E1616" t="inlineStr">
        <is>
          <t>INV/2026/04162</t>
        </is>
      </c>
      <c r="F1616" t="inlineStr">
        <is>
          <t>Customer payment INV/2026/04162</t>
        </is>
      </c>
      <c r="G1616" s="9" t="n">
        <v>65</v>
      </c>
      <c r="H1616" t="inlineStr">
        <is>
          <t>customer_payment</t>
        </is>
      </c>
      <c r="I1616" t="inlineStr"/>
      <c r="J1616" t="inlineStr">
        <is>
          <t>G00033</t>
        </is>
      </c>
      <c r="K1616" t="str">
        <f>INDEX('Match Groups'!$D$5:$D$1326,MATCH(J1616,'Match Groups'!$A$5:$A$1326,0))</f>
        <v>STRIPE-FEE</v>
      </c>
    </row>
    <row r="1617">
      <c r="A1617" t="inlineStr">
        <is>
          <t>JI-02317</t>
        </is>
      </c>
      <c r="B1617" t="inlineStr">
        <is>
          <t>OPS</t>
        </is>
      </c>
      <c r="C1617" s="5" t="n">
        <v>46227</v>
      </c>
      <c r="D1617" t="inlineStr">
        <is>
          <t>Stripe patient 98281</t>
        </is>
      </c>
      <c r="E1617" t="inlineStr">
        <is>
          <t>INV/2026/04163</t>
        </is>
      </c>
      <c r="F1617" t="inlineStr">
        <is>
          <t>Customer payment INV/2026/04163</t>
        </is>
      </c>
      <c r="G1617" s="9" t="n">
        <v>135</v>
      </c>
      <c r="H1617" t="inlineStr">
        <is>
          <t>customer_payment</t>
        </is>
      </c>
      <c r="I1617" t="inlineStr"/>
      <c r="J1617" t="inlineStr">
        <is>
          <t>G00033</t>
        </is>
      </c>
      <c r="K1617" t="str">
        <f>INDEX('Match Groups'!$D$5:$D$1326,MATCH(J1617,'Match Groups'!$A$5:$A$1326,0))</f>
        <v>STRIPE-FEE</v>
      </c>
    </row>
    <row r="1618">
      <c r="A1618" t="inlineStr">
        <is>
          <t>JI-02318</t>
        </is>
      </c>
      <c r="B1618" t="inlineStr">
        <is>
          <t>OPS</t>
        </is>
      </c>
      <c r="C1618" s="5" t="n">
        <v>46227</v>
      </c>
      <c r="D1618" t="inlineStr">
        <is>
          <t>Stripe patient 46285</t>
        </is>
      </c>
      <c r="E1618" t="inlineStr">
        <is>
          <t>INV/2026/04164</t>
        </is>
      </c>
      <c r="F1618" t="inlineStr">
        <is>
          <t>Customer payment INV/2026/04164</t>
        </is>
      </c>
      <c r="G1618" s="9" t="n">
        <v>120</v>
      </c>
      <c r="H1618" t="inlineStr">
        <is>
          <t>customer_payment</t>
        </is>
      </c>
      <c r="I1618" t="inlineStr"/>
      <c r="J1618" t="inlineStr">
        <is>
          <t>G00033</t>
        </is>
      </c>
      <c r="K1618" t="str">
        <f>INDEX('Match Groups'!$D$5:$D$1326,MATCH(J1618,'Match Groups'!$A$5:$A$1326,0))</f>
        <v>STRIPE-FEE</v>
      </c>
    </row>
    <row r="1619">
      <c r="A1619" t="inlineStr">
        <is>
          <t>JI-02319</t>
        </is>
      </c>
      <c r="B1619" t="inlineStr">
        <is>
          <t>OPS</t>
        </is>
      </c>
      <c r="C1619" s="5" t="n">
        <v>46227</v>
      </c>
      <c r="D1619" t="inlineStr">
        <is>
          <t>Stripe patient 96888</t>
        </is>
      </c>
      <c r="E1619" t="inlineStr">
        <is>
          <t>INV/2026/04165</t>
        </is>
      </c>
      <c r="F1619" t="inlineStr">
        <is>
          <t>Customer payment INV/2026/04165</t>
        </is>
      </c>
      <c r="G1619" s="9" t="n">
        <v>120</v>
      </c>
      <c r="H1619" t="inlineStr">
        <is>
          <t>customer_payment</t>
        </is>
      </c>
      <c r="I1619" t="inlineStr"/>
      <c r="J1619" t="inlineStr">
        <is>
          <t>G00033</t>
        </is>
      </c>
      <c r="K1619" t="str">
        <f>INDEX('Match Groups'!$D$5:$D$1326,MATCH(J1619,'Match Groups'!$A$5:$A$1326,0))</f>
        <v>STRIPE-FEE</v>
      </c>
    </row>
    <row r="1620">
      <c r="A1620" t="inlineStr">
        <is>
          <t>JI-02320</t>
        </is>
      </c>
      <c r="B1620" t="inlineStr">
        <is>
          <t>OPS</t>
        </is>
      </c>
      <c r="C1620" s="5" t="n">
        <v>46227</v>
      </c>
      <c r="D1620" t="inlineStr">
        <is>
          <t>Stripe patient 74749</t>
        </is>
      </c>
      <c r="E1620" t="inlineStr">
        <is>
          <t>INV/2026/04166</t>
        </is>
      </c>
      <c r="F1620" t="inlineStr">
        <is>
          <t>Customer payment INV/2026/04166</t>
        </is>
      </c>
      <c r="G1620" s="9" t="n">
        <v>95</v>
      </c>
      <c r="H1620" t="inlineStr">
        <is>
          <t>customer_payment</t>
        </is>
      </c>
      <c r="I1620" t="inlineStr"/>
      <c r="J1620" t="inlineStr">
        <is>
          <t>G00033</t>
        </is>
      </c>
      <c r="K1620" t="str">
        <f>INDEX('Match Groups'!$D$5:$D$1326,MATCH(J1620,'Match Groups'!$A$5:$A$1326,0))</f>
        <v>STRIPE-FEE</v>
      </c>
    </row>
    <row r="1621">
      <c r="A1621" t="inlineStr">
        <is>
          <t>JI-02321</t>
        </is>
      </c>
      <c r="B1621" t="inlineStr">
        <is>
          <t>OPS</t>
        </is>
      </c>
      <c r="C1621" s="5" t="n">
        <v>46227</v>
      </c>
      <c r="D1621" t="inlineStr">
        <is>
          <t>Stripe patient 77949</t>
        </is>
      </c>
      <c r="E1621" t="inlineStr">
        <is>
          <t>INV/2026/04167</t>
        </is>
      </c>
      <c r="F1621" t="inlineStr">
        <is>
          <t>Customer payment INV/2026/04167</t>
        </is>
      </c>
      <c r="G1621" s="9" t="n">
        <v>95</v>
      </c>
      <c r="H1621" t="inlineStr">
        <is>
          <t>customer_payment</t>
        </is>
      </c>
      <c r="I1621" t="inlineStr"/>
      <c r="J1621" t="inlineStr">
        <is>
          <t>G00033</t>
        </is>
      </c>
      <c r="K1621" t="str">
        <f>INDEX('Match Groups'!$D$5:$D$1326,MATCH(J1621,'Match Groups'!$A$5:$A$1326,0))</f>
        <v>STRIPE-FEE</v>
      </c>
    </row>
    <row r="1622">
      <c r="A1622" t="inlineStr">
        <is>
          <t>JI-02322</t>
        </is>
      </c>
      <c r="B1622" t="inlineStr">
        <is>
          <t>OPS</t>
        </is>
      </c>
      <c r="C1622" s="5" t="n">
        <v>46227</v>
      </c>
      <c r="D1622" t="inlineStr">
        <is>
          <t>Stripe patient 46948</t>
        </is>
      </c>
      <c r="E1622" t="inlineStr">
        <is>
          <t>INV/2026/04168</t>
        </is>
      </c>
      <c r="F1622" t="inlineStr">
        <is>
          <t>Customer payment INV/2026/04168</t>
        </is>
      </c>
      <c r="G1622" s="9" t="n">
        <v>135</v>
      </c>
      <c r="H1622" t="inlineStr">
        <is>
          <t>customer_payment</t>
        </is>
      </c>
      <c r="I1622" t="inlineStr"/>
      <c r="J1622" t="inlineStr">
        <is>
          <t>G00033</t>
        </is>
      </c>
      <c r="K1622" t="str">
        <f>INDEX('Match Groups'!$D$5:$D$1326,MATCH(J1622,'Match Groups'!$A$5:$A$1326,0))</f>
        <v>STRIPE-FEE</v>
      </c>
    </row>
    <row r="1623">
      <c r="A1623" t="inlineStr">
        <is>
          <t>JI-02323</t>
        </is>
      </c>
      <c r="B1623" t="inlineStr">
        <is>
          <t>OPS</t>
        </is>
      </c>
      <c r="C1623" s="5" t="n">
        <v>46227</v>
      </c>
      <c r="D1623" t="inlineStr">
        <is>
          <t>Stripe patient 95010</t>
        </is>
      </c>
      <c r="E1623" t="inlineStr">
        <is>
          <t>INV/2026/04169</t>
        </is>
      </c>
      <c r="F1623" t="inlineStr">
        <is>
          <t>Customer payment INV/2026/04169</t>
        </is>
      </c>
      <c r="G1623" s="9" t="n">
        <v>110</v>
      </c>
      <c r="H1623" t="inlineStr">
        <is>
          <t>customer_payment</t>
        </is>
      </c>
      <c r="I1623" t="inlineStr"/>
      <c r="J1623" t="inlineStr">
        <is>
          <t>G00033</t>
        </is>
      </c>
      <c r="K1623" t="str">
        <f>INDEX('Match Groups'!$D$5:$D$1326,MATCH(J1623,'Match Groups'!$A$5:$A$1326,0))</f>
        <v>STRIPE-FEE</v>
      </c>
    </row>
    <row r="1624">
      <c r="A1624" t="inlineStr">
        <is>
          <t>JI-02324</t>
        </is>
      </c>
      <c r="B1624" t="inlineStr">
        <is>
          <t>OPS</t>
        </is>
      </c>
      <c r="C1624" s="5" t="n">
        <v>46227</v>
      </c>
      <c r="D1624" t="inlineStr">
        <is>
          <t>Stripe patient 27296</t>
        </is>
      </c>
      <c r="E1624" t="inlineStr">
        <is>
          <t>INV/2026/04170</t>
        </is>
      </c>
      <c r="F1624" t="inlineStr">
        <is>
          <t>Customer payment INV/2026/04170</t>
        </is>
      </c>
      <c r="G1624" s="9" t="n">
        <v>180</v>
      </c>
      <c r="H1624" t="inlineStr">
        <is>
          <t>customer_payment</t>
        </is>
      </c>
      <c r="I1624" t="inlineStr"/>
      <c r="J1624" t="inlineStr">
        <is>
          <t>G00033</t>
        </is>
      </c>
      <c r="K1624" t="str">
        <f>INDEX('Match Groups'!$D$5:$D$1326,MATCH(J1624,'Match Groups'!$A$5:$A$1326,0))</f>
        <v>STRIPE-FEE</v>
      </c>
    </row>
    <row r="1625">
      <c r="A1625" t="inlineStr">
        <is>
          <t>JI-02325</t>
        </is>
      </c>
      <c r="B1625" t="inlineStr">
        <is>
          <t>OPS</t>
        </is>
      </c>
      <c r="C1625" s="5" t="n">
        <v>46227</v>
      </c>
      <c r="D1625" t="inlineStr">
        <is>
          <t>Stripe patient 35506</t>
        </is>
      </c>
      <c r="E1625" t="inlineStr">
        <is>
          <t>INV/2026/04171</t>
        </is>
      </c>
      <c r="F1625" t="inlineStr">
        <is>
          <t>Customer payment INV/2026/04171</t>
        </is>
      </c>
      <c r="G1625" s="9" t="n">
        <v>220</v>
      </c>
      <c r="H1625" t="inlineStr">
        <is>
          <t>customer_payment</t>
        </is>
      </c>
      <c r="I1625" t="inlineStr"/>
      <c r="J1625" t="inlineStr">
        <is>
          <t>G00033</t>
        </is>
      </c>
      <c r="K1625" t="str">
        <f>INDEX('Match Groups'!$D$5:$D$1326,MATCH(J1625,'Match Groups'!$A$5:$A$1326,0))</f>
        <v>STRIPE-FEE</v>
      </c>
    </row>
    <row r="1626">
      <c r="A1626" t="inlineStr">
        <is>
          <t>JI-02326</t>
        </is>
      </c>
      <c r="B1626" t="inlineStr">
        <is>
          <t>OPS</t>
        </is>
      </c>
      <c r="C1626" s="5" t="n">
        <v>46227</v>
      </c>
      <c r="D1626" t="inlineStr">
        <is>
          <t>Stripe patient 89361</t>
        </is>
      </c>
      <c r="E1626" t="inlineStr">
        <is>
          <t>INV/2026/04172</t>
        </is>
      </c>
      <c r="F1626" t="inlineStr">
        <is>
          <t>Customer payment INV/2026/04172</t>
        </is>
      </c>
      <c r="G1626" s="9" t="n">
        <v>180</v>
      </c>
      <c r="H1626" t="inlineStr">
        <is>
          <t>customer_payment</t>
        </is>
      </c>
      <c r="I1626" t="inlineStr"/>
      <c r="J1626" t="inlineStr">
        <is>
          <t>G00033</t>
        </is>
      </c>
      <c r="K1626" t="str">
        <f>INDEX('Match Groups'!$D$5:$D$1326,MATCH(J1626,'Match Groups'!$A$5:$A$1326,0))</f>
        <v>STRIPE-FEE</v>
      </c>
    </row>
    <row r="1627">
      <c r="A1627" t="inlineStr">
        <is>
          <t>JI-02327</t>
        </is>
      </c>
      <c r="B1627" t="inlineStr">
        <is>
          <t>OPS</t>
        </is>
      </c>
      <c r="C1627" s="5" t="n">
        <v>46227</v>
      </c>
      <c r="D1627" t="inlineStr">
        <is>
          <t>Stripe patient 70365</t>
        </is>
      </c>
      <c r="E1627" t="inlineStr">
        <is>
          <t>INV/2026/04173</t>
        </is>
      </c>
      <c r="F1627" t="inlineStr">
        <is>
          <t>Customer payment INV/2026/04173</t>
        </is>
      </c>
      <c r="G1627" s="9" t="n">
        <v>95</v>
      </c>
      <c r="H1627" t="inlineStr">
        <is>
          <t>customer_payment</t>
        </is>
      </c>
      <c r="I1627" t="inlineStr"/>
      <c r="J1627" t="inlineStr">
        <is>
          <t>G00033</t>
        </is>
      </c>
      <c r="K1627" t="str">
        <f>INDEX('Match Groups'!$D$5:$D$1326,MATCH(J1627,'Match Groups'!$A$5:$A$1326,0))</f>
        <v>STRIPE-FEE</v>
      </c>
    </row>
    <row r="1628">
      <c r="A1628" t="inlineStr">
        <is>
          <t>JI-02328</t>
        </is>
      </c>
      <c r="B1628" t="inlineStr">
        <is>
          <t>OPS</t>
        </is>
      </c>
      <c r="C1628" s="5" t="n">
        <v>46227</v>
      </c>
      <c r="D1628" t="inlineStr">
        <is>
          <t>Stripe patient 86928</t>
        </is>
      </c>
      <c r="E1628" t="inlineStr">
        <is>
          <t>INV/2026/04174</t>
        </is>
      </c>
      <c r="F1628" t="inlineStr">
        <is>
          <t>Customer payment INV/2026/04174</t>
        </is>
      </c>
      <c r="G1628" s="9" t="n">
        <v>120</v>
      </c>
      <c r="H1628" t="inlineStr">
        <is>
          <t>customer_payment</t>
        </is>
      </c>
      <c r="I1628" t="inlineStr"/>
      <c r="J1628" t="inlineStr">
        <is>
          <t>G00033</t>
        </is>
      </c>
      <c r="K1628" t="str">
        <f>INDEX('Match Groups'!$D$5:$D$1326,MATCH(J1628,'Match Groups'!$A$5:$A$1326,0))</f>
        <v>STRIPE-FEE</v>
      </c>
    </row>
    <row r="1629">
      <c r="A1629" t="inlineStr">
        <is>
          <t>JI-02329</t>
        </is>
      </c>
      <c r="B1629" t="inlineStr">
        <is>
          <t>OPS</t>
        </is>
      </c>
      <c r="C1629" s="5" t="n">
        <v>46227</v>
      </c>
      <c r="D1629" t="inlineStr">
        <is>
          <t>Stripe patient 91258</t>
        </is>
      </c>
      <c r="E1629" t="inlineStr">
        <is>
          <t>INV/2026/04175</t>
        </is>
      </c>
      <c r="F1629" t="inlineStr">
        <is>
          <t>Customer payment INV/2026/04175</t>
        </is>
      </c>
      <c r="G1629" s="9" t="n">
        <v>135</v>
      </c>
      <c r="H1629" t="inlineStr">
        <is>
          <t>customer_payment</t>
        </is>
      </c>
      <c r="I1629" t="inlineStr"/>
      <c r="J1629" t="inlineStr">
        <is>
          <t>G00033</t>
        </is>
      </c>
      <c r="K1629" t="str">
        <f>INDEX('Match Groups'!$D$5:$D$1326,MATCH(J1629,'Match Groups'!$A$5:$A$1326,0))</f>
        <v>STRIPE-FEE</v>
      </c>
    </row>
    <row r="1630">
      <c r="A1630" t="inlineStr">
        <is>
          <t>JI-02330</t>
        </is>
      </c>
      <c r="B1630" t="inlineStr">
        <is>
          <t>OPS</t>
        </is>
      </c>
      <c r="C1630" s="5" t="n">
        <v>46227</v>
      </c>
      <c r="D1630" t="inlineStr">
        <is>
          <t>Stripe patient 26621</t>
        </is>
      </c>
      <c r="E1630" t="inlineStr">
        <is>
          <t>INV/2026/04176</t>
        </is>
      </c>
      <c r="F1630" t="inlineStr">
        <is>
          <t>Customer payment INV/2026/04176</t>
        </is>
      </c>
      <c r="G1630" s="9" t="n">
        <v>85</v>
      </c>
      <c r="H1630" t="inlineStr">
        <is>
          <t>customer_payment</t>
        </is>
      </c>
      <c r="I1630" t="inlineStr"/>
      <c r="J1630" t="inlineStr">
        <is>
          <t>G00033</t>
        </is>
      </c>
      <c r="K1630" t="str">
        <f>INDEX('Match Groups'!$D$5:$D$1326,MATCH(J1630,'Match Groups'!$A$5:$A$1326,0))</f>
        <v>STRIPE-FEE</v>
      </c>
    </row>
    <row r="1631">
      <c r="A1631" t="inlineStr">
        <is>
          <t>JI-02331</t>
        </is>
      </c>
      <c r="B1631" t="inlineStr">
        <is>
          <t>OPS</t>
        </is>
      </c>
      <c r="C1631" s="5" t="n">
        <v>46227</v>
      </c>
      <c r="D1631" t="inlineStr">
        <is>
          <t>Stripe patient 18678</t>
        </is>
      </c>
      <c r="E1631" t="inlineStr">
        <is>
          <t>INV/2026/04177</t>
        </is>
      </c>
      <c r="F1631" t="inlineStr">
        <is>
          <t>Customer payment INV/2026/04177</t>
        </is>
      </c>
      <c r="G1631" s="9" t="n">
        <v>135</v>
      </c>
      <c r="H1631" t="inlineStr">
        <is>
          <t>customer_payment</t>
        </is>
      </c>
      <c r="I1631" t="inlineStr"/>
      <c r="J1631" t="inlineStr">
        <is>
          <t>G00033</t>
        </is>
      </c>
      <c r="K1631" t="str">
        <f>INDEX('Match Groups'!$D$5:$D$1326,MATCH(J1631,'Match Groups'!$A$5:$A$1326,0))</f>
        <v>STRIPE-FEE</v>
      </c>
    </row>
    <row r="1632">
      <c r="A1632" t="inlineStr">
        <is>
          <t>JI-02332</t>
        </is>
      </c>
      <c r="B1632" t="inlineStr">
        <is>
          <t>OPS</t>
        </is>
      </c>
      <c r="C1632" s="5" t="n">
        <v>46227</v>
      </c>
      <c r="D1632" t="inlineStr">
        <is>
          <t>Stripe patient 14013</t>
        </is>
      </c>
      <c r="E1632" t="inlineStr">
        <is>
          <t>INV/2026/04178</t>
        </is>
      </c>
      <c r="F1632" t="inlineStr">
        <is>
          <t>Customer payment INV/2026/04178</t>
        </is>
      </c>
      <c r="G1632" s="9" t="n">
        <v>220</v>
      </c>
      <c r="H1632" t="inlineStr">
        <is>
          <t>customer_payment</t>
        </is>
      </c>
      <c r="I1632" t="inlineStr"/>
      <c r="J1632" t="inlineStr">
        <is>
          <t>G00033</t>
        </is>
      </c>
      <c r="K1632" t="str">
        <f>INDEX('Match Groups'!$D$5:$D$1326,MATCH(J1632,'Match Groups'!$A$5:$A$1326,0))</f>
        <v>STRIPE-FEE</v>
      </c>
    </row>
    <row r="1633">
      <c r="A1633" t="inlineStr">
        <is>
          <t>JI-02333</t>
        </is>
      </c>
      <c r="B1633" t="inlineStr">
        <is>
          <t>OPS</t>
        </is>
      </c>
      <c r="C1633" s="5" t="n">
        <v>46227</v>
      </c>
      <c r="D1633" t="inlineStr">
        <is>
          <t>Stripe patient 39295</t>
        </is>
      </c>
      <c r="E1633" t="inlineStr">
        <is>
          <t>INV/2026/04179</t>
        </is>
      </c>
      <c r="F1633" t="inlineStr">
        <is>
          <t>Customer payment INV/2026/04179</t>
        </is>
      </c>
      <c r="G1633" s="9" t="n">
        <v>220</v>
      </c>
      <c r="H1633" t="inlineStr">
        <is>
          <t>customer_payment</t>
        </is>
      </c>
      <c r="I1633" t="inlineStr"/>
      <c r="J1633" t="inlineStr">
        <is>
          <t>G00033</t>
        </is>
      </c>
      <c r="K1633" t="str">
        <f>INDEX('Match Groups'!$D$5:$D$1326,MATCH(J1633,'Match Groups'!$A$5:$A$1326,0))</f>
        <v>STRIPE-FEE</v>
      </c>
    </row>
    <row r="1634">
      <c r="A1634" t="inlineStr">
        <is>
          <t>JI-02334</t>
        </is>
      </c>
      <c r="B1634" t="inlineStr">
        <is>
          <t>OPS</t>
        </is>
      </c>
      <c r="C1634" s="5" t="n">
        <v>46227</v>
      </c>
      <c r="D1634" t="inlineStr">
        <is>
          <t>Stripe patient 72586</t>
        </is>
      </c>
      <c r="E1634" t="inlineStr">
        <is>
          <t>INV/2026/04180</t>
        </is>
      </c>
      <c r="F1634" t="inlineStr">
        <is>
          <t>Customer payment INV/2026/04180</t>
        </is>
      </c>
      <c r="G1634" s="9" t="n">
        <v>110</v>
      </c>
      <c r="H1634" t="inlineStr">
        <is>
          <t>customer_payment</t>
        </is>
      </c>
      <c r="I1634" t="inlineStr"/>
      <c r="J1634" t="inlineStr">
        <is>
          <t>G00033</t>
        </is>
      </c>
      <c r="K1634" t="str">
        <f>INDEX('Match Groups'!$D$5:$D$1326,MATCH(J1634,'Match Groups'!$A$5:$A$1326,0))</f>
        <v>STRIPE-FEE</v>
      </c>
    </row>
    <row r="1635">
      <c r="A1635" t="inlineStr">
        <is>
          <t>JI-02335</t>
        </is>
      </c>
      <c r="B1635" t="inlineStr">
        <is>
          <t>OPS</t>
        </is>
      </c>
      <c r="C1635" s="5" t="n">
        <v>46227</v>
      </c>
      <c r="D1635" t="inlineStr">
        <is>
          <t>Stripe patient 46792</t>
        </is>
      </c>
      <c r="E1635" t="inlineStr">
        <is>
          <t>INV/2026/04181</t>
        </is>
      </c>
      <c r="F1635" t="inlineStr">
        <is>
          <t>Customer payment INV/2026/04181</t>
        </is>
      </c>
      <c r="G1635" s="9" t="n">
        <v>120</v>
      </c>
      <c r="H1635" t="inlineStr">
        <is>
          <t>customer_payment</t>
        </is>
      </c>
      <c r="I1635" t="inlineStr"/>
      <c r="J1635" t="inlineStr">
        <is>
          <t>G00033</t>
        </is>
      </c>
      <c r="K1635" t="str">
        <f>INDEX('Match Groups'!$D$5:$D$1326,MATCH(J1635,'Match Groups'!$A$5:$A$1326,0))</f>
        <v>STRIPE-FEE</v>
      </c>
    </row>
    <row r="1636">
      <c r="A1636" t="inlineStr">
        <is>
          <t>JI-02336</t>
        </is>
      </c>
      <c r="B1636" t="inlineStr">
        <is>
          <t>OPS</t>
        </is>
      </c>
      <c r="C1636" s="5" t="n">
        <v>46227</v>
      </c>
      <c r="D1636" t="inlineStr">
        <is>
          <t>Stripe patient 66341</t>
        </is>
      </c>
      <c r="E1636" t="inlineStr">
        <is>
          <t>INV/2026/04182</t>
        </is>
      </c>
      <c r="F1636" t="inlineStr">
        <is>
          <t>Customer payment INV/2026/04182</t>
        </is>
      </c>
      <c r="G1636" s="9" t="n">
        <v>180</v>
      </c>
      <c r="H1636" t="inlineStr">
        <is>
          <t>customer_payment</t>
        </is>
      </c>
      <c r="I1636" t="inlineStr"/>
      <c r="J1636" t="inlineStr">
        <is>
          <t>G00033</t>
        </is>
      </c>
      <c r="K1636" t="str">
        <f>INDEX('Match Groups'!$D$5:$D$1326,MATCH(J1636,'Match Groups'!$A$5:$A$1326,0))</f>
        <v>STRIPE-FEE</v>
      </c>
    </row>
    <row r="1637">
      <c r="A1637" t="inlineStr">
        <is>
          <t>JI-03922</t>
        </is>
      </c>
      <c r="B1637" t="inlineStr">
        <is>
          <t>OPS</t>
        </is>
      </c>
      <c r="C1637" s="5" t="n">
        <v>46227</v>
      </c>
      <c r="D1637" t="inlineStr">
        <is>
          <t>Clinical Education Hub</t>
        </is>
      </c>
      <c r="E1637" t="inlineStr">
        <is>
          <t>CHQ 000404</t>
        </is>
      </c>
      <c r="F1637" t="inlineStr">
        <is>
          <t>Cheque 000404 Clinical Education Hub</t>
        </is>
      </c>
      <c r="G1637" s="9" t="n">
        <v>-924</v>
      </c>
      <c r="H1637" t="inlineStr">
        <is>
          <t>supplier_payment</t>
        </is>
      </c>
      <c r="I1637" t="inlineStr"/>
      <c r="J1637" t="inlineStr">
        <is>
          <t>G00522</t>
        </is>
      </c>
      <c r="K1637" t="str">
        <f>INDEX('Match Groups'!$D$5:$D$1326,MATCH(J1637,'Match Groups'!$A$5:$A$1326,0))</f>
        <v>MATCH</v>
      </c>
    </row>
    <row r="1638">
      <c r="A1638" t="inlineStr">
        <is>
          <t>JI-01632</t>
        </is>
      </c>
      <c r="B1638" t="inlineStr">
        <is>
          <t>OPS</t>
        </is>
      </c>
      <c r="C1638" s="5" t="n">
        <v>46228</v>
      </c>
      <c r="D1638" t="inlineStr">
        <is>
          <t>Northline Injury Claims</t>
        </is>
      </c>
      <c r="E1638" t="inlineStr">
        <is>
          <t>INV/2026/02087</t>
        </is>
      </c>
      <c r="F1638" t="inlineStr">
        <is>
          <t>Customer payment INV/2026/02087</t>
        </is>
      </c>
      <c r="G1638" s="9" t="n">
        <v>176</v>
      </c>
      <c r="H1638" t="inlineStr">
        <is>
          <t>customer_payment</t>
        </is>
      </c>
      <c r="I1638" t="inlineStr"/>
      <c r="J1638" t="inlineStr">
        <is>
          <t>G00962</t>
        </is>
      </c>
      <c r="K1638" t="str">
        <f>INDEX('Match Groups'!$D$5:$D$1326,MATCH(J1638,'Match Groups'!$A$5:$A$1326,0))</f>
        <v>MATCH</v>
      </c>
    </row>
    <row r="1639">
      <c r="A1639" t="inlineStr">
        <is>
          <t>JI-02337</t>
        </is>
      </c>
      <c r="B1639" t="inlineStr">
        <is>
          <t>OPS</t>
        </is>
      </c>
      <c r="C1639" s="5" t="n">
        <v>46228</v>
      </c>
      <c r="D1639" t="inlineStr">
        <is>
          <t>Stripe patient 12436</t>
        </is>
      </c>
      <c r="E1639" t="inlineStr">
        <is>
          <t>INV/2026/04183</t>
        </is>
      </c>
      <c r="F1639" t="inlineStr">
        <is>
          <t>Customer payment INV/2026/04183</t>
        </is>
      </c>
      <c r="G1639" s="9" t="n">
        <v>135</v>
      </c>
      <c r="H1639" t="inlineStr">
        <is>
          <t>customer_payment</t>
        </is>
      </c>
      <c r="I1639" t="inlineStr"/>
      <c r="J1639" t="inlineStr">
        <is>
          <t>G00033</t>
        </is>
      </c>
      <c r="K1639" t="str">
        <f>INDEX('Match Groups'!$D$5:$D$1326,MATCH(J1639,'Match Groups'!$A$5:$A$1326,0))</f>
        <v>STRIPE-FEE</v>
      </c>
    </row>
    <row r="1640">
      <c r="A1640" t="inlineStr">
        <is>
          <t>JI-02338</t>
        </is>
      </c>
      <c r="B1640" t="inlineStr">
        <is>
          <t>OPS</t>
        </is>
      </c>
      <c r="C1640" s="5" t="n">
        <v>46228</v>
      </c>
      <c r="D1640" t="inlineStr">
        <is>
          <t>Stripe patient 58885</t>
        </is>
      </c>
      <c r="E1640" t="inlineStr">
        <is>
          <t>INV/2026/04184</t>
        </is>
      </c>
      <c r="F1640" t="inlineStr">
        <is>
          <t>Customer payment INV/2026/04184</t>
        </is>
      </c>
      <c r="G1640" s="9" t="n">
        <v>120</v>
      </c>
      <c r="H1640" t="inlineStr">
        <is>
          <t>customer_payment</t>
        </is>
      </c>
      <c r="I1640" t="inlineStr"/>
      <c r="J1640" t="inlineStr">
        <is>
          <t>G00033</t>
        </is>
      </c>
      <c r="K1640" t="str">
        <f>INDEX('Match Groups'!$D$5:$D$1326,MATCH(J1640,'Match Groups'!$A$5:$A$1326,0))</f>
        <v>STRIPE-FEE</v>
      </c>
    </row>
    <row r="1641">
      <c r="A1641" t="inlineStr">
        <is>
          <t>JI-02339</t>
        </is>
      </c>
      <c r="B1641" t="inlineStr">
        <is>
          <t>OPS</t>
        </is>
      </c>
      <c r="C1641" s="5" t="n">
        <v>46228</v>
      </c>
      <c r="D1641" t="inlineStr">
        <is>
          <t>Stripe patient 21955</t>
        </is>
      </c>
      <c r="E1641" t="inlineStr">
        <is>
          <t>INV/2026/04185</t>
        </is>
      </c>
      <c r="F1641" t="inlineStr">
        <is>
          <t>Customer payment INV/2026/04185</t>
        </is>
      </c>
      <c r="G1641" s="9" t="n">
        <v>110</v>
      </c>
      <c r="H1641" t="inlineStr">
        <is>
          <t>customer_payment</t>
        </is>
      </c>
      <c r="I1641" t="inlineStr"/>
      <c r="J1641" t="inlineStr">
        <is>
          <t>G00033</t>
        </is>
      </c>
      <c r="K1641" t="str">
        <f>INDEX('Match Groups'!$D$5:$D$1326,MATCH(J1641,'Match Groups'!$A$5:$A$1326,0))</f>
        <v>STRIPE-FEE</v>
      </c>
    </row>
    <row r="1642">
      <c r="A1642" t="inlineStr">
        <is>
          <t>JI-02340</t>
        </is>
      </c>
      <c r="B1642" t="inlineStr">
        <is>
          <t>OPS</t>
        </is>
      </c>
      <c r="C1642" s="5" t="n">
        <v>46228</v>
      </c>
      <c r="D1642" t="inlineStr">
        <is>
          <t>Stripe patient 58138</t>
        </is>
      </c>
      <c r="E1642" t="inlineStr">
        <is>
          <t>INV/2026/04186</t>
        </is>
      </c>
      <c r="F1642" t="inlineStr">
        <is>
          <t>Customer payment INV/2026/04186</t>
        </is>
      </c>
      <c r="G1642" s="9" t="n">
        <v>150</v>
      </c>
      <c r="H1642" t="inlineStr">
        <is>
          <t>customer_payment</t>
        </is>
      </c>
      <c r="I1642" t="inlineStr"/>
      <c r="J1642" t="inlineStr">
        <is>
          <t>G00033</t>
        </is>
      </c>
      <c r="K1642" t="str">
        <f>INDEX('Match Groups'!$D$5:$D$1326,MATCH(J1642,'Match Groups'!$A$5:$A$1326,0))</f>
        <v>STRIPE-FEE</v>
      </c>
    </row>
    <row r="1643">
      <c r="A1643" t="inlineStr">
        <is>
          <t>JI-02341</t>
        </is>
      </c>
      <c r="B1643" t="inlineStr">
        <is>
          <t>OPS</t>
        </is>
      </c>
      <c r="C1643" s="5" t="n">
        <v>46228</v>
      </c>
      <c r="D1643" t="inlineStr">
        <is>
          <t>Stripe patient 17608</t>
        </is>
      </c>
      <c r="E1643" t="inlineStr">
        <is>
          <t>INV/2026/04187</t>
        </is>
      </c>
      <c r="F1643" t="inlineStr">
        <is>
          <t>Customer payment INV/2026/04187</t>
        </is>
      </c>
      <c r="G1643" s="9" t="n">
        <v>120</v>
      </c>
      <c r="H1643" t="inlineStr">
        <is>
          <t>customer_payment</t>
        </is>
      </c>
      <c r="I1643" t="inlineStr"/>
      <c r="J1643" t="inlineStr">
        <is>
          <t>G00033</t>
        </is>
      </c>
      <c r="K1643" t="str">
        <f>INDEX('Match Groups'!$D$5:$D$1326,MATCH(J1643,'Match Groups'!$A$5:$A$1326,0))</f>
        <v>STRIPE-FEE</v>
      </c>
    </row>
    <row r="1644">
      <c r="A1644" t="inlineStr">
        <is>
          <t>JI-02342</t>
        </is>
      </c>
      <c r="B1644" t="inlineStr">
        <is>
          <t>OPS</t>
        </is>
      </c>
      <c r="C1644" s="5" t="n">
        <v>46228</v>
      </c>
      <c r="D1644" t="inlineStr">
        <is>
          <t>Stripe patient 87093</t>
        </is>
      </c>
      <c r="E1644" t="inlineStr">
        <is>
          <t>INV/2026/04188</t>
        </is>
      </c>
      <c r="F1644" t="inlineStr">
        <is>
          <t>Customer payment INV/2026/04188</t>
        </is>
      </c>
      <c r="G1644" s="9" t="n">
        <v>120</v>
      </c>
      <c r="H1644" t="inlineStr">
        <is>
          <t>customer_payment</t>
        </is>
      </c>
      <c r="I1644" t="inlineStr"/>
      <c r="J1644" t="inlineStr">
        <is>
          <t>G00033</t>
        </is>
      </c>
      <c r="K1644" t="str">
        <f>INDEX('Match Groups'!$D$5:$D$1326,MATCH(J1644,'Match Groups'!$A$5:$A$1326,0))</f>
        <v>STRIPE-FEE</v>
      </c>
    </row>
    <row r="1645">
      <c r="A1645" t="inlineStr">
        <is>
          <t>JI-02343</t>
        </is>
      </c>
      <c r="B1645" t="inlineStr">
        <is>
          <t>OPS</t>
        </is>
      </c>
      <c r="C1645" s="5" t="n">
        <v>46228</v>
      </c>
      <c r="D1645" t="inlineStr">
        <is>
          <t>Stripe patient 92900</t>
        </is>
      </c>
      <c r="E1645" t="inlineStr">
        <is>
          <t>INV/2026/04189</t>
        </is>
      </c>
      <c r="F1645" t="inlineStr">
        <is>
          <t>Customer payment INV/2026/04189</t>
        </is>
      </c>
      <c r="G1645" s="9" t="n">
        <v>120</v>
      </c>
      <c r="H1645" t="inlineStr">
        <is>
          <t>customer_payment</t>
        </is>
      </c>
      <c r="I1645" t="inlineStr"/>
      <c r="J1645" t="inlineStr">
        <is>
          <t>G00033</t>
        </is>
      </c>
      <c r="K1645" t="str">
        <f>INDEX('Match Groups'!$D$5:$D$1326,MATCH(J1645,'Match Groups'!$A$5:$A$1326,0))</f>
        <v>STRIPE-FEE</v>
      </c>
    </row>
    <row r="1646">
      <c r="A1646" t="inlineStr">
        <is>
          <t>JI-00593</t>
        </is>
      </c>
      <c r="B1646" t="inlineStr">
        <is>
          <t>OPS</t>
        </is>
      </c>
      <c r="C1646" s="5" t="n">
        <v>46229</v>
      </c>
      <c r="D1646" t="inlineStr">
        <is>
          <t>Ironbark Plan Management</t>
        </is>
      </c>
      <c r="E1646" t="inlineStr">
        <is>
          <t>INV/2026/02189</t>
        </is>
      </c>
      <c r="F1646" t="inlineStr">
        <is>
          <t>Customer payment INV/2026/02189</t>
        </is>
      </c>
      <c r="G1646" s="9" t="n">
        <v>290.98</v>
      </c>
      <c r="H1646" t="inlineStr">
        <is>
          <t>customer_payment</t>
        </is>
      </c>
      <c r="I1646" t="inlineStr"/>
      <c r="J1646" t="inlineStr">
        <is>
          <t>G00206</t>
        </is>
      </c>
      <c r="K1646" t="str">
        <f>INDEX('Match Groups'!$D$5:$D$1326,MATCH(J1646,'Match Groups'!$A$5:$A$1326,0))</f>
        <v>MATCH</v>
      </c>
    </row>
    <row r="1647">
      <c r="A1647" t="inlineStr">
        <is>
          <t>JI-00594</t>
        </is>
      </c>
      <c r="B1647" t="inlineStr">
        <is>
          <t>OPS</t>
        </is>
      </c>
      <c r="C1647" s="5" t="n">
        <v>46229</v>
      </c>
      <c r="D1647" t="inlineStr">
        <is>
          <t>Ironbark Plan Management</t>
        </is>
      </c>
      <c r="E1647" t="inlineStr">
        <is>
          <t>INV/2026/02190</t>
        </is>
      </c>
      <c r="F1647" t="inlineStr">
        <is>
          <t>Customer payment INV/2026/02190</t>
        </is>
      </c>
      <c r="G1647" s="9" t="n">
        <v>242.49</v>
      </c>
      <c r="H1647" t="inlineStr">
        <is>
          <t>customer_payment</t>
        </is>
      </c>
      <c r="I1647" t="inlineStr"/>
      <c r="J1647" t="inlineStr">
        <is>
          <t>G00206</t>
        </is>
      </c>
      <c r="K1647" t="str">
        <f>INDEX('Match Groups'!$D$5:$D$1326,MATCH(J1647,'Match Groups'!$A$5:$A$1326,0))</f>
        <v>MATCH</v>
      </c>
    </row>
    <row r="1648">
      <c r="A1648" t="inlineStr">
        <is>
          <t>JI-00595</t>
        </is>
      </c>
      <c r="B1648" t="inlineStr">
        <is>
          <t>OPS</t>
        </is>
      </c>
      <c r="C1648" s="5" t="n">
        <v>46229</v>
      </c>
      <c r="D1648" t="inlineStr">
        <is>
          <t>Ironbark Plan Management</t>
        </is>
      </c>
      <c r="E1648" t="inlineStr">
        <is>
          <t>INV/2026/02210</t>
        </is>
      </c>
      <c r="F1648" t="inlineStr">
        <is>
          <t>Customer payment INV/2026/02210</t>
        </is>
      </c>
      <c r="G1648" s="9" t="n">
        <v>290.98</v>
      </c>
      <c r="H1648" t="inlineStr">
        <is>
          <t>customer_payment</t>
        </is>
      </c>
      <c r="I1648" t="inlineStr"/>
      <c r="J1648" t="inlineStr">
        <is>
          <t>G00206</t>
        </is>
      </c>
      <c r="K1648" t="str">
        <f>INDEX('Match Groups'!$D$5:$D$1326,MATCH(J1648,'Match Groups'!$A$5:$A$1326,0))</f>
        <v>MATCH</v>
      </c>
    </row>
    <row r="1649">
      <c r="A1649" t="inlineStr">
        <is>
          <t>JI-00596</t>
        </is>
      </c>
      <c r="B1649" t="inlineStr">
        <is>
          <t>OPS</t>
        </is>
      </c>
      <c r="C1649" s="5" t="n">
        <v>46229</v>
      </c>
      <c r="D1649" t="inlineStr">
        <is>
          <t>Ironbark Plan Management</t>
        </is>
      </c>
      <c r="E1649" t="inlineStr">
        <is>
          <t>INV/2026/02211</t>
        </is>
      </c>
      <c r="F1649" t="inlineStr">
        <is>
          <t>Customer payment INV/2026/02211</t>
        </is>
      </c>
      <c r="G1649" s="9" t="n">
        <v>203.69</v>
      </c>
      <c r="H1649" t="inlineStr">
        <is>
          <t>customer_payment</t>
        </is>
      </c>
      <c r="I1649" t="inlineStr"/>
      <c r="J1649" t="inlineStr">
        <is>
          <t>G00206</t>
        </is>
      </c>
      <c r="K1649" t="str">
        <f>INDEX('Match Groups'!$D$5:$D$1326,MATCH(J1649,'Match Groups'!$A$5:$A$1326,0))</f>
        <v>MATCH</v>
      </c>
    </row>
    <row r="1650">
      <c r="A1650" t="inlineStr">
        <is>
          <t>JI-00597</t>
        </is>
      </c>
      <c r="B1650" t="inlineStr">
        <is>
          <t>OPS</t>
        </is>
      </c>
      <c r="C1650" s="5" t="n">
        <v>46229</v>
      </c>
      <c r="D1650" t="inlineStr">
        <is>
          <t>Ironbark Plan Management</t>
        </is>
      </c>
      <c r="E1650" t="inlineStr">
        <is>
          <t>INV/2026/02235</t>
        </is>
      </c>
      <c r="F1650" t="inlineStr">
        <is>
          <t>Customer payment INV/2026/02235</t>
        </is>
      </c>
      <c r="G1650" s="9" t="n">
        <v>242.49</v>
      </c>
      <c r="H1650" t="inlineStr">
        <is>
          <t>customer_payment</t>
        </is>
      </c>
      <c r="I1650" t="inlineStr"/>
      <c r="J1650" t="inlineStr">
        <is>
          <t>G00206</t>
        </is>
      </c>
      <c r="K1650" t="str">
        <f>INDEX('Match Groups'!$D$5:$D$1326,MATCH(J1650,'Match Groups'!$A$5:$A$1326,0))</f>
        <v>MATCH</v>
      </c>
    </row>
    <row r="1651">
      <c r="A1651" t="inlineStr">
        <is>
          <t>JI-00598</t>
        </is>
      </c>
      <c r="B1651" t="inlineStr">
        <is>
          <t>OPS</t>
        </is>
      </c>
      <c r="C1651" s="5" t="n">
        <v>46229</v>
      </c>
      <c r="D1651" t="inlineStr">
        <is>
          <t>Ironbark Plan Management</t>
        </is>
      </c>
      <c r="E1651" t="inlineStr">
        <is>
          <t>INV/2026/02257</t>
        </is>
      </c>
      <c r="F1651" t="inlineStr">
        <is>
          <t>Customer payment INV/2026/02257</t>
        </is>
      </c>
      <c r="G1651" s="9" t="n">
        <v>290.98</v>
      </c>
      <c r="H1651" t="inlineStr">
        <is>
          <t>customer_payment</t>
        </is>
      </c>
      <c r="I1651" t="inlineStr"/>
      <c r="J1651" t="inlineStr">
        <is>
          <t>G00206</t>
        </is>
      </c>
      <c r="K1651" t="str">
        <f>INDEX('Match Groups'!$D$5:$D$1326,MATCH(J1651,'Match Groups'!$A$5:$A$1326,0))</f>
        <v>MATCH</v>
      </c>
    </row>
    <row r="1652">
      <c r="A1652" t="inlineStr">
        <is>
          <t>JI-00599</t>
        </is>
      </c>
      <c r="B1652" t="inlineStr">
        <is>
          <t>OPS</t>
        </is>
      </c>
      <c r="C1652" s="5" t="n">
        <v>46229</v>
      </c>
      <c r="D1652" t="inlineStr">
        <is>
          <t>Ironbark Plan Management</t>
        </is>
      </c>
      <c r="E1652" t="inlineStr">
        <is>
          <t>INV/2026/02289</t>
        </is>
      </c>
      <c r="F1652" t="inlineStr">
        <is>
          <t>Customer payment INV/2026/02289</t>
        </is>
      </c>
      <c r="G1652" s="9" t="n">
        <v>145.49</v>
      </c>
      <c r="H1652" t="inlineStr">
        <is>
          <t>customer_payment</t>
        </is>
      </c>
      <c r="I1652" t="inlineStr"/>
      <c r="J1652" t="inlineStr">
        <is>
          <t>G00206</t>
        </is>
      </c>
      <c r="K1652" t="str">
        <f>INDEX('Match Groups'!$D$5:$D$1326,MATCH(J1652,'Match Groups'!$A$5:$A$1326,0))</f>
        <v>MATCH</v>
      </c>
    </row>
    <row r="1653">
      <c r="A1653" t="inlineStr">
        <is>
          <t>JI-00600</t>
        </is>
      </c>
      <c r="B1653" t="inlineStr">
        <is>
          <t>OPS</t>
        </is>
      </c>
      <c r="C1653" s="5" t="n">
        <v>46229</v>
      </c>
      <c r="D1653" t="inlineStr">
        <is>
          <t>Ironbark Plan Management</t>
        </is>
      </c>
      <c r="E1653" t="inlineStr">
        <is>
          <t>INV/2026/02306</t>
        </is>
      </c>
      <c r="F1653" t="inlineStr">
        <is>
          <t>Customer payment INV/2026/02306</t>
        </is>
      </c>
      <c r="G1653" s="9" t="n">
        <v>242.49</v>
      </c>
      <c r="H1653" t="inlineStr">
        <is>
          <t>customer_payment</t>
        </is>
      </c>
      <c r="I1653" t="inlineStr"/>
      <c r="J1653" t="inlineStr">
        <is>
          <t>G00206</t>
        </is>
      </c>
      <c r="K1653" t="str">
        <f>INDEX('Match Groups'!$D$5:$D$1326,MATCH(J1653,'Match Groups'!$A$5:$A$1326,0))</f>
        <v>MATCH</v>
      </c>
    </row>
    <row r="1654">
      <c r="A1654" t="inlineStr">
        <is>
          <t>JI-00584</t>
        </is>
      </c>
      <c r="B1654" t="inlineStr">
        <is>
          <t>OPS</t>
        </is>
      </c>
      <c r="C1654" s="5" t="n">
        <v>46230</v>
      </c>
      <c r="D1654" t="inlineStr">
        <is>
          <t>Bluegum Plan Management</t>
        </is>
      </c>
      <c r="E1654" t="inlineStr">
        <is>
          <t>INV/2026/01915</t>
        </is>
      </c>
      <c r="F1654" t="inlineStr">
        <is>
          <t>Customer payment INV/2026/01915</t>
        </is>
      </c>
      <c r="G1654" s="9" t="n">
        <v>387.98</v>
      </c>
      <c r="H1654" t="inlineStr">
        <is>
          <t>customer_payment</t>
        </is>
      </c>
      <c r="I1654" t="inlineStr"/>
      <c r="J1654" t="inlineStr">
        <is>
          <t>G00203</t>
        </is>
      </c>
      <c r="K1654" t="str">
        <f>INDEX('Match Groups'!$D$5:$D$1326,MATCH(J1654,'Match Groups'!$A$5:$A$1326,0))</f>
        <v>MATCH</v>
      </c>
    </row>
    <row r="1655">
      <c r="A1655" t="inlineStr">
        <is>
          <t>JI-00585</t>
        </is>
      </c>
      <c r="B1655" t="inlineStr">
        <is>
          <t>OPS</t>
        </is>
      </c>
      <c r="C1655" s="5" t="n">
        <v>46230</v>
      </c>
      <c r="D1655" t="inlineStr">
        <is>
          <t>Bluegum Plan Management</t>
        </is>
      </c>
      <c r="E1655" t="inlineStr">
        <is>
          <t>INV/2026/01916</t>
        </is>
      </c>
      <c r="F1655" t="inlineStr">
        <is>
          <t>Customer payment INV/2026/01916</t>
        </is>
      </c>
      <c r="G1655" s="9" t="n">
        <v>320.98</v>
      </c>
      <c r="H1655" t="inlineStr">
        <is>
          <t>customer_payment</t>
        </is>
      </c>
      <c r="I1655" t="inlineStr"/>
      <c r="J1655" t="inlineStr">
        <is>
          <t>G00203</t>
        </is>
      </c>
      <c r="K1655" t="str">
        <f>INDEX('Match Groups'!$D$5:$D$1326,MATCH(J1655,'Match Groups'!$A$5:$A$1326,0))</f>
        <v>MATCH</v>
      </c>
    </row>
    <row r="1656">
      <c r="A1656" t="inlineStr">
        <is>
          <t>JI-00586</t>
        </is>
      </c>
      <c r="B1656" t="inlineStr">
        <is>
          <t>OPS</t>
        </is>
      </c>
      <c r="C1656" s="5" t="n">
        <v>46230</v>
      </c>
      <c r="D1656" t="inlineStr">
        <is>
          <t>Bluegum Plan Management</t>
        </is>
      </c>
      <c r="E1656" t="inlineStr">
        <is>
          <t>INV/2026/01992</t>
        </is>
      </c>
      <c r="F1656" t="inlineStr">
        <is>
          <t>Customer payment INV/2026/01992</t>
        </is>
      </c>
      <c r="G1656" s="9" t="n">
        <v>242.49</v>
      </c>
      <c r="H1656" t="inlineStr">
        <is>
          <t>customer_payment</t>
        </is>
      </c>
      <c r="I1656" t="inlineStr"/>
      <c r="J1656" t="inlineStr">
        <is>
          <t>G00203</t>
        </is>
      </c>
      <c r="K1656" t="str">
        <f>INDEX('Match Groups'!$D$5:$D$1326,MATCH(J1656,'Match Groups'!$A$5:$A$1326,0))</f>
        <v>MATCH</v>
      </c>
    </row>
    <row r="1657">
      <c r="A1657" t="inlineStr">
        <is>
          <t>JI-00587</t>
        </is>
      </c>
      <c r="B1657" t="inlineStr">
        <is>
          <t>OPS</t>
        </is>
      </c>
      <c r="C1657" s="5" t="n">
        <v>46230</v>
      </c>
      <c r="D1657" t="inlineStr">
        <is>
          <t>Bluegum Plan Management</t>
        </is>
      </c>
      <c r="E1657" t="inlineStr">
        <is>
          <t>INV/2026/01993</t>
        </is>
      </c>
      <c r="F1657" t="inlineStr">
        <is>
          <t>Customer payment INV/2026/01993</t>
        </is>
      </c>
      <c r="G1657" s="9" t="n">
        <v>272.49</v>
      </c>
      <c r="H1657" t="inlineStr">
        <is>
          <t>customer_payment</t>
        </is>
      </c>
      <c r="I1657" t="inlineStr"/>
      <c r="J1657" t="inlineStr">
        <is>
          <t>G00203</t>
        </is>
      </c>
      <c r="K1657" t="str">
        <f>INDEX('Match Groups'!$D$5:$D$1326,MATCH(J1657,'Match Groups'!$A$5:$A$1326,0))</f>
        <v>MATCH</v>
      </c>
    </row>
    <row r="1658">
      <c r="A1658" t="inlineStr">
        <is>
          <t>JI-00588</t>
        </is>
      </c>
      <c r="B1658" t="inlineStr">
        <is>
          <t>OPS</t>
        </is>
      </c>
      <c r="C1658" s="5" t="n">
        <v>46230</v>
      </c>
      <c r="D1658" t="inlineStr">
        <is>
          <t>Riverbend Plan Partners</t>
        </is>
      </c>
      <c r="E1658" t="inlineStr">
        <is>
          <t>INV/2026/02272</t>
        </is>
      </c>
      <c r="F1658" t="inlineStr">
        <is>
          <t>Customer payment INV/2026/02272</t>
        </is>
      </c>
      <c r="G1658" s="9" t="n">
        <v>272.49</v>
      </c>
      <c r="H1658" t="inlineStr">
        <is>
          <t>customer_payment</t>
        </is>
      </c>
      <c r="I1658" t="inlineStr"/>
      <c r="J1658" t="inlineStr">
        <is>
          <t>G00204</t>
        </is>
      </c>
      <c r="K1658" t="str">
        <f>INDEX('Match Groups'!$D$5:$D$1326,MATCH(J1658,'Match Groups'!$A$5:$A$1326,0))</f>
        <v>MATCH</v>
      </c>
    </row>
    <row r="1659">
      <c r="A1659" t="inlineStr">
        <is>
          <t>JI-00589</t>
        </is>
      </c>
      <c r="B1659" t="inlineStr">
        <is>
          <t>OPS</t>
        </is>
      </c>
      <c r="C1659" s="5" t="n">
        <v>46230</v>
      </c>
      <c r="D1659" t="inlineStr">
        <is>
          <t>Banksia Plan Co</t>
        </is>
      </c>
      <c r="E1659" t="inlineStr">
        <is>
          <t>INV/2026/02234</t>
        </is>
      </c>
      <c r="F1659" t="inlineStr">
        <is>
          <t>Customer payment INV/2026/02234</t>
        </is>
      </c>
      <c r="G1659" s="9" t="n">
        <v>126.99</v>
      </c>
      <c r="H1659" t="inlineStr">
        <is>
          <t>customer_payment</t>
        </is>
      </c>
      <c r="I1659" t="inlineStr"/>
      <c r="J1659" t="inlineStr">
        <is>
          <t>G00205</t>
        </is>
      </c>
      <c r="K1659" t="str">
        <f>INDEX('Match Groups'!$D$5:$D$1326,MATCH(J1659,'Match Groups'!$A$5:$A$1326,0))</f>
        <v>MATCH</v>
      </c>
    </row>
    <row r="1660">
      <c r="A1660" t="inlineStr">
        <is>
          <t>JI-00590</t>
        </is>
      </c>
      <c r="B1660" t="inlineStr">
        <is>
          <t>OPS</t>
        </is>
      </c>
      <c r="C1660" s="5" t="n">
        <v>46230</v>
      </c>
      <c r="D1660" t="inlineStr">
        <is>
          <t>Banksia Plan Co</t>
        </is>
      </c>
      <c r="E1660" t="inlineStr">
        <is>
          <t>INV/2026/02256</t>
        </is>
      </c>
      <c r="F1660" t="inlineStr">
        <is>
          <t>Customer payment INV/2026/02256</t>
        </is>
      </c>
      <c r="G1660" s="9" t="n">
        <v>96.98999999999999</v>
      </c>
      <c r="H1660" t="inlineStr">
        <is>
          <t>customer_payment</t>
        </is>
      </c>
      <c r="I1660" t="inlineStr"/>
      <c r="J1660" t="inlineStr">
        <is>
          <t>G00205</t>
        </is>
      </c>
      <c r="K1660" t="str">
        <f>INDEX('Match Groups'!$D$5:$D$1326,MATCH(J1660,'Match Groups'!$A$5:$A$1326,0))</f>
        <v>MATCH</v>
      </c>
    </row>
    <row r="1661">
      <c r="A1661" t="inlineStr">
        <is>
          <t>JI-00591</t>
        </is>
      </c>
      <c r="B1661" t="inlineStr">
        <is>
          <t>OPS</t>
        </is>
      </c>
      <c r="C1661" s="5" t="n">
        <v>46230</v>
      </c>
      <c r="D1661" t="inlineStr">
        <is>
          <t>Banksia Plan Co</t>
        </is>
      </c>
      <c r="E1661" t="inlineStr">
        <is>
          <t>INV/2026/02275</t>
        </is>
      </c>
      <c r="F1661" t="inlineStr">
        <is>
          <t>Customer payment INV/2026/02275</t>
        </is>
      </c>
      <c r="G1661" s="9" t="n">
        <v>96.98999999999999</v>
      </c>
      <c r="H1661" t="inlineStr">
        <is>
          <t>customer_payment</t>
        </is>
      </c>
      <c r="I1661" t="inlineStr"/>
      <c r="J1661" t="inlineStr">
        <is>
          <t>G00205</t>
        </is>
      </c>
      <c r="K1661" t="str">
        <f>INDEX('Match Groups'!$D$5:$D$1326,MATCH(J1661,'Match Groups'!$A$5:$A$1326,0))</f>
        <v>MATCH</v>
      </c>
    </row>
    <row r="1662">
      <c r="A1662" t="inlineStr">
        <is>
          <t>JI-00592</t>
        </is>
      </c>
      <c r="B1662" t="inlineStr">
        <is>
          <t>OPS</t>
        </is>
      </c>
      <c r="C1662" s="5" t="n">
        <v>46230</v>
      </c>
      <c r="D1662" t="inlineStr">
        <is>
          <t>Banksia Plan Co</t>
        </is>
      </c>
      <c r="E1662" t="inlineStr">
        <is>
          <t>INV/2026/02304</t>
        </is>
      </c>
      <c r="F1662" t="inlineStr">
        <is>
          <t>Customer payment INV/2026/02304</t>
        </is>
      </c>
      <c r="G1662" s="9" t="n">
        <v>387.98</v>
      </c>
      <c r="H1662" t="inlineStr">
        <is>
          <t>customer_payment</t>
        </is>
      </c>
      <c r="I1662" t="inlineStr"/>
      <c r="J1662" t="inlineStr">
        <is>
          <t>G00205</t>
        </is>
      </c>
      <c r="K1662" t="str">
        <f>INDEX('Match Groups'!$D$5:$D$1326,MATCH(J1662,'Match Groups'!$A$5:$A$1326,0))</f>
        <v>MATCH</v>
      </c>
    </row>
    <row r="1663">
      <c r="A1663" t="inlineStr">
        <is>
          <t>JI-00601</t>
        </is>
      </c>
      <c r="B1663" t="inlineStr">
        <is>
          <t>OPS</t>
        </is>
      </c>
      <c r="C1663" s="5" t="n">
        <v>46230</v>
      </c>
      <c r="D1663" t="inlineStr">
        <is>
          <t>Kookaburra Plan Support</t>
        </is>
      </c>
      <c r="E1663" t="inlineStr">
        <is>
          <t>INV/2026/02236</t>
        </is>
      </c>
      <c r="F1663" t="inlineStr">
        <is>
          <t>Customer payment INV/2026/02236</t>
        </is>
      </c>
      <c r="G1663" s="9" t="n">
        <v>145.49</v>
      </c>
      <c r="H1663" t="inlineStr">
        <is>
          <t>customer_payment</t>
        </is>
      </c>
      <c r="I1663" t="inlineStr"/>
      <c r="J1663" t="inlineStr">
        <is>
          <t>G00207</t>
        </is>
      </c>
      <c r="K1663" t="str">
        <f>INDEX('Match Groups'!$D$5:$D$1326,MATCH(J1663,'Match Groups'!$A$5:$A$1326,0))</f>
        <v>MATCH</v>
      </c>
    </row>
    <row r="1664">
      <c r="A1664" t="inlineStr">
        <is>
          <t>JI-00602</t>
        </is>
      </c>
      <c r="B1664" t="inlineStr">
        <is>
          <t>OPS</t>
        </is>
      </c>
      <c r="C1664" s="5" t="n">
        <v>46230</v>
      </c>
      <c r="D1664" t="inlineStr">
        <is>
          <t>Kookaburra Plan Support</t>
        </is>
      </c>
      <c r="E1664" t="inlineStr">
        <is>
          <t>INV/2026/02258</t>
        </is>
      </c>
      <c r="F1664" t="inlineStr">
        <is>
          <t>Customer payment INV/2026/02258</t>
        </is>
      </c>
      <c r="G1664" s="9" t="n">
        <v>193.99</v>
      </c>
      <c r="H1664" t="inlineStr">
        <is>
          <t>customer_payment</t>
        </is>
      </c>
      <c r="I1664" t="inlineStr"/>
      <c r="J1664" t="inlineStr">
        <is>
          <t>G00207</t>
        </is>
      </c>
      <c r="K1664" t="str">
        <f>INDEX('Match Groups'!$D$5:$D$1326,MATCH(J1664,'Match Groups'!$A$5:$A$1326,0))</f>
        <v>MATCH</v>
      </c>
    </row>
    <row r="1665">
      <c r="A1665" t="inlineStr">
        <is>
          <t>JI-00603</t>
        </is>
      </c>
      <c r="B1665" t="inlineStr">
        <is>
          <t>OPS</t>
        </is>
      </c>
      <c r="C1665" s="5" t="n">
        <v>46230</v>
      </c>
      <c r="D1665" t="inlineStr">
        <is>
          <t>Kookaburra Plan Support</t>
        </is>
      </c>
      <c r="E1665" t="inlineStr">
        <is>
          <t>INV/2026/02276</t>
        </is>
      </c>
      <c r="F1665" t="inlineStr">
        <is>
          <t>Customer payment INV/2026/02276</t>
        </is>
      </c>
      <c r="G1665" s="9" t="n">
        <v>96.98999999999999</v>
      </c>
      <c r="H1665" t="inlineStr">
        <is>
          <t>customer_payment</t>
        </is>
      </c>
      <c r="I1665" t="inlineStr"/>
      <c r="J1665" t="inlineStr">
        <is>
          <t>G00207</t>
        </is>
      </c>
      <c r="K1665" t="str">
        <f>INDEX('Match Groups'!$D$5:$D$1326,MATCH(J1665,'Match Groups'!$A$5:$A$1326,0))</f>
        <v>MATCH</v>
      </c>
    </row>
    <row r="1666">
      <c r="A1666" t="inlineStr">
        <is>
          <t>JI-00604</t>
        </is>
      </c>
      <c r="B1666" t="inlineStr">
        <is>
          <t>OPS</t>
        </is>
      </c>
      <c r="C1666" s="5" t="n">
        <v>46230</v>
      </c>
      <c r="D1666" t="inlineStr">
        <is>
          <t>Redgum Plan Admin</t>
        </is>
      </c>
      <c r="E1666" t="inlineStr">
        <is>
          <t>INV/2026/02216</t>
        </is>
      </c>
      <c r="F1666" t="inlineStr">
        <is>
          <t>Customer payment INV/2026/02216</t>
        </is>
      </c>
      <c r="G1666" s="9" t="n">
        <v>446.18</v>
      </c>
      <c r="H1666" t="inlineStr">
        <is>
          <t>customer_payment</t>
        </is>
      </c>
      <c r="I1666" t="inlineStr"/>
      <c r="J1666" t="inlineStr">
        <is>
          <t>G00208</t>
        </is>
      </c>
      <c r="K1666" t="str">
        <f>INDEX('Match Groups'!$D$5:$D$1326,MATCH(J1666,'Match Groups'!$A$5:$A$1326,0))</f>
        <v>MATCH</v>
      </c>
    </row>
    <row r="1667">
      <c r="A1667" t="inlineStr">
        <is>
          <t>JI-00605</t>
        </is>
      </c>
      <c r="B1667" t="inlineStr">
        <is>
          <t>OPS</t>
        </is>
      </c>
      <c r="C1667" s="5" t="n">
        <v>46230</v>
      </c>
      <c r="D1667" t="inlineStr">
        <is>
          <t>Lyrebird Plan Management</t>
        </is>
      </c>
      <c r="E1667" t="inlineStr">
        <is>
          <t>INV/2026/02265</t>
        </is>
      </c>
      <c r="F1667" t="inlineStr">
        <is>
          <t>Customer payment INV/2026/02265</t>
        </is>
      </c>
      <c r="G1667" s="9" t="n">
        <v>446.18</v>
      </c>
      <c r="H1667" t="inlineStr">
        <is>
          <t>customer_payment</t>
        </is>
      </c>
      <c r="I1667" t="inlineStr"/>
      <c r="J1667" t="inlineStr">
        <is>
          <t>G00209</t>
        </is>
      </c>
      <c r="K1667" t="str">
        <f>INDEX('Match Groups'!$D$5:$D$1326,MATCH(J1667,'Match Groups'!$A$5:$A$1326,0))</f>
        <v>MATCH</v>
      </c>
    </row>
    <row r="1668">
      <c r="A1668" t="inlineStr">
        <is>
          <t>JI-00606</t>
        </is>
      </c>
      <c r="B1668" t="inlineStr">
        <is>
          <t>OPS</t>
        </is>
      </c>
      <c r="C1668" s="5" t="n">
        <v>46230</v>
      </c>
      <c r="D1668" t="inlineStr">
        <is>
          <t>Lyrebird Plan Management</t>
        </is>
      </c>
      <c r="E1668" t="inlineStr">
        <is>
          <t>INV/2026/02280</t>
        </is>
      </c>
      <c r="F1668" t="inlineStr">
        <is>
          <t>Customer payment INV/2026/02280</t>
        </is>
      </c>
      <c r="G1668" s="9" t="n">
        <v>290.98</v>
      </c>
      <c r="H1668" t="inlineStr">
        <is>
          <t>customer_payment</t>
        </is>
      </c>
      <c r="I1668" t="inlineStr"/>
      <c r="J1668" t="inlineStr">
        <is>
          <t>G00209</t>
        </is>
      </c>
      <c r="K1668" t="str">
        <f>INDEX('Match Groups'!$D$5:$D$1326,MATCH(J1668,'Match Groups'!$A$5:$A$1326,0))</f>
        <v>MATCH</v>
      </c>
    </row>
    <row r="1669">
      <c r="A1669" t="inlineStr">
        <is>
          <t>JI-00607</t>
        </is>
      </c>
      <c r="B1669" t="inlineStr">
        <is>
          <t>OPS</t>
        </is>
      </c>
      <c r="C1669" s="5" t="n">
        <v>46230</v>
      </c>
      <c r="D1669" t="inlineStr">
        <is>
          <t>Lyrebird Plan Management</t>
        </is>
      </c>
      <c r="E1669" t="inlineStr">
        <is>
          <t>INV/2026/02281</t>
        </is>
      </c>
      <c r="F1669" t="inlineStr">
        <is>
          <t>Customer payment INV/2026/02281</t>
        </is>
      </c>
      <c r="G1669" s="9" t="n">
        <v>96.98999999999999</v>
      </c>
      <c r="H1669" t="inlineStr">
        <is>
          <t>customer_payment</t>
        </is>
      </c>
      <c r="I1669" t="inlineStr"/>
      <c r="J1669" t="inlineStr">
        <is>
          <t>G00209</t>
        </is>
      </c>
      <c r="K1669" t="str">
        <f>INDEX('Match Groups'!$D$5:$D$1326,MATCH(J1669,'Match Groups'!$A$5:$A$1326,0))</f>
        <v>MATCH</v>
      </c>
    </row>
    <row r="1670">
      <c r="A1670" t="inlineStr">
        <is>
          <t>JI-00608</t>
        </is>
      </c>
      <c r="B1670" t="inlineStr">
        <is>
          <t>OPS</t>
        </is>
      </c>
      <c r="C1670" s="5" t="n">
        <v>46230</v>
      </c>
      <c r="D1670" t="inlineStr">
        <is>
          <t>Acacia Plan Partners</t>
        </is>
      </c>
      <c r="E1670" t="inlineStr">
        <is>
          <t>INV/2026/02151</t>
        </is>
      </c>
      <c r="F1670" t="inlineStr">
        <is>
          <t>Customer payment INV/2026/02151</t>
        </is>
      </c>
      <c r="G1670" s="9" t="n">
        <v>242.49</v>
      </c>
      <c r="H1670" t="inlineStr">
        <is>
          <t>customer_payment</t>
        </is>
      </c>
      <c r="I1670" t="inlineStr"/>
      <c r="J1670" t="inlineStr">
        <is>
          <t>G00210</t>
        </is>
      </c>
      <c r="K1670" t="str">
        <f>INDEX('Match Groups'!$D$5:$D$1326,MATCH(J1670,'Match Groups'!$A$5:$A$1326,0))</f>
        <v>MATCH</v>
      </c>
    </row>
    <row r="1671">
      <c r="A1671" t="inlineStr">
        <is>
          <t>JI-00609</t>
        </is>
      </c>
      <c r="B1671" t="inlineStr">
        <is>
          <t>OPS</t>
        </is>
      </c>
      <c r="C1671" s="5" t="n">
        <v>46230</v>
      </c>
      <c r="D1671" t="inlineStr">
        <is>
          <t>Acacia Plan Partners</t>
        </is>
      </c>
      <c r="E1671" t="inlineStr">
        <is>
          <t>INV/2026/02152</t>
        </is>
      </c>
      <c r="F1671" t="inlineStr">
        <is>
          <t>Customer payment INV/2026/02152</t>
        </is>
      </c>
      <c r="G1671" s="9" t="n">
        <v>300.69</v>
      </c>
      <c r="H1671" t="inlineStr">
        <is>
          <t>customer_payment</t>
        </is>
      </c>
      <c r="I1671" t="inlineStr"/>
      <c r="J1671" t="inlineStr">
        <is>
          <t>G00210</t>
        </is>
      </c>
      <c r="K1671" t="str">
        <f>INDEX('Match Groups'!$D$5:$D$1326,MATCH(J1671,'Match Groups'!$A$5:$A$1326,0))</f>
        <v>MATCH</v>
      </c>
    </row>
    <row r="1672">
      <c r="A1672" t="inlineStr">
        <is>
          <t>JI-00610</t>
        </is>
      </c>
      <c r="B1672" t="inlineStr">
        <is>
          <t>OPS</t>
        </is>
      </c>
      <c r="C1672" s="5" t="n">
        <v>46230</v>
      </c>
      <c r="D1672" t="inlineStr">
        <is>
          <t>Acacia Plan Partners</t>
        </is>
      </c>
      <c r="E1672" t="inlineStr">
        <is>
          <t>INV/2026/02177</t>
        </is>
      </c>
      <c r="F1672" t="inlineStr">
        <is>
          <t>Customer payment INV/2026/02177</t>
        </is>
      </c>
      <c r="G1672" s="9" t="n">
        <v>193.99</v>
      </c>
      <c r="H1672" t="inlineStr">
        <is>
          <t>customer_payment</t>
        </is>
      </c>
      <c r="I1672" t="inlineStr"/>
      <c r="J1672" t="inlineStr">
        <is>
          <t>G00210</t>
        </is>
      </c>
      <c r="K1672" t="str">
        <f>INDEX('Match Groups'!$D$5:$D$1326,MATCH(J1672,'Match Groups'!$A$5:$A$1326,0))</f>
        <v>MATCH</v>
      </c>
    </row>
    <row r="1673">
      <c r="A1673" t="inlineStr">
        <is>
          <t>JI-00611</t>
        </is>
      </c>
      <c r="B1673" t="inlineStr">
        <is>
          <t>OPS</t>
        </is>
      </c>
      <c r="C1673" s="5" t="n">
        <v>46230</v>
      </c>
      <c r="D1673" t="inlineStr">
        <is>
          <t>Acacia Plan Partners</t>
        </is>
      </c>
      <c r="E1673" t="inlineStr">
        <is>
          <t>INV/2026/02178</t>
        </is>
      </c>
      <c r="F1673" t="inlineStr">
        <is>
          <t>Customer payment INV/2026/02178</t>
        </is>
      </c>
      <c r="G1673" s="9" t="n">
        <v>145.49</v>
      </c>
      <c r="H1673" t="inlineStr">
        <is>
          <t>customer_payment</t>
        </is>
      </c>
      <c r="I1673" t="inlineStr"/>
      <c r="J1673" t="inlineStr">
        <is>
          <t>G00210</t>
        </is>
      </c>
      <c r="K1673" t="str">
        <f>INDEX('Match Groups'!$D$5:$D$1326,MATCH(J1673,'Match Groups'!$A$5:$A$1326,0))</f>
        <v>MATCH</v>
      </c>
    </row>
    <row r="1674">
      <c r="A1674" t="inlineStr">
        <is>
          <t>JI-00612</t>
        </is>
      </c>
      <c r="B1674" t="inlineStr">
        <is>
          <t>OPS</t>
        </is>
      </c>
      <c r="C1674" s="5" t="n">
        <v>46230</v>
      </c>
      <c r="D1674" t="inlineStr">
        <is>
          <t>Acacia Plan Partners</t>
        </is>
      </c>
      <c r="E1674" t="inlineStr">
        <is>
          <t>INV/2026/02179</t>
        </is>
      </c>
      <c r="F1674" t="inlineStr">
        <is>
          <t>Customer payment INV/2026/02179</t>
        </is>
      </c>
      <c r="G1674" s="9" t="n">
        <v>242.49</v>
      </c>
      <c r="H1674" t="inlineStr">
        <is>
          <t>customer_payment</t>
        </is>
      </c>
      <c r="I1674" t="inlineStr"/>
      <c r="J1674" t="inlineStr">
        <is>
          <t>G00210</t>
        </is>
      </c>
      <c r="K1674" t="str">
        <f>INDEX('Match Groups'!$D$5:$D$1326,MATCH(J1674,'Match Groups'!$A$5:$A$1326,0))</f>
        <v>MATCH</v>
      </c>
    </row>
    <row r="1675">
      <c r="A1675" t="inlineStr">
        <is>
          <t>JI-00613</t>
        </is>
      </c>
      <c r="B1675" t="inlineStr">
        <is>
          <t>OPS</t>
        </is>
      </c>
      <c r="C1675" s="5" t="n">
        <v>46230</v>
      </c>
      <c r="D1675" t="inlineStr">
        <is>
          <t>Acacia Plan Partners</t>
        </is>
      </c>
      <c r="E1675" t="inlineStr">
        <is>
          <t>INV/2026/02200</t>
        </is>
      </c>
      <c r="F1675" t="inlineStr">
        <is>
          <t>Customer payment INV/2026/02200</t>
        </is>
      </c>
      <c r="G1675" s="9" t="n">
        <v>272.49</v>
      </c>
      <c r="H1675" t="inlineStr">
        <is>
          <t>customer_payment</t>
        </is>
      </c>
      <c r="I1675" t="inlineStr"/>
      <c r="J1675" t="inlineStr">
        <is>
          <t>G00210</t>
        </is>
      </c>
      <c r="K1675" t="str">
        <f>INDEX('Match Groups'!$D$5:$D$1326,MATCH(J1675,'Match Groups'!$A$5:$A$1326,0))</f>
        <v>MATCH</v>
      </c>
    </row>
    <row r="1676">
      <c r="A1676" t="inlineStr">
        <is>
          <t>JI-00614</t>
        </is>
      </c>
      <c r="B1676" t="inlineStr">
        <is>
          <t>OPS</t>
        </is>
      </c>
      <c r="C1676" s="5" t="n">
        <v>46230</v>
      </c>
      <c r="D1676" t="inlineStr">
        <is>
          <t>Mallee Plan Services</t>
        </is>
      </c>
      <c r="E1676" t="inlineStr">
        <is>
          <t>INV/2026/02246</t>
        </is>
      </c>
      <c r="F1676" t="inlineStr">
        <is>
          <t>Customer payment INV/2026/02246</t>
        </is>
      </c>
      <c r="G1676" s="9" t="n">
        <v>290.98</v>
      </c>
      <c r="H1676" t="inlineStr">
        <is>
          <t>customer_payment</t>
        </is>
      </c>
      <c r="I1676" t="inlineStr"/>
      <c r="J1676" t="inlineStr">
        <is>
          <t>G00211</t>
        </is>
      </c>
      <c r="K1676" t="str">
        <f>INDEX('Match Groups'!$D$5:$D$1326,MATCH(J1676,'Match Groups'!$A$5:$A$1326,0))</f>
        <v>MATCH</v>
      </c>
    </row>
    <row r="1677">
      <c r="A1677" t="inlineStr">
        <is>
          <t>JI-00615</t>
        </is>
      </c>
      <c r="B1677" t="inlineStr">
        <is>
          <t>OPS</t>
        </is>
      </c>
      <c r="C1677" s="5" t="n">
        <v>46230</v>
      </c>
      <c r="D1677" t="inlineStr">
        <is>
          <t>Mallee Plan Services</t>
        </is>
      </c>
      <c r="E1677" t="inlineStr">
        <is>
          <t>INV/2026/02269</t>
        </is>
      </c>
      <c r="F1677" t="inlineStr">
        <is>
          <t>Customer payment INV/2026/02269</t>
        </is>
      </c>
      <c r="G1677" s="9" t="n">
        <v>175.49</v>
      </c>
      <c r="H1677" t="inlineStr">
        <is>
          <t>customer_payment</t>
        </is>
      </c>
      <c r="I1677" t="inlineStr"/>
      <c r="J1677" t="inlineStr">
        <is>
          <t>G00211</t>
        </is>
      </c>
      <c r="K1677" t="str">
        <f>INDEX('Match Groups'!$D$5:$D$1326,MATCH(J1677,'Match Groups'!$A$5:$A$1326,0))</f>
        <v>MATCH</v>
      </c>
    </row>
    <row r="1678">
      <c r="A1678" t="inlineStr">
        <is>
          <t>JI-00616</t>
        </is>
      </c>
      <c r="B1678" t="inlineStr">
        <is>
          <t>OPS</t>
        </is>
      </c>
      <c r="C1678" s="5" t="n">
        <v>46230</v>
      </c>
      <c r="D1678" t="inlineStr">
        <is>
          <t>Mallee Plan Services</t>
        </is>
      </c>
      <c r="E1678" t="inlineStr">
        <is>
          <t>INV/2026/02283</t>
        </is>
      </c>
      <c r="F1678" t="inlineStr">
        <is>
          <t>Customer payment INV/2026/02283</t>
        </is>
      </c>
      <c r="G1678" s="9" t="n">
        <v>272.49</v>
      </c>
      <c r="H1678" t="inlineStr">
        <is>
          <t>customer_payment</t>
        </is>
      </c>
      <c r="I1678" t="inlineStr"/>
      <c r="J1678" t="inlineStr">
        <is>
          <t>G00211</t>
        </is>
      </c>
      <c r="K1678" t="str">
        <f>INDEX('Match Groups'!$D$5:$D$1326,MATCH(J1678,'Match Groups'!$A$5:$A$1326,0))</f>
        <v>MATCH</v>
      </c>
    </row>
    <row r="1679">
      <c r="A1679" t="inlineStr">
        <is>
          <t>JI-00638</t>
        </is>
      </c>
      <c r="B1679" t="inlineStr">
        <is>
          <t>OPS</t>
        </is>
      </c>
      <c r="C1679" s="5" t="n">
        <v>46230</v>
      </c>
      <c r="D1679" t="inlineStr">
        <is>
          <t>Southern Cross Plan Mgmt</t>
        </is>
      </c>
      <c r="E1679" t="inlineStr">
        <is>
          <t>INV/2026/01547</t>
        </is>
      </c>
      <c r="F1679" t="inlineStr">
        <is>
          <t>Customer payment INV/2026/01547</t>
        </is>
      </c>
      <c r="G1679" s="9" t="n">
        <v>320.98</v>
      </c>
      <c r="H1679" t="inlineStr">
        <is>
          <t>customer_payment</t>
        </is>
      </c>
      <c r="I1679" t="inlineStr"/>
      <c r="J1679" t="inlineStr">
        <is>
          <t>G00218</t>
        </is>
      </c>
      <c r="K1679" t="str">
        <f>INDEX('Match Groups'!$D$5:$D$1326,MATCH(J1679,'Match Groups'!$A$5:$A$1326,0))</f>
        <v>MATCH</v>
      </c>
    </row>
    <row r="1680">
      <c r="A1680" t="inlineStr">
        <is>
          <t>JI-00639</t>
        </is>
      </c>
      <c r="B1680" t="inlineStr">
        <is>
          <t>OPS</t>
        </is>
      </c>
      <c r="C1680" s="5" t="n">
        <v>46230</v>
      </c>
      <c r="D1680" t="inlineStr">
        <is>
          <t>Southern Cross Plan Mgmt</t>
        </is>
      </c>
      <c r="E1680" t="inlineStr">
        <is>
          <t>INV/2026/01570</t>
        </is>
      </c>
      <c r="F1680" t="inlineStr">
        <is>
          <t>Customer payment INV/2026/01570</t>
        </is>
      </c>
      <c r="G1680" s="9" t="n">
        <v>387.98</v>
      </c>
      <c r="H1680" t="inlineStr">
        <is>
          <t>customer_payment</t>
        </is>
      </c>
      <c r="I1680" t="inlineStr"/>
      <c r="J1680" t="inlineStr">
        <is>
          <t>G00218</t>
        </is>
      </c>
      <c r="K1680" t="str">
        <f>INDEX('Match Groups'!$D$5:$D$1326,MATCH(J1680,'Match Groups'!$A$5:$A$1326,0))</f>
        <v>MATCH</v>
      </c>
    </row>
    <row r="1681">
      <c r="A1681" t="inlineStr">
        <is>
          <t>JI-00640</t>
        </is>
      </c>
      <c r="B1681" t="inlineStr">
        <is>
          <t>OPS</t>
        </is>
      </c>
      <c r="C1681" s="5" t="n">
        <v>46230</v>
      </c>
      <c r="D1681" t="inlineStr">
        <is>
          <t>Southern Cross Plan Mgmt</t>
        </is>
      </c>
      <c r="E1681" t="inlineStr">
        <is>
          <t>INV/2026/01571</t>
        </is>
      </c>
      <c r="F1681" t="inlineStr">
        <is>
          <t>Customer payment INV/2026/01571</t>
        </is>
      </c>
      <c r="G1681" s="9" t="n">
        <v>252.19</v>
      </c>
      <c r="H1681" t="inlineStr">
        <is>
          <t>customer_payment</t>
        </is>
      </c>
      <c r="I1681" t="inlineStr"/>
      <c r="J1681" t="inlineStr">
        <is>
          <t>G00218</t>
        </is>
      </c>
      <c r="K1681" t="str">
        <f>INDEX('Match Groups'!$D$5:$D$1326,MATCH(J1681,'Match Groups'!$A$5:$A$1326,0))</f>
        <v>MATCH</v>
      </c>
    </row>
    <row r="1682">
      <c r="A1682" t="inlineStr">
        <is>
          <t>JI-00641</t>
        </is>
      </c>
      <c r="B1682" t="inlineStr">
        <is>
          <t>OPS</t>
        </is>
      </c>
      <c r="C1682" s="5" t="n">
        <v>46230</v>
      </c>
      <c r="D1682" t="inlineStr">
        <is>
          <t>Southern Cross Plan Mgmt</t>
        </is>
      </c>
      <c r="E1682" t="inlineStr">
        <is>
          <t>INV/2026/01572</t>
        </is>
      </c>
      <c r="F1682" t="inlineStr">
        <is>
          <t>Customer payment INV/2026/01572</t>
        </is>
      </c>
      <c r="G1682" s="9" t="n">
        <v>223.99</v>
      </c>
      <c r="H1682" t="inlineStr">
        <is>
          <t>customer_payment</t>
        </is>
      </c>
      <c r="I1682" t="inlineStr"/>
      <c r="J1682" t="inlineStr">
        <is>
          <t>G00218</t>
        </is>
      </c>
      <c r="K1682" t="str">
        <f>INDEX('Match Groups'!$D$5:$D$1326,MATCH(J1682,'Match Groups'!$A$5:$A$1326,0))</f>
        <v>MATCH</v>
      </c>
    </row>
    <row r="1683">
      <c r="A1683" t="inlineStr">
        <is>
          <t>JI-00642</t>
        </is>
      </c>
      <c r="B1683" t="inlineStr">
        <is>
          <t>OPS</t>
        </is>
      </c>
      <c r="C1683" s="5" t="n">
        <v>46230</v>
      </c>
      <c r="D1683" t="inlineStr">
        <is>
          <t>Southern Cross Plan Mgmt</t>
        </is>
      </c>
      <c r="E1683" t="inlineStr">
        <is>
          <t>INV/2026/01601</t>
        </is>
      </c>
      <c r="F1683" t="inlineStr">
        <is>
          <t>Customer payment INV/2026/01601</t>
        </is>
      </c>
      <c r="G1683" s="9" t="n">
        <v>96.98999999999999</v>
      </c>
      <c r="H1683" t="inlineStr">
        <is>
          <t>customer_payment</t>
        </is>
      </c>
      <c r="I1683" t="inlineStr"/>
      <c r="J1683" t="inlineStr">
        <is>
          <t>G00218</t>
        </is>
      </c>
      <c r="K1683" t="str">
        <f>INDEX('Match Groups'!$D$5:$D$1326,MATCH(J1683,'Match Groups'!$A$5:$A$1326,0))</f>
        <v>MATCH</v>
      </c>
    </row>
    <row r="1684">
      <c r="A1684" t="inlineStr">
        <is>
          <t>JI-00643</t>
        </is>
      </c>
      <c r="B1684" t="inlineStr">
        <is>
          <t>OPS</t>
        </is>
      </c>
      <c r="C1684" s="5" t="n">
        <v>46230</v>
      </c>
      <c r="D1684" t="inlineStr">
        <is>
          <t>Southern Cross Plan Mgmt</t>
        </is>
      </c>
      <c r="E1684" t="inlineStr">
        <is>
          <t>INV/2026/01602</t>
        </is>
      </c>
      <c r="F1684" t="inlineStr">
        <is>
          <t>Customer payment INV/2026/01602</t>
        </is>
      </c>
      <c r="G1684" s="9" t="n">
        <v>320.98</v>
      </c>
      <c r="H1684" t="inlineStr">
        <is>
          <t>customer_payment</t>
        </is>
      </c>
      <c r="I1684" t="inlineStr"/>
      <c r="J1684" t="inlineStr">
        <is>
          <t>G00218</t>
        </is>
      </c>
      <c r="K1684" t="str">
        <f>INDEX('Match Groups'!$D$5:$D$1326,MATCH(J1684,'Match Groups'!$A$5:$A$1326,0))</f>
        <v>MATCH</v>
      </c>
    </row>
    <row r="1685">
      <c r="A1685" t="inlineStr">
        <is>
          <t>JI-01543</t>
        </is>
      </c>
      <c r="B1685" t="inlineStr">
        <is>
          <t>OPS</t>
        </is>
      </c>
      <c r="C1685" s="5" t="n">
        <v>46230</v>
      </c>
      <c r="D1685" t="inlineStr">
        <is>
          <t>Harbour Mutual Health</t>
        </is>
      </c>
      <c r="E1685" t="inlineStr">
        <is>
          <t>INV/2026/02229</t>
        </is>
      </c>
      <c r="F1685" t="inlineStr">
        <is>
          <t>Customer payment INV/2026/02229</t>
        </is>
      </c>
      <c r="G1685" s="9" t="n">
        <v>264</v>
      </c>
      <c r="H1685" t="inlineStr">
        <is>
          <t>customer_payment</t>
        </is>
      </c>
      <c r="I1685" t="inlineStr"/>
      <c r="J1685" t="inlineStr">
        <is>
          <t>G00965</t>
        </is>
      </c>
      <c r="K1685" t="str">
        <f>INDEX('Match Groups'!$D$5:$D$1326,MATCH(J1685,'Match Groups'!$A$5:$A$1326,0))</f>
        <v>MATCH</v>
      </c>
    </row>
    <row r="1686">
      <c r="A1686" t="inlineStr">
        <is>
          <t>JI-01574</t>
        </is>
      </c>
      <c r="B1686" t="inlineStr">
        <is>
          <t>OPS</t>
        </is>
      </c>
      <c r="C1686" s="5" t="n">
        <v>46230</v>
      </c>
      <c r="D1686" t="inlineStr">
        <is>
          <t>Unity Workcover Agents</t>
        </is>
      </c>
      <c r="E1686" t="inlineStr">
        <is>
          <t>INV/2026/02017</t>
        </is>
      </c>
      <c r="F1686" t="inlineStr">
        <is>
          <t>Customer payment INV/2026/02017</t>
        </is>
      </c>
      <c r="G1686" s="9" t="n">
        <v>412.5</v>
      </c>
      <c r="H1686" t="inlineStr">
        <is>
          <t>customer_payment</t>
        </is>
      </c>
      <c r="I1686" t="inlineStr"/>
      <c r="J1686" t="inlineStr">
        <is>
          <t>G00966</t>
        </is>
      </c>
      <c r="K1686" t="str">
        <f>INDEX('Match Groups'!$D$5:$D$1326,MATCH(J1686,'Match Groups'!$A$5:$A$1326,0))</f>
        <v>MATCH</v>
      </c>
    </row>
    <row r="1687">
      <c r="A1687" t="inlineStr">
        <is>
          <t>JI-01709</t>
        </is>
      </c>
      <c r="B1687" t="inlineStr">
        <is>
          <t>OPS</t>
        </is>
      </c>
      <c r="C1687" s="5" t="n">
        <v>46230</v>
      </c>
      <c r="D1687" t="inlineStr">
        <is>
          <t>Ashgrove Accounting</t>
        </is>
      </c>
      <c r="E1687" t="inlineStr">
        <is>
          <t>INV/2026/03438</t>
        </is>
      </c>
      <c r="F1687" t="inlineStr">
        <is>
          <t>Customer payment INV/2026/03438</t>
        </is>
      </c>
      <c r="G1687" s="9" t="n">
        <v>5362.5</v>
      </c>
      <c r="H1687" t="inlineStr">
        <is>
          <t>customer_payment</t>
        </is>
      </c>
      <c r="I1687" t="inlineStr"/>
      <c r="J1687" t="inlineStr">
        <is>
          <t>G00967</t>
        </is>
      </c>
      <c r="K1687" t="str">
        <f>INDEX('Match Groups'!$D$5:$D$1326,MATCH(J1687,'Match Groups'!$A$5:$A$1326,0))</f>
        <v>MATCH</v>
      </c>
    </row>
    <row r="1688">
      <c r="A1688" t="inlineStr">
        <is>
          <t>JI-01722</t>
        </is>
      </c>
      <c r="B1688" t="inlineStr">
        <is>
          <t>OPS</t>
        </is>
      </c>
      <c r="C1688" s="5" t="n">
        <v>46230</v>
      </c>
      <c r="D1688" t="inlineStr">
        <is>
          <t>Fairlie Bros Plumbing</t>
        </is>
      </c>
      <c r="E1688" t="inlineStr">
        <is>
          <t>INV/2026/03443</t>
        </is>
      </c>
      <c r="F1688" t="inlineStr">
        <is>
          <t>Customer payment INV/2026/03443</t>
        </is>
      </c>
      <c r="G1688" s="9" t="n">
        <v>3465</v>
      </c>
      <c r="H1688" t="inlineStr">
        <is>
          <t>customer_payment</t>
        </is>
      </c>
      <c r="I1688" t="inlineStr"/>
      <c r="J1688" t="inlineStr">
        <is>
          <t>G00968</t>
        </is>
      </c>
      <c r="K1688" t="str">
        <f>INDEX('Match Groups'!$D$5:$D$1326,MATCH(J1688,'Match Groups'!$A$5:$A$1326,0))</f>
        <v>MATCH</v>
      </c>
    </row>
    <row r="1689">
      <c r="A1689" t="inlineStr">
        <is>
          <t>JI-01745</t>
        </is>
      </c>
      <c r="B1689" t="inlineStr">
        <is>
          <t>OPS</t>
        </is>
      </c>
      <c r="C1689" s="5" t="n">
        <v>46230</v>
      </c>
      <c r="D1689" t="inlineStr">
        <is>
          <t>Lockhart Glass</t>
        </is>
      </c>
      <c r="E1689" t="inlineStr">
        <is>
          <t>INV/2026/03450</t>
        </is>
      </c>
      <c r="F1689" t="inlineStr">
        <is>
          <t>Customer payment INV/2026/03450</t>
        </is>
      </c>
      <c r="G1689" s="9" t="n">
        <v>15950</v>
      </c>
      <c r="H1689" t="inlineStr">
        <is>
          <t>customer_payment</t>
        </is>
      </c>
      <c r="I1689" t="inlineStr"/>
      <c r="J1689" t="inlineStr">
        <is>
          <t>G00969</t>
        </is>
      </c>
      <c r="K1689" t="str">
        <f>INDEX('Match Groups'!$D$5:$D$1326,MATCH(J1689,'Match Groups'!$A$5:$A$1326,0))</f>
        <v>MATCH</v>
      </c>
    </row>
    <row r="1690">
      <c r="A1690" t="inlineStr">
        <is>
          <t>JI-02344</t>
        </is>
      </c>
      <c r="B1690" t="inlineStr">
        <is>
          <t>OPS</t>
        </is>
      </c>
      <c r="C1690" s="5" t="n">
        <v>46230</v>
      </c>
      <c r="D1690" t="inlineStr">
        <is>
          <t>Stripe patient 42005</t>
        </is>
      </c>
      <c r="E1690" t="inlineStr">
        <is>
          <t>INV/2026/04190</t>
        </is>
      </c>
      <c r="F1690" t="inlineStr">
        <is>
          <t>Customer payment INV/2026/04190</t>
        </is>
      </c>
      <c r="G1690" s="9" t="n">
        <v>65</v>
      </c>
      <c r="H1690" t="inlineStr">
        <is>
          <t>customer_payment</t>
        </is>
      </c>
      <c r="I1690" t="inlineStr"/>
      <c r="J1690" t="inlineStr">
        <is>
          <t>G00034</t>
        </is>
      </c>
      <c r="K1690" t="str">
        <f>INDEX('Match Groups'!$D$5:$D$1326,MATCH(J1690,'Match Groups'!$A$5:$A$1326,0))</f>
        <v>STRIPE-FEE</v>
      </c>
    </row>
    <row r="1691">
      <c r="A1691" t="inlineStr">
        <is>
          <t>JI-02345</t>
        </is>
      </c>
      <c r="B1691" t="inlineStr">
        <is>
          <t>OPS</t>
        </is>
      </c>
      <c r="C1691" s="5" t="n">
        <v>46230</v>
      </c>
      <c r="D1691" t="inlineStr">
        <is>
          <t>Stripe patient 57855</t>
        </is>
      </c>
      <c r="E1691" t="inlineStr">
        <is>
          <t>INV/2026/04191</t>
        </is>
      </c>
      <c r="F1691" t="inlineStr">
        <is>
          <t>Customer payment INV/2026/04191</t>
        </is>
      </c>
      <c r="G1691" s="9" t="n">
        <v>180</v>
      </c>
      <c r="H1691" t="inlineStr">
        <is>
          <t>customer_payment</t>
        </is>
      </c>
      <c r="I1691" t="inlineStr"/>
      <c r="J1691" t="inlineStr">
        <is>
          <t>G00034</t>
        </is>
      </c>
      <c r="K1691" t="str">
        <f>INDEX('Match Groups'!$D$5:$D$1326,MATCH(J1691,'Match Groups'!$A$5:$A$1326,0))</f>
        <v>STRIPE-FEE</v>
      </c>
    </row>
    <row r="1692">
      <c r="A1692" t="inlineStr">
        <is>
          <t>JI-02346</t>
        </is>
      </c>
      <c r="B1692" t="inlineStr">
        <is>
          <t>OPS</t>
        </is>
      </c>
      <c r="C1692" s="5" t="n">
        <v>46230</v>
      </c>
      <c r="D1692" t="inlineStr">
        <is>
          <t>Stripe patient 86587</t>
        </is>
      </c>
      <c r="E1692" t="inlineStr">
        <is>
          <t>INV/2026/04192</t>
        </is>
      </c>
      <c r="F1692" t="inlineStr">
        <is>
          <t>Customer payment INV/2026/04192</t>
        </is>
      </c>
      <c r="G1692" s="9" t="n">
        <v>120</v>
      </c>
      <c r="H1692" t="inlineStr">
        <is>
          <t>customer_payment</t>
        </is>
      </c>
      <c r="I1692" t="inlineStr"/>
      <c r="J1692" t="inlineStr">
        <is>
          <t>G00034</t>
        </is>
      </c>
      <c r="K1692" t="str">
        <f>INDEX('Match Groups'!$D$5:$D$1326,MATCH(J1692,'Match Groups'!$A$5:$A$1326,0))</f>
        <v>STRIPE-FEE</v>
      </c>
    </row>
    <row r="1693">
      <c r="A1693" t="inlineStr">
        <is>
          <t>JI-02347</t>
        </is>
      </c>
      <c r="B1693" t="inlineStr">
        <is>
          <t>OPS</t>
        </is>
      </c>
      <c r="C1693" s="5" t="n">
        <v>46230</v>
      </c>
      <c r="D1693" t="inlineStr">
        <is>
          <t>Stripe patient 18046</t>
        </is>
      </c>
      <c r="E1693" t="inlineStr">
        <is>
          <t>INV/2026/04193</t>
        </is>
      </c>
      <c r="F1693" t="inlineStr">
        <is>
          <t>Customer payment INV/2026/04193</t>
        </is>
      </c>
      <c r="G1693" s="9" t="n">
        <v>220</v>
      </c>
      <c r="H1693" t="inlineStr">
        <is>
          <t>customer_payment</t>
        </is>
      </c>
      <c r="I1693" t="inlineStr"/>
      <c r="J1693" t="inlineStr">
        <is>
          <t>G00034</t>
        </is>
      </c>
      <c r="K1693" t="str">
        <f>INDEX('Match Groups'!$D$5:$D$1326,MATCH(J1693,'Match Groups'!$A$5:$A$1326,0))</f>
        <v>STRIPE-FEE</v>
      </c>
    </row>
    <row r="1694">
      <c r="A1694" t="inlineStr">
        <is>
          <t>JI-02348</t>
        </is>
      </c>
      <c r="B1694" t="inlineStr">
        <is>
          <t>OPS</t>
        </is>
      </c>
      <c r="C1694" s="5" t="n">
        <v>46230</v>
      </c>
      <c r="D1694" t="inlineStr">
        <is>
          <t>Stripe patient 43680</t>
        </is>
      </c>
      <c r="E1694" t="inlineStr">
        <is>
          <t>INV/2026/04194</t>
        </is>
      </c>
      <c r="F1694" t="inlineStr">
        <is>
          <t>Customer payment INV/2026/04194</t>
        </is>
      </c>
      <c r="G1694" s="9" t="n">
        <v>135</v>
      </c>
      <c r="H1694" t="inlineStr">
        <is>
          <t>customer_payment</t>
        </is>
      </c>
      <c r="I1694" t="inlineStr"/>
      <c r="J1694" t="inlineStr">
        <is>
          <t>G00034</t>
        </is>
      </c>
      <c r="K1694" t="str">
        <f>INDEX('Match Groups'!$D$5:$D$1326,MATCH(J1694,'Match Groups'!$A$5:$A$1326,0))</f>
        <v>STRIPE-FEE</v>
      </c>
    </row>
    <row r="1695">
      <c r="A1695" t="inlineStr">
        <is>
          <t>JI-02349</t>
        </is>
      </c>
      <c r="B1695" t="inlineStr">
        <is>
          <t>OPS</t>
        </is>
      </c>
      <c r="C1695" s="5" t="n">
        <v>46230</v>
      </c>
      <c r="D1695" t="inlineStr">
        <is>
          <t>Stripe patient 56617</t>
        </is>
      </c>
      <c r="E1695" t="inlineStr">
        <is>
          <t>INV/2026/04195</t>
        </is>
      </c>
      <c r="F1695" t="inlineStr">
        <is>
          <t>Customer payment INV/2026/04195</t>
        </is>
      </c>
      <c r="G1695" s="9" t="n">
        <v>220</v>
      </c>
      <c r="H1695" t="inlineStr">
        <is>
          <t>customer_payment</t>
        </is>
      </c>
      <c r="I1695" t="inlineStr"/>
      <c r="J1695" t="inlineStr">
        <is>
          <t>G00034</t>
        </is>
      </c>
      <c r="K1695" t="str">
        <f>INDEX('Match Groups'!$D$5:$D$1326,MATCH(J1695,'Match Groups'!$A$5:$A$1326,0))</f>
        <v>STRIPE-FEE</v>
      </c>
    </row>
    <row r="1696">
      <c r="A1696" t="inlineStr">
        <is>
          <t>JI-02350</t>
        </is>
      </c>
      <c r="B1696" t="inlineStr">
        <is>
          <t>OPS</t>
        </is>
      </c>
      <c r="C1696" s="5" t="n">
        <v>46230</v>
      </c>
      <c r="D1696" t="inlineStr">
        <is>
          <t>Stripe patient 89991</t>
        </is>
      </c>
      <c r="E1696" t="inlineStr">
        <is>
          <t>INV/2026/04196</t>
        </is>
      </c>
      <c r="F1696" t="inlineStr">
        <is>
          <t>Customer payment INV/2026/04196</t>
        </is>
      </c>
      <c r="G1696" s="9" t="n">
        <v>135</v>
      </c>
      <c r="H1696" t="inlineStr">
        <is>
          <t>customer_payment</t>
        </is>
      </c>
      <c r="I1696" t="inlineStr"/>
      <c r="J1696" t="inlineStr">
        <is>
          <t>G00034</t>
        </is>
      </c>
      <c r="K1696" t="str">
        <f>INDEX('Match Groups'!$D$5:$D$1326,MATCH(J1696,'Match Groups'!$A$5:$A$1326,0))</f>
        <v>STRIPE-FEE</v>
      </c>
    </row>
    <row r="1697">
      <c r="A1697" t="inlineStr">
        <is>
          <t>JI-02351</t>
        </is>
      </c>
      <c r="B1697" t="inlineStr">
        <is>
          <t>OPS</t>
        </is>
      </c>
      <c r="C1697" s="5" t="n">
        <v>46230</v>
      </c>
      <c r="D1697" t="inlineStr">
        <is>
          <t>Stripe patient 66483</t>
        </is>
      </c>
      <c r="E1697" t="inlineStr">
        <is>
          <t>INV/2026/04197</t>
        </is>
      </c>
      <c r="F1697" t="inlineStr">
        <is>
          <t>Customer payment INV/2026/04197</t>
        </is>
      </c>
      <c r="G1697" s="9" t="n">
        <v>85</v>
      </c>
      <c r="H1697" t="inlineStr">
        <is>
          <t>customer_payment</t>
        </is>
      </c>
      <c r="I1697" t="inlineStr"/>
      <c r="J1697" t="inlineStr">
        <is>
          <t>G00034</t>
        </is>
      </c>
      <c r="K1697" t="str">
        <f>INDEX('Match Groups'!$D$5:$D$1326,MATCH(J1697,'Match Groups'!$A$5:$A$1326,0))</f>
        <v>STRIPE-FEE</v>
      </c>
    </row>
    <row r="1698">
      <c r="A1698" t="inlineStr">
        <is>
          <t>JI-02352</t>
        </is>
      </c>
      <c r="B1698" t="inlineStr">
        <is>
          <t>OPS</t>
        </is>
      </c>
      <c r="C1698" s="5" t="n">
        <v>46230</v>
      </c>
      <c r="D1698" t="inlineStr">
        <is>
          <t>Stripe patient 98528</t>
        </is>
      </c>
      <c r="E1698" t="inlineStr">
        <is>
          <t>INV/2026/04198</t>
        </is>
      </c>
      <c r="F1698" t="inlineStr">
        <is>
          <t>Customer payment INV/2026/04198</t>
        </is>
      </c>
      <c r="G1698" s="9" t="n">
        <v>65</v>
      </c>
      <c r="H1698" t="inlineStr">
        <is>
          <t>customer_payment</t>
        </is>
      </c>
      <c r="I1698" t="inlineStr"/>
      <c r="J1698" t="inlineStr">
        <is>
          <t>G00034</t>
        </is>
      </c>
      <c r="K1698" t="str">
        <f>INDEX('Match Groups'!$D$5:$D$1326,MATCH(J1698,'Match Groups'!$A$5:$A$1326,0))</f>
        <v>STRIPE-FEE</v>
      </c>
    </row>
    <row r="1699">
      <c r="A1699" t="inlineStr">
        <is>
          <t>JI-02353</t>
        </is>
      </c>
      <c r="B1699" t="inlineStr">
        <is>
          <t>OPS</t>
        </is>
      </c>
      <c r="C1699" s="5" t="n">
        <v>46230</v>
      </c>
      <c r="D1699" t="inlineStr">
        <is>
          <t>Stripe patient 46130</t>
        </is>
      </c>
      <c r="E1699" t="inlineStr">
        <is>
          <t>INV/2026/04199</t>
        </is>
      </c>
      <c r="F1699" t="inlineStr">
        <is>
          <t>Customer payment INV/2026/04199</t>
        </is>
      </c>
      <c r="G1699" s="9" t="n">
        <v>120</v>
      </c>
      <c r="H1699" t="inlineStr">
        <is>
          <t>customer_payment</t>
        </is>
      </c>
      <c r="I1699" t="inlineStr"/>
      <c r="J1699" t="inlineStr">
        <is>
          <t>G00034</t>
        </is>
      </c>
      <c r="K1699" t="str">
        <f>INDEX('Match Groups'!$D$5:$D$1326,MATCH(J1699,'Match Groups'!$A$5:$A$1326,0))</f>
        <v>STRIPE-FEE</v>
      </c>
    </row>
    <row r="1700">
      <c r="A1700" t="inlineStr">
        <is>
          <t>JI-02354</t>
        </is>
      </c>
      <c r="B1700" t="inlineStr">
        <is>
          <t>OPS</t>
        </is>
      </c>
      <c r="C1700" s="5" t="n">
        <v>46230</v>
      </c>
      <c r="D1700" t="inlineStr">
        <is>
          <t>Stripe patient 89517</t>
        </is>
      </c>
      <c r="E1700" t="inlineStr">
        <is>
          <t>INV/2026/04200</t>
        </is>
      </c>
      <c r="F1700" t="inlineStr">
        <is>
          <t>Customer payment INV/2026/04200</t>
        </is>
      </c>
      <c r="G1700" s="9" t="n">
        <v>180</v>
      </c>
      <c r="H1700" t="inlineStr">
        <is>
          <t>customer_payment</t>
        </is>
      </c>
      <c r="I1700" t="inlineStr"/>
      <c r="J1700" t="inlineStr">
        <is>
          <t>G00034</t>
        </is>
      </c>
      <c r="K1700" t="str">
        <f>INDEX('Match Groups'!$D$5:$D$1326,MATCH(J1700,'Match Groups'!$A$5:$A$1326,0))</f>
        <v>STRIPE-FEE</v>
      </c>
    </row>
    <row r="1701">
      <c r="A1701" t="inlineStr">
        <is>
          <t>JI-02355</t>
        </is>
      </c>
      <c r="B1701" t="inlineStr">
        <is>
          <t>OPS</t>
        </is>
      </c>
      <c r="C1701" s="5" t="n">
        <v>46230</v>
      </c>
      <c r="D1701" t="inlineStr">
        <is>
          <t>Stripe patient 97933</t>
        </is>
      </c>
      <c r="E1701" t="inlineStr">
        <is>
          <t>INV/2026/04201</t>
        </is>
      </c>
      <c r="F1701" t="inlineStr">
        <is>
          <t>Customer payment INV/2026/04201</t>
        </is>
      </c>
      <c r="G1701" s="9" t="n">
        <v>110</v>
      </c>
      <c r="H1701" t="inlineStr">
        <is>
          <t>customer_payment</t>
        </is>
      </c>
      <c r="I1701" t="inlineStr"/>
      <c r="J1701" t="inlineStr">
        <is>
          <t>G00034</t>
        </is>
      </c>
      <c r="K1701" t="str">
        <f>INDEX('Match Groups'!$D$5:$D$1326,MATCH(J1701,'Match Groups'!$A$5:$A$1326,0))</f>
        <v>STRIPE-FEE</v>
      </c>
    </row>
    <row r="1702">
      <c r="A1702" t="inlineStr">
        <is>
          <t>JI-02356</t>
        </is>
      </c>
      <c r="B1702" t="inlineStr">
        <is>
          <t>OPS</t>
        </is>
      </c>
      <c r="C1702" s="5" t="n">
        <v>46230</v>
      </c>
      <c r="D1702" t="inlineStr">
        <is>
          <t>Stripe patient 11792</t>
        </is>
      </c>
      <c r="E1702" t="inlineStr">
        <is>
          <t>INV/2026/04202</t>
        </is>
      </c>
      <c r="F1702" t="inlineStr">
        <is>
          <t>Customer payment INV/2026/04202</t>
        </is>
      </c>
      <c r="G1702" s="9" t="n">
        <v>110</v>
      </c>
      <c r="H1702" t="inlineStr">
        <is>
          <t>customer_payment</t>
        </is>
      </c>
      <c r="I1702" t="inlineStr"/>
      <c r="J1702" t="inlineStr">
        <is>
          <t>G00034</t>
        </is>
      </c>
      <c r="K1702" t="str">
        <f>INDEX('Match Groups'!$D$5:$D$1326,MATCH(J1702,'Match Groups'!$A$5:$A$1326,0))</f>
        <v>STRIPE-FEE</v>
      </c>
    </row>
    <row r="1703">
      <c r="A1703" t="inlineStr">
        <is>
          <t>JI-02357</t>
        </is>
      </c>
      <c r="B1703" t="inlineStr">
        <is>
          <t>OPS</t>
        </is>
      </c>
      <c r="C1703" s="5" t="n">
        <v>46230</v>
      </c>
      <c r="D1703" t="inlineStr">
        <is>
          <t>Stripe patient 36331</t>
        </is>
      </c>
      <c r="E1703" t="inlineStr">
        <is>
          <t>INV/2026/04203</t>
        </is>
      </c>
      <c r="F1703" t="inlineStr">
        <is>
          <t>Customer payment INV/2026/04203</t>
        </is>
      </c>
      <c r="G1703" s="9" t="n">
        <v>220</v>
      </c>
      <c r="H1703" t="inlineStr">
        <is>
          <t>customer_payment</t>
        </is>
      </c>
      <c r="I1703" t="inlineStr"/>
      <c r="J1703" t="inlineStr">
        <is>
          <t>G00034</t>
        </is>
      </c>
      <c r="K1703" t="str">
        <f>INDEX('Match Groups'!$D$5:$D$1326,MATCH(J1703,'Match Groups'!$A$5:$A$1326,0))</f>
        <v>STRIPE-FEE</v>
      </c>
    </row>
    <row r="1704">
      <c r="A1704" t="inlineStr">
        <is>
          <t>JI-02358</t>
        </is>
      </c>
      <c r="B1704" t="inlineStr">
        <is>
          <t>OPS</t>
        </is>
      </c>
      <c r="C1704" s="5" t="n">
        <v>46230</v>
      </c>
      <c r="D1704" t="inlineStr">
        <is>
          <t>Stripe patient 26199</t>
        </is>
      </c>
      <c r="E1704" t="inlineStr">
        <is>
          <t>INV/2026/04204</t>
        </is>
      </c>
      <c r="F1704" t="inlineStr">
        <is>
          <t>Customer payment INV/2026/04204</t>
        </is>
      </c>
      <c r="G1704" s="9" t="n">
        <v>220</v>
      </c>
      <c r="H1704" t="inlineStr">
        <is>
          <t>customer_payment</t>
        </is>
      </c>
      <c r="I1704" t="inlineStr"/>
      <c r="J1704" t="inlineStr">
        <is>
          <t>G00034</t>
        </is>
      </c>
      <c r="K1704" t="str">
        <f>INDEX('Match Groups'!$D$5:$D$1326,MATCH(J1704,'Match Groups'!$A$5:$A$1326,0))</f>
        <v>STRIPE-FEE</v>
      </c>
    </row>
    <row r="1705">
      <c r="A1705" t="inlineStr">
        <is>
          <t>JI-02359</t>
        </is>
      </c>
      <c r="B1705" t="inlineStr">
        <is>
          <t>OPS</t>
        </is>
      </c>
      <c r="C1705" s="5" t="n">
        <v>46230</v>
      </c>
      <c r="D1705" t="inlineStr">
        <is>
          <t>Stripe patient 11172</t>
        </is>
      </c>
      <c r="E1705" t="inlineStr">
        <is>
          <t>INV/2026/04205</t>
        </is>
      </c>
      <c r="F1705" t="inlineStr">
        <is>
          <t>Customer payment INV/2026/04205</t>
        </is>
      </c>
      <c r="G1705" s="9" t="n">
        <v>65</v>
      </c>
      <c r="H1705" t="inlineStr">
        <is>
          <t>customer_payment</t>
        </is>
      </c>
      <c r="I1705" t="inlineStr"/>
      <c r="J1705" t="inlineStr">
        <is>
          <t>G00034</t>
        </is>
      </c>
      <c r="K1705" t="str">
        <f>INDEX('Match Groups'!$D$5:$D$1326,MATCH(J1705,'Match Groups'!$A$5:$A$1326,0))</f>
        <v>STRIPE-FEE</v>
      </c>
    </row>
    <row r="1706">
      <c r="A1706" t="inlineStr">
        <is>
          <t>JI-02360</t>
        </is>
      </c>
      <c r="B1706" t="inlineStr">
        <is>
          <t>OPS</t>
        </is>
      </c>
      <c r="C1706" s="5" t="n">
        <v>46230</v>
      </c>
      <c r="D1706" t="inlineStr">
        <is>
          <t>Stripe patient 96656</t>
        </is>
      </c>
      <c r="E1706" t="inlineStr">
        <is>
          <t>INV/2026/04206</t>
        </is>
      </c>
      <c r="F1706" t="inlineStr">
        <is>
          <t>Customer payment INV/2026/04206</t>
        </is>
      </c>
      <c r="G1706" s="9" t="n">
        <v>220</v>
      </c>
      <c r="H1706" t="inlineStr">
        <is>
          <t>customer_payment</t>
        </is>
      </c>
      <c r="I1706" t="inlineStr"/>
      <c r="J1706" t="inlineStr">
        <is>
          <t>G00034</t>
        </is>
      </c>
      <c r="K1706" t="str">
        <f>INDEX('Match Groups'!$D$5:$D$1326,MATCH(J1706,'Match Groups'!$A$5:$A$1326,0))</f>
        <v>STRIPE-FEE</v>
      </c>
    </row>
    <row r="1707">
      <c r="A1707" t="inlineStr">
        <is>
          <t>JI-02361</t>
        </is>
      </c>
      <c r="B1707" t="inlineStr">
        <is>
          <t>OPS</t>
        </is>
      </c>
      <c r="C1707" s="5" t="n">
        <v>46230</v>
      </c>
      <c r="D1707" t="inlineStr">
        <is>
          <t>Stripe patient 16602</t>
        </is>
      </c>
      <c r="E1707" t="inlineStr">
        <is>
          <t>INV/2026/04207</t>
        </is>
      </c>
      <c r="F1707" t="inlineStr">
        <is>
          <t>Customer payment INV/2026/04207</t>
        </is>
      </c>
      <c r="G1707" s="9" t="n">
        <v>150</v>
      </c>
      <c r="H1707" t="inlineStr">
        <is>
          <t>customer_payment</t>
        </is>
      </c>
      <c r="I1707" t="inlineStr"/>
      <c r="J1707" t="inlineStr">
        <is>
          <t>G00034</t>
        </is>
      </c>
      <c r="K1707" t="str">
        <f>INDEX('Match Groups'!$D$5:$D$1326,MATCH(J1707,'Match Groups'!$A$5:$A$1326,0))</f>
        <v>STRIPE-FEE</v>
      </c>
    </row>
    <row r="1708">
      <c r="A1708" t="inlineStr">
        <is>
          <t>JI-02362</t>
        </is>
      </c>
      <c r="B1708" t="inlineStr">
        <is>
          <t>OPS</t>
        </is>
      </c>
      <c r="C1708" s="5" t="n">
        <v>46230</v>
      </c>
      <c r="D1708" t="inlineStr">
        <is>
          <t>Stripe patient 90254</t>
        </is>
      </c>
      <c r="E1708" t="inlineStr">
        <is>
          <t>INV/2026/04208</t>
        </is>
      </c>
      <c r="F1708" t="inlineStr">
        <is>
          <t>Customer payment INV/2026/04208</t>
        </is>
      </c>
      <c r="G1708" s="9" t="n">
        <v>120</v>
      </c>
      <c r="H1708" t="inlineStr">
        <is>
          <t>customer_payment</t>
        </is>
      </c>
      <c r="I1708" t="inlineStr"/>
      <c r="J1708" t="inlineStr">
        <is>
          <t>G00034</t>
        </is>
      </c>
      <c r="K1708" t="str">
        <f>INDEX('Match Groups'!$D$5:$D$1326,MATCH(J1708,'Match Groups'!$A$5:$A$1326,0))</f>
        <v>STRIPE-FEE</v>
      </c>
    </row>
    <row r="1709">
      <c r="A1709" t="inlineStr">
        <is>
          <t>JI-02363</t>
        </is>
      </c>
      <c r="B1709" t="inlineStr">
        <is>
          <t>OPS</t>
        </is>
      </c>
      <c r="C1709" s="5" t="n">
        <v>46230</v>
      </c>
      <c r="D1709" t="inlineStr">
        <is>
          <t>Stripe patient 44206</t>
        </is>
      </c>
      <c r="E1709" t="inlineStr">
        <is>
          <t>INV/2026/04209</t>
        </is>
      </c>
      <c r="F1709" t="inlineStr">
        <is>
          <t>Customer payment INV/2026/04209</t>
        </is>
      </c>
      <c r="G1709" s="9" t="n">
        <v>135</v>
      </c>
      <c r="H1709" t="inlineStr">
        <is>
          <t>customer_payment</t>
        </is>
      </c>
      <c r="I1709" t="inlineStr"/>
      <c r="J1709" t="inlineStr">
        <is>
          <t>G00034</t>
        </is>
      </c>
      <c r="K1709" t="str">
        <f>INDEX('Match Groups'!$D$5:$D$1326,MATCH(J1709,'Match Groups'!$A$5:$A$1326,0))</f>
        <v>STRIPE-FEE</v>
      </c>
    </row>
    <row r="1710">
      <c r="A1710" t="inlineStr">
        <is>
          <t>JI-02364</t>
        </is>
      </c>
      <c r="B1710" t="inlineStr">
        <is>
          <t>OPS</t>
        </is>
      </c>
      <c r="C1710" s="5" t="n">
        <v>46230</v>
      </c>
      <c r="D1710" t="inlineStr">
        <is>
          <t>Stripe patient 33795</t>
        </is>
      </c>
      <c r="E1710" t="inlineStr">
        <is>
          <t>INV/2026/04210</t>
        </is>
      </c>
      <c r="F1710" t="inlineStr">
        <is>
          <t>Customer payment INV/2026/04210</t>
        </is>
      </c>
      <c r="G1710" s="9" t="n">
        <v>65</v>
      </c>
      <c r="H1710" t="inlineStr">
        <is>
          <t>customer_payment</t>
        </is>
      </c>
      <c r="I1710" t="inlineStr"/>
      <c r="J1710" t="inlineStr">
        <is>
          <t>G00034</t>
        </is>
      </c>
      <c r="K1710" t="str">
        <f>INDEX('Match Groups'!$D$5:$D$1326,MATCH(J1710,'Match Groups'!$A$5:$A$1326,0))</f>
        <v>STRIPE-FEE</v>
      </c>
    </row>
    <row r="1711">
      <c r="A1711" t="inlineStr">
        <is>
          <t>JI-02365</t>
        </is>
      </c>
      <c r="B1711" t="inlineStr">
        <is>
          <t>OPS</t>
        </is>
      </c>
      <c r="C1711" s="5" t="n">
        <v>46230</v>
      </c>
      <c r="D1711" t="inlineStr">
        <is>
          <t>Stripe patient 20622</t>
        </is>
      </c>
      <c r="E1711" t="inlineStr">
        <is>
          <t>INV/2026/04211</t>
        </is>
      </c>
      <c r="F1711" t="inlineStr">
        <is>
          <t>Customer payment INV/2026/04211</t>
        </is>
      </c>
      <c r="G1711" s="9" t="n">
        <v>65</v>
      </c>
      <c r="H1711" t="inlineStr">
        <is>
          <t>customer_payment</t>
        </is>
      </c>
      <c r="I1711" t="inlineStr"/>
      <c r="J1711" t="inlineStr">
        <is>
          <t>G00034</t>
        </is>
      </c>
      <c r="K1711" t="str">
        <f>INDEX('Match Groups'!$D$5:$D$1326,MATCH(J1711,'Match Groups'!$A$5:$A$1326,0))</f>
        <v>STRIPE-FEE</v>
      </c>
    </row>
    <row r="1712">
      <c r="A1712" t="inlineStr">
        <is>
          <t>JI-02366</t>
        </is>
      </c>
      <c r="B1712" t="inlineStr">
        <is>
          <t>OPS</t>
        </is>
      </c>
      <c r="C1712" s="5" t="n">
        <v>46230</v>
      </c>
      <c r="D1712" t="inlineStr">
        <is>
          <t>Stripe patient 10353</t>
        </is>
      </c>
      <c r="E1712" t="inlineStr">
        <is>
          <t>INV/2026/04212</t>
        </is>
      </c>
      <c r="F1712" t="inlineStr">
        <is>
          <t>Customer payment INV/2026/04212</t>
        </is>
      </c>
      <c r="G1712" s="9" t="n">
        <v>220</v>
      </c>
      <c r="H1712" t="inlineStr">
        <is>
          <t>customer_payment</t>
        </is>
      </c>
      <c r="I1712" t="inlineStr"/>
      <c r="J1712" t="inlineStr">
        <is>
          <t>G00034</t>
        </is>
      </c>
      <c r="K1712" t="str">
        <f>INDEX('Match Groups'!$D$5:$D$1326,MATCH(J1712,'Match Groups'!$A$5:$A$1326,0))</f>
        <v>STRIPE-FEE</v>
      </c>
    </row>
    <row r="1713">
      <c r="A1713" t="inlineStr">
        <is>
          <t>JI-02367</t>
        </is>
      </c>
      <c r="B1713" t="inlineStr">
        <is>
          <t>OPS</t>
        </is>
      </c>
      <c r="C1713" s="5" t="n">
        <v>46230</v>
      </c>
      <c r="D1713" t="inlineStr">
        <is>
          <t>Stripe patient 88343</t>
        </is>
      </c>
      <c r="E1713" t="inlineStr">
        <is>
          <t>INV/2026/04213</t>
        </is>
      </c>
      <c r="F1713" t="inlineStr">
        <is>
          <t>Customer payment INV/2026/04213</t>
        </is>
      </c>
      <c r="G1713" s="9" t="n">
        <v>85</v>
      </c>
      <c r="H1713" t="inlineStr">
        <is>
          <t>customer_payment</t>
        </is>
      </c>
      <c r="I1713" t="inlineStr"/>
      <c r="J1713" t="inlineStr">
        <is>
          <t>G00034</t>
        </is>
      </c>
      <c r="K1713" t="str">
        <f>INDEX('Match Groups'!$D$5:$D$1326,MATCH(J1713,'Match Groups'!$A$5:$A$1326,0))</f>
        <v>STRIPE-FEE</v>
      </c>
    </row>
    <row r="1714">
      <c r="A1714" t="inlineStr">
        <is>
          <t>JI-02368</t>
        </is>
      </c>
      <c r="B1714" t="inlineStr">
        <is>
          <t>OPS</t>
        </is>
      </c>
      <c r="C1714" s="5" t="n">
        <v>46230</v>
      </c>
      <c r="D1714" t="inlineStr">
        <is>
          <t>Stripe patient 46876</t>
        </is>
      </c>
      <c r="E1714" t="inlineStr">
        <is>
          <t>INV/2026/04214</t>
        </is>
      </c>
      <c r="F1714" t="inlineStr">
        <is>
          <t>Customer payment INV/2026/04214</t>
        </is>
      </c>
      <c r="G1714" s="9" t="n">
        <v>65</v>
      </c>
      <c r="H1714" t="inlineStr">
        <is>
          <t>customer_payment</t>
        </is>
      </c>
      <c r="I1714" t="inlineStr"/>
      <c r="J1714" t="inlineStr">
        <is>
          <t>G00034</t>
        </is>
      </c>
      <c r="K1714" t="str">
        <f>INDEX('Match Groups'!$D$5:$D$1326,MATCH(J1714,'Match Groups'!$A$5:$A$1326,0))</f>
        <v>STRIPE-FEE</v>
      </c>
    </row>
    <row r="1715">
      <c r="A1715" t="inlineStr">
        <is>
          <t>JI-02369</t>
        </is>
      </c>
      <c r="B1715" t="inlineStr">
        <is>
          <t>OPS</t>
        </is>
      </c>
      <c r="C1715" s="5" t="n">
        <v>46230</v>
      </c>
      <c r="D1715" t="inlineStr">
        <is>
          <t>Stripe patient 14408</t>
        </is>
      </c>
      <c r="E1715" t="inlineStr">
        <is>
          <t>INV/2026/04215</t>
        </is>
      </c>
      <c r="F1715" t="inlineStr">
        <is>
          <t>Customer payment INV/2026/04215</t>
        </is>
      </c>
      <c r="G1715" s="9" t="n">
        <v>120</v>
      </c>
      <c r="H1715" t="inlineStr">
        <is>
          <t>customer_payment</t>
        </is>
      </c>
      <c r="I1715" t="inlineStr"/>
      <c r="J1715" t="inlineStr">
        <is>
          <t>G00034</t>
        </is>
      </c>
      <c r="K1715" t="str">
        <f>INDEX('Match Groups'!$D$5:$D$1326,MATCH(J1715,'Match Groups'!$A$5:$A$1326,0))</f>
        <v>STRIPE-FEE</v>
      </c>
    </row>
    <row r="1716">
      <c r="A1716" t="inlineStr">
        <is>
          <t>JI-02370</t>
        </is>
      </c>
      <c r="B1716" t="inlineStr">
        <is>
          <t>OPS</t>
        </is>
      </c>
      <c r="C1716" s="5" t="n">
        <v>46230</v>
      </c>
      <c r="D1716" t="inlineStr">
        <is>
          <t>Stripe patient 76215</t>
        </is>
      </c>
      <c r="E1716" t="inlineStr">
        <is>
          <t>INV/2026/04216</t>
        </is>
      </c>
      <c r="F1716" t="inlineStr">
        <is>
          <t>Customer payment INV/2026/04216</t>
        </is>
      </c>
      <c r="G1716" s="9" t="n">
        <v>220</v>
      </c>
      <c r="H1716" t="inlineStr">
        <is>
          <t>customer_payment</t>
        </is>
      </c>
      <c r="I1716" t="inlineStr"/>
      <c r="J1716" t="inlineStr">
        <is>
          <t>G00034</t>
        </is>
      </c>
      <c r="K1716" t="str">
        <f>INDEX('Match Groups'!$D$5:$D$1326,MATCH(J1716,'Match Groups'!$A$5:$A$1326,0))</f>
        <v>STRIPE-FEE</v>
      </c>
    </row>
    <row r="1717">
      <c r="A1717" t="inlineStr">
        <is>
          <t>JI-02371</t>
        </is>
      </c>
      <c r="B1717" t="inlineStr">
        <is>
          <t>OPS</t>
        </is>
      </c>
      <c r="C1717" s="5" t="n">
        <v>46230</v>
      </c>
      <c r="D1717" t="inlineStr">
        <is>
          <t>Stripe patient 78395</t>
        </is>
      </c>
      <c r="E1717" t="inlineStr">
        <is>
          <t>INV/2026/04217</t>
        </is>
      </c>
      <c r="F1717" t="inlineStr">
        <is>
          <t>Customer payment INV/2026/04217</t>
        </is>
      </c>
      <c r="G1717" s="9" t="n">
        <v>180</v>
      </c>
      <c r="H1717" t="inlineStr">
        <is>
          <t>customer_payment</t>
        </is>
      </c>
      <c r="I1717" t="inlineStr"/>
      <c r="J1717" t="inlineStr">
        <is>
          <t>G00034</t>
        </is>
      </c>
      <c r="K1717" t="str">
        <f>INDEX('Match Groups'!$D$5:$D$1326,MATCH(J1717,'Match Groups'!$A$5:$A$1326,0))</f>
        <v>STRIPE-FEE</v>
      </c>
    </row>
    <row r="1718">
      <c r="A1718" t="inlineStr">
        <is>
          <t>JI-02372</t>
        </is>
      </c>
      <c r="B1718" t="inlineStr">
        <is>
          <t>OPS</t>
        </is>
      </c>
      <c r="C1718" s="5" t="n">
        <v>46230</v>
      </c>
      <c r="D1718" t="inlineStr">
        <is>
          <t>Stripe patient 95895</t>
        </is>
      </c>
      <c r="E1718" t="inlineStr">
        <is>
          <t>INV/2026/04218</t>
        </is>
      </c>
      <c r="F1718" t="inlineStr">
        <is>
          <t>Customer payment INV/2026/04218</t>
        </is>
      </c>
      <c r="G1718" s="9" t="n">
        <v>85</v>
      </c>
      <c r="H1718" t="inlineStr">
        <is>
          <t>customer_payment</t>
        </is>
      </c>
      <c r="I1718" t="inlineStr"/>
      <c r="J1718" t="inlineStr">
        <is>
          <t>G00034</t>
        </is>
      </c>
      <c r="K1718" t="str">
        <f>INDEX('Match Groups'!$D$5:$D$1326,MATCH(J1718,'Match Groups'!$A$5:$A$1326,0))</f>
        <v>STRIPE-FEE</v>
      </c>
    </row>
    <row r="1719">
      <c r="A1719" t="inlineStr">
        <is>
          <t>JI-04289</t>
        </is>
      </c>
      <c r="B1719" t="inlineStr">
        <is>
          <t>OPS</t>
        </is>
      </c>
      <c r="C1719" s="5" t="n">
        <v>46230</v>
      </c>
      <c r="D1719" t="inlineStr">
        <is>
          <t>Internal transfer</t>
        </is>
      </c>
      <c r="E1719" t="inlineStr">
        <is>
          <t>SWEEP 2707</t>
        </is>
      </c>
      <c r="F1719" t="inlineStr">
        <is>
          <t>Sweep from merchant account</t>
        </is>
      </c>
      <c r="G1719" s="9" t="n">
        <v>34000</v>
      </c>
      <c r="H1719" t="inlineStr">
        <is>
          <t>transfer</t>
        </is>
      </c>
      <c r="I1719" t="inlineStr"/>
      <c r="J1719" t="inlineStr">
        <is>
          <t>G00515</t>
        </is>
      </c>
      <c r="K1719" t="str">
        <f>INDEX('Match Groups'!$D$5:$D$1326,MATCH(J1719,'Match Groups'!$A$5:$A$1326,0))</f>
        <v>MATCH</v>
      </c>
    </row>
    <row r="1720">
      <c r="A1720" t="inlineStr">
        <is>
          <t>JI-00617</t>
        </is>
      </c>
      <c r="B1720" t="inlineStr">
        <is>
          <t>OPS</t>
        </is>
      </c>
      <c r="C1720" s="5" t="n">
        <v>46231</v>
      </c>
      <c r="D1720" t="inlineStr">
        <is>
          <t>Bluegum Plan Management</t>
        </is>
      </c>
      <c r="E1720" t="inlineStr">
        <is>
          <t>INV/2026/02019</t>
        </is>
      </c>
      <c r="F1720" t="inlineStr">
        <is>
          <t>Customer payment INV/2026/02019</t>
        </is>
      </c>
      <c r="G1720" s="9" t="n">
        <v>349.18</v>
      </c>
      <c r="H1720" t="inlineStr">
        <is>
          <t>customer_payment</t>
        </is>
      </c>
      <c r="I1720" t="inlineStr"/>
      <c r="J1720" t="inlineStr">
        <is>
          <t>G00212</t>
        </is>
      </c>
      <c r="K1720" t="str">
        <f>INDEX('Match Groups'!$D$5:$D$1326,MATCH(J1720,'Match Groups'!$A$5:$A$1326,0))</f>
        <v>MATCH</v>
      </c>
    </row>
    <row r="1721">
      <c r="A1721" t="inlineStr">
        <is>
          <t>JI-00618</t>
        </is>
      </c>
      <c r="B1721" t="inlineStr">
        <is>
          <t>OPS</t>
        </is>
      </c>
      <c r="C1721" s="5" t="n">
        <v>46231</v>
      </c>
      <c r="D1721" t="inlineStr">
        <is>
          <t>Bluegum Plan Management</t>
        </is>
      </c>
      <c r="E1721" t="inlineStr">
        <is>
          <t>INV/2026/02037</t>
        </is>
      </c>
      <c r="F1721" t="inlineStr">
        <is>
          <t>Customer payment INV/2026/02037</t>
        </is>
      </c>
      <c r="G1721" s="9" t="n">
        <v>145.49</v>
      </c>
      <c r="H1721" t="inlineStr">
        <is>
          <t>customer_payment</t>
        </is>
      </c>
      <c r="I1721" t="inlineStr"/>
      <c r="J1721" t="inlineStr">
        <is>
          <t>G00212</t>
        </is>
      </c>
      <c r="K1721" t="str">
        <f>INDEX('Match Groups'!$D$5:$D$1326,MATCH(J1721,'Match Groups'!$A$5:$A$1326,0))</f>
        <v>MATCH</v>
      </c>
    </row>
    <row r="1722">
      <c r="A1722" t="inlineStr">
        <is>
          <t>JI-00619</t>
        </is>
      </c>
      <c r="B1722" t="inlineStr">
        <is>
          <t>OPS</t>
        </is>
      </c>
      <c r="C1722" s="5" t="n">
        <v>46231</v>
      </c>
      <c r="D1722" t="inlineStr">
        <is>
          <t>Bluegum Plan Management</t>
        </is>
      </c>
      <c r="E1722" t="inlineStr">
        <is>
          <t>INV/2026/02066</t>
        </is>
      </c>
      <c r="F1722" t="inlineStr">
        <is>
          <t>Customer payment INV/2026/02066</t>
        </is>
      </c>
      <c r="G1722" s="9" t="n">
        <v>290.98</v>
      </c>
      <c r="H1722" t="inlineStr">
        <is>
          <t>customer_payment</t>
        </is>
      </c>
      <c r="I1722" t="inlineStr"/>
      <c r="J1722" t="inlineStr">
        <is>
          <t>G00212</t>
        </is>
      </c>
      <c r="K1722" t="str">
        <f>INDEX('Match Groups'!$D$5:$D$1326,MATCH(J1722,'Match Groups'!$A$5:$A$1326,0))</f>
        <v>MATCH</v>
      </c>
    </row>
    <row r="1723">
      <c r="A1723" t="inlineStr">
        <is>
          <t>JI-00620</t>
        </is>
      </c>
      <c r="B1723" t="inlineStr">
        <is>
          <t>OPS</t>
        </is>
      </c>
      <c r="C1723" s="5" t="n">
        <v>46231</v>
      </c>
      <c r="D1723" t="inlineStr">
        <is>
          <t>Bluegum Plan Management</t>
        </is>
      </c>
      <c r="E1723" t="inlineStr">
        <is>
          <t>INV/2026/02067</t>
        </is>
      </c>
      <c r="F1723" t="inlineStr">
        <is>
          <t>Customer payment INV/2026/02067</t>
        </is>
      </c>
      <c r="G1723" s="9" t="n">
        <v>252.19</v>
      </c>
      <c r="H1723" t="inlineStr">
        <is>
          <t>customer_payment</t>
        </is>
      </c>
      <c r="I1723" t="inlineStr"/>
      <c r="J1723" t="inlineStr">
        <is>
          <t>G00212</t>
        </is>
      </c>
      <c r="K1723" t="str">
        <f>INDEX('Match Groups'!$D$5:$D$1326,MATCH(J1723,'Match Groups'!$A$5:$A$1326,0))</f>
        <v>MATCH</v>
      </c>
    </row>
    <row r="1724">
      <c r="A1724" t="inlineStr">
        <is>
          <t>JI-00621</t>
        </is>
      </c>
      <c r="B1724" t="inlineStr">
        <is>
          <t>OPS</t>
        </is>
      </c>
      <c r="C1724" s="5" t="n">
        <v>46231</v>
      </c>
      <c r="D1724" t="inlineStr">
        <is>
          <t>Bluegum Plan Management</t>
        </is>
      </c>
      <c r="E1724" t="inlineStr">
        <is>
          <t>INV/2026/02068</t>
        </is>
      </c>
      <c r="F1724" t="inlineStr">
        <is>
          <t>Customer payment INV/2026/02068</t>
        </is>
      </c>
      <c r="G1724" s="9" t="n">
        <v>193.99</v>
      </c>
      <c r="H1724" t="inlineStr">
        <is>
          <t>customer_payment</t>
        </is>
      </c>
      <c r="I1724" t="inlineStr"/>
      <c r="J1724" t="inlineStr">
        <is>
          <t>G00212</t>
        </is>
      </c>
      <c r="K1724" t="str">
        <f>INDEX('Match Groups'!$D$5:$D$1326,MATCH(J1724,'Match Groups'!$A$5:$A$1326,0))</f>
        <v>MATCH</v>
      </c>
    </row>
    <row r="1725">
      <c r="A1725" t="inlineStr">
        <is>
          <t>JI-00622</t>
        </is>
      </c>
      <c r="B1725" t="inlineStr">
        <is>
          <t>OPS</t>
        </is>
      </c>
      <c r="C1725" s="5" t="n">
        <v>46231</v>
      </c>
      <c r="D1725" t="inlineStr">
        <is>
          <t>Bluegum Plan Management</t>
        </is>
      </c>
      <c r="E1725" t="inlineStr">
        <is>
          <t>INV/2026/02088</t>
        </is>
      </c>
      <c r="F1725" t="inlineStr">
        <is>
          <t>Customer payment INV/2026/02088</t>
        </is>
      </c>
      <c r="G1725" s="9" t="n">
        <v>387.98</v>
      </c>
      <c r="H1725" t="inlineStr">
        <is>
          <t>customer_payment</t>
        </is>
      </c>
      <c r="I1725" t="inlineStr"/>
      <c r="J1725" t="inlineStr">
        <is>
          <t>G00212</t>
        </is>
      </c>
      <c r="K1725" t="str">
        <f>INDEX('Match Groups'!$D$5:$D$1326,MATCH(J1725,'Match Groups'!$A$5:$A$1326,0))</f>
        <v>MATCH</v>
      </c>
    </row>
    <row r="1726">
      <c r="A1726" t="inlineStr">
        <is>
          <t>JI-00623</t>
        </is>
      </c>
      <c r="B1726" t="inlineStr">
        <is>
          <t>OPS</t>
        </is>
      </c>
      <c r="C1726" s="5" t="n">
        <v>46231</v>
      </c>
      <c r="D1726" t="inlineStr">
        <is>
          <t>Riverbend Plan Partners</t>
        </is>
      </c>
      <c r="E1726" t="inlineStr">
        <is>
          <t>INV/2026/02249</t>
        </is>
      </c>
      <c r="F1726" t="inlineStr">
        <is>
          <t>Customer payment INV/2026/02249</t>
        </is>
      </c>
      <c r="G1726" s="9" t="n">
        <v>272.49</v>
      </c>
      <c r="H1726" t="inlineStr">
        <is>
          <t>customer_payment</t>
        </is>
      </c>
      <c r="I1726" t="inlineStr"/>
      <c r="J1726" t="inlineStr">
        <is>
          <t>G00213</t>
        </is>
      </c>
      <c r="K1726" t="str">
        <f>INDEX('Match Groups'!$D$5:$D$1326,MATCH(J1726,'Match Groups'!$A$5:$A$1326,0))</f>
        <v>MATCH</v>
      </c>
    </row>
    <row r="1727">
      <c r="A1727" t="inlineStr">
        <is>
          <t>JI-00624</t>
        </is>
      </c>
      <c r="B1727" t="inlineStr">
        <is>
          <t>OPS</t>
        </is>
      </c>
      <c r="C1727" s="5" t="n">
        <v>46231</v>
      </c>
      <c r="D1727" t="inlineStr">
        <is>
          <t>Riverbend Plan Partners</t>
        </is>
      </c>
      <c r="E1727" t="inlineStr">
        <is>
          <t>INV/2026/02285</t>
        </is>
      </c>
      <c r="F1727" t="inlineStr">
        <is>
          <t>Customer payment INV/2026/02285</t>
        </is>
      </c>
      <c r="G1727" s="9" t="n">
        <v>320.98</v>
      </c>
      <c r="H1727" t="inlineStr">
        <is>
          <t>customer_payment</t>
        </is>
      </c>
      <c r="I1727" t="inlineStr"/>
      <c r="J1727" t="inlineStr">
        <is>
          <t>G00213</t>
        </is>
      </c>
      <c r="K1727" t="str">
        <f>INDEX('Match Groups'!$D$5:$D$1326,MATCH(J1727,'Match Groups'!$A$5:$A$1326,0))</f>
        <v>MATCH</v>
      </c>
    </row>
    <row r="1728">
      <c r="A1728" t="inlineStr">
        <is>
          <t>JI-00625</t>
        </is>
      </c>
      <c r="B1728" t="inlineStr">
        <is>
          <t>OPS</t>
        </is>
      </c>
      <c r="C1728" s="5" t="n">
        <v>46231</v>
      </c>
      <c r="D1728" t="inlineStr">
        <is>
          <t>Riverbend Plan Partners</t>
        </is>
      </c>
      <c r="E1728" t="inlineStr">
        <is>
          <t>INV/2026/02286</t>
        </is>
      </c>
      <c r="F1728" t="inlineStr">
        <is>
          <t>Customer payment INV/2026/02286</t>
        </is>
      </c>
      <c r="G1728" s="9" t="n">
        <v>175.49</v>
      </c>
      <c r="H1728" t="inlineStr">
        <is>
          <t>customer_payment</t>
        </is>
      </c>
      <c r="I1728" t="inlineStr"/>
      <c r="J1728" t="inlineStr">
        <is>
          <t>G00213</t>
        </is>
      </c>
      <c r="K1728" t="str">
        <f>INDEX('Match Groups'!$D$5:$D$1326,MATCH(J1728,'Match Groups'!$A$5:$A$1326,0))</f>
        <v>MATCH</v>
      </c>
    </row>
    <row r="1729">
      <c r="A1729" t="inlineStr">
        <is>
          <t>JI-00626</t>
        </is>
      </c>
      <c r="B1729" t="inlineStr">
        <is>
          <t>OPS</t>
        </is>
      </c>
      <c r="C1729" s="5" t="n">
        <v>46231</v>
      </c>
      <c r="D1729" t="inlineStr">
        <is>
          <t>Clearpath NDIS Plans</t>
        </is>
      </c>
      <c r="E1729" t="inlineStr">
        <is>
          <t>INV/2026/02205</t>
        </is>
      </c>
      <c r="F1729" t="inlineStr">
        <is>
          <t>Customer payment INV/2026/02205</t>
        </is>
      </c>
      <c r="G1729" s="9" t="n">
        <v>145.49</v>
      </c>
      <c r="H1729" t="inlineStr">
        <is>
          <t>customer_payment</t>
        </is>
      </c>
      <c r="I1729" t="inlineStr"/>
      <c r="J1729" t="inlineStr">
        <is>
          <t>G00214</t>
        </is>
      </c>
      <c r="K1729" t="str">
        <f>INDEX('Match Groups'!$D$5:$D$1326,MATCH(J1729,'Match Groups'!$A$5:$A$1326,0))</f>
        <v>MATCH</v>
      </c>
    </row>
    <row r="1730">
      <c r="A1730" t="inlineStr">
        <is>
          <t>JI-00627</t>
        </is>
      </c>
      <c r="B1730" t="inlineStr">
        <is>
          <t>OPS</t>
        </is>
      </c>
      <c r="C1730" s="5" t="n">
        <v>46231</v>
      </c>
      <c r="D1730" t="inlineStr">
        <is>
          <t>Clearpath NDIS Plans</t>
        </is>
      </c>
      <c r="E1730" t="inlineStr">
        <is>
          <t>INV/2026/02231</t>
        </is>
      </c>
      <c r="F1730" t="inlineStr">
        <is>
          <t>Customer payment INV/2026/02231</t>
        </is>
      </c>
      <c r="G1730" s="9" t="n">
        <v>223.99</v>
      </c>
      <c r="H1730" t="inlineStr">
        <is>
          <t>customer_payment</t>
        </is>
      </c>
      <c r="I1730" t="inlineStr"/>
      <c r="J1730" t="inlineStr">
        <is>
          <t>G00214</t>
        </is>
      </c>
      <c r="K1730" t="str">
        <f>INDEX('Match Groups'!$D$5:$D$1326,MATCH(J1730,'Match Groups'!$A$5:$A$1326,0))</f>
        <v>MATCH</v>
      </c>
    </row>
    <row r="1731">
      <c r="A1731" t="inlineStr">
        <is>
          <t>JI-00628</t>
        </is>
      </c>
      <c r="B1731" t="inlineStr">
        <is>
          <t>OPS</t>
        </is>
      </c>
      <c r="C1731" s="5" t="n">
        <v>46231</v>
      </c>
      <c r="D1731" t="inlineStr">
        <is>
          <t>Ironbark Plan Management</t>
        </is>
      </c>
      <c r="E1731" t="inlineStr">
        <is>
          <t>INV/2026/02307</t>
        </is>
      </c>
      <c r="F1731" t="inlineStr">
        <is>
          <t>Customer payment INV/2026/02307</t>
        </is>
      </c>
      <c r="G1731" s="9" t="n">
        <v>242.49</v>
      </c>
      <c r="H1731" t="inlineStr">
        <is>
          <t>customer_payment</t>
        </is>
      </c>
      <c r="I1731" t="inlineStr"/>
      <c r="J1731" t="inlineStr">
        <is>
          <t>G00215</t>
        </is>
      </c>
      <c r="K1731" t="str">
        <f>INDEX('Match Groups'!$D$5:$D$1326,MATCH(J1731,'Match Groups'!$A$5:$A$1326,0))</f>
        <v>MATCH</v>
      </c>
    </row>
    <row r="1732">
      <c r="A1732" t="inlineStr">
        <is>
          <t>JI-00629</t>
        </is>
      </c>
      <c r="B1732" t="inlineStr">
        <is>
          <t>OPS</t>
        </is>
      </c>
      <c r="C1732" s="5" t="n">
        <v>46231</v>
      </c>
      <c r="D1732" t="inlineStr">
        <is>
          <t>Kookaburra Plan Support</t>
        </is>
      </c>
      <c r="E1732" t="inlineStr">
        <is>
          <t>INV/2026/02259</t>
        </is>
      </c>
      <c r="F1732" t="inlineStr">
        <is>
          <t>Customer payment INV/2026/02259</t>
        </is>
      </c>
      <c r="G1732" s="9" t="n">
        <v>242.49</v>
      </c>
      <c r="H1732" t="inlineStr">
        <is>
          <t>customer_payment</t>
        </is>
      </c>
      <c r="I1732" t="inlineStr"/>
      <c r="J1732" t="inlineStr">
        <is>
          <t>G00216</t>
        </is>
      </c>
      <c r="K1732" t="str">
        <f>INDEX('Match Groups'!$D$5:$D$1326,MATCH(J1732,'Match Groups'!$A$5:$A$1326,0))</f>
        <v>MATCH</v>
      </c>
    </row>
    <row r="1733">
      <c r="A1733" t="inlineStr">
        <is>
          <t>JI-00630</t>
        </is>
      </c>
      <c r="B1733" t="inlineStr">
        <is>
          <t>OPS</t>
        </is>
      </c>
      <c r="C1733" s="5" t="n">
        <v>46231</v>
      </c>
      <c r="D1733" t="inlineStr">
        <is>
          <t>Saltbush Plan Managers</t>
        </is>
      </c>
      <c r="E1733" t="inlineStr">
        <is>
          <t>INV/2026/02027</t>
        </is>
      </c>
      <c r="F1733" t="inlineStr">
        <is>
          <t>Customer payment INV/2026/02027</t>
        </is>
      </c>
      <c r="G1733" s="9" t="n">
        <v>193.99</v>
      </c>
      <c r="H1733" t="inlineStr">
        <is>
          <t>customer_payment</t>
        </is>
      </c>
      <c r="I1733" t="inlineStr"/>
      <c r="J1733" t="inlineStr">
        <is>
          <t>G00217</t>
        </is>
      </c>
      <c r="K1733" t="str">
        <f>INDEX('Match Groups'!$D$5:$D$1326,MATCH(J1733,'Match Groups'!$A$5:$A$1326,0))</f>
        <v>MATCH</v>
      </c>
    </row>
    <row r="1734">
      <c r="A1734" t="inlineStr">
        <is>
          <t>JI-00631</t>
        </is>
      </c>
      <c r="B1734" t="inlineStr">
        <is>
          <t>OPS</t>
        </is>
      </c>
      <c r="C1734" s="5" t="n">
        <v>46231</v>
      </c>
      <c r="D1734" t="inlineStr">
        <is>
          <t>Saltbush Plan Managers</t>
        </is>
      </c>
      <c r="E1734" t="inlineStr">
        <is>
          <t>INV/2026/02028</t>
        </is>
      </c>
      <c r="F1734" t="inlineStr">
        <is>
          <t>Customer payment INV/2026/02028</t>
        </is>
      </c>
      <c r="G1734" s="9" t="n">
        <v>193.99</v>
      </c>
      <c r="H1734" t="inlineStr">
        <is>
          <t>customer_payment</t>
        </is>
      </c>
      <c r="I1734" t="inlineStr"/>
      <c r="J1734" t="inlineStr">
        <is>
          <t>G00217</t>
        </is>
      </c>
      <c r="K1734" t="str">
        <f>INDEX('Match Groups'!$D$5:$D$1326,MATCH(J1734,'Match Groups'!$A$5:$A$1326,0))</f>
        <v>MATCH</v>
      </c>
    </row>
    <row r="1735">
      <c r="A1735" t="inlineStr">
        <is>
          <t>JI-00632</t>
        </is>
      </c>
      <c r="B1735" t="inlineStr">
        <is>
          <t>OPS</t>
        </is>
      </c>
      <c r="C1735" s="5" t="n">
        <v>46231</v>
      </c>
      <c r="D1735" t="inlineStr">
        <is>
          <t>Saltbush Plan Managers</t>
        </is>
      </c>
      <c r="E1735" t="inlineStr">
        <is>
          <t>INV/2026/02050</t>
        </is>
      </c>
      <c r="F1735" t="inlineStr">
        <is>
          <t>Customer payment INV/2026/02050</t>
        </is>
      </c>
      <c r="G1735" s="9" t="n">
        <v>145.49</v>
      </c>
      <c r="H1735" t="inlineStr">
        <is>
          <t>customer_payment</t>
        </is>
      </c>
      <c r="I1735" t="inlineStr"/>
      <c r="J1735" t="inlineStr">
        <is>
          <t>G00217</t>
        </is>
      </c>
      <c r="K1735" t="str">
        <f>INDEX('Match Groups'!$D$5:$D$1326,MATCH(J1735,'Match Groups'!$A$5:$A$1326,0))</f>
        <v>MATCH</v>
      </c>
    </row>
    <row r="1736">
      <c r="A1736" t="inlineStr">
        <is>
          <t>JI-00633</t>
        </is>
      </c>
      <c r="B1736" t="inlineStr">
        <is>
          <t>OPS</t>
        </is>
      </c>
      <c r="C1736" s="5" t="n">
        <v>46231</v>
      </c>
      <c r="D1736" t="inlineStr">
        <is>
          <t>Saltbush Plan Managers</t>
        </is>
      </c>
      <c r="E1736" t="inlineStr">
        <is>
          <t>INV/2026/02077</t>
        </is>
      </c>
      <c r="F1736" t="inlineStr">
        <is>
          <t>Customer payment INV/2026/02077</t>
        </is>
      </c>
      <c r="G1736" s="9" t="n">
        <v>387.98</v>
      </c>
      <c r="H1736" t="inlineStr">
        <is>
          <t>customer_payment</t>
        </is>
      </c>
      <c r="I1736" t="inlineStr"/>
      <c r="J1736" t="inlineStr">
        <is>
          <t>G00217</t>
        </is>
      </c>
      <c r="K1736" t="str">
        <f>INDEX('Match Groups'!$D$5:$D$1326,MATCH(J1736,'Match Groups'!$A$5:$A$1326,0))</f>
        <v>MATCH</v>
      </c>
    </row>
    <row r="1737">
      <c r="A1737" t="inlineStr">
        <is>
          <t>JI-00634</t>
        </is>
      </c>
      <c r="B1737" t="inlineStr">
        <is>
          <t>OPS</t>
        </is>
      </c>
      <c r="C1737" s="5" t="n">
        <v>46231</v>
      </c>
      <c r="D1737" t="inlineStr">
        <is>
          <t>Saltbush Plan Managers</t>
        </is>
      </c>
      <c r="E1737" t="inlineStr">
        <is>
          <t>INV/2026/02078</t>
        </is>
      </c>
      <c r="F1737" t="inlineStr">
        <is>
          <t>Customer payment INV/2026/02078</t>
        </is>
      </c>
      <c r="G1737" s="9" t="n">
        <v>349.18</v>
      </c>
      <c r="H1737" t="inlineStr">
        <is>
          <t>customer_payment</t>
        </is>
      </c>
      <c r="I1737" t="inlineStr"/>
      <c r="J1737" t="inlineStr">
        <is>
          <t>G00217</t>
        </is>
      </c>
      <c r="K1737" t="str">
        <f>INDEX('Match Groups'!$D$5:$D$1326,MATCH(J1737,'Match Groups'!$A$5:$A$1326,0))</f>
        <v>MATCH</v>
      </c>
    </row>
    <row r="1738">
      <c r="A1738" t="inlineStr">
        <is>
          <t>JI-00635</t>
        </is>
      </c>
      <c r="B1738" t="inlineStr">
        <is>
          <t>OPS</t>
        </is>
      </c>
      <c r="C1738" s="5" t="n">
        <v>46231</v>
      </c>
      <c r="D1738" t="inlineStr">
        <is>
          <t>Saltbush Plan Managers</t>
        </is>
      </c>
      <c r="E1738" t="inlineStr">
        <is>
          <t>INV/2026/02079</t>
        </is>
      </c>
      <c r="F1738" t="inlineStr">
        <is>
          <t>Customer payment INV/2026/02079</t>
        </is>
      </c>
      <c r="G1738" s="9" t="n">
        <v>252.19</v>
      </c>
      <c r="H1738" t="inlineStr">
        <is>
          <t>customer_payment</t>
        </is>
      </c>
      <c r="I1738" t="inlineStr"/>
      <c r="J1738" t="inlineStr">
        <is>
          <t>G00217</t>
        </is>
      </c>
      <c r="K1738" t="str">
        <f>INDEX('Match Groups'!$D$5:$D$1326,MATCH(J1738,'Match Groups'!$A$5:$A$1326,0))</f>
        <v>MATCH</v>
      </c>
    </row>
    <row r="1739">
      <c r="A1739" t="inlineStr">
        <is>
          <t>JI-00636</t>
        </is>
      </c>
      <c r="B1739" t="inlineStr">
        <is>
          <t>OPS</t>
        </is>
      </c>
      <c r="C1739" s="5" t="n">
        <v>46231</v>
      </c>
      <c r="D1739" t="inlineStr">
        <is>
          <t>Saltbush Plan Managers</t>
        </is>
      </c>
      <c r="E1739" t="inlineStr">
        <is>
          <t>INV/2026/02097</t>
        </is>
      </c>
      <c r="F1739" t="inlineStr">
        <is>
          <t>Customer payment INV/2026/02097</t>
        </is>
      </c>
      <c r="G1739" s="9" t="n">
        <v>349.18</v>
      </c>
      <c r="H1739" t="inlineStr">
        <is>
          <t>customer_payment</t>
        </is>
      </c>
      <c r="I1739" t="inlineStr"/>
      <c r="J1739" t="inlineStr">
        <is>
          <t>G00217</t>
        </is>
      </c>
      <c r="K1739" t="str">
        <f>INDEX('Match Groups'!$D$5:$D$1326,MATCH(J1739,'Match Groups'!$A$5:$A$1326,0))</f>
        <v>MATCH</v>
      </c>
    </row>
    <row r="1740">
      <c r="A1740" t="inlineStr">
        <is>
          <t>JI-00637</t>
        </is>
      </c>
      <c r="B1740" t="inlineStr">
        <is>
          <t>OPS</t>
        </is>
      </c>
      <c r="C1740" s="5" t="n">
        <v>46231</v>
      </c>
      <c r="D1740" t="inlineStr">
        <is>
          <t>Saltbush Plan Managers</t>
        </is>
      </c>
      <c r="E1740" t="inlineStr">
        <is>
          <t>INV/2026/02121</t>
        </is>
      </c>
      <c r="F1740" t="inlineStr">
        <is>
          <t>Customer payment INV/2026/02121</t>
        </is>
      </c>
      <c r="G1740" s="9" t="n">
        <v>126.99</v>
      </c>
      <c r="H1740" t="inlineStr">
        <is>
          <t>customer_payment</t>
        </is>
      </c>
      <c r="I1740" t="inlineStr"/>
      <c r="J1740" t="inlineStr">
        <is>
          <t>G00217</t>
        </is>
      </c>
      <c r="K1740" t="str">
        <f>INDEX('Match Groups'!$D$5:$D$1326,MATCH(J1740,'Match Groups'!$A$5:$A$1326,0))</f>
        <v>MATCH</v>
      </c>
    </row>
    <row r="1741">
      <c r="A1741" t="inlineStr">
        <is>
          <t>JI-00644</t>
        </is>
      </c>
      <c r="B1741" t="inlineStr">
        <is>
          <t>OPS</t>
        </is>
      </c>
      <c r="C1741" s="5" t="n">
        <v>46231</v>
      </c>
      <c r="D1741" t="inlineStr">
        <is>
          <t>Acacia Plan Partners</t>
        </is>
      </c>
      <c r="E1741" t="inlineStr">
        <is>
          <t>INV/2026/02223</t>
        </is>
      </c>
      <c r="F1741" t="inlineStr">
        <is>
          <t>Customer payment INV/2026/02223</t>
        </is>
      </c>
      <c r="G1741" s="9" t="n">
        <v>193.99</v>
      </c>
      <c r="H1741" t="inlineStr">
        <is>
          <t>customer_payment</t>
        </is>
      </c>
      <c r="I1741" t="inlineStr"/>
      <c r="J1741" t="inlineStr">
        <is>
          <t>G00219</t>
        </is>
      </c>
      <c r="K1741" t="str">
        <f>INDEX('Match Groups'!$D$5:$D$1326,MATCH(J1741,'Match Groups'!$A$5:$A$1326,0))</f>
        <v>MATCH</v>
      </c>
    </row>
    <row r="1742">
      <c r="A1742" t="inlineStr">
        <is>
          <t>JI-00645</t>
        </is>
      </c>
      <c r="B1742" t="inlineStr">
        <is>
          <t>OPS</t>
        </is>
      </c>
      <c r="C1742" s="5" t="n">
        <v>46231</v>
      </c>
      <c r="D1742" t="inlineStr">
        <is>
          <t>Acacia Plan Partners</t>
        </is>
      </c>
      <c r="E1742" t="inlineStr">
        <is>
          <t>INV/2026/02224</t>
        </is>
      </c>
      <c r="F1742" t="inlineStr">
        <is>
          <t>Customer payment INV/2026/02224</t>
        </is>
      </c>
      <c r="G1742" s="9" t="n">
        <v>446.18</v>
      </c>
      <c r="H1742" t="inlineStr">
        <is>
          <t>customer_payment</t>
        </is>
      </c>
      <c r="I1742" t="inlineStr"/>
      <c r="J1742" t="inlineStr">
        <is>
          <t>G00219</t>
        </is>
      </c>
      <c r="K1742" t="str">
        <f>INDEX('Match Groups'!$D$5:$D$1326,MATCH(J1742,'Match Groups'!$A$5:$A$1326,0))</f>
        <v>MATCH</v>
      </c>
    </row>
    <row r="1743">
      <c r="A1743" t="inlineStr">
        <is>
          <t>JI-00646</t>
        </is>
      </c>
      <c r="B1743" t="inlineStr">
        <is>
          <t>OPS</t>
        </is>
      </c>
      <c r="C1743" s="5" t="n">
        <v>46231</v>
      </c>
      <c r="D1743" t="inlineStr">
        <is>
          <t>Acacia Plan Partners</t>
        </is>
      </c>
      <c r="E1743" t="inlineStr">
        <is>
          <t>INV/2026/02225</t>
        </is>
      </c>
      <c r="F1743" t="inlineStr">
        <is>
          <t>Customer payment INV/2026/02225</t>
        </is>
      </c>
      <c r="G1743" s="9" t="n">
        <v>96.98999999999999</v>
      </c>
      <c r="H1743" t="inlineStr">
        <is>
          <t>customer_payment</t>
        </is>
      </c>
      <c r="I1743" t="inlineStr"/>
      <c r="J1743" t="inlineStr">
        <is>
          <t>G00219</t>
        </is>
      </c>
      <c r="K1743" t="str">
        <f>INDEX('Match Groups'!$D$5:$D$1326,MATCH(J1743,'Match Groups'!$A$5:$A$1326,0))</f>
        <v>MATCH</v>
      </c>
    </row>
    <row r="1744">
      <c r="A1744" t="inlineStr">
        <is>
          <t>JI-00647</t>
        </is>
      </c>
      <c r="B1744" t="inlineStr">
        <is>
          <t>OPS</t>
        </is>
      </c>
      <c r="C1744" s="5" t="n">
        <v>46231</v>
      </c>
      <c r="D1744" t="inlineStr">
        <is>
          <t>Acacia Plan Partners</t>
        </is>
      </c>
      <c r="E1744" t="inlineStr">
        <is>
          <t>INV/2026/02245</t>
        </is>
      </c>
      <c r="F1744" t="inlineStr">
        <is>
          <t>Customer payment INV/2026/02245</t>
        </is>
      </c>
      <c r="G1744" s="9" t="n">
        <v>446.18</v>
      </c>
      <c r="H1744" t="inlineStr">
        <is>
          <t>customer_payment</t>
        </is>
      </c>
      <c r="I1744" t="inlineStr"/>
      <c r="J1744" t="inlineStr">
        <is>
          <t>G00219</t>
        </is>
      </c>
      <c r="K1744" t="str">
        <f>INDEX('Match Groups'!$D$5:$D$1326,MATCH(J1744,'Match Groups'!$A$5:$A$1326,0))</f>
        <v>MATCH</v>
      </c>
    </row>
    <row r="1745">
      <c r="A1745" t="inlineStr">
        <is>
          <t>JI-00648</t>
        </is>
      </c>
      <c r="B1745" t="inlineStr">
        <is>
          <t>OPS</t>
        </is>
      </c>
      <c r="C1745" s="5" t="n">
        <v>46231</v>
      </c>
      <c r="D1745" t="inlineStr">
        <is>
          <t>Acacia Plan Partners</t>
        </is>
      </c>
      <c r="E1745" t="inlineStr">
        <is>
          <t>INV/2026/02266</t>
        </is>
      </c>
      <c r="F1745" t="inlineStr">
        <is>
          <t>Customer payment INV/2026/02266</t>
        </is>
      </c>
      <c r="G1745" s="9" t="n">
        <v>193.99</v>
      </c>
      <c r="H1745" t="inlineStr">
        <is>
          <t>customer_payment</t>
        </is>
      </c>
      <c r="I1745" t="inlineStr"/>
      <c r="J1745" t="inlineStr">
        <is>
          <t>G00219</t>
        </is>
      </c>
      <c r="K1745" t="str">
        <f>INDEX('Match Groups'!$D$5:$D$1326,MATCH(J1745,'Match Groups'!$A$5:$A$1326,0))</f>
        <v>MATCH</v>
      </c>
    </row>
    <row r="1746">
      <c r="A1746" t="inlineStr">
        <is>
          <t>JI-00649</t>
        </is>
      </c>
      <c r="B1746" t="inlineStr">
        <is>
          <t>OPS</t>
        </is>
      </c>
      <c r="C1746" s="5" t="n">
        <v>46231</v>
      </c>
      <c r="D1746" t="inlineStr">
        <is>
          <t>Acacia Plan Partners</t>
        </is>
      </c>
      <c r="E1746" t="inlineStr">
        <is>
          <t>INV/2026/02267</t>
        </is>
      </c>
      <c r="F1746" t="inlineStr">
        <is>
          <t>Customer payment INV/2026/02267</t>
        </is>
      </c>
      <c r="G1746" s="9" t="n">
        <v>96.98999999999999</v>
      </c>
      <c r="H1746" t="inlineStr">
        <is>
          <t>customer_payment</t>
        </is>
      </c>
      <c r="I1746" t="inlineStr"/>
      <c r="J1746" t="inlineStr">
        <is>
          <t>G00219</t>
        </is>
      </c>
      <c r="K1746" t="str">
        <f>INDEX('Match Groups'!$D$5:$D$1326,MATCH(J1746,'Match Groups'!$A$5:$A$1326,0))</f>
        <v>MATCH</v>
      </c>
    </row>
    <row r="1747">
      <c r="A1747" t="inlineStr">
        <is>
          <t>JI-00650</t>
        </is>
      </c>
      <c r="B1747" t="inlineStr">
        <is>
          <t>OPS</t>
        </is>
      </c>
      <c r="C1747" s="5" t="n">
        <v>46231</v>
      </c>
      <c r="D1747" t="inlineStr">
        <is>
          <t>Acacia Plan Partners</t>
        </is>
      </c>
      <c r="E1747" t="inlineStr">
        <is>
          <t>INV/2026/02268</t>
        </is>
      </c>
      <c r="F1747" t="inlineStr">
        <is>
          <t>Customer payment INV/2026/02268</t>
        </is>
      </c>
      <c r="G1747" s="9" t="n">
        <v>193.99</v>
      </c>
      <c r="H1747" t="inlineStr">
        <is>
          <t>customer_payment</t>
        </is>
      </c>
      <c r="I1747" t="inlineStr"/>
      <c r="J1747" t="inlineStr">
        <is>
          <t>G00219</t>
        </is>
      </c>
      <c r="K1747" t="str">
        <f>INDEX('Match Groups'!$D$5:$D$1326,MATCH(J1747,'Match Groups'!$A$5:$A$1326,0))</f>
        <v>MATCH</v>
      </c>
    </row>
    <row r="1748">
      <c r="A1748" t="inlineStr">
        <is>
          <t>JI-00651</t>
        </is>
      </c>
      <c r="B1748" t="inlineStr">
        <is>
          <t>OPS</t>
        </is>
      </c>
      <c r="C1748" s="5" t="n">
        <v>46231</v>
      </c>
      <c r="D1748" t="inlineStr">
        <is>
          <t>Acacia Plan Partners</t>
        </is>
      </c>
      <c r="E1748" t="inlineStr">
        <is>
          <t>INV/2026/02282</t>
        </is>
      </c>
      <c r="F1748" t="inlineStr">
        <is>
          <t>Customer payment INV/2026/02282</t>
        </is>
      </c>
      <c r="G1748" s="9" t="n">
        <v>349.18</v>
      </c>
      <c r="H1748" t="inlineStr">
        <is>
          <t>customer_payment</t>
        </is>
      </c>
      <c r="I1748" t="inlineStr"/>
      <c r="J1748" t="inlineStr">
        <is>
          <t>G00219</t>
        </is>
      </c>
      <c r="K1748" t="str">
        <f>INDEX('Match Groups'!$D$5:$D$1326,MATCH(J1748,'Match Groups'!$A$5:$A$1326,0))</f>
        <v>MATCH</v>
      </c>
    </row>
    <row r="1749">
      <c r="A1749" t="inlineStr">
        <is>
          <t>JI-00652</t>
        </is>
      </c>
      <c r="B1749" t="inlineStr">
        <is>
          <t>OPS</t>
        </is>
      </c>
      <c r="C1749" s="5" t="n">
        <v>46231</v>
      </c>
      <c r="D1749" t="inlineStr">
        <is>
          <t>Acacia Plan Partners</t>
        </is>
      </c>
      <c r="E1749" t="inlineStr">
        <is>
          <t>INV/2026/02294</t>
        </is>
      </c>
      <c r="F1749" t="inlineStr">
        <is>
          <t>Customer payment INV/2026/02294</t>
        </is>
      </c>
      <c r="G1749" s="9" t="n">
        <v>96.98999999999999</v>
      </c>
      <c r="H1749" t="inlineStr">
        <is>
          <t>customer_payment</t>
        </is>
      </c>
      <c r="I1749" t="inlineStr"/>
      <c r="J1749" t="inlineStr">
        <is>
          <t>G00219</t>
        </is>
      </c>
      <c r="K1749" t="str">
        <f>INDEX('Match Groups'!$D$5:$D$1326,MATCH(J1749,'Match Groups'!$A$5:$A$1326,0))</f>
        <v>MATCH</v>
      </c>
    </row>
    <row r="1750">
      <c r="A1750" t="inlineStr">
        <is>
          <t>JI-00653</t>
        </is>
      </c>
      <c r="B1750" t="inlineStr">
        <is>
          <t>OPS</t>
        </is>
      </c>
      <c r="C1750" s="5" t="n">
        <v>46231</v>
      </c>
      <c r="D1750" t="inlineStr">
        <is>
          <t>Acacia Plan Partners</t>
        </is>
      </c>
      <c r="E1750" t="inlineStr">
        <is>
          <t>INV/2026/02314</t>
        </is>
      </c>
      <c r="F1750" t="inlineStr">
        <is>
          <t>Customer payment INV/2026/02314</t>
        </is>
      </c>
      <c r="G1750" s="9" t="n">
        <v>145.49</v>
      </c>
      <c r="H1750" t="inlineStr">
        <is>
          <t>customer_payment</t>
        </is>
      </c>
      <c r="I1750" t="inlineStr"/>
      <c r="J1750" t="inlineStr">
        <is>
          <t>G00219</t>
        </is>
      </c>
      <c r="K1750" t="str">
        <f>INDEX('Match Groups'!$D$5:$D$1326,MATCH(J1750,'Match Groups'!$A$5:$A$1326,0))</f>
        <v>MATCH</v>
      </c>
    </row>
    <row r="1751">
      <c r="A1751" t="inlineStr">
        <is>
          <t>JI-01576</t>
        </is>
      </c>
      <c r="B1751" t="inlineStr">
        <is>
          <t>OPS</t>
        </is>
      </c>
      <c r="C1751" s="5" t="n">
        <v>46231</v>
      </c>
      <c r="D1751" t="inlineStr">
        <is>
          <t>Unity Workcover Agents</t>
        </is>
      </c>
      <c r="E1751" t="inlineStr">
        <is>
          <t>INV/2026/02063</t>
        </is>
      </c>
      <c r="F1751" t="inlineStr">
        <is>
          <t>Customer payment INV/2026/02063</t>
        </is>
      </c>
      <c r="G1751" s="9" t="n">
        <v>176</v>
      </c>
      <c r="H1751" t="inlineStr">
        <is>
          <t>customer_payment</t>
        </is>
      </c>
      <c r="I1751" t="inlineStr"/>
      <c r="J1751" t="inlineStr">
        <is>
          <t>G00970</t>
        </is>
      </c>
      <c r="K1751" t="str">
        <f>INDEX('Match Groups'!$D$5:$D$1326,MATCH(J1751,'Match Groups'!$A$5:$A$1326,0))</f>
        <v>MATCH</v>
      </c>
    </row>
    <row r="1752">
      <c r="A1752" t="inlineStr">
        <is>
          <t>JI-01614</t>
        </is>
      </c>
      <c r="B1752" t="inlineStr">
        <is>
          <t>OPS</t>
        </is>
      </c>
      <c r="C1752" s="5" t="n">
        <v>46231</v>
      </c>
      <c r="D1752" t="inlineStr">
        <is>
          <t>Meridian Health Cover</t>
        </is>
      </c>
      <c r="E1752" t="inlineStr">
        <is>
          <t>INV/2026/02018</t>
        </is>
      </c>
      <c r="F1752" t="inlineStr">
        <is>
          <t>Customer payment INV/2026/02018</t>
        </is>
      </c>
      <c r="G1752" s="9" t="n">
        <v>176</v>
      </c>
      <c r="H1752" t="inlineStr">
        <is>
          <t>customer_payment</t>
        </is>
      </c>
      <c r="I1752" t="inlineStr"/>
      <c r="J1752" t="inlineStr">
        <is>
          <t>G00972</t>
        </is>
      </c>
      <c r="K1752" t="str">
        <f>INDEX('Match Groups'!$D$5:$D$1326,MATCH(J1752,'Match Groups'!$A$5:$A$1326,0))</f>
        <v>MATCH</v>
      </c>
    </row>
    <row r="1753">
      <c r="A1753" t="inlineStr">
        <is>
          <t>JI-01674</t>
        </is>
      </c>
      <c r="B1753" t="inlineStr">
        <is>
          <t>OPS</t>
        </is>
      </c>
      <c r="C1753" s="5" t="n">
        <v>46231</v>
      </c>
      <c r="D1753" t="inlineStr">
        <is>
          <t>Greystanes Building Co</t>
        </is>
      </c>
      <c r="E1753" t="inlineStr">
        <is>
          <t>INV/2026/03423</t>
        </is>
      </c>
      <c r="F1753" t="inlineStr">
        <is>
          <t>Customer payment INV/2026/03423</t>
        </is>
      </c>
      <c r="G1753" s="9" t="n">
        <v>1402.5</v>
      </c>
      <c r="H1753" t="inlineStr">
        <is>
          <t>customer_payment</t>
        </is>
      </c>
      <c r="I1753" t="inlineStr"/>
      <c r="J1753" t="inlineStr">
        <is>
          <t>G00973</t>
        </is>
      </c>
      <c r="K1753" t="str">
        <f>INDEX('Match Groups'!$D$5:$D$1326,MATCH(J1753,'Match Groups'!$A$5:$A$1326,0))</f>
        <v>MATCH</v>
      </c>
    </row>
    <row r="1754">
      <c r="A1754" t="inlineStr">
        <is>
          <t>JI-01749</t>
        </is>
      </c>
      <c r="B1754" t="inlineStr">
        <is>
          <t>OPS</t>
        </is>
      </c>
      <c r="C1754" s="5" t="n">
        <v>46231</v>
      </c>
      <c r="D1754" t="inlineStr">
        <is>
          <t>Mornane Electrical</t>
        </is>
      </c>
      <c r="E1754" t="inlineStr">
        <is>
          <t>INV/2026/03451</t>
        </is>
      </c>
      <c r="F1754" t="inlineStr">
        <is>
          <t>Customer payment INV/2026/03451</t>
        </is>
      </c>
      <c r="G1754" s="9" t="n">
        <v>1320</v>
      </c>
      <c r="H1754" t="inlineStr">
        <is>
          <t>customer_payment</t>
        </is>
      </c>
      <c r="I1754" t="inlineStr"/>
      <c r="J1754" t="inlineStr">
        <is>
          <t>G00974</t>
        </is>
      </c>
      <c r="K1754" t="str">
        <f>INDEX('Match Groups'!$D$5:$D$1326,MATCH(J1754,'Match Groups'!$A$5:$A$1326,0))</f>
        <v>MATCH</v>
      </c>
    </row>
    <row r="1755">
      <c r="A1755" t="inlineStr">
        <is>
          <t>JI-02373</t>
        </is>
      </c>
      <c r="B1755" t="inlineStr">
        <is>
          <t>OPS</t>
        </is>
      </c>
      <c r="C1755" s="5" t="n">
        <v>46231</v>
      </c>
      <c r="D1755" t="inlineStr">
        <is>
          <t>Stripe patient 35672</t>
        </is>
      </c>
      <c r="E1755" t="inlineStr">
        <is>
          <t>INV/2026/04219</t>
        </is>
      </c>
      <c r="F1755" t="inlineStr">
        <is>
          <t>Customer payment INV/2026/04219</t>
        </is>
      </c>
      <c r="G1755" s="9" t="n">
        <v>65</v>
      </c>
      <c r="H1755" t="inlineStr">
        <is>
          <t>customer_payment</t>
        </is>
      </c>
      <c r="I1755" t="inlineStr"/>
      <c r="J1755" t="inlineStr">
        <is>
          <t>G00035</t>
        </is>
      </c>
      <c r="K1755" t="str">
        <f>INDEX('Match Groups'!$D$5:$D$1326,MATCH(J1755,'Match Groups'!$A$5:$A$1326,0))</f>
        <v>STRIPE-FEE</v>
      </c>
    </row>
    <row r="1756">
      <c r="A1756" t="inlineStr">
        <is>
          <t>JI-02374</t>
        </is>
      </c>
      <c r="B1756" t="inlineStr">
        <is>
          <t>OPS</t>
        </is>
      </c>
      <c r="C1756" s="5" t="n">
        <v>46231</v>
      </c>
      <c r="D1756" t="inlineStr">
        <is>
          <t>Stripe patient 16606</t>
        </is>
      </c>
      <c r="E1756" t="inlineStr">
        <is>
          <t>INV/2026/04220</t>
        </is>
      </c>
      <c r="F1756" t="inlineStr">
        <is>
          <t>Customer payment INV/2026/04220</t>
        </is>
      </c>
      <c r="G1756" s="9" t="n">
        <v>180</v>
      </c>
      <c r="H1756" t="inlineStr">
        <is>
          <t>customer_payment</t>
        </is>
      </c>
      <c r="I1756" t="inlineStr"/>
      <c r="J1756" t="inlineStr">
        <is>
          <t>G00035</t>
        </is>
      </c>
      <c r="K1756" t="str">
        <f>INDEX('Match Groups'!$D$5:$D$1326,MATCH(J1756,'Match Groups'!$A$5:$A$1326,0))</f>
        <v>STRIPE-FEE</v>
      </c>
    </row>
    <row r="1757">
      <c r="A1757" t="inlineStr">
        <is>
          <t>JI-02375</t>
        </is>
      </c>
      <c r="B1757" t="inlineStr">
        <is>
          <t>OPS</t>
        </is>
      </c>
      <c r="C1757" s="5" t="n">
        <v>46231</v>
      </c>
      <c r="D1757" t="inlineStr">
        <is>
          <t>Stripe patient 62800</t>
        </is>
      </c>
      <c r="E1757" t="inlineStr">
        <is>
          <t>INV/2026/04221</t>
        </is>
      </c>
      <c r="F1757" t="inlineStr">
        <is>
          <t>Customer payment INV/2026/04221</t>
        </is>
      </c>
      <c r="G1757" s="9" t="n">
        <v>85</v>
      </c>
      <c r="H1757" t="inlineStr">
        <is>
          <t>customer_payment</t>
        </is>
      </c>
      <c r="I1757" t="inlineStr"/>
      <c r="J1757" t="inlineStr">
        <is>
          <t>G00035</t>
        </is>
      </c>
      <c r="K1757" t="str">
        <f>INDEX('Match Groups'!$D$5:$D$1326,MATCH(J1757,'Match Groups'!$A$5:$A$1326,0))</f>
        <v>STRIPE-FEE</v>
      </c>
    </row>
    <row r="1758">
      <c r="A1758" t="inlineStr">
        <is>
          <t>JI-02376</t>
        </is>
      </c>
      <c r="B1758" t="inlineStr">
        <is>
          <t>OPS</t>
        </is>
      </c>
      <c r="C1758" s="5" t="n">
        <v>46231</v>
      </c>
      <c r="D1758" t="inlineStr">
        <is>
          <t>Stripe patient 38420</t>
        </is>
      </c>
      <c r="E1758" t="inlineStr">
        <is>
          <t>INV/2026/04222</t>
        </is>
      </c>
      <c r="F1758" t="inlineStr">
        <is>
          <t>Customer payment INV/2026/04222</t>
        </is>
      </c>
      <c r="G1758" s="9" t="n">
        <v>120</v>
      </c>
      <c r="H1758" t="inlineStr">
        <is>
          <t>customer_payment</t>
        </is>
      </c>
      <c r="I1758" t="inlineStr"/>
      <c r="J1758" t="inlineStr">
        <is>
          <t>G00035</t>
        </is>
      </c>
      <c r="K1758" t="str">
        <f>INDEX('Match Groups'!$D$5:$D$1326,MATCH(J1758,'Match Groups'!$A$5:$A$1326,0))</f>
        <v>STRIPE-FEE</v>
      </c>
    </row>
    <row r="1759">
      <c r="A1759" t="inlineStr">
        <is>
          <t>JI-02377</t>
        </is>
      </c>
      <c r="B1759" t="inlineStr">
        <is>
          <t>OPS</t>
        </is>
      </c>
      <c r="C1759" s="5" t="n">
        <v>46231</v>
      </c>
      <c r="D1759" t="inlineStr">
        <is>
          <t>Stripe patient 65804</t>
        </is>
      </c>
      <c r="E1759" t="inlineStr">
        <is>
          <t>INV/2026/04223</t>
        </is>
      </c>
      <c r="F1759" t="inlineStr">
        <is>
          <t>Customer payment INV/2026/04223</t>
        </is>
      </c>
      <c r="G1759" s="9" t="n">
        <v>120</v>
      </c>
      <c r="H1759" t="inlineStr">
        <is>
          <t>customer_payment</t>
        </is>
      </c>
      <c r="I1759" t="inlineStr"/>
      <c r="J1759" t="inlineStr">
        <is>
          <t>G00035</t>
        </is>
      </c>
      <c r="K1759" t="str">
        <f>INDEX('Match Groups'!$D$5:$D$1326,MATCH(J1759,'Match Groups'!$A$5:$A$1326,0))</f>
        <v>STRIPE-FEE</v>
      </c>
    </row>
    <row r="1760">
      <c r="A1760" t="inlineStr">
        <is>
          <t>JI-02378</t>
        </is>
      </c>
      <c r="B1760" t="inlineStr">
        <is>
          <t>OPS</t>
        </is>
      </c>
      <c r="C1760" s="5" t="n">
        <v>46231</v>
      </c>
      <c r="D1760" t="inlineStr">
        <is>
          <t>Stripe patient 34186</t>
        </is>
      </c>
      <c r="E1760" t="inlineStr">
        <is>
          <t>INV/2026/04224</t>
        </is>
      </c>
      <c r="F1760" t="inlineStr">
        <is>
          <t>Customer payment INV/2026/04224</t>
        </is>
      </c>
      <c r="G1760" s="9" t="n">
        <v>85</v>
      </c>
      <c r="H1760" t="inlineStr">
        <is>
          <t>customer_payment</t>
        </is>
      </c>
      <c r="I1760" t="inlineStr"/>
      <c r="J1760" t="inlineStr">
        <is>
          <t>G00035</t>
        </is>
      </c>
      <c r="K1760" t="str">
        <f>INDEX('Match Groups'!$D$5:$D$1326,MATCH(J1760,'Match Groups'!$A$5:$A$1326,0))</f>
        <v>STRIPE-FEE</v>
      </c>
    </row>
    <row r="1761">
      <c r="A1761" t="inlineStr">
        <is>
          <t>JI-02379</t>
        </is>
      </c>
      <c r="B1761" t="inlineStr">
        <is>
          <t>OPS</t>
        </is>
      </c>
      <c r="C1761" s="5" t="n">
        <v>46231</v>
      </c>
      <c r="D1761" t="inlineStr">
        <is>
          <t>Stripe patient 99926</t>
        </is>
      </c>
      <c r="E1761" t="inlineStr">
        <is>
          <t>INV/2026/04225</t>
        </is>
      </c>
      <c r="F1761" t="inlineStr">
        <is>
          <t>Customer payment INV/2026/04225</t>
        </is>
      </c>
      <c r="G1761" s="9" t="n">
        <v>120</v>
      </c>
      <c r="H1761" t="inlineStr">
        <is>
          <t>customer_payment</t>
        </is>
      </c>
      <c r="I1761" t="inlineStr"/>
      <c r="J1761" t="inlineStr">
        <is>
          <t>G00035</t>
        </is>
      </c>
      <c r="K1761" t="str">
        <f>INDEX('Match Groups'!$D$5:$D$1326,MATCH(J1761,'Match Groups'!$A$5:$A$1326,0))</f>
        <v>STRIPE-FEE</v>
      </c>
    </row>
    <row r="1762">
      <c r="A1762" t="inlineStr">
        <is>
          <t>JI-02380</t>
        </is>
      </c>
      <c r="B1762" t="inlineStr">
        <is>
          <t>OPS</t>
        </is>
      </c>
      <c r="C1762" s="5" t="n">
        <v>46231</v>
      </c>
      <c r="D1762" t="inlineStr">
        <is>
          <t>Stripe patient 97145</t>
        </is>
      </c>
      <c r="E1762" t="inlineStr">
        <is>
          <t>INV/2026/04226</t>
        </is>
      </c>
      <c r="F1762" t="inlineStr">
        <is>
          <t>Customer payment INV/2026/04226</t>
        </is>
      </c>
      <c r="G1762" s="9" t="n">
        <v>120</v>
      </c>
      <c r="H1762" t="inlineStr">
        <is>
          <t>customer_payment</t>
        </is>
      </c>
      <c r="I1762" t="inlineStr"/>
      <c r="J1762" t="inlineStr">
        <is>
          <t>G00035</t>
        </is>
      </c>
      <c r="K1762" t="str">
        <f>INDEX('Match Groups'!$D$5:$D$1326,MATCH(J1762,'Match Groups'!$A$5:$A$1326,0))</f>
        <v>STRIPE-FEE</v>
      </c>
    </row>
    <row r="1763">
      <c r="A1763" t="inlineStr">
        <is>
          <t>JI-02381</t>
        </is>
      </c>
      <c r="B1763" t="inlineStr">
        <is>
          <t>OPS</t>
        </is>
      </c>
      <c r="C1763" s="5" t="n">
        <v>46231</v>
      </c>
      <c r="D1763" t="inlineStr">
        <is>
          <t>Stripe patient 20024</t>
        </is>
      </c>
      <c r="E1763" t="inlineStr">
        <is>
          <t>INV/2026/04227</t>
        </is>
      </c>
      <c r="F1763" t="inlineStr">
        <is>
          <t>Customer payment INV/2026/04227</t>
        </is>
      </c>
      <c r="G1763" s="9" t="n">
        <v>220</v>
      </c>
      <c r="H1763" t="inlineStr">
        <is>
          <t>customer_payment</t>
        </is>
      </c>
      <c r="I1763" t="inlineStr"/>
      <c r="J1763" t="inlineStr">
        <is>
          <t>G00035</t>
        </is>
      </c>
      <c r="K1763" t="str">
        <f>INDEX('Match Groups'!$D$5:$D$1326,MATCH(J1763,'Match Groups'!$A$5:$A$1326,0))</f>
        <v>STRIPE-FEE</v>
      </c>
    </row>
    <row r="1764">
      <c r="A1764" t="inlineStr">
        <is>
          <t>JI-02382</t>
        </is>
      </c>
      <c r="B1764" t="inlineStr">
        <is>
          <t>OPS</t>
        </is>
      </c>
      <c r="C1764" s="5" t="n">
        <v>46231</v>
      </c>
      <c r="D1764" t="inlineStr">
        <is>
          <t>Stripe patient 46915</t>
        </is>
      </c>
      <c r="E1764" t="inlineStr">
        <is>
          <t>INV/2026/04228</t>
        </is>
      </c>
      <c r="F1764" t="inlineStr">
        <is>
          <t>Customer payment INV/2026/04228</t>
        </is>
      </c>
      <c r="G1764" s="9" t="n">
        <v>65</v>
      </c>
      <c r="H1764" t="inlineStr">
        <is>
          <t>customer_payment</t>
        </is>
      </c>
      <c r="I1764" t="inlineStr"/>
      <c r="J1764" t="inlineStr">
        <is>
          <t>G00035</t>
        </is>
      </c>
      <c r="K1764" t="str">
        <f>INDEX('Match Groups'!$D$5:$D$1326,MATCH(J1764,'Match Groups'!$A$5:$A$1326,0))</f>
        <v>STRIPE-FEE</v>
      </c>
    </row>
    <row r="1765">
      <c r="A1765" t="inlineStr">
        <is>
          <t>JI-02383</t>
        </is>
      </c>
      <c r="B1765" t="inlineStr">
        <is>
          <t>OPS</t>
        </is>
      </c>
      <c r="C1765" s="5" t="n">
        <v>46231</v>
      </c>
      <c r="D1765" t="inlineStr">
        <is>
          <t>Stripe patient 21165</t>
        </is>
      </c>
      <c r="E1765" t="inlineStr">
        <is>
          <t>INV/2026/04229</t>
        </is>
      </c>
      <c r="F1765" t="inlineStr">
        <is>
          <t>Customer payment INV/2026/04229</t>
        </is>
      </c>
      <c r="G1765" s="9" t="n">
        <v>120</v>
      </c>
      <c r="H1765" t="inlineStr">
        <is>
          <t>customer_payment</t>
        </is>
      </c>
      <c r="I1765" t="inlineStr"/>
      <c r="J1765" t="inlineStr">
        <is>
          <t>G00035</t>
        </is>
      </c>
      <c r="K1765" t="str">
        <f>INDEX('Match Groups'!$D$5:$D$1326,MATCH(J1765,'Match Groups'!$A$5:$A$1326,0))</f>
        <v>STRIPE-FEE</v>
      </c>
    </row>
    <row r="1766">
      <c r="A1766" t="inlineStr">
        <is>
          <t>JI-02384</t>
        </is>
      </c>
      <c r="B1766" t="inlineStr">
        <is>
          <t>OPS</t>
        </is>
      </c>
      <c r="C1766" s="5" t="n">
        <v>46231</v>
      </c>
      <c r="D1766" t="inlineStr">
        <is>
          <t>Stripe patient 54118</t>
        </is>
      </c>
      <c r="E1766" t="inlineStr">
        <is>
          <t>INV/2026/04230</t>
        </is>
      </c>
      <c r="F1766" t="inlineStr">
        <is>
          <t>Customer payment INV/2026/04230</t>
        </is>
      </c>
      <c r="G1766" s="9" t="n">
        <v>220</v>
      </c>
      <c r="H1766" t="inlineStr">
        <is>
          <t>customer_payment</t>
        </is>
      </c>
      <c r="I1766" t="inlineStr"/>
      <c r="J1766" t="inlineStr">
        <is>
          <t>G00035</t>
        </is>
      </c>
      <c r="K1766" t="str">
        <f>INDEX('Match Groups'!$D$5:$D$1326,MATCH(J1766,'Match Groups'!$A$5:$A$1326,0))</f>
        <v>STRIPE-FEE</v>
      </c>
    </row>
    <row r="1767">
      <c r="A1767" t="inlineStr">
        <is>
          <t>JI-02385</t>
        </is>
      </c>
      <c r="B1767" t="inlineStr">
        <is>
          <t>OPS</t>
        </is>
      </c>
      <c r="C1767" s="5" t="n">
        <v>46231</v>
      </c>
      <c r="D1767" t="inlineStr">
        <is>
          <t>Stripe patient 34446</t>
        </is>
      </c>
      <c r="E1767" t="inlineStr">
        <is>
          <t>INV/2026/04231</t>
        </is>
      </c>
      <c r="F1767" t="inlineStr">
        <is>
          <t>Customer payment INV/2026/04231</t>
        </is>
      </c>
      <c r="G1767" s="9" t="n">
        <v>180</v>
      </c>
      <c r="H1767" t="inlineStr">
        <is>
          <t>customer_payment</t>
        </is>
      </c>
      <c r="I1767" t="inlineStr"/>
      <c r="J1767" t="inlineStr">
        <is>
          <t>G00035</t>
        </is>
      </c>
      <c r="K1767" t="str">
        <f>INDEX('Match Groups'!$D$5:$D$1326,MATCH(J1767,'Match Groups'!$A$5:$A$1326,0))</f>
        <v>STRIPE-FEE</v>
      </c>
    </row>
    <row r="1768">
      <c r="A1768" t="inlineStr">
        <is>
          <t>JI-02386</t>
        </is>
      </c>
      <c r="B1768" t="inlineStr">
        <is>
          <t>OPS</t>
        </is>
      </c>
      <c r="C1768" s="5" t="n">
        <v>46231</v>
      </c>
      <c r="D1768" t="inlineStr">
        <is>
          <t>Stripe patient 30316</t>
        </is>
      </c>
      <c r="E1768" t="inlineStr">
        <is>
          <t>INV/2026/04232</t>
        </is>
      </c>
      <c r="F1768" t="inlineStr">
        <is>
          <t>Customer payment INV/2026/04232</t>
        </is>
      </c>
      <c r="G1768" s="9" t="n">
        <v>110</v>
      </c>
      <c r="H1768" t="inlineStr">
        <is>
          <t>customer_payment</t>
        </is>
      </c>
      <c r="I1768" t="inlineStr"/>
      <c r="J1768" t="inlineStr">
        <is>
          <t>G00035</t>
        </is>
      </c>
      <c r="K1768" t="str">
        <f>INDEX('Match Groups'!$D$5:$D$1326,MATCH(J1768,'Match Groups'!$A$5:$A$1326,0))</f>
        <v>STRIPE-FEE</v>
      </c>
    </row>
    <row r="1769">
      <c r="A1769" t="inlineStr">
        <is>
          <t>JI-02387</t>
        </is>
      </c>
      <c r="B1769" t="inlineStr">
        <is>
          <t>OPS</t>
        </is>
      </c>
      <c r="C1769" s="5" t="n">
        <v>46231</v>
      </c>
      <c r="D1769" t="inlineStr">
        <is>
          <t>Stripe patient 99177</t>
        </is>
      </c>
      <c r="E1769" t="inlineStr">
        <is>
          <t>INV/2026/04233</t>
        </is>
      </c>
      <c r="F1769" t="inlineStr">
        <is>
          <t>Customer payment INV/2026/04233</t>
        </is>
      </c>
      <c r="G1769" s="9" t="n">
        <v>150</v>
      </c>
      <c r="H1769" t="inlineStr">
        <is>
          <t>customer_payment</t>
        </is>
      </c>
      <c r="I1769" t="inlineStr"/>
      <c r="J1769" t="inlineStr">
        <is>
          <t>G00035</t>
        </is>
      </c>
      <c r="K1769" t="str">
        <f>INDEX('Match Groups'!$D$5:$D$1326,MATCH(J1769,'Match Groups'!$A$5:$A$1326,0))</f>
        <v>STRIPE-FEE</v>
      </c>
    </row>
    <row r="1770">
      <c r="A1770" t="inlineStr">
        <is>
          <t>JI-02388</t>
        </is>
      </c>
      <c r="B1770" t="inlineStr">
        <is>
          <t>OPS</t>
        </is>
      </c>
      <c r="C1770" s="5" t="n">
        <v>46231</v>
      </c>
      <c r="D1770" t="inlineStr">
        <is>
          <t>Stripe patient 13194</t>
        </is>
      </c>
      <c r="E1770" t="inlineStr">
        <is>
          <t>INV/2026/04234</t>
        </is>
      </c>
      <c r="F1770" t="inlineStr">
        <is>
          <t>Customer payment INV/2026/04234</t>
        </is>
      </c>
      <c r="G1770" s="9" t="n">
        <v>150</v>
      </c>
      <c r="H1770" t="inlineStr">
        <is>
          <t>customer_payment</t>
        </is>
      </c>
      <c r="I1770" t="inlineStr"/>
      <c r="J1770" t="inlineStr">
        <is>
          <t>G00035</t>
        </is>
      </c>
      <c r="K1770" t="str">
        <f>INDEX('Match Groups'!$D$5:$D$1326,MATCH(J1770,'Match Groups'!$A$5:$A$1326,0))</f>
        <v>STRIPE-FEE</v>
      </c>
    </row>
    <row r="1771">
      <c r="A1771" t="inlineStr">
        <is>
          <t>JI-02389</t>
        </is>
      </c>
      <c r="B1771" t="inlineStr">
        <is>
          <t>OPS</t>
        </is>
      </c>
      <c r="C1771" s="5" t="n">
        <v>46231</v>
      </c>
      <c r="D1771" t="inlineStr">
        <is>
          <t>Stripe patient 83324</t>
        </is>
      </c>
      <c r="E1771" t="inlineStr">
        <is>
          <t>INV/2026/04235</t>
        </is>
      </c>
      <c r="F1771" t="inlineStr">
        <is>
          <t>Customer payment INV/2026/04235</t>
        </is>
      </c>
      <c r="G1771" s="9" t="n">
        <v>110</v>
      </c>
      <c r="H1771" t="inlineStr">
        <is>
          <t>customer_payment</t>
        </is>
      </c>
      <c r="I1771" t="inlineStr"/>
      <c r="J1771" t="inlineStr">
        <is>
          <t>G00035</t>
        </is>
      </c>
      <c r="K1771" t="str">
        <f>INDEX('Match Groups'!$D$5:$D$1326,MATCH(J1771,'Match Groups'!$A$5:$A$1326,0))</f>
        <v>STRIPE-FEE</v>
      </c>
    </row>
    <row r="1772">
      <c r="A1772" t="inlineStr">
        <is>
          <t>JI-02390</t>
        </is>
      </c>
      <c r="B1772" t="inlineStr">
        <is>
          <t>OPS</t>
        </is>
      </c>
      <c r="C1772" s="5" t="n">
        <v>46231</v>
      </c>
      <c r="D1772" t="inlineStr">
        <is>
          <t>Stripe patient 59452</t>
        </is>
      </c>
      <c r="E1772" t="inlineStr">
        <is>
          <t>INV/2026/04236</t>
        </is>
      </c>
      <c r="F1772" t="inlineStr">
        <is>
          <t>Customer payment INV/2026/04236</t>
        </is>
      </c>
      <c r="G1772" s="9" t="n">
        <v>180</v>
      </c>
      <c r="H1772" t="inlineStr">
        <is>
          <t>customer_payment</t>
        </is>
      </c>
      <c r="I1772" t="inlineStr"/>
      <c r="J1772" t="inlineStr">
        <is>
          <t>G00035</t>
        </is>
      </c>
      <c r="K1772" t="str">
        <f>INDEX('Match Groups'!$D$5:$D$1326,MATCH(J1772,'Match Groups'!$A$5:$A$1326,0))</f>
        <v>STRIPE-FEE</v>
      </c>
    </row>
    <row r="1773">
      <c r="A1773" t="inlineStr">
        <is>
          <t>JI-02391</t>
        </is>
      </c>
      <c r="B1773" t="inlineStr">
        <is>
          <t>OPS</t>
        </is>
      </c>
      <c r="C1773" s="5" t="n">
        <v>46231</v>
      </c>
      <c r="D1773" t="inlineStr">
        <is>
          <t>Stripe patient 45660</t>
        </is>
      </c>
      <c r="E1773" t="inlineStr">
        <is>
          <t>INV/2026/04237</t>
        </is>
      </c>
      <c r="F1773" t="inlineStr">
        <is>
          <t>Customer payment INV/2026/04237</t>
        </is>
      </c>
      <c r="G1773" s="9" t="n">
        <v>95</v>
      </c>
      <c r="H1773" t="inlineStr">
        <is>
          <t>customer_payment</t>
        </is>
      </c>
      <c r="I1773" t="inlineStr"/>
      <c r="J1773" t="inlineStr">
        <is>
          <t>G00035</t>
        </is>
      </c>
      <c r="K1773" t="str">
        <f>INDEX('Match Groups'!$D$5:$D$1326,MATCH(J1773,'Match Groups'!$A$5:$A$1326,0))</f>
        <v>STRIPE-FEE</v>
      </c>
    </row>
    <row r="1774">
      <c r="A1774" t="inlineStr">
        <is>
          <t>JI-02392</t>
        </is>
      </c>
      <c r="B1774" t="inlineStr">
        <is>
          <t>OPS</t>
        </is>
      </c>
      <c r="C1774" s="5" t="n">
        <v>46231</v>
      </c>
      <c r="D1774" t="inlineStr">
        <is>
          <t>Stripe patient 57501</t>
        </is>
      </c>
      <c r="E1774" t="inlineStr">
        <is>
          <t>INV/2026/04238</t>
        </is>
      </c>
      <c r="F1774" t="inlineStr">
        <is>
          <t>Customer payment INV/2026/04238</t>
        </is>
      </c>
      <c r="G1774" s="9" t="n">
        <v>65</v>
      </c>
      <c r="H1774" t="inlineStr">
        <is>
          <t>customer_payment</t>
        </is>
      </c>
      <c r="I1774" t="inlineStr"/>
      <c r="J1774" t="inlineStr">
        <is>
          <t>G00035</t>
        </is>
      </c>
      <c r="K1774" t="str">
        <f>INDEX('Match Groups'!$D$5:$D$1326,MATCH(J1774,'Match Groups'!$A$5:$A$1326,0))</f>
        <v>STRIPE-FEE</v>
      </c>
    </row>
    <row r="1775">
      <c r="A1775" t="inlineStr">
        <is>
          <t>JI-03902</t>
        </is>
      </c>
      <c r="B1775" t="inlineStr">
        <is>
          <t>OPS</t>
        </is>
      </c>
      <c r="C1775" s="5" t="n">
        <v>46231</v>
      </c>
      <c r="D1775" t="inlineStr">
        <is>
          <t>Equipment Finance Co</t>
        </is>
      </c>
      <c r="E1775" t="inlineStr">
        <is>
          <t>LOAN-07</t>
        </is>
      </c>
      <c r="F1775" t="inlineStr">
        <is>
          <t>Equipment loan repayment</t>
        </is>
      </c>
      <c r="G1775" s="9" t="n">
        <v>-4416.75</v>
      </c>
      <c r="H1775" t="inlineStr">
        <is>
          <t>entry</t>
        </is>
      </c>
      <c r="I1775" t="inlineStr"/>
      <c r="J1775" t="inlineStr">
        <is>
          <t>G01130</t>
        </is>
      </c>
      <c r="K1775" t="str">
        <f>INDEX('Match Groups'!$D$5:$D$1326,MATCH(J1775,'Match Groups'!$A$5:$A$1326,0))</f>
        <v>MATCH</v>
      </c>
    </row>
    <row r="1776">
      <c r="A1776" t="inlineStr">
        <is>
          <t>JI-03930</t>
        </is>
      </c>
      <c r="B1776" t="inlineStr">
        <is>
          <t>OPS</t>
        </is>
      </c>
      <c r="C1776" s="5" t="n">
        <v>46231</v>
      </c>
      <c r="D1776" t="inlineStr">
        <is>
          <t>Australian Taxation Office</t>
        </is>
      </c>
      <c r="E1776" t="inlineStr">
        <is>
          <t>BAS Q4 FY26</t>
        </is>
      </c>
      <c r="F1776" t="inlineStr">
        <is>
          <t>BAS payment Apr-Jun</t>
        </is>
      </c>
      <c r="G1776" s="9" t="n">
        <v>-38412</v>
      </c>
      <c r="H1776" t="inlineStr">
        <is>
          <t>entry</t>
        </is>
      </c>
      <c r="I1776" t="inlineStr"/>
      <c r="J1776" t="inlineStr">
        <is>
          <t>G01239</t>
        </is>
      </c>
      <c r="K1776" t="str">
        <f>INDEX('Match Groups'!$D$5:$D$1326,MATCH(J1776,'Match Groups'!$A$5:$A$1326,0))</f>
        <v>MATCH</v>
      </c>
    </row>
    <row r="1777">
      <c r="A1777" t="inlineStr">
        <is>
          <t>JI-00654</t>
        </is>
      </c>
      <c r="B1777" t="inlineStr">
        <is>
          <t>OPS</t>
        </is>
      </c>
      <c r="C1777" s="5" t="n">
        <v>46232</v>
      </c>
      <c r="D1777" t="inlineStr">
        <is>
          <t>Riverbend Plan Partners</t>
        </is>
      </c>
      <c r="E1777" t="inlineStr">
        <is>
          <t>INV/2026/02300</t>
        </is>
      </c>
      <c r="F1777" t="inlineStr">
        <is>
          <t>Customer payment INV/2026/02300</t>
        </is>
      </c>
      <c r="G1777" s="9" t="n">
        <v>387.98</v>
      </c>
      <c r="H1777" t="inlineStr">
        <is>
          <t>customer_payment</t>
        </is>
      </c>
      <c r="I1777" t="inlineStr"/>
      <c r="J1777" t="inlineStr">
        <is>
          <t>G00220</t>
        </is>
      </c>
      <c r="K1777" t="str">
        <f>INDEX('Match Groups'!$D$5:$D$1326,MATCH(J1777,'Match Groups'!$A$5:$A$1326,0))</f>
        <v>MATCH</v>
      </c>
    </row>
    <row r="1778">
      <c r="A1778" t="inlineStr">
        <is>
          <t>JI-00655</t>
        </is>
      </c>
      <c r="B1778" t="inlineStr">
        <is>
          <t>OPS</t>
        </is>
      </c>
      <c r="C1778" s="5" t="n">
        <v>46232</v>
      </c>
      <c r="D1778" t="inlineStr">
        <is>
          <t>Wattle Plan Services</t>
        </is>
      </c>
      <c r="E1778" t="inlineStr">
        <is>
          <t>INV/2026/01998</t>
        </is>
      </c>
      <c r="F1778" t="inlineStr">
        <is>
          <t>Customer payment INV/2026/01998</t>
        </is>
      </c>
      <c r="G1778" s="9" t="n">
        <v>242.49</v>
      </c>
      <c r="H1778" t="inlineStr">
        <is>
          <t>customer_payment</t>
        </is>
      </c>
      <c r="I1778" t="inlineStr"/>
      <c r="J1778" t="inlineStr">
        <is>
          <t>G00221</t>
        </is>
      </c>
      <c r="K1778" t="str">
        <f>INDEX('Match Groups'!$D$5:$D$1326,MATCH(J1778,'Match Groups'!$A$5:$A$1326,0))</f>
        <v>MATCH</v>
      </c>
    </row>
    <row r="1779">
      <c r="A1779" t="inlineStr">
        <is>
          <t>JI-00656</t>
        </is>
      </c>
      <c r="B1779" t="inlineStr">
        <is>
          <t>OPS</t>
        </is>
      </c>
      <c r="C1779" s="5" t="n">
        <v>46232</v>
      </c>
      <c r="D1779" t="inlineStr">
        <is>
          <t>Wattle Plan Services</t>
        </is>
      </c>
      <c r="E1779" t="inlineStr">
        <is>
          <t>INV/2026/02022</t>
        </is>
      </c>
      <c r="F1779" t="inlineStr">
        <is>
          <t>Customer payment INV/2026/02022</t>
        </is>
      </c>
      <c r="G1779" s="9" t="n">
        <v>320.98</v>
      </c>
      <c r="H1779" t="inlineStr">
        <is>
          <t>customer_payment</t>
        </is>
      </c>
      <c r="I1779" t="inlineStr"/>
      <c r="J1779" t="inlineStr">
        <is>
          <t>G00221</t>
        </is>
      </c>
      <c r="K1779" t="str">
        <f>INDEX('Match Groups'!$D$5:$D$1326,MATCH(J1779,'Match Groups'!$A$5:$A$1326,0))</f>
        <v>MATCH</v>
      </c>
    </row>
    <row r="1780">
      <c r="A1780" t="inlineStr">
        <is>
          <t>JI-00657</t>
        </is>
      </c>
      <c r="B1780" t="inlineStr">
        <is>
          <t>OPS</t>
        </is>
      </c>
      <c r="C1780" s="5" t="n">
        <v>46232</v>
      </c>
      <c r="D1780" t="inlineStr">
        <is>
          <t>Wattle Plan Services</t>
        </is>
      </c>
      <c r="E1780" t="inlineStr">
        <is>
          <t>INV/2026/02043</t>
        </is>
      </c>
      <c r="F1780" t="inlineStr">
        <is>
          <t>Customer payment INV/2026/02043</t>
        </is>
      </c>
      <c r="G1780" s="9" t="n">
        <v>96.98999999999999</v>
      </c>
      <c r="H1780" t="inlineStr">
        <is>
          <t>customer_payment</t>
        </is>
      </c>
      <c r="I1780" t="inlineStr"/>
      <c r="J1780" t="inlineStr">
        <is>
          <t>G00221</t>
        </is>
      </c>
      <c r="K1780" t="str">
        <f>INDEX('Match Groups'!$D$5:$D$1326,MATCH(J1780,'Match Groups'!$A$5:$A$1326,0))</f>
        <v>MATCH</v>
      </c>
    </row>
    <row r="1781">
      <c r="A1781" t="inlineStr">
        <is>
          <t>JI-00658</t>
        </is>
      </c>
      <c r="B1781" t="inlineStr">
        <is>
          <t>OPS</t>
        </is>
      </c>
      <c r="C1781" s="5" t="n">
        <v>46232</v>
      </c>
      <c r="D1781" t="inlineStr">
        <is>
          <t>Wattle Plan Services</t>
        </is>
      </c>
      <c r="E1781" t="inlineStr">
        <is>
          <t>INV/2026/02044</t>
        </is>
      </c>
      <c r="F1781" t="inlineStr">
        <is>
          <t>Customer payment INV/2026/02044</t>
        </is>
      </c>
      <c r="G1781" s="9" t="n">
        <v>203.69</v>
      </c>
      <c r="H1781" t="inlineStr">
        <is>
          <t>customer_payment</t>
        </is>
      </c>
      <c r="I1781" t="inlineStr"/>
      <c r="J1781" t="inlineStr">
        <is>
          <t>G00221</t>
        </is>
      </c>
      <c r="K1781" t="str">
        <f>INDEX('Match Groups'!$D$5:$D$1326,MATCH(J1781,'Match Groups'!$A$5:$A$1326,0))</f>
        <v>MATCH</v>
      </c>
    </row>
    <row r="1782">
      <c r="A1782" t="inlineStr">
        <is>
          <t>JI-00659</t>
        </is>
      </c>
      <c r="B1782" t="inlineStr">
        <is>
          <t>OPS</t>
        </is>
      </c>
      <c r="C1782" s="5" t="n">
        <v>46232</v>
      </c>
      <c r="D1782" t="inlineStr">
        <is>
          <t>Banksia Plan Co</t>
        </is>
      </c>
      <c r="E1782" t="inlineStr">
        <is>
          <t>INV/2026/02255</t>
        </is>
      </c>
      <c r="F1782" t="inlineStr">
        <is>
          <t>Customer payment INV/2026/02255</t>
        </is>
      </c>
      <c r="G1782" s="9" t="n">
        <v>193.99</v>
      </c>
      <c r="H1782" t="inlineStr">
        <is>
          <t>customer_payment</t>
        </is>
      </c>
      <c r="I1782" t="inlineStr"/>
      <c r="J1782" t="inlineStr">
        <is>
          <t>G00222</t>
        </is>
      </c>
      <c r="K1782" t="str">
        <f>INDEX('Match Groups'!$D$5:$D$1326,MATCH(J1782,'Match Groups'!$A$5:$A$1326,0))</f>
        <v>MATCH</v>
      </c>
    </row>
    <row r="1783">
      <c r="A1783" t="inlineStr">
        <is>
          <t>JI-00660</t>
        </is>
      </c>
      <c r="B1783" t="inlineStr">
        <is>
          <t>OPS</t>
        </is>
      </c>
      <c r="C1783" s="5" t="n">
        <v>46232</v>
      </c>
      <c r="D1783" t="inlineStr">
        <is>
          <t>Banksia Plan Co</t>
        </is>
      </c>
      <c r="E1783" t="inlineStr">
        <is>
          <t>INV/2026/02305</t>
        </is>
      </c>
      <c r="F1783" t="inlineStr">
        <is>
          <t>Customer payment INV/2026/02305</t>
        </is>
      </c>
      <c r="G1783" s="9" t="n">
        <v>290.98</v>
      </c>
      <c r="H1783" t="inlineStr">
        <is>
          <t>customer_payment</t>
        </is>
      </c>
      <c r="I1783" t="inlineStr"/>
      <c r="J1783" t="inlineStr">
        <is>
          <t>G00222</t>
        </is>
      </c>
      <c r="K1783" t="str">
        <f>INDEX('Match Groups'!$D$5:$D$1326,MATCH(J1783,'Match Groups'!$A$5:$A$1326,0))</f>
        <v>MATCH</v>
      </c>
    </row>
    <row r="1784">
      <c r="A1784" t="inlineStr">
        <is>
          <t>JI-00661</t>
        </is>
      </c>
      <c r="B1784" t="inlineStr">
        <is>
          <t>OPS</t>
        </is>
      </c>
      <c r="C1784" s="5" t="n">
        <v>46232</v>
      </c>
      <c r="D1784" t="inlineStr">
        <is>
          <t>Saltbush Plan Managers</t>
        </is>
      </c>
      <c r="E1784" t="inlineStr">
        <is>
          <t>INV/2026/02122</t>
        </is>
      </c>
      <c r="F1784" t="inlineStr">
        <is>
          <t>Customer payment INV/2026/02122</t>
        </is>
      </c>
      <c r="G1784" s="9" t="n">
        <v>193.99</v>
      </c>
      <c r="H1784" t="inlineStr">
        <is>
          <t>customer_payment</t>
        </is>
      </c>
      <c r="I1784" t="inlineStr"/>
      <c r="J1784" t="inlineStr">
        <is>
          <t>G00223</t>
        </is>
      </c>
      <c r="K1784" t="str">
        <f>INDEX('Match Groups'!$D$5:$D$1326,MATCH(J1784,'Match Groups'!$A$5:$A$1326,0))</f>
        <v>MATCH</v>
      </c>
    </row>
    <row r="1785">
      <c r="A1785" t="inlineStr">
        <is>
          <t>JI-00662</t>
        </is>
      </c>
      <c r="B1785" t="inlineStr">
        <is>
          <t>OPS</t>
        </is>
      </c>
      <c r="C1785" s="5" t="n">
        <v>46232</v>
      </c>
      <c r="D1785" t="inlineStr">
        <is>
          <t>Saltbush Plan Managers</t>
        </is>
      </c>
      <c r="E1785" t="inlineStr">
        <is>
          <t>INV/2026/02167</t>
        </is>
      </c>
      <c r="F1785" t="inlineStr">
        <is>
          <t>Customer payment INV/2026/02167</t>
        </is>
      </c>
      <c r="G1785" s="9" t="n">
        <v>96.98999999999999</v>
      </c>
      <c r="H1785" t="inlineStr">
        <is>
          <t>customer_payment</t>
        </is>
      </c>
      <c r="I1785" t="inlineStr"/>
      <c r="J1785" t="inlineStr">
        <is>
          <t>G00223</t>
        </is>
      </c>
      <c r="K1785" t="str">
        <f>INDEX('Match Groups'!$D$5:$D$1326,MATCH(J1785,'Match Groups'!$A$5:$A$1326,0))</f>
        <v>MATCH</v>
      </c>
    </row>
    <row r="1786">
      <c r="A1786" t="inlineStr">
        <is>
          <t>JI-00663</t>
        </is>
      </c>
      <c r="B1786" t="inlineStr">
        <is>
          <t>OPS</t>
        </is>
      </c>
      <c r="C1786" s="5" t="n">
        <v>46232</v>
      </c>
      <c r="D1786" t="inlineStr">
        <is>
          <t>Saltbush Plan Managers</t>
        </is>
      </c>
      <c r="E1786" t="inlineStr">
        <is>
          <t>INV/2026/02168</t>
        </is>
      </c>
      <c r="F1786" t="inlineStr">
        <is>
          <t>Customer payment INV/2026/02168</t>
        </is>
      </c>
      <c r="G1786" s="9" t="n">
        <v>193.99</v>
      </c>
      <c r="H1786" t="inlineStr">
        <is>
          <t>customer_payment</t>
        </is>
      </c>
      <c r="I1786" t="inlineStr"/>
      <c r="J1786" t="inlineStr">
        <is>
          <t>G00223</t>
        </is>
      </c>
      <c r="K1786" t="str">
        <f>INDEX('Match Groups'!$D$5:$D$1326,MATCH(J1786,'Match Groups'!$A$5:$A$1326,0))</f>
        <v>MATCH</v>
      </c>
    </row>
    <row r="1787">
      <c r="A1787" t="inlineStr">
        <is>
          <t>JI-00664</t>
        </is>
      </c>
      <c r="B1787" t="inlineStr">
        <is>
          <t>OPS</t>
        </is>
      </c>
      <c r="C1787" s="5" t="n">
        <v>46232</v>
      </c>
      <c r="D1787" t="inlineStr">
        <is>
          <t>Saltbush Plan Managers</t>
        </is>
      </c>
      <c r="E1787" t="inlineStr">
        <is>
          <t>INV/2026/02194</t>
        </is>
      </c>
      <c r="F1787" t="inlineStr">
        <is>
          <t>Customer payment INV/2026/02194</t>
        </is>
      </c>
      <c r="G1787" s="9" t="n">
        <v>145.49</v>
      </c>
      <c r="H1787" t="inlineStr">
        <is>
          <t>customer_payment</t>
        </is>
      </c>
      <c r="I1787" t="inlineStr"/>
      <c r="J1787" t="inlineStr">
        <is>
          <t>G00223</t>
        </is>
      </c>
      <c r="K1787" t="str">
        <f>INDEX('Match Groups'!$D$5:$D$1326,MATCH(J1787,'Match Groups'!$A$5:$A$1326,0))</f>
        <v>MATCH</v>
      </c>
    </row>
    <row r="1788">
      <c r="A1788" t="inlineStr">
        <is>
          <t>JI-00665</t>
        </is>
      </c>
      <c r="B1788" t="inlineStr">
        <is>
          <t>OPS</t>
        </is>
      </c>
      <c r="C1788" s="5" t="n">
        <v>46232</v>
      </c>
      <c r="D1788" t="inlineStr">
        <is>
          <t>Saltbush Plan Managers</t>
        </is>
      </c>
      <c r="E1788" t="inlineStr">
        <is>
          <t>INV/2026/02195</t>
        </is>
      </c>
      <c r="F1788" t="inlineStr">
        <is>
          <t>Customer payment INV/2026/02195</t>
        </is>
      </c>
      <c r="G1788" s="9" t="n">
        <v>290.98</v>
      </c>
      <c r="H1788" t="inlineStr">
        <is>
          <t>customer_payment</t>
        </is>
      </c>
      <c r="I1788" t="inlineStr"/>
      <c r="J1788" t="inlineStr">
        <is>
          <t>G00223</t>
        </is>
      </c>
      <c r="K1788" t="str">
        <f>INDEX('Match Groups'!$D$5:$D$1326,MATCH(J1788,'Match Groups'!$A$5:$A$1326,0))</f>
        <v>MATCH</v>
      </c>
    </row>
    <row r="1789">
      <c r="A1789" t="inlineStr">
        <is>
          <t>JI-00666</t>
        </is>
      </c>
      <c r="B1789" t="inlineStr">
        <is>
          <t>OPS</t>
        </is>
      </c>
      <c r="C1789" s="5" t="n">
        <v>46232</v>
      </c>
      <c r="D1789" t="inlineStr">
        <is>
          <t>Saltbush Plan Managers</t>
        </is>
      </c>
      <c r="E1789" t="inlineStr">
        <is>
          <t>INV/2026/02214</t>
        </is>
      </c>
      <c r="F1789" t="inlineStr">
        <is>
          <t>Customer payment INV/2026/02214</t>
        </is>
      </c>
      <c r="G1789" s="9" t="n">
        <v>145.49</v>
      </c>
      <c r="H1789" t="inlineStr">
        <is>
          <t>customer_payment</t>
        </is>
      </c>
      <c r="I1789" t="inlineStr"/>
      <c r="J1789" t="inlineStr">
        <is>
          <t>G00223</t>
        </is>
      </c>
      <c r="K1789" t="str">
        <f>INDEX('Match Groups'!$D$5:$D$1326,MATCH(J1789,'Match Groups'!$A$5:$A$1326,0))</f>
        <v>MATCH</v>
      </c>
    </row>
    <row r="1790">
      <c r="A1790" t="inlineStr">
        <is>
          <t>JI-00667</t>
        </is>
      </c>
      <c r="B1790" t="inlineStr">
        <is>
          <t>OPS</t>
        </is>
      </c>
      <c r="C1790" s="5" t="n">
        <v>46232</v>
      </c>
      <c r="D1790" t="inlineStr">
        <is>
          <t>Saltbush Plan Managers</t>
        </is>
      </c>
      <c r="E1790" t="inlineStr">
        <is>
          <t>INV/2026/02215</t>
        </is>
      </c>
      <c r="F1790" t="inlineStr">
        <is>
          <t>Customer payment INV/2026/02215</t>
        </is>
      </c>
      <c r="G1790" s="9" t="n">
        <v>387.98</v>
      </c>
      <c r="H1790" t="inlineStr">
        <is>
          <t>customer_payment</t>
        </is>
      </c>
      <c r="I1790" t="inlineStr"/>
      <c r="J1790" t="inlineStr">
        <is>
          <t>G00223</t>
        </is>
      </c>
      <c r="K1790" t="str">
        <f>INDEX('Match Groups'!$D$5:$D$1326,MATCH(J1790,'Match Groups'!$A$5:$A$1326,0))</f>
        <v>MATCH</v>
      </c>
    </row>
    <row r="1791">
      <c r="A1791" t="inlineStr">
        <is>
          <t>JI-00668</t>
        </is>
      </c>
      <c r="B1791" t="inlineStr">
        <is>
          <t>OPS</t>
        </is>
      </c>
      <c r="C1791" s="5" t="n">
        <v>46232</v>
      </c>
      <c r="D1791" t="inlineStr">
        <is>
          <t>Saltbush Plan Managers</t>
        </is>
      </c>
      <c r="E1791" t="inlineStr">
        <is>
          <t>INV/2026/02237</t>
        </is>
      </c>
      <c r="F1791" t="inlineStr">
        <is>
          <t>Customer payment INV/2026/02237</t>
        </is>
      </c>
      <c r="G1791" s="9" t="n">
        <v>417.98</v>
      </c>
      <c r="H1791" t="inlineStr">
        <is>
          <t>customer_payment</t>
        </is>
      </c>
      <c r="I1791" t="inlineStr"/>
      <c r="J1791" t="inlineStr">
        <is>
          <t>G00223</t>
        </is>
      </c>
      <c r="K1791" t="str">
        <f>INDEX('Match Groups'!$D$5:$D$1326,MATCH(J1791,'Match Groups'!$A$5:$A$1326,0))</f>
        <v>MATCH</v>
      </c>
    </row>
    <row r="1792">
      <c r="A1792" t="inlineStr">
        <is>
          <t>JI-00669</t>
        </is>
      </c>
      <c r="B1792" t="inlineStr">
        <is>
          <t>OPS</t>
        </is>
      </c>
      <c r="C1792" s="5" t="n">
        <v>46232</v>
      </c>
      <c r="D1792" t="inlineStr">
        <is>
          <t>Saltbush Plan Managers</t>
        </is>
      </c>
      <c r="E1792" t="inlineStr">
        <is>
          <t>INV/2026/02238</t>
        </is>
      </c>
      <c r="F1792" t="inlineStr">
        <is>
          <t>Customer payment INV/2026/02238</t>
        </is>
      </c>
      <c r="G1792" s="9" t="n">
        <v>446.18</v>
      </c>
      <c r="H1792" t="inlineStr">
        <is>
          <t>customer_payment</t>
        </is>
      </c>
      <c r="I1792" t="inlineStr"/>
      <c r="J1792" t="inlineStr">
        <is>
          <t>G00223</t>
        </is>
      </c>
      <c r="K1792" t="str">
        <f>INDEX('Match Groups'!$D$5:$D$1326,MATCH(J1792,'Match Groups'!$A$5:$A$1326,0))</f>
        <v>MATCH</v>
      </c>
    </row>
    <row r="1793">
      <c r="A1793" t="inlineStr">
        <is>
          <t>JI-00670</t>
        </is>
      </c>
      <c r="B1793" t="inlineStr">
        <is>
          <t>OPS</t>
        </is>
      </c>
      <c r="C1793" s="5" t="n">
        <v>46232</v>
      </c>
      <c r="D1793" t="inlineStr">
        <is>
          <t>Saltbush Plan Managers</t>
        </is>
      </c>
      <c r="E1793" t="inlineStr">
        <is>
          <t>INV/2026/02260</t>
        </is>
      </c>
      <c r="F1793" t="inlineStr">
        <is>
          <t>Customer payment INV/2026/02260</t>
        </is>
      </c>
      <c r="G1793" s="9" t="n">
        <v>155.19</v>
      </c>
      <c r="H1793" t="inlineStr">
        <is>
          <t>customer_payment</t>
        </is>
      </c>
      <c r="I1793" t="inlineStr"/>
      <c r="J1793" t="inlineStr">
        <is>
          <t>G00223</t>
        </is>
      </c>
      <c r="K1793" t="str">
        <f>INDEX('Match Groups'!$D$5:$D$1326,MATCH(J1793,'Match Groups'!$A$5:$A$1326,0))</f>
        <v>MATCH</v>
      </c>
    </row>
    <row r="1794">
      <c r="A1794" t="inlineStr">
        <is>
          <t>JI-00671</t>
        </is>
      </c>
      <c r="B1794" t="inlineStr">
        <is>
          <t>OPS</t>
        </is>
      </c>
      <c r="C1794" s="5" t="n">
        <v>46232</v>
      </c>
      <c r="D1794" t="inlineStr">
        <is>
          <t>Saltbush Plan Managers</t>
        </is>
      </c>
      <c r="E1794" t="inlineStr">
        <is>
          <t>INV/2026/02277</t>
        </is>
      </c>
      <c r="F1794" t="inlineStr">
        <is>
          <t>Customer payment INV/2026/02277</t>
        </is>
      </c>
      <c r="G1794" s="9" t="n">
        <v>387.98</v>
      </c>
      <c r="H1794" t="inlineStr">
        <is>
          <t>customer_payment</t>
        </is>
      </c>
      <c r="I1794" t="inlineStr"/>
      <c r="J1794" t="inlineStr">
        <is>
          <t>G00223</t>
        </is>
      </c>
      <c r="K1794" t="str">
        <f>INDEX('Match Groups'!$D$5:$D$1326,MATCH(J1794,'Match Groups'!$A$5:$A$1326,0))</f>
        <v>MATCH</v>
      </c>
    </row>
    <row r="1795">
      <c r="A1795" t="inlineStr">
        <is>
          <t>JI-00672</t>
        </is>
      </c>
      <c r="B1795" t="inlineStr">
        <is>
          <t>OPS</t>
        </is>
      </c>
      <c r="C1795" s="5" t="n">
        <v>46232</v>
      </c>
      <c r="D1795" t="inlineStr">
        <is>
          <t>Saltbush Plan Managers</t>
        </is>
      </c>
      <c r="E1795" t="inlineStr">
        <is>
          <t>INV/2026/02278</t>
        </is>
      </c>
      <c r="F1795" t="inlineStr">
        <is>
          <t>Customer payment INV/2026/02278</t>
        </is>
      </c>
      <c r="G1795" s="9" t="n">
        <v>272.49</v>
      </c>
      <c r="H1795" t="inlineStr">
        <is>
          <t>customer_payment</t>
        </is>
      </c>
      <c r="I1795" t="inlineStr"/>
      <c r="J1795" t="inlineStr">
        <is>
          <t>G00223</t>
        </is>
      </c>
      <c r="K1795" t="str">
        <f>INDEX('Match Groups'!$D$5:$D$1326,MATCH(J1795,'Match Groups'!$A$5:$A$1326,0))</f>
        <v>MATCH</v>
      </c>
    </row>
    <row r="1796">
      <c r="A1796" t="inlineStr">
        <is>
          <t>JI-00673</t>
        </is>
      </c>
      <c r="B1796" t="inlineStr">
        <is>
          <t>OPS</t>
        </is>
      </c>
      <c r="C1796" s="5" t="n">
        <v>46232</v>
      </c>
      <c r="D1796" t="inlineStr">
        <is>
          <t>Southern Cross Plan Mgmt</t>
        </is>
      </c>
      <c r="E1796" t="inlineStr">
        <is>
          <t>INV/2026/01623</t>
        </is>
      </c>
      <c r="F1796" t="inlineStr">
        <is>
          <t>Customer payment INV/2026/01623</t>
        </is>
      </c>
      <c r="G1796" s="9" t="n">
        <v>145.49</v>
      </c>
      <c r="H1796" t="inlineStr">
        <is>
          <t>customer_payment</t>
        </is>
      </c>
      <c r="I1796" t="inlineStr"/>
      <c r="J1796" t="inlineStr">
        <is>
          <t>G00224</t>
        </is>
      </c>
      <c r="K1796" t="str">
        <f>INDEX('Match Groups'!$D$5:$D$1326,MATCH(J1796,'Match Groups'!$A$5:$A$1326,0))</f>
        <v>MATCH</v>
      </c>
    </row>
    <row r="1797">
      <c r="A1797" t="inlineStr">
        <is>
          <t>JI-00674</t>
        </is>
      </c>
      <c r="B1797" t="inlineStr">
        <is>
          <t>OPS</t>
        </is>
      </c>
      <c r="C1797" s="5" t="n">
        <v>46232</v>
      </c>
      <c r="D1797" t="inlineStr">
        <is>
          <t>Southern Cross Plan Mgmt</t>
        </is>
      </c>
      <c r="E1797" t="inlineStr">
        <is>
          <t>INV/2026/01624</t>
        </is>
      </c>
      <c r="F1797" t="inlineStr">
        <is>
          <t>Customer payment INV/2026/01624</t>
        </is>
      </c>
      <c r="G1797" s="9" t="n">
        <v>320.98</v>
      </c>
      <c r="H1797" t="inlineStr">
        <is>
          <t>customer_payment</t>
        </is>
      </c>
      <c r="I1797" t="inlineStr"/>
      <c r="J1797" t="inlineStr">
        <is>
          <t>G00224</t>
        </is>
      </c>
      <c r="K1797" t="str">
        <f>INDEX('Match Groups'!$D$5:$D$1326,MATCH(J1797,'Match Groups'!$A$5:$A$1326,0))</f>
        <v>MATCH</v>
      </c>
    </row>
    <row r="1798">
      <c r="A1798" t="inlineStr">
        <is>
          <t>JI-00675</t>
        </is>
      </c>
      <c r="B1798" t="inlineStr">
        <is>
          <t>OPS</t>
        </is>
      </c>
      <c r="C1798" s="5" t="n">
        <v>46232</v>
      </c>
      <c r="D1798" t="inlineStr">
        <is>
          <t>Southern Cross Plan Mgmt</t>
        </is>
      </c>
      <c r="E1798" t="inlineStr">
        <is>
          <t>INV/2026/01625</t>
        </is>
      </c>
      <c r="F1798" t="inlineStr">
        <is>
          <t>Customer payment INV/2026/01625</t>
        </is>
      </c>
      <c r="G1798" s="9" t="n">
        <v>96.98999999999999</v>
      </c>
      <c r="H1798" t="inlineStr">
        <is>
          <t>customer_payment</t>
        </is>
      </c>
      <c r="I1798" t="inlineStr"/>
      <c r="J1798" t="inlineStr">
        <is>
          <t>G00224</t>
        </is>
      </c>
      <c r="K1798" t="str">
        <f>INDEX('Match Groups'!$D$5:$D$1326,MATCH(J1798,'Match Groups'!$A$5:$A$1326,0))</f>
        <v>MATCH</v>
      </c>
    </row>
    <row r="1799">
      <c r="A1799" t="inlineStr">
        <is>
          <t>JI-00676</t>
        </is>
      </c>
      <c r="B1799" t="inlineStr">
        <is>
          <t>OPS</t>
        </is>
      </c>
      <c r="C1799" s="5" t="n">
        <v>46232</v>
      </c>
      <c r="D1799" t="inlineStr">
        <is>
          <t>Southern Cross Plan Mgmt</t>
        </is>
      </c>
      <c r="E1799" t="inlineStr">
        <is>
          <t>INV/2026/01675</t>
        </is>
      </c>
      <c r="F1799" t="inlineStr">
        <is>
          <t>Customer payment INV/2026/01675</t>
        </is>
      </c>
      <c r="G1799" s="9" t="n">
        <v>145.49</v>
      </c>
      <c r="H1799" t="inlineStr">
        <is>
          <t>customer_payment</t>
        </is>
      </c>
      <c r="I1799" t="inlineStr"/>
      <c r="J1799" t="inlineStr">
        <is>
          <t>G00224</t>
        </is>
      </c>
      <c r="K1799" t="str">
        <f>INDEX('Match Groups'!$D$5:$D$1326,MATCH(J1799,'Match Groups'!$A$5:$A$1326,0))</f>
        <v>MATCH</v>
      </c>
    </row>
    <row r="1800">
      <c r="A1800" t="inlineStr">
        <is>
          <t>JI-00677</t>
        </is>
      </c>
      <c r="B1800" t="inlineStr">
        <is>
          <t>OPS</t>
        </is>
      </c>
      <c r="C1800" s="5" t="n">
        <v>46232</v>
      </c>
      <c r="D1800" t="inlineStr">
        <is>
          <t>Southern Cross Plan Mgmt</t>
        </is>
      </c>
      <c r="E1800" t="inlineStr">
        <is>
          <t>INV/2026/01676</t>
        </is>
      </c>
      <c r="F1800" t="inlineStr">
        <is>
          <t>Customer payment INV/2026/01676</t>
        </is>
      </c>
      <c r="G1800" s="9" t="n">
        <v>242.49</v>
      </c>
      <c r="H1800" t="inlineStr">
        <is>
          <t>customer_payment</t>
        </is>
      </c>
      <c r="I1800" t="inlineStr"/>
      <c r="J1800" t="inlineStr">
        <is>
          <t>G00224</t>
        </is>
      </c>
      <c r="K1800" t="str">
        <f>INDEX('Match Groups'!$D$5:$D$1326,MATCH(J1800,'Match Groups'!$A$5:$A$1326,0))</f>
        <v>MATCH</v>
      </c>
    </row>
    <row r="1801">
      <c r="A1801" t="inlineStr">
        <is>
          <t>JI-00678</t>
        </is>
      </c>
      <c r="B1801" t="inlineStr">
        <is>
          <t>OPS</t>
        </is>
      </c>
      <c r="C1801" s="5" t="n">
        <v>46232</v>
      </c>
      <c r="D1801" t="inlineStr">
        <is>
          <t>Southern Cross Plan Mgmt</t>
        </is>
      </c>
      <c r="E1801" t="inlineStr">
        <is>
          <t>INV/2026/01677</t>
        </is>
      </c>
      <c r="F1801" t="inlineStr">
        <is>
          <t>Customer payment INV/2026/01677</t>
        </is>
      </c>
      <c r="G1801" s="9" t="n">
        <v>387.98</v>
      </c>
      <c r="H1801" t="inlineStr">
        <is>
          <t>customer_payment</t>
        </is>
      </c>
      <c r="I1801" t="inlineStr"/>
      <c r="J1801" t="inlineStr">
        <is>
          <t>G00224</t>
        </is>
      </c>
      <c r="K1801" t="str">
        <f>INDEX('Match Groups'!$D$5:$D$1326,MATCH(J1801,'Match Groups'!$A$5:$A$1326,0))</f>
        <v>MATCH</v>
      </c>
    </row>
    <row r="1802">
      <c r="A1802" t="inlineStr">
        <is>
          <t>JI-00679</t>
        </is>
      </c>
      <c r="B1802" t="inlineStr">
        <is>
          <t>OPS</t>
        </is>
      </c>
      <c r="C1802" s="5" t="n">
        <v>46232</v>
      </c>
      <c r="D1802" t="inlineStr">
        <is>
          <t>Acacia Plan Partners</t>
        </is>
      </c>
      <c r="E1802" t="inlineStr">
        <is>
          <t>INV/2026/02295</t>
        </is>
      </c>
      <c r="F1802" t="inlineStr">
        <is>
          <t>Customer payment INV/2026/02295</t>
        </is>
      </c>
      <c r="G1802" s="9" t="n">
        <v>290.98</v>
      </c>
      <c r="H1802" t="inlineStr">
        <is>
          <t>customer_payment</t>
        </is>
      </c>
      <c r="I1802" t="inlineStr"/>
      <c r="J1802" t="inlineStr">
        <is>
          <t>G00225</t>
        </is>
      </c>
      <c r="K1802" t="str">
        <f>INDEX('Match Groups'!$D$5:$D$1326,MATCH(J1802,'Match Groups'!$A$5:$A$1326,0))</f>
        <v>MATCH</v>
      </c>
    </row>
    <row r="1803">
      <c r="A1803" t="inlineStr">
        <is>
          <t>JI-00680</t>
        </is>
      </c>
      <c r="B1803" t="inlineStr">
        <is>
          <t>OPS</t>
        </is>
      </c>
      <c r="C1803" s="5" t="n">
        <v>46232</v>
      </c>
      <c r="D1803" t="inlineStr">
        <is>
          <t>Mallee Plan Services</t>
        </is>
      </c>
      <c r="E1803" t="inlineStr">
        <is>
          <t>INV/2026/02296</t>
        </is>
      </c>
      <c r="F1803" t="inlineStr">
        <is>
          <t>Customer payment INV/2026/02296</t>
        </is>
      </c>
      <c r="G1803" s="9" t="n">
        <v>300.69</v>
      </c>
      <c r="H1803" t="inlineStr">
        <is>
          <t>customer_payment</t>
        </is>
      </c>
      <c r="I1803" t="inlineStr"/>
      <c r="J1803" t="inlineStr">
        <is>
          <t>G00226</t>
        </is>
      </c>
      <c r="K1803" t="str">
        <f>INDEX('Match Groups'!$D$5:$D$1326,MATCH(J1803,'Match Groups'!$A$5:$A$1326,0))</f>
        <v>MATCH</v>
      </c>
    </row>
    <row r="1804">
      <c r="A1804" t="inlineStr">
        <is>
          <t>JI-00681</t>
        </is>
      </c>
      <c r="B1804" t="inlineStr">
        <is>
          <t>OPS</t>
        </is>
      </c>
      <c r="C1804" s="5" t="n">
        <v>46232</v>
      </c>
      <c r="D1804" t="inlineStr">
        <is>
          <t>Mallee Plan Services</t>
        </is>
      </c>
      <c r="E1804" t="inlineStr">
        <is>
          <t>INV/2026/02297</t>
        </is>
      </c>
      <c r="F1804" t="inlineStr">
        <is>
          <t>Customer payment INV/2026/02297</t>
        </is>
      </c>
      <c r="G1804" s="9" t="n">
        <v>387.98</v>
      </c>
      <c r="H1804" t="inlineStr">
        <is>
          <t>customer_payment</t>
        </is>
      </c>
      <c r="I1804" t="inlineStr"/>
      <c r="J1804" t="inlineStr">
        <is>
          <t>G00226</t>
        </is>
      </c>
      <c r="K1804" t="str">
        <f>INDEX('Match Groups'!$D$5:$D$1326,MATCH(J1804,'Match Groups'!$A$5:$A$1326,0))</f>
        <v>MATCH</v>
      </c>
    </row>
    <row r="1805">
      <c r="A1805" t="inlineStr">
        <is>
          <t>JI-01678</t>
        </is>
      </c>
      <c r="B1805" t="inlineStr">
        <is>
          <t>OPS</t>
        </is>
      </c>
      <c r="C1805" s="5" t="n">
        <v>46232</v>
      </c>
      <c r="D1805" t="inlineStr">
        <is>
          <t>Marlowe Print &amp; Pack</t>
        </is>
      </c>
      <c r="E1805" t="inlineStr">
        <is>
          <t>INV/2026/03425</t>
        </is>
      </c>
      <c r="F1805" t="inlineStr">
        <is>
          <t>Customer payment INV/2026/03425</t>
        </is>
      </c>
      <c r="G1805" s="9" t="n">
        <v>16032.5</v>
      </c>
      <c r="H1805" t="inlineStr">
        <is>
          <t>customer_payment</t>
        </is>
      </c>
      <c r="I1805" t="inlineStr"/>
      <c r="J1805" t="inlineStr">
        <is>
          <t>G00979</t>
        </is>
      </c>
      <c r="K1805" t="str">
        <f>INDEX('Match Groups'!$D$5:$D$1326,MATCH(J1805,'Match Groups'!$A$5:$A$1326,0))</f>
        <v>MATCH</v>
      </c>
    </row>
    <row r="1806">
      <c r="A1806" t="inlineStr">
        <is>
          <t>JI-02393</t>
        </is>
      </c>
      <c r="B1806" t="inlineStr">
        <is>
          <t>OPS</t>
        </is>
      </c>
      <c r="C1806" s="5" t="n">
        <v>46232</v>
      </c>
      <c r="D1806" t="inlineStr">
        <is>
          <t>Stripe patient 65130</t>
        </is>
      </c>
      <c r="E1806" t="inlineStr">
        <is>
          <t>INV/2026/04239</t>
        </is>
      </c>
      <c r="F1806" t="inlineStr">
        <is>
          <t>Customer payment INV/2026/04239</t>
        </is>
      </c>
      <c r="G1806" s="9" t="n">
        <v>95</v>
      </c>
      <c r="H1806" t="inlineStr">
        <is>
          <t>customer_payment</t>
        </is>
      </c>
      <c r="I1806" t="inlineStr"/>
      <c r="J1806" t="inlineStr">
        <is>
          <t>G00036</t>
        </is>
      </c>
      <c r="K1806" t="str">
        <f>INDEX('Match Groups'!$D$5:$D$1326,MATCH(J1806,'Match Groups'!$A$5:$A$1326,0))</f>
        <v>STRIPE-FEE</v>
      </c>
    </row>
    <row r="1807">
      <c r="A1807" t="inlineStr">
        <is>
          <t>JI-02394</t>
        </is>
      </c>
      <c r="B1807" t="inlineStr">
        <is>
          <t>OPS</t>
        </is>
      </c>
      <c r="C1807" s="5" t="n">
        <v>46232</v>
      </c>
      <c r="D1807" t="inlineStr">
        <is>
          <t>Stripe patient 78495</t>
        </is>
      </c>
      <c r="E1807" t="inlineStr">
        <is>
          <t>INV/2026/04240</t>
        </is>
      </c>
      <c r="F1807" t="inlineStr">
        <is>
          <t>Customer payment INV/2026/04240</t>
        </is>
      </c>
      <c r="G1807" s="9" t="n">
        <v>95</v>
      </c>
      <c r="H1807" t="inlineStr">
        <is>
          <t>customer_payment</t>
        </is>
      </c>
      <c r="I1807" t="inlineStr"/>
      <c r="J1807" t="inlineStr">
        <is>
          <t>G00036</t>
        </is>
      </c>
      <c r="K1807" t="str">
        <f>INDEX('Match Groups'!$D$5:$D$1326,MATCH(J1807,'Match Groups'!$A$5:$A$1326,0))</f>
        <v>STRIPE-FEE</v>
      </c>
    </row>
    <row r="1808">
      <c r="A1808" t="inlineStr">
        <is>
          <t>JI-02395</t>
        </is>
      </c>
      <c r="B1808" t="inlineStr">
        <is>
          <t>OPS</t>
        </is>
      </c>
      <c r="C1808" s="5" t="n">
        <v>46232</v>
      </c>
      <c r="D1808" t="inlineStr">
        <is>
          <t>Stripe patient 84961</t>
        </is>
      </c>
      <c r="E1808" t="inlineStr">
        <is>
          <t>INV/2026/04241</t>
        </is>
      </c>
      <c r="F1808" t="inlineStr">
        <is>
          <t>Customer payment INV/2026/04241</t>
        </is>
      </c>
      <c r="G1808" s="9" t="n">
        <v>135</v>
      </c>
      <c r="H1808" t="inlineStr">
        <is>
          <t>customer_payment</t>
        </is>
      </c>
      <c r="I1808" t="inlineStr"/>
      <c r="J1808" t="inlineStr">
        <is>
          <t>G00036</t>
        </is>
      </c>
      <c r="K1808" t="str">
        <f>INDEX('Match Groups'!$D$5:$D$1326,MATCH(J1808,'Match Groups'!$A$5:$A$1326,0))</f>
        <v>STRIPE-FEE</v>
      </c>
    </row>
    <row r="1809">
      <c r="A1809" t="inlineStr">
        <is>
          <t>JI-02396</t>
        </is>
      </c>
      <c r="B1809" t="inlineStr">
        <is>
          <t>OPS</t>
        </is>
      </c>
      <c r="C1809" s="5" t="n">
        <v>46232</v>
      </c>
      <c r="D1809" t="inlineStr">
        <is>
          <t>Stripe patient 56330</t>
        </is>
      </c>
      <c r="E1809" t="inlineStr">
        <is>
          <t>INV/2026/04242</t>
        </is>
      </c>
      <c r="F1809" t="inlineStr">
        <is>
          <t>Customer payment INV/2026/04242</t>
        </is>
      </c>
      <c r="G1809" s="9" t="n">
        <v>150</v>
      </c>
      <c r="H1809" t="inlineStr">
        <is>
          <t>customer_payment</t>
        </is>
      </c>
      <c r="I1809" t="inlineStr"/>
      <c r="J1809" t="inlineStr">
        <is>
          <t>G00036</t>
        </is>
      </c>
      <c r="K1809" t="str">
        <f>INDEX('Match Groups'!$D$5:$D$1326,MATCH(J1809,'Match Groups'!$A$5:$A$1326,0))</f>
        <v>STRIPE-FEE</v>
      </c>
    </row>
    <row r="1810">
      <c r="A1810" t="inlineStr">
        <is>
          <t>JI-02397</t>
        </is>
      </c>
      <c r="B1810" t="inlineStr">
        <is>
          <t>OPS</t>
        </is>
      </c>
      <c r="C1810" s="5" t="n">
        <v>46232</v>
      </c>
      <c r="D1810" t="inlineStr">
        <is>
          <t>Stripe patient 41281</t>
        </is>
      </c>
      <c r="E1810" t="inlineStr">
        <is>
          <t>INV/2026/04243</t>
        </is>
      </c>
      <c r="F1810" t="inlineStr">
        <is>
          <t>Customer payment INV/2026/04243</t>
        </is>
      </c>
      <c r="G1810" s="9" t="n">
        <v>220</v>
      </c>
      <c r="H1810" t="inlineStr">
        <is>
          <t>customer_payment</t>
        </is>
      </c>
      <c r="I1810" t="inlineStr"/>
      <c r="J1810" t="inlineStr">
        <is>
          <t>G00036</t>
        </is>
      </c>
      <c r="K1810" t="str">
        <f>INDEX('Match Groups'!$D$5:$D$1326,MATCH(J1810,'Match Groups'!$A$5:$A$1326,0))</f>
        <v>STRIPE-FEE</v>
      </c>
    </row>
    <row r="1811">
      <c r="A1811" t="inlineStr">
        <is>
          <t>JI-02398</t>
        </is>
      </c>
      <c r="B1811" t="inlineStr">
        <is>
          <t>OPS</t>
        </is>
      </c>
      <c r="C1811" s="5" t="n">
        <v>46232</v>
      </c>
      <c r="D1811" t="inlineStr">
        <is>
          <t>Stripe patient 78085</t>
        </is>
      </c>
      <c r="E1811" t="inlineStr">
        <is>
          <t>INV/2026/04244</t>
        </is>
      </c>
      <c r="F1811" t="inlineStr">
        <is>
          <t>Customer payment INV/2026/04244</t>
        </is>
      </c>
      <c r="G1811" s="9" t="n">
        <v>95</v>
      </c>
      <c r="H1811" t="inlineStr">
        <is>
          <t>customer_payment</t>
        </is>
      </c>
      <c r="I1811" t="inlineStr"/>
      <c r="J1811" t="inlineStr">
        <is>
          <t>G00036</t>
        </is>
      </c>
      <c r="K1811" t="str">
        <f>INDEX('Match Groups'!$D$5:$D$1326,MATCH(J1811,'Match Groups'!$A$5:$A$1326,0))</f>
        <v>STRIPE-FEE</v>
      </c>
    </row>
    <row r="1812">
      <c r="A1812" t="inlineStr">
        <is>
          <t>JI-02399</t>
        </is>
      </c>
      <c r="B1812" t="inlineStr">
        <is>
          <t>OPS</t>
        </is>
      </c>
      <c r="C1812" s="5" t="n">
        <v>46232</v>
      </c>
      <c r="D1812" t="inlineStr">
        <is>
          <t>Stripe patient 77427</t>
        </is>
      </c>
      <c r="E1812" t="inlineStr">
        <is>
          <t>INV/2026/04245</t>
        </is>
      </c>
      <c r="F1812" t="inlineStr">
        <is>
          <t>Customer payment INV/2026/04245</t>
        </is>
      </c>
      <c r="G1812" s="9" t="n">
        <v>120</v>
      </c>
      <c r="H1812" t="inlineStr">
        <is>
          <t>customer_payment</t>
        </is>
      </c>
      <c r="I1812" t="inlineStr"/>
      <c r="J1812" t="inlineStr">
        <is>
          <t>G00036</t>
        </is>
      </c>
      <c r="K1812" t="str">
        <f>INDEX('Match Groups'!$D$5:$D$1326,MATCH(J1812,'Match Groups'!$A$5:$A$1326,0))</f>
        <v>STRIPE-FEE</v>
      </c>
    </row>
    <row r="1813">
      <c r="A1813" t="inlineStr">
        <is>
          <t>JI-02400</t>
        </is>
      </c>
      <c r="B1813" t="inlineStr">
        <is>
          <t>OPS</t>
        </is>
      </c>
      <c r="C1813" s="5" t="n">
        <v>46232</v>
      </c>
      <c r="D1813" t="inlineStr">
        <is>
          <t>Stripe patient 94996</t>
        </is>
      </c>
      <c r="E1813" t="inlineStr">
        <is>
          <t>INV/2026/04246</t>
        </is>
      </c>
      <c r="F1813" t="inlineStr">
        <is>
          <t>Customer payment INV/2026/04246</t>
        </is>
      </c>
      <c r="G1813" s="9" t="n">
        <v>65</v>
      </c>
      <c r="H1813" t="inlineStr">
        <is>
          <t>customer_payment</t>
        </is>
      </c>
      <c r="I1813" t="inlineStr"/>
      <c r="J1813" t="inlineStr">
        <is>
          <t>G00036</t>
        </is>
      </c>
      <c r="K1813" t="str">
        <f>INDEX('Match Groups'!$D$5:$D$1326,MATCH(J1813,'Match Groups'!$A$5:$A$1326,0))</f>
        <v>STRIPE-FEE</v>
      </c>
    </row>
    <row r="1814">
      <c r="A1814" t="inlineStr">
        <is>
          <t>JI-02401</t>
        </is>
      </c>
      <c r="B1814" t="inlineStr">
        <is>
          <t>OPS</t>
        </is>
      </c>
      <c r="C1814" s="5" t="n">
        <v>46232</v>
      </c>
      <c r="D1814" t="inlineStr">
        <is>
          <t>Stripe patient 31925</t>
        </is>
      </c>
      <c r="E1814" t="inlineStr">
        <is>
          <t>INV/2026/04247</t>
        </is>
      </c>
      <c r="F1814" t="inlineStr">
        <is>
          <t>Customer payment INV/2026/04247</t>
        </is>
      </c>
      <c r="G1814" s="9" t="n">
        <v>120</v>
      </c>
      <c r="H1814" t="inlineStr">
        <is>
          <t>customer_payment</t>
        </is>
      </c>
      <c r="I1814" t="inlineStr"/>
      <c r="J1814" t="inlineStr">
        <is>
          <t>G00036</t>
        </is>
      </c>
      <c r="K1814" t="str">
        <f>INDEX('Match Groups'!$D$5:$D$1326,MATCH(J1814,'Match Groups'!$A$5:$A$1326,0))</f>
        <v>STRIPE-FEE</v>
      </c>
    </row>
    <row r="1815">
      <c r="A1815" t="inlineStr">
        <is>
          <t>JI-02402</t>
        </is>
      </c>
      <c r="B1815" t="inlineStr">
        <is>
          <t>OPS</t>
        </is>
      </c>
      <c r="C1815" s="5" t="n">
        <v>46232</v>
      </c>
      <c r="D1815" t="inlineStr">
        <is>
          <t>Stripe patient 64459</t>
        </is>
      </c>
      <c r="E1815" t="inlineStr">
        <is>
          <t>INV/2026/04248</t>
        </is>
      </c>
      <c r="F1815" t="inlineStr">
        <is>
          <t>Customer payment INV/2026/04248</t>
        </is>
      </c>
      <c r="G1815" s="9" t="n">
        <v>120</v>
      </c>
      <c r="H1815" t="inlineStr">
        <is>
          <t>customer_payment</t>
        </is>
      </c>
      <c r="I1815" t="inlineStr"/>
      <c r="J1815" t="inlineStr">
        <is>
          <t>G00036</t>
        </is>
      </c>
      <c r="K1815" t="str">
        <f>INDEX('Match Groups'!$D$5:$D$1326,MATCH(J1815,'Match Groups'!$A$5:$A$1326,0))</f>
        <v>STRIPE-FEE</v>
      </c>
    </row>
    <row r="1816">
      <c r="A1816" t="inlineStr">
        <is>
          <t>JI-02403</t>
        </is>
      </c>
      <c r="B1816" t="inlineStr">
        <is>
          <t>OPS</t>
        </is>
      </c>
      <c r="C1816" s="5" t="n">
        <v>46232</v>
      </c>
      <c r="D1816" t="inlineStr">
        <is>
          <t>Stripe patient 46492</t>
        </is>
      </c>
      <c r="E1816" t="inlineStr">
        <is>
          <t>INV/2026/04249</t>
        </is>
      </c>
      <c r="F1816" t="inlineStr">
        <is>
          <t>Customer payment INV/2026/04249</t>
        </is>
      </c>
      <c r="G1816" s="9" t="n">
        <v>150</v>
      </c>
      <c r="H1816" t="inlineStr">
        <is>
          <t>customer_payment</t>
        </is>
      </c>
      <c r="I1816" t="inlineStr"/>
      <c r="J1816" t="inlineStr">
        <is>
          <t>G00036</t>
        </is>
      </c>
      <c r="K1816" t="str">
        <f>INDEX('Match Groups'!$D$5:$D$1326,MATCH(J1816,'Match Groups'!$A$5:$A$1326,0))</f>
        <v>STRIPE-FEE</v>
      </c>
    </row>
    <row r="1817">
      <c r="A1817" t="inlineStr">
        <is>
          <t>JI-02404</t>
        </is>
      </c>
      <c r="B1817" t="inlineStr">
        <is>
          <t>OPS</t>
        </is>
      </c>
      <c r="C1817" s="5" t="n">
        <v>46232</v>
      </c>
      <c r="D1817" t="inlineStr">
        <is>
          <t>Stripe patient 24878</t>
        </is>
      </c>
      <c r="E1817" t="inlineStr">
        <is>
          <t>INV/2026/04250</t>
        </is>
      </c>
      <c r="F1817" t="inlineStr">
        <is>
          <t>Customer payment INV/2026/04250</t>
        </is>
      </c>
      <c r="G1817" s="9" t="n">
        <v>135</v>
      </c>
      <c r="H1817" t="inlineStr">
        <is>
          <t>customer_payment</t>
        </is>
      </c>
      <c r="I1817" t="inlineStr"/>
      <c r="J1817" t="inlineStr">
        <is>
          <t>G00036</t>
        </is>
      </c>
      <c r="K1817" t="str">
        <f>INDEX('Match Groups'!$D$5:$D$1326,MATCH(J1817,'Match Groups'!$A$5:$A$1326,0))</f>
        <v>STRIPE-FEE</v>
      </c>
    </row>
    <row r="1818">
      <c r="A1818" t="inlineStr">
        <is>
          <t>JI-02405</t>
        </is>
      </c>
      <c r="B1818" t="inlineStr">
        <is>
          <t>OPS</t>
        </is>
      </c>
      <c r="C1818" s="5" t="n">
        <v>46232</v>
      </c>
      <c r="D1818" t="inlineStr">
        <is>
          <t>Stripe patient 96997</t>
        </is>
      </c>
      <c r="E1818" t="inlineStr">
        <is>
          <t>INV/2026/04251</t>
        </is>
      </c>
      <c r="F1818" t="inlineStr">
        <is>
          <t>Customer payment INV/2026/04251</t>
        </is>
      </c>
      <c r="G1818" s="9" t="n">
        <v>120</v>
      </c>
      <c r="H1818" t="inlineStr">
        <is>
          <t>customer_payment</t>
        </is>
      </c>
      <c r="I1818" t="inlineStr"/>
      <c r="J1818" t="inlineStr">
        <is>
          <t>G00036</t>
        </is>
      </c>
      <c r="K1818" t="str">
        <f>INDEX('Match Groups'!$D$5:$D$1326,MATCH(J1818,'Match Groups'!$A$5:$A$1326,0))</f>
        <v>STRIPE-FEE</v>
      </c>
    </row>
    <row r="1819">
      <c r="A1819" t="inlineStr">
        <is>
          <t>JI-02406</t>
        </is>
      </c>
      <c r="B1819" t="inlineStr">
        <is>
          <t>OPS</t>
        </is>
      </c>
      <c r="C1819" s="5" t="n">
        <v>46232</v>
      </c>
      <c r="D1819" t="inlineStr">
        <is>
          <t>Stripe patient 70041</t>
        </is>
      </c>
      <c r="E1819" t="inlineStr">
        <is>
          <t>INV/2026/04252</t>
        </is>
      </c>
      <c r="F1819" t="inlineStr">
        <is>
          <t>Customer payment INV/2026/04252</t>
        </is>
      </c>
      <c r="G1819" s="9" t="n">
        <v>135</v>
      </c>
      <c r="H1819" t="inlineStr">
        <is>
          <t>customer_payment</t>
        </is>
      </c>
      <c r="I1819" t="inlineStr"/>
      <c r="J1819" t="inlineStr">
        <is>
          <t>G00036</t>
        </is>
      </c>
      <c r="K1819" t="str">
        <f>INDEX('Match Groups'!$D$5:$D$1326,MATCH(J1819,'Match Groups'!$A$5:$A$1326,0))</f>
        <v>STRIPE-FEE</v>
      </c>
    </row>
    <row r="1820">
      <c r="A1820" t="inlineStr">
        <is>
          <t>JI-02407</t>
        </is>
      </c>
      <c r="B1820" t="inlineStr">
        <is>
          <t>OPS</t>
        </is>
      </c>
      <c r="C1820" s="5" t="n">
        <v>46232</v>
      </c>
      <c r="D1820" t="inlineStr">
        <is>
          <t>Stripe patient 48541</t>
        </is>
      </c>
      <c r="E1820" t="inlineStr">
        <is>
          <t>INV/2026/04253</t>
        </is>
      </c>
      <c r="F1820" t="inlineStr">
        <is>
          <t>Customer payment INV/2026/04253</t>
        </is>
      </c>
      <c r="G1820" s="9" t="n">
        <v>150</v>
      </c>
      <c r="H1820" t="inlineStr">
        <is>
          <t>customer_payment</t>
        </is>
      </c>
      <c r="I1820" t="inlineStr"/>
      <c r="J1820" t="inlineStr">
        <is>
          <t>G00036</t>
        </is>
      </c>
      <c r="K1820" t="str">
        <f>INDEX('Match Groups'!$D$5:$D$1326,MATCH(J1820,'Match Groups'!$A$5:$A$1326,0))</f>
        <v>STRIPE-FEE</v>
      </c>
    </row>
    <row r="1821">
      <c r="A1821" t="inlineStr">
        <is>
          <t>JI-02408</t>
        </is>
      </c>
      <c r="B1821" t="inlineStr">
        <is>
          <t>OPS</t>
        </is>
      </c>
      <c r="C1821" s="5" t="n">
        <v>46232</v>
      </c>
      <c r="D1821" t="inlineStr">
        <is>
          <t>Stripe patient 84226</t>
        </is>
      </c>
      <c r="E1821" t="inlineStr">
        <is>
          <t>INV/2026/04254</t>
        </is>
      </c>
      <c r="F1821" t="inlineStr">
        <is>
          <t>Customer payment INV/2026/04254</t>
        </is>
      </c>
      <c r="G1821" s="9" t="n">
        <v>120</v>
      </c>
      <c r="H1821" t="inlineStr">
        <is>
          <t>customer_payment</t>
        </is>
      </c>
      <c r="I1821" t="inlineStr"/>
      <c r="J1821" t="inlineStr">
        <is>
          <t>G00036</t>
        </is>
      </c>
      <c r="K1821" t="str">
        <f>INDEX('Match Groups'!$D$5:$D$1326,MATCH(J1821,'Match Groups'!$A$5:$A$1326,0))</f>
        <v>STRIPE-FEE</v>
      </c>
    </row>
    <row r="1822">
      <c r="A1822" t="inlineStr">
        <is>
          <t>JI-02409</t>
        </is>
      </c>
      <c r="B1822" t="inlineStr">
        <is>
          <t>OPS</t>
        </is>
      </c>
      <c r="C1822" s="5" t="n">
        <v>46232</v>
      </c>
      <c r="D1822" t="inlineStr">
        <is>
          <t>Stripe patient 80498</t>
        </is>
      </c>
      <c r="E1822" t="inlineStr">
        <is>
          <t>INV/2026/04255</t>
        </is>
      </c>
      <c r="F1822" t="inlineStr">
        <is>
          <t>Customer payment INV/2026/04255</t>
        </is>
      </c>
      <c r="G1822" s="9" t="n">
        <v>110</v>
      </c>
      <c r="H1822" t="inlineStr">
        <is>
          <t>customer_payment</t>
        </is>
      </c>
      <c r="I1822" t="inlineStr"/>
      <c r="J1822" t="inlineStr">
        <is>
          <t>G00036</t>
        </is>
      </c>
      <c r="K1822" t="str">
        <f>INDEX('Match Groups'!$D$5:$D$1326,MATCH(J1822,'Match Groups'!$A$5:$A$1326,0))</f>
        <v>STRIPE-FEE</v>
      </c>
    </row>
    <row r="1823">
      <c r="A1823" t="inlineStr">
        <is>
          <t>JI-02410</t>
        </is>
      </c>
      <c r="B1823" t="inlineStr">
        <is>
          <t>OPS</t>
        </is>
      </c>
      <c r="C1823" s="5" t="n">
        <v>46232</v>
      </c>
      <c r="D1823" t="inlineStr">
        <is>
          <t>Stripe patient 70708</t>
        </is>
      </c>
      <c r="E1823" t="inlineStr">
        <is>
          <t>INV/2026/04256</t>
        </is>
      </c>
      <c r="F1823" t="inlineStr">
        <is>
          <t>Customer payment INV/2026/04256</t>
        </is>
      </c>
      <c r="G1823" s="9" t="n">
        <v>120</v>
      </c>
      <c r="H1823" t="inlineStr">
        <is>
          <t>customer_payment</t>
        </is>
      </c>
      <c r="I1823" t="inlineStr"/>
      <c r="J1823" t="inlineStr">
        <is>
          <t>G00036</t>
        </is>
      </c>
      <c r="K1823" t="str">
        <f>INDEX('Match Groups'!$D$5:$D$1326,MATCH(J1823,'Match Groups'!$A$5:$A$1326,0))</f>
        <v>STRIPE-FEE</v>
      </c>
    </row>
    <row r="1824">
      <c r="A1824" t="inlineStr">
        <is>
          <t>JI-02411</t>
        </is>
      </c>
      <c r="B1824" t="inlineStr">
        <is>
          <t>OPS</t>
        </is>
      </c>
      <c r="C1824" s="5" t="n">
        <v>46232</v>
      </c>
      <c r="D1824" t="inlineStr">
        <is>
          <t>Stripe patient 92602</t>
        </is>
      </c>
      <c r="E1824" t="inlineStr">
        <is>
          <t>INV/2026/04257</t>
        </is>
      </c>
      <c r="F1824" t="inlineStr">
        <is>
          <t>Customer payment INV/2026/04257</t>
        </is>
      </c>
      <c r="G1824" s="9" t="n">
        <v>120</v>
      </c>
      <c r="H1824" t="inlineStr">
        <is>
          <t>customer_payment</t>
        </is>
      </c>
      <c r="I1824" t="inlineStr"/>
      <c r="J1824" t="inlineStr">
        <is>
          <t>G00036</t>
        </is>
      </c>
      <c r="K1824" t="str">
        <f>INDEX('Match Groups'!$D$5:$D$1326,MATCH(J1824,'Match Groups'!$A$5:$A$1326,0))</f>
        <v>STRIPE-FEE</v>
      </c>
    </row>
    <row r="1825">
      <c r="A1825" t="inlineStr">
        <is>
          <t>JI-02412</t>
        </is>
      </c>
      <c r="B1825" t="inlineStr">
        <is>
          <t>OPS</t>
        </is>
      </c>
      <c r="C1825" s="5" t="n">
        <v>46232</v>
      </c>
      <c r="D1825" t="inlineStr">
        <is>
          <t>Stripe patient 35185</t>
        </is>
      </c>
      <c r="E1825" t="inlineStr">
        <is>
          <t>INV/2026/04258</t>
        </is>
      </c>
      <c r="F1825" t="inlineStr">
        <is>
          <t>Customer payment INV/2026/04258</t>
        </is>
      </c>
      <c r="G1825" s="9" t="n">
        <v>150</v>
      </c>
      <c r="H1825" t="inlineStr">
        <is>
          <t>customer_payment</t>
        </is>
      </c>
      <c r="I1825" t="inlineStr"/>
      <c r="J1825" t="inlineStr">
        <is>
          <t>G00036</t>
        </is>
      </c>
      <c r="K1825" t="str">
        <f>INDEX('Match Groups'!$D$5:$D$1326,MATCH(J1825,'Match Groups'!$A$5:$A$1326,0))</f>
        <v>STRIPE-FEE</v>
      </c>
    </row>
    <row r="1826">
      <c r="A1826" t="inlineStr">
        <is>
          <t>JI-02413</t>
        </is>
      </c>
      <c r="B1826" t="inlineStr">
        <is>
          <t>OPS</t>
        </is>
      </c>
      <c r="C1826" s="5" t="n">
        <v>46232</v>
      </c>
      <c r="D1826" t="inlineStr">
        <is>
          <t>Stripe patient 89177</t>
        </is>
      </c>
      <c r="E1826" t="inlineStr">
        <is>
          <t>INV/2026/04259</t>
        </is>
      </c>
      <c r="F1826" t="inlineStr">
        <is>
          <t>Customer payment INV/2026/04259</t>
        </is>
      </c>
      <c r="G1826" s="9" t="n">
        <v>180</v>
      </c>
      <c r="H1826" t="inlineStr">
        <is>
          <t>customer_payment</t>
        </is>
      </c>
      <c r="I1826" t="inlineStr"/>
      <c r="J1826" t="inlineStr">
        <is>
          <t>G00036</t>
        </is>
      </c>
      <c r="K1826" t="str">
        <f>INDEX('Match Groups'!$D$5:$D$1326,MATCH(J1826,'Match Groups'!$A$5:$A$1326,0))</f>
        <v>STRIPE-FEE</v>
      </c>
    </row>
    <row r="1827">
      <c r="A1827" t="inlineStr">
        <is>
          <t>JI-02414</t>
        </is>
      </c>
      <c r="B1827" t="inlineStr">
        <is>
          <t>OPS</t>
        </is>
      </c>
      <c r="C1827" s="5" t="n">
        <v>46232</v>
      </c>
      <c r="D1827" t="inlineStr">
        <is>
          <t>Stripe patient 59424</t>
        </is>
      </c>
      <c r="E1827" t="inlineStr">
        <is>
          <t>INV/2026/04260</t>
        </is>
      </c>
      <c r="F1827" t="inlineStr">
        <is>
          <t>Customer payment INV/2026/04260</t>
        </is>
      </c>
      <c r="G1827" s="9" t="n">
        <v>95</v>
      </c>
      <c r="H1827" t="inlineStr">
        <is>
          <t>customer_payment</t>
        </is>
      </c>
      <c r="I1827" t="inlineStr"/>
      <c r="J1827" t="inlineStr">
        <is>
          <t>G00036</t>
        </is>
      </c>
      <c r="K1827" t="str">
        <f>INDEX('Match Groups'!$D$5:$D$1326,MATCH(J1827,'Match Groups'!$A$5:$A$1326,0))</f>
        <v>STRIPE-FEE</v>
      </c>
    </row>
    <row r="1828">
      <c r="A1828" t="inlineStr">
        <is>
          <t>JI-02415</t>
        </is>
      </c>
      <c r="B1828" t="inlineStr">
        <is>
          <t>OPS</t>
        </is>
      </c>
      <c r="C1828" s="5" t="n">
        <v>46232</v>
      </c>
      <c r="D1828" t="inlineStr">
        <is>
          <t>Stripe patient 39558</t>
        </is>
      </c>
      <c r="E1828" t="inlineStr">
        <is>
          <t>INV/2026/04261</t>
        </is>
      </c>
      <c r="F1828" t="inlineStr">
        <is>
          <t>Customer payment INV/2026/04261</t>
        </is>
      </c>
      <c r="G1828" s="9" t="n">
        <v>110</v>
      </c>
      <c r="H1828" t="inlineStr">
        <is>
          <t>customer_payment</t>
        </is>
      </c>
      <c r="I1828" t="inlineStr"/>
      <c r="J1828" t="inlineStr">
        <is>
          <t>G00036</t>
        </is>
      </c>
      <c r="K1828" t="str">
        <f>INDEX('Match Groups'!$D$5:$D$1326,MATCH(J1828,'Match Groups'!$A$5:$A$1326,0))</f>
        <v>STRIPE-FEE</v>
      </c>
    </row>
    <row r="1829">
      <c r="A1829" t="inlineStr">
        <is>
          <t>JI-02416</t>
        </is>
      </c>
      <c r="B1829" t="inlineStr">
        <is>
          <t>OPS</t>
        </is>
      </c>
      <c r="C1829" s="5" t="n">
        <v>46232</v>
      </c>
      <c r="D1829" t="inlineStr">
        <is>
          <t>Stripe patient 10628</t>
        </is>
      </c>
      <c r="E1829" t="inlineStr">
        <is>
          <t>INV/2026/04262</t>
        </is>
      </c>
      <c r="F1829" t="inlineStr">
        <is>
          <t>Customer payment INV/2026/04262</t>
        </is>
      </c>
      <c r="G1829" s="9" t="n">
        <v>110</v>
      </c>
      <c r="H1829" t="inlineStr">
        <is>
          <t>customer_payment</t>
        </is>
      </c>
      <c r="I1829" t="inlineStr"/>
      <c r="J1829" t="inlineStr">
        <is>
          <t>G00036</t>
        </is>
      </c>
      <c r="K1829" t="str">
        <f>INDEX('Match Groups'!$D$5:$D$1326,MATCH(J1829,'Match Groups'!$A$5:$A$1326,0))</f>
        <v>STRIPE-FEE</v>
      </c>
    </row>
    <row r="1830">
      <c r="A1830" t="inlineStr">
        <is>
          <t>JI-02417</t>
        </is>
      </c>
      <c r="B1830" t="inlineStr">
        <is>
          <t>OPS</t>
        </is>
      </c>
      <c r="C1830" s="5" t="n">
        <v>46232</v>
      </c>
      <c r="D1830" t="inlineStr">
        <is>
          <t>Stripe patient 41409</t>
        </is>
      </c>
      <c r="E1830" t="inlineStr">
        <is>
          <t>INV/2026/04263</t>
        </is>
      </c>
      <c r="F1830" t="inlineStr">
        <is>
          <t>Customer payment INV/2026/04263</t>
        </is>
      </c>
      <c r="G1830" s="9" t="n">
        <v>65</v>
      </c>
      <c r="H1830" t="inlineStr">
        <is>
          <t>customer_payment</t>
        </is>
      </c>
      <c r="I1830" t="inlineStr"/>
      <c r="J1830" t="inlineStr">
        <is>
          <t>G00036</t>
        </is>
      </c>
      <c r="K1830" t="str">
        <f>INDEX('Match Groups'!$D$5:$D$1326,MATCH(J1830,'Match Groups'!$A$5:$A$1326,0))</f>
        <v>STRIPE-FEE</v>
      </c>
    </row>
    <row r="1831">
      <c r="A1831" t="inlineStr">
        <is>
          <t>JI-03780</t>
        </is>
      </c>
      <c r="B1831" t="inlineStr">
        <is>
          <t>OPS</t>
        </is>
      </c>
      <c r="C1831" s="5" t="n">
        <v>46232</v>
      </c>
      <c r="D1831" t="inlineStr">
        <is>
          <t>Paperline Stationery Pty</t>
        </is>
      </c>
      <c r="E1831" t="inlineStr">
        <is>
          <t>BILL/2026/0874</t>
        </is>
      </c>
      <c r="F1831" t="inlineStr">
        <is>
          <t>Vendor payment BILL/2026/0874 (BATCH/2026/0415)</t>
        </is>
      </c>
      <c r="G1831" s="9" t="n">
        <v>-177.1</v>
      </c>
      <c r="H1831" t="inlineStr">
        <is>
          <t>supplier_payment</t>
        </is>
      </c>
      <c r="I1831" t="inlineStr">
        <is>
          <t>BATCH/2026/0415</t>
        </is>
      </c>
      <c r="J1831" t="inlineStr">
        <is>
          <t>G00516</t>
        </is>
      </c>
      <c r="K1831" t="str">
        <f>INDEX('Match Groups'!$D$5:$D$1326,MATCH(J1831,'Match Groups'!$A$5:$A$1326,0))</f>
        <v>MATCH</v>
      </c>
    </row>
    <row r="1832">
      <c r="A1832" t="inlineStr">
        <is>
          <t>JI-03781</t>
        </is>
      </c>
      <c r="B1832" t="inlineStr">
        <is>
          <t>OPS</t>
        </is>
      </c>
      <c r="C1832" s="5" t="n">
        <v>46232</v>
      </c>
      <c r="D1832" t="inlineStr">
        <is>
          <t>Paperline Stationery Pty</t>
        </is>
      </c>
      <c r="E1832" t="inlineStr">
        <is>
          <t>BILL/2026/0881</t>
        </is>
      </c>
      <c r="F1832" t="inlineStr">
        <is>
          <t>Vendor payment BILL/2026/0881 (BATCH/2026/0415)</t>
        </is>
      </c>
      <c r="G1832" s="9" t="n">
        <v>-1650</v>
      </c>
      <c r="H1832" t="inlineStr">
        <is>
          <t>supplier_payment</t>
        </is>
      </c>
      <c r="I1832" t="inlineStr">
        <is>
          <t>BATCH/2026/0415</t>
        </is>
      </c>
      <c r="J1832" t="inlineStr">
        <is>
          <t>G00516</t>
        </is>
      </c>
      <c r="K1832" t="str">
        <f>INDEX('Match Groups'!$D$5:$D$1326,MATCH(J1832,'Match Groups'!$A$5:$A$1326,0))</f>
        <v>MATCH</v>
      </c>
    </row>
    <row r="1833">
      <c r="A1833" t="inlineStr">
        <is>
          <t>JI-03782</t>
        </is>
      </c>
      <c r="B1833" t="inlineStr">
        <is>
          <t>OPS</t>
        </is>
      </c>
      <c r="C1833" s="5" t="n">
        <v>46232</v>
      </c>
      <c r="D1833" t="inlineStr">
        <is>
          <t>Rehab Equipment Hire</t>
        </is>
      </c>
      <c r="E1833" t="inlineStr">
        <is>
          <t>BILL/2026/0878</t>
        </is>
      </c>
      <c r="F1833" t="inlineStr">
        <is>
          <t>Vendor payment BILL/2026/0878 (BATCH/2026/0415)</t>
        </is>
      </c>
      <c r="G1833" s="9" t="n">
        <v>-696.3</v>
      </c>
      <c r="H1833" t="inlineStr">
        <is>
          <t>supplier_payment</t>
        </is>
      </c>
      <c r="I1833" t="inlineStr">
        <is>
          <t>BATCH/2026/0415</t>
        </is>
      </c>
      <c r="J1833" t="inlineStr">
        <is>
          <t>G00516</t>
        </is>
      </c>
      <c r="K1833" t="str">
        <f>INDEX('Match Groups'!$D$5:$D$1326,MATCH(J1833,'Match Groups'!$A$5:$A$1326,0))</f>
        <v>MATCH</v>
      </c>
    </row>
    <row r="1834">
      <c r="A1834" t="inlineStr">
        <is>
          <t>JI-03783</t>
        </is>
      </c>
      <c r="B1834" t="inlineStr">
        <is>
          <t>OPS</t>
        </is>
      </c>
      <c r="C1834" s="5" t="n">
        <v>46232</v>
      </c>
      <c r="D1834" t="inlineStr">
        <is>
          <t>Clinical Education Hub</t>
        </is>
      </c>
      <c r="E1834" t="inlineStr">
        <is>
          <t>BILL/2026/0883</t>
        </is>
      </c>
      <c r="F1834" t="inlineStr">
        <is>
          <t>Vendor payment BILL/2026/0883 (BATCH/2026/0415)</t>
        </is>
      </c>
      <c r="G1834" s="9" t="n">
        <v>-2456.3</v>
      </c>
      <c r="H1834" t="inlineStr">
        <is>
          <t>supplier_payment</t>
        </is>
      </c>
      <c r="I1834" t="inlineStr">
        <is>
          <t>BATCH/2026/0415</t>
        </is>
      </c>
      <c r="J1834" t="inlineStr">
        <is>
          <t>G00516</t>
        </is>
      </c>
      <c r="K1834" t="str">
        <f>INDEX('Match Groups'!$D$5:$D$1326,MATCH(J1834,'Match Groups'!$A$5:$A$1326,0))</f>
        <v>MATCH</v>
      </c>
    </row>
    <row r="1835">
      <c r="A1835" t="inlineStr">
        <is>
          <t>JI-03784</t>
        </is>
      </c>
      <c r="B1835" t="inlineStr">
        <is>
          <t>OPS</t>
        </is>
      </c>
      <c r="C1835" s="5" t="n">
        <v>46232</v>
      </c>
      <c r="D1835" t="inlineStr">
        <is>
          <t>Payroll Compliance Advisers</t>
        </is>
      </c>
      <c r="E1835" t="inlineStr">
        <is>
          <t>BILL/2026/0880</t>
        </is>
      </c>
      <c r="F1835" t="inlineStr">
        <is>
          <t>Vendor payment BILL/2026/0880 (BATCH/2026/0415)</t>
        </is>
      </c>
      <c r="G1835" s="9" t="n">
        <v>-1210</v>
      </c>
      <c r="H1835" t="inlineStr">
        <is>
          <t>supplier_payment</t>
        </is>
      </c>
      <c r="I1835" t="inlineStr">
        <is>
          <t>BATCH/2026/0415</t>
        </is>
      </c>
      <c r="J1835" t="inlineStr">
        <is>
          <t>G00516</t>
        </is>
      </c>
      <c r="K1835" t="str">
        <f>INDEX('Match Groups'!$D$5:$D$1326,MATCH(J1835,'Match Groups'!$A$5:$A$1326,0))</f>
        <v>MATCH</v>
      </c>
    </row>
    <row r="1836">
      <c r="A1836" t="inlineStr">
        <is>
          <t>JI-03785</t>
        </is>
      </c>
      <c r="B1836" t="inlineStr">
        <is>
          <t>OPS</t>
        </is>
      </c>
      <c r="C1836" s="5" t="n">
        <v>46232</v>
      </c>
      <c r="D1836" t="inlineStr">
        <is>
          <t>Strategic HR Partners</t>
        </is>
      </c>
      <c r="E1836" t="inlineStr">
        <is>
          <t>BILL/2026/0873</t>
        </is>
      </c>
      <c r="F1836" t="inlineStr">
        <is>
          <t>Vendor payment BILL/2026/0873 (BATCH/2026/0415)</t>
        </is>
      </c>
      <c r="G1836" s="9" t="n">
        <v>-660</v>
      </c>
      <c r="H1836" t="inlineStr">
        <is>
          <t>supplier_payment</t>
        </is>
      </c>
      <c r="I1836" t="inlineStr">
        <is>
          <t>BATCH/2026/0415</t>
        </is>
      </c>
      <c r="J1836" t="inlineStr">
        <is>
          <t>G00516</t>
        </is>
      </c>
      <c r="K1836" t="str">
        <f>INDEX('Match Groups'!$D$5:$D$1326,MATCH(J1836,'Match Groups'!$A$5:$A$1326,0))</f>
        <v>MATCH</v>
      </c>
    </row>
    <row r="1837">
      <c r="A1837" t="inlineStr">
        <is>
          <t>JI-03786</t>
        </is>
      </c>
      <c r="B1837" t="inlineStr">
        <is>
          <t>OPS</t>
        </is>
      </c>
      <c r="C1837" s="5" t="n">
        <v>46232</v>
      </c>
      <c r="D1837" t="inlineStr">
        <is>
          <t>Strategic HR Partners</t>
        </is>
      </c>
      <c r="E1837" t="inlineStr">
        <is>
          <t>BILL/2026/0875</t>
        </is>
      </c>
      <c r="F1837" t="inlineStr">
        <is>
          <t>Vendor payment BILL/2026/0875 (BATCH/2026/0415)</t>
        </is>
      </c>
      <c r="G1837" s="9" t="n">
        <v>-1650</v>
      </c>
      <c r="H1837" t="inlineStr">
        <is>
          <t>supplier_payment</t>
        </is>
      </c>
      <c r="I1837" t="inlineStr">
        <is>
          <t>BATCH/2026/0415</t>
        </is>
      </c>
      <c r="J1837" t="inlineStr">
        <is>
          <t>G00516</t>
        </is>
      </c>
      <c r="K1837" t="str">
        <f>INDEX('Match Groups'!$D$5:$D$1326,MATCH(J1837,'Match Groups'!$A$5:$A$1326,0))</f>
        <v>MATCH</v>
      </c>
    </row>
    <row r="1838">
      <c r="A1838" t="inlineStr">
        <is>
          <t>JI-03787</t>
        </is>
      </c>
      <c r="B1838" t="inlineStr">
        <is>
          <t>OPS</t>
        </is>
      </c>
      <c r="C1838" s="5" t="n">
        <v>46232</v>
      </c>
      <c r="D1838" t="inlineStr">
        <is>
          <t>Strategic HR Partners</t>
        </is>
      </c>
      <c r="E1838" t="inlineStr">
        <is>
          <t>BILL/2026/0879</t>
        </is>
      </c>
      <c r="F1838" t="inlineStr">
        <is>
          <t>Vendor payment BILL/2026/0879 (BATCH/2026/0415)</t>
        </is>
      </c>
      <c r="G1838" s="9" t="n">
        <v>-242</v>
      </c>
      <c r="H1838" t="inlineStr">
        <is>
          <t>supplier_payment</t>
        </is>
      </c>
      <c r="I1838" t="inlineStr">
        <is>
          <t>BATCH/2026/0415</t>
        </is>
      </c>
      <c r="J1838" t="inlineStr">
        <is>
          <t>G00516</t>
        </is>
      </c>
      <c r="K1838" t="str">
        <f>INDEX('Match Groups'!$D$5:$D$1326,MATCH(J1838,'Match Groups'!$A$5:$A$1326,0))</f>
        <v>MATCH</v>
      </c>
    </row>
    <row r="1839">
      <c r="A1839" t="inlineStr">
        <is>
          <t>JI-03788</t>
        </is>
      </c>
      <c r="B1839" t="inlineStr">
        <is>
          <t>OPS</t>
        </is>
      </c>
      <c r="C1839" s="5" t="n">
        <v>46232</v>
      </c>
      <c r="D1839" t="inlineStr">
        <is>
          <t>Harbour IT Support</t>
        </is>
      </c>
      <c r="E1839" t="inlineStr">
        <is>
          <t>BILL/2026/0882</t>
        </is>
      </c>
      <c r="F1839" t="inlineStr">
        <is>
          <t>Vendor payment BILL/2026/0882 (BATCH/2026/0415)</t>
        </is>
      </c>
      <c r="G1839" s="9" t="n">
        <v>-507.1</v>
      </c>
      <c r="H1839" t="inlineStr">
        <is>
          <t>supplier_payment</t>
        </is>
      </c>
      <c r="I1839" t="inlineStr">
        <is>
          <t>BATCH/2026/0415</t>
        </is>
      </c>
      <c r="J1839" t="inlineStr">
        <is>
          <t>G00516</t>
        </is>
      </c>
      <c r="K1839" t="str">
        <f>INDEX('Match Groups'!$D$5:$D$1326,MATCH(J1839,'Match Groups'!$A$5:$A$1326,0))</f>
        <v>MATCH</v>
      </c>
    </row>
    <row r="1840">
      <c r="A1840" t="inlineStr">
        <is>
          <t>JI-03789</t>
        </is>
      </c>
      <c r="B1840" t="inlineStr">
        <is>
          <t>OPS</t>
        </is>
      </c>
      <c r="C1840" s="5" t="n">
        <v>46232</v>
      </c>
      <c r="D1840" t="inlineStr">
        <is>
          <t>Fibrewire Networks</t>
        </is>
      </c>
      <c r="E1840" t="inlineStr">
        <is>
          <t>BILL/2026/0877</t>
        </is>
      </c>
      <c r="F1840" t="inlineStr">
        <is>
          <t>Vendor payment BILL/2026/0877 (BATCH/2026/0415)</t>
        </is>
      </c>
      <c r="G1840" s="9" t="n">
        <v>-495</v>
      </c>
      <c r="H1840" t="inlineStr">
        <is>
          <t>supplier_payment</t>
        </is>
      </c>
      <c r="I1840" t="inlineStr">
        <is>
          <t>BATCH/2026/0415</t>
        </is>
      </c>
      <c r="J1840" t="inlineStr">
        <is>
          <t>G00516</t>
        </is>
      </c>
      <c r="K1840" t="str">
        <f>INDEX('Match Groups'!$D$5:$D$1326,MATCH(J1840,'Match Groups'!$A$5:$A$1326,0))</f>
        <v>MATCH</v>
      </c>
    </row>
    <row r="1841">
      <c r="A1841" t="inlineStr">
        <is>
          <t>JI-03790</t>
        </is>
      </c>
      <c r="B1841" t="inlineStr">
        <is>
          <t>OPS</t>
        </is>
      </c>
      <c r="C1841" s="5" t="n">
        <v>46232</v>
      </c>
      <c r="D1841" t="inlineStr">
        <is>
          <t>Statewide Uniforms</t>
        </is>
      </c>
      <c r="E1841" t="inlineStr">
        <is>
          <t>BILL/2026/0876</t>
        </is>
      </c>
      <c r="F1841" t="inlineStr">
        <is>
          <t>Vendor payment BILL/2026/0876 (BATCH/2026/0415)</t>
        </is>
      </c>
      <c r="G1841" s="9" t="n">
        <v>-5976.3</v>
      </c>
      <c r="H1841" t="inlineStr">
        <is>
          <t>supplier_payment</t>
        </is>
      </c>
      <c r="I1841" t="inlineStr">
        <is>
          <t>BATCH/2026/0415</t>
        </is>
      </c>
      <c r="J1841" t="inlineStr">
        <is>
          <t>G00516</t>
        </is>
      </c>
      <c r="K1841" t="str">
        <f>INDEX('Match Groups'!$D$5:$D$1326,MATCH(J1841,'Match Groups'!$A$5:$A$1326,0))</f>
        <v>MATCH</v>
      </c>
    </row>
    <row r="1842">
      <c r="A1842" t="inlineStr">
        <is>
          <t>JI-03923</t>
        </is>
      </c>
      <c r="B1842" t="inlineStr">
        <is>
          <t>OPS</t>
        </is>
      </c>
      <c r="C1842" s="5" t="n">
        <v>46232</v>
      </c>
      <c r="D1842" t="inlineStr">
        <is>
          <t>Metro Waste Removal</t>
        </is>
      </c>
      <c r="E1842" t="inlineStr">
        <is>
          <t>CHQ 000405</t>
        </is>
      </c>
      <c r="F1842" t="inlineStr">
        <is>
          <t>Cheque 000405 Metro Waste Removal</t>
        </is>
      </c>
      <c r="G1842" s="9" t="n">
        <v>-132</v>
      </c>
      <c r="H1842" t="inlineStr">
        <is>
          <t>supplier_payment</t>
        </is>
      </c>
      <c r="I1842" t="inlineStr"/>
      <c r="J1842" t="inlineStr">
        <is>
          <t>G00525</t>
        </is>
      </c>
      <c r="K1842" t="str">
        <f>INDEX('Match Groups'!$D$5:$D$1326,MATCH(J1842,'Match Groups'!$A$5:$A$1326,0))</f>
        <v>MATCH</v>
      </c>
    </row>
    <row r="1843">
      <c r="A1843" t="inlineStr">
        <is>
          <t>JI-03940</t>
        </is>
      </c>
      <c r="B1843" t="inlineStr">
        <is>
          <t>OPS</t>
        </is>
      </c>
      <c r="C1843" s="5" t="n">
        <v>46232</v>
      </c>
      <c r="D1843" t="inlineStr">
        <is>
          <t>Internal transfer</t>
        </is>
      </c>
      <c r="E1843" t="inlineStr">
        <is>
          <t>TFR PR260730</t>
        </is>
      </c>
      <c r="F1843" t="inlineStr">
        <is>
          <t>Transfer to payroll clearing PR260730</t>
        </is>
      </c>
      <c r="G1843" s="9" t="n">
        <v>-166344.16</v>
      </c>
      <c r="H1843" t="inlineStr">
        <is>
          <t>transfer</t>
        </is>
      </c>
      <c r="I1843" t="inlineStr"/>
      <c r="J1843" t="inlineStr">
        <is>
          <t>G00517</t>
        </is>
      </c>
      <c r="K1843" t="str">
        <f>INDEX('Match Groups'!$D$5:$D$1326,MATCH(J1843,'Match Groups'!$A$5:$A$1326,0))</f>
        <v>MATCH</v>
      </c>
    </row>
    <row r="1844">
      <c r="A1844" t="inlineStr">
        <is>
          <t>JI-00682</t>
        </is>
      </c>
      <c r="B1844" t="inlineStr">
        <is>
          <t>OPS</t>
        </is>
      </c>
      <c r="C1844" s="5" t="n">
        <v>46233</v>
      </c>
      <c r="D1844" t="inlineStr">
        <is>
          <t>Bluegum Plan Management</t>
        </is>
      </c>
      <c r="E1844" t="inlineStr">
        <is>
          <t>INV/2026/02089</t>
        </is>
      </c>
      <c r="F1844" t="inlineStr">
        <is>
          <t>Customer payment INV/2026/02089</t>
        </is>
      </c>
      <c r="G1844" s="9" t="n">
        <v>387.98</v>
      </c>
      <c r="H1844" t="inlineStr">
        <is>
          <t>customer_payment</t>
        </is>
      </c>
      <c r="I1844" t="inlineStr"/>
      <c r="J1844" t="inlineStr">
        <is>
          <t>G00227</t>
        </is>
      </c>
      <c r="K1844" t="str">
        <f>INDEX('Match Groups'!$D$5:$D$1326,MATCH(J1844,'Match Groups'!$A$5:$A$1326,0))</f>
        <v>MATCH</v>
      </c>
    </row>
    <row r="1845">
      <c r="A1845" t="inlineStr">
        <is>
          <t>JI-00683</t>
        </is>
      </c>
      <c r="B1845" t="inlineStr">
        <is>
          <t>OPS</t>
        </is>
      </c>
      <c r="C1845" s="5" t="n">
        <v>46233</v>
      </c>
      <c r="D1845" t="inlineStr">
        <is>
          <t>Bluegum Plan Management</t>
        </is>
      </c>
      <c r="E1845" t="inlineStr">
        <is>
          <t>INV/2026/02106</t>
        </is>
      </c>
      <c r="F1845" t="inlineStr">
        <is>
          <t>Customer payment INV/2026/02106</t>
        </is>
      </c>
      <c r="G1845" s="9" t="n">
        <v>96.98999999999999</v>
      </c>
      <c r="H1845" t="inlineStr">
        <is>
          <t>customer_payment</t>
        </is>
      </c>
      <c r="I1845" t="inlineStr"/>
      <c r="J1845" t="inlineStr">
        <is>
          <t>G00227</t>
        </is>
      </c>
      <c r="K1845" t="str">
        <f>INDEX('Match Groups'!$D$5:$D$1326,MATCH(J1845,'Match Groups'!$A$5:$A$1326,0))</f>
        <v>MATCH</v>
      </c>
    </row>
    <row r="1846">
      <c r="A1846" t="inlineStr">
        <is>
          <t>JI-00684</t>
        </is>
      </c>
      <c r="B1846" t="inlineStr">
        <is>
          <t>OPS</t>
        </is>
      </c>
      <c r="C1846" s="5" t="n">
        <v>46233</v>
      </c>
      <c r="D1846" t="inlineStr">
        <is>
          <t>Bluegum Plan Management</t>
        </is>
      </c>
      <c r="E1846" t="inlineStr">
        <is>
          <t>INV/2026/02107</t>
        </is>
      </c>
      <c r="F1846" t="inlineStr">
        <is>
          <t>Customer payment INV/2026/02107</t>
        </is>
      </c>
      <c r="G1846" s="9" t="n">
        <v>242.49</v>
      </c>
      <c r="H1846" t="inlineStr">
        <is>
          <t>customer_payment</t>
        </is>
      </c>
      <c r="I1846" t="inlineStr"/>
      <c r="J1846" t="inlineStr">
        <is>
          <t>G00227</t>
        </is>
      </c>
      <c r="K1846" t="str">
        <f>INDEX('Match Groups'!$D$5:$D$1326,MATCH(J1846,'Match Groups'!$A$5:$A$1326,0))</f>
        <v>MATCH</v>
      </c>
    </row>
    <row r="1847">
      <c r="A1847" t="inlineStr">
        <is>
          <t>JI-00685</t>
        </is>
      </c>
      <c r="B1847" t="inlineStr">
        <is>
          <t>OPS</t>
        </is>
      </c>
      <c r="C1847" s="5" t="n">
        <v>46233</v>
      </c>
      <c r="D1847" t="inlineStr">
        <is>
          <t>Clearpath NDIS Plans</t>
        </is>
      </c>
      <c r="E1847" t="inlineStr">
        <is>
          <t>INV/2026/02232</t>
        </is>
      </c>
      <c r="F1847" t="inlineStr">
        <is>
          <t>Customer payment INV/2026/02232</t>
        </is>
      </c>
      <c r="G1847" s="9" t="n">
        <v>96.98999999999999</v>
      </c>
      <c r="H1847" t="inlineStr">
        <is>
          <t>customer_payment</t>
        </is>
      </c>
      <c r="I1847" t="inlineStr"/>
      <c r="J1847" t="inlineStr">
        <is>
          <t>G00228</t>
        </is>
      </c>
      <c r="K1847" t="str">
        <f>INDEX('Match Groups'!$D$5:$D$1326,MATCH(J1847,'Match Groups'!$A$5:$A$1326,0))</f>
        <v>MATCH</v>
      </c>
    </row>
    <row r="1848">
      <c r="A1848" t="inlineStr">
        <is>
          <t>JI-00686</t>
        </is>
      </c>
      <c r="B1848" t="inlineStr">
        <is>
          <t>OPS</t>
        </is>
      </c>
      <c r="C1848" s="5" t="n">
        <v>46233</v>
      </c>
      <c r="D1848" t="inlineStr">
        <is>
          <t>Clearpath NDIS Plans</t>
        </is>
      </c>
      <c r="E1848" t="inlineStr">
        <is>
          <t>INV/2026/02250</t>
        </is>
      </c>
      <c r="F1848" t="inlineStr">
        <is>
          <t>Customer payment INV/2026/02250</t>
        </is>
      </c>
      <c r="G1848" s="9" t="n">
        <v>290.98</v>
      </c>
      <c r="H1848" t="inlineStr">
        <is>
          <t>customer_payment</t>
        </is>
      </c>
      <c r="I1848" t="inlineStr"/>
      <c r="J1848" t="inlineStr">
        <is>
          <t>G00228</t>
        </is>
      </c>
      <c r="K1848" t="str">
        <f>INDEX('Match Groups'!$D$5:$D$1326,MATCH(J1848,'Match Groups'!$A$5:$A$1326,0))</f>
        <v>MATCH</v>
      </c>
    </row>
    <row r="1849">
      <c r="A1849" t="inlineStr">
        <is>
          <t>JI-00687</t>
        </is>
      </c>
      <c r="B1849" t="inlineStr">
        <is>
          <t>OPS</t>
        </is>
      </c>
      <c r="C1849" s="5" t="n">
        <v>46233</v>
      </c>
      <c r="D1849" t="inlineStr">
        <is>
          <t>Clearpath NDIS Plans</t>
        </is>
      </c>
      <c r="E1849" t="inlineStr">
        <is>
          <t>INV/2026/02251</t>
        </is>
      </c>
      <c r="F1849" t="inlineStr">
        <is>
          <t>Customer payment INV/2026/02251</t>
        </is>
      </c>
      <c r="G1849" s="9" t="n">
        <v>96.98999999999999</v>
      </c>
      <c r="H1849" t="inlineStr">
        <is>
          <t>customer_payment</t>
        </is>
      </c>
      <c r="I1849" t="inlineStr"/>
      <c r="J1849" t="inlineStr">
        <is>
          <t>G00228</t>
        </is>
      </c>
      <c r="K1849" t="str">
        <f>INDEX('Match Groups'!$D$5:$D$1326,MATCH(J1849,'Match Groups'!$A$5:$A$1326,0))</f>
        <v>MATCH</v>
      </c>
    </row>
    <row r="1850">
      <c r="A1850" t="inlineStr">
        <is>
          <t>JI-00688</t>
        </is>
      </c>
      <c r="B1850" t="inlineStr">
        <is>
          <t>OPS</t>
        </is>
      </c>
      <c r="C1850" s="5" t="n">
        <v>46233</v>
      </c>
      <c r="D1850" t="inlineStr">
        <is>
          <t>Wattle Plan Services</t>
        </is>
      </c>
      <c r="E1850" t="inlineStr">
        <is>
          <t>INV/2026/02072</t>
        </is>
      </c>
      <c r="F1850" t="inlineStr">
        <is>
          <t>Customer payment INV/2026/02072</t>
        </is>
      </c>
      <c r="G1850" s="9" t="n">
        <v>387.98</v>
      </c>
      <c r="H1850" t="inlineStr">
        <is>
          <t>customer_payment</t>
        </is>
      </c>
      <c r="I1850" t="inlineStr"/>
      <c r="J1850" t="inlineStr">
        <is>
          <t>G00229</t>
        </is>
      </c>
      <c r="K1850" t="str">
        <f>INDEX('Match Groups'!$D$5:$D$1326,MATCH(J1850,'Match Groups'!$A$5:$A$1326,0))</f>
        <v>MATCH</v>
      </c>
    </row>
    <row r="1851">
      <c r="A1851" t="inlineStr">
        <is>
          <t>JI-00689</t>
        </is>
      </c>
      <c r="B1851" t="inlineStr">
        <is>
          <t>OPS</t>
        </is>
      </c>
      <c r="C1851" s="5" t="n">
        <v>46233</v>
      </c>
      <c r="D1851" t="inlineStr">
        <is>
          <t>Wattle Plan Services</t>
        </is>
      </c>
      <c r="E1851" t="inlineStr">
        <is>
          <t>INV/2026/02093</t>
        </is>
      </c>
      <c r="F1851" t="inlineStr">
        <is>
          <t>Customer payment INV/2026/02093</t>
        </is>
      </c>
      <c r="G1851" s="9" t="n">
        <v>96.98999999999999</v>
      </c>
      <c r="H1851" t="inlineStr">
        <is>
          <t>customer_payment</t>
        </is>
      </c>
      <c r="I1851" t="inlineStr"/>
      <c r="J1851" t="inlineStr">
        <is>
          <t>G00229</t>
        </is>
      </c>
      <c r="K1851" t="str">
        <f>INDEX('Match Groups'!$D$5:$D$1326,MATCH(J1851,'Match Groups'!$A$5:$A$1326,0))</f>
        <v>MATCH</v>
      </c>
    </row>
    <row r="1852">
      <c r="A1852" t="inlineStr">
        <is>
          <t>JI-00690</t>
        </is>
      </c>
      <c r="B1852" t="inlineStr">
        <is>
          <t>OPS</t>
        </is>
      </c>
      <c r="C1852" s="5" t="n">
        <v>46233</v>
      </c>
      <c r="D1852" t="inlineStr">
        <is>
          <t>Wattle Plan Services</t>
        </is>
      </c>
      <c r="E1852" t="inlineStr">
        <is>
          <t>INV/2026/02113</t>
        </is>
      </c>
      <c r="F1852" t="inlineStr">
        <is>
          <t>Customer payment INV/2026/02113</t>
        </is>
      </c>
      <c r="G1852" s="9" t="n">
        <v>272.49</v>
      </c>
      <c r="H1852" t="inlineStr">
        <is>
          <t>customer_payment</t>
        </is>
      </c>
      <c r="I1852" t="inlineStr"/>
      <c r="J1852" t="inlineStr">
        <is>
          <t>G00229</t>
        </is>
      </c>
      <c r="K1852" t="str">
        <f>INDEX('Match Groups'!$D$5:$D$1326,MATCH(J1852,'Match Groups'!$A$5:$A$1326,0))</f>
        <v>MATCH</v>
      </c>
    </row>
    <row r="1853">
      <c r="A1853" t="inlineStr">
        <is>
          <t>JI-00691</t>
        </is>
      </c>
      <c r="B1853" t="inlineStr">
        <is>
          <t>OPS</t>
        </is>
      </c>
      <c r="C1853" s="5" t="n">
        <v>46233</v>
      </c>
      <c r="D1853" t="inlineStr">
        <is>
          <t>Wattle Plan Services</t>
        </is>
      </c>
      <c r="E1853" t="inlineStr">
        <is>
          <t>INV/2026/02114</t>
        </is>
      </c>
      <c r="F1853" t="inlineStr">
        <is>
          <t>Customer payment INV/2026/02114</t>
        </is>
      </c>
      <c r="G1853" s="9" t="n">
        <v>145.49</v>
      </c>
      <c r="H1853" t="inlineStr">
        <is>
          <t>customer_payment</t>
        </is>
      </c>
      <c r="I1853" t="inlineStr"/>
      <c r="J1853" t="inlineStr">
        <is>
          <t>G00229</t>
        </is>
      </c>
      <c r="K1853" t="str">
        <f>INDEX('Match Groups'!$D$5:$D$1326,MATCH(J1853,'Match Groups'!$A$5:$A$1326,0))</f>
        <v>MATCH</v>
      </c>
    </row>
    <row r="1854">
      <c r="A1854" t="inlineStr">
        <is>
          <t>JI-00692</t>
        </is>
      </c>
      <c r="B1854" t="inlineStr">
        <is>
          <t>OPS</t>
        </is>
      </c>
      <c r="C1854" s="5" t="n">
        <v>46233</v>
      </c>
      <c r="D1854" t="inlineStr">
        <is>
          <t>Wattle Plan Services</t>
        </is>
      </c>
      <c r="E1854" t="inlineStr">
        <is>
          <t>INV/2026/02134</t>
        </is>
      </c>
      <c r="F1854" t="inlineStr">
        <is>
          <t>Customer payment INV/2026/02134</t>
        </is>
      </c>
      <c r="G1854" s="9" t="n">
        <v>290.98</v>
      </c>
      <c r="H1854" t="inlineStr">
        <is>
          <t>customer_payment</t>
        </is>
      </c>
      <c r="I1854" t="inlineStr"/>
      <c r="J1854" t="inlineStr">
        <is>
          <t>G00229</t>
        </is>
      </c>
      <c r="K1854" t="str">
        <f>INDEX('Match Groups'!$D$5:$D$1326,MATCH(J1854,'Match Groups'!$A$5:$A$1326,0))</f>
        <v>MATCH</v>
      </c>
    </row>
    <row r="1855">
      <c r="A1855" t="inlineStr">
        <is>
          <t>JI-00693</t>
        </is>
      </c>
      <c r="B1855" t="inlineStr">
        <is>
          <t>OPS</t>
        </is>
      </c>
      <c r="C1855" s="5" t="n">
        <v>46233</v>
      </c>
      <c r="D1855" t="inlineStr">
        <is>
          <t>Wattle Plan Services</t>
        </is>
      </c>
      <c r="E1855" t="inlineStr">
        <is>
          <t>INV/2026/02188</t>
        </is>
      </c>
      <c r="F1855" t="inlineStr">
        <is>
          <t>Customer payment INV/2026/02188</t>
        </is>
      </c>
      <c r="G1855" s="9" t="n">
        <v>96.98999999999999</v>
      </c>
      <c r="H1855" t="inlineStr">
        <is>
          <t>customer_payment</t>
        </is>
      </c>
      <c r="I1855" t="inlineStr"/>
      <c r="J1855" t="inlineStr">
        <is>
          <t>G00229</t>
        </is>
      </c>
      <c r="K1855" t="str">
        <f>INDEX('Match Groups'!$D$5:$D$1326,MATCH(J1855,'Match Groups'!$A$5:$A$1326,0))</f>
        <v>MATCH</v>
      </c>
    </row>
    <row r="1856">
      <c r="A1856" t="inlineStr">
        <is>
          <t>JI-00694</t>
        </is>
      </c>
      <c r="B1856" t="inlineStr">
        <is>
          <t>OPS</t>
        </is>
      </c>
      <c r="C1856" s="5" t="n">
        <v>46233</v>
      </c>
      <c r="D1856" t="inlineStr">
        <is>
          <t>Wattle Plan Services</t>
        </is>
      </c>
      <c r="E1856" t="inlineStr">
        <is>
          <t>INV/2026/02207</t>
        </is>
      </c>
      <c r="F1856" t="inlineStr">
        <is>
          <t>Customer payment INV/2026/02207</t>
        </is>
      </c>
      <c r="G1856" s="9" t="n">
        <v>193.99</v>
      </c>
      <c r="H1856" t="inlineStr">
        <is>
          <t>customer_payment</t>
        </is>
      </c>
      <c r="I1856" t="inlineStr"/>
      <c r="J1856" t="inlineStr">
        <is>
          <t>G00229</t>
        </is>
      </c>
      <c r="K1856" t="str">
        <f>INDEX('Match Groups'!$D$5:$D$1326,MATCH(J1856,'Match Groups'!$A$5:$A$1326,0))</f>
        <v>MATCH</v>
      </c>
    </row>
    <row r="1857">
      <c r="A1857" t="inlineStr">
        <is>
          <t>JI-00695</t>
        </is>
      </c>
      <c r="B1857" t="inlineStr">
        <is>
          <t>OPS</t>
        </is>
      </c>
      <c r="C1857" s="5" t="n">
        <v>46233</v>
      </c>
      <c r="D1857" t="inlineStr">
        <is>
          <t>Wattle Plan Services</t>
        </is>
      </c>
      <c r="E1857" t="inlineStr">
        <is>
          <t>INV/2026/02208</t>
        </is>
      </c>
      <c r="F1857" t="inlineStr">
        <is>
          <t>Customer payment INV/2026/02208</t>
        </is>
      </c>
      <c r="G1857" s="9" t="n">
        <v>203.69</v>
      </c>
      <c r="H1857" t="inlineStr">
        <is>
          <t>customer_payment</t>
        </is>
      </c>
      <c r="I1857" t="inlineStr"/>
      <c r="J1857" t="inlineStr">
        <is>
          <t>G00229</t>
        </is>
      </c>
      <c r="K1857" t="str">
        <f>INDEX('Match Groups'!$D$5:$D$1326,MATCH(J1857,'Match Groups'!$A$5:$A$1326,0))</f>
        <v>MATCH</v>
      </c>
    </row>
    <row r="1858">
      <c r="A1858" t="inlineStr">
        <is>
          <t>JI-00696</t>
        </is>
      </c>
      <c r="B1858" t="inlineStr">
        <is>
          <t>OPS</t>
        </is>
      </c>
      <c r="C1858" s="5" t="n">
        <v>46233</v>
      </c>
      <c r="D1858" t="inlineStr">
        <is>
          <t>Wattle Plan Services</t>
        </is>
      </c>
      <c r="E1858" t="inlineStr">
        <is>
          <t>INV/2026/02233</t>
        </is>
      </c>
      <c r="F1858" t="inlineStr">
        <is>
          <t>Customer payment INV/2026/02233</t>
        </is>
      </c>
      <c r="G1858" s="9" t="n">
        <v>387.98</v>
      </c>
      <c r="H1858" t="inlineStr">
        <is>
          <t>customer_payment</t>
        </is>
      </c>
      <c r="I1858" t="inlineStr"/>
      <c r="J1858" t="inlineStr">
        <is>
          <t>G00229</t>
        </is>
      </c>
      <c r="K1858" t="str">
        <f>INDEX('Match Groups'!$D$5:$D$1326,MATCH(J1858,'Match Groups'!$A$5:$A$1326,0))</f>
        <v>MATCH</v>
      </c>
    </row>
    <row r="1859">
      <c r="A1859" t="inlineStr">
        <is>
          <t>JI-00697</t>
        </is>
      </c>
      <c r="B1859" t="inlineStr">
        <is>
          <t>OPS</t>
        </is>
      </c>
      <c r="C1859" s="5" t="n">
        <v>46233</v>
      </c>
      <c r="D1859" t="inlineStr">
        <is>
          <t>Wattle Plan Services</t>
        </is>
      </c>
      <c r="E1859" t="inlineStr">
        <is>
          <t>INV/2026/02253</t>
        </is>
      </c>
      <c r="F1859" t="inlineStr">
        <is>
          <t>Customer payment INV/2026/02253</t>
        </is>
      </c>
      <c r="G1859" s="9" t="n">
        <v>417.98</v>
      </c>
      <c r="H1859" t="inlineStr">
        <is>
          <t>customer_payment</t>
        </is>
      </c>
      <c r="I1859" t="inlineStr"/>
      <c r="J1859" t="inlineStr">
        <is>
          <t>G00229</t>
        </is>
      </c>
      <c r="K1859" t="str">
        <f>INDEX('Match Groups'!$D$5:$D$1326,MATCH(J1859,'Match Groups'!$A$5:$A$1326,0))</f>
        <v>MATCH</v>
      </c>
    </row>
    <row r="1860">
      <c r="A1860" t="inlineStr">
        <is>
          <t>JI-00698</t>
        </is>
      </c>
      <c r="B1860" t="inlineStr">
        <is>
          <t>OPS</t>
        </is>
      </c>
      <c r="C1860" s="5" t="n">
        <v>46233</v>
      </c>
      <c r="D1860" t="inlineStr">
        <is>
          <t>Wattle Plan Services</t>
        </is>
      </c>
      <c r="E1860" t="inlineStr">
        <is>
          <t>INV/2026/02254</t>
        </is>
      </c>
      <c r="F1860" t="inlineStr">
        <is>
          <t>Customer payment INV/2026/02254</t>
        </is>
      </c>
      <c r="G1860" s="9" t="n">
        <v>320.98</v>
      </c>
      <c r="H1860" t="inlineStr">
        <is>
          <t>customer_payment</t>
        </is>
      </c>
      <c r="I1860" t="inlineStr"/>
      <c r="J1860" t="inlineStr">
        <is>
          <t>G00229</t>
        </is>
      </c>
      <c r="K1860" t="str">
        <f>INDEX('Match Groups'!$D$5:$D$1326,MATCH(J1860,'Match Groups'!$A$5:$A$1326,0))</f>
        <v>MATCH</v>
      </c>
    </row>
    <row r="1861">
      <c r="A1861" t="inlineStr">
        <is>
          <t>JI-00699</t>
        </is>
      </c>
      <c r="B1861" t="inlineStr">
        <is>
          <t>OPS</t>
        </is>
      </c>
      <c r="C1861" s="5" t="n">
        <v>46233</v>
      </c>
      <c r="D1861" t="inlineStr">
        <is>
          <t>Wattle Plan Services</t>
        </is>
      </c>
      <c r="E1861" t="inlineStr">
        <is>
          <t>INV/2026/02274</t>
        </is>
      </c>
      <c r="F1861" t="inlineStr">
        <is>
          <t>Customer payment INV/2026/02274</t>
        </is>
      </c>
      <c r="G1861" s="9" t="n">
        <v>242.49</v>
      </c>
      <c r="H1861" t="inlineStr">
        <is>
          <t>customer_payment</t>
        </is>
      </c>
      <c r="I1861" t="inlineStr"/>
      <c r="J1861" t="inlineStr">
        <is>
          <t>G00229</t>
        </is>
      </c>
      <c r="K1861" t="str">
        <f>INDEX('Match Groups'!$D$5:$D$1326,MATCH(J1861,'Match Groups'!$A$5:$A$1326,0))</f>
        <v>MATCH</v>
      </c>
    </row>
    <row r="1862">
      <c r="A1862" t="inlineStr">
        <is>
          <t>JI-00700</t>
        </is>
      </c>
      <c r="B1862" t="inlineStr">
        <is>
          <t>OPS</t>
        </is>
      </c>
      <c r="C1862" s="5" t="n">
        <v>46233</v>
      </c>
      <c r="D1862" t="inlineStr">
        <is>
          <t>Kookaburra Plan Support</t>
        </is>
      </c>
      <c r="E1862" t="inlineStr">
        <is>
          <t>INV/2026/02325</t>
        </is>
      </c>
      <c r="F1862" t="inlineStr">
        <is>
          <t>Customer payment INV/2026/02325</t>
        </is>
      </c>
      <c r="G1862" s="9" t="n">
        <v>203.69</v>
      </c>
      <c r="H1862" t="inlineStr">
        <is>
          <t>customer_payment</t>
        </is>
      </c>
      <c r="I1862" t="inlineStr"/>
      <c r="J1862" t="inlineStr">
        <is>
          <t>G00230</t>
        </is>
      </c>
      <c r="K1862" t="str">
        <f>INDEX('Match Groups'!$D$5:$D$1326,MATCH(J1862,'Match Groups'!$A$5:$A$1326,0))</f>
        <v>MATCH</v>
      </c>
    </row>
    <row r="1863">
      <c r="A1863" t="inlineStr">
        <is>
          <t>JI-00701</t>
        </is>
      </c>
      <c r="B1863" t="inlineStr">
        <is>
          <t>OPS</t>
        </is>
      </c>
      <c r="C1863" s="5" t="n">
        <v>46233</v>
      </c>
      <c r="D1863" t="inlineStr">
        <is>
          <t>Kookaburra Plan Support</t>
        </is>
      </c>
      <c r="E1863" t="inlineStr">
        <is>
          <t>INV/2026/02326</t>
        </is>
      </c>
      <c r="F1863" t="inlineStr">
        <is>
          <t>Customer payment INV/2026/02326</t>
        </is>
      </c>
      <c r="G1863" s="9" t="n">
        <v>349.18</v>
      </c>
      <c r="H1863" t="inlineStr">
        <is>
          <t>customer_payment</t>
        </is>
      </c>
      <c r="I1863" t="inlineStr"/>
      <c r="J1863" t="inlineStr">
        <is>
          <t>G00230</t>
        </is>
      </c>
      <c r="K1863" t="str">
        <f>INDEX('Match Groups'!$D$5:$D$1326,MATCH(J1863,'Match Groups'!$A$5:$A$1326,0))</f>
        <v>MATCH</v>
      </c>
    </row>
    <row r="1864">
      <c r="A1864" t="inlineStr">
        <is>
          <t>JI-00702</t>
        </is>
      </c>
      <c r="B1864" t="inlineStr">
        <is>
          <t>OPS</t>
        </is>
      </c>
      <c r="C1864" s="5" t="n">
        <v>46233</v>
      </c>
      <c r="D1864" t="inlineStr">
        <is>
          <t>Saltbush Plan Managers</t>
        </is>
      </c>
      <c r="E1864" t="inlineStr">
        <is>
          <t>INV/2026/02279</t>
        </is>
      </c>
      <c r="F1864" t="inlineStr">
        <is>
          <t>Customer payment INV/2026/02279</t>
        </is>
      </c>
      <c r="G1864" s="9" t="n">
        <v>387.98</v>
      </c>
      <c r="H1864" t="inlineStr">
        <is>
          <t>customer_payment</t>
        </is>
      </c>
      <c r="I1864" t="inlineStr"/>
      <c r="J1864" t="inlineStr">
        <is>
          <t>G00231</t>
        </is>
      </c>
      <c r="K1864" t="str">
        <f>INDEX('Match Groups'!$D$5:$D$1326,MATCH(J1864,'Match Groups'!$A$5:$A$1326,0))</f>
        <v>MATCH</v>
      </c>
    </row>
    <row r="1865">
      <c r="A1865" t="inlineStr">
        <is>
          <t>JI-00703</t>
        </is>
      </c>
      <c r="B1865" t="inlineStr">
        <is>
          <t>OPS</t>
        </is>
      </c>
      <c r="C1865" s="5" t="n">
        <v>46233</v>
      </c>
      <c r="D1865" t="inlineStr">
        <is>
          <t>Saltbush Plan Managers</t>
        </is>
      </c>
      <c r="E1865" t="inlineStr">
        <is>
          <t>INV/2026/02290</t>
        </is>
      </c>
      <c r="F1865" t="inlineStr">
        <is>
          <t>Customer payment INV/2026/02290</t>
        </is>
      </c>
      <c r="G1865" s="9" t="n">
        <v>145.49</v>
      </c>
      <c r="H1865" t="inlineStr">
        <is>
          <t>customer_payment</t>
        </is>
      </c>
      <c r="I1865" t="inlineStr"/>
      <c r="J1865" t="inlineStr">
        <is>
          <t>G00231</t>
        </is>
      </c>
      <c r="K1865" t="str">
        <f>INDEX('Match Groups'!$D$5:$D$1326,MATCH(J1865,'Match Groups'!$A$5:$A$1326,0))</f>
        <v>MATCH</v>
      </c>
    </row>
    <row r="1866">
      <c r="A1866" t="inlineStr">
        <is>
          <t>JI-00704</t>
        </is>
      </c>
      <c r="B1866" t="inlineStr">
        <is>
          <t>OPS</t>
        </is>
      </c>
      <c r="C1866" s="5" t="n">
        <v>46233</v>
      </c>
      <c r="D1866" t="inlineStr">
        <is>
          <t>Saltbush Plan Managers</t>
        </is>
      </c>
      <c r="E1866" t="inlineStr">
        <is>
          <t>INV/2026/02308</t>
        </is>
      </c>
      <c r="F1866" t="inlineStr">
        <is>
          <t>Customer payment INV/2026/02308</t>
        </is>
      </c>
      <c r="G1866" s="9" t="n">
        <v>193.99</v>
      </c>
      <c r="H1866" t="inlineStr">
        <is>
          <t>customer_payment</t>
        </is>
      </c>
      <c r="I1866" t="inlineStr"/>
      <c r="J1866" t="inlineStr">
        <is>
          <t>G00231</t>
        </is>
      </c>
      <c r="K1866" t="str">
        <f>INDEX('Match Groups'!$D$5:$D$1326,MATCH(J1866,'Match Groups'!$A$5:$A$1326,0))</f>
        <v>MATCH</v>
      </c>
    </row>
    <row r="1867">
      <c r="A1867" t="inlineStr">
        <is>
          <t>JI-00705</t>
        </is>
      </c>
      <c r="B1867" t="inlineStr">
        <is>
          <t>OPS</t>
        </is>
      </c>
      <c r="C1867" s="5" t="n">
        <v>46233</v>
      </c>
      <c r="D1867" t="inlineStr">
        <is>
          <t>Saltbush Plan Managers</t>
        </is>
      </c>
      <c r="E1867" t="inlineStr">
        <is>
          <t>INV/2026/02309</t>
        </is>
      </c>
      <c r="F1867" t="inlineStr">
        <is>
          <t>Customer payment INV/2026/02309</t>
        </is>
      </c>
      <c r="G1867" s="9" t="n">
        <v>446.18</v>
      </c>
      <c r="H1867" t="inlineStr">
        <is>
          <t>customer_payment</t>
        </is>
      </c>
      <c r="I1867" t="inlineStr"/>
      <c r="J1867" t="inlineStr">
        <is>
          <t>G00231</t>
        </is>
      </c>
      <c r="K1867" t="str">
        <f>INDEX('Match Groups'!$D$5:$D$1326,MATCH(J1867,'Match Groups'!$A$5:$A$1326,0))</f>
        <v>MATCH</v>
      </c>
    </row>
    <row r="1868">
      <c r="A1868" t="inlineStr">
        <is>
          <t>JI-00706</t>
        </is>
      </c>
      <c r="B1868" t="inlineStr">
        <is>
          <t>OPS</t>
        </is>
      </c>
      <c r="C1868" s="5" t="n">
        <v>46233</v>
      </c>
      <c r="D1868" t="inlineStr">
        <is>
          <t>Mallee Plan Services</t>
        </is>
      </c>
      <c r="E1868" t="inlineStr">
        <is>
          <t>INV/2026/02315</t>
        </is>
      </c>
      <c r="F1868" t="inlineStr">
        <is>
          <t>Customer payment INV/2026/02315</t>
        </is>
      </c>
      <c r="G1868" s="9" t="n">
        <v>300.69</v>
      </c>
      <c r="H1868" t="inlineStr">
        <is>
          <t>customer_payment</t>
        </is>
      </c>
      <c r="I1868" t="inlineStr"/>
      <c r="J1868" t="inlineStr">
        <is>
          <t>G00232</t>
        </is>
      </c>
      <c r="K1868" t="str">
        <f>INDEX('Match Groups'!$D$5:$D$1326,MATCH(J1868,'Match Groups'!$A$5:$A$1326,0))</f>
        <v>MATCH</v>
      </c>
    </row>
    <row r="1869">
      <c r="A1869" t="inlineStr">
        <is>
          <t>JI-00707</t>
        </is>
      </c>
      <c r="B1869" t="inlineStr">
        <is>
          <t>OPS</t>
        </is>
      </c>
      <c r="C1869" s="5" t="n">
        <v>46233</v>
      </c>
      <c r="D1869" t="inlineStr">
        <is>
          <t>Mallee Plan Services</t>
        </is>
      </c>
      <c r="E1869" t="inlineStr">
        <is>
          <t>INV/2026/02316</t>
        </is>
      </c>
      <c r="F1869" t="inlineStr">
        <is>
          <t>Customer payment INV/2026/02316</t>
        </is>
      </c>
      <c r="G1869" s="9" t="n">
        <v>145.49</v>
      </c>
      <c r="H1869" t="inlineStr">
        <is>
          <t>customer_payment</t>
        </is>
      </c>
      <c r="I1869" t="inlineStr"/>
      <c r="J1869" t="inlineStr">
        <is>
          <t>G00232</t>
        </is>
      </c>
      <c r="K1869" t="str">
        <f>INDEX('Match Groups'!$D$5:$D$1326,MATCH(J1869,'Match Groups'!$A$5:$A$1326,0))</f>
        <v>MATCH</v>
      </c>
    </row>
    <row r="1870">
      <c r="A1870" t="inlineStr">
        <is>
          <t>JI-00708</t>
        </is>
      </c>
      <c r="B1870" t="inlineStr">
        <is>
          <t>OPS</t>
        </is>
      </c>
      <c r="C1870" s="5" t="n">
        <v>46233</v>
      </c>
      <c r="D1870" t="inlineStr">
        <is>
          <t>Mallee Plan Services</t>
        </is>
      </c>
      <c r="E1870" t="inlineStr">
        <is>
          <t>INV/2026/02341</t>
        </is>
      </c>
      <c r="F1870" t="inlineStr">
        <is>
          <t>Customer payment INV/2026/02341</t>
        </is>
      </c>
      <c r="G1870" s="9" t="n">
        <v>203.69</v>
      </c>
      <c r="H1870" t="inlineStr">
        <is>
          <t>customer_payment</t>
        </is>
      </c>
      <c r="I1870" t="inlineStr"/>
      <c r="J1870" t="inlineStr">
        <is>
          <t>G00232</t>
        </is>
      </c>
      <c r="K1870" t="str">
        <f>INDEX('Match Groups'!$D$5:$D$1326,MATCH(J1870,'Match Groups'!$A$5:$A$1326,0))</f>
        <v>MATCH</v>
      </c>
    </row>
    <row r="1871">
      <c r="A1871" t="inlineStr">
        <is>
          <t>JI-00723</t>
        </is>
      </c>
      <c r="B1871" t="inlineStr">
        <is>
          <t>OPS</t>
        </is>
      </c>
      <c r="C1871" s="5" t="n">
        <v>46233</v>
      </c>
      <c r="D1871" t="inlineStr">
        <is>
          <t>Tallowwood Plans</t>
        </is>
      </c>
      <c r="E1871" t="inlineStr">
        <is>
          <t>INV/2026/02293</t>
        </is>
      </c>
      <c r="F1871" t="inlineStr">
        <is>
          <t>Customer payment INV/2026/02293</t>
        </is>
      </c>
      <c r="G1871" s="9" t="n">
        <v>349.18</v>
      </c>
      <c r="H1871" t="inlineStr">
        <is>
          <t>customer_payment</t>
        </is>
      </c>
      <c r="I1871" t="inlineStr"/>
      <c r="J1871" t="inlineStr">
        <is>
          <t>G00240</t>
        </is>
      </c>
      <c r="K1871" t="str">
        <f>INDEX('Match Groups'!$D$5:$D$1326,MATCH(J1871,'Match Groups'!$A$5:$A$1326,0))</f>
        <v>MATCH</v>
      </c>
    </row>
    <row r="1872">
      <c r="A1872" t="inlineStr">
        <is>
          <t>JI-00724</t>
        </is>
      </c>
      <c r="B1872" t="inlineStr">
        <is>
          <t>OPS</t>
        </is>
      </c>
      <c r="C1872" s="5" t="n">
        <v>46233</v>
      </c>
      <c r="D1872" t="inlineStr">
        <is>
          <t>Tallowwood Plans</t>
        </is>
      </c>
      <c r="E1872" t="inlineStr">
        <is>
          <t>INV/2026/02336</t>
        </is>
      </c>
      <c r="F1872" t="inlineStr">
        <is>
          <t>Customer payment INV/2026/02336</t>
        </is>
      </c>
      <c r="G1872" s="9" t="n">
        <v>242.49</v>
      </c>
      <c r="H1872" t="inlineStr">
        <is>
          <t>customer_payment</t>
        </is>
      </c>
      <c r="I1872" t="inlineStr"/>
      <c r="J1872" t="inlineStr">
        <is>
          <t>G00240</t>
        </is>
      </c>
      <c r="K1872" t="str">
        <f>INDEX('Match Groups'!$D$5:$D$1326,MATCH(J1872,'Match Groups'!$A$5:$A$1326,0))</f>
        <v>MATCH</v>
      </c>
    </row>
    <row r="1873">
      <c r="A1873" t="inlineStr">
        <is>
          <t>JI-01577</t>
        </is>
      </c>
      <c r="B1873" t="inlineStr">
        <is>
          <t>OPS</t>
        </is>
      </c>
      <c r="C1873" s="5" t="n">
        <v>46233</v>
      </c>
      <c r="D1873" t="inlineStr">
        <is>
          <t>Unity Workcover Agents</t>
        </is>
      </c>
      <c r="E1873" t="inlineStr">
        <is>
          <t>INV/2026/02247</t>
        </is>
      </c>
      <c r="F1873" t="inlineStr">
        <is>
          <t>Customer payment INV/2026/02247</t>
        </is>
      </c>
      <c r="G1873" s="9" t="n">
        <v>176</v>
      </c>
      <c r="H1873" t="inlineStr">
        <is>
          <t>customer_payment</t>
        </is>
      </c>
      <c r="I1873" t="inlineStr"/>
      <c r="J1873" t="inlineStr">
        <is>
          <t>G00976</t>
        </is>
      </c>
      <c r="K1873" t="str">
        <f>INDEX('Match Groups'!$D$5:$D$1326,MATCH(J1873,'Match Groups'!$A$5:$A$1326,0))</f>
        <v>MATCH</v>
      </c>
    </row>
    <row r="1874">
      <c r="A1874" t="inlineStr">
        <is>
          <t>JI-01596</t>
        </is>
      </c>
      <c r="B1874" t="inlineStr">
        <is>
          <t>OPS</t>
        </is>
      </c>
      <c r="C1874" s="5" t="n">
        <v>46233</v>
      </c>
      <c r="D1874" t="inlineStr">
        <is>
          <t>Pinnacle Claims Services</t>
        </is>
      </c>
      <c r="E1874" t="inlineStr">
        <is>
          <t>INV/2026/02086</t>
        </is>
      </c>
      <c r="F1874" t="inlineStr">
        <is>
          <t>Customer payment INV/2026/02086</t>
        </is>
      </c>
      <c r="G1874" s="9" t="n">
        <v>990</v>
      </c>
      <c r="H1874" t="inlineStr">
        <is>
          <t>customer_payment</t>
        </is>
      </c>
      <c r="I1874" t="inlineStr"/>
      <c r="J1874" t="inlineStr">
        <is>
          <t>G00971</t>
        </is>
      </c>
      <c r="K1874" t="str">
        <f>INDEX('Match Groups'!$D$5:$D$1326,MATCH(J1874,'Match Groups'!$A$5:$A$1326,0))</f>
        <v>MATCH</v>
      </c>
    </row>
    <row r="1875">
      <c r="A1875" t="inlineStr">
        <is>
          <t>JI-01597</t>
        </is>
      </c>
      <c r="B1875" t="inlineStr">
        <is>
          <t>OPS</t>
        </is>
      </c>
      <c r="C1875" s="5" t="n">
        <v>46233</v>
      </c>
      <c r="D1875" t="inlineStr">
        <is>
          <t>Pinnacle Claims Services</t>
        </is>
      </c>
      <c r="E1875" t="inlineStr">
        <is>
          <t>INV/2026/02153</t>
        </is>
      </c>
      <c r="F1875" t="inlineStr">
        <is>
          <t>Customer payment INV/2026/02153</t>
        </is>
      </c>
      <c r="G1875" s="9" t="n">
        <v>88</v>
      </c>
      <c r="H1875" t="inlineStr">
        <is>
          <t>customer_payment</t>
        </is>
      </c>
      <c r="I1875" t="inlineStr"/>
      <c r="J1875" t="inlineStr">
        <is>
          <t>G00977</t>
        </is>
      </c>
      <c r="K1875" t="str">
        <f>INDEX('Match Groups'!$D$5:$D$1326,MATCH(J1875,'Match Groups'!$A$5:$A$1326,0))</f>
        <v>MATCH</v>
      </c>
    </row>
    <row r="1876">
      <c r="A1876" t="inlineStr">
        <is>
          <t>JI-01599</t>
        </is>
      </c>
      <c r="B1876" t="inlineStr">
        <is>
          <t>OPS</t>
        </is>
      </c>
      <c r="C1876" s="5" t="n">
        <v>46233</v>
      </c>
      <c r="D1876" t="inlineStr">
        <is>
          <t>Pinnacle Claims Services</t>
        </is>
      </c>
      <c r="E1876" t="inlineStr">
        <is>
          <t>INV/2026/02230</t>
        </is>
      </c>
      <c r="F1876" t="inlineStr">
        <is>
          <t>Customer payment INV/2026/02230</t>
        </is>
      </c>
      <c r="G1876" s="9" t="n">
        <v>264</v>
      </c>
      <c r="H1876" t="inlineStr">
        <is>
          <t>customer_payment</t>
        </is>
      </c>
      <c r="I1876" t="inlineStr"/>
      <c r="J1876" t="inlineStr">
        <is>
          <t>G00975</t>
        </is>
      </c>
      <c r="K1876" t="str">
        <f>INDEX('Match Groups'!$D$5:$D$1326,MATCH(J1876,'Match Groups'!$A$5:$A$1326,0))</f>
        <v>MATCH</v>
      </c>
    </row>
    <row r="1877">
      <c r="A1877" t="inlineStr">
        <is>
          <t>JI-01615</t>
        </is>
      </c>
      <c r="B1877" t="inlineStr">
        <is>
          <t>OPS</t>
        </is>
      </c>
      <c r="C1877" s="5" t="n">
        <v>46233</v>
      </c>
      <c r="D1877" t="inlineStr">
        <is>
          <t>Meridian Health Cover</t>
        </is>
      </c>
      <c r="E1877" t="inlineStr">
        <is>
          <t>INV/2026/02065</t>
        </is>
      </c>
      <c r="F1877" t="inlineStr">
        <is>
          <t>Customer payment INV/2026/02065</t>
        </is>
      </c>
      <c r="G1877" s="9" t="n">
        <v>412.5</v>
      </c>
      <c r="H1877" t="inlineStr">
        <is>
          <t>customer_payment</t>
        </is>
      </c>
      <c r="I1877" t="inlineStr"/>
      <c r="J1877" t="inlineStr">
        <is>
          <t>G00978</t>
        </is>
      </c>
      <c r="K1877" t="str">
        <f>INDEX('Match Groups'!$D$5:$D$1326,MATCH(J1877,'Match Groups'!$A$5:$A$1326,0))</f>
        <v>MATCH</v>
      </c>
    </row>
    <row r="1878">
      <c r="A1878" t="inlineStr">
        <is>
          <t>JI-01661</t>
        </is>
      </c>
      <c r="B1878" t="inlineStr">
        <is>
          <t>OPS</t>
        </is>
      </c>
      <c r="C1878" s="5" t="n">
        <v>46233</v>
      </c>
      <c r="D1878" t="inlineStr">
        <is>
          <t>Orchard Street Legal</t>
        </is>
      </c>
      <c r="E1878" t="inlineStr">
        <is>
          <t>INV/2026/03468</t>
        </is>
      </c>
      <c r="F1878" t="inlineStr">
        <is>
          <t>Customer payment INV/2026/03468</t>
        </is>
      </c>
      <c r="G1878" s="9" t="n">
        <v>2722.5</v>
      </c>
      <c r="H1878" t="inlineStr">
        <is>
          <t>customer_payment</t>
        </is>
      </c>
      <c r="I1878" t="inlineStr"/>
      <c r="J1878" t="inlineStr">
        <is>
          <t>G01131</t>
        </is>
      </c>
      <c r="K1878" t="str">
        <f>INDEX('Match Groups'!$D$5:$D$1326,MATCH(J1878,'Match Groups'!$A$5:$A$1326,0))</f>
        <v>MATCH</v>
      </c>
    </row>
    <row r="1879">
      <c r="A1879" t="inlineStr">
        <is>
          <t>JI-02418</t>
        </is>
      </c>
      <c r="B1879" t="inlineStr">
        <is>
          <t>OPS</t>
        </is>
      </c>
      <c r="C1879" s="5" t="n">
        <v>46233</v>
      </c>
      <c r="D1879" t="inlineStr">
        <is>
          <t>Stripe patient 28167</t>
        </is>
      </c>
      <c r="E1879" t="inlineStr">
        <is>
          <t>INV/2026/04264</t>
        </is>
      </c>
      <c r="F1879" t="inlineStr">
        <is>
          <t>Customer payment INV/2026/04264</t>
        </is>
      </c>
      <c r="G1879" s="9" t="n">
        <v>85</v>
      </c>
      <c r="H1879" t="inlineStr">
        <is>
          <t>customer_payment</t>
        </is>
      </c>
      <c r="I1879" t="inlineStr"/>
      <c r="J1879" t="inlineStr">
        <is>
          <t>G00037</t>
        </is>
      </c>
      <c r="K1879" t="str">
        <f>INDEX('Match Groups'!$D$5:$D$1326,MATCH(J1879,'Match Groups'!$A$5:$A$1326,0))</f>
        <v>STRIPE-FEE</v>
      </c>
    </row>
    <row r="1880">
      <c r="A1880" t="inlineStr">
        <is>
          <t>JI-02419</t>
        </is>
      </c>
      <c r="B1880" t="inlineStr">
        <is>
          <t>OPS</t>
        </is>
      </c>
      <c r="C1880" s="5" t="n">
        <v>46233</v>
      </c>
      <c r="D1880" t="inlineStr">
        <is>
          <t>Stripe patient 23136</t>
        </is>
      </c>
      <c r="E1880" t="inlineStr">
        <is>
          <t>INV/2026/04265</t>
        </is>
      </c>
      <c r="F1880" t="inlineStr">
        <is>
          <t>Customer payment INV/2026/04265</t>
        </is>
      </c>
      <c r="G1880" s="9" t="n">
        <v>65</v>
      </c>
      <c r="H1880" t="inlineStr">
        <is>
          <t>customer_payment</t>
        </is>
      </c>
      <c r="I1880" t="inlineStr"/>
      <c r="J1880" t="inlineStr">
        <is>
          <t>G00037</t>
        </is>
      </c>
      <c r="K1880" t="str">
        <f>INDEX('Match Groups'!$D$5:$D$1326,MATCH(J1880,'Match Groups'!$A$5:$A$1326,0))</f>
        <v>STRIPE-FEE</v>
      </c>
    </row>
    <row r="1881">
      <c r="A1881" t="inlineStr">
        <is>
          <t>JI-02420</t>
        </is>
      </c>
      <c r="B1881" t="inlineStr">
        <is>
          <t>OPS</t>
        </is>
      </c>
      <c r="C1881" s="5" t="n">
        <v>46233</v>
      </c>
      <c r="D1881" t="inlineStr">
        <is>
          <t>Stripe patient 26662</t>
        </is>
      </c>
      <c r="E1881" t="inlineStr">
        <is>
          <t>INV/2026/04266</t>
        </is>
      </c>
      <c r="F1881" t="inlineStr">
        <is>
          <t>Customer payment INV/2026/04266</t>
        </is>
      </c>
      <c r="G1881" s="9" t="n">
        <v>220</v>
      </c>
      <c r="H1881" t="inlineStr">
        <is>
          <t>customer_payment</t>
        </is>
      </c>
      <c r="I1881" t="inlineStr"/>
      <c r="J1881" t="inlineStr">
        <is>
          <t>G00037</t>
        </is>
      </c>
      <c r="K1881" t="str">
        <f>INDEX('Match Groups'!$D$5:$D$1326,MATCH(J1881,'Match Groups'!$A$5:$A$1326,0))</f>
        <v>STRIPE-FEE</v>
      </c>
    </row>
    <row r="1882">
      <c r="A1882" t="inlineStr">
        <is>
          <t>JI-02421</t>
        </is>
      </c>
      <c r="B1882" t="inlineStr">
        <is>
          <t>OPS</t>
        </is>
      </c>
      <c r="C1882" s="5" t="n">
        <v>46233</v>
      </c>
      <c r="D1882" t="inlineStr">
        <is>
          <t>Stripe patient 29958</t>
        </is>
      </c>
      <c r="E1882" t="inlineStr">
        <is>
          <t>INV/2026/04267</t>
        </is>
      </c>
      <c r="F1882" t="inlineStr">
        <is>
          <t>Customer payment INV/2026/04267</t>
        </is>
      </c>
      <c r="G1882" s="9" t="n">
        <v>150</v>
      </c>
      <c r="H1882" t="inlineStr">
        <is>
          <t>customer_payment</t>
        </is>
      </c>
      <c r="I1882" t="inlineStr"/>
      <c r="J1882" t="inlineStr">
        <is>
          <t>G00037</t>
        </is>
      </c>
      <c r="K1882" t="str">
        <f>INDEX('Match Groups'!$D$5:$D$1326,MATCH(J1882,'Match Groups'!$A$5:$A$1326,0))</f>
        <v>STRIPE-FEE</v>
      </c>
    </row>
    <row r="1883">
      <c r="A1883" t="inlineStr">
        <is>
          <t>JI-02422</t>
        </is>
      </c>
      <c r="B1883" t="inlineStr">
        <is>
          <t>OPS</t>
        </is>
      </c>
      <c r="C1883" s="5" t="n">
        <v>46233</v>
      </c>
      <c r="D1883" t="inlineStr">
        <is>
          <t>Stripe patient 78700</t>
        </is>
      </c>
      <c r="E1883" t="inlineStr">
        <is>
          <t>INV/2026/04268</t>
        </is>
      </c>
      <c r="F1883" t="inlineStr">
        <is>
          <t>Customer payment INV/2026/04268</t>
        </is>
      </c>
      <c r="G1883" s="9" t="n">
        <v>220</v>
      </c>
      <c r="H1883" t="inlineStr">
        <is>
          <t>customer_payment</t>
        </is>
      </c>
      <c r="I1883" t="inlineStr"/>
      <c r="J1883" t="inlineStr">
        <is>
          <t>G00037</t>
        </is>
      </c>
      <c r="K1883" t="str">
        <f>INDEX('Match Groups'!$D$5:$D$1326,MATCH(J1883,'Match Groups'!$A$5:$A$1326,0))</f>
        <v>STRIPE-FEE</v>
      </c>
    </row>
    <row r="1884">
      <c r="A1884" t="inlineStr">
        <is>
          <t>JI-02423</t>
        </is>
      </c>
      <c r="B1884" t="inlineStr">
        <is>
          <t>OPS</t>
        </is>
      </c>
      <c r="C1884" s="5" t="n">
        <v>46233</v>
      </c>
      <c r="D1884" t="inlineStr">
        <is>
          <t>Stripe patient 36125</t>
        </is>
      </c>
      <c r="E1884" t="inlineStr">
        <is>
          <t>INV/2026/04269</t>
        </is>
      </c>
      <c r="F1884" t="inlineStr">
        <is>
          <t>Customer payment INV/2026/04269</t>
        </is>
      </c>
      <c r="G1884" s="9" t="n">
        <v>135</v>
      </c>
      <c r="H1884" t="inlineStr">
        <is>
          <t>customer_payment</t>
        </is>
      </c>
      <c r="I1884" t="inlineStr"/>
      <c r="J1884" t="inlineStr">
        <is>
          <t>G00037</t>
        </is>
      </c>
      <c r="K1884" t="str">
        <f>INDEX('Match Groups'!$D$5:$D$1326,MATCH(J1884,'Match Groups'!$A$5:$A$1326,0))</f>
        <v>STRIPE-FEE</v>
      </c>
    </row>
    <row r="1885">
      <c r="A1885" t="inlineStr">
        <is>
          <t>JI-02424</t>
        </is>
      </c>
      <c r="B1885" t="inlineStr">
        <is>
          <t>OPS</t>
        </is>
      </c>
      <c r="C1885" s="5" t="n">
        <v>46233</v>
      </c>
      <c r="D1885" t="inlineStr">
        <is>
          <t>Stripe patient 87162</t>
        </is>
      </c>
      <c r="E1885" t="inlineStr">
        <is>
          <t>INV/2026/04270</t>
        </is>
      </c>
      <c r="F1885" t="inlineStr">
        <is>
          <t>Customer payment INV/2026/04270</t>
        </is>
      </c>
      <c r="G1885" s="9" t="n">
        <v>220</v>
      </c>
      <c r="H1885" t="inlineStr">
        <is>
          <t>customer_payment</t>
        </is>
      </c>
      <c r="I1885" t="inlineStr"/>
      <c r="J1885" t="inlineStr">
        <is>
          <t>G00037</t>
        </is>
      </c>
      <c r="K1885" t="str">
        <f>INDEX('Match Groups'!$D$5:$D$1326,MATCH(J1885,'Match Groups'!$A$5:$A$1326,0))</f>
        <v>STRIPE-FEE</v>
      </c>
    </row>
    <row r="1886">
      <c r="A1886" t="inlineStr">
        <is>
          <t>JI-02425</t>
        </is>
      </c>
      <c r="B1886" t="inlineStr">
        <is>
          <t>OPS</t>
        </is>
      </c>
      <c r="C1886" s="5" t="n">
        <v>46233</v>
      </c>
      <c r="D1886" t="inlineStr">
        <is>
          <t>Stripe patient 28628</t>
        </is>
      </c>
      <c r="E1886" t="inlineStr">
        <is>
          <t>INV/2026/04271</t>
        </is>
      </c>
      <c r="F1886" t="inlineStr">
        <is>
          <t>Customer payment INV/2026/04271</t>
        </is>
      </c>
      <c r="G1886" s="9" t="n">
        <v>180</v>
      </c>
      <c r="H1886" t="inlineStr">
        <is>
          <t>customer_payment</t>
        </is>
      </c>
      <c r="I1886" t="inlineStr"/>
      <c r="J1886" t="inlineStr">
        <is>
          <t>G00037</t>
        </is>
      </c>
      <c r="K1886" t="str">
        <f>INDEX('Match Groups'!$D$5:$D$1326,MATCH(J1886,'Match Groups'!$A$5:$A$1326,0))</f>
        <v>STRIPE-FEE</v>
      </c>
    </row>
    <row r="1887">
      <c r="A1887" t="inlineStr">
        <is>
          <t>JI-02426</t>
        </is>
      </c>
      <c r="B1887" t="inlineStr">
        <is>
          <t>OPS</t>
        </is>
      </c>
      <c r="C1887" s="5" t="n">
        <v>46233</v>
      </c>
      <c r="D1887" t="inlineStr">
        <is>
          <t>Stripe patient 89641</t>
        </is>
      </c>
      <c r="E1887" t="inlineStr">
        <is>
          <t>INV/2026/04272</t>
        </is>
      </c>
      <c r="F1887" t="inlineStr">
        <is>
          <t>Customer payment INV/2026/04272</t>
        </is>
      </c>
      <c r="G1887" s="9" t="n">
        <v>95</v>
      </c>
      <c r="H1887" t="inlineStr">
        <is>
          <t>customer_payment</t>
        </is>
      </c>
      <c r="I1887" t="inlineStr"/>
      <c r="J1887" t="inlineStr">
        <is>
          <t>G00037</t>
        </is>
      </c>
      <c r="K1887" t="str">
        <f>INDEX('Match Groups'!$D$5:$D$1326,MATCH(J1887,'Match Groups'!$A$5:$A$1326,0))</f>
        <v>STRIPE-FEE</v>
      </c>
    </row>
    <row r="1888">
      <c r="A1888" t="inlineStr">
        <is>
          <t>JI-02427</t>
        </is>
      </c>
      <c r="B1888" t="inlineStr">
        <is>
          <t>OPS</t>
        </is>
      </c>
      <c r="C1888" s="5" t="n">
        <v>46233</v>
      </c>
      <c r="D1888" t="inlineStr">
        <is>
          <t>Stripe patient 39945</t>
        </is>
      </c>
      <c r="E1888" t="inlineStr">
        <is>
          <t>INV/2026/04273</t>
        </is>
      </c>
      <c r="F1888" t="inlineStr">
        <is>
          <t>Customer payment INV/2026/04273</t>
        </is>
      </c>
      <c r="G1888" s="9" t="n">
        <v>120</v>
      </c>
      <c r="H1888" t="inlineStr">
        <is>
          <t>customer_payment</t>
        </is>
      </c>
      <c r="I1888" t="inlineStr"/>
      <c r="J1888" t="inlineStr">
        <is>
          <t>G00037</t>
        </is>
      </c>
      <c r="K1888" t="str">
        <f>INDEX('Match Groups'!$D$5:$D$1326,MATCH(J1888,'Match Groups'!$A$5:$A$1326,0))</f>
        <v>STRIPE-FEE</v>
      </c>
    </row>
    <row r="1889">
      <c r="A1889" t="inlineStr">
        <is>
          <t>JI-02428</t>
        </is>
      </c>
      <c r="B1889" t="inlineStr">
        <is>
          <t>OPS</t>
        </is>
      </c>
      <c r="C1889" s="5" t="n">
        <v>46233</v>
      </c>
      <c r="D1889" t="inlineStr">
        <is>
          <t>Stripe patient 70122</t>
        </is>
      </c>
      <c r="E1889" t="inlineStr">
        <is>
          <t>INV/2026/04274</t>
        </is>
      </c>
      <c r="F1889" t="inlineStr">
        <is>
          <t>Customer payment INV/2026/04274</t>
        </is>
      </c>
      <c r="G1889" s="9" t="n">
        <v>65</v>
      </c>
      <c r="H1889" t="inlineStr">
        <is>
          <t>customer_payment</t>
        </is>
      </c>
      <c r="I1889" t="inlineStr"/>
      <c r="J1889" t="inlineStr">
        <is>
          <t>G00037</t>
        </is>
      </c>
      <c r="K1889" t="str">
        <f>INDEX('Match Groups'!$D$5:$D$1326,MATCH(J1889,'Match Groups'!$A$5:$A$1326,0))</f>
        <v>STRIPE-FEE</v>
      </c>
    </row>
    <row r="1890">
      <c r="A1890" t="inlineStr">
        <is>
          <t>JI-02429</t>
        </is>
      </c>
      <c r="B1890" t="inlineStr">
        <is>
          <t>OPS</t>
        </is>
      </c>
      <c r="C1890" s="5" t="n">
        <v>46233</v>
      </c>
      <c r="D1890" t="inlineStr">
        <is>
          <t>Stripe patient 59825</t>
        </is>
      </c>
      <c r="E1890" t="inlineStr">
        <is>
          <t>INV/2026/04275</t>
        </is>
      </c>
      <c r="F1890" t="inlineStr">
        <is>
          <t>Customer payment INV/2026/04275</t>
        </is>
      </c>
      <c r="G1890" s="9" t="n">
        <v>85</v>
      </c>
      <c r="H1890" t="inlineStr">
        <is>
          <t>customer_payment</t>
        </is>
      </c>
      <c r="I1890" t="inlineStr"/>
      <c r="J1890" t="inlineStr">
        <is>
          <t>G00037</t>
        </is>
      </c>
      <c r="K1890" t="str">
        <f>INDEX('Match Groups'!$D$5:$D$1326,MATCH(J1890,'Match Groups'!$A$5:$A$1326,0))</f>
        <v>STRIPE-FEE</v>
      </c>
    </row>
    <row r="1891">
      <c r="A1891" t="inlineStr">
        <is>
          <t>JI-02430</t>
        </is>
      </c>
      <c r="B1891" t="inlineStr">
        <is>
          <t>OPS</t>
        </is>
      </c>
      <c r="C1891" s="5" t="n">
        <v>46233</v>
      </c>
      <c r="D1891" t="inlineStr">
        <is>
          <t>Stripe patient 72402</t>
        </is>
      </c>
      <c r="E1891" t="inlineStr">
        <is>
          <t>INV/2026/04276</t>
        </is>
      </c>
      <c r="F1891" t="inlineStr">
        <is>
          <t>Customer payment INV/2026/04276</t>
        </is>
      </c>
      <c r="G1891" s="9" t="n">
        <v>180</v>
      </c>
      <c r="H1891" t="inlineStr">
        <is>
          <t>customer_payment</t>
        </is>
      </c>
      <c r="I1891" t="inlineStr"/>
      <c r="J1891" t="inlineStr">
        <is>
          <t>G00037</t>
        </is>
      </c>
      <c r="K1891" t="str">
        <f>INDEX('Match Groups'!$D$5:$D$1326,MATCH(J1891,'Match Groups'!$A$5:$A$1326,0))</f>
        <v>STRIPE-FEE</v>
      </c>
    </row>
    <row r="1892">
      <c r="A1892" t="inlineStr">
        <is>
          <t>JI-02431</t>
        </is>
      </c>
      <c r="B1892" t="inlineStr">
        <is>
          <t>OPS</t>
        </is>
      </c>
      <c r="C1892" s="5" t="n">
        <v>46233</v>
      </c>
      <c r="D1892" t="inlineStr">
        <is>
          <t>Stripe patient 26283</t>
        </is>
      </c>
      <c r="E1892" t="inlineStr">
        <is>
          <t>INV/2026/04277</t>
        </is>
      </c>
      <c r="F1892" t="inlineStr">
        <is>
          <t>Customer payment INV/2026/04277</t>
        </is>
      </c>
      <c r="G1892" s="9" t="n">
        <v>135</v>
      </c>
      <c r="H1892" t="inlineStr">
        <is>
          <t>customer_payment</t>
        </is>
      </c>
      <c r="I1892" t="inlineStr"/>
      <c r="J1892" t="inlineStr">
        <is>
          <t>G00037</t>
        </is>
      </c>
      <c r="K1892" t="str">
        <f>INDEX('Match Groups'!$D$5:$D$1326,MATCH(J1892,'Match Groups'!$A$5:$A$1326,0))</f>
        <v>STRIPE-FEE</v>
      </c>
    </row>
    <row r="1893">
      <c r="A1893" t="inlineStr">
        <is>
          <t>JI-02432</t>
        </is>
      </c>
      <c r="B1893" t="inlineStr">
        <is>
          <t>OPS</t>
        </is>
      </c>
      <c r="C1893" s="5" t="n">
        <v>46233</v>
      </c>
      <c r="D1893" t="inlineStr">
        <is>
          <t>Stripe patient 57498</t>
        </is>
      </c>
      <c r="E1893" t="inlineStr">
        <is>
          <t>INV/2026/04278</t>
        </is>
      </c>
      <c r="F1893" t="inlineStr">
        <is>
          <t>Customer payment INV/2026/04278</t>
        </is>
      </c>
      <c r="G1893" s="9" t="n">
        <v>180</v>
      </c>
      <c r="H1893" t="inlineStr">
        <is>
          <t>customer_payment</t>
        </is>
      </c>
      <c r="I1893" t="inlineStr"/>
      <c r="J1893" t="inlineStr">
        <is>
          <t>G00037</t>
        </is>
      </c>
      <c r="K1893" t="str">
        <f>INDEX('Match Groups'!$D$5:$D$1326,MATCH(J1893,'Match Groups'!$A$5:$A$1326,0))</f>
        <v>STRIPE-FEE</v>
      </c>
    </row>
    <row r="1894">
      <c r="A1894" t="inlineStr">
        <is>
          <t>JI-02433</t>
        </is>
      </c>
      <c r="B1894" t="inlineStr">
        <is>
          <t>OPS</t>
        </is>
      </c>
      <c r="C1894" s="5" t="n">
        <v>46233</v>
      </c>
      <c r="D1894" t="inlineStr">
        <is>
          <t>Stripe patient 57058</t>
        </is>
      </c>
      <c r="E1894" t="inlineStr">
        <is>
          <t>INV/2026/04279</t>
        </is>
      </c>
      <c r="F1894" t="inlineStr">
        <is>
          <t>Customer payment INV/2026/04279</t>
        </is>
      </c>
      <c r="G1894" s="9" t="n">
        <v>120</v>
      </c>
      <c r="H1894" t="inlineStr">
        <is>
          <t>customer_payment</t>
        </is>
      </c>
      <c r="I1894" t="inlineStr"/>
      <c r="J1894" t="inlineStr">
        <is>
          <t>G00037</t>
        </is>
      </c>
      <c r="K1894" t="str">
        <f>INDEX('Match Groups'!$D$5:$D$1326,MATCH(J1894,'Match Groups'!$A$5:$A$1326,0))</f>
        <v>STRIPE-FEE</v>
      </c>
    </row>
    <row r="1895">
      <c r="A1895" t="inlineStr">
        <is>
          <t>JI-02434</t>
        </is>
      </c>
      <c r="B1895" t="inlineStr">
        <is>
          <t>OPS</t>
        </is>
      </c>
      <c r="C1895" s="5" t="n">
        <v>46233</v>
      </c>
      <c r="D1895" t="inlineStr">
        <is>
          <t>Stripe patient 98480</t>
        </is>
      </c>
      <c r="E1895" t="inlineStr">
        <is>
          <t>INV/2026/04280</t>
        </is>
      </c>
      <c r="F1895" t="inlineStr">
        <is>
          <t>Customer payment INV/2026/04280</t>
        </is>
      </c>
      <c r="G1895" s="9" t="n">
        <v>150</v>
      </c>
      <c r="H1895" t="inlineStr">
        <is>
          <t>customer_payment</t>
        </is>
      </c>
      <c r="I1895" t="inlineStr"/>
      <c r="J1895" t="inlineStr">
        <is>
          <t>G00037</t>
        </is>
      </c>
      <c r="K1895" t="str">
        <f>INDEX('Match Groups'!$D$5:$D$1326,MATCH(J1895,'Match Groups'!$A$5:$A$1326,0))</f>
        <v>STRIPE-FEE</v>
      </c>
    </row>
    <row r="1896">
      <c r="A1896" t="inlineStr">
        <is>
          <t>JI-02435</t>
        </is>
      </c>
      <c r="B1896" t="inlineStr">
        <is>
          <t>OPS</t>
        </is>
      </c>
      <c r="C1896" s="5" t="n">
        <v>46233</v>
      </c>
      <c r="D1896" t="inlineStr">
        <is>
          <t>Stripe patient 98416</t>
        </is>
      </c>
      <c r="E1896" t="inlineStr">
        <is>
          <t>INV/2026/04281</t>
        </is>
      </c>
      <c r="F1896" t="inlineStr">
        <is>
          <t>Customer payment INV/2026/04281</t>
        </is>
      </c>
      <c r="G1896" s="9" t="n">
        <v>110</v>
      </c>
      <c r="H1896" t="inlineStr">
        <is>
          <t>customer_payment</t>
        </is>
      </c>
      <c r="I1896" t="inlineStr"/>
      <c r="J1896" t="inlineStr">
        <is>
          <t>G00037</t>
        </is>
      </c>
      <c r="K1896" t="str">
        <f>INDEX('Match Groups'!$D$5:$D$1326,MATCH(J1896,'Match Groups'!$A$5:$A$1326,0))</f>
        <v>STRIPE-FEE</v>
      </c>
    </row>
    <row r="1897">
      <c r="A1897" t="inlineStr">
        <is>
          <t>JI-02436</t>
        </is>
      </c>
      <c r="B1897" t="inlineStr">
        <is>
          <t>OPS</t>
        </is>
      </c>
      <c r="C1897" s="5" t="n">
        <v>46233</v>
      </c>
      <c r="D1897" t="inlineStr">
        <is>
          <t>Stripe patient 42578</t>
        </is>
      </c>
      <c r="E1897" t="inlineStr">
        <is>
          <t>INV/2026/04282</t>
        </is>
      </c>
      <c r="F1897" t="inlineStr">
        <is>
          <t>Customer payment INV/2026/04282</t>
        </is>
      </c>
      <c r="G1897" s="9" t="n">
        <v>65</v>
      </c>
      <c r="H1897" t="inlineStr">
        <is>
          <t>customer_payment</t>
        </is>
      </c>
      <c r="I1897" t="inlineStr"/>
      <c r="J1897" t="inlineStr">
        <is>
          <t>G00037</t>
        </is>
      </c>
      <c r="K1897" t="str">
        <f>INDEX('Match Groups'!$D$5:$D$1326,MATCH(J1897,'Match Groups'!$A$5:$A$1326,0))</f>
        <v>STRIPE-FEE</v>
      </c>
    </row>
    <row r="1898">
      <c r="A1898" t="inlineStr">
        <is>
          <t>JI-02437</t>
        </is>
      </c>
      <c r="B1898" t="inlineStr">
        <is>
          <t>OPS</t>
        </is>
      </c>
      <c r="C1898" s="5" t="n">
        <v>46233</v>
      </c>
      <c r="D1898" t="inlineStr">
        <is>
          <t>Stripe patient 81980</t>
        </is>
      </c>
      <c r="E1898" t="inlineStr">
        <is>
          <t>INV/2026/04283</t>
        </is>
      </c>
      <c r="F1898" t="inlineStr">
        <is>
          <t>Customer payment INV/2026/04283</t>
        </is>
      </c>
      <c r="G1898" s="9" t="n">
        <v>95</v>
      </c>
      <c r="H1898" t="inlineStr">
        <is>
          <t>customer_payment</t>
        </is>
      </c>
      <c r="I1898" t="inlineStr"/>
      <c r="J1898" t="inlineStr">
        <is>
          <t>G00037</t>
        </is>
      </c>
      <c r="K1898" t="str">
        <f>INDEX('Match Groups'!$D$5:$D$1326,MATCH(J1898,'Match Groups'!$A$5:$A$1326,0))</f>
        <v>STRIPE-FEE</v>
      </c>
    </row>
    <row r="1899">
      <c r="A1899" t="inlineStr">
        <is>
          <t>JI-02438</t>
        </is>
      </c>
      <c r="B1899" t="inlineStr">
        <is>
          <t>OPS</t>
        </is>
      </c>
      <c r="C1899" s="5" t="n">
        <v>46233</v>
      </c>
      <c r="D1899" t="inlineStr">
        <is>
          <t>Stripe patient 60669</t>
        </is>
      </c>
      <c r="E1899" t="inlineStr">
        <is>
          <t>INV/2026/04284</t>
        </is>
      </c>
      <c r="F1899" t="inlineStr">
        <is>
          <t>Customer payment INV/2026/04284</t>
        </is>
      </c>
      <c r="G1899" s="9" t="n">
        <v>65</v>
      </c>
      <c r="H1899" t="inlineStr">
        <is>
          <t>customer_payment</t>
        </is>
      </c>
      <c r="I1899" t="inlineStr"/>
      <c r="J1899" t="inlineStr">
        <is>
          <t>G00037</t>
        </is>
      </c>
      <c r="K1899" t="str">
        <f>INDEX('Match Groups'!$D$5:$D$1326,MATCH(J1899,'Match Groups'!$A$5:$A$1326,0))</f>
        <v>STRIPE-FEE</v>
      </c>
    </row>
    <row r="1900">
      <c r="A1900" t="inlineStr">
        <is>
          <t>JI-02439</t>
        </is>
      </c>
      <c r="B1900" t="inlineStr">
        <is>
          <t>OPS</t>
        </is>
      </c>
      <c r="C1900" s="5" t="n">
        <v>46233</v>
      </c>
      <c r="D1900" t="inlineStr">
        <is>
          <t>Stripe patient 61267</t>
        </is>
      </c>
      <c r="E1900" t="inlineStr">
        <is>
          <t>INV/2026/04285</t>
        </is>
      </c>
      <c r="F1900" t="inlineStr">
        <is>
          <t>Customer payment INV/2026/04285</t>
        </is>
      </c>
      <c r="G1900" s="9" t="n">
        <v>220</v>
      </c>
      <c r="H1900" t="inlineStr">
        <is>
          <t>customer_payment</t>
        </is>
      </c>
      <c r="I1900" t="inlineStr"/>
      <c r="J1900" t="inlineStr">
        <is>
          <t>G00037</t>
        </is>
      </c>
      <c r="K1900" t="str">
        <f>INDEX('Match Groups'!$D$5:$D$1326,MATCH(J1900,'Match Groups'!$A$5:$A$1326,0))</f>
        <v>STRIPE-FEE</v>
      </c>
    </row>
    <row r="1901">
      <c r="A1901" t="inlineStr">
        <is>
          <t>JI-02440</t>
        </is>
      </c>
      <c r="B1901" t="inlineStr">
        <is>
          <t>OPS</t>
        </is>
      </c>
      <c r="C1901" s="5" t="n">
        <v>46233</v>
      </c>
      <c r="D1901" t="inlineStr">
        <is>
          <t>Stripe patient 51165</t>
        </is>
      </c>
      <c r="E1901" t="inlineStr">
        <is>
          <t>INV/2026/04286</t>
        </is>
      </c>
      <c r="F1901" t="inlineStr">
        <is>
          <t>Customer payment INV/2026/04286</t>
        </is>
      </c>
      <c r="G1901" s="9" t="n">
        <v>220</v>
      </c>
      <c r="H1901" t="inlineStr">
        <is>
          <t>customer_payment</t>
        </is>
      </c>
      <c r="I1901" t="inlineStr"/>
      <c r="J1901" t="inlineStr">
        <is>
          <t>G00037</t>
        </is>
      </c>
      <c r="K1901" t="str">
        <f>INDEX('Match Groups'!$D$5:$D$1326,MATCH(J1901,'Match Groups'!$A$5:$A$1326,0))</f>
        <v>STRIPE-FEE</v>
      </c>
    </row>
    <row r="1902">
      <c r="A1902" t="inlineStr">
        <is>
          <t>JI-02441</t>
        </is>
      </c>
      <c r="B1902" t="inlineStr">
        <is>
          <t>OPS</t>
        </is>
      </c>
      <c r="C1902" s="5" t="n">
        <v>46233</v>
      </c>
      <c r="D1902" t="inlineStr">
        <is>
          <t>Stripe patient 86336</t>
        </is>
      </c>
      <c r="E1902" t="inlineStr">
        <is>
          <t>INV/2026/04287</t>
        </is>
      </c>
      <c r="F1902" t="inlineStr">
        <is>
          <t>Customer payment INV/2026/04287</t>
        </is>
      </c>
      <c r="G1902" s="9" t="n">
        <v>135</v>
      </c>
      <c r="H1902" t="inlineStr">
        <is>
          <t>customer_payment</t>
        </is>
      </c>
      <c r="I1902" t="inlineStr"/>
      <c r="J1902" t="inlineStr">
        <is>
          <t>G00037</t>
        </is>
      </c>
      <c r="K1902" t="str">
        <f>INDEX('Match Groups'!$D$5:$D$1326,MATCH(J1902,'Match Groups'!$A$5:$A$1326,0))</f>
        <v>STRIPE-FEE</v>
      </c>
    </row>
    <row r="1903">
      <c r="A1903" t="inlineStr">
        <is>
          <t>JI-02442</t>
        </is>
      </c>
      <c r="B1903" t="inlineStr">
        <is>
          <t>OPS</t>
        </is>
      </c>
      <c r="C1903" s="5" t="n">
        <v>46233</v>
      </c>
      <c r="D1903" t="inlineStr">
        <is>
          <t>Stripe patient 26126</t>
        </is>
      </c>
      <c r="E1903" t="inlineStr">
        <is>
          <t>INV/2026/04288</t>
        </is>
      </c>
      <c r="F1903" t="inlineStr">
        <is>
          <t>Customer payment INV/2026/04288</t>
        </is>
      </c>
      <c r="G1903" s="9" t="n">
        <v>95</v>
      </c>
      <c r="H1903" t="inlineStr">
        <is>
          <t>customer_payment</t>
        </is>
      </c>
      <c r="I1903" t="inlineStr"/>
      <c r="J1903" t="inlineStr">
        <is>
          <t>G00037</t>
        </is>
      </c>
      <c r="K1903" t="str">
        <f>INDEX('Match Groups'!$D$5:$D$1326,MATCH(J1903,'Match Groups'!$A$5:$A$1326,0))</f>
        <v>STRIPE-FEE</v>
      </c>
    </row>
    <row r="1904">
      <c r="A1904" t="inlineStr">
        <is>
          <t>JI-02443</t>
        </is>
      </c>
      <c r="B1904" t="inlineStr">
        <is>
          <t>OPS</t>
        </is>
      </c>
      <c r="C1904" s="5" t="n">
        <v>46233</v>
      </c>
      <c r="D1904" t="inlineStr">
        <is>
          <t>Stripe patient 28744</t>
        </is>
      </c>
      <c r="E1904" t="inlineStr">
        <is>
          <t>INV/2026/04289</t>
        </is>
      </c>
      <c r="F1904" t="inlineStr">
        <is>
          <t>Customer payment INV/2026/04289</t>
        </is>
      </c>
      <c r="G1904" s="9" t="n">
        <v>150</v>
      </c>
      <c r="H1904" t="inlineStr">
        <is>
          <t>customer_payment</t>
        </is>
      </c>
      <c r="I1904" t="inlineStr"/>
      <c r="J1904" t="inlineStr">
        <is>
          <t>G00037</t>
        </is>
      </c>
      <c r="K1904" t="str">
        <f>INDEX('Match Groups'!$D$5:$D$1326,MATCH(J1904,'Match Groups'!$A$5:$A$1326,0))</f>
        <v>STRIPE-FEE</v>
      </c>
    </row>
    <row r="1905">
      <c r="A1905" t="inlineStr">
        <is>
          <t>JI-02444</t>
        </is>
      </c>
      <c r="B1905" t="inlineStr">
        <is>
          <t>OPS</t>
        </is>
      </c>
      <c r="C1905" s="5" t="n">
        <v>46233</v>
      </c>
      <c r="D1905" t="inlineStr">
        <is>
          <t>Stripe patient 35345</t>
        </is>
      </c>
      <c r="E1905" t="inlineStr">
        <is>
          <t>INV/2026/04290</t>
        </is>
      </c>
      <c r="F1905" t="inlineStr">
        <is>
          <t>Customer payment INV/2026/04290</t>
        </is>
      </c>
      <c r="G1905" s="9" t="n">
        <v>110</v>
      </c>
      <c r="H1905" t="inlineStr">
        <is>
          <t>customer_payment</t>
        </is>
      </c>
      <c r="I1905" t="inlineStr"/>
      <c r="J1905" t="inlineStr">
        <is>
          <t>G00037</t>
        </is>
      </c>
      <c r="K1905" t="str">
        <f>INDEX('Match Groups'!$D$5:$D$1326,MATCH(J1905,'Match Groups'!$A$5:$A$1326,0))</f>
        <v>STRIPE-FEE</v>
      </c>
    </row>
    <row r="1906">
      <c r="A1906" t="inlineStr">
        <is>
          <t>JI-02445</t>
        </is>
      </c>
      <c r="B1906" t="inlineStr">
        <is>
          <t>OPS</t>
        </is>
      </c>
      <c r="C1906" s="5" t="n">
        <v>46233</v>
      </c>
      <c r="D1906" t="inlineStr">
        <is>
          <t>Stripe patient 85321</t>
        </is>
      </c>
      <c r="E1906" t="inlineStr">
        <is>
          <t>INV/2026/04291</t>
        </is>
      </c>
      <c r="F1906" t="inlineStr">
        <is>
          <t>Customer payment INV/2026/04291</t>
        </is>
      </c>
      <c r="G1906" s="9" t="n">
        <v>120</v>
      </c>
      <c r="H1906" t="inlineStr">
        <is>
          <t>customer_payment</t>
        </is>
      </c>
      <c r="I1906" t="inlineStr"/>
      <c r="J1906" t="inlineStr">
        <is>
          <t>G00037</t>
        </is>
      </c>
      <c r="K1906" t="str">
        <f>INDEX('Match Groups'!$D$5:$D$1326,MATCH(J1906,'Match Groups'!$A$5:$A$1326,0))</f>
        <v>STRIPE-FEE</v>
      </c>
    </row>
    <row r="1907">
      <c r="A1907" t="inlineStr">
        <is>
          <t>JI-02446</t>
        </is>
      </c>
      <c r="B1907" t="inlineStr">
        <is>
          <t>OPS</t>
        </is>
      </c>
      <c r="C1907" s="5" t="n">
        <v>46233</v>
      </c>
      <c r="D1907" t="inlineStr">
        <is>
          <t>Stripe patient 91247</t>
        </is>
      </c>
      <c r="E1907" t="inlineStr">
        <is>
          <t>INV/2026/04292</t>
        </is>
      </c>
      <c r="F1907" t="inlineStr">
        <is>
          <t>Customer payment INV/2026/04292</t>
        </is>
      </c>
      <c r="G1907" s="9" t="n">
        <v>150</v>
      </c>
      <c r="H1907" t="inlineStr">
        <is>
          <t>customer_payment</t>
        </is>
      </c>
      <c r="I1907" t="inlineStr"/>
      <c r="J1907" t="inlineStr">
        <is>
          <t>G00037</t>
        </is>
      </c>
      <c r="K1907" t="str">
        <f>INDEX('Match Groups'!$D$5:$D$1326,MATCH(J1907,'Match Groups'!$A$5:$A$1326,0))</f>
        <v>STRIPE-FEE</v>
      </c>
    </row>
    <row r="1908">
      <c r="A1908" t="inlineStr">
        <is>
          <t>JI-02447</t>
        </is>
      </c>
      <c r="B1908" t="inlineStr">
        <is>
          <t>OPS</t>
        </is>
      </c>
      <c r="C1908" s="5" t="n">
        <v>46233</v>
      </c>
      <c r="D1908" t="inlineStr">
        <is>
          <t>Stripe patient 30693</t>
        </is>
      </c>
      <c r="E1908" t="inlineStr">
        <is>
          <t>INV/2026/04293</t>
        </is>
      </c>
      <c r="F1908" t="inlineStr">
        <is>
          <t>Customer payment INV/2026/04293</t>
        </is>
      </c>
      <c r="G1908" s="9" t="n">
        <v>95</v>
      </c>
      <c r="H1908" t="inlineStr">
        <is>
          <t>customer_payment</t>
        </is>
      </c>
      <c r="I1908" t="inlineStr"/>
      <c r="J1908" t="inlineStr">
        <is>
          <t>G00037</t>
        </is>
      </c>
      <c r="K1908" t="str">
        <f>INDEX('Match Groups'!$D$5:$D$1326,MATCH(J1908,'Match Groups'!$A$5:$A$1326,0))</f>
        <v>STRIPE-FEE</v>
      </c>
    </row>
    <row r="1909">
      <c r="A1909" t="inlineStr">
        <is>
          <t>JI-00709</t>
        </is>
      </c>
      <c r="B1909" t="inlineStr">
        <is>
          <t>OPS</t>
        </is>
      </c>
      <c r="C1909" s="5" t="n">
        <v>46234</v>
      </c>
      <c r="D1909" t="inlineStr">
        <is>
          <t>Riverbend Plan Partners</t>
        </is>
      </c>
      <c r="E1909" t="inlineStr">
        <is>
          <t>INV/2026/02346</t>
        </is>
      </c>
      <c r="F1909" t="inlineStr">
        <is>
          <t>Customer payment INV/2026/02346</t>
        </is>
      </c>
      <c r="G1909" s="9" t="n">
        <v>175.49</v>
      </c>
      <c r="H1909" t="inlineStr">
        <is>
          <t>customer_payment</t>
        </is>
      </c>
      <c r="I1909" t="inlineStr"/>
      <c r="J1909" t="inlineStr">
        <is>
          <t>G00233</t>
        </is>
      </c>
      <c r="K1909" t="str">
        <f>INDEX('Match Groups'!$D$5:$D$1326,MATCH(J1909,'Match Groups'!$A$5:$A$1326,0))</f>
        <v>MATCH</v>
      </c>
    </row>
    <row r="1910">
      <c r="A1910" t="inlineStr">
        <is>
          <t>JI-00710</t>
        </is>
      </c>
      <c r="B1910" t="inlineStr">
        <is>
          <t>OPS</t>
        </is>
      </c>
      <c r="C1910" s="5" t="n">
        <v>46234</v>
      </c>
      <c r="D1910" t="inlineStr">
        <is>
          <t>Riverbend Plan Partners</t>
        </is>
      </c>
      <c r="E1910" t="inlineStr">
        <is>
          <t>INV/2026/02347</t>
        </is>
      </c>
      <c r="F1910" t="inlineStr">
        <is>
          <t>Customer payment INV/2026/02347</t>
        </is>
      </c>
      <c r="G1910" s="9" t="n">
        <v>290.98</v>
      </c>
      <c r="H1910" t="inlineStr">
        <is>
          <t>customer_payment</t>
        </is>
      </c>
      <c r="I1910" t="inlineStr"/>
      <c r="J1910" t="inlineStr">
        <is>
          <t>G00233</t>
        </is>
      </c>
      <c r="K1910" t="str">
        <f>INDEX('Match Groups'!$D$5:$D$1326,MATCH(J1910,'Match Groups'!$A$5:$A$1326,0))</f>
        <v>MATCH</v>
      </c>
    </row>
    <row r="1911">
      <c r="A1911" t="inlineStr">
        <is>
          <t>JI-00711</t>
        </is>
      </c>
      <c r="B1911" t="inlineStr">
        <is>
          <t>OPS</t>
        </is>
      </c>
      <c r="C1911" s="5" t="n">
        <v>46234</v>
      </c>
      <c r="D1911" t="inlineStr">
        <is>
          <t>Wattle Plan Services</t>
        </is>
      </c>
      <c r="E1911" t="inlineStr">
        <is>
          <t>INV/2026/02302</t>
        </is>
      </c>
      <c r="F1911" t="inlineStr">
        <is>
          <t>Customer payment INV/2026/02302</t>
        </is>
      </c>
      <c r="G1911" s="9" t="n">
        <v>446.18</v>
      </c>
      <c r="H1911" t="inlineStr">
        <is>
          <t>customer_payment</t>
        </is>
      </c>
      <c r="I1911" t="inlineStr"/>
      <c r="J1911" t="inlineStr">
        <is>
          <t>G00234</t>
        </is>
      </c>
      <c r="K1911" t="str">
        <f>INDEX('Match Groups'!$D$5:$D$1326,MATCH(J1911,'Match Groups'!$A$5:$A$1326,0))</f>
        <v>MATCH</v>
      </c>
    </row>
    <row r="1912">
      <c r="A1912" t="inlineStr">
        <is>
          <t>JI-00712</t>
        </is>
      </c>
      <c r="B1912" t="inlineStr">
        <is>
          <t>OPS</t>
        </is>
      </c>
      <c r="C1912" s="5" t="n">
        <v>46234</v>
      </c>
      <c r="D1912" t="inlineStr">
        <is>
          <t>Banksia Plan Co</t>
        </is>
      </c>
      <c r="E1912" t="inlineStr">
        <is>
          <t>INV/2026/02288</t>
        </is>
      </c>
      <c r="F1912" t="inlineStr">
        <is>
          <t>Customer payment INV/2026/02288</t>
        </is>
      </c>
      <c r="G1912" s="9" t="n">
        <v>223.99</v>
      </c>
      <c r="H1912" t="inlineStr">
        <is>
          <t>customer_payment</t>
        </is>
      </c>
      <c r="I1912" t="inlineStr"/>
      <c r="J1912" t="inlineStr">
        <is>
          <t>G00235</t>
        </is>
      </c>
      <c r="K1912" t="str">
        <f>INDEX('Match Groups'!$D$5:$D$1326,MATCH(J1912,'Match Groups'!$A$5:$A$1326,0))</f>
        <v>MATCH</v>
      </c>
    </row>
    <row r="1913">
      <c r="A1913" t="inlineStr">
        <is>
          <t>JI-00713</t>
        </is>
      </c>
      <c r="B1913" t="inlineStr">
        <is>
          <t>OPS</t>
        </is>
      </c>
      <c r="C1913" s="5" t="n">
        <v>46234</v>
      </c>
      <c r="D1913" t="inlineStr">
        <is>
          <t>Ironbark Plan Management</t>
        </is>
      </c>
      <c r="E1913" t="inlineStr">
        <is>
          <t>INV/2026/02354</t>
        </is>
      </c>
      <c r="F1913" t="inlineStr">
        <is>
          <t>Customer payment INV/2026/02354</t>
        </is>
      </c>
      <c r="G1913" s="9" t="n">
        <v>223.99</v>
      </c>
      <c r="H1913" t="inlineStr">
        <is>
          <t>customer_payment</t>
        </is>
      </c>
      <c r="I1913" t="inlineStr"/>
      <c r="J1913" t="inlineStr">
        <is>
          <t>G00236</t>
        </is>
      </c>
      <c r="K1913" t="str">
        <f>INDEX('Match Groups'!$D$5:$D$1326,MATCH(J1913,'Match Groups'!$A$5:$A$1326,0))</f>
        <v>MATCH</v>
      </c>
    </row>
    <row r="1914">
      <c r="A1914" t="inlineStr">
        <is>
          <t>JI-00714</t>
        </is>
      </c>
      <c r="B1914" t="inlineStr">
        <is>
          <t>OPS</t>
        </is>
      </c>
      <c r="C1914" s="5" t="n">
        <v>46234</v>
      </c>
      <c r="D1914" t="inlineStr">
        <is>
          <t>Kookaburra Plan Support</t>
        </is>
      </c>
      <c r="E1914" t="inlineStr">
        <is>
          <t>INV/2026/02324</t>
        </is>
      </c>
      <c r="F1914" t="inlineStr">
        <is>
          <t>Customer payment INV/2026/02324</t>
        </is>
      </c>
      <c r="G1914" s="9" t="n">
        <v>242.49</v>
      </c>
      <c r="H1914" t="inlineStr">
        <is>
          <t>customer_payment</t>
        </is>
      </c>
      <c r="I1914" t="inlineStr"/>
      <c r="J1914" t="inlineStr">
        <is>
          <t>G00237</t>
        </is>
      </c>
      <c r="K1914" t="str">
        <f>INDEX('Match Groups'!$D$5:$D$1326,MATCH(J1914,'Match Groups'!$A$5:$A$1326,0))</f>
        <v>MATCH</v>
      </c>
    </row>
    <row r="1915">
      <c r="A1915" t="inlineStr">
        <is>
          <t>JI-00715</t>
        </is>
      </c>
      <c r="B1915" t="inlineStr">
        <is>
          <t>OPS</t>
        </is>
      </c>
      <c r="C1915" s="5" t="n">
        <v>46234</v>
      </c>
      <c r="D1915" t="inlineStr">
        <is>
          <t>Kookaburra Plan Support</t>
        </is>
      </c>
      <c r="E1915" t="inlineStr">
        <is>
          <t>INV/2026/02355</t>
        </is>
      </c>
      <c r="F1915" t="inlineStr">
        <is>
          <t>Customer payment INV/2026/02355</t>
        </is>
      </c>
      <c r="G1915" s="9" t="n">
        <v>203.69</v>
      </c>
      <c r="H1915" t="inlineStr">
        <is>
          <t>customer_payment</t>
        </is>
      </c>
      <c r="I1915" t="inlineStr"/>
      <c r="J1915" t="inlineStr">
        <is>
          <t>G00237</t>
        </is>
      </c>
      <c r="K1915" t="str">
        <f>INDEX('Match Groups'!$D$5:$D$1326,MATCH(J1915,'Match Groups'!$A$5:$A$1326,0))</f>
        <v>MATCH</v>
      </c>
    </row>
    <row r="1916">
      <c r="A1916" t="inlineStr">
        <is>
          <t>JI-00716</t>
        </is>
      </c>
      <c r="B1916" t="inlineStr">
        <is>
          <t>OPS</t>
        </is>
      </c>
      <c r="C1916" s="5" t="n">
        <v>46234</v>
      </c>
      <c r="D1916" t="inlineStr">
        <is>
          <t>Redgum Plan Admin</t>
        </is>
      </c>
      <c r="E1916" t="inlineStr">
        <is>
          <t>INV/2026/02239</t>
        </is>
      </c>
      <c r="F1916" t="inlineStr">
        <is>
          <t>Customer payment INV/2026/02239</t>
        </is>
      </c>
      <c r="G1916" s="9" t="n">
        <v>387.98</v>
      </c>
      <c r="H1916" t="inlineStr">
        <is>
          <t>customer_payment</t>
        </is>
      </c>
      <c r="I1916" t="inlineStr"/>
      <c r="J1916" t="inlineStr">
        <is>
          <t>G00238</t>
        </is>
      </c>
      <c r="K1916" t="str">
        <f>INDEX('Match Groups'!$D$5:$D$1326,MATCH(J1916,'Match Groups'!$A$5:$A$1326,0))</f>
        <v>MATCH</v>
      </c>
    </row>
    <row r="1917">
      <c r="A1917" t="inlineStr">
        <is>
          <t>JI-00717</t>
        </is>
      </c>
      <c r="B1917" t="inlineStr">
        <is>
          <t>OPS</t>
        </is>
      </c>
      <c r="C1917" s="5" t="n">
        <v>46234</v>
      </c>
      <c r="D1917" t="inlineStr">
        <is>
          <t>Redgum Plan Admin</t>
        </is>
      </c>
      <c r="E1917" t="inlineStr">
        <is>
          <t>INV/2026/02261</t>
        </is>
      </c>
      <c r="F1917" t="inlineStr">
        <is>
          <t>Customer payment INV/2026/02261</t>
        </is>
      </c>
      <c r="G1917" s="9" t="n">
        <v>145.49</v>
      </c>
      <c r="H1917" t="inlineStr">
        <is>
          <t>customer_payment</t>
        </is>
      </c>
      <c r="I1917" t="inlineStr"/>
      <c r="J1917" t="inlineStr">
        <is>
          <t>G00238</t>
        </is>
      </c>
      <c r="K1917" t="str">
        <f>INDEX('Match Groups'!$D$5:$D$1326,MATCH(J1917,'Match Groups'!$A$5:$A$1326,0))</f>
        <v>MATCH</v>
      </c>
    </row>
    <row r="1918">
      <c r="A1918" t="inlineStr">
        <is>
          <t>JI-00718</t>
        </is>
      </c>
      <c r="B1918" t="inlineStr">
        <is>
          <t>OPS</t>
        </is>
      </c>
      <c r="C1918" s="5" t="n">
        <v>46234</v>
      </c>
      <c r="D1918" t="inlineStr">
        <is>
          <t>Redgum Plan Admin</t>
        </is>
      </c>
      <c r="E1918" t="inlineStr">
        <is>
          <t>INV/2026/02291</t>
        </is>
      </c>
      <c r="F1918" t="inlineStr">
        <is>
          <t>Customer payment INV/2026/02291</t>
        </is>
      </c>
      <c r="G1918" s="9" t="n">
        <v>349.18</v>
      </c>
      <c r="H1918" t="inlineStr">
        <is>
          <t>customer_payment</t>
        </is>
      </c>
      <c r="I1918" t="inlineStr"/>
      <c r="J1918" t="inlineStr">
        <is>
          <t>G00238</t>
        </is>
      </c>
      <c r="K1918" t="str">
        <f>INDEX('Match Groups'!$D$5:$D$1326,MATCH(J1918,'Match Groups'!$A$5:$A$1326,0))</f>
        <v>MATCH</v>
      </c>
    </row>
    <row r="1919">
      <c r="A1919" t="inlineStr">
        <is>
          <t>JI-00719</t>
        </is>
      </c>
      <c r="B1919" t="inlineStr">
        <is>
          <t>OPS</t>
        </is>
      </c>
      <c r="C1919" s="5" t="n">
        <v>46234</v>
      </c>
      <c r="D1919" t="inlineStr">
        <is>
          <t>Redgum Plan Admin</t>
        </is>
      </c>
      <c r="E1919" t="inlineStr">
        <is>
          <t>INV/2026/02310</t>
        </is>
      </c>
      <c r="F1919" t="inlineStr">
        <is>
          <t>Customer payment INV/2026/02310</t>
        </is>
      </c>
      <c r="G1919" s="9" t="n">
        <v>242.49</v>
      </c>
      <c r="H1919" t="inlineStr">
        <is>
          <t>customer_payment</t>
        </is>
      </c>
      <c r="I1919" t="inlineStr"/>
      <c r="J1919" t="inlineStr">
        <is>
          <t>G00238</t>
        </is>
      </c>
      <c r="K1919" t="str">
        <f>INDEX('Match Groups'!$D$5:$D$1326,MATCH(J1919,'Match Groups'!$A$5:$A$1326,0))</f>
        <v>MATCH</v>
      </c>
    </row>
    <row r="1920">
      <c r="A1920" t="inlineStr">
        <is>
          <t>JI-00720</t>
        </is>
      </c>
      <c r="B1920" t="inlineStr">
        <is>
          <t>OPS</t>
        </is>
      </c>
      <c r="C1920" s="5" t="n">
        <v>46234</v>
      </c>
      <c r="D1920" t="inlineStr">
        <is>
          <t>Southern Cross Plan Mgmt</t>
        </is>
      </c>
      <c r="E1920" t="inlineStr">
        <is>
          <t>INV/2026/01699</t>
        </is>
      </c>
      <c r="F1920" t="inlineStr">
        <is>
          <t>Customer payment INV/2026/01699</t>
        </is>
      </c>
      <c r="G1920" s="9" t="n">
        <v>349.18</v>
      </c>
      <c r="H1920" t="inlineStr">
        <is>
          <t>customer_payment</t>
        </is>
      </c>
      <c r="I1920" t="inlineStr"/>
      <c r="J1920" t="inlineStr">
        <is>
          <t>G00239</t>
        </is>
      </c>
      <c r="K1920" t="str">
        <f>INDEX('Match Groups'!$D$5:$D$1326,MATCH(J1920,'Match Groups'!$A$5:$A$1326,0))</f>
        <v>MATCH</v>
      </c>
    </row>
    <row r="1921">
      <c r="A1921" t="inlineStr">
        <is>
          <t>JI-00721</t>
        </is>
      </c>
      <c r="B1921" t="inlineStr">
        <is>
          <t>OPS</t>
        </is>
      </c>
      <c r="C1921" s="5" t="n">
        <v>46234</v>
      </c>
      <c r="D1921" t="inlineStr">
        <is>
          <t>Southern Cross Plan Mgmt</t>
        </is>
      </c>
      <c r="E1921" t="inlineStr">
        <is>
          <t>INV/2026/01721</t>
        </is>
      </c>
      <c r="F1921" t="inlineStr">
        <is>
          <t>Customer payment INV/2026/01721</t>
        </is>
      </c>
      <c r="G1921" s="9" t="n">
        <v>387.98</v>
      </c>
      <c r="H1921" t="inlineStr">
        <is>
          <t>customer_payment</t>
        </is>
      </c>
      <c r="I1921" t="inlineStr"/>
      <c r="J1921" t="inlineStr">
        <is>
          <t>G00239</t>
        </is>
      </c>
      <c r="K1921" t="str">
        <f>INDEX('Match Groups'!$D$5:$D$1326,MATCH(J1921,'Match Groups'!$A$5:$A$1326,0))</f>
        <v>MATCH</v>
      </c>
    </row>
    <row r="1922">
      <c r="A1922" t="inlineStr">
        <is>
          <t>JI-00722</t>
        </is>
      </c>
      <c r="B1922" t="inlineStr">
        <is>
          <t>OPS</t>
        </is>
      </c>
      <c r="C1922" s="5" t="n">
        <v>46234</v>
      </c>
      <c r="D1922" t="inlineStr">
        <is>
          <t>Southern Cross Plan Mgmt</t>
        </is>
      </c>
      <c r="E1922" t="inlineStr">
        <is>
          <t>INV/2026/01740</t>
        </is>
      </c>
      <c r="F1922" t="inlineStr">
        <is>
          <t>Customer payment INV/2026/01740</t>
        </is>
      </c>
      <c r="G1922" s="9" t="n">
        <v>155.19</v>
      </c>
      <c r="H1922" t="inlineStr">
        <is>
          <t>customer_payment</t>
        </is>
      </c>
      <c r="I1922" t="inlineStr"/>
      <c r="J1922" t="inlineStr">
        <is>
          <t>G00239</t>
        </is>
      </c>
      <c r="K1922" t="str">
        <f>INDEX('Match Groups'!$D$5:$D$1326,MATCH(J1922,'Match Groups'!$A$5:$A$1326,0))</f>
        <v>MATCH</v>
      </c>
    </row>
    <row r="1923">
      <c r="A1923" t="inlineStr">
        <is>
          <t>JI-00725</t>
        </is>
      </c>
      <c r="B1923" t="inlineStr">
        <is>
          <t>OPS</t>
        </is>
      </c>
      <c r="C1923" s="5" t="n">
        <v>46234</v>
      </c>
      <c r="D1923" t="inlineStr">
        <is>
          <t>Mallee Plan Services</t>
        </is>
      </c>
      <c r="E1923" t="inlineStr">
        <is>
          <t>INV/2026/02342</t>
        </is>
      </c>
      <c r="F1923" t="inlineStr">
        <is>
          <t>Customer payment INV/2026/02342</t>
        </is>
      </c>
      <c r="G1923" s="9" t="n">
        <v>223.99</v>
      </c>
      <c r="H1923" t="inlineStr">
        <is>
          <t>customer_payment</t>
        </is>
      </c>
      <c r="I1923" t="inlineStr"/>
      <c r="J1923" t="inlineStr">
        <is>
          <t>G00241</t>
        </is>
      </c>
      <c r="K1923" t="str">
        <f>INDEX('Match Groups'!$D$5:$D$1326,MATCH(J1923,'Match Groups'!$A$5:$A$1326,0))</f>
        <v>MATCH</v>
      </c>
    </row>
    <row r="1924">
      <c r="A1924" t="inlineStr">
        <is>
          <t>JI-00726</t>
        </is>
      </c>
      <c r="B1924" t="inlineStr">
        <is>
          <t>OPS</t>
        </is>
      </c>
      <c r="C1924" s="5" t="n">
        <v>46234</v>
      </c>
      <c r="D1924" t="inlineStr">
        <is>
          <t>Mallee Plan Services</t>
        </is>
      </c>
      <c r="E1924" t="inlineStr">
        <is>
          <t>INV/2026/02366</t>
        </is>
      </c>
      <c r="F1924" t="inlineStr">
        <is>
          <t>Customer payment INV/2026/02366</t>
        </is>
      </c>
      <c r="G1924" s="9" t="n">
        <v>193.99</v>
      </c>
      <c r="H1924" t="inlineStr">
        <is>
          <t>customer_payment</t>
        </is>
      </c>
      <c r="I1924" t="inlineStr"/>
      <c r="J1924" t="inlineStr">
        <is>
          <t>G00241</t>
        </is>
      </c>
      <c r="K1924" t="str">
        <f>INDEX('Match Groups'!$D$5:$D$1326,MATCH(J1924,'Match Groups'!$A$5:$A$1326,0))</f>
        <v>MATCH</v>
      </c>
    </row>
    <row r="1925">
      <c r="A1925" t="inlineStr">
        <is>
          <t>JI-01633</t>
        </is>
      </c>
      <c r="B1925" t="inlineStr">
        <is>
          <t>OPS</t>
        </is>
      </c>
      <c r="C1925" s="5" t="n">
        <v>46234</v>
      </c>
      <c r="D1925" t="inlineStr">
        <is>
          <t>Northline Injury Claims</t>
        </is>
      </c>
      <c r="E1925" t="inlineStr">
        <is>
          <t>INV/2026/02155</t>
        </is>
      </c>
      <c r="F1925" t="inlineStr">
        <is>
          <t>Customer payment INV/2026/02155</t>
        </is>
      </c>
      <c r="G1925" s="9" t="n">
        <v>412.5</v>
      </c>
      <c r="H1925" t="inlineStr">
        <is>
          <t>customer_payment</t>
        </is>
      </c>
      <c r="I1925" t="inlineStr"/>
      <c r="J1925" t="inlineStr">
        <is>
          <t>G00980</t>
        </is>
      </c>
      <c r="K1925" t="str">
        <f>INDEX('Match Groups'!$D$5:$D$1326,MATCH(J1925,'Match Groups'!$A$5:$A$1326,0))</f>
        <v>MATCH</v>
      </c>
    </row>
    <row r="1926">
      <c r="A1926" t="inlineStr">
        <is>
          <t>JI-02448</t>
        </is>
      </c>
      <c r="B1926" t="inlineStr">
        <is>
          <t>OPS</t>
        </is>
      </c>
      <c r="C1926" s="5" t="n">
        <v>46234</v>
      </c>
      <c r="D1926" t="inlineStr">
        <is>
          <t>Stripe patient 66426</t>
        </is>
      </c>
      <c r="E1926" t="inlineStr">
        <is>
          <t>INV/2026/04294</t>
        </is>
      </c>
      <c r="F1926" t="inlineStr">
        <is>
          <t>Customer payment INV/2026/04294</t>
        </is>
      </c>
      <c r="G1926" s="9" t="n">
        <v>150</v>
      </c>
      <c r="H1926" t="inlineStr">
        <is>
          <t>customer_payment</t>
        </is>
      </c>
      <c r="I1926" t="inlineStr"/>
      <c r="J1926" t="inlineStr">
        <is>
          <t>G00038</t>
        </is>
      </c>
      <c r="K1926" t="str">
        <f>INDEX('Match Groups'!$D$5:$D$1326,MATCH(J1926,'Match Groups'!$A$5:$A$1326,0))</f>
        <v>STRIPE-FEE</v>
      </c>
    </row>
    <row r="1927">
      <c r="A1927" t="inlineStr">
        <is>
          <t>JI-02449</t>
        </is>
      </c>
      <c r="B1927" t="inlineStr">
        <is>
          <t>OPS</t>
        </is>
      </c>
      <c r="C1927" s="5" t="n">
        <v>46234</v>
      </c>
      <c r="D1927" t="inlineStr">
        <is>
          <t>Stripe patient 73927</t>
        </is>
      </c>
      <c r="E1927" t="inlineStr">
        <is>
          <t>INV/2026/04295</t>
        </is>
      </c>
      <c r="F1927" t="inlineStr">
        <is>
          <t>Customer payment INV/2026/04295</t>
        </is>
      </c>
      <c r="G1927" s="9" t="n">
        <v>95</v>
      </c>
      <c r="H1927" t="inlineStr">
        <is>
          <t>customer_payment</t>
        </is>
      </c>
      <c r="I1927" t="inlineStr"/>
      <c r="J1927" t="inlineStr">
        <is>
          <t>G00038</t>
        </is>
      </c>
      <c r="K1927" t="str">
        <f>INDEX('Match Groups'!$D$5:$D$1326,MATCH(J1927,'Match Groups'!$A$5:$A$1326,0))</f>
        <v>STRIPE-FEE</v>
      </c>
    </row>
    <row r="1928">
      <c r="A1928" t="inlineStr">
        <is>
          <t>JI-02450</t>
        </is>
      </c>
      <c r="B1928" t="inlineStr">
        <is>
          <t>OPS</t>
        </is>
      </c>
      <c r="C1928" s="5" t="n">
        <v>46234</v>
      </c>
      <c r="D1928" t="inlineStr">
        <is>
          <t>Stripe patient 30610</t>
        </is>
      </c>
      <c r="E1928" t="inlineStr">
        <is>
          <t>INV/2026/04296</t>
        </is>
      </c>
      <c r="F1928" t="inlineStr">
        <is>
          <t>Customer payment INV/2026/04296</t>
        </is>
      </c>
      <c r="G1928" s="9" t="n">
        <v>135</v>
      </c>
      <c r="H1928" t="inlineStr">
        <is>
          <t>customer_payment</t>
        </is>
      </c>
      <c r="I1928" t="inlineStr"/>
      <c r="J1928" t="inlineStr">
        <is>
          <t>G00038</t>
        </is>
      </c>
      <c r="K1928" t="str">
        <f>INDEX('Match Groups'!$D$5:$D$1326,MATCH(J1928,'Match Groups'!$A$5:$A$1326,0))</f>
        <v>STRIPE-FEE</v>
      </c>
    </row>
    <row r="1929">
      <c r="A1929" t="inlineStr">
        <is>
          <t>JI-02451</t>
        </is>
      </c>
      <c r="B1929" t="inlineStr">
        <is>
          <t>OPS</t>
        </is>
      </c>
      <c r="C1929" s="5" t="n">
        <v>46234</v>
      </c>
      <c r="D1929" t="inlineStr">
        <is>
          <t>Stripe patient 90399</t>
        </is>
      </c>
      <c r="E1929" t="inlineStr">
        <is>
          <t>INV/2026/04297</t>
        </is>
      </c>
      <c r="F1929" t="inlineStr">
        <is>
          <t>Customer payment INV/2026/04297</t>
        </is>
      </c>
      <c r="G1929" s="9" t="n">
        <v>135</v>
      </c>
      <c r="H1929" t="inlineStr">
        <is>
          <t>customer_payment</t>
        </is>
      </c>
      <c r="I1929" t="inlineStr"/>
      <c r="J1929" t="inlineStr">
        <is>
          <t>G00038</t>
        </is>
      </c>
      <c r="K1929" t="str">
        <f>INDEX('Match Groups'!$D$5:$D$1326,MATCH(J1929,'Match Groups'!$A$5:$A$1326,0))</f>
        <v>STRIPE-FEE</v>
      </c>
    </row>
    <row r="1930">
      <c r="A1930" t="inlineStr">
        <is>
          <t>JI-02452</t>
        </is>
      </c>
      <c r="B1930" t="inlineStr">
        <is>
          <t>OPS</t>
        </is>
      </c>
      <c r="C1930" s="5" t="n">
        <v>46234</v>
      </c>
      <c r="D1930" t="inlineStr">
        <is>
          <t>Stripe patient 44915</t>
        </is>
      </c>
      <c r="E1930" t="inlineStr">
        <is>
          <t>INV/2026/04298</t>
        </is>
      </c>
      <c r="F1930" t="inlineStr">
        <is>
          <t>Customer payment INV/2026/04298</t>
        </is>
      </c>
      <c r="G1930" s="9" t="n">
        <v>220</v>
      </c>
      <c r="H1930" t="inlineStr">
        <is>
          <t>customer_payment</t>
        </is>
      </c>
      <c r="I1930" t="inlineStr"/>
      <c r="J1930" t="inlineStr">
        <is>
          <t>G00038</t>
        </is>
      </c>
      <c r="K1930" t="str">
        <f>INDEX('Match Groups'!$D$5:$D$1326,MATCH(J1930,'Match Groups'!$A$5:$A$1326,0))</f>
        <v>STRIPE-FEE</v>
      </c>
    </row>
    <row r="1931">
      <c r="A1931" t="inlineStr">
        <is>
          <t>JI-02453</t>
        </is>
      </c>
      <c r="B1931" t="inlineStr">
        <is>
          <t>OPS</t>
        </is>
      </c>
      <c r="C1931" s="5" t="n">
        <v>46234</v>
      </c>
      <c r="D1931" t="inlineStr">
        <is>
          <t>Stripe patient 48835</t>
        </is>
      </c>
      <c r="E1931" t="inlineStr">
        <is>
          <t>INV/2026/04299</t>
        </is>
      </c>
      <c r="F1931" t="inlineStr">
        <is>
          <t>Customer payment INV/2026/04299</t>
        </is>
      </c>
      <c r="G1931" s="9" t="n">
        <v>110</v>
      </c>
      <c r="H1931" t="inlineStr">
        <is>
          <t>customer_payment</t>
        </is>
      </c>
      <c r="I1931" t="inlineStr"/>
      <c r="J1931" t="inlineStr">
        <is>
          <t>G00038</t>
        </is>
      </c>
      <c r="K1931" t="str">
        <f>INDEX('Match Groups'!$D$5:$D$1326,MATCH(J1931,'Match Groups'!$A$5:$A$1326,0))</f>
        <v>STRIPE-FEE</v>
      </c>
    </row>
    <row r="1932">
      <c r="A1932" t="inlineStr">
        <is>
          <t>JI-02454</t>
        </is>
      </c>
      <c r="B1932" t="inlineStr">
        <is>
          <t>OPS</t>
        </is>
      </c>
      <c r="C1932" s="5" t="n">
        <v>46234</v>
      </c>
      <c r="D1932" t="inlineStr">
        <is>
          <t>Stripe patient 21929</t>
        </is>
      </c>
      <c r="E1932" t="inlineStr">
        <is>
          <t>INV/2026/04300</t>
        </is>
      </c>
      <c r="F1932" t="inlineStr">
        <is>
          <t>Customer payment INV/2026/04300</t>
        </is>
      </c>
      <c r="G1932" s="9" t="n">
        <v>150</v>
      </c>
      <c r="H1932" t="inlineStr">
        <is>
          <t>customer_payment</t>
        </is>
      </c>
      <c r="I1932" t="inlineStr"/>
      <c r="J1932" t="inlineStr">
        <is>
          <t>G00038</t>
        </is>
      </c>
      <c r="K1932" t="str">
        <f>INDEX('Match Groups'!$D$5:$D$1326,MATCH(J1932,'Match Groups'!$A$5:$A$1326,0))</f>
        <v>STRIPE-FEE</v>
      </c>
    </row>
    <row r="1933">
      <c r="A1933" t="inlineStr">
        <is>
          <t>JI-02455</t>
        </is>
      </c>
      <c r="B1933" t="inlineStr">
        <is>
          <t>OPS</t>
        </is>
      </c>
      <c r="C1933" s="5" t="n">
        <v>46234</v>
      </c>
      <c r="D1933" t="inlineStr">
        <is>
          <t>Stripe patient 26788</t>
        </is>
      </c>
      <c r="E1933" t="inlineStr">
        <is>
          <t>INV/2026/04301</t>
        </is>
      </c>
      <c r="F1933" t="inlineStr">
        <is>
          <t>Customer payment INV/2026/04301</t>
        </is>
      </c>
      <c r="G1933" s="9" t="n">
        <v>110</v>
      </c>
      <c r="H1933" t="inlineStr">
        <is>
          <t>customer_payment</t>
        </is>
      </c>
      <c r="I1933" t="inlineStr"/>
      <c r="J1933" t="inlineStr">
        <is>
          <t>G00038</t>
        </is>
      </c>
      <c r="K1933" t="str">
        <f>INDEX('Match Groups'!$D$5:$D$1326,MATCH(J1933,'Match Groups'!$A$5:$A$1326,0))</f>
        <v>STRIPE-FEE</v>
      </c>
    </row>
    <row r="1934">
      <c r="A1934" t="inlineStr">
        <is>
          <t>JI-02456</t>
        </is>
      </c>
      <c r="B1934" t="inlineStr">
        <is>
          <t>OPS</t>
        </is>
      </c>
      <c r="C1934" s="5" t="n">
        <v>46234</v>
      </c>
      <c r="D1934" t="inlineStr">
        <is>
          <t>Stripe patient 68448</t>
        </is>
      </c>
      <c r="E1934" t="inlineStr">
        <is>
          <t>INV/2026/04302</t>
        </is>
      </c>
      <c r="F1934" t="inlineStr">
        <is>
          <t>Customer payment INV/2026/04302</t>
        </is>
      </c>
      <c r="G1934" s="9" t="n">
        <v>120</v>
      </c>
      <c r="H1934" t="inlineStr">
        <is>
          <t>customer_payment</t>
        </is>
      </c>
      <c r="I1934" t="inlineStr"/>
      <c r="J1934" t="inlineStr">
        <is>
          <t>G00038</t>
        </is>
      </c>
      <c r="K1934" t="str">
        <f>INDEX('Match Groups'!$D$5:$D$1326,MATCH(J1934,'Match Groups'!$A$5:$A$1326,0))</f>
        <v>STRIPE-FEE</v>
      </c>
    </row>
    <row r="1935">
      <c r="A1935" t="inlineStr">
        <is>
          <t>JI-02457</t>
        </is>
      </c>
      <c r="B1935" t="inlineStr">
        <is>
          <t>OPS</t>
        </is>
      </c>
      <c r="C1935" s="5" t="n">
        <v>46234</v>
      </c>
      <c r="D1935" t="inlineStr">
        <is>
          <t>Stripe patient 97311</t>
        </is>
      </c>
      <c r="E1935" t="inlineStr">
        <is>
          <t>INV/2026/04303</t>
        </is>
      </c>
      <c r="F1935" t="inlineStr">
        <is>
          <t>Customer payment INV/2026/04303</t>
        </is>
      </c>
      <c r="G1935" s="9" t="n">
        <v>85</v>
      </c>
      <c r="H1935" t="inlineStr">
        <is>
          <t>customer_payment</t>
        </is>
      </c>
      <c r="I1935" t="inlineStr"/>
      <c r="J1935" t="inlineStr">
        <is>
          <t>G00038</t>
        </is>
      </c>
      <c r="K1935" t="str">
        <f>INDEX('Match Groups'!$D$5:$D$1326,MATCH(J1935,'Match Groups'!$A$5:$A$1326,0))</f>
        <v>STRIPE-FEE</v>
      </c>
    </row>
    <row r="1936">
      <c r="A1936" t="inlineStr">
        <is>
          <t>JI-02458</t>
        </is>
      </c>
      <c r="B1936" t="inlineStr">
        <is>
          <t>OPS</t>
        </is>
      </c>
      <c r="C1936" s="5" t="n">
        <v>46234</v>
      </c>
      <c r="D1936" t="inlineStr">
        <is>
          <t>Stripe patient 91832</t>
        </is>
      </c>
      <c r="E1936" t="inlineStr">
        <is>
          <t>INV/2026/04304</t>
        </is>
      </c>
      <c r="F1936" t="inlineStr">
        <is>
          <t>Customer payment INV/2026/04304</t>
        </is>
      </c>
      <c r="G1936" s="9" t="n">
        <v>85</v>
      </c>
      <c r="H1936" t="inlineStr">
        <is>
          <t>customer_payment</t>
        </is>
      </c>
      <c r="I1936" t="inlineStr"/>
      <c r="J1936" t="inlineStr">
        <is>
          <t>G00038</t>
        </is>
      </c>
      <c r="K1936" t="str">
        <f>INDEX('Match Groups'!$D$5:$D$1326,MATCH(J1936,'Match Groups'!$A$5:$A$1326,0))</f>
        <v>STRIPE-FEE</v>
      </c>
    </row>
    <row r="1937">
      <c r="A1937" t="inlineStr">
        <is>
          <t>JI-02459</t>
        </is>
      </c>
      <c r="B1937" t="inlineStr">
        <is>
          <t>OPS</t>
        </is>
      </c>
      <c r="C1937" s="5" t="n">
        <v>46234</v>
      </c>
      <c r="D1937" t="inlineStr">
        <is>
          <t>Stripe patient 90261</t>
        </is>
      </c>
      <c r="E1937" t="inlineStr">
        <is>
          <t>INV/2026/04305</t>
        </is>
      </c>
      <c r="F1937" t="inlineStr">
        <is>
          <t>Customer payment INV/2026/04305</t>
        </is>
      </c>
      <c r="G1937" s="9" t="n">
        <v>180</v>
      </c>
      <c r="H1937" t="inlineStr">
        <is>
          <t>customer_payment</t>
        </is>
      </c>
      <c r="I1937" t="inlineStr"/>
      <c r="J1937" t="inlineStr">
        <is>
          <t>G00038</t>
        </is>
      </c>
      <c r="K1937" t="str">
        <f>INDEX('Match Groups'!$D$5:$D$1326,MATCH(J1937,'Match Groups'!$A$5:$A$1326,0))</f>
        <v>STRIPE-FEE</v>
      </c>
    </row>
    <row r="1938">
      <c r="A1938" t="inlineStr">
        <is>
          <t>JI-02460</t>
        </is>
      </c>
      <c r="B1938" t="inlineStr">
        <is>
          <t>OPS</t>
        </is>
      </c>
      <c r="C1938" s="5" t="n">
        <v>46234</v>
      </c>
      <c r="D1938" t="inlineStr">
        <is>
          <t>Stripe patient 83311</t>
        </is>
      </c>
      <c r="E1938" t="inlineStr">
        <is>
          <t>INV/2026/04306</t>
        </is>
      </c>
      <c r="F1938" t="inlineStr">
        <is>
          <t>Customer payment INV/2026/04306</t>
        </is>
      </c>
      <c r="G1938" s="9" t="n">
        <v>150</v>
      </c>
      <c r="H1938" t="inlineStr">
        <is>
          <t>customer_payment</t>
        </is>
      </c>
      <c r="I1938" t="inlineStr"/>
      <c r="J1938" t="inlineStr">
        <is>
          <t>G00038</t>
        </is>
      </c>
      <c r="K1938" t="str">
        <f>INDEX('Match Groups'!$D$5:$D$1326,MATCH(J1938,'Match Groups'!$A$5:$A$1326,0))</f>
        <v>STRIPE-FEE</v>
      </c>
    </row>
    <row r="1939">
      <c r="A1939" t="inlineStr">
        <is>
          <t>JI-02461</t>
        </is>
      </c>
      <c r="B1939" t="inlineStr">
        <is>
          <t>OPS</t>
        </is>
      </c>
      <c r="C1939" s="5" t="n">
        <v>46234</v>
      </c>
      <c r="D1939" t="inlineStr">
        <is>
          <t>Stripe patient 54540</t>
        </is>
      </c>
      <c r="E1939" t="inlineStr">
        <is>
          <t>INV/2026/04307</t>
        </is>
      </c>
      <c r="F1939" t="inlineStr">
        <is>
          <t>Customer payment INV/2026/04307</t>
        </is>
      </c>
      <c r="G1939" s="9" t="n">
        <v>65</v>
      </c>
      <c r="H1939" t="inlineStr">
        <is>
          <t>customer_payment</t>
        </is>
      </c>
      <c r="I1939" t="inlineStr"/>
      <c r="J1939" t="inlineStr">
        <is>
          <t>G00038</t>
        </is>
      </c>
      <c r="K1939" t="str">
        <f>INDEX('Match Groups'!$D$5:$D$1326,MATCH(J1939,'Match Groups'!$A$5:$A$1326,0))</f>
        <v>STRIPE-FEE</v>
      </c>
    </row>
    <row r="1940">
      <c r="A1940" t="inlineStr">
        <is>
          <t>JI-02462</t>
        </is>
      </c>
      <c r="B1940" t="inlineStr">
        <is>
          <t>OPS</t>
        </is>
      </c>
      <c r="C1940" s="5" t="n">
        <v>46234</v>
      </c>
      <c r="D1940" t="inlineStr">
        <is>
          <t>Stripe patient 43211</t>
        </is>
      </c>
      <c r="E1940" t="inlineStr">
        <is>
          <t>INV/2026/04308</t>
        </is>
      </c>
      <c r="F1940" t="inlineStr">
        <is>
          <t>Customer payment INV/2026/04308</t>
        </is>
      </c>
      <c r="G1940" s="9" t="n">
        <v>180</v>
      </c>
      <c r="H1940" t="inlineStr">
        <is>
          <t>customer_payment</t>
        </is>
      </c>
      <c r="I1940" t="inlineStr"/>
      <c r="J1940" t="inlineStr">
        <is>
          <t>G00038</t>
        </is>
      </c>
      <c r="K1940" t="str">
        <f>INDEX('Match Groups'!$D$5:$D$1326,MATCH(J1940,'Match Groups'!$A$5:$A$1326,0))</f>
        <v>STRIPE-FEE</v>
      </c>
    </row>
    <row r="1941">
      <c r="A1941" t="inlineStr">
        <is>
          <t>JI-02463</t>
        </is>
      </c>
      <c r="B1941" t="inlineStr">
        <is>
          <t>OPS</t>
        </is>
      </c>
      <c r="C1941" s="5" t="n">
        <v>46234</v>
      </c>
      <c r="D1941" t="inlineStr">
        <is>
          <t>Stripe patient 99971</t>
        </is>
      </c>
      <c r="E1941" t="inlineStr">
        <is>
          <t>INV/2026/04309</t>
        </is>
      </c>
      <c r="F1941" t="inlineStr">
        <is>
          <t>Customer payment INV/2026/04309</t>
        </is>
      </c>
      <c r="G1941" s="9" t="n">
        <v>120</v>
      </c>
      <c r="H1941" t="inlineStr">
        <is>
          <t>customer_payment</t>
        </is>
      </c>
      <c r="I1941" t="inlineStr"/>
      <c r="J1941" t="inlineStr">
        <is>
          <t>G00038</t>
        </is>
      </c>
      <c r="K1941" t="str">
        <f>INDEX('Match Groups'!$D$5:$D$1326,MATCH(J1941,'Match Groups'!$A$5:$A$1326,0))</f>
        <v>STRIPE-FEE</v>
      </c>
    </row>
    <row r="1942">
      <c r="A1942" t="inlineStr">
        <is>
          <t>JI-02464</t>
        </is>
      </c>
      <c r="B1942" t="inlineStr">
        <is>
          <t>OPS</t>
        </is>
      </c>
      <c r="C1942" s="5" t="n">
        <v>46234</v>
      </c>
      <c r="D1942" t="inlineStr">
        <is>
          <t>Stripe patient 16959</t>
        </is>
      </c>
      <c r="E1942" t="inlineStr">
        <is>
          <t>INV/2026/04310</t>
        </is>
      </c>
      <c r="F1942" t="inlineStr">
        <is>
          <t>Customer payment INV/2026/04310</t>
        </is>
      </c>
      <c r="G1942" s="9" t="n">
        <v>65</v>
      </c>
      <c r="H1942" t="inlineStr">
        <is>
          <t>customer_payment</t>
        </is>
      </c>
      <c r="I1942" t="inlineStr"/>
      <c r="J1942" t="inlineStr">
        <is>
          <t>G00038</t>
        </is>
      </c>
      <c r="K1942" t="str">
        <f>INDEX('Match Groups'!$D$5:$D$1326,MATCH(J1942,'Match Groups'!$A$5:$A$1326,0))</f>
        <v>STRIPE-FEE</v>
      </c>
    </row>
    <row r="1943">
      <c r="A1943" t="inlineStr">
        <is>
          <t>JI-02465</t>
        </is>
      </c>
      <c r="B1943" t="inlineStr">
        <is>
          <t>OPS</t>
        </is>
      </c>
      <c r="C1943" s="5" t="n">
        <v>46234</v>
      </c>
      <c r="D1943" t="inlineStr">
        <is>
          <t>Stripe patient 20205</t>
        </is>
      </c>
      <c r="E1943" t="inlineStr">
        <is>
          <t>INV/2026/04311</t>
        </is>
      </c>
      <c r="F1943" t="inlineStr">
        <is>
          <t>Customer payment INV/2026/04311</t>
        </is>
      </c>
      <c r="G1943" s="9" t="n">
        <v>150</v>
      </c>
      <c r="H1943" t="inlineStr">
        <is>
          <t>customer_payment</t>
        </is>
      </c>
      <c r="I1943" t="inlineStr"/>
      <c r="J1943" t="inlineStr">
        <is>
          <t>G00038</t>
        </is>
      </c>
      <c r="K1943" t="str">
        <f>INDEX('Match Groups'!$D$5:$D$1326,MATCH(J1943,'Match Groups'!$A$5:$A$1326,0))</f>
        <v>STRIPE-FEE</v>
      </c>
    </row>
    <row r="1944">
      <c r="A1944" t="inlineStr">
        <is>
          <t>JI-02466</t>
        </is>
      </c>
      <c r="B1944" t="inlineStr">
        <is>
          <t>OPS</t>
        </is>
      </c>
      <c r="C1944" s="5" t="n">
        <v>46235</v>
      </c>
      <c r="D1944" t="inlineStr">
        <is>
          <t>Stripe patient 58305</t>
        </is>
      </c>
      <c r="E1944" t="inlineStr">
        <is>
          <t>INV/2026/04312</t>
        </is>
      </c>
      <c r="F1944" t="inlineStr">
        <is>
          <t>Customer payment INV/2026/04312</t>
        </is>
      </c>
      <c r="G1944" s="9" t="n">
        <v>85</v>
      </c>
      <c r="H1944" t="inlineStr">
        <is>
          <t>customer_payment</t>
        </is>
      </c>
      <c r="I1944" t="inlineStr"/>
      <c r="J1944" t="inlineStr">
        <is>
          <t>G00038</t>
        </is>
      </c>
      <c r="K1944" t="str">
        <f>INDEX('Match Groups'!$D$5:$D$1326,MATCH(J1944,'Match Groups'!$A$5:$A$1326,0))</f>
        <v>STRIPE-FEE</v>
      </c>
    </row>
    <row r="1945">
      <c r="A1945" t="inlineStr">
        <is>
          <t>JI-02467</t>
        </is>
      </c>
      <c r="B1945" t="inlineStr">
        <is>
          <t>OPS</t>
        </is>
      </c>
      <c r="C1945" s="5" t="n">
        <v>46235</v>
      </c>
      <c r="D1945" t="inlineStr">
        <is>
          <t>Stripe patient 51297</t>
        </is>
      </c>
      <c r="E1945" t="inlineStr">
        <is>
          <t>INV/2026/04313</t>
        </is>
      </c>
      <c r="F1945" t="inlineStr">
        <is>
          <t>Customer payment INV/2026/04313</t>
        </is>
      </c>
      <c r="G1945" s="9" t="n">
        <v>180</v>
      </c>
      <c r="H1945" t="inlineStr">
        <is>
          <t>customer_payment</t>
        </is>
      </c>
      <c r="I1945" t="inlineStr"/>
      <c r="J1945" t="inlineStr">
        <is>
          <t>G00038</t>
        </is>
      </c>
      <c r="K1945" t="str">
        <f>INDEX('Match Groups'!$D$5:$D$1326,MATCH(J1945,'Match Groups'!$A$5:$A$1326,0))</f>
        <v>STRIPE-FEE</v>
      </c>
    </row>
    <row r="1946">
      <c r="A1946" t="inlineStr">
        <is>
          <t>JI-02468</t>
        </is>
      </c>
      <c r="B1946" t="inlineStr">
        <is>
          <t>OPS</t>
        </is>
      </c>
      <c r="C1946" s="5" t="n">
        <v>46235</v>
      </c>
      <c r="D1946" t="inlineStr">
        <is>
          <t>Stripe patient 94250</t>
        </is>
      </c>
      <c r="E1946" t="inlineStr">
        <is>
          <t>INV/2026/04314</t>
        </is>
      </c>
      <c r="F1946" t="inlineStr">
        <is>
          <t>Customer payment INV/2026/04314</t>
        </is>
      </c>
      <c r="G1946" s="9" t="n">
        <v>180</v>
      </c>
      <c r="H1946" t="inlineStr">
        <is>
          <t>customer_payment</t>
        </is>
      </c>
      <c r="I1946" t="inlineStr"/>
      <c r="J1946" t="inlineStr">
        <is>
          <t>G00038</t>
        </is>
      </c>
      <c r="K1946" t="str">
        <f>INDEX('Match Groups'!$D$5:$D$1326,MATCH(J1946,'Match Groups'!$A$5:$A$1326,0))</f>
        <v>STRIPE-FEE</v>
      </c>
    </row>
    <row r="1947">
      <c r="A1947" t="inlineStr">
        <is>
          <t>JI-02469</t>
        </is>
      </c>
      <c r="B1947" t="inlineStr">
        <is>
          <t>OPS</t>
        </is>
      </c>
      <c r="C1947" s="5" t="n">
        <v>46235</v>
      </c>
      <c r="D1947" t="inlineStr">
        <is>
          <t>Stripe patient 82370</t>
        </is>
      </c>
      <c r="E1947" t="inlineStr">
        <is>
          <t>INV/2026/04315</t>
        </is>
      </c>
      <c r="F1947" t="inlineStr">
        <is>
          <t>Customer payment INV/2026/04315</t>
        </is>
      </c>
      <c r="G1947" s="9" t="n">
        <v>65</v>
      </c>
      <c r="H1947" t="inlineStr">
        <is>
          <t>customer_payment</t>
        </is>
      </c>
      <c r="I1947" t="inlineStr"/>
      <c r="J1947" t="inlineStr">
        <is>
          <t>G00038</t>
        </is>
      </c>
      <c r="K1947" t="str">
        <f>INDEX('Match Groups'!$D$5:$D$1326,MATCH(J1947,'Match Groups'!$A$5:$A$1326,0))</f>
        <v>STRIPE-FEE</v>
      </c>
    </row>
    <row r="1948">
      <c r="A1948" t="inlineStr">
        <is>
          <t>JI-02470</t>
        </is>
      </c>
      <c r="B1948" t="inlineStr">
        <is>
          <t>OPS</t>
        </is>
      </c>
      <c r="C1948" s="5" t="n">
        <v>46235</v>
      </c>
      <c r="D1948" t="inlineStr">
        <is>
          <t>Stripe patient 64974</t>
        </is>
      </c>
      <c r="E1948" t="inlineStr">
        <is>
          <t>INV/2026/04316</t>
        </is>
      </c>
      <c r="F1948" t="inlineStr">
        <is>
          <t>Customer payment INV/2026/04316</t>
        </is>
      </c>
      <c r="G1948" s="9" t="n">
        <v>220</v>
      </c>
      <c r="H1948" t="inlineStr">
        <is>
          <t>customer_payment</t>
        </is>
      </c>
      <c r="I1948" t="inlineStr"/>
      <c r="J1948" t="inlineStr">
        <is>
          <t>G00038</t>
        </is>
      </c>
      <c r="K1948" t="str">
        <f>INDEX('Match Groups'!$D$5:$D$1326,MATCH(J1948,'Match Groups'!$A$5:$A$1326,0))</f>
        <v>STRIPE-FEE</v>
      </c>
    </row>
    <row r="1949">
      <c r="A1949" t="inlineStr">
        <is>
          <t>JI-02471</t>
        </is>
      </c>
      <c r="B1949" t="inlineStr">
        <is>
          <t>OPS</t>
        </is>
      </c>
      <c r="C1949" s="5" t="n">
        <v>46235</v>
      </c>
      <c r="D1949" t="inlineStr">
        <is>
          <t>Stripe patient 73284</t>
        </is>
      </c>
      <c r="E1949" t="inlineStr">
        <is>
          <t>INV/2026/04317</t>
        </is>
      </c>
      <c r="F1949" t="inlineStr">
        <is>
          <t>Customer payment INV/2026/04317</t>
        </is>
      </c>
      <c r="G1949" s="9" t="n">
        <v>150</v>
      </c>
      <c r="H1949" t="inlineStr">
        <is>
          <t>customer_payment</t>
        </is>
      </c>
      <c r="I1949" t="inlineStr"/>
      <c r="J1949" t="inlineStr">
        <is>
          <t>G00038</t>
        </is>
      </c>
      <c r="K1949" t="str">
        <f>INDEX('Match Groups'!$D$5:$D$1326,MATCH(J1949,'Match Groups'!$A$5:$A$1326,0))</f>
        <v>STRIPE-FEE</v>
      </c>
    </row>
    <row r="1950">
      <c r="A1950" t="inlineStr">
        <is>
          <t>JI-02472</t>
        </is>
      </c>
      <c r="B1950" t="inlineStr">
        <is>
          <t>OPS</t>
        </is>
      </c>
      <c r="C1950" s="5" t="n">
        <v>46235</v>
      </c>
      <c r="D1950" t="inlineStr">
        <is>
          <t>Stripe patient 97281</t>
        </is>
      </c>
      <c r="E1950" t="inlineStr">
        <is>
          <t>INV/2026/04318</t>
        </is>
      </c>
      <c r="F1950" t="inlineStr">
        <is>
          <t>Customer payment INV/2026/04318</t>
        </is>
      </c>
      <c r="G1950" s="9" t="n">
        <v>65</v>
      </c>
      <c r="H1950" t="inlineStr">
        <is>
          <t>customer_payment</t>
        </is>
      </c>
      <c r="I1950" t="inlineStr"/>
      <c r="J1950" t="inlineStr">
        <is>
          <t>G00038</t>
        </is>
      </c>
      <c r="K1950" t="str">
        <f>INDEX('Match Groups'!$D$5:$D$1326,MATCH(J1950,'Match Groups'!$A$5:$A$1326,0))</f>
        <v>STRIPE-FEE</v>
      </c>
    </row>
    <row r="1951">
      <c r="A1951" t="inlineStr">
        <is>
          <t>JI-02473</t>
        </is>
      </c>
      <c r="B1951" t="inlineStr">
        <is>
          <t>OPS</t>
        </is>
      </c>
      <c r="C1951" s="5" t="n">
        <v>46235</v>
      </c>
      <c r="D1951" t="inlineStr">
        <is>
          <t>Stripe patient 31544</t>
        </is>
      </c>
      <c r="E1951" t="inlineStr">
        <is>
          <t>INV/2026/04319</t>
        </is>
      </c>
      <c r="F1951" t="inlineStr">
        <is>
          <t>Customer payment INV/2026/04319</t>
        </is>
      </c>
      <c r="G1951" s="9" t="n">
        <v>65</v>
      </c>
      <c r="H1951" t="inlineStr">
        <is>
          <t>customer_payment</t>
        </is>
      </c>
      <c r="I1951" t="inlineStr"/>
      <c r="J1951" t="inlineStr">
        <is>
          <t>G00038</t>
        </is>
      </c>
      <c r="K1951" t="str">
        <f>INDEX('Match Groups'!$D$5:$D$1326,MATCH(J1951,'Match Groups'!$A$5:$A$1326,0))</f>
        <v>STRIPE-FEE</v>
      </c>
    </row>
    <row r="1952">
      <c r="A1952" t="inlineStr">
        <is>
          <t>JI-02474</t>
        </is>
      </c>
      <c r="B1952" t="inlineStr">
        <is>
          <t>OPS</t>
        </is>
      </c>
      <c r="C1952" s="5" t="n">
        <v>46235</v>
      </c>
      <c r="D1952" t="inlineStr">
        <is>
          <t>Stripe patient 27664</t>
        </is>
      </c>
      <c r="E1952" t="inlineStr">
        <is>
          <t>INV/2026/04320</t>
        </is>
      </c>
      <c r="F1952" t="inlineStr">
        <is>
          <t>Customer payment INV/2026/04320</t>
        </is>
      </c>
      <c r="G1952" s="9" t="n">
        <v>120</v>
      </c>
      <c r="H1952" t="inlineStr">
        <is>
          <t>customer_payment</t>
        </is>
      </c>
      <c r="I1952" t="inlineStr"/>
      <c r="J1952" t="inlineStr">
        <is>
          <t>G00038</t>
        </is>
      </c>
      <c r="K1952" t="str">
        <f>INDEX('Match Groups'!$D$5:$D$1326,MATCH(J1952,'Match Groups'!$A$5:$A$1326,0))</f>
        <v>STRIPE-FEE</v>
      </c>
    </row>
    <row r="1953">
      <c r="A1953" t="inlineStr">
        <is>
          <t>JI-02475</t>
        </is>
      </c>
      <c r="B1953" t="inlineStr">
        <is>
          <t>OPS</t>
        </is>
      </c>
      <c r="C1953" s="5" t="n">
        <v>46235</v>
      </c>
      <c r="D1953" t="inlineStr">
        <is>
          <t>Stripe patient 99180</t>
        </is>
      </c>
      <c r="E1953" t="inlineStr">
        <is>
          <t>INV/2026/04321</t>
        </is>
      </c>
      <c r="F1953" t="inlineStr">
        <is>
          <t>Customer payment INV/2026/04321</t>
        </is>
      </c>
      <c r="G1953" s="9" t="n">
        <v>65</v>
      </c>
      <c r="H1953" t="inlineStr">
        <is>
          <t>customer_payment</t>
        </is>
      </c>
      <c r="I1953" t="inlineStr"/>
      <c r="J1953" t="inlineStr">
        <is>
          <t>G00038</t>
        </is>
      </c>
      <c r="K1953" t="str">
        <f>INDEX('Match Groups'!$D$5:$D$1326,MATCH(J1953,'Match Groups'!$A$5:$A$1326,0))</f>
        <v>STRIPE-FEE</v>
      </c>
    </row>
    <row r="1954">
      <c r="A1954" t="inlineStr">
        <is>
          <t>JI-00741</t>
        </is>
      </c>
      <c r="B1954" t="inlineStr">
        <is>
          <t>OPS</t>
        </is>
      </c>
      <c r="C1954" s="5" t="n">
        <v>46236</v>
      </c>
      <c r="D1954" t="inlineStr">
        <is>
          <t>Kookaburra Plan Support</t>
        </is>
      </c>
      <c r="E1954" t="inlineStr">
        <is>
          <t>INV/2026/02377</t>
        </is>
      </c>
      <c r="F1954" t="inlineStr">
        <is>
          <t>Customer payment INV/2026/02377</t>
        </is>
      </c>
      <c r="G1954" s="9" t="n">
        <v>96.98999999999999</v>
      </c>
      <c r="H1954" t="inlineStr">
        <is>
          <t>customer_payment</t>
        </is>
      </c>
      <c r="I1954" t="inlineStr"/>
      <c r="J1954" t="inlineStr">
        <is>
          <t>G00246</t>
        </is>
      </c>
      <c r="K1954" t="str">
        <f>INDEX('Match Groups'!$D$5:$D$1326,MATCH(J1954,'Match Groups'!$A$5:$A$1326,0))</f>
        <v>MATCH</v>
      </c>
    </row>
    <row r="1955">
      <c r="A1955" t="inlineStr">
        <is>
          <t>JI-00742</t>
        </is>
      </c>
      <c r="B1955" t="inlineStr">
        <is>
          <t>OPS</t>
        </is>
      </c>
      <c r="C1955" s="5" t="n">
        <v>46236</v>
      </c>
      <c r="D1955" t="inlineStr">
        <is>
          <t>Kookaburra Plan Support</t>
        </is>
      </c>
      <c r="E1955" t="inlineStr">
        <is>
          <t>INV/2026/02378</t>
        </is>
      </c>
      <c r="F1955" t="inlineStr">
        <is>
          <t>Customer payment INV/2026/02378</t>
        </is>
      </c>
      <c r="G1955" s="9" t="n">
        <v>145.49</v>
      </c>
      <c r="H1955" t="inlineStr">
        <is>
          <t>customer_payment</t>
        </is>
      </c>
      <c r="I1955" t="inlineStr"/>
      <c r="J1955" t="inlineStr">
        <is>
          <t>G00246</t>
        </is>
      </c>
      <c r="K1955" t="str">
        <f>INDEX('Match Groups'!$D$5:$D$1326,MATCH(J1955,'Match Groups'!$A$5:$A$1326,0))</f>
        <v>MATCH</v>
      </c>
    </row>
    <row r="1956">
      <c r="A1956" t="inlineStr">
        <is>
          <t>JI-00743</t>
        </is>
      </c>
      <c r="B1956" t="inlineStr">
        <is>
          <t>OPS</t>
        </is>
      </c>
      <c r="C1956" s="5" t="n">
        <v>46236</v>
      </c>
      <c r="D1956" t="inlineStr">
        <is>
          <t>Kookaburra Plan Support</t>
        </is>
      </c>
      <c r="E1956" t="inlineStr">
        <is>
          <t>INV/2026/02379</t>
        </is>
      </c>
      <c r="F1956" t="inlineStr">
        <is>
          <t>Customer payment INV/2026/02379</t>
        </is>
      </c>
      <c r="G1956" s="9" t="n">
        <v>155.19</v>
      </c>
      <c r="H1956" t="inlineStr">
        <is>
          <t>customer_payment</t>
        </is>
      </c>
      <c r="I1956" t="inlineStr"/>
      <c r="J1956" t="inlineStr">
        <is>
          <t>G00246</t>
        </is>
      </c>
      <c r="K1956" t="str">
        <f>INDEX('Match Groups'!$D$5:$D$1326,MATCH(J1956,'Match Groups'!$A$5:$A$1326,0))</f>
        <v>MATCH</v>
      </c>
    </row>
    <row r="1957">
      <c r="A1957" t="inlineStr">
        <is>
          <t>JI-00744</t>
        </is>
      </c>
      <c r="B1957" t="inlineStr">
        <is>
          <t>OPS</t>
        </is>
      </c>
      <c r="C1957" s="5" t="n">
        <v>46236</v>
      </c>
      <c r="D1957" t="inlineStr">
        <is>
          <t>Kookaburra Plan Support</t>
        </is>
      </c>
      <c r="E1957" t="inlineStr">
        <is>
          <t>INV/2026/02401</t>
        </is>
      </c>
      <c r="F1957" t="inlineStr">
        <is>
          <t>Customer payment INV/2026/02401</t>
        </is>
      </c>
      <c r="G1957" s="9" t="n">
        <v>242.49</v>
      </c>
      <c r="H1957" t="inlineStr">
        <is>
          <t>customer_payment</t>
        </is>
      </c>
      <c r="I1957" t="inlineStr"/>
      <c r="J1957" t="inlineStr">
        <is>
          <t>G00246</t>
        </is>
      </c>
      <c r="K1957" t="str">
        <f>INDEX('Match Groups'!$D$5:$D$1326,MATCH(J1957,'Match Groups'!$A$5:$A$1326,0))</f>
        <v>MATCH</v>
      </c>
    </row>
    <row r="1958">
      <c r="A1958" t="inlineStr">
        <is>
          <t>JI-00745</t>
        </is>
      </c>
      <c r="B1958" t="inlineStr">
        <is>
          <t>OPS</t>
        </is>
      </c>
      <c r="C1958" s="5" t="n">
        <v>46236</v>
      </c>
      <c r="D1958" t="inlineStr">
        <is>
          <t>Kookaburra Plan Support</t>
        </is>
      </c>
      <c r="E1958" t="inlineStr">
        <is>
          <t>INV/2026/02402</t>
        </is>
      </c>
      <c r="F1958" t="inlineStr">
        <is>
          <t>Customer payment INV/2026/02402</t>
        </is>
      </c>
      <c r="G1958" s="9" t="n">
        <v>446.18</v>
      </c>
      <c r="H1958" t="inlineStr">
        <is>
          <t>customer_payment</t>
        </is>
      </c>
      <c r="I1958" t="inlineStr"/>
      <c r="J1958" t="inlineStr">
        <is>
          <t>G00246</t>
        </is>
      </c>
      <c r="K1958" t="str">
        <f>INDEX('Match Groups'!$D$5:$D$1326,MATCH(J1958,'Match Groups'!$A$5:$A$1326,0))</f>
        <v>MATCH</v>
      </c>
    </row>
    <row r="1959">
      <c r="A1959" t="inlineStr">
        <is>
          <t>JI-00746</t>
        </is>
      </c>
      <c r="B1959" t="inlineStr">
        <is>
          <t>OPS</t>
        </is>
      </c>
      <c r="C1959" s="5" t="n">
        <v>46236</v>
      </c>
      <c r="D1959" t="inlineStr">
        <is>
          <t>Kookaburra Plan Support</t>
        </is>
      </c>
      <c r="E1959" t="inlineStr">
        <is>
          <t>INV/2026/02428</t>
        </is>
      </c>
      <c r="F1959" t="inlineStr">
        <is>
          <t>Customer payment INV/2026/02428</t>
        </is>
      </c>
      <c r="G1959" s="9" t="n">
        <v>320.98</v>
      </c>
      <c r="H1959" t="inlineStr">
        <is>
          <t>customer_payment</t>
        </is>
      </c>
      <c r="I1959" t="inlineStr"/>
      <c r="J1959" t="inlineStr">
        <is>
          <t>G00246</t>
        </is>
      </c>
      <c r="K1959" t="str">
        <f>INDEX('Match Groups'!$D$5:$D$1326,MATCH(J1959,'Match Groups'!$A$5:$A$1326,0))</f>
        <v>MATCH</v>
      </c>
    </row>
    <row r="1960">
      <c r="A1960" t="inlineStr">
        <is>
          <t>JI-01690</t>
        </is>
      </c>
      <c r="B1960" t="inlineStr">
        <is>
          <t>OPS</t>
        </is>
      </c>
      <c r="C1960" s="5" t="n">
        <v>46236</v>
      </c>
      <c r="D1960" t="inlineStr">
        <is>
          <t>Hartigan Transport</t>
        </is>
      </c>
      <c r="E1960" t="inlineStr">
        <is>
          <t>INV/2026/03480</t>
        </is>
      </c>
      <c r="F1960" t="inlineStr">
        <is>
          <t>Customer payment INV/2026/03480</t>
        </is>
      </c>
      <c r="G1960" s="9" t="n">
        <v>10876.25</v>
      </c>
      <c r="H1960" t="inlineStr">
        <is>
          <t>customer_payment</t>
        </is>
      </c>
      <c r="I1960" t="inlineStr"/>
      <c r="J1960" t="inlineStr">
        <is>
          <t>G00981</t>
        </is>
      </c>
      <c r="K1960" t="str">
        <f>INDEX('Match Groups'!$D$5:$D$1326,MATCH(J1960,'Match Groups'!$A$5:$A$1326,0))</f>
        <v>MATCH</v>
      </c>
    </row>
    <row r="1961">
      <c r="A1961" t="inlineStr">
        <is>
          <t>JI-01715</t>
        </is>
      </c>
      <c r="B1961" t="inlineStr">
        <is>
          <t>OPS</t>
        </is>
      </c>
      <c r="C1961" s="5" t="n">
        <v>46236</v>
      </c>
      <c r="D1961" t="inlineStr">
        <is>
          <t>Cobblestone Retail Group</t>
        </is>
      </c>
      <c r="E1961" t="inlineStr">
        <is>
          <t>INV/2026/03491</t>
        </is>
      </c>
      <c r="F1961" t="inlineStr">
        <is>
          <t>Customer payment INV/2026/03491</t>
        </is>
      </c>
      <c r="G1961" s="9" t="n">
        <v>1471.25</v>
      </c>
      <c r="H1961" t="inlineStr">
        <is>
          <t>customer_payment</t>
        </is>
      </c>
      <c r="I1961" t="inlineStr"/>
      <c r="J1961" t="inlineStr">
        <is>
          <t>G00982</t>
        </is>
      </c>
      <c r="K1961" t="str">
        <f>INDEX('Match Groups'!$D$5:$D$1326,MATCH(J1961,'Match Groups'!$A$5:$A$1326,0))</f>
        <v>MATCH</v>
      </c>
    </row>
    <row r="1962">
      <c r="A1962" t="inlineStr">
        <is>
          <t>JI-00727</t>
        </is>
      </c>
      <c r="B1962" t="inlineStr">
        <is>
          <t>OPS</t>
        </is>
      </c>
      <c r="C1962" s="5" t="n">
        <v>46237</v>
      </c>
      <c r="D1962" t="inlineStr">
        <is>
          <t>Bluegum Plan Management</t>
        </is>
      </c>
      <c r="E1962" t="inlineStr">
        <is>
          <t>INV/2026/02131</t>
        </is>
      </c>
      <c r="F1962" t="inlineStr">
        <is>
          <t>Customer payment INV/2026/02131</t>
        </is>
      </c>
      <c r="G1962" s="9" t="n">
        <v>96.98999999999999</v>
      </c>
      <c r="H1962" t="inlineStr">
        <is>
          <t>customer_payment</t>
        </is>
      </c>
      <c r="I1962" t="inlineStr"/>
      <c r="J1962" t="inlineStr">
        <is>
          <t>G00242</t>
        </is>
      </c>
      <c r="K1962" t="str">
        <f>INDEX('Match Groups'!$D$5:$D$1326,MATCH(J1962,'Match Groups'!$A$5:$A$1326,0))</f>
        <v>MATCH</v>
      </c>
    </row>
    <row r="1963">
      <c r="A1963" t="inlineStr">
        <is>
          <t>JI-00728</t>
        </is>
      </c>
      <c r="B1963" t="inlineStr">
        <is>
          <t>OPS</t>
        </is>
      </c>
      <c r="C1963" s="5" t="n">
        <v>46237</v>
      </c>
      <c r="D1963" t="inlineStr">
        <is>
          <t>Bluegum Plan Management</t>
        </is>
      </c>
      <c r="E1963" t="inlineStr">
        <is>
          <t>INV/2026/02156</t>
        </is>
      </c>
      <c r="F1963" t="inlineStr">
        <is>
          <t>Customer payment INV/2026/02156</t>
        </is>
      </c>
      <c r="G1963" s="9" t="n">
        <v>349.18</v>
      </c>
      <c r="H1963" t="inlineStr">
        <is>
          <t>customer_payment</t>
        </is>
      </c>
      <c r="I1963" t="inlineStr"/>
      <c r="J1963" t="inlineStr">
        <is>
          <t>G00242</t>
        </is>
      </c>
      <c r="K1963" t="str">
        <f>INDEX('Match Groups'!$D$5:$D$1326,MATCH(J1963,'Match Groups'!$A$5:$A$1326,0))</f>
        <v>MATCH</v>
      </c>
    </row>
    <row r="1964">
      <c r="A1964" t="inlineStr">
        <is>
          <t>JI-00729</t>
        </is>
      </c>
      <c r="B1964" t="inlineStr">
        <is>
          <t>OPS</t>
        </is>
      </c>
      <c r="C1964" s="5" t="n">
        <v>46237</v>
      </c>
      <c r="D1964" t="inlineStr">
        <is>
          <t>Bluegum Plan Management</t>
        </is>
      </c>
      <c r="E1964" t="inlineStr">
        <is>
          <t>INV/2026/02157</t>
        </is>
      </c>
      <c r="F1964" t="inlineStr">
        <is>
          <t>Customer payment INV/2026/02157</t>
        </is>
      </c>
      <c r="G1964" s="9" t="n">
        <v>145.49</v>
      </c>
      <c r="H1964" t="inlineStr">
        <is>
          <t>customer_payment</t>
        </is>
      </c>
      <c r="I1964" t="inlineStr"/>
      <c r="J1964" t="inlineStr">
        <is>
          <t>G00242</t>
        </is>
      </c>
      <c r="K1964" t="str">
        <f>INDEX('Match Groups'!$D$5:$D$1326,MATCH(J1964,'Match Groups'!$A$5:$A$1326,0))</f>
        <v>MATCH</v>
      </c>
    </row>
    <row r="1965">
      <c r="A1965" t="inlineStr">
        <is>
          <t>JI-00730</t>
        </is>
      </c>
      <c r="B1965" t="inlineStr">
        <is>
          <t>OPS</t>
        </is>
      </c>
      <c r="C1965" s="5" t="n">
        <v>46237</v>
      </c>
      <c r="D1965" t="inlineStr">
        <is>
          <t>Bluegum Plan Management</t>
        </is>
      </c>
      <c r="E1965" t="inlineStr">
        <is>
          <t>INV/2026/02181</t>
        </is>
      </c>
      <c r="F1965" t="inlineStr">
        <is>
          <t>Customer payment INV/2026/02181</t>
        </is>
      </c>
      <c r="G1965" s="9" t="n">
        <v>242.49</v>
      </c>
      <c r="H1965" t="inlineStr">
        <is>
          <t>customer_payment</t>
        </is>
      </c>
      <c r="I1965" t="inlineStr"/>
      <c r="J1965" t="inlineStr">
        <is>
          <t>G00242</t>
        </is>
      </c>
      <c r="K1965" t="str">
        <f>INDEX('Match Groups'!$D$5:$D$1326,MATCH(J1965,'Match Groups'!$A$5:$A$1326,0))</f>
        <v>MATCH</v>
      </c>
    </row>
    <row r="1966">
      <c r="A1966" t="inlineStr">
        <is>
          <t>JI-00731</t>
        </is>
      </c>
      <c r="B1966" t="inlineStr">
        <is>
          <t>OPS</t>
        </is>
      </c>
      <c r="C1966" s="5" t="n">
        <v>46237</v>
      </c>
      <c r="D1966" t="inlineStr">
        <is>
          <t>Bluegum Plan Management</t>
        </is>
      </c>
      <c r="E1966" t="inlineStr">
        <is>
          <t>INV/2026/02182</t>
        </is>
      </c>
      <c r="F1966" t="inlineStr">
        <is>
          <t>Customer payment INV/2026/02182</t>
        </is>
      </c>
      <c r="G1966" s="9" t="n">
        <v>387.98</v>
      </c>
      <c r="H1966" t="inlineStr">
        <is>
          <t>customer_payment</t>
        </is>
      </c>
      <c r="I1966" t="inlineStr"/>
      <c r="J1966" t="inlineStr">
        <is>
          <t>G00242</t>
        </is>
      </c>
      <c r="K1966" t="str">
        <f>INDEX('Match Groups'!$D$5:$D$1326,MATCH(J1966,'Match Groups'!$A$5:$A$1326,0))</f>
        <v>MATCH</v>
      </c>
    </row>
    <row r="1967">
      <c r="A1967" t="inlineStr">
        <is>
          <t>JI-00732</t>
        </is>
      </c>
      <c r="B1967" t="inlineStr">
        <is>
          <t>OPS</t>
        </is>
      </c>
      <c r="C1967" s="5" t="n">
        <v>46237</v>
      </c>
      <c r="D1967" t="inlineStr">
        <is>
          <t>Bluegum Plan Management</t>
        </is>
      </c>
      <c r="E1967" t="inlineStr">
        <is>
          <t>INV/2026/02202</t>
        </is>
      </c>
      <c r="F1967" t="inlineStr">
        <is>
          <t>Customer payment INV/2026/02202</t>
        </is>
      </c>
      <c r="G1967" s="9" t="n">
        <v>193.99</v>
      </c>
      <c r="H1967" t="inlineStr">
        <is>
          <t>customer_payment</t>
        </is>
      </c>
      <c r="I1967" t="inlineStr"/>
      <c r="J1967" t="inlineStr">
        <is>
          <t>G00242</t>
        </is>
      </c>
      <c r="K1967" t="str">
        <f>INDEX('Match Groups'!$D$5:$D$1326,MATCH(J1967,'Match Groups'!$A$5:$A$1326,0))</f>
        <v>MATCH</v>
      </c>
    </row>
    <row r="1968">
      <c r="A1968" t="inlineStr">
        <is>
          <t>JI-00733</t>
        </is>
      </c>
      <c r="B1968" t="inlineStr">
        <is>
          <t>OPS</t>
        </is>
      </c>
      <c r="C1968" s="5" t="n">
        <v>46237</v>
      </c>
      <c r="D1968" t="inlineStr">
        <is>
          <t>Bluegum Plan Management</t>
        </is>
      </c>
      <c r="E1968" t="inlineStr">
        <is>
          <t>INV/2026/02203</t>
        </is>
      </c>
      <c r="F1968" t="inlineStr">
        <is>
          <t>Customer payment INV/2026/02203</t>
        </is>
      </c>
      <c r="G1968" s="9" t="n">
        <v>290.98</v>
      </c>
      <c r="H1968" t="inlineStr">
        <is>
          <t>customer_payment</t>
        </is>
      </c>
      <c r="I1968" t="inlineStr"/>
      <c r="J1968" t="inlineStr">
        <is>
          <t>G00242</t>
        </is>
      </c>
      <c r="K1968" t="str">
        <f>INDEX('Match Groups'!$D$5:$D$1326,MATCH(J1968,'Match Groups'!$A$5:$A$1326,0))</f>
        <v>MATCH</v>
      </c>
    </row>
    <row r="1969">
      <c r="A1969" t="inlineStr">
        <is>
          <t>JI-00734</t>
        </is>
      </c>
      <c r="B1969" t="inlineStr">
        <is>
          <t>OPS</t>
        </is>
      </c>
      <c r="C1969" s="5" t="n">
        <v>46237</v>
      </c>
      <c r="D1969" t="inlineStr">
        <is>
          <t>Bluegum Plan Management</t>
        </is>
      </c>
      <c r="E1969" t="inlineStr">
        <is>
          <t>INV/2026/02248</t>
        </is>
      </c>
      <c r="F1969" t="inlineStr">
        <is>
          <t>Customer payment INV/2026/02248</t>
        </is>
      </c>
      <c r="G1969" s="9" t="n">
        <v>223.99</v>
      </c>
      <c r="H1969" t="inlineStr">
        <is>
          <t>customer_payment</t>
        </is>
      </c>
      <c r="I1969" t="inlineStr"/>
      <c r="J1969" t="inlineStr">
        <is>
          <t>G00242</t>
        </is>
      </c>
      <c r="K1969" t="str">
        <f>INDEX('Match Groups'!$D$5:$D$1326,MATCH(J1969,'Match Groups'!$A$5:$A$1326,0))</f>
        <v>MATCH</v>
      </c>
    </row>
    <row r="1970">
      <c r="A1970" t="inlineStr">
        <is>
          <t>JI-00735</t>
        </is>
      </c>
      <c r="B1970" t="inlineStr">
        <is>
          <t>OPS</t>
        </is>
      </c>
      <c r="C1970" s="5" t="n">
        <v>46237</v>
      </c>
      <c r="D1970" t="inlineStr">
        <is>
          <t>Clearpath NDIS Plans</t>
        </is>
      </c>
      <c r="E1970" t="inlineStr">
        <is>
          <t>INV/2026/02252</t>
        </is>
      </c>
      <c r="F1970" t="inlineStr">
        <is>
          <t>Customer payment INV/2026/02252</t>
        </is>
      </c>
      <c r="G1970" s="9" t="n">
        <v>290.98</v>
      </c>
      <c r="H1970" t="inlineStr">
        <is>
          <t>customer_payment</t>
        </is>
      </c>
      <c r="I1970" t="inlineStr"/>
      <c r="J1970" t="inlineStr">
        <is>
          <t>G00243</t>
        </is>
      </c>
      <c r="K1970" t="str">
        <f>INDEX('Match Groups'!$D$5:$D$1326,MATCH(J1970,'Match Groups'!$A$5:$A$1326,0))</f>
        <v>MATCH</v>
      </c>
    </row>
    <row r="1971">
      <c r="A1971" t="inlineStr">
        <is>
          <t>JI-00736</t>
        </is>
      </c>
      <c r="B1971" t="inlineStr">
        <is>
          <t>OPS</t>
        </is>
      </c>
      <c r="C1971" s="5" t="n">
        <v>46237</v>
      </c>
      <c r="D1971" t="inlineStr">
        <is>
          <t>Clearpath NDIS Plans</t>
        </is>
      </c>
      <c r="E1971" t="inlineStr">
        <is>
          <t>INV/2026/02273</t>
        </is>
      </c>
      <c r="F1971" t="inlineStr">
        <is>
          <t>Customer payment INV/2026/02273</t>
        </is>
      </c>
      <c r="G1971" s="9" t="n">
        <v>193.99</v>
      </c>
      <c r="H1971" t="inlineStr">
        <is>
          <t>customer_payment</t>
        </is>
      </c>
      <c r="I1971" t="inlineStr"/>
      <c r="J1971" t="inlineStr">
        <is>
          <t>G00243</t>
        </is>
      </c>
      <c r="K1971" t="str">
        <f>INDEX('Match Groups'!$D$5:$D$1326,MATCH(J1971,'Match Groups'!$A$5:$A$1326,0))</f>
        <v>MATCH</v>
      </c>
    </row>
    <row r="1972">
      <c r="A1972" t="inlineStr">
        <is>
          <t>JI-00737</t>
        </is>
      </c>
      <c r="B1972" t="inlineStr">
        <is>
          <t>OPS</t>
        </is>
      </c>
      <c r="C1972" s="5" t="n">
        <v>46237</v>
      </c>
      <c r="D1972" t="inlineStr">
        <is>
          <t>Clearpath NDIS Plans</t>
        </is>
      </c>
      <c r="E1972" t="inlineStr">
        <is>
          <t>INV/2026/02287</t>
        </is>
      </c>
      <c r="F1972" t="inlineStr">
        <is>
          <t>Customer payment INV/2026/02287</t>
        </is>
      </c>
      <c r="G1972" s="9" t="n">
        <v>96.98999999999999</v>
      </c>
      <c r="H1972" t="inlineStr">
        <is>
          <t>customer_payment</t>
        </is>
      </c>
      <c r="I1972" t="inlineStr"/>
      <c r="J1972" t="inlineStr">
        <is>
          <t>G00243</t>
        </is>
      </c>
      <c r="K1972" t="str">
        <f>INDEX('Match Groups'!$D$5:$D$1326,MATCH(J1972,'Match Groups'!$A$5:$A$1326,0))</f>
        <v>MATCH</v>
      </c>
    </row>
    <row r="1973">
      <c r="A1973" t="inlineStr">
        <is>
          <t>JI-00738</t>
        </is>
      </c>
      <c r="B1973" t="inlineStr">
        <is>
          <t>OPS</t>
        </is>
      </c>
      <c r="C1973" s="5" t="n">
        <v>46237</v>
      </c>
      <c r="D1973" t="inlineStr">
        <is>
          <t>Banksia Plan Co</t>
        </is>
      </c>
      <c r="E1973" t="inlineStr">
        <is>
          <t>INV/2026/02321</t>
        </is>
      </c>
      <c r="F1973" t="inlineStr">
        <is>
          <t>Customer payment INV/2026/02321</t>
        </is>
      </c>
      <c r="G1973" s="9" t="n">
        <v>272.49</v>
      </c>
      <c r="H1973" t="inlineStr">
        <is>
          <t>customer_payment</t>
        </is>
      </c>
      <c r="I1973" t="inlineStr"/>
      <c r="J1973" t="inlineStr">
        <is>
          <t>G00245</t>
        </is>
      </c>
      <c r="K1973" t="str">
        <f>INDEX('Match Groups'!$D$5:$D$1326,MATCH(J1973,'Match Groups'!$A$5:$A$1326,0))</f>
        <v>MATCH</v>
      </c>
    </row>
    <row r="1974">
      <c r="A1974" t="inlineStr">
        <is>
          <t>JI-00739</t>
        </is>
      </c>
      <c r="B1974" t="inlineStr">
        <is>
          <t>OPS</t>
        </is>
      </c>
      <c r="C1974" s="5" t="n">
        <v>46237</v>
      </c>
      <c r="D1974" t="inlineStr">
        <is>
          <t>Banksia Plan Co</t>
        </is>
      </c>
      <c r="E1974" t="inlineStr">
        <is>
          <t>INV/2026/02374</t>
        </is>
      </c>
      <c r="F1974" t="inlineStr">
        <is>
          <t>Customer payment INV/2026/02374</t>
        </is>
      </c>
      <c r="G1974" s="9" t="n">
        <v>272.49</v>
      </c>
      <c r="H1974" t="inlineStr">
        <is>
          <t>customer_payment</t>
        </is>
      </c>
      <c r="I1974" t="inlineStr"/>
      <c r="J1974" t="inlineStr">
        <is>
          <t>G00245</t>
        </is>
      </c>
      <c r="K1974" t="str">
        <f>INDEX('Match Groups'!$D$5:$D$1326,MATCH(J1974,'Match Groups'!$A$5:$A$1326,0))</f>
        <v>MATCH</v>
      </c>
    </row>
    <row r="1975">
      <c r="A1975" t="inlineStr">
        <is>
          <t>JI-00740</t>
        </is>
      </c>
      <c r="B1975" t="inlineStr">
        <is>
          <t>OPS</t>
        </is>
      </c>
      <c r="C1975" s="5" t="n">
        <v>46237</v>
      </c>
      <c r="D1975" t="inlineStr">
        <is>
          <t>Banksia Plan Co</t>
        </is>
      </c>
      <c r="E1975" t="inlineStr">
        <is>
          <t>INV/2026/02397</t>
        </is>
      </c>
      <c r="F1975" t="inlineStr">
        <is>
          <t>Customer payment INV/2026/02397</t>
        </is>
      </c>
      <c r="G1975" s="9" t="n">
        <v>290.98</v>
      </c>
      <c r="H1975" t="inlineStr">
        <is>
          <t>customer_payment</t>
        </is>
      </c>
      <c r="I1975" t="inlineStr"/>
      <c r="J1975" t="inlineStr">
        <is>
          <t>G00245</t>
        </is>
      </c>
      <c r="K1975" t="str">
        <f>INDEX('Match Groups'!$D$5:$D$1326,MATCH(J1975,'Match Groups'!$A$5:$A$1326,0))</f>
        <v>MATCH</v>
      </c>
    </row>
    <row r="1976">
      <c r="A1976" t="inlineStr">
        <is>
          <t>JI-00747</t>
        </is>
      </c>
      <c r="B1976" t="inlineStr">
        <is>
          <t>OPS</t>
        </is>
      </c>
      <c r="C1976" s="5" t="n">
        <v>46237</v>
      </c>
      <c r="D1976" t="inlineStr">
        <is>
          <t>Southern Cross Plan Mgmt</t>
        </is>
      </c>
      <c r="E1976" t="inlineStr">
        <is>
          <t>INV/2026/01765</t>
        </is>
      </c>
      <c r="F1976" t="inlineStr">
        <is>
          <t>Customer payment INV/2026/01765</t>
        </is>
      </c>
      <c r="G1976" s="9" t="n">
        <v>155.19</v>
      </c>
      <c r="H1976" t="inlineStr">
        <is>
          <t>customer_payment</t>
        </is>
      </c>
      <c r="I1976" t="inlineStr"/>
      <c r="J1976" t="inlineStr">
        <is>
          <t>G00248</t>
        </is>
      </c>
      <c r="K1976" t="str">
        <f>INDEX('Match Groups'!$D$5:$D$1326,MATCH(J1976,'Match Groups'!$A$5:$A$1326,0))</f>
        <v>MATCH</v>
      </c>
    </row>
    <row r="1977">
      <c r="A1977" t="inlineStr">
        <is>
          <t>JI-00748</t>
        </is>
      </c>
      <c r="B1977" t="inlineStr">
        <is>
          <t>OPS</t>
        </is>
      </c>
      <c r="C1977" s="5" t="n">
        <v>46237</v>
      </c>
      <c r="D1977" t="inlineStr">
        <is>
          <t>Southern Cross Plan Mgmt</t>
        </is>
      </c>
      <c r="E1977" t="inlineStr">
        <is>
          <t>INV/2026/01766</t>
        </is>
      </c>
      <c r="F1977" t="inlineStr">
        <is>
          <t>Customer payment INV/2026/01766</t>
        </is>
      </c>
      <c r="G1977" s="9" t="n">
        <v>387.98</v>
      </c>
      <c r="H1977" t="inlineStr">
        <is>
          <t>customer_payment</t>
        </is>
      </c>
      <c r="I1977" t="inlineStr"/>
      <c r="J1977" t="inlineStr">
        <is>
          <t>G00248</t>
        </is>
      </c>
      <c r="K1977" t="str">
        <f>INDEX('Match Groups'!$D$5:$D$1326,MATCH(J1977,'Match Groups'!$A$5:$A$1326,0))</f>
        <v>MATCH</v>
      </c>
    </row>
    <row r="1978">
      <c r="A1978" t="inlineStr">
        <is>
          <t>JI-00749</t>
        </is>
      </c>
      <c r="B1978" t="inlineStr">
        <is>
          <t>OPS</t>
        </is>
      </c>
      <c r="C1978" s="5" t="n">
        <v>46237</v>
      </c>
      <c r="D1978" t="inlineStr">
        <is>
          <t>Lyrebird Plan Management</t>
        </is>
      </c>
      <c r="E1978" t="inlineStr">
        <is>
          <t>INV/2026/02334</t>
        </is>
      </c>
      <c r="F1978" t="inlineStr">
        <is>
          <t>Customer payment INV/2026/02334</t>
        </is>
      </c>
      <c r="G1978" s="9" t="n">
        <v>387.98</v>
      </c>
      <c r="H1978" t="inlineStr">
        <is>
          <t>customer_payment</t>
        </is>
      </c>
      <c r="I1978" t="inlineStr"/>
      <c r="J1978" t="inlineStr">
        <is>
          <t>G00249</t>
        </is>
      </c>
      <c r="K1978" t="str">
        <f>INDEX('Match Groups'!$D$5:$D$1326,MATCH(J1978,'Match Groups'!$A$5:$A$1326,0))</f>
        <v>MATCH</v>
      </c>
    </row>
    <row r="1979">
      <c r="A1979" t="inlineStr">
        <is>
          <t>JI-00750</t>
        </is>
      </c>
      <c r="B1979" t="inlineStr">
        <is>
          <t>OPS</t>
        </is>
      </c>
      <c r="C1979" s="5" t="n">
        <v>46237</v>
      </c>
      <c r="D1979" t="inlineStr">
        <is>
          <t>Lyrebird Plan Management</t>
        </is>
      </c>
      <c r="E1979" t="inlineStr">
        <is>
          <t>INV/2026/02361</t>
        </is>
      </c>
      <c r="F1979" t="inlineStr">
        <is>
          <t>Customer payment INV/2026/02361</t>
        </is>
      </c>
      <c r="G1979" s="9" t="n">
        <v>96.98999999999999</v>
      </c>
      <c r="H1979" t="inlineStr">
        <is>
          <t>customer_payment</t>
        </is>
      </c>
      <c r="I1979" t="inlineStr"/>
      <c r="J1979" t="inlineStr">
        <is>
          <t>G00249</t>
        </is>
      </c>
      <c r="K1979" t="str">
        <f>INDEX('Match Groups'!$D$5:$D$1326,MATCH(J1979,'Match Groups'!$A$5:$A$1326,0))</f>
        <v>MATCH</v>
      </c>
    </row>
    <row r="1980">
      <c r="A1980" t="inlineStr">
        <is>
          <t>JI-00751</t>
        </is>
      </c>
      <c r="B1980" t="inlineStr">
        <is>
          <t>OPS</t>
        </is>
      </c>
      <c r="C1980" s="5" t="n">
        <v>46237</v>
      </c>
      <c r="D1980" t="inlineStr">
        <is>
          <t>Acacia Plan Partners</t>
        </is>
      </c>
      <c r="E1980" t="inlineStr">
        <is>
          <t>INV/2026/02313</t>
        </is>
      </c>
      <c r="F1980" t="inlineStr">
        <is>
          <t>Customer payment INV/2026/02313</t>
        </is>
      </c>
      <c r="G1980" s="9" t="n">
        <v>272.49</v>
      </c>
      <c r="H1980" t="inlineStr">
        <is>
          <t>customer_payment</t>
        </is>
      </c>
      <c r="I1980" t="inlineStr"/>
      <c r="J1980" t="inlineStr">
        <is>
          <t>G00250</t>
        </is>
      </c>
      <c r="K1980" t="str">
        <f>INDEX('Match Groups'!$D$5:$D$1326,MATCH(J1980,'Match Groups'!$A$5:$A$1326,0))</f>
        <v>MATCH</v>
      </c>
    </row>
    <row r="1981">
      <c r="A1981" t="inlineStr">
        <is>
          <t>JI-00752</t>
        </is>
      </c>
      <c r="B1981" t="inlineStr">
        <is>
          <t>OPS</t>
        </is>
      </c>
      <c r="C1981" s="5" t="n">
        <v>46237</v>
      </c>
      <c r="D1981" t="inlineStr">
        <is>
          <t>Acacia Plan Partners</t>
        </is>
      </c>
      <c r="E1981" t="inlineStr">
        <is>
          <t>INV/2026/02338</t>
        </is>
      </c>
      <c r="F1981" t="inlineStr">
        <is>
          <t>Customer payment INV/2026/02338</t>
        </is>
      </c>
      <c r="G1981" s="9" t="n">
        <v>417.98</v>
      </c>
      <c r="H1981" t="inlineStr">
        <is>
          <t>customer_payment</t>
        </is>
      </c>
      <c r="I1981" t="inlineStr"/>
      <c r="J1981" t="inlineStr">
        <is>
          <t>G00250</t>
        </is>
      </c>
      <c r="K1981" t="str">
        <f>INDEX('Match Groups'!$D$5:$D$1326,MATCH(J1981,'Match Groups'!$A$5:$A$1326,0))</f>
        <v>MATCH</v>
      </c>
    </row>
    <row r="1982">
      <c r="A1982" t="inlineStr">
        <is>
          <t>JI-00753</t>
        </is>
      </c>
      <c r="B1982" t="inlineStr">
        <is>
          <t>OPS</t>
        </is>
      </c>
      <c r="C1982" s="5" t="n">
        <v>46237</v>
      </c>
      <c r="D1982" t="inlineStr">
        <is>
          <t>Acacia Plan Partners</t>
        </is>
      </c>
      <c r="E1982" t="inlineStr">
        <is>
          <t>INV/2026/02340</t>
        </is>
      </c>
      <c r="F1982" t="inlineStr">
        <is>
          <t>Customer payment INV/2026/02340</t>
        </is>
      </c>
      <c r="G1982" s="9" t="n">
        <v>290.98</v>
      </c>
      <c r="H1982" t="inlineStr">
        <is>
          <t>customer_payment</t>
        </is>
      </c>
      <c r="I1982" t="inlineStr"/>
      <c r="J1982" t="inlineStr">
        <is>
          <t>G00250</t>
        </is>
      </c>
      <c r="K1982" t="str">
        <f>INDEX('Match Groups'!$D$5:$D$1326,MATCH(J1982,'Match Groups'!$A$5:$A$1326,0))</f>
        <v>MATCH</v>
      </c>
    </row>
    <row r="1983">
      <c r="A1983" t="inlineStr">
        <is>
          <t>JI-00754</t>
        </is>
      </c>
      <c r="B1983" t="inlineStr">
        <is>
          <t>OPS</t>
        </is>
      </c>
      <c r="C1983" s="5" t="n">
        <v>46237</v>
      </c>
      <c r="D1983" t="inlineStr">
        <is>
          <t>Acacia Plan Partners</t>
        </is>
      </c>
      <c r="E1983" t="inlineStr">
        <is>
          <t>INV/2026/02364</t>
        </is>
      </c>
      <c r="F1983" t="inlineStr">
        <is>
          <t>Customer payment INV/2026/02364</t>
        </is>
      </c>
      <c r="G1983" s="9" t="n">
        <v>242.49</v>
      </c>
      <c r="H1983" t="inlineStr">
        <is>
          <t>customer_payment</t>
        </is>
      </c>
      <c r="I1983" t="inlineStr"/>
      <c r="J1983" t="inlineStr">
        <is>
          <t>G00250</t>
        </is>
      </c>
      <c r="K1983" t="str">
        <f>INDEX('Match Groups'!$D$5:$D$1326,MATCH(J1983,'Match Groups'!$A$5:$A$1326,0))</f>
        <v>MATCH</v>
      </c>
    </row>
    <row r="1984">
      <c r="A1984" t="inlineStr">
        <is>
          <t>JI-00755</t>
        </is>
      </c>
      <c r="B1984" t="inlineStr">
        <is>
          <t>OPS</t>
        </is>
      </c>
      <c r="C1984" s="5" t="n">
        <v>46237</v>
      </c>
      <c r="D1984" t="inlineStr">
        <is>
          <t>Acacia Plan Partners</t>
        </is>
      </c>
      <c r="E1984" t="inlineStr">
        <is>
          <t>INV/2026/02385</t>
        </is>
      </c>
      <c r="F1984" t="inlineStr">
        <is>
          <t>Customer payment INV/2026/02385</t>
        </is>
      </c>
      <c r="G1984" s="9" t="n">
        <v>145.49</v>
      </c>
      <c r="H1984" t="inlineStr">
        <is>
          <t>customer_payment</t>
        </is>
      </c>
      <c r="I1984" t="inlineStr"/>
      <c r="J1984" t="inlineStr">
        <is>
          <t>G00250</t>
        </is>
      </c>
      <c r="K1984" t="str">
        <f>INDEX('Match Groups'!$D$5:$D$1326,MATCH(J1984,'Match Groups'!$A$5:$A$1326,0))</f>
        <v>MATCH</v>
      </c>
    </row>
    <row r="1985">
      <c r="A1985" t="inlineStr">
        <is>
          <t>JI-00756</t>
        </is>
      </c>
      <c r="B1985" t="inlineStr">
        <is>
          <t>OPS</t>
        </is>
      </c>
      <c r="C1985" s="5" t="n">
        <v>46237</v>
      </c>
      <c r="D1985" t="inlineStr">
        <is>
          <t>Acacia Plan Partners</t>
        </is>
      </c>
      <c r="E1985" t="inlineStr">
        <is>
          <t>INV/2026/02412</t>
        </is>
      </c>
      <c r="F1985" t="inlineStr">
        <is>
          <t>Customer payment INV/2026/02412</t>
        </is>
      </c>
      <c r="G1985" s="9" t="n">
        <v>242.49</v>
      </c>
      <c r="H1985" t="inlineStr">
        <is>
          <t>customer_payment</t>
        </is>
      </c>
      <c r="I1985" t="inlineStr"/>
      <c r="J1985" t="inlineStr">
        <is>
          <t>G00250</t>
        </is>
      </c>
      <c r="K1985" t="str">
        <f>INDEX('Match Groups'!$D$5:$D$1326,MATCH(J1985,'Match Groups'!$A$5:$A$1326,0))</f>
        <v>MATCH</v>
      </c>
    </row>
    <row r="1986">
      <c r="A1986" t="inlineStr">
        <is>
          <t>JI-00757</t>
        </is>
      </c>
      <c r="B1986" t="inlineStr">
        <is>
          <t>OPS</t>
        </is>
      </c>
      <c r="C1986" s="5" t="n">
        <v>46237</v>
      </c>
      <c r="D1986" t="inlineStr">
        <is>
          <t>Mallee Plan Services</t>
        </is>
      </c>
      <c r="E1986" t="inlineStr">
        <is>
          <t>INV/2026/02367</t>
        </is>
      </c>
      <c r="F1986" t="inlineStr">
        <is>
          <t>Customer payment INV/2026/02367</t>
        </is>
      </c>
      <c r="G1986" s="9" t="n">
        <v>252.19</v>
      </c>
      <c r="H1986" t="inlineStr">
        <is>
          <t>customer_payment</t>
        </is>
      </c>
      <c r="I1986" t="inlineStr"/>
      <c r="J1986" t="inlineStr">
        <is>
          <t>G00251</t>
        </is>
      </c>
      <c r="K1986" t="str">
        <f>INDEX('Match Groups'!$D$5:$D$1326,MATCH(J1986,'Match Groups'!$A$5:$A$1326,0))</f>
        <v>MATCH</v>
      </c>
    </row>
    <row r="1987">
      <c r="A1987" t="inlineStr">
        <is>
          <t>JI-00758</t>
        </is>
      </c>
      <c r="B1987" t="inlineStr">
        <is>
          <t>OPS</t>
        </is>
      </c>
      <c r="C1987" s="5" t="n">
        <v>46237</v>
      </c>
      <c r="D1987" t="inlineStr">
        <is>
          <t>Mallee Plan Services</t>
        </is>
      </c>
      <c r="E1987" t="inlineStr">
        <is>
          <t>INV/2026/02414</t>
        </is>
      </c>
      <c r="F1987" t="inlineStr">
        <is>
          <t>Customer payment INV/2026/02414</t>
        </is>
      </c>
      <c r="G1987" s="9" t="n">
        <v>193.99</v>
      </c>
      <c r="H1987" t="inlineStr">
        <is>
          <t>customer_payment</t>
        </is>
      </c>
      <c r="I1987" t="inlineStr"/>
      <c r="J1987" t="inlineStr">
        <is>
          <t>G00251</t>
        </is>
      </c>
      <c r="K1987" t="str">
        <f>INDEX('Match Groups'!$D$5:$D$1326,MATCH(J1987,'Match Groups'!$A$5:$A$1326,0))</f>
        <v>MATCH</v>
      </c>
    </row>
    <row r="1988">
      <c r="A1988" t="inlineStr">
        <is>
          <t>JI-00759</t>
        </is>
      </c>
      <c r="B1988" t="inlineStr">
        <is>
          <t>OPS</t>
        </is>
      </c>
      <c r="C1988" s="5" t="n">
        <v>46237</v>
      </c>
      <c r="D1988" t="inlineStr">
        <is>
          <t>Mallee Plan Services</t>
        </is>
      </c>
      <c r="E1988" t="inlineStr">
        <is>
          <t>INV/2026/02437</t>
        </is>
      </c>
      <c r="F1988" t="inlineStr">
        <is>
          <t>Customer payment INV/2026/02437</t>
        </is>
      </c>
      <c r="G1988" s="9" t="n">
        <v>300.69</v>
      </c>
      <c r="H1988" t="inlineStr">
        <is>
          <t>customer_payment</t>
        </is>
      </c>
      <c r="I1988" t="inlineStr"/>
      <c r="J1988" t="inlineStr">
        <is>
          <t>G00251</t>
        </is>
      </c>
      <c r="K1988" t="str">
        <f>INDEX('Match Groups'!$D$5:$D$1326,MATCH(J1988,'Match Groups'!$A$5:$A$1326,0))</f>
        <v>MATCH</v>
      </c>
    </row>
    <row r="1989">
      <c r="A1989" t="inlineStr">
        <is>
          <t>JI-00760</t>
        </is>
      </c>
      <c r="B1989" t="inlineStr">
        <is>
          <t>OPS</t>
        </is>
      </c>
      <c r="C1989" s="5" t="n">
        <v>46237</v>
      </c>
      <c r="D1989" t="inlineStr">
        <is>
          <t>Mallee Plan Services</t>
        </is>
      </c>
      <c r="E1989" t="inlineStr">
        <is>
          <t>INV/2026/02438</t>
        </is>
      </c>
      <c r="F1989" t="inlineStr">
        <is>
          <t>Customer payment INV/2026/02438</t>
        </is>
      </c>
      <c r="G1989" s="9" t="n">
        <v>96.98999999999999</v>
      </c>
      <c r="H1989" t="inlineStr">
        <is>
          <t>customer_payment</t>
        </is>
      </c>
      <c r="I1989" t="inlineStr"/>
      <c r="J1989" t="inlineStr">
        <is>
          <t>G00251</t>
        </is>
      </c>
      <c r="K1989" t="str">
        <f>INDEX('Match Groups'!$D$5:$D$1326,MATCH(J1989,'Match Groups'!$A$5:$A$1326,0))</f>
        <v>MATCH</v>
      </c>
    </row>
    <row r="1990">
      <c r="A1990" t="inlineStr">
        <is>
          <t>JI-01618</t>
        </is>
      </c>
      <c r="B1990" t="inlineStr">
        <is>
          <t>OPS</t>
        </is>
      </c>
      <c r="C1990" s="5" t="n">
        <v>46237</v>
      </c>
      <c r="D1990" t="inlineStr">
        <is>
          <t>Meridian Health Cover</t>
        </is>
      </c>
      <c r="E1990" t="inlineStr">
        <is>
          <t>INV/2026/02201</t>
        </is>
      </c>
      <c r="F1990" t="inlineStr">
        <is>
          <t>Customer payment INV/2026/02201</t>
        </is>
      </c>
      <c r="G1990" s="9" t="n">
        <v>132</v>
      </c>
      <c r="H1990" t="inlineStr">
        <is>
          <t>customer_payment</t>
        </is>
      </c>
      <c r="I1990" t="inlineStr"/>
      <c r="J1990" t="inlineStr">
        <is>
          <t>G00983</t>
        </is>
      </c>
      <c r="K1990" t="str">
        <f>INDEX('Match Groups'!$D$5:$D$1326,MATCH(J1990,'Match Groups'!$A$5:$A$1326,0))</f>
        <v>MATCH</v>
      </c>
    </row>
    <row r="1991">
      <c r="A1991" t="inlineStr">
        <is>
          <t>JI-02476</t>
        </is>
      </c>
      <c r="B1991" t="inlineStr">
        <is>
          <t>OPS</t>
        </is>
      </c>
      <c r="C1991" s="5" t="n">
        <v>46237</v>
      </c>
      <c r="D1991" t="inlineStr">
        <is>
          <t>Stripe patient 99175</t>
        </is>
      </c>
      <c r="E1991" t="inlineStr">
        <is>
          <t>INV/2026/04322</t>
        </is>
      </c>
      <c r="F1991" t="inlineStr">
        <is>
          <t>Customer payment INV/2026/04322</t>
        </is>
      </c>
      <c r="G1991" s="9" t="n">
        <v>180</v>
      </c>
      <c r="H1991" t="inlineStr">
        <is>
          <t>customer_payment</t>
        </is>
      </c>
      <c r="I1991" t="inlineStr"/>
      <c r="J1991" t="inlineStr">
        <is>
          <t>G00039</t>
        </is>
      </c>
      <c r="K1991" t="str">
        <f>INDEX('Match Groups'!$D$5:$D$1326,MATCH(J1991,'Match Groups'!$A$5:$A$1326,0))</f>
        <v>STRIPE-FEE</v>
      </c>
    </row>
    <row r="1992">
      <c r="A1992" t="inlineStr">
        <is>
          <t>JI-02477</t>
        </is>
      </c>
      <c r="B1992" t="inlineStr">
        <is>
          <t>OPS</t>
        </is>
      </c>
      <c r="C1992" s="5" t="n">
        <v>46237</v>
      </c>
      <c r="D1992" t="inlineStr">
        <is>
          <t>Stripe patient 51753</t>
        </is>
      </c>
      <c r="E1992" t="inlineStr">
        <is>
          <t>INV/2026/04323</t>
        </is>
      </c>
      <c r="F1992" t="inlineStr">
        <is>
          <t>Customer payment INV/2026/04323</t>
        </is>
      </c>
      <c r="G1992" s="9" t="n">
        <v>120</v>
      </c>
      <c r="H1992" t="inlineStr">
        <is>
          <t>customer_payment</t>
        </is>
      </c>
      <c r="I1992" t="inlineStr"/>
      <c r="J1992" t="inlineStr">
        <is>
          <t>G00039</t>
        </is>
      </c>
      <c r="K1992" t="str">
        <f>INDEX('Match Groups'!$D$5:$D$1326,MATCH(J1992,'Match Groups'!$A$5:$A$1326,0))</f>
        <v>STRIPE-FEE</v>
      </c>
    </row>
    <row r="1993">
      <c r="A1993" t="inlineStr">
        <is>
          <t>JI-02478</t>
        </is>
      </c>
      <c r="B1993" t="inlineStr">
        <is>
          <t>OPS</t>
        </is>
      </c>
      <c r="C1993" s="5" t="n">
        <v>46237</v>
      </c>
      <c r="D1993" t="inlineStr">
        <is>
          <t>Stripe patient 98738</t>
        </is>
      </c>
      <c r="E1993" t="inlineStr">
        <is>
          <t>INV/2026/04324</t>
        </is>
      </c>
      <c r="F1993" t="inlineStr">
        <is>
          <t>Customer payment INV/2026/04324</t>
        </is>
      </c>
      <c r="G1993" s="9" t="n">
        <v>120</v>
      </c>
      <c r="H1993" t="inlineStr">
        <is>
          <t>customer_payment</t>
        </is>
      </c>
      <c r="I1993" t="inlineStr"/>
      <c r="J1993" t="inlineStr">
        <is>
          <t>G00039</t>
        </is>
      </c>
      <c r="K1993" t="str">
        <f>INDEX('Match Groups'!$D$5:$D$1326,MATCH(J1993,'Match Groups'!$A$5:$A$1326,0))</f>
        <v>STRIPE-FEE</v>
      </c>
    </row>
    <row r="1994">
      <c r="A1994" t="inlineStr">
        <is>
          <t>JI-02479</t>
        </is>
      </c>
      <c r="B1994" t="inlineStr">
        <is>
          <t>OPS</t>
        </is>
      </c>
      <c r="C1994" s="5" t="n">
        <v>46237</v>
      </c>
      <c r="D1994" t="inlineStr">
        <is>
          <t>Stripe patient 73797</t>
        </is>
      </c>
      <c r="E1994" t="inlineStr">
        <is>
          <t>INV/2026/04325</t>
        </is>
      </c>
      <c r="F1994" t="inlineStr">
        <is>
          <t>Customer payment INV/2026/04325</t>
        </is>
      </c>
      <c r="G1994" s="9" t="n">
        <v>135</v>
      </c>
      <c r="H1994" t="inlineStr">
        <is>
          <t>customer_payment</t>
        </is>
      </c>
      <c r="I1994" t="inlineStr"/>
      <c r="J1994" t="inlineStr">
        <is>
          <t>G00039</t>
        </is>
      </c>
      <c r="K1994" t="str">
        <f>INDEX('Match Groups'!$D$5:$D$1326,MATCH(J1994,'Match Groups'!$A$5:$A$1326,0))</f>
        <v>STRIPE-FEE</v>
      </c>
    </row>
    <row r="1995">
      <c r="A1995" t="inlineStr">
        <is>
          <t>JI-02480</t>
        </is>
      </c>
      <c r="B1995" t="inlineStr">
        <is>
          <t>OPS</t>
        </is>
      </c>
      <c r="C1995" s="5" t="n">
        <v>46237</v>
      </c>
      <c r="D1995" t="inlineStr">
        <is>
          <t>Stripe patient 36469</t>
        </is>
      </c>
      <c r="E1995" t="inlineStr">
        <is>
          <t>INV/2026/04326</t>
        </is>
      </c>
      <c r="F1995" t="inlineStr">
        <is>
          <t>Customer payment INV/2026/04326</t>
        </is>
      </c>
      <c r="G1995" s="9" t="n">
        <v>85</v>
      </c>
      <c r="H1995" t="inlineStr">
        <is>
          <t>customer_payment</t>
        </is>
      </c>
      <c r="I1995" t="inlineStr"/>
      <c r="J1995" t="inlineStr">
        <is>
          <t>G00039</t>
        </is>
      </c>
      <c r="K1995" t="str">
        <f>INDEX('Match Groups'!$D$5:$D$1326,MATCH(J1995,'Match Groups'!$A$5:$A$1326,0))</f>
        <v>STRIPE-FEE</v>
      </c>
    </row>
    <row r="1996">
      <c r="A1996" t="inlineStr">
        <is>
          <t>JI-02481</t>
        </is>
      </c>
      <c r="B1996" t="inlineStr">
        <is>
          <t>OPS</t>
        </is>
      </c>
      <c r="C1996" s="5" t="n">
        <v>46237</v>
      </c>
      <c r="D1996" t="inlineStr">
        <is>
          <t>Stripe patient 77268</t>
        </is>
      </c>
      <c r="E1996" t="inlineStr">
        <is>
          <t>INV/2026/04327</t>
        </is>
      </c>
      <c r="F1996" t="inlineStr">
        <is>
          <t>Customer payment INV/2026/04327</t>
        </is>
      </c>
      <c r="G1996" s="9" t="n">
        <v>150</v>
      </c>
      <c r="H1996" t="inlineStr">
        <is>
          <t>customer_payment</t>
        </is>
      </c>
      <c r="I1996" t="inlineStr"/>
      <c r="J1996" t="inlineStr">
        <is>
          <t>G00039</t>
        </is>
      </c>
      <c r="K1996" t="str">
        <f>INDEX('Match Groups'!$D$5:$D$1326,MATCH(J1996,'Match Groups'!$A$5:$A$1326,0))</f>
        <v>STRIPE-FEE</v>
      </c>
    </row>
    <row r="1997">
      <c r="A1997" t="inlineStr">
        <is>
          <t>JI-02482</t>
        </is>
      </c>
      <c r="B1997" t="inlineStr">
        <is>
          <t>OPS</t>
        </is>
      </c>
      <c r="C1997" s="5" t="n">
        <v>46237</v>
      </c>
      <c r="D1997" t="inlineStr">
        <is>
          <t>Stripe patient 61066</t>
        </is>
      </c>
      <c r="E1997" t="inlineStr">
        <is>
          <t>INV/2026/04328</t>
        </is>
      </c>
      <c r="F1997" t="inlineStr">
        <is>
          <t>Customer payment INV/2026/04328</t>
        </is>
      </c>
      <c r="G1997" s="9" t="n">
        <v>220</v>
      </c>
      <c r="H1997" t="inlineStr">
        <is>
          <t>customer_payment</t>
        </is>
      </c>
      <c r="I1997" t="inlineStr"/>
      <c r="J1997" t="inlineStr">
        <is>
          <t>G00039</t>
        </is>
      </c>
      <c r="K1997" t="str">
        <f>INDEX('Match Groups'!$D$5:$D$1326,MATCH(J1997,'Match Groups'!$A$5:$A$1326,0))</f>
        <v>STRIPE-FEE</v>
      </c>
    </row>
    <row r="1998">
      <c r="A1998" t="inlineStr">
        <is>
          <t>JI-02483</t>
        </is>
      </c>
      <c r="B1998" t="inlineStr">
        <is>
          <t>OPS</t>
        </is>
      </c>
      <c r="C1998" s="5" t="n">
        <v>46237</v>
      </c>
      <c r="D1998" t="inlineStr">
        <is>
          <t>Stripe patient 12854</t>
        </is>
      </c>
      <c r="E1998" t="inlineStr">
        <is>
          <t>INV/2026/04329</t>
        </is>
      </c>
      <c r="F1998" t="inlineStr">
        <is>
          <t>Customer payment INV/2026/04329</t>
        </is>
      </c>
      <c r="G1998" s="9" t="n">
        <v>95</v>
      </c>
      <c r="H1998" t="inlineStr">
        <is>
          <t>customer_payment</t>
        </is>
      </c>
      <c r="I1998" t="inlineStr"/>
      <c r="J1998" t="inlineStr">
        <is>
          <t>G00039</t>
        </is>
      </c>
      <c r="K1998" t="str">
        <f>INDEX('Match Groups'!$D$5:$D$1326,MATCH(J1998,'Match Groups'!$A$5:$A$1326,0))</f>
        <v>STRIPE-FEE</v>
      </c>
    </row>
    <row r="1999">
      <c r="A1999" t="inlineStr">
        <is>
          <t>JI-02484</t>
        </is>
      </c>
      <c r="B1999" t="inlineStr">
        <is>
          <t>OPS</t>
        </is>
      </c>
      <c r="C1999" s="5" t="n">
        <v>46237</v>
      </c>
      <c r="D1999" t="inlineStr">
        <is>
          <t>Stripe patient 97661</t>
        </is>
      </c>
      <c r="E1999" t="inlineStr">
        <is>
          <t>INV/2026/04330</t>
        </is>
      </c>
      <c r="F1999" t="inlineStr">
        <is>
          <t>Customer payment INV/2026/04330</t>
        </is>
      </c>
      <c r="G1999" s="9" t="n">
        <v>180</v>
      </c>
      <c r="H1999" t="inlineStr">
        <is>
          <t>customer_payment</t>
        </is>
      </c>
      <c r="I1999" t="inlineStr"/>
      <c r="J1999" t="inlineStr">
        <is>
          <t>G00039</t>
        </is>
      </c>
      <c r="K1999" t="str">
        <f>INDEX('Match Groups'!$D$5:$D$1326,MATCH(J1999,'Match Groups'!$A$5:$A$1326,0))</f>
        <v>STRIPE-FEE</v>
      </c>
    </row>
    <row r="2000">
      <c r="A2000" t="inlineStr">
        <is>
          <t>JI-02485</t>
        </is>
      </c>
      <c r="B2000" t="inlineStr">
        <is>
          <t>OPS</t>
        </is>
      </c>
      <c r="C2000" s="5" t="n">
        <v>46237</v>
      </c>
      <c r="D2000" t="inlineStr">
        <is>
          <t>Stripe patient 62926</t>
        </is>
      </c>
      <c r="E2000" t="inlineStr">
        <is>
          <t>INV/2026/04331</t>
        </is>
      </c>
      <c r="F2000" t="inlineStr">
        <is>
          <t>Customer payment INV/2026/04331</t>
        </is>
      </c>
      <c r="G2000" s="9" t="n">
        <v>95</v>
      </c>
      <c r="H2000" t="inlineStr">
        <is>
          <t>customer_payment</t>
        </is>
      </c>
      <c r="I2000" t="inlineStr"/>
      <c r="J2000" t="inlineStr">
        <is>
          <t>G00039</t>
        </is>
      </c>
      <c r="K2000" t="str">
        <f>INDEX('Match Groups'!$D$5:$D$1326,MATCH(J2000,'Match Groups'!$A$5:$A$1326,0))</f>
        <v>STRIPE-FEE</v>
      </c>
    </row>
    <row r="2001">
      <c r="A2001" t="inlineStr">
        <is>
          <t>JI-02486</t>
        </is>
      </c>
      <c r="B2001" t="inlineStr">
        <is>
          <t>OPS</t>
        </is>
      </c>
      <c r="C2001" s="5" t="n">
        <v>46237</v>
      </c>
      <c r="D2001" t="inlineStr">
        <is>
          <t>Stripe patient 74474</t>
        </is>
      </c>
      <c r="E2001" t="inlineStr">
        <is>
          <t>INV/2026/04332</t>
        </is>
      </c>
      <c r="F2001" t="inlineStr">
        <is>
          <t>Customer payment INV/2026/04332</t>
        </is>
      </c>
      <c r="G2001" s="9" t="n">
        <v>95</v>
      </c>
      <c r="H2001" t="inlineStr">
        <is>
          <t>customer_payment</t>
        </is>
      </c>
      <c r="I2001" t="inlineStr"/>
      <c r="J2001" t="inlineStr">
        <is>
          <t>G00039</t>
        </is>
      </c>
      <c r="K2001" t="str">
        <f>INDEX('Match Groups'!$D$5:$D$1326,MATCH(J2001,'Match Groups'!$A$5:$A$1326,0))</f>
        <v>STRIPE-FEE</v>
      </c>
    </row>
    <row r="2002">
      <c r="A2002" t="inlineStr">
        <is>
          <t>JI-02487</t>
        </is>
      </c>
      <c r="B2002" t="inlineStr">
        <is>
          <t>OPS</t>
        </is>
      </c>
      <c r="C2002" s="5" t="n">
        <v>46237</v>
      </c>
      <c r="D2002" t="inlineStr">
        <is>
          <t>Stripe patient 60803</t>
        </is>
      </c>
      <c r="E2002" t="inlineStr">
        <is>
          <t>INV/2026/04333</t>
        </is>
      </c>
      <c r="F2002" t="inlineStr">
        <is>
          <t>Customer payment INV/2026/04333</t>
        </is>
      </c>
      <c r="G2002" s="9" t="n">
        <v>150</v>
      </c>
      <c r="H2002" t="inlineStr">
        <is>
          <t>customer_payment</t>
        </is>
      </c>
      <c r="I2002" t="inlineStr"/>
      <c r="J2002" t="inlineStr">
        <is>
          <t>G00039</t>
        </is>
      </c>
      <c r="K2002" t="str">
        <f>INDEX('Match Groups'!$D$5:$D$1326,MATCH(J2002,'Match Groups'!$A$5:$A$1326,0))</f>
        <v>STRIPE-FEE</v>
      </c>
    </row>
    <row r="2003">
      <c r="A2003" t="inlineStr">
        <is>
          <t>JI-02488</t>
        </is>
      </c>
      <c r="B2003" t="inlineStr">
        <is>
          <t>OPS</t>
        </is>
      </c>
      <c r="C2003" s="5" t="n">
        <v>46237</v>
      </c>
      <c r="D2003" t="inlineStr">
        <is>
          <t>Stripe patient 84590</t>
        </is>
      </c>
      <c r="E2003" t="inlineStr">
        <is>
          <t>INV/2026/04334</t>
        </is>
      </c>
      <c r="F2003" t="inlineStr">
        <is>
          <t>Customer payment INV/2026/04334</t>
        </is>
      </c>
      <c r="G2003" s="9" t="n">
        <v>65</v>
      </c>
      <c r="H2003" t="inlineStr">
        <is>
          <t>customer_payment</t>
        </is>
      </c>
      <c r="I2003" t="inlineStr"/>
      <c r="J2003" t="inlineStr">
        <is>
          <t>G00039</t>
        </is>
      </c>
      <c r="K2003" t="str">
        <f>INDEX('Match Groups'!$D$5:$D$1326,MATCH(J2003,'Match Groups'!$A$5:$A$1326,0))</f>
        <v>STRIPE-FEE</v>
      </c>
    </row>
    <row r="2004">
      <c r="A2004" t="inlineStr">
        <is>
          <t>JI-02489</t>
        </is>
      </c>
      <c r="B2004" t="inlineStr">
        <is>
          <t>OPS</t>
        </is>
      </c>
      <c r="C2004" s="5" t="n">
        <v>46237</v>
      </c>
      <c r="D2004" t="inlineStr">
        <is>
          <t>Stripe patient 78607</t>
        </is>
      </c>
      <c r="E2004" t="inlineStr">
        <is>
          <t>INV/2026/04335</t>
        </is>
      </c>
      <c r="F2004" t="inlineStr">
        <is>
          <t>Customer payment INV/2026/04335</t>
        </is>
      </c>
      <c r="G2004" s="9" t="n">
        <v>85</v>
      </c>
      <c r="H2004" t="inlineStr">
        <is>
          <t>customer_payment</t>
        </is>
      </c>
      <c r="I2004" t="inlineStr"/>
      <c r="J2004" t="inlineStr">
        <is>
          <t>G00039</t>
        </is>
      </c>
      <c r="K2004" t="str">
        <f>INDEX('Match Groups'!$D$5:$D$1326,MATCH(J2004,'Match Groups'!$A$5:$A$1326,0))</f>
        <v>STRIPE-FEE</v>
      </c>
    </row>
    <row r="2005">
      <c r="A2005" t="inlineStr">
        <is>
          <t>JI-02490</t>
        </is>
      </c>
      <c r="B2005" t="inlineStr">
        <is>
          <t>OPS</t>
        </is>
      </c>
      <c r="C2005" s="5" t="n">
        <v>46237</v>
      </c>
      <c r="D2005" t="inlineStr">
        <is>
          <t>Stripe patient 20680</t>
        </is>
      </c>
      <c r="E2005" t="inlineStr">
        <is>
          <t>INV/2026/04336</t>
        </is>
      </c>
      <c r="F2005" t="inlineStr">
        <is>
          <t>Customer payment INV/2026/04336</t>
        </is>
      </c>
      <c r="G2005" s="9" t="n">
        <v>110</v>
      </c>
      <c r="H2005" t="inlineStr">
        <is>
          <t>customer_payment</t>
        </is>
      </c>
      <c r="I2005" t="inlineStr"/>
      <c r="J2005" t="inlineStr">
        <is>
          <t>G00039</t>
        </is>
      </c>
      <c r="K2005" t="str">
        <f>INDEX('Match Groups'!$D$5:$D$1326,MATCH(J2005,'Match Groups'!$A$5:$A$1326,0))</f>
        <v>STRIPE-FEE</v>
      </c>
    </row>
    <row r="2006">
      <c r="A2006" t="inlineStr">
        <is>
          <t>JI-02491</t>
        </is>
      </c>
      <c r="B2006" t="inlineStr">
        <is>
          <t>OPS</t>
        </is>
      </c>
      <c r="C2006" s="5" t="n">
        <v>46237</v>
      </c>
      <c r="D2006" t="inlineStr">
        <is>
          <t>Stripe patient 59359</t>
        </is>
      </c>
      <c r="E2006" t="inlineStr">
        <is>
          <t>INV/2026/04337</t>
        </is>
      </c>
      <c r="F2006" t="inlineStr">
        <is>
          <t>Customer payment INV/2026/04337</t>
        </is>
      </c>
      <c r="G2006" s="9" t="n">
        <v>220</v>
      </c>
      <c r="H2006" t="inlineStr">
        <is>
          <t>customer_payment</t>
        </is>
      </c>
      <c r="I2006" t="inlineStr"/>
      <c r="J2006" t="inlineStr">
        <is>
          <t>G00039</t>
        </is>
      </c>
      <c r="K2006" t="str">
        <f>INDEX('Match Groups'!$D$5:$D$1326,MATCH(J2006,'Match Groups'!$A$5:$A$1326,0))</f>
        <v>STRIPE-FEE</v>
      </c>
    </row>
    <row r="2007">
      <c r="A2007" t="inlineStr">
        <is>
          <t>JI-02492</t>
        </is>
      </c>
      <c r="B2007" t="inlineStr">
        <is>
          <t>OPS</t>
        </is>
      </c>
      <c r="C2007" s="5" t="n">
        <v>46237</v>
      </c>
      <c r="D2007" t="inlineStr">
        <is>
          <t>Stripe patient 44274</t>
        </is>
      </c>
      <c r="E2007" t="inlineStr">
        <is>
          <t>INV/2026/04338</t>
        </is>
      </c>
      <c r="F2007" t="inlineStr">
        <is>
          <t>Customer payment INV/2026/04338</t>
        </is>
      </c>
      <c r="G2007" s="9" t="n">
        <v>85</v>
      </c>
      <c r="H2007" t="inlineStr">
        <is>
          <t>customer_payment</t>
        </is>
      </c>
      <c r="I2007" t="inlineStr"/>
      <c r="J2007" t="inlineStr">
        <is>
          <t>G00039</t>
        </is>
      </c>
      <c r="K2007" t="str">
        <f>INDEX('Match Groups'!$D$5:$D$1326,MATCH(J2007,'Match Groups'!$A$5:$A$1326,0))</f>
        <v>STRIPE-FEE</v>
      </c>
    </row>
    <row r="2008">
      <c r="A2008" t="inlineStr">
        <is>
          <t>JI-02493</t>
        </is>
      </c>
      <c r="B2008" t="inlineStr">
        <is>
          <t>OPS</t>
        </is>
      </c>
      <c r="C2008" s="5" t="n">
        <v>46237</v>
      </c>
      <c r="D2008" t="inlineStr">
        <is>
          <t>Stripe patient 47808</t>
        </is>
      </c>
      <c r="E2008" t="inlineStr">
        <is>
          <t>INV/2026/04339</t>
        </is>
      </c>
      <c r="F2008" t="inlineStr">
        <is>
          <t>Customer payment INV/2026/04339</t>
        </is>
      </c>
      <c r="G2008" s="9" t="n">
        <v>220</v>
      </c>
      <c r="H2008" t="inlineStr">
        <is>
          <t>customer_payment</t>
        </is>
      </c>
      <c r="I2008" t="inlineStr"/>
      <c r="J2008" t="inlineStr">
        <is>
          <t>G00039</t>
        </is>
      </c>
      <c r="K2008" t="str">
        <f>INDEX('Match Groups'!$D$5:$D$1326,MATCH(J2008,'Match Groups'!$A$5:$A$1326,0))</f>
        <v>STRIPE-FEE</v>
      </c>
    </row>
    <row r="2009">
      <c r="A2009" t="inlineStr">
        <is>
          <t>JI-02494</t>
        </is>
      </c>
      <c r="B2009" t="inlineStr">
        <is>
          <t>OPS</t>
        </is>
      </c>
      <c r="C2009" s="5" t="n">
        <v>46237</v>
      </c>
      <c r="D2009" t="inlineStr">
        <is>
          <t>Stripe patient 91109</t>
        </is>
      </c>
      <c r="E2009" t="inlineStr">
        <is>
          <t>INV/2026/04340</t>
        </is>
      </c>
      <c r="F2009" t="inlineStr">
        <is>
          <t>Customer payment INV/2026/04340</t>
        </is>
      </c>
      <c r="G2009" s="9" t="n">
        <v>120</v>
      </c>
      <c r="H2009" t="inlineStr">
        <is>
          <t>customer_payment</t>
        </is>
      </c>
      <c r="I2009" t="inlineStr"/>
      <c r="J2009" t="inlineStr">
        <is>
          <t>G00039</t>
        </is>
      </c>
      <c r="K2009" t="str">
        <f>INDEX('Match Groups'!$D$5:$D$1326,MATCH(J2009,'Match Groups'!$A$5:$A$1326,0))</f>
        <v>STRIPE-FEE</v>
      </c>
    </row>
    <row r="2010">
      <c r="A2010" t="inlineStr">
        <is>
          <t>JI-02495</t>
        </is>
      </c>
      <c r="B2010" t="inlineStr">
        <is>
          <t>OPS</t>
        </is>
      </c>
      <c r="C2010" s="5" t="n">
        <v>46237</v>
      </c>
      <c r="D2010" t="inlineStr">
        <is>
          <t>Stripe patient 21108</t>
        </is>
      </c>
      <c r="E2010" t="inlineStr">
        <is>
          <t>INV/2026/04341</t>
        </is>
      </c>
      <c r="F2010" t="inlineStr">
        <is>
          <t>Customer payment INV/2026/04341</t>
        </is>
      </c>
      <c r="G2010" s="9" t="n">
        <v>120</v>
      </c>
      <c r="H2010" t="inlineStr">
        <is>
          <t>customer_payment</t>
        </is>
      </c>
      <c r="I2010" t="inlineStr"/>
      <c r="J2010" t="inlineStr">
        <is>
          <t>G00039</t>
        </is>
      </c>
      <c r="K2010" t="str">
        <f>INDEX('Match Groups'!$D$5:$D$1326,MATCH(J2010,'Match Groups'!$A$5:$A$1326,0))</f>
        <v>STRIPE-FEE</v>
      </c>
    </row>
    <row r="2011">
      <c r="A2011" t="inlineStr">
        <is>
          <t>JI-02496</t>
        </is>
      </c>
      <c r="B2011" t="inlineStr">
        <is>
          <t>OPS</t>
        </is>
      </c>
      <c r="C2011" s="5" t="n">
        <v>46237</v>
      </c>
      <c r="D2011" t="inlineStr">
        <is>
          <t>Stripe patient 10309</t>
        </is>
      </c>
      <c r="E2011" t="inlineStr">
        <is>
          <t>INV/2026/04342</t>
        </is>
      </c>
      <c r="F2011" t="inlineStr">
        <is>
          <t>Customer payment INV/2026/04342</t>
        </is>
      </c>
      <c r="G2011" s="9" t="n">
        <v>95</v>
      </c>
      <c r="H2011" t="inlineStr">
        <is>
          <t>customer_payment</t>
        </is>
      </c>
      <c r="I2011" t="inlineStr"/>
      <c r="J2011" t="inlineStr">
        <is>
          <t>G00039</t>
        </is>
      </c>
      <c r="K2011" t="str">
        <f>INDEX('Match Groups'!$D$5:$D$1326,MATCH(J2011,'Match Groups'!$A$5:$A$1326,0))</f>
        <v>STRIPE-FEE</v>
      </c>
    </row>
    <row r="2012">
      <c r="A2012" t="inlineStr">
        <is>
          <t>JI-02497</t>
        </is>
      </c>
      <c r="B2012" t="inlineStr">
        <is>
          <t>OPS</t>
        </is>
      </c>
      <c r="C2012" s="5" t="n">
        <v>46237</v>
      </c>
      <c r="D2012" t="inlineStr">
        <is>
          <t>Stripe patient 81313</t>
        </is>
      </c>
      <c r="E2012" t="inlineStr">
        <is>
          <t>INV/2026/04343</t>
        </is>
      </c>
      <c r="F2012" t="inlineStr">
        <is>
          <t>Customer payment INV/2026/04343</t>
        </is>
      </c>
      <c r="G2012" s="9" t="n">
        <v>180</v>
      </c>
      <c r="H2012" t="inlineStr">
        <is>
          <t>customer_payment</t>
        </is>
      </c>
      <c r="I2012" t="inlineStr"/>
      <c r="J2012" t="inlineStr">
        <is>
          <t>G00039</t>
        </is>
      </c>
      <c r="K2012" t="str">
        <f>INDEX('Match Groups'!$D$5:$D$1326,MATCH(J2012,'Match Groups'!$A$5:$A$1326,0))</f>
        <v>STRIPE-FEE</v>
      </c>
    </row>
    <row r="2013">
      <c r="A2013" t="inlineStr">
        <is>
          <t>JI-02498</t>
        </is>
      </c>
      <c r="B2013" t="inlineStr">
        <is>
          <t>OPS</t>
        </is>
      </c>
      <c r="C2013" s="5" t="n">
        <v>46237</v>
      </c>
      <c r="D2013" t="inlineStr">
        <is>
          <t>Stripe patient 17249</t>
        </is>
      </c>
      <c r="E2013" t="inlineStr">
        <is>
          <t>INV/2026/04344</t>
        </is>
      </c>
      <c r="F2013" t="inlineStr">
        <is>
          <t>Customer payment INV/2026/04344</t>
        </is>
      </c>
      <c r="G2013" s="9" t="n">
        <v>95</v>
      </c>
      <c r="H2013" t="inlineStr">
        <is>
          <t>customer_payment</t>
        </is>
      </c>
      <c r="I2013" t="inlineStr"/>
      <c r="J2013" t="inlineStr">
        <is>
          <t>G00039</t>
        </is>
      </c>
      <c r="K2013" t="str">
        <f>INDEX('Match Groups'!$D$5:$D$1326,MATCH(J2013,'Match Groups'!$A$5:$A$1326,0))</f>
        <v>STRIPE-FEE</v>
      </c>
    </row>
    <row r="2014">
      <c r="A2014" t="inlineStr">
        <is>
          <t>JI-02499</t>
        </is>
      </c>
      <c r="B2014" t="inlineStr">
        <is>
          <t>OPS</t>
        </is>
      </c>
      <c r="C2014" s="5" t="n">
        <v>46237</v>
      </c>
      <c r="D2014" t="inlineStr">
        <is>
          <t>Stripe patient 17900</t>
        </is>
      </c>
      <c r="E2014" t="inlineStr">
        <is>
          <t>INV/2026/04345</t>
        </is>
      </c>
      <c r="F2014" t="inlineStr">
        <is>
          <t>Customer payment INV/2026/04345</t>
        </is>
      </c>
      <c r="G2014" s="9" t="n">
        <v>135</v>
      </c>
      <c r="H2014" t="inlineStr">
        <is>
          <t>customer_payment</t>
        </is>
      </c>
      <c r="I2014" t="inlineStr"/>
      <c r="J2014" t="inlineStr">
        <is>
          <t>G00039</t>
        </is>
      </c>
      <c r="K2014" t="str">
        <f>INDEX('Match Groups'!$D$5:$D$1326,MATCH(J2014,'Match Groups'!$A$5:$A$1326,0))</f>
        <v>STRIPE-FEE</v>
      </c>
    </row>
    <row r="2015">
      <c r="A2015" t="inlineStr">
        <is>
          <t>JI-02500</t>
        </is>
      </c>
      <c r="B2015" t="inlineStr">
        <is>
          <t>OPS</t>
        </is>
      </c>
      <c r="C2015" s="5" t="n">
        <v>46237</v>
      </c>
      <c r="D2015" t="inlineStr">
        <is>
          <t>Stripe patient 21608</t>
        </is>
      </c>
      <c r="E2015" t="inlineStr">
        <is>
          <t>INV/2026/04346</t>
        </is>
      </c>
      <c r="F2015" t="inlineStr">
        <is>
          <t>Customer payment INV/2026/04346</t>
        </is>
      </c>
      <c r="G2015" s="9" t="n">
        <v>85</v>
      </c>
      <c r="H2015" t="inlineStr">
        <is>
          <t>customer_payment</t>
        </is>
      </c>
      <c r="I2015" t="inlineStr"/>
      <c r="J2015" t="inlineStr">
        <is>
          <t>G00039</t>
        </is>
      </c>
      <c r="K2015" t="str">
        <f>INDEX('Match Groups'!$D$5:$D$1326,MATCH(J2015,'Match Groups'!$A$5:$A$1326,0))</f>
        <v>STRIPE-FEE</v>
      </c>
    </row>
    <row r="2016">
      <c r="A2016" t="inlineStr">
        <is>
          <t>JI-02501</t>
        </is>
      </c>
      <c r="B2016" t="inlineStr">
        <is>
          <t>OPS</t>
        </is>
      </c>
      <c r="C2016" s="5" t="n">
        <v>46237</v>
      </c>
      <c r="D2016" t="inlineStr">
        <is>
          <t>Stripe patient 10725</t>
        </is>
      </c>
      <c r="E2016" t="inlineStr">
        <is>
          <t>INV/2026/04347</t>
        </is>
      </c>
      <c r="F2016" t="inlineStr">
        <is>
          <t>Customer payment INV/2026/04347</t>
        </is>
      </c>
      <c r="G2016" s="9" t="n">
        <v>95</v>
      </c>
      <c r="H2016" t="inlineStr">
        <is>
          <t>customer_payment</t>
        </is>
      </c>
      <c r="I2016" t="inlineStr"/>
      <c r="J2016" t="inlineStr">
        <is>
          <t>G00039</t>
        </is>
      </c>
      <c r="K2016" t="str">
        <f>INDEX('Match Groups'!$D$5:$D$1326,MATCH(J2016,'Match Groups'!$A$5:$A$1326,0))</f>
        <v>STRIPE-FEE</v>
      </c>
    </row>
    <row r="2017">
      <c r="A2017" t="inlineStr">
        <is>
          <t>JI-02502</t>
        </is>
      </c>
      <c r="B2017" t="inlineStr">
        <is>
          <t>OPS</t>
        </is>
      </c>
      <c r="C2017" s="5" t="n">
        <v>46237</v>
      </c>
      <c r="D2017" t="inlineStr">
        <is>
          <t>Stripe patient 42155</t>
        </is>
      </c>
      <c r="E2017" t="inlineStr">
        <is>
          <t>INV/2026/04348</t>
        </is>
      </c>
      <c r="F2017" t="inlineStr">
        <is>
          <t>Customer payment INV/2026/04348</t>
        </is>
      </c>
      <c r="G2017" s="9" t="n">
        <v>220</v>
      </c>
      <c r="H2017" t="inlineStr">
        <is>
          <t>customer_payment</t>
        </is>
      </c>
      <c r="I2017" t="inlineStr"/>
      <c r="J2017" t="inlineStr">
        <is>
          <t>G00039</t>
        </is>
      </c>
      <c r="K2017" t="str">
        <f>INDEX('Match Groups'!$D$5:$D$1326,MATCH(J2017,'Match Groups'!$A$5:$A$1326,0))</f>
        <v>STRIPE-FEE</v>
      </c>
    </row>
    <row r="2018">
      <c r="A2018" t="inlineStr">
        <is>
          <t>JI-02503</t>
        </is>
      </c>
      <c r="B2018" t="inlineStr">
        <is>
          <t>OPS</t>
        </is>
      </c>
      <c r="C2018" s="5" t="n">
        <v>46237</v>
      </c>
      <c r="D2018" t="inlineStr">
        <is>
          <t>Stripe patient 33364</t>
        </is>
      </c>
      <c r="E2018" t="inlineStr">
        <is>
          <t>INV/2026/04349</t>
        </is>
      </c>
      <c r="F2018" t="inlineStr">
        <is>
          <t>Customer payment INV/2026/04349</t>
        </is>
      </c>
      <c r="G2018" s="9" t="n">
        <v>220</v>
      </c>
      <c r="H2018" t="inlineStr">
        <is>
          <t>customer_payment</t>
        </is>
      </c>
      <c r="I2018" t="inlineStr"/>
      <c r="J2018" t="inlineStr">
        <is>
          <t>G00039</t>
        </is>
      </c>
      <c r="K2018" t="str">
        <f>INDEX('Match Groups'!$D$5:$D$1326,MATCH(J2018,'Match Groups'!$A$5:$A$1326,0))</f>
        <v>STRIPE-FEE</v>
      </c>
    </row>
    <row r="2019">
      <c r="A2019" t="inlineStr">
        <is>
          <t>JI-03906</t>
        </is>
      </c>
      <c r="B2019" t="inlineStr">
        <is>
          <t>OPS</t>
        </is>
      </c>
      <c r="C2019" s="5" t="n">
        <v>46237</v>
      </c>
      <c r="D2019" t="inlineStr">
        <is>
          <t>Bayview Commercial Leasing</t>
        </is>
      </c>
      <c r="E2019" t="inlineStr">
        <is>
          <t>BILL/2026/1012</t>
        </is>
      </c>
      <c r="F2019" t="inlineStr">
        <is>
          <t>Vendor payment BILL/2026/1012</t>
        </is>
      </c>
      <c r="G2019" s="9" t="n">
        <v>-8250</v>
      </c>
      <c r="H2019" t="inlineStr">
        <is>
          <t>supplier_payment</t>
        </is>
      </c>
      <c r="I2019" t="inlineStr"/>
      <c r="J2019" t="inlineStr">
        <is>
          <t>G01134</t>
        </is>
      </c>
      <c r="K2019" t="str">
        <f>INDEX('Match Groups'!$D$5:$D$1326,MATCH(J2019,'Match Groups'!$A$5:$A$1326,0))</f>
        <v>MATCH</v>
      </c>
    </row>
    <row r="2020">
      <c r="A2020" t="inlineStr">
        <is>
          <t>JI-03907</t>
        </is>
      </c>
      <c r="B2020" t="inlineStr">
        <is>
          <t>OPS</t>
        </is>
      </c>
      <c r="C2020" s="5" t="n">
        <v>46237</v>
      </c>
      <c r="D2020" t="inlineStr">
        <is>
          <t>Moorabbin Office Park</t>
        </is>
      </c>
      <c r="E2020" t="inlineStr">
        <is>
          <t>BILL/2026/1013</t>
        </is>
      </c>
      <c r="F2020" t="inlineStr">
        <is>
          <t>Vendor payment BILL/2026/1013</t>
        </is>
      </c>
      <c r="G2020" s="9" t="n">
        <v>-7425</v>
      </c>
      <c r="H2020" t="inlineStr">
        <is>
          <t>supplier_payment</t>
        </is>
      </c>
      <c r="I2020" t="inlineStr"/>
      <c r="J2020" t="inlineStr">
        <is>
          <t>G01135</t>
        </is>
      </c>
      <c r="K2020" t="str">
        <f>INDEX('Match Groups'!$D$5:$D$1326,MATCH(J2020,'Match Groups'!$A$5:$A$1326,0))</f>
        <v>MATCH</v>
      </c>
    </row>
    <row r="2021">
      <c r="A2021" t="inlineStr">
        <is>
          <t>JI-04291</t>
        </is>
      </c>
      <c r="B2021" t="inlineStr">
        <is>
          <t>OPS</t>
        </is>
      </c>
      <c r="C2021" s="5" t="n">
        <v>46237</v>
      </c>
      <c r="D2021" t="inlineStr">
        <is>
          <t>Internal transfer</t>
        </is>
      </c>
      <c r="E2021" t="inlineStr">
        <is>
          <t>SWEEP 0308</t>
        </is>
      </c>
      <c r="F2021" t="inlineStr">
        <is>
          <t>Sweep from merchant account</t>
        </is>
      </c>
      <c r="G2021" s="9" t="n">
        <v>22000</v>
      </c>
      <c r="H2021" t="inlineStr">
        <is>
          <t>transfer</t>
        </is>
      </c>
      <c r="I2021" t="inlineStr"/>
      <c r="J2021" t="inlineStr">
        <is>
          <t>G00518</t>
        </is>
      </c>
      <c r="K2021" t="str">
        <f>INDEX('Match Groups'!$D$5:$D$1326,MATCH(J2021,'Match Groups'!$A$5:$A$1326,0))</f>
        <v>MATCH</v>
      </c>
    </row>
    <row r="2022">
      <c r="A2022" t="inlineStr">
        <is>
          <t>JI-00761</t>
        </is>
      </c>
      <c r="B2022" t="inlineStr">
        <is>
          <t>OPS</t>
        </is>
      </c>
      <c r="C2022" s="5" t="n">
        <v>46238</v>
      </c>
      <c r="D2022" t="inlineStr">
        <is>
          <t>Clearpath NDIS Plans</t>
        </is>
      </c>
      <c r="E2022" t="inlineStr">
        <is>
          <t>INV/2026/02301</t>
        </is>
      </c>
      <c r="F2022" t="inlineStr">
        <is>
          <t>Customer payment INV/2026/02301</t>
        </is>
      </c>
      <c r="G2022" s="9" t="n">
        <v>290.98</v>
      </c>
      <c r="H2022" t="inlineStr">
        <is>
          <t>customer_payment</t>
        </is>
      </c>
      <c r="I2022" t="inlineStr"/>
      <c r="J2022" t="inlineStr">
        <is>
          <t>G00252</t>
        </is>
      </c>
      <c r="K2022" t="str">
        <f>INDEX('Match Groups'!$D$5:$D$1326,MATCH(J2022,'Match Groups'!$A$5:$A$1326,0))</f>
        <v>MATCH</v>
      </c>
    </row>
    <row r="2023">
      <c r="A2023" t="inlineStr">
        <is>
          <t>JI-00762</t>
        </is>
      </c>
      <c r="B2023" t="inlineStr">
        <is>
          <t>OPS</t>
        </is>
      </c>
      <c r="C2023" s="5" t="n">
        <v>46238</v>
      </c>
      <c r="D2023" t="inlineStr">
        <is>
          <t>Clearpath NDIS Plans</t>
        </is>
      </c>
      <c r="E2023" t="inlineStr">
        <is>
          <t>INV/2026/02320</t>
        </is>
      </c>
      <c r="F2023" t="inlineStr">
        <is>
          <t>Customer payment INV/2026/02320</t>
        </is>
      </c>
      <c r="G2023" s="9" t="n">
        <v>300.69</v>
      </c>
      <c r="H2023" t="inlineStr">
        <is>
          <t>customer_payment</t>
        </is>
      </c>
      <c r="I2023" t="inlineStr"/>
      <c r="J2023" t="inlineStr">
        <is>
          <t>G00252</t>
        </is>
      </c>
      <c r="K2023" t="str">
        <f>INDEX('Match Groups'!$D$5:$D$1326,MATCH(J2023,'Match Groups'!$A$5:$A$1326,0))</f>
        <v>MATCH</v>
      </c>
    </row>
    <row r="2024">
      <c r="A2024" t="inlineStr">
        <is>
          <t>JI-00763</t>
        </is>
      </c>
      <c r="B2024" t="inlineStr">
        <is>
          <t>OPS</t>
        </is>
      </c>
      <c r="C2024" s="5" t="n">
        <v>46238</v>
      </c>
      <c r="D2024" t="inlineStr">
        <is>
          <t>Clearpath NDIS Plans</t>
        </is>
      </c>
      <c r="E2024" t="inlineStr">
        <is>
          <t>INV/2026/02349</t>
        </is>
      </c>
      <c r="F2024" t="inlineStr">
        <is>
          <t>Customer payment INV/2026/02349</t>
        </is>
      </c>
      <c r="G2024" s="9" t="n">
        <v>145.49</v>
      </c>
      <c r="H2024" t="inlineStr">
        <is>
          <t>customer_payment</t>
        </is>
      </c>
      <c r="I2024" t="inlineStr"/>
      <c r="J2024" t="inlineStr">
        <is>
          <t>G00252</t>
        </is>
      </c>
      <c r="K2024" t="str">
        <f>INDEX('Match Groups'!$D$5:$D$1326,MATCH(J2024,'Match Groups'!$A$5:$A$1326,0))</f>
        <v>MATCH</v>
      </c>
    </row>
    <row r="2025">
      <c r="A2025" t="inlineStr">
        <is>
          <t>JI-00764</t>
        </is>
      </c>
      <c r="B2025" t="inlineStr">
        <is>
          <t>OPS</t>
        </is>
      </c>
      <c r="C2025" s="5" t="n">
        <v>46238</v>
      </c>
      <c r="D2025" t="inlineStr">
        <is>
          <t>Clearpath NDIS Plans</t>
        </is>
      </c>
      <c r="E2025" t="inlineStr">
        <is>
          <t>INV/2026/02373</t>
        </is>
      </c>
      <c r="F2025" t="inlineStr">
        <is>
          <t>Customer payment INV/2026/02373</t>
        </is>
      </c>
      <c r="G2025" s="9" t="n">
        <v>387.98</v>
      </c>
      <c r="H2025" t="inlineStr">
        <is>
          <t>customer_payment</t>
        </is>
      </c>
      <c r="I2025" t="inlineStr"/>
      <c r="J2025" t="inlineStr">
        <is>
          <t>G00252</t>
        </is>
      </c>
      <c r="K2025" t="str">
        <f>INDEX('Match Groups'!$D$5:$D$1326,MATCH(J2025,'Match Groups'!$A$5:$A$1326,0))</f>
        <v>MATCH</v>
      </c>
    </row>
    <row r="2026">
      <c r="A2026" t="inlineStr">
        <is>
          <t>JI-00765</t>
        </is>
      </c>
      <c r="B2026" t="inlineStr">
        <is>
          <t>OPS</t>
        </is>
      </c>
      <c r="C2026" s="5" t="n">
        <v>46238</v>
      </c>
      <c r="D2026" t="inlineStr">
        <is>
          <t>Ironbark Plan Management</t>
        </is>
      </c>
      <c r="E2026" t="inlineStr">
        <is>
          <t>INV/2026/02323</t>
        </is>
      </c>
      <c r="F2026" t="inlineStr">
        <is>
          <t>Customer payment INV/2026/02323</t>
        </is>
      </c>
      <c r="G2026" s="9" t="n">
        <v>242.49</v>
      </c>
      <c r="H2026" t="inlineStr">
        <is>
          <t>customer_payment</t>
        </is>
      </c>
      <c r="I2026" t="inlineStr"/>
      <c r="J2026" t="inlineStr">
        <is>
          <t>G00253</t>
        </is>
      </c>
      <c r="K2026" t="str">
        <f>INDEX('Match Groups'!$D$5:$D$1326,MATCH(J2026,'Match Groups'!$A$5:$A$1326,0))</f>
        <v>MATCH</v>
      </c>
    </row>
    <row r="2027">
      <c r="A2027" t="inlineStr">
        <is>
          <t>JI-00766</t>
        </is>
      </c>
      <c r="B2027" t="inlineStr">
        <is>
          <t>OPS</t>
        </is>
      </c>
      <c r="C2027" s="5" t="n">
        <v>46238</v>
      </c>
      <c r="D2027" t="inlineStr">
        <is>
          <t>Ironbark Plan Management</t>
        </is>
      </c>
      <c r="E2027" t="inlineStr">
        <is>
          <t>INV/2026/02376</t>
        </is>
      </c>
      <c r="F2027" t="inlineStr">
        <is>
          <t>Customer payment INV/2026/02376</t>
        </is>
      </c>
      <c r="G2027" s="9" t="n">
        <v>290.98</v>
      </c>
      <c r="H2027" t="inlineStr">
        <is>
          <t>customer_payment</t>
        </is>
      </c>
      <c r="I2027" t="inlineStr"/>
      <c r="J2027" t="inlineStr">
        <is>
          <t>G00253</t>
        </is>
      </c>
      <c r="K2027" t="str">
        <f>INDEX('Match Groups'!$D$5:$D$1326,MATCH(J2027,'Match Groups'!$A$5:$A$1326,0))</f>
        <v>MATCH</v>
      </c>
    </row>
    <row r="2028">
      <c r="A2028" t="inlineStr">
        <is>
          <t>JI-00767</t>
        </is>
      </c>
      <c r="B2028" t="inlineStr">
        <is>
          <t>OPS</t>
        </is>
      </c>
      <c r="C2028" s="5" t="n">
        <v>46238</v>
      </c>
      <c r="D2028" t="inlineStr">
        <is>
          <t>Ironbark Plan Management</t>
        </is>
      </c>
      <c r="E2028" t="inlineStr">
        <is>
          <t>INV/2026/02399</t>
        </is>
      </c>
      <c r="F2028" t="inlineStr">
        <is>
          <t>Customer payment INV/2026/02399</t>
        </is>
      </c>
      <c r="G2028" s="9" t="n">
        <v>387.98</v>
      </c>
      <c r="H2028" t="inlineStr">
        <is>
          <t>customer_payment</t>
        </is>
      </c>
      <c r="I2028" t="inlineStr"/>
      <c r="J2028" t="inlineStr">
        <is>
          <t>G00253</t>
        </is>
      </c>
      <c r="K2028" t="str">
        <f>INDEX('Match Groups'!$D$5:$D$1326,MATCH(J2028,'Match Groups'!$A$5:$A$1326,0))</f>
        <v>MATCH</v>
      </c>
    </row>
    <row r="2029">
      <c r="A2029" t="inlineStr">
        <is>
          <t>JI-00768</t>
        </is>
      </c>
      <c r="B2029" t="inlineStr">
        <is>
          <t>OPS</t>
        </is>
      </c>
      <c r="C2029" s="5" t="n">
        <v>46238</v>
      </c>
      <c r="D2029" t="inlineStr">
        <is>
          <t>Ironbark Plan Management</t>
        </is>
      </c>
      <c r="E2029" t="inlineStr">
        <is>
          <t>INV/2026/02425</t>
        </is>
      </c>
      <c r="F2029" t="inlineStr">
        <is>
          <t>Customer payment INV/2026/02425</t>
        </is>
      </c>
      <c r="G2029" s="9" t="n">
        <v>387.98</v>
      </c>
      <c r="H2029" t="inlineStr">
        <is>
          <t>customer_payment</t>
        </is>
      </c>
      <c r="I2029" t="inlineStr"/>
      <c r="J2029" t="inlineStr">
        <is>
          <t>G00253</t>
        </is>
      </c>
      <c r="K2029" t="str">
        <f>INDEX('Match Groups'!$D$5:$D$1326,MATCH(J2029,'Match Groups'!$A$5:$A$1326,0))</f>
        <v>MATCH</v>
      </c>
    </row>
    <row r="2030">
      <c r="A2030" t="inlineStr">
        <is>
          <t>JI-00769</t>
        </is>
      </c>
      <c r="B2030" t="inlineStr">
        <is>
          <t>OPS</t>
        </is>
      </c>
      <c r="C2030" s="5" t="n">
        <v>46238</v>
      </c>
      <c r="D2030" t="inlineStr">
        <is>
          <t>Southern Cross Plan Mgmt</t>
        </is>
      </c>
      <c r="E2030" t="inlineStr">
        <is>
          <t>INV/2026/01812</t>
        </is>
      </c>
      <c r="F2030" t="inlineStr">
        <is>
          <t>Customer payment INV/2026/01812</t>
        </is>
      </c>
      <c r="G2030" s="9" t="n">
        <v>193.99</v>
      </c>
      <c r="H2030" t="inlineStr">
        <is>
          <t>customer_payment</t>
        </is>
      </c>
      <c r="I2030" t="inlineStr"/>
      <c r="J2030" t="inlineStr">
        <is>
          <t>G00254</t>
        </is>
      </c>
      <c r="K2030" t="str">
        <f>INDEX('Match Groups'!$D$5:$D$1326,MATCH(J2030,'Match Groups'!$A$5:$A$1326,0))</f>
        <v>MATCH</v>
      </c>
    </row>
    <row r="2031">
      <c r="A2031" t="inlineStr">
        <is>
          <t>JI-00770</t>
        </is>
      </c>
      <c r="B2031" t="inlineStr">
        <is>
          <t>OPS</t>
        </is>
      </c>
      <c r="C2031" s="5" t="n">
        <v>46238</v>
      </c>
      <c r="D2031" t="inlineStr">
        <is>
          <t>Southern Cross Plan Mgmt</t>
        </is>
      </c>
      <c r="E2031" t="inlineStr">
        <is>
          <t>INV/2026/01813</t>
        </is>
      </c>
      <c r="F2031" t="inlineStr">
        <is>
          <t>Customer payment INV/2026/01813</t>
        </is>
      </c>
      <c r="G2031" s="9" t="n">
        <v>290.98</v>
      </c>
      <c r="H2031" t="inlineStr">
        <is>
          <t>customer_payment</t>
        </is>
      </c>
      <c r="I2031" t="inlineStr"/>
      <c r="J2031" t="inlineStr">
        <is>
          <t>G00254</t>
        </is>
      </c>
      <c r="K2031" t="str">
        <f>INDEX('Match Groups'!$D$5:$D$1326,MATCH(J2031,'Match Groups'!$A$5:$A$1326,0))</f>
        <v>MATCH</v>
      </c>
    </row>
    <row r="2032">
      <c r="A2032" t="inlineStr">
        <is>
          <t>JI-00771</t>
        </is>
      </c>
      <c r="B2032" t="inlineStr">
        <is>
          <t>OPS</t>
        </is>
      </c>
      <c r="C2032" s="5" t="n">
        <v>46238</v>
      </c>
      <c r="D2032" t="inlineStr">
        <is>
          <t>Southern Cross Plan Mgmt</t>
        </is>
      </c>
      <c r="E2032" t="inlineStr">
        <is>
          <t>INV/2026/01814</t>
        </is>
      </c>
      <c r="F2032" t="inlineStr">
        <is>
          <t>Customer payment INV/2026/01814</t>
        </is>
      </c>
      <c r="G2032" s="9" t="n">
        <v>193.99</v>
      </c>
      <c r="H2032" t="inlineStr">
        <is>
          <t>customer_payment</t>
        </is>
      </c>
      <c r="I2032" t="inlineStr"/>
      <c r="J2032" t="inlineStr">
        <is>
          <t>G00254</t>
        </is>
      </c>
      <c r="K2032" t="str">
        <f>INDEX('Match Groups'!$D$5:$D$1326,MATCH(J2032,'Match Groups'!$A$5:$A$1326,0))</f>
        <v>MATCH</v>
      </c>
    </row>
    <row r="2033">
      <c r="A2033" t="inlineStr">
        <is>
          <t>JI-00772</t>
        </is>
      </c>
      <c r="B2033" t="inlineStr">
        <is>
          <t>OPS</t>
        </is>
      </c>
      <c r="C2033" s="5" t="n">
        <v>46238</v>
      </c>
      <c r="D2033" t="inlineStr">
        <is>
          <t>Mallee Plan Services</t>
        </is>
      </c>
      <c r="E2033" t="inlineStr">
        <is>
          <t>INV/2026/02415</t>
        </is>
      </c>
      <c r="F2033" t="inlineStr">
        <is>
          <t>Customer payment INV/2026/02415</t>
        </is>
      </c>
      <c r="G2033" s="9" t="n">
        <v>320.98</v>
      </c>
      <c r="H2033" t="inlineStr">
        <is>
          <t>customer_payment</t>
        </is>
      </c>
      <c r="I2033" t="inlineStr"/>
      <c r="J2033" t="inlineStr">
        <is>
          <t>G00255</t>
        </is>
      </c>
      <c r="K2033" t="str">
        <f>INDEX('Match Groups'!$D$5:$D$1326,MATCH(J2033,'Match Groups'!$A$5:$A$1326,0))</f>
        <v>MATCH</v>
      </c>
    </row>
    <row r="2034">
      <c r="A2034" t="inlineStr">
        <is>
          <t>JI-00778</t>
        </is>
      </c>
      <c r="B2034" t="inlineStr">
        <is>
          <t>OPS</t>
        </is>
      </c>
      <c r="C2034" s="5" t="n">
        <v>46238</v>
      </c>
      <c r="D2034" t="inlineStr">
        <is>
          <t>Saltbush Plan Managers</t>
        </is>
      </c>
      <c r="E2034" t="inlineStr">
        <is>
          <t>INV/2026/02327</t>
        </is>
      </c>
      <c r="F2034" t="inlineStr">
        <is>
          <t>Customer payment INV/2026/02327</t>
        </is>
      </c>
      <c r="G2034" s="9" t="n">
        <v>349.18</v>
      </c>
      <c r="H2034" t="inlineStr">
        <is>
          <t>customer_payment</t>
        </is>
      </c>
      <c r="I2034" t="inlineStr"/>
      <c r="J2034" t="inlineStr">
        <is>
          <t>G00257</t>
        </is>
      </c>
      <c r="K2034" t="str">
        <f>INDEX('Match Groups'!$D$5:$D$1326,MATCH(J2034,'Match Groups'!$A$5:$A$1326,0))</f>
        <v>MATCH</v>
      </c>
    </row>
    <row r="2035">
      <c r="A2035" t="inlineStr">
        <is>
          <t>JI-00779</t>
        </is>
      </c>
      <c r="B2035" t="inlineStr">
        <is>
          <t>OPS</t>
        </is>
      </c>
      <c r="C2035" s="5" t="n">
        <v>46238</v>
      </c>
      <c r="D2035" t="inlineStr">
        <is>
          <t>Saltbush Plan Managers</t>
        </is>
      </c>
      <c r="E2035" t="inlineStr">
        <is>
          <t>INV/2026/02328</t>
        </is>
      </c>
      <c r="F2035" t="inlineStr">
        <is>
          <t>Customer payment INV/2026/02328</t>
        </is>
      </c>
      <c r="G2035" s="9" t="n">
        <v>126.99</v>
      </c>
      <c r="H2035" t="inlineStr">
        <is>
          <t>customer_payment</t>
        </is>
      </c>
      <c r="I2035" t="inlineStr"/>
      <c r="J2035" t="inlineStr">
        <is>
          <t>G00257</t>
        </is>
      </c>
      <c r="K2035" t="str">
        <f>INDEX('Match Groups'!$D$5:$D$1326,MATCH(J2035,'Match Groups'!$A$5:$A$1326,0))</f>
        <v>MATCH</v>
      </c>
    </row>
    <row r="2036">
      <c r="A2036" t="inlineStr">
        <is>
          <t>JI-00780</t>
        </is>
      </c>
      <c r="B2036" t="inlineStr">
        <is>
          <t>OPS</t>
        </is>
      </c>
      <c r="C2036" s="5" t="n">
        <v>46238</v>
      </c>
      <c r="D2036" t="inlineStr">
        <is>
          <t>Saltbush Plan Managers</t>
        </is>
      </c>
      <c r="E2036" t="inlineStr">
        <is>
          <t>INV/2026/02380</t>
        </is>
      </c>
      <c r="F2036" t="inlineStr">
        <is>
          <t>Customer payment INV/2026/02380</t>
        </is>
      </c>
      <c r="G2036" s="9" t="n">
        <v>417.98</v>
      </c>
      <c r="H2036" t="inlineStr">
        <is>
          <t>customer_payment</t>
        </is>
      </c>
      <c r="I2036" t="inlineStr"/>
      <c r="J2036" t="inlineStr">
        <is>
          <t>G00257</t>
        </is>
      </c>
      <c r="K2036" t="str">
        <f>INDEX('Match Groups'!$D$5:$D$1326,MATCH(J2036,'Match Groups'!$A$5:$A$1326,0))</f>
        <v>MATCH</v>
      </c>
    </row>
    <row r="2037">
      <c r="A2037" t="inlineStr">
        <is>
          <t>JI-01537</t>
        </is>
      </c>
      <c r="B2037" t="inlineStr">
        <is>
          <t>OPS</t>
        </is>
      </c>
      <c r="C2037" s="5" t="n">
        <v>46238</v>
      </c>
      <c r="D2037" t="inlineStr">
        <is>
          <t>Kookaburra Plan Support</t>
        </is>
      </c>
      <c r="E2037" t="inlineStr">
        <is>
          <t>INV/2026/02428</t>
        </is>
      </c>
      <c r="F2037" t="inlineStr">
        <is>
          <t>Customer payment INV/2026/02428</t>
        </is>
      </c>
      <c r="G2037" s="9" t="n">
        <v>320.98</v>
      </c>
      <c r="H2037" t="inlineStr">
        <is>
          <t>customer_payment</t>
        </is>
      </c>
      <c r="I2037" t="inlineStr"/>
      <c r="J2037" t="inlineStr">
        <is>
          <t>G01250</t>
        </is>
      </c>
      <c r="K2037" t="str">
        <f>INDEX('Match Groups'!$D$5:$D$1326,MATCH(J2037,'Match Groups'!$A$5:$A$1326,0))</f>
        <v>DUPL</v>
      </c>
    </row>
    <row r="2038">
      <c r="A2038" t="inlineStr">
        <is>
          <t>JI-01617</t>
        </is>
      </c>
      <c r="B2038" t="inlineStr">
        <is>
          <t>OPS</t>
        </is>
      </c>
      <c r="C2038" s="5" t="n">
        <v>46238</v>
      </c>
      <c r="D2038" t="inlineStr">
        <is>
          <t>Meridian Health Cover</t>
        </is>
      </c>
      <c r="E2038" t="inlineStr">
        <is>
          <t>INV/2026/02154</t>
        </is>
      </c>
      <c r="F2038" t="inlineStr">
        <is>
          <t>Customer payment INV/2026/02154</t>
        </is>
      </c>
      <c r="G2038" s="9" t="n">
        <v>132</v>
      </c>
      <c r="H2038" t="inlineStr">
        <is>
          <t>customer_payment</t>
        </is>
      </c>
      <c r="I2038" t="inlineStr"/>
      <c r="J2038" t="inlineStr">
        <is>
          <t>G00984</t>
        </is>
      </c>
      <c r="K2038" t="str">
        <f>INDEX('Match Groups'!$D$5:$D$1326,MATCH(J2038,'Match Groups'!$A$5:$A$1326,0))</f>
        <v>MATCH</v>
      </c>
    </row>
    <row r="2039">
      <c r="A2039" t="inlineStr">
        <is>
          <t>JI-02504</t>
        </is>
      </c>
      <c r="B2039" t="inlineStr">
        <is>
          <t>OPS</t>
        </is>
      </c>
      <c r="C2039" s="5" t="n">
        <v>46238</v>
      </c>
      <c r="D2039" t="inlineStr">
        <is>
          <t>Stripe patient 40295</t>
        </is>
      </c>
      <c r="E2039" t="inlineStr">
        <is>
          <t>INV/2026/04350</t>
        </is>
      </c>
      <c r="F2039" t="inlineStr">
        <is>
          <t>Customer payment INV/2026/04350</t>
        </is>
      </c>
      <c r="G2039" s="9" t="n">
        <v>110</v>
      </c>
      <c r="H2039" t="inlineStr">
        <is>
          <t>customer_payment</t>
        </is>
      </c>
      <c r="I2039" t="inlineStr"/>
      <c r="J2039" t="inlineStr">
        <is>
          <t>G00040</t>
        </is>
      </c>
      <c r="K2039" t="str">
        <f>INDEX('Match Groups'!$D$5:$D$1326,MATCH(J2039,'Match Groups'!$A$5:$A$1326,0))</f>
        <v>STRIPE-FEE</v>
      </c>
    </row>
    <row r="2040">
      <c r="A2040" t="inlineStr">
        <is>
          <t>JI-02505</t>
        </is>
      </c>
      <c r="B2040" t="inlineStr">
        <is>
          <t>OPS</t>
        </is>
      </c>
      <c r="C2040" s="5" t="n">
        <v>46238</v>
      </c>
      <c r="D2040" t="inlineStr">
        <is>
          <t>Stripe patient 15318</t>
        </is>
      </c>
      <c r="E2040" t="inlineStr">
        <is>
          <t>INV/2026/04351</t>
        </is>
      </c>
      <c r="F2040" t="inlineStr">
        <is>
          <t>Customer payment INV/2026/04351</t>
        </is>
      </c>
      <c r="G2040" s="9" t="n">
        <v>135</v>
      </c>
      <c r="H2040" t="inlineStr">
        <is>
          <t>customer_payment</t>
        </is>
      </c>
      <c r="I2040" t="inlineStr"/>
      <c r="J2040" t="inlineStr">
        <is>
          <t>G00040</t>
        </is>
      </c>
      <c r="K2040" t="str">
        <f>INDEX('Match Groups'!$D$5:$D$1326,MATCH(J2040,'Match Groups'!$A$5:$A$1326,0))</f>
        <v>STRIPE-FEE</v>
      </c>
    </row>
    <row r="2041">
      <c r="A2041" t="inlineStr">
        <is>
          <t>JI-02506</t>
        </is>
      </c>
      <c r="B2041" t="inlineStr">
        <is>
          <t>OPS</t>
        </is>
      </c>
      <c r="C2041" s="5" t="n">
        <v>46238</v>
      </c>
      <c r="D2041" t="inlineStr">
        <is>
          <t>Stripe patient 26602</t>
        </is>
      </c>
      <c r="E2041" t="inlineStr">
        <is>
          <t>INV/2026/04352</t>
        </is>
      </c>
      <c r="F2041" t="inlineStr">
        <is>
          <t>Customer payment INV/2026/04352</t>
        </is>
      </c>
      <c r="G2041" s="9" t="n">
        <v>85</v>
      </c>
      <c r="H2041" t="inlineStr">
        <is>
          <t>customer_payment</t>
        </is>
      </c>
      <c r="I2041" t="inlineStr"/>
      <c r="J2041" t="inlineStr">
        <is>
          <t>G00040</t>
        </is>
      </c>
      <c r="K2041" t="str">
        <f>INDEX('Match Groups'!$D$5:$D$1326,MATCH(J2041,'Match Groups'!$A$5:$A$1326,0))</f>
        <v>STRIPE-FEE</v>
      </c>
    </row>
    <row r="2042">
      <c r="A2042" t="inlineStr">
        <is>
          <t>JI-02507</t>
        </is>
      </c>
      <c r="B2042" t="inlineStr">
        <is>
          <t>OPS</t>
        </is>
      </c>
      <c r="C2042" s="5" t="n">
        <v>46238</v>
      </c>
      <c r="D2042" t="inlineStr">
        <is>
          <t>Stripe patient 68965</t>
        </is>
      </c>
      <c r="E2042" t="inlineStr">
        <is>
          <t>INV/2026/04353</t>
        </is>
      </c>
      <c r="F2042" t="inlineStr">
        <is>
          <t>Customer payment INV/2026/04353</t>
        </is>
      </c>
      <c r="G2042" s="9" t="n">
        <v>85</v>
      </c>
      <c r="H2042" t="inlineStr">
        <is>
          <t>customer_payment</t>
        </is>
      </c>
      <c r="I2042" t="inlineStr"/>
      <c r="J2042" t="inlineStr">
        <is>
          <t>G00040</t>
        </is>
      </c>
      <c r="K2042" t="str">
        <f>INDEX('Match Groups'!$D$5:$D$1326,MATCH(J2042,'Match Groups'!$A$5:$A$1326,0))</f>
        <v>STRIPE-FEE</v>
      </c>
    </row>
    <row r="2043">
      <c r="A2043" t="inlineStr">
        <is>
          <t>JI-02508</t>
        </is>
      </c>
      <c r="B2043" t="inlineStr">
        <is>
          <t>OPS</t>
        </is>
      </c>
      <c r="C2043" s="5" t="n">
        <v>46238</v>
      </c>
      <c r="D2043" t="inlineStr">
        <is>
          <t>Stripe patient 53569</t>
        </is>
      </c>
      <c r="E2043" t="inlineStr">
        <is>
          <t>INV/2026/04354</t>
        </is>
      </c>
      <c r="F2043" t="inlineStr">
        <is>
          <t>Customer payment INV/2026/04354</t>
        </is>
      </c>
      <c r="G2043" s="9" t="n">
        <v>220</v>
      </c>
      <c r="H2043" t="inlineStr">
        <is>
          <t>customer_payment</t>
        </is>
      </c>
      <c r="I2043" t="inlineStr"/>
      <c r="J2043" t="inlineStr">
        <is>
          <t>G00040</t>
        </is>
      </c>
      <c r="K2043" t="str">
        <f>INDEX('Match Groups'!$D$5:$D$1326,MATCH(J2043,'Match Groups'!$A$5:$A$1326,0))</f>
        <v>STRIPE-FEE</v>
      </c>
    </row>
    <row r="2044">
      <c r="A2044" t="inlineStr">
        <is>
          <t>JI-02509</t>
        </is>
      </c>
      <c r="B2044" t="inlineStr">
        <is>
          <t>OPS</t>
        </is>
      </c>
      <c r="C2044" s="5" t="n">
        <v>46238</v>
      </c>
      <c r="D2044" t="inlineStr">
        <is>
          <t>Stripe patient 89549</t>
        </is>
      </c>
      <c r="E2044" t="inlineStr">
        <is>
          <t>INV/2026/04355</t>
        </is>
      </c>
      <c r="F2044" t="inlineStr">
        <is>
          <t>Customer payment INV/2026/04355</t>
        </is>
      </c>
      <c r="G2044" s="9" t="n">
        <v>135</v>
      </c>
      <c r="H2044" t="inlineStr">
        <is>
          <t>customer_payment</t>
        </is>
      </c>
      <c r="I2044" t="inlineStr"/>
      <c r="J2044" t="inlineStr">
        <is>
          <t>G00040</t>
        </is>
      </c>
      <c r="K2044" t="str">
        <f>INDEX('Match Groups'!$D$5:$D$1326,MATCH(J2044,'Match Groups'!$A$5:$A$1326,0))</f>
        <v>STRIPE-FEE</v>
      </c>
    </row>
    <row r="2045">
      <c r="A2045" t="inlineStr">
        <is>
          <t>JI-02510</t>
        </is>
      </c>
      <c r="B2045" t="inlineStr">
        <is>
          <t>OPS</t>
        </is>
      </c>
      <c r="C2045" s="5" t="n">
        <v>46238</v>
      </c>
      <c r="D2045" t="inlineStr">
        <is>
          <t>Stripe patient 18269</t>
        </is>
      </c>
      <c r="E2045" t="inlineStr">
        <is>
          <t>INV/2026/04356</t>
        </is>
      </c>
      <c r="F2045" t="inlineStr">
        <is>
          <t>Customer payment INV/2026/04356</t>
        </is>
      </c>
      <c r="G2045" s="9" t="n">
        <v>150</v>
      </c>
      <c r="H2045" t="inlineStr">
        <is>
          <t>customer_payment</t>
        </is>
      </c>
      <c r="I2045" t="inlineStr"/>
      <c r="J2045" t="inlineStr">
        <is>
          <t>G00040</t>
        </is>
      </c>
      <c r="K2045" t="str">
        <f>INDEX('Match Groups'!$D$5:$D$1326,MATCH(J2045,'Match Groups'!$A$5:$A$1326,0))</f>
        <v>STRIPE-FEE</v>
      </c>
    </row>
    <row r="2046">
      <c r="A2046" t="inlineStr">
        <is>
          <t>JI-02511</t>
        </is>
      </c>
      <c r="B2046" t="inlineStr">
        <is>
          <t>OPS</t>
        </is>
      </c>
      <c r="C2046" s="5" t="n">
        <v>46238</v>
      </c>
      <c r="D2046" t="inlineStr">
        <is>
          <t>Stripe patient 13419</t>
        </is>
      </c>
      <c r="E2046" t="inlineStr">
        <is>
          <t>INV/2026/04357</t>
        </is>
      </c>
      <c r="F2046" t="inlineStr">
        <is>
          <t>Customer payment INV/2026/04357</t>
        </is>
      </c>
      <c r="G2046" s="9" t="n">
        <v>65</v>
      </c>
      <c r="H2046" t="inlineStr">
        <is>
          <t>customer_payment</t>
        </is>
      </c>
      <c r="I2046" t="inlineStr"/>
      <c r="J2046" t="inlineStr">
        <is>
          <t>G00040</t>
        </is>
      </c>
      <c r="K2046" t="str">
        <f>INDEX('Match Groups'!$D$5:$D$1326,MATCH(J2046,'Match Groups'!$A$5:$A$1326,0))</f>
        <v>STRIPE-FEE</v>
      </c>
    </row>
    <row r="2047">
      <c r="A2047" t="inlineStr">
        <is>
          <t>JI-02512</t>
        </is>
      </c>
      <c r="B2047" t="inlineStr">
        <is>
          <t>OPS</t>
        </is>
      </c>
      <c r="C2047" s="5" t="n">
        <v>46238</v>
      </c>
      <c r="D2047" t="inlineStr">
        <is>
          <t>Stripe patient 67492</t>
        </is>
      </c>
      <c r="E2047" t="inlineStr">
        <is>
          <t>INV/2026/04358</t>
        </is>
      </c>
      <c r="F2047" t="inlineStr">
        <is>
          <t>Customer payment INV/2026/04358</t>
        </is>
      </c>
      <c r="G2047" s="9" t="n">
        <v>65</v>
      </c>
      <c r="H2047" t="inlineStr">
        <is>
          <t>customer_payment</t>
        </is>
      </c>
      <c r="I2047" t="inlineStr"/>
      <c r="J2047" t="inlineStr">
        <is>
          <t>G00040</t>
        </is>
      </c>
      <c r="K2047" t="str">
        <f>INDEX('Match Groups'!$D$5:$D$1326,MATCH(J2047,'Match Groups'!$A$5:$A$1326,0))</f>
        <v>STRIPE-FEE</v>
      </c>
    </row>
    <row r="2048">
      <c r="A2048" t="inlineStr">
        <is>
          <t>JI-02513</t>
        </is>
      </c>
      <c r="B2048" t="inlineStr">
        <is>
          <t>OPS</t>
        </is>
      </c>
      <c r="C2048" s="5" t="n">
        <v>46238</v>
      </c>
      <c r="D2048" t="inlineStr">
        <is>
          <t>Stripe patient 86692</t>
        </is>
      </c>
      <c r="E2048" t="inlineStr">
        <is>
          <t>INV/2026/04359</t>
        </is>
      </c>
      <c r="F2048" t="inlineStr">
        <is>
          <t>Customer payment INV/2026/04359</t>
        </is>
      </c>
      <c r="G2048" s="9" t="n">
        <v>85</v>
      </c>
      <c r="H2048" t="inlineStr">
        <is>
          <t>customer_payment</t>
        </is>
      </c>
      <c r="I2048" t="inlineStr"/>
      <c r="J2048" t="inlineStr">
        <is>
          <t>G00040</t>
        </is>
      </c>
      <c r="K2048" t="str">
        <f>INDEX('Match Groups'!$D$5:$D$1326,MATCH(J2048,'Match Groups'!$A$5:$A$1326,0))</f>
        <v>STRIPE-FEE</v>
      </c>
    </row>
    <row r="2049">
      <c r="A2049" t="inlineStr">
        <is>
          <t>JI-02514</t>
        </is>
      </c>
      <c r="B2049" t="inlineStr">
        <is>
          <t>OPS</t>
        </is>
      </c>
      <c r="C2049" s="5" t="n">
        <v>46238</v>
      </c>
      <c r="D2049" t="inlineStr">
        <is>
          <t>Stripe patient 57185</t>
        </is>
      </c>
      <c r="E2049" t="inlineStr">
        <is>
          <t>INV/2026/04360</t>
        </is>
      </c>
      <c r="F2049" t="inlineStr">
        <is>
          <t>Customer payment INV/2026/04360</t>
        </is>
      </c>
      <c r="G2049" s="9" t="n">
        <v>85</v>
      </c>
      <c r="H2049" t="inlineStr">
        <is>
          <t>customer_payment</t>
        </is>
      </c>
      <c r="I2049" t="inlineStr"/>
      <c r="J2049" t="inlineStr">
        <is>
          <t>G00040</t>
        </is>
      </c>
      <c r="K2049" t="str">
        <f>INDEX('Match Groups'!$D$5:$D$1326,MATCH(J2049,'Match Groups'!$A$5:$A$1326,0))</f>
        <v>STRIPE-FEE</v>
      </c>
    </row>
    <row r="2050">
      <c r="A2050" t="inlineStr">
        <is>
          <t>JI-02515</t>
        </is>
      </c>
      <c r="B2050" t="inlineStr">
        <is>
          <t>OPS</t>
        </is>
      </c>
      <c r="C2050" s="5" t="n">
        <v>46238</v>
      </c>
      <c r="D2050" t="inlineStr">
        <is>
          <t>Stripe patient 28413</t>
        </is>
      </c>
      <c r="E2050" t="inlineStr">
        <is>
          <t>INV/2026/04361</t>
        </is>
      </c>
      <c r="F2050" t="inlineStr">
        <is>
          <t>Customer payment INV/2026/04361</t>
        </is>
      </c>
      <c r="G2050" s="9" t="n">
        <v>220</v>
      </c>
      <c r="H2050" t="inlineStr">
        <is>
          <t>customer_payment</t>
        </is>
      </c>
      <c r="I2050" t="inlineStr"/>
      <c r="J2050" t="inlineStr">
        <is>
          <t>G00040</t>
        </is>
      </c>
      <c r="K2050" t="str">
        <f>INDEX('Match Groups'!$D$5:$D$1326,MATCH(J2050,'Match Groups'!$A$5:$A$1326,0))</f>
        <v>STRIPE-FEE</v>
      </c>
    </row>
    <row r="2051">
      <c r="A2051" t="inlineStr">
        <is>
          <t>JI-02516</t>
        </is>
      </c>
      <c r="B2051" t="inlineStr">
        <is>
          <t>OPS</t>
        </is>
      </c>
      <c r="C2051" s="5" t="n">
        <v>46238</v>
      </c>
      <c r="D2051" t="inlineStr">
        <is>
          <t>Stripe patient 34818</t>
        </is>
      </c>
      <c r="E2051" t="inlineStr">
        <is>
          <t>INV/2026/04362</t>
        </is>
      </c>
      <c r="F2051" t="inlineStr">
        <is>
          <t>Customer payment INV/2026/04362</t>
        </is>
      </c>
      <c r="G2051" s="9" t="n">
        <v>65</v>
      </c>
      <c r="H2051" t="inlineStr">
        <is>
          <t>customer_payment</t>
        </is>
      </c>
      <c r="I2051" t="inlineStr"/>
      <c r="J2051" t="inlineStr">
        <is>
          <t>G00040</t>
        </is>
      </c>
      <c r="K2051" t="str">
        <f>INDEX('Match Groups'!$D$5:$D$1326,MATCH(J2051,'Match Groups'!$A$5:$A$1326,0))</f>
        <v>STRIPE-FEE</v>
      </c>
    </row>
    <row r="2052">
      <c r="A2052" t="inlineStr">
        <is>
          <t>JI-02517</t>
        </is>
      </c>
      <c r="B2052" t="inlineStr">
        <is>
          <t>OPS</t>
        </is>
      </c>
      <c r="C2052" s="5" t="n">
        <v>46238</v>
      </c>
      <c r="D2052" t="inlineStr">
        <is>
          <t>Stripe patient 27860</t>
        </is>
      </c>
      <c r="E2052" t="inlineStr">
        <is>
          <t>INV/2026/04363</t>
        </is>
      </c>
      <c r="F2052" t="inlineStr">
        <is>
          <t>Customer payment INV/2026/04363</t>
        </is>
      </c>
      <c r="G2052" s="9" t="n">
        <v>95</v>
      </c>
      <c r="H2052" t="inlineStr">
        <is>
          <t>customer_payment</t>
        </is>
      </c>
      <c r="I2052" t="inlineStr"/>
      <c r="J2052" t="inlineStr">
        <is>
          <t>G00040</t>
        </is>
      </c>
      <c r="K2052" t="str">
        <f>INDEX('Match Groups'!$D$5:$D$1326,MATCH(J2052,'Match Groups'!$A$5:$A$1326,0))</f>
        <v>STRIPE-FEE</v>
      </c>
    </row>
    <row r="2053">
      <c r="A2053" t="inlineStr">
        <is>
          <t>JI-02518</t>
        </is>
      </c>
      <c r="B2053" t="inlineStr">
        <is>
          <t>OPS</t>
        </is>
      </c>
      <c r="C2053" s="5" t="n">
        <v>46238</v>
      </c>
      <c r="D2053" t="inlineStr">
        <is>
          <t>Stripe patient 62875</t>
        </is>
      </c>
      <c r="E2053" t="inlineStr">
        <is>
          <t>INV/2026/04364</t>
        </is>
      </c>
      <c r="F2053" t="inlineStr">
        <is>
          <t>Customer payment INV/2026/04364</t>
        </is>
      </c>
      <c r="G2053" s="9" t="n">
        <v>135</v>
      </c>
      <c r="H2053" t="inlineStr">
        <is>
          <t>customer_payment</t>
        </is>
      </c>
      <c r="I2053" t="inlineStr"/>
      <c r="J2053" t="inlineStr">
        <is>
          <t>G00040</t>
        </is>
      </c>
      <c r="K2053" t="str">
        <f>INDEX('Match Groups'!$D$5:$D$1326,MATCH(J2053,'Match Groups'!$A$5:$A$1326,0))</f>
        <v>STRIPE-FEE</v>
      </c>
    </row>
    <row r="2054">
      <c r="A2054" t="inlineStr">
        <is>
          <t>JI-02519</t>
        </is>
      </c>
      <c r="B2054" t="inlineStr">
        <is>
          <t>OPS</t>
        </is>
      </c>
      <c r="C2054" s="5" t="n">
        <v>46238</v>
      </c>
      <c r="D2054" t="inlineStr">
        <is>
          <t>Stripe patient 34819</t>
        </is>
      </c>
      <c r="E2054" t="inlineStr">
        <is>
          <t>INV/2026/04365</t>
        </is>
      </c>
      <c r="F2054" t="inlineStr">
        <is>
          <t>Customer payment INV/2026/04365</t>
        </is>
      </c>
      <c r="G2054" s="9" t="n">
        <v>120</v>
      </c>
      <c r="H2054" t="inlineStr">
        <is>
          <t>customer_payment</t>
        </is>
      </c>
      <c r="I2054" t="inlineStr"/>
      <c r="J2054" t="inlineStr">
        <is>
          <t>G00040</t>
        </is>
      </c>
      <c r="K2054" t="str">
        <f>INDEX('Match Groups'!$D$5:$D$1326,MATCH(J2054,'Match Groups'!$A$5:$A$1326,0))</f>
        <v>STRIPE-FEE</v>
      </c>
    </row>
    <row r="2055">
      <c r="A2055" t="inlineStr">
        <is>
          <t>JI-02520</t>
        </is>
      </c>
      <c r="B2055" t="inlineStr">
        <is>
          <t>OPS</t>
        </is>
      </c>
      <c r="C2055" s="5" t="n">
        <v>46238</v>
      </c>
      <c r="D2055" t="inlineStr">
        <is>
          <t>Stripe patient 87377</t>
        </is>
      </c>
      <c r="E2055" t="inlineStr">
        <is>
          <t>INV/2026/04366</t>
        </is>
      </c>
      <c r="F2055" t="inlineStr">
        <is>
          <t>Customer payment INV/2026/04366</t>
        </is>
      </c>
      <c r="G2055" s="9" t="n">
        <v>180</v>
      </c>
      <c r="H2055" t="inlineStr">
        <is>
          <t>customer_payment</t>
        </is>
      </c>
      <c r="I2055" t="inlineStr"/>
      <c r="J2055" t="inlineStr">
        <is>
          <t>G00040</t>
        </is>
      </c>
      <c r="K2055" t="str">
        <f>INDEX('Match Groups'!$D$5:$D$1326,MATCH(J2055,'Match Groups'!$A$5:$A$1326,0))</f>
        <v>STRIPE-FEE</v>
      </c>
    </row>
    <row r="2056">
      <c r="A2056" t="inlineStr">
        <is>
          <t>JI-02521</t>
        </is>
      </c>
      <c r="B2056" t="inlineStr">
        <is>
          <t>OPS</t>
        </is>
      </c>
      <c r="C2056" s="5" t="n">
        <v>46238</v>
      </c>
      <c r="D2056" t="inlineStr">
        <is>
          <t>Stripe patient 53390</t>
        </is>
      </c>
      <c r="E2056" t="inlineStr">
        <is>
          <t>INV/2026/04367</t>
        </is>
      </c>
      <c r="F2056" t="inlineStr">
        <is>
          <t>Customer payment INV/2026/04367</t>
        </is>
      </c>
      <c r="G2056" s="9" t="n">
        <v>120</v>
      </c>
      <c r="H2056" t="inlineStr">
        <is>
          <t>customer_payment</t>
        </is>
      </c>
      <c r="I2056" t="inlineStr"/>
      <c r="J2056" t="inlineStr">
        <is>
          <t>G00040</t>
        </is>
      </c>
      <c r="K2056" t="str">
        <f>INDEX('Match Groups'!$D$5:$D$1326,MATCH(J2056,'Match Groups'!$A$5:$A$1326,0))</f>
        <v>STRIPE-FEE</v>
      </c>
    </row>
    <row r="2057">
      <c r="A2057" t="inlineStr">
        <is>
          <t>JI-02522</t>
        </is>
      </c>
      <c r="B2057" t="inlineStr">
        <is>
          <t>OPS</t>
        </is>
      </c>
      <c r="C2057" s="5" t="n">
        <v>46238</v>
      </c>
      <c r="D2057" t="inlineStr">
        <is>
          <t>Stripe patient 18363</t>
        </is>
      </c>
      <c r="E2057" t="inlineStr">
        <is>
          <t>INV/2026/04368</t>
        </is>
      </c>
      <c r="F2057" t="inlineStr">
        <is>
          <t>Customer payment INV/2026/04368</t>
        </is>
      </c>
      <c r="G2057" s="9" t="n">
        <v>85</v>
      </c>
      <c r="H2057" t="inlineStr">
        <is>
          <t>customer_payment</t>
        </is>
      </c>
      <c r="I2057" t="inlineStr"/>
      <c r="J2057" t="inlineStr">
        <is>
          <t>G00040</t>
        </is>
      </c>
      <c r="K2057" t="str">
        <f>INDEX('Match Groups'!$D$5:$D$1326,MATCH(J2057,'Match Groups'!$A$5:$A$1326,0))</f>
        <v>STRIPE-FEE</v>
      </c>
    </row>
    <row r="2058">
      <c r="A2058" t="inlineStr">
        <is>
          <t>JI-02523</t>
        </is>
      </c>
      <c r="B2058" t="inlineStr">
        <is>
          <t>OPS</t>
        </is>
      </c>
      <c r="C2058" s="5" t="n">
        <v>46238</v>
      </c>
      <c r="D2058" t="inlineStr">
        <is>
          <t>Stripe patient 84292</t>
        </is>
      </c>
      <c r="E2058" t="inlineStr">
        <is>
          <t>INV/2026/04369</t>
        </is>
      </c>
      <c r="F2058" t="inlineStr">
        <is>
          <t>Customer payment INV/2026/04369</t>
        </is>
      </c>
      <c r="G2058" s="9" t="n">
        <v>110</v>
      </c>
      <c r="H2058" t="inlineStr">
        <is>
          <t>customer_payment</t>
        </is>
      </c>
      <c r="I2058" t="inlineStr"/>
      <c r="J2058" t="inlineStr">
        <is>
          <t>G00040</t>
        </is>
      </c>
      <c r="K2058" t="str">
        <f>INDEX('Match Groups'!$D$5:$D$1326,MATCH(J2058,'Match Groups'!$A$5:$A$1326,0))</f>
        <v>STRIPE-FEE</v>
      </c>
    </row>
    <row r="2059">
      <c r="A2059" t="inlineStr">
        <is>
          <t>JI-02524</t>
        </is>
      </c>
      <c r="B2059" t="inlineStr">
        <is>
          <t>OPS</t>
        </is>
      </c>
      <c r="C2059" s="5" t="n">
        <v>46238</v>
      </c>
      <c r="D2059" t="inlineStr">
        <is>
          <t>Stripe patient 27675</t>
        </is>
      </c>
      <c r="E2059" t="inlineStr">
        <is>
          <t>INV/2026/04370</t>
        </is>
      </c>
      <c r="F2059" t="inlineStr">
        <is>
          <t>Customer payment INV/2026/04370</t>
        </is>
      </c>
      <c r="G2059" s="9" t="n">
        <v>120</v>
      </c>
      <c r="H2059" t="inlineStr">
        <is>
          <t>customer_payment</t>
        </is>
      </c>
      <c r="I2059" t="inlineStr"/>
      <c r="J2059" t="inlineStr">
        <is>
          <t>G00040</t>
        </is>
      </c>
      <c r="K2059" t="str">
        <f>INDEX('Match Groups'!$D$5:$D$1326,MATCH(J2059,'Match Groups'!$A$5:$A$1326,0))</f>
        <v>STRIPE-FEE</v>
      </c>
    </row>
    <row r="2060">
      <c r="A2060" t="inlineStr">
        <is>
          <t>JI-02525</t>
        </is>
      </c>
      <c r="B2060" t="inlineStr">
        <is>
          <t>OPS</t>
        </is>
      </c>
      <c r="C2060" s="5" t="n">
        <v>46238</v>
      </c>
      <c r="D2060" t="inlineStr">
        <is>
          <t>Stripe patient 45251</t>
        </is>
      </c>
      <c r="E2060" t="inlineStr">
        <is>
          <t>INV/2026/04371</t>
        </is>
      </c>
      <c r="F2060" t="inlineStr">
        <is>
          <t>Customer payment INV/2026/04371</t>
        </is>
      </c>
      <c r="G2060" s="9" t="n">
        <v>135</v>
      </c>
      <c r="H2060" t="inlineStr">
        <is>
          <t>customer_payment</t>
        </is>
      </c>
      <c r="I2060" t="inlineStr"/>
      <c r="J2060" t="inlineStr">
        <is>
          <t>G00040</t>
        </is>
      </c>
      <c r="K2060" t="str">
        <f>INDEX('Match Groups'!$D$5:$D$1326,MATCH(J2060,'Match Groups'!$A$5:$A$1326,0))</f>
        <v>STRIPE-FEE</v>
      </c>
    </row>
    <row r="2061">
      <c r="A2061" t="inlineStr">
        <is>
          <t>JI-02526</t>
        </is>
      </c>
      <c r="B2061" t="inlineStr">
        <is>
          <t>OPS</t>
        </is>
      </c>
      <c r="C2061" s="5" t="n">
        <v>46238</v>
      </c>
      <c r="D2061" t="inlineStr">
        <is>
          <t>Stripe patient 93250</t>
        </is>
      </c>
      <c r="E2061" t="inlineStr">
        <is>
          <t>INV/2026/04372</t>
        </is>
      </c>
      <c r="F2061" t="inlineStr">
        <is>
          <t>Customer payment INV/2026/04372</t>
        </is>
      </c>
      <c r="G2061" s="9" t="n">
        <v>85</v>
      </c>
      <c r="H2061" t="inlineStr">
        <is>
          <t>customer_payment</t>
        </is>
      </c>
      <c r="I2061" t="inlineStr"/>
      <c r="J2061" t="inlineStr">
        <is>
          <t>G00040</t>
        </is>
      </c>
      <c r="K2061" t="str">
        <f>INDEX('Match Groups'!$D$5:$D$1326,MATCH(J2061,'Match Groups'!$A$5:$A$1326,0))</f>
        <v>STRIPE-FEE</v>
      </c>
    </row>
    <row r="2062">
      <c r="A2062" t="inlineStr">
        <is>
          <t>JI-02527</t>
        </is>
      </c>
      <c r="B2062" t="inlineStr">
        <is>
          <t>OPS</t>
        </is>
      </c>
      <c r="C2062" s="5" t="n">
        <v>46238</v>
      </c>
      <c r="D2062" t="inlineStr">
        <is>
          <t>Stripe patient 81992</t>
        </is>
      </c>
      <c r="E2062" t="inlineStr">
        <is>
          <t>INV/2026/04373</t>
        </is>
      </c>
      <c r="F2062" t="inlineStr">
        <is>
          <t>Customer payment INV/2026/04373</t>
        </is>
      </c>
      <c r="G2062" s="9" t="n">
        <v>135</v>
      </c>
      <c r="H2062" t="inlineStr">
        <is>
          <t>customer_payment</t>
        </is>
      </c>
      <c r="I2062" t="inlineStr"/>
      <c r="J2062" t="inlineStr">
        <is>
          <t>G00040</t>
        </is>
      </c>
      <c r="K2062" t="str">
        <f>INDEX('Match Groups'!$D$5:$D$1326,MATCH(J2062,'Match Groups'!$A$5:$A$1326,0))</f>
        <v>STRIPE-FEE</v>
      </c>
    </row>
    <row r="2063">
      <c r="A2063" t="inlineStr">
        <is>
          <t>JI-02528</t>
        </is>
      </c>
      <c r="B2063" t="inlineStr">
        <is>
          <t>OPS</t>
        </is>
      </c>
      <c r="C2063" s="5" t="n">
        <v>46238</v>
      </c>
      <c r="D2063" t="inlineStr">
        <is>
          <t>Stripe patient 42441</t>
        </is>
      </c>
      <c r="E2063" t="inlineStr">
        <is>
          <t>INV/2026/04374</t>
        </is>
      </c>
      <c r="F2063" t="inlineStr">
        <is>
          <t>Customer payment INV/2026/04374</t>
        </is>
      </c>
      <c r="G2063" s="9" t="n">
        <v>110</v>
      </c>
      <c r="H2063" t="inlineStr">
        <is>
          <t>customer_payment</t>
        </is>
      </c>
      <c r="I2063" t="inlineStr"/>
      <c r="J2063" t="inlineStr">
        <is>
          <t>G00040</t>
        </is>
      </c>
      <c r="K2063" t="str">
        <f>INDEX('Match Groups'!$D$5:$D$1326,MATCH(J2063,'Match Groups'!$A$5:$A$1326,0))</f>
        <v>STRIPE-FEE</v>
      </c>
    </row>
    <row r="2064">
      <c r="A2064" t="inlineStr">
        <is>
          <t>JI-02529</t>
        </is>
      </c>
      <c r="B2064" t="inlineStr">
        <is>
          <t>OPS</t>
        </is>
      </c>
      <c r="C2064" s="5" t="n">
        <v>46238</v>
      </c>
      <c r="D2064" t="inlineStr">
        <is>
          <t>Stripe patient 32844</t>
        </is>
      </c>
      <c r="E2064" t="inlineStr">
        <is>
          <t>INV/2026/04375</t>
        </is>
      </c>
      <c r="F2064" t="inlineStr">
        <is>
          <t>Customer payment INV/2026/04375</t>
        </is>
      </c>
      <c r="G2064" s="9" t="n">
        <v>220</v>
      </c>
      <c r="H2064" t="inlineStr">
        <is>
          <t>customer_payment</t>
        </is>
      </c>
      <c r="I2064" t="inlineStr"/>
      <c r="J2064" t="inlineStr">
        <is>
          <t>G00040</t>
        </is>
      </c>
      <c r="K2064" t="str">
        <f>INDEX('Match Groups'!$D$5:$D$1326,MATCH(J2064,'Match Groups'!$A$5:$A$1326,0))</f>
        <v>STRIPE-FEE</v>
      </c>
    </row>
    <row r="2065">
      <c r="A2065" t="inlineStr">
        <is>
          <t>JI-02530</t>
        </is>
      </c>
      <c r="B2065" t="inlineStr">
        <is>
          <t>OPS</t>
        </is>
      </c>
      <c r="C2065" s="5" t="n">
        <v>46238</v>
      </c>
      <c r="D2065" t="inlineStr">
        <is>
          <t>Stripe patient 50381</t>
        </is>
      </c>
      <c r="E2065" t="inlineStr">
        <is>
          <t>INV/2026/04376</t>
        </is>
      </c>
      <c r="F2065" t="inlineStr">
        <is>
          <t>Customer payment INV/2026/04376</t>
        </is>
      </c>
      <c r="G2065" s="9" t="n">
        <v>135</v>
      </c>
      <c r="H2065" t="inlineStr">
        <is>
          <t>customer_payment</t>
        </is>
      </c>
      <c r="I2065" t="inlineStr"/>
      <c r="J2065" t="inlineStr">
        <is>
          <t>G00040</t>
        </is>
      </c>
      <c r="K2065" t="str">
        <f>INDEX('Match Groups'!$D$5:$D$1326,MATCH(J2065,'Match Groups'!$A$5:$A$1326,0))</f>
        <v>STRIPE-FEE</v>
      </c>
    </row>
    <row r="2066">
      <c r="A2066" t="inlineStr">
        <is>
          <t>JI-02531</t>
        </is>
      </c>
      <c r="B2066" t="inlineStr">
        <is>
          <t>OPS</t>
        </is>
      </c>
      <c r="C2066" s="5" t="n">
        <v>46238</v>
      </c>
      <c r="D2066" t="inlineStr">
        <is>
          <t>Stripe patient 78218</t>
        </is>
      </c>
      <c r="E2066" t="inlineStr">
        <is>
          <t>INV/2026/04377</t>
        </is>
      </c>
      <c r="F2066" t="inlineStr">
        <is>
          <t>Customer payment INV/2026/04377</t>
        </is>
      </c>
      <c r="G2066" s="9" t="n">
        <v>220</v>
      </c>
      <c r="H2066" t="inlineStr">
        <is>
          <t>customer_payment</t>
        </is>
      </c>
      <c r="I2066" t="inlineStr"/>
      <c r="J2066" t="inlineStr">
        <is>
          <t>G00040</t>
        </is>
      </c>
      <c r="K2066" t="str">
        <f>INDEX('Match Groups'!$D$5:$D$1326,MATCH(J2066,'Match Groups'!$A$5:$A$1326,0))</f>
        <v>STRIPE-FEE</v>
      </c>
    </row>
    <row r="2067">
      <c r="A2067" t="inlineStr">
        <is>
          <t>JI-02532</t>
        </is>
      </c>
      <c r="B2067" t="inlineStr">
        <is>
          <t>OPS</t>
        </is>
      </c>
      <c r="C2067" s="5" t="n">
        <v>46238</v>
      </c>
      <c r="D2067" t="inlineStr">
        <is>
          <t>Stripe patient 92494</t>
        </is>
      </c>
      <c r="E2067" t="inlineStr">
        <is>
          <t>INV/2026/04378</t>
        </is>
      </c>
      <c r="F2067" t="inlineStr">
        <is>
          <t>Customer payment INV/2026/04378</t>
        </is>
      </c>
      <c r="G2067" s="9" t="n">
        <v>110</v>
      </c>
      <c r="H2067" t="inlineStr">
        <is>
          <t>customer_payment</t>
        </is>
      </c>
      <c r="I2067" t="inlineStr"/>
      <c r="J2067" t="inlineStr">
        <is>
          <t>G00040</t>
        </is>
      </c>
      <c r="K2067" t="str">
        <f>INDEX('Match Groups'!$D$5:$D$1326,MATCH(J2067,'Match Groups'!$A$5:$A$1326,0))</f>
        <v>STRIPE-FEE</v>
      </c>
    </row>
    <row r="2068">
      <c r="A2068" t="inlineStr">
        <is>
          <t>JI-02533</t>
        </is>
      </c>
      <c r="B2068" t="inlineStr">
        <is>
          <t>OPS</t>
        </is>
      </c>
      <c r="C2068" s="5" t="n">
        <v>46238</v>
      </c>
      <c r="D2068" t="inlineStr">
        <is>
          <t>Stripe patient 65321</t>
        </is>
      </c>
      <c r="E2068" t="inlineStr">
        <is>
          <t>INV/2026/04379</t>
        </is>
      </c>
      <c r="F2068" t="inlineStr">
        <is>
          <t>Customer payment INV/2026/04379</t>
        </is>
      </c>
      <c r="G2068" s="9" t="n">
        <v>110</v>
      </c>
      <c r="H2068" t="inlineStr">
        <is>
          <t>customer_payment</t>
        </is>
      </c>
      <c r="I2068" t="inlineStr"/>
      <c r="J2068" t="inlineStr">
        <is>
          <t>G00040</t>
        </is>
      </c>
      <c r="K2068" t="str">
        <f>INDEX('Match Groups'!$D$5:$D$1326,MATCH(J2068,'Match Groups'!$A$5:$A$1326,0))</f>
        <v>STRIPE-FEE</v>
      </c>
    </row>
    <row r="2069">
      <c r="A2069" t="inlineStr">
        <is>
          <t>JI-02534</t>
        </is>
      </c>
      <c r="B2069" t="inlineStr">
        <is>
          <t>OPS</t>
        </is>
      </c>
      <c r="C2069" s="5" t="n">
        <v>46238</v>
      </c>
      <c r="D2069" t="inlineStr">
        <is>
          <t>Stripe patient 88783</t>
        </is>
      </c>
      <c r="E2069" t="inlineStr">
        <is>
          <t>INV/2026/04380</t>
        </is>
      </c>
      <c r="F2069" t="inlineStr">
        <is>
          <t>Customer payment INV/2026/04380</t>
        </is>
      </c>
      <c r="G2069" s="9" t="n">
        <v>95</v>
      </c>
      <c r="H2069" t="inlineStr">
        <is>
          <t>customer_payment</t>
        </is>
      </c>
      <c r="I2069" t="inlineStr"/>
      <c r="J2069" t="inlineStr">
        <is>
          <t>G00040</t>
        </is>
      </c>
      <c r="K2069" t="str">
        <f>INDEX('Match Groups'!$D$5:$D$1326,MATCH(J2069,'Match Groups'!$A$5:$A$1326,0))</f>
        <v>STRIPE-FEE</v>
      </c>
    </row>
    <row r="2070">
      <c r="A2070" t="inlineStr">
        <is>
          <t>JI-02535</t>
        </is>
      </c>
      <c r="B2070" t="inlineStr">
        <is>
          <t>OPS</t>
        </is>
      </c>
      <c r="C2070" s="5" t="n">
        <v>46238</v>
      </c>
      <c r="D2070" t="inlineStr">
        <is>
          <t>Stripe patient 27804</t>
        </is>
      </c>
      <c r="E2070" t="inlineStr">
        <is>
          <t>INV/2026/04381</t>
        </is>
      </c>
      <c r="F2070" t="inlineStr">
        <is>
          <t>Customer payment INV/2026/04381</t>
        </is>
      </c>
      <c r="G2070" s="9" t="n">
        <v>180</v>
      </c>
      <c r="H2070" t="inlineStr">
        <is>
          <t>customer_payment</t>
        </is>
      </c>
      <c r="I2070" t="inlineStr"/>
      <c r="J2070" t="inlineStr">
        <is>
          <t>G00040</t>
        </is>
      </c>
      <c r="K2070" t="str">
        <f>INDEX('Match Groups'!$D$5:$D$1326,MATCH(J2070,'Match Groups'!$A$5:$A$1326,0))</f>
        <v>STRIPE-FEE</v>
      </c>
    </row>
    <row r="2071">
      <c r="A2071" t="inlineStr">
        <is>
          <t>JI-02536</t>
        </is>
      </c>
      <c r="B2071" t="inlineStr">
        <is>
          <t>OPS</t>
        </is>
      </c>
      <c r="C2071" s="5" t="n">
        <v>46238</v>
      </c>
      <c r="D2071" t="inlineStr">
        <is>
          <t>Stripe patient 80765</t>
        </is>
      </c>
      <c r="E2071" t="inlineStr">
        <is>
          <t>INV/2026/04382</t>
        </is>
      </c>
      <c r="F2071" t="inlineStr">
        <is>
          <t>Customer payment INV/2026/04382</t>
        </is>
      </c>
      <c r="G2071" s="9" t="n">
        <v>220</v>
      </c>
      <c r="H2071" t="inlineStr">
        <is>
          <t>customer_payment</t>
        </is>
      </c>
      <c r="I2071" t="inlineStr"/>
      <c r="J2071" t="inlineStr">
        <is>
          <t>G00040</t>
        </is>
      </c>
      <c r="K2071" t="str">
        <f>INDEX('Match Groups'!$D$5:$D$1326,MATCH(J2071,'Match Groups'!$A$5:$A$1326,0))</f>
        <v>STRIPE-FEE</v>
      </c>
    </row>
    <row r="2072">
      <c r="A2072" t="inlineStr">
        <is>
          <t>JI-02537</t>
        </is>
      </c>
      <c r="B2072" t="inlineStr">
        <is>
          <t>OPS</t>
        </is>
      </c>
      <c r="C2072" s="5" t="n">
        <v>46238</v>
      </c>
      <c r="D2072" t="inlineStr">
        <is>
          <t>Stripe patient 15577</t>
        </is>
      </c>
      <c r="E2072" t="inlineStr">
        <is>
          <t>INV/2026/04383</t>
        </is>
      </c>
      <c r="F2072" t="inlineStr">
        <is>
          <t>Customer payment INV/2026/04383</t>
        </is>
      </c>
      <c r="G2072" s="9" t="n">
        <v>120</v>
      </c>
      <c r="H2072" t="inlineStr">
        <is>
          <t>customer_payment</t>
        </is>
      </c>
      <c r="I2072" t="inlineStr"/>
      <c r="J2072" t="inlineStr">
        <is>
          <t>G00040</t>
        </is>
      </c>
      <c r="K2072" t="str">
        <f>INDEX('Match Groups'!$D$5:$D$1326,MATCH(J2072,'Match Groups'!$A$5:$A$1326,0))</f>
        <v>STRIPE-FEE</v>
      </c>
    </row>
    <row r="2073">
      <c r="A2073" t="inlineStr">
        <is>
          <t>JI-03904</t>
        </is>
      </c>
      <c r="B2073" t="inlineStr">
        <is>
          <t>OPS</t>
        </is>
      </c>
      <c r="C2073" s="5" t="n">
        <v>46238</v>
      </c>
      <c r="D2073" t="inlineStr">
        <is>
          <t>Collins St Property Trust</t>
        </is>
      </c>
      <c r="E2073" t="inlineStr">
        <is>
          <t>BILL/2026/1010</t>
        </is>
      </c>
      <c r="F2073" t="inlineStr">
        <is>
          <t>Vendor payment BILL/2026/1010</t>
        </is>
      </c>
      <c r="G2073" s="9" t="n">
        <v>-14850</v>
      </c>
      <c r="H2073" t="inlineStr">
        <is>
          <t>supplier_payment</t>
        </is>
      </c>
      <c r="I2073" t="inlineStr"/>
      <c r="J2073" t="inlineStr">
        <is>
          <t>G01132</t>
        </is>
      </c>
      <c r="K2073" t="str">
        <f>INDEX('Match Groups'!$D$5:$D$1326,MATCH(J2073,'Match Groups'!$A$5:$A$1326,0))</f>
        <v>MATCH</v>
      </c>
    </row>
    <row r="2074">
      <c r="A2074" t="inlineStr">
        <is>
          <t>JI-00773</t>
        </is>
      </c>
      <c r="B2074" t="inlineStr">
        <is>
          <t>OPS</t>
        </is>
      </c>
      <c r="C2074" s="5" t="n">
        <v>46239</v>
      </c>
      <c r="D2074" t="inlineStr">
        <is>
          <t>Riverbend Plan Partners</t>
        </is>
      </c>
      <c r="E2074" t="inlineStr">
        <is>
          <t>INV/2026/02348</t>
        </is>
      </c>
      <c r="F2074" t="inlineStr">
        <is>
          <t>Customer payment INV/2026/02348</t>
        </is>
      </c>
      <c r="G2074" s="9" t="n">
        <v>193.99</v>
      </c>
      <c r="H2074" t="inlineStr">
        <is>
          <t>customer_payment</t>
        </is>
      </c>
      <c r="I2074" t="inlineStr"/>
      <c r="J2074" t="inlineStr">
        <is>
          <t>G00256</t>
        </is>
      </c>
      <c r="K2074" t="str">
        <f>INDEX('Match Groups'!$D$5:$D$1326,MATCH(J2074,'Match Groups'!$A$5:$A$1326,0))</f>
        <v>MATCH</v>
      </c>
    </row>
    <row r="2075">
      <c r="A2075" t="inlineStr">
        <is>
          <t>JI-00774</t>
        </is>
      </c>
      <c r="B2075" t="inlineStr">
        <is>
          <t>OPS</t>
        </is>
      </c>
      <c r="C2075" s="5" t="n">
        <v>46239</v>
      </c>
      <c r="D2075" t="inlineStr">
        <is>
          <t>Riverbend Plan Partners</t>
        </is>
      </c>
      <c r="E2075" t="inlineStr">
        <is>
          <t>INV/2026/02390</t>
        </is>
      </c>
      <c r="F2075" t="inlineStr">
        <is>
          <t>Customer payment INV/2026/02390</t>
        </is>
      </c>
      <c r="G2075" s="9" t="n">
        <v>290.98</v>
      </c>
      <c r="H2075" t="inlineStr">
        <is>
          <t>customer_payment</t>
        </is>
      </c>
      <c r="I2075" t="inlineStr"/>
      <c r="J2075" t="inlineStr">
        <is>
          <t>G00256</t>
        </is>
      </c>
      <c r="K2075" t="str">
        <f>INDEX('Match Groups'!$D$5:$D$1326,MATCH(J2075,'Match Groups'!$A$5:$A$1326,0))</f>
        <v>MATCH</v>
      </c>
    </row>
    <row r="2076">
      <c r="A2076" t="inlineStr">
        <is>
          <t>JI-00775</t>
        </is>
      </c>
      <c r="B2076" t="inlineStr">
        <is>
          <t>OPS</t>
        </is>
      </c>
      <c r="C2076" s="5" t="n">
        <v>46239</v>
      </c>
      <c r="D2076" t="inlineStr">
        <is>
          <t>Riverbend Plan Partners</t>
        </is>
      </c>
      <c r="E2076" t="inlineStr">
        <is>
          <t>INV/2026/02391</t>
        </is>
      </c>
      <c r="F2076" t="inlineStr">
        <is>
          <t>Customer payment INV/2026/02391</t>
        </is>
      </c>
      <c r="G2076" s="9" t="n">
        <v>387.98</v>
      </c>
      <c r="H2076" t="inlineStr">
        <is>
          <t>customer_payment</t>
        </is>
      </c>
      <c r="I2076" t="inlineStr"/>
      <c r="J2076" t="inlineStr">
        <is>
          <t>G00256</t>
        </is>
      </c>
      <c r="K2076" t="str">
        <f>INDEX('Match Groups'!$D$5:$D$1326,MATCH(J2076,'Match Groups'!$A$5:$A$1326,0))</f>
        <v>MATCH</v>
      </c>
    </row>
    <row r="2077">
      <c r="A2077" t="inlineStr">
        <is>
          <t>JI-00776</t>
        </is>
      </c>
      <c r="B2077" t="inlineStr">
        <is>
          <t>OPS</t>
        </is>
      </c>
      <c r="C2077" s="5" t="n">
        <v>46239</v>
      </c>
      <c r="D2077" t="inlineStr">
        <is>
          <t>Riverbend Plan Partners</t>
        </is>
      </c>
      <c r="E2077" t="inlineStr">
        <is>
          <t>INV/2026/02392</t>
        </is>
      </c>
      <c r="F2077" t="inlineStr">
        <is>
          <t>Customer payment INV/2026/02392</t>
        </is>
      </c>
      <c r="G2077" s="9" t="n">
        <v>290.98</v>
      </c>
      <c r="H2077" t="inlineStr">
        <is>
          <t>customer_payment</t>
        </is>
      </c>
      <c r="I2077" t="inlineStr"/>
      <c r="J2077" t="inlineStr">
        <is>
          <t>G00256</t>
        </is>
      </c>
      <c r="K2077" t="str">
        <f>INDEX('Match Groups'!$D$5:$D$1326,MATCH(J2077,'Match Groups'!$A$5:$A$1326,0))</f>
        <v>MATCH</v>
      </c>
    </row>
    <row r="2078">
      <c r="A2078" t="inlineStr">
        <is>
          <t>JI-00777</t>
        </is>
      </c>
      <c r="B2078" t="inlineStr">
        <is>
          <t>OPS</t>
        </is>
      </c>
      <c r="C2078" s="5" t="n">
        <v>46239</v>
      </c>
      <c r="D2078" t="inlineStr">
        <is>
          <t>Riverbend Plan Partners</t>
        </is>
      </c>
      <c r="E2078" t="inlineStr">
        <is>
          <t>INV/2026/02420</t>
        </is>
      </c>
      <c r="F2078" t="inlineStr">
        <is>
          <t>Customer payment INV/2026/02420</t>
        </is>
      </c>
      <c r="G2078" s="9" t="n">
        <v>193.99</v>
      </c>
      <c r="H2078" t="inlineStr">
        <is>
          <t>customer_payment</t>
        </is>
      </c>
      <c r="I2078" t="inlineStr"/>
      <c r="J2078" t="inlineStr">
        <is>
          <t>G00256</t>
        </is>
      </c>
      <c r="K2078" t="str">
        <f>INDEX('Match Groups'!$D$5:$D$1326,MATCH(J2078,'Match Groups'!$A$5:$A$1326,0))</f>
        <v>MATCH</v>
      </c>
    </row>
    <row r="2079">
      <c r="A2079" t="inlineStr">
        <is>
          <t>JI-00781</t>
        </is>
      </c>
      <c r="B2079" t="inlineStr">
        <is>
          <t>OPS</t>
        </is>
      </c>
      <c r="C2079" s="5" t="n">
        <v>46239</v>
      </c>
      <c r="D2079" t="inlineStr">
        <is>
          <t>Redgum Plan Admin</t>
        </is>
      </c>
      <c r="E2079" t="inlineStr">
        <is>
          <t>INV/2026/02358</t>
        </is>
      </c>
      <c r="F2079" t="inlineStr">
        <is>
          <t>Customer payment INV/2026/02358</t>
        </is>
      </c>
      <c r="G2079" s="9" t="n">
        <v>96.98999999999999</v>
      </c>
      <c r="H2079" t="inlineStr">
        <is>
          <t>customer_payment</t>
        </is>
      </c>
      <c r="I2079" t="inlineStr"/>
      <c r="J2079" t="inlineStr">
        <is>
          <t>G00258</t>
        </is>
      </c>
      <c r="K2079" t="str">
        <f>INDEX('Match Groups'!$D$5:$D$1326,MATCH(J2079,'Match Groups'!$A$5:$A$1326,0))</f>
        <v>MATCH</v>
      </c>
    </row>
    <row r="2080">
      <c r="A2080" t="inlineStr">
        <is>
          <t>JI-00782</t>
        </is>
      </c>
      <c r="B2080" t="inlineStr">
        <is>
          <t>OPS</t>
        </is>
      </c>
      <c r="C2080" s="5" t="n">
        <v>46239</v>
      </c>
      <c r="D2080" t="inlineStr">
        <is>
          <t>Redgum Plan Admin</t>
        </is>
      </c>
      <c r="E2080" t="inlineStr">
        <is>
          <t>INV/2026/02381</t>
        </is>
      </c>
      <c r="F2080" t="inlineStr">
        <is>
          <t>Customer payment INV/2026/02381</t>
        </is>
      </c>
      <c r="G2080" s="9" t="n">
        <v>272.49</v>
      </c>
      <c r="H2080" t="inlineStr">
        <is>
          <t>customer_payment</t>
        </is>
      </c>
      <c r="I2080" t="inlineStr"/>
      <c r="J2080" t="inlineStr">
        <is>
          <t>G00258</t>
        </is>
      </c>
      <c r="K2080" t="str">
        <f>INDEX('Match Groups'!$D$5:$D$1326,MATCH(J2080,'Match Groups'!$A$5:$A$1326,0))</f>
        <v>MATCH</v>
      </c>
    </row>
    <row r="2081">
      <c r="A2081" t="inlineStr">
        <is>
          <t>JI-00783</t>
        </is>
      </c>
      <c r="B2081" t="inlineStr">
        <is>
          <t>OPS</t>
        </is>
      </c>
      <c r="C2081" s="5" t="n">
        <v>46239</v>
      </c>
      <c r="D2081" t="inlineStr">
        <is>
          <t>Redgum Plan Admin</t>
        </is>
      </c>
      <c r="E2081" t="inlineStr">
        <is>
          <t>INV/2026/02404</t>
        </is>
      </c>
      <c r="F2081" t="inlineStr">
        <is>
          <t>Customer payment INV/2026/02404</t>
        </is>
      </c>
      <c r="G2081" s="9" t="n">
        <v>96.98999999999999</v>
      </c>
      <c r="H2081" t="inlineStr">
        <is>
          <t>customer_payment</t>
        </is>
      </c>
      <c r="I2081" t="inlineStr"/>
      <c r="J2081" t="inlineStr">
        <is>
          <t>G00258</t>
        </is>
      </c>
      <c r="K2081" t="str">
        <f>INDEX('Match Groups'!$D$5:$D$1326,MATCH(J2081,'Match Groups'!$A$5:$A$1326,0))</f>
        <v>MATCH</v>
      </c>
    </row>
    <row r="2082">
      <c r="A2082" t="inlineStr">
        <is>
          <t>JI-00784</t>
        </is>
      </c>
      <c r="B2082" t="inlineStr">
        <is>
          <t>OPS</t>
        </is>
      </c>
      <c r="C2082" s="5" t="n">
        <v>46239</v>
      </c>
      <c r="D2082" t="inlineStr">
        <is>
          <t>Redgum Plan Admin</t>
        </is>
      </c>
      <c r="E2082" t="inlineStr">
        <is>
          <t>INV/2026/02430</t>
        </is>
      </c>
      <c r="F2082" t="inlineStr">
        <is>
          <t>Customer payment INV/2026/02430</t>
        </is>
      </c>
      <c r="G2082" s="9" t="n">
        <v>175.49</v>
      </c>
      <c r="H2082" t="inlineStr">
        <is>
          <t>customer_payment</t>
        </is>
      </c>
      <c r="I2082" t="inlineStr"/>
      <c r="J2082" t="inlineStr">
        <is>
          <t>G00258</t>
        </is>
      </c>
      <c r="K2082" t="str">
        <f>INDEX('Match Groups'!$D$5:$D$1326,MATCH(J2082,'Match Groups'!$A$5:$A$1326,0))</f>
        <v>MATCH</v>
      </c>
    </row>
    <row r="2083">
      <c r="A2083" t="inlineStr">
        <is>
          <t>JI-00785</t>
        </is>
      </c>
      <c r="B2083" t="inlineStr">
        <is>
          <t>OPS</t>
        </is>
      </c>
      <c r="C2083" s="5" t="n">
        <v>46239</v>
      </c>
      <c r="D2083" t="inlineStr">
        <is>
          <t>Redgum Plan Admin</t>
        </is>
      </c>
      <c r="E2083" t="inlineStr">
        <is>
          <t>INV/2026/02432</t>
        </is>
      </c>
      <c r="F2083" t="inlineStr">
        <is>
          <t>Customer payment INV/2026/02432</t>
        </is>
      </c>
      <c r="G2083" s="9" t="n">
        <v>290.98</v>
      </c>
      <c r="H2083" t="inlineStr">
        <is>
          <t>customer_payment</t>
        </is>
      </c>
      <c r="I2083" t="inlineStr"/>
      <c r="J2083" t="inlineStr">
        <is>
          <t>G00258</t>
        </is>
      </c>
      <c r="K2083" t="str">
        <f>INDEX('Match Groups'!$D$5:$D$1326,MATCH(J2083,'Match Groups'!$A$5:$A$1326,0))</f>
        <v>MATCH</v>
      </c>
    </row>
    <row r="2084">
      <c r="A2084" t="inlineStr">
        <is>
          <t>JI-00786</t>
        </is>
      </c>
      <c r="B2084" t="inlineStr">
        <is>
          <t>OPS</t>
        </is>
      </c>
      <c r="C2084" s="5" t="n">
        <v>46239</v>
      </c>
      <c r="D2084" t="inlineStr">
        <is>
          <t>Tallowwood Plans</t>
        </is>
      </c>
      <c r="E2084" t="inlineStr">
        <is>
          <t>INV/2026/02335</t>
        </is>
      </c>
      <c r="F2084" t="inlineStr">
        <is>
          <t>Customer payment INV/2026/02335</t>
        </is>
      </c>
      <c r="G2084" s="9" t="n">
        <v>446.18</v>
      </c>
      <c r="H2084" t="inlineStr">
        <is>
          <t>customer_payment</t>
        </is>
      </c>
      <c r="I2084" t="inlineStr"/>
      <c r="J2084" t="inlineStr">
        <is>
          <t>G00259</t>
        </is>
      </c>
      <c r="K2084" t="str">
        <f>INDEX('Match Groups'!$D$5:$D$1326,MATCH(J2084,'Match Groups'!$A$5:$A$1326,0))</f>
        <v>MATCH</v>
      </c>
    </row>
    <row r="2085">
      <c r="A2085" t="inlineStr">
        <is>
          <t>JI-00787</t>
        </is>
      </c>
      <c r="B2085" t="inlineStr">
        <is>
          <t>OPS</t>
        </is>
      </c>
      <c r="C2085" s="5" t="n">
        <v>46239</v>
      </c>
      <c r="D2085" t="inlineStr">
        <is>
          <t>Tallowwood Plans</t>
        </is>
      </c>
      <c r="E2085" t="inlineStr">
        <is>
          <t>INV/2026/02337</t>
        </is>
      </c>
      <c r="F2085" t="inlineStr">
        <is>
          <t>Customer payment INV/2026/02337</t>
        </is>
      </c>
      <c r="G2085" s="9" t="n">
        <v>417.98</v>
      </c>
      <c r="H2085" t="inlineStr">
        <is>
          <t>customer_payment</t>
        </is>
      </c>
      <c r="I2085" t="inlineStr"/>
      <c r="J2085" t="inlineStr">
        <is>
          <t>G00259</t>
        </is>
      </c>
      <c r="K2085" t="str">
        <f>INDEX('Match Groups'!$D$5:$D$1326,MATCH(J2085,'Match Groups'!$A$5:$A$1326,0))</f>
        <v>MATCH</v>
      </c>
    </row>
    <row r="2086">
      <c r="A2086" t="inlineStr">
        <is>
          <t>JI-00788</t>
        </is>
      </c>
      <c r="B2086" t="inlineStr">
        <is>
          <t>OPS</t>
        </is>
      </c>
      <c r="C2086" s="5" t="n">
        <v>46239</v>
      </c>
      <c r="D2086" t="inlineStr">
        <is>
          <t>Tallowwood Plans</t>
        </is>
      </c>
      <c r="E2086" t="inlineStr">
        <is>
          <t>INV/2026/02384</t>
        </is>
      </c>
      <c r="F2086" t="inlineStr">
        <is>
          <t>Customer payment INV/2026/02384</t>
        </is>
      </c>
      <c r="G2086" s="9" t="n">
        <v>193.99</v>
      </c>
      <c r="H2086" t="inlineStr">
        <is>
          <t>customer_payment</t>
        </is>
      </c>
      <c r="I2086" t="inlineStr"/>
      <c r="J2086" t="inlineStr">
        <is>
          <t>G00259</t>
        </is>
      </c>
      <c r="K2086" t="str">
        <f>INDEX('Match Groups'!$D$5:$D$1326,MATCH(J2086,'Match Groups'!$A$5:$A$1326,0))</f>
        <v>MATCH</v>
      </c>
    </row>
    <row r="2087">
      <c r="A2087" t="inlineStr">
        <is>
          <t>JI-00789</t>
        </is>
      </c>
      <c r="B2087" t="inlineStr">
        <is>
          <t>OPS</t>
        </is>
      </c>
      <c r="C2087" s="5" t="n">
        <v>46239</v>
      </c>
      <c r="D2087" t="inlineStr">
        <is>
          <t>Acacia Plan Partners</t>
        </is>
      </c>
      <c r="E2087" t="inlineStr">
        <is>
          <t>INV/2026/02339</t>
        </is>
      </c>
      <c r="F2087" t="inlineStr">
        <is>
          <t>Customer payment INV/2026/02339</t>
        </is>
      </c>
      <c r="G2087" s="9" t="n">
        <v>203.69</v>
      </c>
      <c r="H2087" t="inlineStr">
        <is>
          <t>customer_payment</t>
        </is>
      </c>
      <c r="I2087" t="inlineStr"/>
      <c r="J2087" t="inlineStr">
        <is>
          <t>G00260</t>
        </is>
      </c>
      <c r="K2087" t="str">
        <f>INDEX('Match Groups'!$D$5:$D$1326,MATCH(J2087,'Match Groups'!$A$5:$A$1326,0))</f>
        <v>MATCH</v>
      </c>
    </row>
    <row r="2088">
      <c r="A2088" t="inlineStr">
        <is>
          <t>JI-00790</t>
        </is>
      </c>
      <c r="B2088" t="inlineStr">
        <is>
          <t>OPS</t>
        </is>
      </c>
      <c r="C2088" s="5" t="n">
        <v>46239</v>
      </c>
      <c r="D2088" t="inlineStr">
        <is>
          <t>Acacia Plan Partners</t>
        </is>
      </c>
      <c r="E2088" t="inlineStr">
        <is>
          <t>INV/2026/02365</t>
        </is>
      </c>
      <c r="F2088" t="inlineStr">
        <is>
          <t>Customer payment INV/2026/02365</t>
        </is>
      </c>
      <c r="G2088" s="9" t="n">
        <v>290.98</v>
      </c>
      <c r="H2088" t="inlineStr">
        <is>
          <t>customer_payment</t>
        </is>
      </c>
      <c r="I2088" t="inlineStr"/>
      <c r="J2088" t="inlineStr">
        <is>
          <t>G00260</t>
        </is>
      </c>
      <c r="K2088" t="str">
        <f>INDEX('Match Groups'!$D$5:$D$1326,MATCH(J2088,'Match Groups'!$A$5:$A$1326,0))</f>
        <v>MATCH</v>
      </c>
    </row>
    <row r="2089">
      <c r="A2089" t="inlineStr">
        <is>
          <t>JI-01598</t>
        </is>
      </c>
      <c r="B2089" t="inlineStr">
        <is>
          <t>OPS</t>
        </is>
      </c>
      <c r="C2089" s="5" t="n">
        <v>46239</v>
      </c>
      <c r="D2089" t="inlineStr">
        <is>
          <t>Pinnacle Claims Services</t>
        </is>
      </c>
      <c r="E2089" t="inlineStr">
        <is>
          <t>INV/2026/02180</t>
        </is>
      </c>
      <c r="F2089" t="inlineStr">
        <is>
          <t>Customer payment INV/2026/02180</t>
        </is>
      </c>
      <c r="G2089" s="9" t="n">
        <v>990</v>
      </c>
      <c r="H2089" t="inlineStr">
        <is>
          <t>customer_payment</t>
        </is>
      </c>
      <c r="I2089" t="inlineStr"/>
      <c r="J2089" t="inlineStr">
        <is>
          <t>G00987</t>
        </is>
      </c>
      <c r="K2089" t="str">
        <f>INDEX('Match Groups'!$D$5:$D$1326,MATCH(J2089,'Match Groups'!$A$5:$A$1326,0))</f>
        <v>MATCH</v>
      </c>
    </row>
    <row r="2090">
      <c r="A2090" t="inlineStr">
        <is>
          <t>JI-02538</t>
        </is>
      </c>
      <c r="B2090" t="inlineStr">
        <is>
          <t>OPS</t>
        </is>
      </c>
      <c r="C2090" s="5" t="n">
        <v>46239</v>
      </c>
      <c r="D2090" t="inlineStr">
        <is>
          <t>Stripe patient 83727</t>
        </is>
      </c>
      <c r="E2090" t="inlineStr">
        <is>
          <t>INV/2026/04384</t>
        </is>
      </c>
      <c r="F2090" t="inlineStr">
        <is>
          <t>Customer payment INV/2026/04384</t>
        </is>
      </c>
      <c r="G2090" s="9" t="n">
        <v>180</v>
      </c>
      <c r="H2090" t="inlineStr">
        <is>
          <t>customer_payment</t>
        </is>
      </c>
      <c r="I2090" t="inlineStr"/>
      <c r="J2090" t="inlineStr">
        <is>
          <t>G00041</t>
        </is>
      </c>
      <c r="K2090" t="str">
        <f>INDEX('Match Groups'!$D$5:$D$1326,MATCH(J2090,'Match Groups'!$A$5:$A$1326,0))</f>
        <v>STRIPE-FEE</v>
      </c>
    </row>
    <row r="2091">
      <c r="A2091" t="inlineStr">
        <is>
          <t>JI-02539</t>
        </is>
      </c>
      <c r="B2091" t="inlineStr">
        <is>
          <t>OPS</t>
        </is>
      </c>
      <c r="C2091" s="5" t="n">
        <v>46239</v>
      </c>
      <c r="D2091" t="inlineStr">
        <is>
          <t>Stripe patient 25871</t>
        </is>
      </c>
      <c r="E2091" t="inlineStr">
        <is>
          <t>INV/2026/04385</t>
        </is>
      </c>
      <c r="F2091" t="inlineStr">
        <is>
          <t>Customer payment INV/2026/04385</t>
        </is>
      </c>
      <c r="G2091" s="9" t="n">
        <v>220</v>
      </c>
      <c r="H2091" t="inlineStr">
        <is>
          <t>customer_payment</t>
        </is>
      </c>
      <c r="I2091" t="inlineStr"/>
      <c r="J2091" t="inlineStr">
        <is>
          <t>G00041</t>
        </is>
      </c>
      <c r="K2091" t="str">
        <f>INDEX('Match Groups'!$D$5:$D$1326,MATCH(J2091,'Match Groups'!$A$5:$A$1326,0))</f>
        <v>STRIPE-FEE</v>
      </c>
    </row>
    <row r="2092">
      <c r="A2092" t="inlineStr">
        <is>
          <t>JI-02540</t>
        </is>
      </c>
      <c r="B2092" t="inlineStr">
        <is>
          <t>OPS</t>
        </is>
      </c>
      <c r="C2092" s="5" t="n">
        <v>46239</v>
      </c>
      <c r="D2092" t="inlineStr">
        <is>
          <t>Stripe patient 99280</t>
        </is>
      </c>
      <c r="E2092" t="inlineStr">
        <is>
          <t>INV/2026/04386</t>
        </is>
      </c>
      <c r="F2092" t="inlineStr">
        <is>
          <t>Customer payment INV/2026/04386</t>
        </is>
      </c>
      <c r="G2092" s="9" t="n">
        <v>120</v>
      </c>
      <c r="H2092" t="inlineStr">
        <is>
          <t>customer_payment</t>
        </is>
      </c>
      <c r="I2092" t="inlineStr"/>
      <c r="J2092" t="inlineStr">
        <is>
          <t>G00041</t>
        </is>
      </c>
      <c r="K2092" t="str">
        <f>INDEX('Match Groups'!$D$5:$D$1326,MATCH(J2092,'Match Groups'!$A$5:$A$1326,0))</f>
        <v>STRIPE-FEE</v>
      </c>
    </row>
    <row r="2093">
      <c r="A2093" t="inlineStr">
        <is>
          <t>JI-02541</t>
        </is>
      </c>
      <c r="B2093" t="inlineStr">
        <is>
          <t>OPS</t>
        </is>
      </c>
      <c r="C2093" s="5" t="n">
        <v>46239</v>
      </c>
      <c r="D2093" t="inlineStr">
        <is>
          <t>Stripe patient 83739</t>
        </is>
      </c>
      <c r="E2093" t="inlineStr">
        <is>
          <t>INV/2026/04387</t>
        </is>
      </c>
      <c r="F2093" t="inlineStr">
        <is>
          <t>Customer payment INV/2026/04387</t>
        </is>
      </c>
      <c r="G2093" s="9" t="n">
        <v>65</v>
      </c>
      <c r="H2093" t="inlineStr">
        <is>
          <t>customer_payment</t>
        </is>
      </c>
      <c r="I2093" t="inlineStr"/>
      <c r="J2093" t="inlineStr">
        <is>
          <t>G00041</t>
        </is>
      </c>
      <c r="K2093" t="str">
        <f>INDEX('Match Groups'!$D$5:$D$1326,MATCH(J2093,'Match Groups'!$A$5:$A$1326,0))</f>
        <v>STRIPE-FEE</v>
      </c>
    </row>
    <row r="2094">
      <c r="A2094" t="inlineStr">
        <is>
          <t>JI-02542</t>
        </is>
      </c>
      <c r="B2094" t="inlineStr">
        <is>
          <t>OPS</t>
        </is>
      </c>
      <c r="C2094" s="5" t="n">
        <v>46239</v>
      </c>
      <c r="D2094" t="inlineStr">
        <is>
          <t>Stripe patient 66370</t>
        </is>
      </c>
      <c r="E2094" t="inlineStr">
        <is>
          <t>INV/2026/04388</t>
        </is>
      </c>
      <c r="F2094" t="inlineStr">
        <is>
          <t>Customer payment INV/2026/04388</t>
        </is>
      </c>
      <c r="G2094" s="9" t="n">
        <v>180</v>
      </c>
      <c r="H2094" t="inlineStr">
        <is>
          <t>customer_payment</t>
        </is>
      </c>
      <c r="I2094" t="inlineStr"/>
      <c r="J2094" t="inlineStr">
        <is>
          <t>G00041</t>
        </is>
      </c>
      <c r="K2094" t="str">
        <f>INDEX('Match Groups'!$D$5:$D$1326,MATCH(J2094,'Match Groups'!$A$5:$A$1326,0))</f>
        <v>STRIPE-FEE</v>
      </c>
    </row>
    <row r="2095">
      <c r="A2095" t="inlineStr">
        <is>
          <t>JI-02543</t>
        </is>
      </c>
      <c r="B2095" t="inlineStr">
        <is>
          <t>OPS</t>
        </is>
      </c>
      <c r="C2095" s="5" t="n">
        <v>46239</v>
      </c>
      <c r="D2095" t="inlineStr">
        <is>
          <t>Stripe patient 96427</t>
        </is>
      </c>
      <c r="E2095" t="inlineStr">
        <is>
          <t>INV/2026/04389</t>
        </is>
      </c>
      <c r="F2095" t="inlineStr">
        <is>
          <t>Customer payment INV/2026/04389</t>
        </is>
      </c>
      <c r="G2095" s="9" t="n">
        <v>120</v>
      </c>
      <c r="H2095" t="inlineStr">
        <is>
          <t>customer_payment</t>
        </is>
      </c>
      <c r="I2095" t="inlineStr"/>
      <c r="J2095" t="inlineStr">
        <is>
          <t>G00041</t>
        </is>
      </c>
      <c r="K2095" t="str">
        <f>INDEX('Match Groups'!$D$5:$D$1326,MATCH(J2095,'Match Groups'!$A$5:$A$1326,0))</f>
        <v>STRIPE-FEE</v>
      </c>
    </row>
    <row r="2096">
      <c r="A2096" t="inlineStr">
        <is>
          <t>JI-02544</t>
        </is>
      </c>
      <c r="B2096" t="inlineStr">
        <is>
          <t>OPS</t>
        </is>
      </c>
      <c r="C2096" s="5" t="n">
        <v>46239</v>
      </c>
      <c r="D2096" t="inlineStr">
        <is>
          <t>Stripe patient 36359</t>
        </is>
      </c>
      <c r="E2096" t="inlineStr">
        <is>
          <t>INV/2026/04390</t>
        </is>
      </c>
      <c r="F2096" t="inlineStr">
        <is>
          <t>Customer payment INV/2026/04390</t>
        </is>
      </c>
      <c r="G2096" s="9" t="n">
        <v>120</v>
      </c>
      <c r="H2096" t="inlineStr">
        <is>
          <t>customer_payment</t>
        </is>
      </c>
      <c r="I2096" t="inlineStr"/>
      <c r="J2096" t="inlineStr">
        <is>
          <t>G00041</t>
        </is>
      </c>
      <c r="K2096" t="str">
        <f>INDEX('Match Groups'!$D$5:$D$1326,MATCH(J2096,'Match Groups'!$A$5:$A$1326,0))</f>
        <v>STRIPE-FEE</v>
      </c>
    </row>
    <row r="2097">
      <c r="A2097" t="inlineStr">
        <is>
          <t>JI-02545</t>
        </is>
      </c>
      <c r="B2097" t="inlineStr">
        <is>
          <t>OPS</t>
        </is>
      </c>
      <c r="C2097" s="5" t="n">
        <v>46239</v>
      </c>
      <c r="D2097" t="inlineStr">
        <is>
          <t>Stripe patient 68599</t>
        </is>
      </c>
      <c r="E2097" t="inlineStr">
        <is>
          <t>INV/2026/04391</t>
        </is>
      </c>
      <c r="F2097" t="inlineStr">
        <is>
          <t>Customer payment INV/2026/04391</t>
        </is>
      </c>
      <c r="G2097" s="9" t="n">
        <v>110</v>
      </c>
      <c r="H2097" t="inlineStr">
        <is>
          <t>customer_payment</t>
        </is>
      </c>
      <c r="I2097" t="inlineStr"/>
      <c r="J2097" t="inlineStr">
        <is>
          <t>G00041</t>
        </is>
      </c>
      <c r="K2097" t="str">
        <f>INDEX('Match Groups'!$D$5:$D$1326,MATCH(J2097,'Match Groups'!$A$5:$A$1326,0))</f>
        <v>STRIPE-FEE</v>
      </c>
    </row>
    <row r="2098">
      <c r="A2098" t="inlineStr">
        <is>
          <t>JI-02546</t>
        </is>
      </c>
      <c r="B2098" t="inlineStr">
        <is>
          <t>OPS</t>
        </is>
      </c>
      <c r="C2098" s="5" t="n">
        <v>46239</v>
      </c>
      <c r="D2098" t="inlineStr">
        <is>
          <t>Stripe patient 96739</t>
        </is>
      </c>
      <c r="E2098" t="inlineStr">
        <is>
          <t>INV/2026/04392</t>
        </is>
      </c>
      <c r="F2098" t="inlineStr">
        <is>
          <t>Customer payment INV/2026/04392</t>
        </is>
      </c>
      <c r="G2098" s="9" t="n">
        <v>180</v>
      </c>
      <c r="H2098" t="inlineStr">
        <is>
          <t>customer_payment</t>
        </is>
      </c>
      <c r="I2098" t="inlineStr"/>
      <c r="J2098" t="inlineStr">
        <is>
          <t>G00041</t>
        </is>
      </c>
      <c r="K2098" t="str">
        <f>INDEX('Match Groups'!$D$5:$D$1326,MATCH(J2098,'Match Groups'!$A$5:$A$1326,0))</f>
        <v>STRIPE-FEE</v>
      </c>
    </row>
    <row r="2099">
      <c r="A2099" t="inlineStr">
        <is>
          <t>JI-02547</t>
        </is>
      </c>
      <c r="B2099" t="inlineStr">
        <is>
          <t>OPS</t>
        </is>
      </c>
      <c r="C2099" s="5" t="n">
        <v>46239</v>
      </c>
      <c r="D2099" t="inlineStr">
        <is>
          <t>Stripe patient 72789</t>
        </is>
      </c>
      <c r="E2099" t="inlineStr">
        <is>
          <t>INV/2026/04393</t>
        </is>
      </c>
      <c r="F2099" t="inlineStr">
        <is>
          <t>Customer payment INV/2026/04393</t>
        </is>
      </c>
      <c r="G2099" s="9" t="n">
        <v>150</v>
      </c>
      <c r="H2099" t="inlineStr">
        <is>
          <t>customer_payment</t>
        </is>
      </c>
      <c r="I2099" t="inlineStr"/>
      <c r="J2099" t="inlineStr">
        <is>
          <t>G00041</t>
        </is>
      </c>
      <c r="K2099" t="str">
        <f>INDEX('Match Groups'!$D$5:$D$1326,MATCH(J2099,'Match Groups'!$A$5:$A$1326,0))</f>
        <v>STRIPE-FEE</v>
      </c>
    </row>
    <row r="2100">
      <c r="A2100" t="inlineStr">
        <is>
          <t>JI-02548</t>
        </is>
      </c>
      <c r="B2100" t="inlineStr">
        <is>
          <t>OPS</t>
        </is>
      </c>
      <c r="C2100" s="5" t="n">
        <v>46239</v>
      </c>
      <c r="D2100" t="inlineStr">
        <is>
          <t>Stripe patient 77866</t>
        </is>
      </c>
      <c r="E2100" t="inlineStr">
        <is>
          <t>INV/2026/04394</t>
        </is>
      </c>
      <c r="F2100" t="inlineStr">
        <is>
          <t>Customer payment INV/2026/04394</t>
        </is>
      </c>
      <c r="G2100" s="9" t="n">
        <v>180</v>
      </c>
      <c r="H2100" t="inlineStr">
        <is>
          <t>customer_payment</t>
        </is>
      </c>
      <c r="I2100" t="inlineStr"/>
      <c r="J2100" t="inlineStr">
        <is>
          <t>G00041</t>
        </is>
      </c>
      <c r="K2100" t="str">
        <f>INDEX('Match Groups'!$D$5:$D$1326,MATCH(J2100,'Match Groups'!$A$5:$A$1326,0))</f>
        <v>STRIPE-FEE</v>
      </c>
    </row>
    <row r="2101">
      <c r="A2101" t="inlineStr">
        <is>
          <t>JI-02549</t>
        </is>
      </c>
      <c r="B2101" t="inlineStr">
        <is>
          <t>OPS</t>
        </is>
      </c>
      <c r="C2101" s="5" t="n">
        <v>46239</v>
      </c>
      <c r="D2101" t="inlineStr">
        <is>
          <t>Stripe patient 74894</t>
        </is>
      </c>
      <c r="E2101" t="inlineStr">
        <is>
          <t>INV/2026/04395</t>
        </is>
      </c>
      <c r="F2101" t="inlineStr">
        <is>
          <t>Customer payment INV/2026/04395</t>
        </is>
      </c>
      <c r="G2101" s="9" t="n">
        <v>150</v>
      </c>
      <c r="H2101" t="inlineStr">
        <is>
          <t>customer_payment</t>
        </is>
      </c>
      <c r="I2101" t="inlineStr"/>
      <c r="J2101" t="inlineStr">
        <is>
          <t>G00041</t>
        </is>
      </c>
      <c r="K2101" t="str">
        <f>INDEX('Match Groups'!$D$5:$D$1326,MATCH(J2101,'Match Groups'!$A$5:$A$1326,0))</f>
        <v>STRIPE-FEE</v>
      </c>
    </row>
    <row r="2102">
      <c r="A2102" t="inlineStr">
        <is>
          <t>JI-02550</t>
        </is>
      </c>
      <c r="B2102" t="inlineStr">
        <is>
          <t>OPS</t>
        </is>
      </c>
      <c r="C2102" s="5" t="n">
        <v>46239</v>
      </c>
      <c r="D2102" t="inlineStr">
        <is>
          <t>Stripe patient 19469</t>
        </is>
      </c>
      <c r="E2102" t="inlineStr">
        <is>
          <t>INV/2026/04396</t>
        </is>
      </c>
      <c r="F2102" t="inlineStr">
        <is>
          <t>Customer payment INV/2026/04396</t>
        </is>
      </c>
      <c r="G2102" s="9" t="n">
        <v>120</v>
      </c>
      <c r="H2102" t="inlineStr">
        <is>
          <t>customer_payment</t>
        </is>
      </c>
      <c r="I2102" t="inlineStr"/>
      <c r="J2102" t="inlineStr">
        <is>
          <t>G00041</t>
        </is>
      </c>
      <c r="K2102" t="str">
        <f>INDEX('Match Groups'!$D$5:$D$1326,MATCH(J2102,'Match Groups'!$A$5:$A$1326,0))</f>
        <v>STRIPE-FEE</v>
      </c>
    </row>
    <row r="2103">
      <c r="A2103" t="inlineStr">
        <is>
          <t>JI-02551</t>
        </is>
      </c>
      <c r="B2103" t="inlineStr">
        <is>
          <t>OPS</t>
        </is>
      </c>
      <c r="C2103" s="5" t="n">
        <v>46239</v>
      </c>
      <c r="D2103" t="inlineStr">
        <is>
          <t>Stripe patient 51631</t>
        </is>
      </c>
      <c r="E2103" t="inlineStr">
        <is>
          <t>INV/2026/04397</t>
        </is>
      </c>
      <c r="F2103" t="inlineStr">
        <is>
          <t>Customer payment INV/2026/04397</t>
        </is>
      </c>
      <c r="G2103" s="9" t="n">
        <v>135</v>
      </c>
      <c r="H2103" t="inlineStr">
        <is>
          <t>customer_payment</t>
        </is>
      </c>
      <c r="I2103" t="inlineStr"/>
      <c r="J2103" t="inlineStr">
        <is>
          <t>G00041</t>
        </is>
      </c>
      <c r="K2103" t="str">
        <f>INDEX('Match Groups'!$D$5:$D$1326,MATCH(J2103,'Match Groups'!$A$5:$A$1326,0))</f>
        <v>STRIPE-FEE</v>
      </c>
    </row>
    <row r="2104">
      <c r="A2104" t="inlineStr">
        <is>
          <t>JI-02552</t>
        </is>
      </c>
      <c r="B2104" t="inlineStr">
        <is>
          <t>OPS</t>
        </is>
      </c>
      <c r="C2104" s="5" t="n">
        <v>46239</v>
      </c>
      <c r="D2104" t="inlineStr">
        <is>
          <t>Stripe patient 51845</t>
        </is>
      </c>
      <c r="E2104" t="inlineStr">
        <is>
          <t>INV/2026/04398</t>
        </is>
      </c>
      <c r="F2104" t="inlineStr">
        <is>
          <t>Customer payment INV/2026/04398</t>
        </is>
      </c>
      <c r="G2104" s="9" t="n">
        <v>110</v>
      </c>
      <c r="H2104" t="inlineStr">
        <is>
          <t>customer_payment</t>
        </is>
      </c>
      <c r="I2104" t="inlineStr"/>
      <c r="J2104" t="inlineStr">
        <is>
          <t>G00041</t>
        </is>
      </c>
      <c r="K2104" t="str">
        <f>INDEX('Match Groups'!$D$5:$D$1326,MATCH(J2104,'Match Groups'!$A$5:$A$1326,0))</f>
        <v>STRIPE-FEE</v>
      </c>
    </row>
    <row r="2105">
      <c r="A2105" t="inlineStr">
        <is>
          <t>JI-02553</t>
        </is>
      </c>
      <c r="B2105" t="inlineStr">
        <is>
          <t>OPS</t>
        </is>
      </c>
      <c r="C2105" s="5" t="n">
        <v>46239</v>
      </c>
      <c r="D2105" t="inlineStr">
        <is>
          <t>Stripe patient 40340</t>
        </is>
      </c>
      <c r="E2105" t="inlineStr">
        <is>
          <t>INV/2026/04399</t>
        </is>
      </c>
      <c r="F2105" t="inlineStr">
        <is>
          <t>Customer payment INV/2026/04399</t>
        </is>
      </c>
      <c r="G2105" s="9" t="n">
        <v>110</v>
      </c>
      <c r="H2105" t="inlineStr">
        <is>
          <t>customer_payment</t>
        </is>
      </c>
      <c r="I2105" t="inlineStr"/>
      <c r="J2105" t="inlineStr">
        <is>
          <t>G00041</t>
        </is>
      </c>
      <c r="K2105" t="str">
        <f>INDEX('Match Groups'!$D$5:$D$1326,MATCH(J2105,'Match Groups'!$A$5:$A$1326,0))</f>
        <v>STRIPE-FEE</v>
      </c>
    </row>
    <row r="2106">
      <c r="A2106" t="inlineStr">
        <is>
          <t>JI-02554</t>
        </is>
      </c>
      <c r="B2106" t="inlineStr">
        <is>
          <t>OPS</t>
        </is>
      </c>
      <c r="C2106" s="5" t="n">
        <v>46239</v>
      </c>
      <c r="D2106" t="inlineStr">
        <is>
          <t>Stripe patient 92256</t>
        </is>
      </c>
      <c r="E2106" t="inlineStr">
        <is>
          <t>INV/2026/04400</t>
        </is>
      </c>
      <c r="F2106" t="inlineStr">
        <is>
          <t>Customer payment INV/2026/04400</t>
        </is>
      </c>
      <c r="G2106" s="9" t="n">
        <v>85</v>
      </c>
      <c r="H2106" t="inlineStr">
        <is>
          <t>customer_payment</t>
        </is>
      </c>
      <c r="I2106" t="inlineStr"/>
      <c r="J2106" t="inlineStr">
        <is>
          <t>G00041</t>
        </is>
      </c>
      <c r="K2106" t="str">
        <f>INDEX('Match Groups'!$D$5:$D$1326,MATCH(J2106,'Match Groups'!$A$5:$A$1326,0))</f>
        <v>STRIPE-FEE</v>
      </c>
    </row>
    <row r="2107">
      <c r="A2107" t="inlineStr">
        <is>
          <t>JI-02555</t>
        </is>
      </c>
      <c r="B2107" t="inlineStr">
        <is>
          <t>OPS</t>
        </is>
      </c>
      <c r="C2107" s="5" t="n">
        <v>46239</v>
      </c>
      <c r="D2107" t="inlineStr">
        <is>
          <t>Stripe patient 46232</t>
        </is>
      </c>
      <c r="E2107" t="inlineStr">
        <is>
          <t>INV/2026/04401</t>
        </is>
      </c>
      <c r="F2107" t="inlineStr">
        <is>
          <t>Customer payment INV/2026/04401</t>
        </is>
      </c>
      <c r="G2107" s="9" t="n">
        <v>95</v>
      </c>
      <c r="H2107" t="inlineStr">
        <is>
          <t>customer_payment</t>
        </is>
      </c>
      <c r="I2107" t="inlineStr"/>
      <c r="J2107" t="inlineStr">
        <is>
          <t>G00041</t>
        </is>
      </c>
      <c r="K2107" t="str">
        <f>INDEX('Match Groups'!$D$5:$D$1326,MATCH(J2107,'Match Groups'!$A$5:$A$1326,0))</f>
        <v>STRIPE-FEE</v>
      </c>
    </row>
    <row r="2108">
      <c r="A2108" t="inlineStr">
        <is>
          <t>JI-02556</t>
        </is>
      </c>
      <c r="B2108" t="inlineStr">
        <is>
          <t>OPS</t>
        </is>
      </c>
      <c r="C2108" s="5" t="n">
        <v>46239</v>
      </c>
      <c r="D2108" t="inlineStr">
        <is>
          <t>Stripe patient 19148</t>
        </is>
      </c>
      <c r="E2108" t="inlineStr">
        <is>
          <t>INV/2026/04402</t>
        </is>
      </c>
      <c r="F2108" t="inlineStr">
        <is>
          <t>Customer payment INV/2026/04402</t>
        </is>
      </c>
      <c r="G2108" s="9" t="n">
        <v>135</v>
      </c>
      <c r="H2108" t="inlineStr">
        <is>
          <t>customer_payment</t>
        </is>
      </c>
      <c r="I2108" t="inlineStr"/>
      <c r="J2108" t="inlineStr">
        <is>
          <t>G00041</t>
        </is>
      </c>
      <c r="K2108" t="str">
        <f>INDEX('Match Groups'!$D$5:$D$1326,MATCH(J2108,'Match Groups'!$A$5:$A$1326,0))</f>
        <v>STRIPE-FEE</v>
      </c>
    </row>
    <row r="2109">
      <c r="A2109" t="inlineStr">
        <is>
          <t>JI-02557</t>
        </is>
      </c>
      <c r="B2109" t="inlineStr">
        <is>
          <t>OPS</t>
        </is>
      </c>
      <c r="C2109" s="5" t="n">
        <v>46239</v>
      </c>
      <c r="D2109" t="inlineStr">
        <is>
          <t>Stripe patient 56242</t>
        </is>
      </c>
      <c r="E2109" t="inlineStr">
        <is>
          <t>INV/2026/04403</t>
        </is>
      </c>
      <c r="F2109" t="inlineStr">
        <is>
          <t>Customer payment INV/2026/04403</t>
        </is>
      </c>
      <c r="G2109" s="9" t="n">
        <v>85</v>
      </c>
      <c r="H2109" t="inlineStr">
        <is>
          <t>customer_payment</t>
        </is>
      </c>
      <c r="I2109" t="inlineStr"/>
      <c r="J2109" t="inlineStr">
        <is>
          <t>G00041</t>
        </is>
      </c>
      <c r="K2109" t="str">
        <f>INDEX('Match Groups'!$D$5:$D$1326,MATCH(J2109,'Match Groups'!$A$5:$A$1326,0))</f>
        <v>STRIPE-FEE</v>
      </c>
    </row>
    <row r="2110">
      <c r="A2110" t="inlineStr">
        <is>
          <t>JI-02558</t>
        </is>
      </c>
      <c r="B2110" t="inlineStr">
        <is>
          <t>OPS</t>
        </is>
      </c>
      <c r="C2110" s="5" t="n">
        <v>46239</v>
      </c>
      <c r="D2110" t="inlineStr">
        <is>
          <t>Stripe patient 52138</t>
        </is>
      </c>
      <c r="E2110" t="inlineStr">
        <is>
          <t>INV/2026/04404</t>
        </is>
      </c>
      <c r="F2110" t="inlineStr">
        <is>
          <t>Customer payment INV/2026/04404</t>
        </is>
      </c>
      <c r="G2110" s="9" t="n">
        <v>65</v>
      </c>
      <c r="H2110" t="inlineStr">
        <is>
          <t>customer_payment</t>
        </is>
      </c>
      <c r="I2110" t="inlineStr"/>
      <c r="J2110" t="inlineStr">
        <is>
          <t>G00041</t>
        </is>
      </c>
      <c r="K2110" t="str">
        <f>INDEX('Match Groups'!$D$5:$D$1326,MATCH(J2110,'Match Groups'!$A$5:$A$1326,0))</f>
        <v>STRIPE-FEE</v>
      </c>
    </row>
    <row r="2111">
      <c r="A2111" t="inlineStr">
        <is>
          <t>JI-02559</t>
        </is>
      </c>
      <c r="B2111" t="inlineStr">
        <is>
          <t>OPS</t>
        </is>
      </c>
      <c r="C2111" s="5" t="n">
        <v>46239</v>
      </c>
      <c r="D2111" t="inlineStr">
        <is>
          <t>Stripe patient 47423</t>
        </is>
      </c>
      <c r="E2111" t="inlineStr">
        <is>
          <t>INV/2026/04405</t>
        </is>
      </c>
      <c r="F2111" t="inlineStr">
        <is>
          <t>Customer payment INV/2026/04405</t>
        </is>
      </c>
      <c r="G2111" s="9" t="n">
        <v>120</v>
      </c>
      <c r="H2111" t="inlineStr">
        <is>
          <t>customer_payment</t>
        </is>
      </c>
      <c r="I2111" t="inlineStr"/>
      <c r="J2111" t="inlineStr">
        <is>
          <t>G00041</t>
        </is>
      </c>
      <c r="K2111" t="str">
        <f>INDEX('Match Groups'!$D$5:$D$1326,MATCH(J2111,'Match Groups'!$A$5:$A$1326,0))</f>
        <v>STRIPE-FEE</v>
      </c>
    </row>
    <row r="2112">
      <c r="A2112" t="inlineStr">
        <is>
          <t>JI-02560</t>
        </is>
      </c>
      <c r="B2112" t="inlineStr">
        <is>
          <t>OPS</t>
        </is>
      </c>
      <c r="C2112" s="5" t="n">
        <v>46239</v>
      </c>
      <c r="D2112" t="inlineStr">
        <is>
          <t>Stripe patient 76853</t>
        </is>
      </c>
      <c r="E2112" t="inlineStr">
        <is>
          <t>INV/2026/04406</t>
        </is>
      </c>
      <c r="F2112" t="inlineStr">
        <is>
          <t>Customer payment INV/2026/04406</t>
        </is>
      </c>
      <c r="G2112" s="9" t="n">
        <v>180</v>
      </c>
      <c r="H2112" t="inlineStr">
        <is>
          <t>customer_payment</t>
        </is>
      </c>
      <c r="I2112" t="inlineStr"/>
      <c r="J2112" t="inlineStr">
        <is>
          <t>G00041</t>
        </is>
      </c>
      <c r="K2112" t="str">
        <f>INDEX('Match Groups'!$D$5:$D$1326,MATCH(J2112,'Match Groups'!$A$5:$A$1326,0))</f>
        <v>STRIPE-FEE</v>
      </c>
    </row>
    <row r="2113">
      <c r="A2113" t="inlineStr">
        <is>
          <t>JI-02561</t>
        </is>
      </c>
      <c r="B2113" t="inlineStr">
        <is>
          <t>OPS</t>
        </is>
      </c>
      <c r="C2113" s="5" t="n">
        <v>46239</v>
      </c>
      <c r="D2113" t="inlineStr">
        <is>
          <t>Stripe patient 96131</t>
        </is>
      </c>
      <c r="E2113" t="inlineStr">
        <is>
          <t>INV/2026/04407</t>
        </is>
      </c>
      <c r="F2113" t="inlineStr">
        <is>
          <t>Customer payment INV/2026/04407</t>
        </is>
      </c>
      <c r="G2113" s="9" t="n">
        <v>135</v>
      </c>
      <c r="H2113" t="inlineStr">
        <is>
          <t>customer_payment</t>
        </is>
      </c>
      <c r="I2113" t="inlineStr"/>
      <c r="J2113" t="inlineStr">
        <is>
          <t>G00041</t>
        </is>
      </c>
      <c r="K2113" t="str">
        <f>INDEX('Match Groups'!$D$5:$D$1326,MATCH(J2113,'Match Groups'!$A$5:$A$1326,0))</f>
        <v>STRIPE-FEE</v>
      </c>
    </row>
    <row r="2114">
      <c r="A2114" t="inlineStr">
        <is>
          <t>JI-02562</t>
        </is>
      </c>
      <c r="B2114" t="inlineStr">
        <is>
          <t>OPS</t>
        </is>
      </c>
      <c r="C2114" s="5" t="n">
        <v>46239</v>
      </c>
      <c r="D2114" t="inlineStr">
        <is>
          <t>Stripe patient 33081</t>
        </is>
      </c>
      <c r="E2114" t="inlineStr">
        <is>
          <t>INV/2026/04408</t>
        </is>
      </c>
      <c r="F2114" t="inlineStr">
        <is>
          <t>Customer payment INV/2026/04408</t>
        </is>
      </c>
      <c r="G2114" s="9" t="n">
        <v>135</v>
      </c>
      <c r="H2114" t="inlineStr">
        <is>
          <t>customer_payment</t>
        </is>
      </c>
      <c r="I2114" t="inlineStr"/>
      <c r="J2114" t="inlineStr">
        <is>
          <t>G00041</t>
        </is>
      </c>
      <c r="K2114" t="str">
        <f>INDEX('Match Groups'!$D$5:$D$1326,MATCH(J2114,'Match Groups'!$A$5:$A$1326,0))</f>
        <v>STRIPE-FEE</v>
      </c>
    </row>
    <row r="2115">
      <c r="A2115" t="inlineStr">
        <is>
          <t>JI-02563</t>
        </is>
      </c>
      <c r="B2115" t="inlineStr">
        <is>
          <t>OPS</t>
        </is>
      </c>
      <c r="C2115" s="5" t="n">
        <v>46239</v>
      </c>
      <c r="D2115" t="inlineStr">
        <is>
          <t>Stripe patient 33275</t>
        </is>
      </c>
      <c r="E2115" t="inlineStr">
        <is>
          <t>INV/2026/04409</t>
        </is>
      </c>
      <c r="F2115" t="inlineStr">
        <is>
          <t>Customer payment INV/2026/04409</t>
        </is>
      </c>
      <c r="G2115" s="9" t="n">
        <v>220</v>
      </c>
      <c r="H2115" t="inlineStr">
        <is>
          <t>customer_payment</t>
        </is>
      </c>
      <c r="I2115" t="inlineStr"/>
      <c r="J2115" t="inlineStr">
        <is>
          <t>G00041</t>
        </is>
      </c>
      <c r="K2115" t="str">
        <f>INDEX('Match Groups'!$D$5:$D$1326,MATCH(J2115,'Match Groups'!$A$5:$A$1326,0))</f>
        <v>STRIPE-FEE</v>
      </c>
    </row>
    <row r="2116">
      <c r="A2116" t="inlineStr">
        <is>
          <t>JI-02564</t>
        </is>
      </c>
      <c r="B2116" t="inlineStr">
        <is>
          <t>OPS</t>
        </is>
      </c>
      <c r="C2116" s="5" t="n">
        <v>46239</v>
      </c>
      <c r="D2116" t="inlineStr">
        <is>
          <t>Stripe patient 26622</t>
        </is>
      </c>
      <c r="E2116" t="inlineStr">
        <is>
          <t>INV/2026/04410</t>
        </is>
      </c>
      <c r="F2116" t="inlineStr">
        <is>
          <t>Customer payment INV/2026/04410</t>
        </is>
      </c>
      <c r="G2116" s="9" t="n">
        <v>85</v>
      </c>
      <c r="H2116" t="inlineStr">
        <is>
          <t>customer_payment</t>
        </is>
      </c>
      <c r="I2116" t="inlineStr"/>
      <c r="J2116" t="inlineStr">
        <is>
          <t>G00041</t>
        </is>
      </c>
      <c r="K2116" t="str">
        <f>INDEX('Match Groups'!$D$5:$D$1326,MATCH(J2116,'Match Groups'!$A$5:$A$1326,0))</f>
        <v>STRIPE-FEE</v>
      </c>
    </row>
    <row r="2117">
      <c r="A2117" t="inlineStr">
        <is>
          <t>JI-02565</t>
        </is>
      </c>
      <c r="B2117" t="inlineStr">
        <is>
          <t>OPS</t>
        </is>
      </c>
      <c r="C2117" s="5" t="n">
        <v>46239</v>
      </c>
      <c r="D2117" t="inlineStr">
        <is>
          <t>Stripe patient 30168</t>
        </is>
      </c>
      <c r="E2117" t="inlineStr">
        <is>
          <t>INV/2026/04411</t>
        </is>
      </c>
      <c r="F2117" t="inlineStr">
        <is>
          <t>Customer payment INV/2026/04411</t>
        </is>
      </c>
      <c r="G2117" s="9" t="n">
        <v>85</v>
      </c>
      <c r="H2117" t="inlineStr">
        <is>
          <t>customer_payment</t>
        </is>
      </c>
      <c r="I2117" t="inlineStr"/>
      <c r="J2117" t="inlineStr">
        <is>
          <t>G00041</t>
        </is>
      </c>
      <c r="K2117" t="str">
        <f>INDEX('Match Groups'!$D$5:$D$1326,MATCH(J2117,'Match Groups'!$A$5:$A$1326,0))</f>
        <v>STRIPE-FEE</v>
      </c>
    </row>
    <row r="2118">
      <c r="A2118" t="inlineStr">
        <is>
          <t>JI-02566</t>
        </is>
      </c>
      <c r="B2118" t="inlineStr">
        <is>
          <t>OPS</t>
        </is>
      </c>
      <c r="C2118" s="5" t="n">
        <v>46239</v>
      </c>
      <c r="D2118" t="inlineStr">
        <is>
          <t>Stripe patient 45137</t>
        </is>
      </c>
      <c r="E2118" t="inlineStr">
        <is>
          <t>INV/2026/04412</t>
        </is>
      </c>
      <c r="F2118" t="inlineStr">
        <is>
          <t>Customer payment INV/2026/04412</t>
        </is>
      </c>
      <c r="G2118" s="9" t="n">
        <v>135</v>
      </c>
      <c r="H2118" t="inlineStr">
        <is>
          <t>customer_payment</t>
        </is>
      </c>
      <c r="I2118" t="inlineStr"/>
      <c r="J2118" t="inlineStr">
        <is>
          <t>G00041</t>
        </is>
      </c>
      <c r="K2118" t="str">
        <f>INDEX('Match Groups'!$D$5:$D$1326,MATCH(J2118,'Match Groups'!$A$5:$A$1326,0))</f>
        <v>STRIPE-FEE</v>
      </c>
    </row>
    <row r="2119">
      <c r="A2119" t="inlineStr">
        <is>
          <t>JI-02567</t>
        </is>
      </c>
      <c r="B2119" t="inlineStr">
        <is>
          <t>OPS</t>
        </is>
      </c>
      <c r="C2119" s="5" t="n">
        <v>46239</v>
      </c>
      <c r="D2119" t="inlineStr">
        <is>
          <t>Stripe patient 93184</t>
        </is>
      </c>
      <c r="E2119" t="inlineStr">
        <is>
          <t>INV/2026/04413</t>
        </is>
      </c>
      <c r="F2119" t="inlineStr">
        <is>
          <t>Customer payment INV/2026/04413</t>
        </is>
      </c>
      <c r="G2119" s="9" t="n">
        <v>85</v>
      </c>
      <c r="H2119" t="inlineStr">
        <is>
          <t>customer_payment</t>
        </is>
      </c>
      <c r="I2119" t="inlineStr"/>
      <c r="J2119" t="inlineStr">
        <is>
          <t>G00041</t>
        </is>
      </c>
      <c r="K2119" t="str">
        <f>INDEX('Match Groups'!$D$5:$D$1326,MATCH(J2119,'Match Groups'!$A$5:$A$1326,0))</f>
        <v>STRIPE-FEE</v>
      </c>
    </row>
    <row r="2120">
      <c r="A2120" t="inlineStr">
        <is>
          <t>JI-03791</t>
        </is>
      </c>
      <c r="B2120" t="inlineStr">
        <is>
          <t>OPS</t>
        </is>
      </c>
      <c r="C2120" s="5" t="n">
        <v>46239</v>
      </c>
      <c r="D2120" t="inlineStr">
        <is>
          <t>Physio Supplies Direct</t>
        </is>
      </c>
      <c r="E2120" t="inlineStr">
        <is>
          <t>BILL/2026/0888</t>
        </is>
      </c>
      <c r="F2120" t="inlineStr">
        <is>
          <t>Vendor payment BILL/2026/0888 (BATCH/2026/0416)</t>
        </is>
      </c>
      <c r="G2120" s="9" t="n">
        <v>-1686.3</v>
      </c>
      <c r="H2120" t="inlineStr">
        <is>
          <t>supplier_payment</t>
        </is>
      </c>
      <c r="I2120" t="inlineStr">
        <is>
          <t>BATCH/2026/0416</t>
        </is>
      </c>
      <c r="J2120" t="inlineStr">
        <is>
          <t>G00519</t>
        </is>
      </c>
      <c r="K2120" t="str">
        <f>INDEX('Match Groups'!$D$5:$D$1326,MATCH(J2120,'Match Groups'!$A$5:$A$1326,0))</f>
        <v>MATCH</v>
      </c>
    </row>
    <row r="2121">
      <c r="A2121" t="inlineStr">
        <is>
          <t>JI-03792</t>
        </is>
      </c>
      <c r="B2121" t="inlineStr">
        <is>
          <t>OPS</t>
        </is>
      </c>
      <c r="C2121" s="5" t="n">
        <v>46239</v>
      </c>
      <c r="D2121" t="inlineStr">
        <is>
          <t>Physio Supplies Direct</t>
        </is>
      </c>
      <c r="E2121" t="inlineStr">
        <is>
          <t>BILL/2026/0896</t>
        </is>
      </c>
      <c r="F2121" t="inlineStr">
        <is>
          <t>Vendor payment BILL/2026/0896 (BATCH/2026/0416)</t>
        </is>
      </c>
      <c r="G2121" s="9" t="n">
        <v>-507.1</v>
      </c>
      <c r="H2121" t="inlineStr">
        <is>
          <t>supplier_payment</t>
        </is>
      </c>
      <c r="I2121" t="inlineStr">
        <is>
          <t>BATCH/2026/0416</t>
        </is>
      </c>
      <c r="J2121" t="inlineStr">
        <is>
          <t>G00519</t>
        </is>
      </c>
      <c r="K2121" t="str">
        <f>INDEX('Match Groups'!$D$5:$D$1326,MATCH(J2121,'Match Groups'!$A$5:$A$1326,0))</f>
        <v>MATCH</v>
      </c>
    </row>
    <row r="2122">
      <c r="A2122" t="inlineStr">
        <is>
          <t>JI-03793</t>
        </is>
      </c>
      <c r="B2122" t="inlineStr">
        <is>
          <t>OPS</t>
        </is>
      </c>
      <c r="C2122" s="5" t="n">
        <v>46239</v>
      </c>
      <c r="D2122" t="inlineStr">
        <is>
          <t>Paperline Stationery Pty</t>
        </is>
      </c>
      <c r="E2122" t="inlineStr">
        <is>
          <t>BILL/2026/0889</t>
        </is>
      </c>
      <c r="F2122" t="inlineStr">
        <is>
          <t>Vendor payment BILL/2026/0889 (BATCH/2026/0416)</t>
        </is>
      </c>
      <c r="G2122" s="9" t="n">
        <v>-5952.1</v>
      </c>
      <c r="H2122" t="inlineStr">
        <is>
          <t>supplier_payment</t>
        </is>
      </c>
      <c r="I2122" t="inlineStr">
        <is>
          <t>BATCH/2026/0416</t>
        </is>
      </c>
      <c r="J2122" t="inlineStr">
        <is>
          <t>G00519</t>
        </is>
      </c>
      <c r="K2122" t="str">
        <f>INDEX('Match Groups'!$D$5:$D$1326,MATCH(J2122,'Match Groups'!$A$5:$A$1326,0))</f>
        <v>MATCH</v>
      </c>
    </row>
    <row r="2123">
      <c r="A2123" t="inlineStr">
        <is>
          <t>JI-03794</t>
        </is>
      </c>
      <c r="B2123" t="inlineStr">
        <is>
          <t>OPS</t>
        </is>
      </c>
      <c r="C2123" s="5" t="n">
        <v>46239</v>
      </c>
      <c r="D2123" t="inlineStr">
        <is>
          <t>Practice Fitout Joinery</t>
        </is>
      </c>
      <c r="E2123" t="inlineStr">
        <is>
          <t>BILL/2026/0898</t>
        </is>
      </c>
      <c r="F2123" t="inlineStr">
        <is>
          <t>Vendor payment BILL/2026/0898 (BATCH/2026/0416)</t>
        </is>
      </c>
      <c r="G2123" s="9" t="n">
        <v>-1662.1</v>
      </c>
      <c r="H2123" t="inlineStr">
        <is>
          <t>supplier_payment</t>
        </is>
      </c>
      <c r="I2123" t="inlineStr">
        <is>
          <t>BATCH/2026/0416</t>
        </is>
      </c>
      <c r="J2123" t="inlineStr">
        <is>
          <t>G00519</t>
        </is>
      </c>
      <c r="K2123" t="str">
        <f>INDEX('Match Groups'!$D$5:$D$1326,MATCH(J2123,'Match Groups'!$A$5:$A$1326,0))</f>
        <v>MATCH</v>
      </c>
    </row>
    <row r="2124">
      <c r="A2124" t="inlineStr">
        <is>
          <t>JI-03795</t>
        </is>
      </c>
      <c r="B2124" t="inlineStr">
        <is>
          <t>OPS</t>
        </is>
      </c>
      <c r="C2124" s="5" t="n">
        <v>46239</v>
      </c>
      <c r="D2124" t="inlineStr">
        <is>
          <t>Coolroom HVAC Services</t>
        </is>
      </c>
      <c r="E2124" t="inlineStr">
        <is>
          <t>BILL/2026/0886</t>
        </is>
      </c>
      <c r="F2124" t="inlineStr">
        <is>
          <t>Vendor payment BILL/2026/0886 (BATCH/2026/0416)</t>
        </is>
      </c>
      <c r="G2124" s="9" t="n">
        <v>-1246.3</v>
      </c>
      <c r="H2124" t="inlineStr">
        <is>
          <t>supplier_payment</t>
        </is>
      </c>
      <c r="I2124" t="inlineStr">
        <is>
          <t>BATCH/2026/0416</t>
        </is>
      </c>
      <c r="J2124" t="inlineStr">
        <is>
          <t>G00519</t>
        </is>
      </c>
      <c r="K2124" t="str">
        <f>INDEX('Match Groups'!$D$5:$D$1326,MATCH(J2124,'Match Groups'!$A$5:$A$1326,0))</f>
        <v>MATCH</v>
      </c>
    </row>
    <row r="2125">
      <c r="A2125" t="inlineStr">
        <is>
          <t>JI-03796</t>
        </is>
      </c>
      <c r="B2125" t="inlineStr">
        <is>
          <t>OPS</t>
        </is>
      </c>
      <c r="C2125" s="5" t="n">
        <v>46239</v>
      </c>
      <c r="D2125" t="inlineStr">
        <is>
          <t>Coolroom HVAC Services</t>
        </is>
      </c>
      <c r="E2125" t="inlineStr">
        <is>
          <t>BILL/2026/0890</t>
        </is>
      </c>
      <c r="F2125" t="inlineStr">
        <is>
          <t>Vendor payment BILL/2026/0890 (BATCH/2026/0416)</t>
        </is>
      </c>
      <c r="G2125" s="9" t="n">
        <v>-242</v>
      </c>
      <c r="H2125" t="inlineStr">
        <is>
          <t>supplier_payment</t>
        </is>
      </c>
      <c r="I2125" t="inlineStr">
        <is>
          <t>BATCH/2026/0416</t>
        </is>
      </c>
      <c r="J2125" t="inlineStr">
        <is>
          <t>G00519</t>
        </is>
      </c>
      <c r="K2125" t="str">
        <f>INDEX('Match Groups'!$D$5:$D$1326,MATCH(J2125,'Match Groups'!$A$5:$A$1326,0))</f>
        <v>MATCH</v>
      </c>
    </row>
    <row r="2126">
      <c r="A2126" t="inlineStr">
        <is>
          <t>JI-03797</t>
        </is>
      </c>
      <c r="B2126" t="inlineStr">
        <is>
          <t>OPS</t>
        </is>
      </c>
      <c r="C2126" s="5" t="n">
        <v>46239</v>
      </c>
      <c r="D2126" t="inlineStr">
        <is>
          <t>Medilab Pathology</t>
        </is>
      </c>
      <c r="E2126" t="inlineStr">
        <is>
          <t>BILL/2026/0887</t>
        </is>
      </c>
      <c r="F2126" t="inlineStr">
        <is>
          <t>Vendor payment BILL/2026/0887 (BATCH/2026/0416)</t>
        </is>
      </c>
      <c r="G2126" s="9" t="n">
        <v>-1686.3</v>
      </c>
      <c r="H2126" t="inlineStr">
        <is>
          <t>supplier_payment</t>
        </is>
      </c>
      <c r="I2126" t="inlineStr">
        <is>
          <t>BATCH/2026/0416</t>
        </is>
      </c>
      <c r="J2126" t="inlineStr">
        <is>
          <t>G00519</t>
        </is>
      </c>
      <c r="K2126" t="str">
        <f>INDEX('Match Groups'!$D$5:$D$1326,MATCH(J2126,'Match Groups'!$A$5:$A$1326,0))</f>
        <v>MATCH</v>
      </c>
    </row>
    <row r="2127">
      <c r="A2127" t="inlineStr">
        <is>
          <t>JI-03798</t>
        </is>
      </c>
      <c r="B2127" t="inlineStr">
        <is>
          <t>OPS</t>
        </is>
      </c>
      <c r="C2127" s="5" t="n">
        <v>46239</v>
      </c>
      <c r="D2127" t="inlineStr">
        <is>
          <t>Clinical Education Hub</t>
        </is>
      </c>
      <c r="E2127" t="inlineStr">
        <is>
          <t>BILL/2026/0884</t>
        </is>
      </c>
      <c r="F2127" t="inlineStr">
        <is>
          <t>Vendor payment BILL/2026/0884 (BATCH/2026/0416)</t>
        </is>
      </c>
      <c r="G2127" s="9" t="n">
        <v>-3886.3</v>
      </c>
      <c r="H2127" t="inlineStr">
        <is>
          <t>supplier_payment</t>
        </is>
      </c>
      <c r="I2127" t="inlineStr">
        <is>
          <t>BATCH/2026/0416</t>
        </is>
      </c>
      <c r="J2127" t="inlineStr">
        <is>
          <t>G00519</t>
        </is>
      </c>
      <c r="K2127" t="str">
        <f>INDEX('Match Groups'!$D$5:$D$1326,MATCH(J2127,'Match Groups'!$A$5:$A$1326,0))</f>
        <v>MATCH</v>
      </c>
    </row>
    <row r="2128">
      <c r="A2128" t="inlineStr">
        <is>
          <t>JI-03799</t>
        </is>
      </c>
      <c r="B2128" t="inlineStr">
        <is>
          <t>OPS</t>
        </is>
      </c>
      <c r="C2128" s="5" t="n">
        <v>46239</v>
      </c>
      <c r="D2128" t="inlineStr">
        <is>
          <t>Greenleaf Plants Hire</t>
        </is>
      </c>
      <c r="E2128" t="inlineStr">
        <is>
          <t>BILL/2026/0893</t>
        </is>
      </c>
      <c r="F2128" t="inlineStr">
        <is>
          <t>Vendor payment BILL/2026/0893 (BATCH/2026/0416)</t>
        </is>
      </c>
      <c r="G2128" s="9" t="n">
        <v>-5940</v>
      </c>
      <c r="H2128" t="inlineStr">
        <is>
          <t>supplier_payment</t>
        </is>
      </c>
      <c r="I2128" t="inlineStr">
        <is>
          <t>BATCH/2026/0416</t>
        </is>
      </c>
      <c r="J2128" t="inlineStr">
        <is>
          <t>G00519</t>
        </is>
      </c>
      <c r="K2128" t="str">
        <f>INDEX('Match Groups'!$D$5:$D$1326,MATCH(J2128,'Match Groups'!$A$5:$A$1326,0))</f>
        <v>MATCH</v>
      </c>
    </row>
    <row r="2129">
      <c r="A2129" t="inlineStr">
        <is>
          <t>JI-03800</t>
        </is>
      </c>
      <c r="B2129" t="inlineStr">
        <is>
          <t>OPS</t>
        </is>
      </c>
      <c r="C2129" s="5" t="n">
        <v>46239</v>
      </c>
      <c r="D2129" t="inlineStr">
        <is>
          <t>CityFix Maintenance</t>
        </is>
      </c>
      <c r="E2129" t="inlineStr">
        <is>
          <t>BILL/2026/0895</t>
        </is>
      </c>
      <c r="F2129" t="inlineStr">
        <is>
          <t>Vendor payment BILL/2026/0895 (BATCH/2026/0416)</t>
        </is>
      </c>
      <c r="G2129" s="9" t="n">
        <v>-916.3</v>
      </c>
      <c r="H2129" t="inlineStr">
        <is>
          <t>supplier_payment</t>
        </is>
      </c>
      <c r="I2129" t="inlineStr">
        <is>
          <t>BATCH/2026/0416</t>
        </is>
      </c>
      <c r="J2129" t="inlineStr">
        <is>
          <t>G00519</t>
        </is>
      </c>
      <c r="K2129" t="str">
        <f>INDEX('Match Groups'!$D$5:$D$1326,MATCH(J2129,'Match Groups'!$A$5:$A$1326,0))</f>
        <v>MATCH</v>
      </c>
    </row>
    <row r="2130">
      <c r="A2130" t="inlineStr">
        <is>
          <t>JI-03801</t>
        </is>
      </c>
      <c r="B2130" t="inlineStr">
        <is>
          <t>OPS</t>
        </is>
      </c>
      <c r="C2130" s="5" t="n">
        <v>46239</v>
      </c>
      <c r="D2130" t="inlineStr">
        <is>
          <t>Secure Shred Australia</t>
        </is>
      </c>
      <c r="E2130" t="inlineStr">
        <is>
          <t>BILL/2026/0897</t>
        </is>
      </c>
      <c r="F2130" t="inlineStr">
        <is>
          <t>Vendor payment BILL/2026/0897 (BATCH/2026/0416)</t>
        </is>
      </c>
      <c r="G2130" s="9" t="n">
        <v>-2456.3</v>
      </c>
      <c r="H2130" t="inlineStr">
        <is>
          <t>supplier_payment</t>
        </is>
      </c>
      <c r="I2130" t="inlineStr">
        <is>
          <t>BATCH/2026/0416</t>
        </is>
      </c>
      <c r="J2130" t="inlineStr">
        <is>
          <t>G00519</t>
        </is>
      </c>
      <c r="K2130" t="str">
        <f>INDEX('Match Groups'!$D$5:$D$1326,MATCH(J2130,'Match Groups'!$A$5:$A$1326,0))</f>
        <v>MATCH</v>
      </c>
    </row>
    <row r="2131">
      <c r="A2131" t="inlineStr">
        <is>
          <t>JI-03802</t>
        </is>
      </c>
      <c r="B2131" t="inlineStr">
        <is>
          <t>OPS</t>
        </is>
      </c>
      <c r="C2131" s="5" t="n">
        <v>46239</v>
      </c>
      <c r="D2131" t="inlineStr">
        <is>
          <t>Compass Insurance Brokers</t>
        </is>
      </c>
      <c r="E2131" t="inlineStr">
        <is>
          <t>BILL/2026/0894</t>
        </is>
      </c>
      <c r="F2131" t="inlineStr">
        <is>
          <t>Vendor payment BILL/2026/0894 (BATCH/2026/0416)</t>
        </is>
      </c>
      <c r="G2131" s="9" t="n">
        <v>-3862.1</v>
      </c>
      <c r="H2131" t="inlineStr">
        <is>
          <t>supplier_payment</t>
        </is>
      </c>
      <c r="I2131" t="inlineStr">
        <is>
          <t>BATCH/2026/0416</t>
        </is>
      </c>
      <c r="J2131" t="inlineStr">
        <is>
          <t>G00519</t>
        </is>
      </c>
      <c r="K2131" t="str">
        <f>INDEX('Match Groups'!$D$5:$D$1326,MATCH(J2131,'Match Groups'!$A$5:$A$1326,0))</f>
        <v>MATCH</v>
      </c>
    </row>
    <row r="2132">
      <c r="A2132" t="inlineStr">
        <is>
          <t>JI-03803</t>
        </is>
      </c>
      <c r="B2132" t="inlineStr">
        <is>
          <t>OPS</t>
        </is>
      </c>
      <c r="C2132" s="5" t="n">
        <v>46239</v>
      </c>
      <c r="D2132" t="inlineStr">
        <is>
          <t>Ward Electrical</t>
        </is>
      </c>
      <c r="E2132" t="inlineStr">
        <is>
          <t>BILL/2026/0885</t>
        </is>
      </c>
      <c r="F2132" t="inlineStr">
        <is>
          <t>Vendor payment BILL/2026/0885 (BATCH/2026/0416)</t>
        </is>
      </c>
      <c r="G2132" s="9" t="n">
        <v>-495</v>
      </c>
      <c r="H2132" t="inlineStr">
        <is>
          <t>supplier_payment</t>
        </is>
      </c>
      <c r="I2132" t="inlineStr">
        <is>
          <t>BATCH/2026/0416</t>
        </is>
      </c>
      <c r="J2132" t="inlineStr">
        <is>
          <t>G00519</t>
        </is>
      </c>
      <c r="K2132" t="str">
        <f>INDEX('Match Groups'!$D$5:$D$1326,MATCH(J2132,'Match Groups'!$A$5:$A$1326,0))</f>
        <v>MATCH</v>
      </c>
    </row>
    <row r="2133">
      <c r="A2133" t="inlineStr">
        <is>
          <t>JI-03804</t>
        </is>
      </c>
      <c r="B2133" t="inlineStr">
        <is>
          <t>OPS</t>
        </is>
      </c>
      <c r="C2133" s="5" t="n">
        <v>46239</v>
      </c>
      <c r="D2133" t="inlineStr">
        <is>
          <t>Ward Electrical</t>
        </is>
      </c>
      <c r="E2133" t="inlineStr">
        <is>
          <t>BILL/2026/0892</t>
        </is>
      </c>
      <c r="F2133" t="inlineStr">
        <is>
          <t>Vendor payment BILL/2026/0892 (BATCH/2026/0416)</t>
        </is>
      </c>
      <c r="G2133" s="9" t="n">
        <v>-5940</v>
      </c>
      <c r="H2133" t="inlineStr">
        <is>
          <t>supplier_payment</t>
        </is>
      </c>
      <c r="I2133" t="inlineStr">
        <is>
          <t>BATCH/2026/0416</t>
        </is>
      </c>
      <c r="J2133" t="inlineStr">
        <is>
          <t>G00519</t>
        </is>
      </c>
      <c r="K2133" t="str">
        <f>INDEX('Match Groups'!$D$5:$D$1326,MATCH(J2133,'Match Groups'!$A$5:$A$1326,0))</f>
        <v>MATCH</v>
      </c>
    </row>
    <row r="2134">
      <c r="A2134" t="inlineStr">
        <is>
          <t>JI-03905</t>
        </is>
      </c>
      <c r="B2134" t="inlineStr">
        <is>
          <t>OPS</t>
        </is>
      </c>
      <c r="C2134" s="5" t="n">
        <v>46239</v>
      </c>
      <c r="D2134" t="inlineStr">
        <is>
          <t>Northcote Retail Holdings</t>
        </is>
      </c>
      <c r="E2134" t="inlineStr">
        <is>
          <t>BILL/2026/1011</t>
        </is>
      </c>
      <c r="F2134" t="inlineStr">
        <is>
          <t>Vendor payment BILL/2026/1011</t>
        </is>
      </c>
      <c r="G2134" s="9" t="n">
        <v>-9680</v>
      </c>
      <c r="H2134" t="inlineStr">
        <is>
          <t>supplier_payment</t>
        </is>
      </c>
      <c r="I2134" t="inlineStr"/>
      <c r="J2134" t="inlineStr">
        <is>
          <t>G01133</t>
        </is>
      </c>
      <c r="K2134" t="str">
        <f>INDEX('Match Groups'!$D$5:$D$1326,MATCH(J2134,'Match Groups'!$A$5:$A$1326,0))</f>
        <v>MATCH</v>
      </c>
    </row>
    <row r="2135">
      <c r="A2135" t="inlineStr">
        <is>
          <t>JI-00791</t>
        </is>
      </c>
      <c r="B2135" t="inlineStr">
        <is>
          <t>OPS</t>
        </is>
      </c>
      <c r="C2135" s="5" t="n">
        <v>46240</v>
      </c>
      <c r="D2135" t="inlineStr">
        <is>
          <t>Clearpath NDIS Plans</t>
        </is>
      </c>
      <c r="E2135" t="inlineStr">
        <is>
          <t>INV/2026/02350</t>
        </is>
      </c>
      <c r="F2135" t="inlineStr">
        <is>
          <t>Customer payment INV/2026/02350</t>
        </is>
      </c>
      <c r="G2135" s="9" t="n">
        <v>290.98</v>
      </c>
      <c r="H2135" t="inlineStr">
        <is>
          <t>customer_payment</t>
        </is>
      </c>
      <c r="I2135" t="inlineStr"/>
      <c r="J2135" t="inlineStr">
        <is>
          <t>G00261</t>
        </is>
      </c>
      <c r="K2135" t="str">
        <f>INDEX('Match Groups'!$D$5:$D$1326,MATCH(J2135,'Match Groups'!$A$5:$A$1326,0))</f>
        <v>MATCH</v>
      </c>
    </row>
    <row r="2136">
      <c r="A2136" t="inlineStr">
        <is>
          <t>JI-00792</t>
        </is>
      </c>
      <c r="B2136" t="inlineStr">
        <is>
          <t>OPS</t>
        </is>
      </c>
      <c r="C2136" s="5" t="n">
        <v>46240</v>
      </c>
      <c r="D2136" t="inlineStr">
        <is>
          <t>Clearpath NDIS Plans</t>
        </is>
      </c>
      <c r="E2136" t="inlineStr">
        <is>
          <t>INV/2026/02394</t>
        </is>
      </c>
      <c r="F2136" t="inlineStr">
        <is>
          <t>Customer payment INV/2026/02394</t>
        </is>
      </c>
      <c r="G2136" s="9" t="n">
        <v>126.99</v>
      </c>
      <c r="H2136" t="inlineStr">
        <is>
          <t>customer_payment</t>
        </is>
      </c>
      <c r="I2136" t="inlineStr"/>
      <c r="J2136" t="inlineStr">
        <is>
          <t>G00261</t>
        </is>
      </c>
      <c r="K2136" t="str">
        <f>INDEX('Match Groups'!$D$5:$D$1326,MATCH(J2136,'Match Groups'!$A$5:$A$1326,0))</f>
        <v>MATCH</v>
      </c>
    </row>
    <row r="2137">
      <c r="A2137" t="inlineStr">
        <is>
          <t>JI-00793</t>
        </is>
      </c>
      <c r="B2137" t="inlineStr">
        <is>
          <t>OPS</t>
        </is>
      </c>
      <c r="C2137" s="5" t="n">
        <v>46240</v>
      </c>
      <c r="D2137" t="inlineStr">
        <is>
          <t>Clearpath NDIS Plans</t>
        </is>
      </c>
      <c r="E2137" t="inlineStr">
        <is>
          <t>INV/2026/02395</t>
        </is>
      </c>
      <c r="F2137" t="inlineStr">
        <is>
          <t>Customer payment INV/2026/02395</t>
        </is>
      </c>
      <c r="G2137" s="9" t="n">
        <v>320.98</v>
      </c>
      <c r="H2137" t="inlineStr">
        <is>
          <t>customer_payment</t>
        </is>
      </c>
      <c r="I2137" t="inlineStr"/>
      <c r="J2137" t="inlineStr">
        <is>
          <t>G00261</t>
        </is>
      </c>
      <c r="K2137" t="str">
        <f>INDEX('Match Groups'!$D$5:$D$1326,MATCH(J2137,'Match Groups'!$A$5:$A$1326,0))</f>
        <v>MATCH</v>
      </c>
    </row>
    <row r="2138">
      <c r="A2138" t="inlineStr">
        <is>
          <t>JI-00794</t>
        </is>
      </c>
      <c r="B2138" t="inlineStr">
        <is>
          <t>OPS</t>
        </is>
      </c>
      <c r="C2138" s="5" t="n">
        <v>46240</v>
      </c>
      <c r="D2138" t="inlineStr">
        <is>
          <t>Clearpath NDIS Plans</t>
        </is>
      </c>
      <c r="E2138" t="inlineStr">
        <is>
          <t>INV/2026/02421</t>
        </is>
      </c>
      <c r="F2138" t="inlineStr">
        <is>
          <t>Customer payment INV/2026/02421</t>
        </is>
      </c>
      <c r="G2138" s="9" t="n">
        <v>417.98</v>
      </c>
      <c r="H2138" t="inlineStr">
        <is>
          <t>customer_payment</t>
        </is>
      </c>
      <c r="I2138" t="inlineStr"/>
      <c r="J2138" t="inlineStr">
        <is>
          <t>G00261</t>
        </is>
      </c>
      <c r="K2138" t="str">
        <f>INDEX('Match Groups'!$D$5:$D$1326,MATCH(J2138,'Match Groups'!$A$5:$A$1326,0))</f>
        <v>MATCH</v>
      </c>
    </row>
    <row r="2139">
      <c r="A2139" t="inlineStr">
        <is>
          <t>JI-00795</t>
        </is>
      </c>
      <c r="B2139" t="inlineStr">
        <is>
          <t>OPS</t>
        </is>
      </c>
      <c r="C2139" s="5" t="n">
        <v>46240</v>
      </c>
      <c r="D2139" t="inlineStr">
        <is>
          <t>Wattle Plan Services</t>
        </is>
      </c>
      <c r="E2139" t="inlineStr">
        <is>
          <t>INV/2026/02351</t>
        </is>
      </c>
      <c r="F2139" t="inlineStr">
        <is>
          <t>Customer payment INV/2026/02351</t>
        </is>
      </c>
      <c r="G2139" s="9" t="n">
        <v>290.98</v>
      </c>
      <c r="H2139" t="inlineStr">
        <is>
          <t>customer_payment</t>
        </is>
      </c>
      <c r="I2139" t="inlineStr"/>
      <c r="J2139" t="inlineStr">
        <is>
          <t>G00262</t>
        </is>
      </c>
      <c r="K2139" t="str">
        <f>INDEX('Match Groups'!$D$5:$D$1326,MATCH(J2139,'Match Groups'!$A$5:$A$1326,0))</f>
        <v>MATCH</v>
      </c>
    </row>
    <row r="2140">
      <c r="A2140" t="inlineStr">
        <is>
          <t>JI-00796</t>
        </is>
      </c>
      <c r="B2140" t="inlineStr">
        <is>
          <t>OPS</t>
        </is>
      </c>
      <c r="C2140" s="5" t="n">
        <v>46240</v>
      </c>
      <c r="D2140" t="inlineStr">
        <is>
          <t>Saltbush Plan Managers</t>
        </is>
      </c>
      <c r="E2140" t="inlineStr">
        <is>
          <t>INV/2026/02429</t>
        </is>
      </c>
      <c r="F2140" t="inlineStr">
        <is>
          <t>Customer payment INV/2026/02429</t>
        </is>
      </c>
      <c r="G2140" s="9" t="n">
        <v>175.49</v>
      </c>
      <c r="H2140" t="inlineStr">
        <is>
          <t>customer_payment</t>
        </is>
      </c>
      <c r="I2140" t="inlineStr"/>
      <c r="J2140" t="inlineStr">
        <is>
          <t>G00263</t>
        </is>
      </c>
      <c r="K2140" t="str">
        <f>INDEX('Match Groups'!$D$5:$D$1326,MATCH(J2140,'Match Groups'!$A$5:$A$1326,0))</f>
        <v>MATCH</v>
      </c>
    </row>
    <row r="2141">
      <c r="A2141" t="inlineStr">
        <is>
          <t>JI-00797</t>
        </is>
      </c>
      <c r="B2141" t="inlineStr">
        <is>
          <t>OPS</t>
        </is>
      </c>
      <c r="C2141" s="5" t="n">
        <v>46240</v>
      </c>
      <c r="D2141" t="inlineStr">
        <is>
          <t>Lyrebird Plan Management</t>
        </is>
      </c>
      <c r="E2141" t="inlineStr">
        <is>
          <t>INV/2026/02332</t>
        </is>
      </c>
      <c r="F2141" t="inlineStr">
        <is>
          <t>Customer payment INV/2026/02332</t>
        </is>
      </c>
      <c r="G2141" s="9" t="n">
        <v>290.98</v>
      </c>
      <c r="H2141" t="inlineStr">
        <is>
          <t>customer_payment</t>
        </is>
      </c>
      <c r="I2141" t="inlineStr"/>
      <c r="J2141" t="inlineStr">
        <is>
          <t>G00264</t>
        </is>
      </c>
      <c r="K2141" t="str">
        <f>INDEX('Match Groups'!$D$5:$D$1326,MATCH(J2141,'Match Groups'!$A$5:$A$1326,0))</f>
        <v>MATCH</v>
      </c>
    </row>
    <row r="2142">
      <c r="A2142" t="inlineStr">
        <is>
          <t>JI-00798</t>
        </is>
      </c>
      <c r="B2142" t="inlineStr">
        <is>
          <t>OPS</t>
        </is>
      </c>
      <c r="C2142" s="5" t="n">
        <v>46240</v>
      </c>
      <c r="D2142" t="inlineStr">
        <is>
          <t>Lyrebird Plan Management</t>
        </is>
      </c>
      <c r="E2142" t="inlineStr">
        <is>
          <t>INV/2026/02333</t>
        </is>
      </c>
      <c r="F2142" t="inlineStr">
        <is>
          <t>Customer payment INV/2026/02333</t>
        </is>
      </c>
      <c r="G2142" s="9" t="n">
        <v>252.19</v>
      </c>
      <c r="H2142" t="inlineStr">
        <is>
          <t>customer_payment</t>
        </is>
      </c>
      <c r="I2142" t="inlineStr"/>
      <c r="J2142" t="inlineStr">
        <is>
          <t>G00264</t>
        </is>
      </c>
      <c r="K2142" t="str">
        <f>INDEX('Match Groups'!$D$5:$D$1326,MATCH(J2142,'Match Groups'!$A$5:$A$1326,0))</f>
        <v>MATCH</v>
      </c>
    </row>
    <row r="2143">
      <c r="A2143" t="inlineStr">
        <is>
          <t>JI-00799</t>
        </is>
      </c>
      <c r="B2143" t="inlineStr">
        <is>
          <t>OPS</t>
        </is>
      </c>
      <c r="C2143" s="5" t="n">
        <v>46240</v>
      </c>
      <c r="D2143" t="inlineStr">
        <is>
          <t>Lyrebird Plan Management</t>
        </is>
      </c>
      <c r="E2143" t="inlineStr">
        <is>
          <t>INV/2026/02362</t>
        </is>
      </c>
      <c r="F2143" t="inlineStr">
        <is>
          <t>Customer payment INV/2026/02362</t>
        </is>
      </c>
      <c r="G2143" s="9" t="n">
        <v>242.49</v>
      </c>
      <c r="H2143" t="inlineStr">
        <is>
          <t>customer_payment</t>
        </is>
      </c>
      <c r="I2143" t="inlineStr"/>
      <c r="J2143" t="inlineStr">
        <is>
          <t>G00264</t>
        </is>
      </c>
      <c r="K2143" t="str">
        <f>INDEX('Match Groups'!$D$5:$D$1326,MATCH(J2143,'Match Groups'!$A$5:$A$1326,0))</f>
        <v>MATCH</v>
      </c>
    </row>
    <row r="2144">
      <c r="A2144" t="inlineStr">
        <is>
          <t>JI-00800</t>
        </is>
      </c>
      <c r="B2144" t="inlineStr">
        <is>
          <t>OPS</t>
        </is>
      </c>
      <c r="C2144" s="5" t="n">
        <v>46240</v>
      </c>
      <c r="D2144" t="inlineStr">
        <is>
          <t>Lyrebird Plan Management</t>
        </is>
      </c>
      <c r="E2144" t="inlineStr">
        <is>
          <t>INV/2026/02363</t>
        </is>
      </c>
      <c r="F2144" t="inlineStr">
        <is>
          <t>Customer payment INV/2026/02363</t>
        </is>
      </c>
      <c r="G2144" s="9" t="n">
        <v>349.18</v>
      </c>
      <c r="H2144" t="inlineStr">
        <is>
          <t>customer_payment</t>
        </is>
      </c>
      <c r="I2144" t="inlineStr"/>
      <c r="J2144" t="inlineStr">
        <is>
          <t>G00264</t>
        </is>
      </c>
      <c r="K2144" t="str">
        <f>INDEX('Match Groups'!$D$5:$D$1326,MATCH(J2144,'Match Groups'!$A$5:$A$1326,0))</f>
        <v>MATCH</v>
      </c>
    </row>
    <row r="2145">
      <c r="A2145" t="inlineStr">
        <is>
          <t>JI-00801</t>
        </is>
      </c>
      <c r="B2145" t="inlineStr">
        <is>
          <t>OPS</t>
        </is>
      </c>
      <c r="C2145" s="5" t="n">
        <v>46240</v>
      </c>
      <c r="D2145" t="inlineStr">
        <is>
          <t>Lyrebird Plan Management</t>
        </is>
      </c>
      <c r="E2145" t="inlineStr">
        <is>
          <t>INV/2026/02408</t>
        </is>
      </c>
      <c r="F2145" t="inlineStr">
        <is>
          <t>Customer payment INV/2026/02408</t>
        </is>
      </c>
      <c r="G2145" s="9" t="n">
        <v>155.19</v>
      </c>
      <c r="H2145" t="inlineStr">
        <is>
          <t>customer_payment</t>
        </is>
      </c>
      <c r="I2145" t="inlineStr"/>
      <c r="J2145" t="inlineStr">
        <is>
          <t>G00264</t>
        </is>
      </c>
      <c r="K2145" t="str">
        <f>INDEX('Match Groups'!$D$5:$D$1326,MATCH(J2145,'Match Groups'!$A$5:$A$1326,0))</f>
        <v>MATCH</v>
      </c>
    </row>
    <row r="2146">
      <c r="A2146" t="inlineStr">
        <is>
          <t>JI-00802</t>
        </is>
      </c>
      <c r="B2146" t="inlineStr">
        <is>
          <t>OPS</t>
        </is>
      </c>
      <c r="C2146" s="5" t="n">
        <v>46240</v>
      </c>
      <c r="D2146" t="inlineStr">
        <is>
          <t>Lyrebird Plan Management</t>
        </is>
      </c>
      <c r="E2146" t="inlineStr">
        <is>
          <t>INV/2026/02409</t>
        </is>
      </c>
      <c r="F2146" t="inlineStr">
        <is>
          <t>Customer payment INV/2026/02409</t>
        </is>
      </c>
      <c r="G2146" s="9" t="n">
        <v>145.49</v>
      </c>
      <c r="H2146" t="inlineStr">
        <is>
          <t>customer_payment</t>
        </is>
      </c>
      <c r="I2146" t="inlineStr"/>
      <c r="J2146" t="inlineStr">
        <is>
          <t>G00264</t>
        </is>
      </c>
      <c r="K2146" t="str">
        <f>INDEX('Match Groups'!$D$5:$D$1326,MATCH(J2146,'Match Groups'!$A$5:$A$1326,0))</f>
        <v>MATCH</v>
      </c>
    </row>
    <row r="2147">
      <c r="A2147" t="inlineStr">
        <is>
          <t>JI-00803</t>
        </is>
      </c>
      <c r="B2147" t="inlineStr">
        <is>
          <t>OPS</t>
        </is>
      </c>
      <c r="C2147" s="5" t="n">
        <v>46240</v>
      </c>
      <c r="D2147" t="inlineStr">
        <is>
          <t>Lyrebird Plan Management</t>
        </is>
      </c>
      <c r="E2147" t="inlineStr">
        <is>
          <t>INV/2026/02435</t>
        </is>
      </c>
      <c r="F2147" t="inlineStr">
        <is>
          <t>Customer payment INV/2026/02435</t>
        </is>
      </c>
      <c r="G2147" s="9" t="n">
        <v>242.49</v>
      </c>
      <c r="H2147" t="inlineStr">
        <is>
          <t>customer_payment</t>
        </is>
      </c>
      <c r="I2147" t="inlineStr"/>
      <c r="J2147" t="inlineStr">
        <is>
          <t>G00264</t>
        </is>
      </c>
      <c r="K2147" t="str">
        <f>INDEX('Match Groups'!$D$5:$D$1326,MATCH(J2147,'Match Groups'!$A$5:$A$1326,0))</f>
        <v>MATCH</v>
      </c>
    </row>
    <row r="2148">
      <c r="A2148" t="inlineStr">
        <is>
          <t>JI-00804</t>
        </is>
      </c>
      <c r="B2148" t="inlineStr">
        <is>
          <t>OPS</t>
        </is>
      </c>
      <c r="C2148" s="5" t="n">
        <v>46240</v>
      </c>
      <c r="D2148" t="inlineStr">
        <is>
          <t>Tallowwood Plans</t>
        </is>
      </c>
      <c r="E2148" t="inlineStr">
        <is>
          <t>INV/2026/02410</t>
        </is>
      </c>
      <c r="F2148" t="inlineStr">
        <is>
          <t>Customer payment INV/2026/02410</t>
        </is>
      </c>
      <c r="G2148" s="9" t="n">
        <v>387.98</v>
      </c>
      <c r="H2148" t="inlineStr">
        <is>
          <t>customer_payment</t>
        </is>
      </c>
      <c r="I2148" t="inlineStr"/>
      <c r="J2148" t="inlineStr">
        <is>
          <t>G00265</t>
        </is>
      </c>
      <c r="K2148" t="str">
        <f>INDEX('Match Groups'!$D$5:$D$1326,MATCH(J2148,'Match Groups'!$A$5:$A$1326,0))</f>
        <v>MATCH</v>
      </c>
    </row>
    <row r="2149">
      <c r="A2149" t="inlineStr">
        <is>
          <t>JI-00805</t>
        </is>
      </c>
      <c r="B2149" t="inlineStr">
        <is>
          <t>OPS</t>
        </is>
      </c>
      <c r="C2149" s="5" t="n">
        <v>46240</v>
      </c>
      <c r="D2149" t="inlineStr">
        <is>
          <t>Acacia Plan Partners</t>
        </is>
      </c>
      <c r="E2149" t="inlineStr">
        <is>
          <t>INV/2026/02411</t>
        </is>
      </c>
      <c r="F2149" t="inlineStr">
        <is>
          <t>Customer payment INV/2026/02411</t>
        </is>
      </c>
      <c r="G2149" s="9" t="n">
        <v>242.49</v>
      </c>
      <c r="H2149" t="inlineStr">
        <is>
          <t>customer_payment</t>
        </is>
      </c>
      <c r="I2149" t="inlineStr"/>
      <c r="J2149" t="inlineStr">
        <is>
          <t>G00266</t>
        </is>
      </c>
      <c r="K2149" t="str">
        <f>INDEX('Match Groups'!$D$5:$D$1326,MATCH(J2149,'Match Groups'!$A$5:$A$1326,0))</f>
        <v>MATCH</v>
      </c>
    </row>
    <row r="2150">
      <c r="A2150" t="inlineStr">
        <is>
          <t>JI-00806</t>
        </is>
      </c>
      <c r="B2150" t="inlineStr">
        <is>
          <t>OPS</t>
        </is>
      </c>
      <c r="C2150" s="5" t="n">
        <v>46240</v>
      </c>
      <c r="D2150" t="inlineStr">
        <is>
          <t>Acacia Plan Partners</t>
        </is>
      </c>
      <c r="E2150" t="inlineStr">
        <is>
          <t>INV/2026/02413</t>
        </is>
      </c>
      <c r="F2150" t="inlineStr">
        <is>
          <t>Customer payment INV/2026/02413</t>
        </is>
      </c>
      <c r="G2150" s="9" t="n">
        <v>193.99</v>
      </c>
      <c r="H2150" t="inlineStr">
        <is>
          <t>customer_payment</t>
        </is>
      </c>
      <c r="I2150" t="inlineStr"/>
      <c r="J2150" t="inlineStr">
        <is>
          <t>G00266</t>
        </is>
      </c>
      <c r="K2150" t="str">
        <f>INDEX('Match Groups'!$D$5:$D$1326,MATCH(J2150,'Match Groups'!$A$5:$A$1326,0))</f>
        <v>MATCH</v>
      </c>
    </row>
    <row r="2151">
      <c r="A2151" t="inlineStr">
        <is>
          <t>JI-00807</t>
        </is>
      </c>
      <c r="B2151" t="inlineStr">
        <is>
          <t>OPS</t>
        </is>
      </c>
      <c r="C2151" s="5" t="n">
        <v>46240</v>
      </c>
      <c r="D2151" t="inlineStr">
        <is>
          <t>Acacia Plan Partners</t>
        </is>
      </c>
      <c r="E2151" t="inlineStr">
        <is>
          <t>INV/2026/02457</t>
        </is>
      </c>
      <c r="F2151" t="inlineStr">
        <is>
          <t>Customer payment INV/2026/02457</t>
        </is>
      </c>
      <c r="G2151" s="9" t="n">
        <v>446.18</v>
      </c>
      <c r="H2151" t="inlineStr">
        <is>
          <t>customer_payment</t>
        </is>
      </c>
      <c r="I2151" t="inlineStr"/>
      <c r="J2151" t="inlineStr">
        <is>
          <t>G00266</t>
        </is>
      </c>
      <c r="K2151" t="str">
        <f>INDEX('Match Groups'!$D$5:$D$1326,MATCH(J2151,'Match Groups'!$A$5:$A$1326,0))</f>
        <v>MATCH</v>
      </c>
    </row>
    <row r="2152">
      <c r="A2152" t="inlineStr">
        <is>
          <t>JI-00822</t>
        </is>
      </c>
      <c r="B2152" t="inlineStr">
        <is>
          <t>OPS</t>
        </is>
      </c>
      <c r="C2152" s="5" t="n">
        <v>46240</v>
      </c>
      <c r="D2152" t="inlineStr">
        <is>
          <t>Mallee Plan Services</t>
        </is>
      </c>
      <c r="E2152" t="inlineStr">
        <is>
          <t>INV/2026/02460</t>
        </is>
      </c>
      <c r="F2152" t="inlineStr">
        <is>
          <t>Customer payment INV/2026/02460</t>
        </is>
      </c>
      <c r="G2152" s="9" t="n">
        <v>193.99</v>
      </c>
      <c r="H2152" t="inlineStr">
        <is>
          <t>customer_payment</t>
        </is>
      </c>
      <c r="I2152" t="inlineStr"/>
      <c r="J2152" t="inlineStr">
        <is>
          <t>G00273</t>
        </is>
      </c>
      <c r="K2152" t="str">
        <f>INDEX('Match Groups'!$D$5:$D$1326,MATCH(J2152,'Match Groups'!$A$5:$A$1326,0))</f>
        <v>MATCH</v>
      </c>
    </row>
    <row r="2153">
      <c r="A2153" t="inlineStr">
        <is>
          <t>JI-01578</t>
        </is>
      </c>
      <c r="B2153" t="inlineStr">
        <is>
          <t>OPS</t>
        </is>
      </c>
      <c r="C2153" s="5" t="n">
        <v>46240</v>
      </c>
      <c r="D2153" t="inlineStr">
        <is>
          <t>Unity Workcover Agents</t>
        </is>
      </c>
      <c r="E2153" t="inlineStr">
        <is>
          <t>INV/2026/02298</t>
        </is>
      </c>
      <c r="F2153" t="inlineStr">
        <is>
          <t>Customer payment INV/2026/02298</t>
        </is>
      </c>
      <c r="G2153" s="9" t="n">
        <v>412.5</v>
      </c>
      <c r="H2153" t="inlineStr">
        <is>
          <t>customer_payment</t>
        </is>
      </c>
      <c r="I2153" t="inlineStr"/>
      <c r="J2153" t="inlineStr">
        <is>
          <t>G00986</t>
        </is>
      </c>
      <c r="K2153" t="str">
        <f>INDEX('Match Groups'!$D$5:$D$1326,MATCH(J2153,'Match Groups'!$A$5:$A$1326,0))</f>
        <v>MATCH</v>
      </c>
    </row>
    <row r="2154">
      <c r="A2154" t="inlineStr">
        <is>
          <t>JI-01705</t>
        </is>
      </c>
      <c r="B2154" t="inlineStr">
        <is>
          <t>OPS</t>
        </is>
      </c>
      <c r="C2154" s="5" t="n">
        <v>46240</v>
      </c>
      <c r="D2154" t="inlineStr">
        <is>
          <t>Broadmeadow Plastics</t>
        </is>
      </c>
      <c r="E2154" t="inlineStr">
        <is>
          <t>INV/2026/03487</t>
        </is>
      </c>
      <c r="F2154" t="inlineStr">
        <is>
          <t>Customer payment INV/2026/03487</t>
        </is>
      </c>
      <c r="G2154" s="9" t="n">
        <v>2117.5</v>
      </c>
      <c r="H2154" t="inlineStr">
        <is>
          <t>customer_payment</t>
        </is>
      </c>
      <c r="I2154" t="inlineStr"/>
      <c r="J2154" t="inlineStr">
        <is>
          <t>G00985</t>
        </is>
      </c>
      <c r="K2154" t="str">
        <f>INDEX('Match Groups'!$D$5:$D$1326,MATCH(J2154,'Match Groups'!$A$5:$A$1326,0))</f>
        <v>MATCH</v>
      </c>
    </row>
    <row r="2155">
      <c r="A2155" t="inlineStr">
        <is>
          <t>JI-02568</t>
        </is>
      </c>
      <c r="B2155" t="inlineStr">
        <is>
          <t>OPS</t>
        </is>
      </c>
      <c r="C2155" s="5" t="n">
        <v>46240</v>
      </c>
      <c r="D2155" t="inlineStr">
        <is>
          <t>Stripe patient 60735</t>
        </is>
      </c>
      <c r="E2155" t="inlineStr">
        <is>
          <t>INV/2026/04414</t>
        </is>
      </c>
      <c r="F2155" t="inlineStr">
        <is>
          <t>Customer payment INV/2026/04414</t>
        </is>
      </c>
      <c r="G2155" s="9" t="n">
        <v>135</v>
      </c>
      <c r="H2155" t="inlineStr">
        <is>
          <t>customer_payment</t>
        </is>
      </c>
      <c r="I2155" t="inlineStr"/>
      <c r="J2155" t="inlineStr">
        <is>
          <t>G00042</t>
        </is>
      </c>
      <c r="K2155" t="str">
        <f>INDEX('Match Groups'!$D$5:$D$1326,MATCH(J2155,'Match Groups'!$A$5:$A$1326,0))</f>
        <v>STRIPE-FEE</v>
      </c>
    </row>
    <row r="2156">
      <c r="A2156" t="inlineStr">
        <is>
          <t>JI-02569</t>
        </is>
      </c>
      <c r="B2156" t="inlineStr">
        <is>
          <t>OPS</t>
        </is>
      </c>
      <c r="C2156" s="5" t="n">
        <v>46240</v>
      </c>
      <c r="D2156" t="inlineStr">
        <is>
          <t>Stripe patient 83840</t>
        </is>
      </c>
      <c r="E2156" t="inlineStr">
        <is>
          <t>INV/2026/04415</t>
        </is>
      </c>
      <c r="F2156" t="inlineStr">
        <is>
          <t>Customer payment INV/2026/04415</t>
        </is>
      </c>
      <c r="G2156" s="9" t="n">
        <v>110</v>
      </c>
      <c r="H2156" t="inlineStr">
        <is>
          <t>customer_payment</t>
        </is>
      </c>
      <c r="I2156" t="inlineStr"/>
      <c r="J2156" t="inlineStr">
        <is>
          <t>G00042</t>
        </is>
      </c>
      <c r="K2156" t="str">
        <f>INDEX('Match Groups'!$D$5:$D$1326,MATCH(J2156,'Match Groups'!$A$5:$A$1326,0))</f>
        <v>STRIPE-FEE</v>
      </c>
    </row>
    <row r="2157">
      <c r="A2157" t="inlineStr">
        <is>
          <t>JI-02570</t>
        </is>
      </c>
      <c r="B2157" t="inlineStr">
        <is>
          <t>OPS</t>
        </is>
      </c>
      <c r="C2157" s="5" t="n">
        <v>46240</v>
      </c>
      <c r="D2157" t="inlineStr">
        <is>
          <t>Stripe patient 94259</t>
        </is>
      </c>
      <c r="E2157" t="inlineStr">
        <is>
          <t>INV/2026/04416</t>
        </is>
      </c>
      <c r="F2157" t="inlineStr">
        <is>
          <t>Customer payment INV/2026/04416</t>
        </is>
      </c>
      <c r="G2157" s="9" t="n">
        <v>150</v>
      </c>
      <c r="H2157" t="inlineStr">
        <is>
          <t>customer_payment</t>
        </is>
      </c>
      <c r="I2157" t="inlineStr"/>
      <c r="J2157" t="inlineStr">
        <is>
          <t>G00042</t>
        </is>
      </c>
      <c r="K2157" t="str">
        <f>INDEX('Match Groups'!$D$5:$D$1326,MATCH(J2157,'Match Groups'!$A$5:$A$1326,0))</f>
        <v>STRIPE-FEE</v>
      </c>
    </row>
    <row r="2158">
      <c r="A2158" t="inlineStr">
        <is>
          <t>JI-02571</t>
        </is>
      </c>
      <c r="B2158" t="inlineStr">
        <is>
          <t>OPS</t>
        </is>
      </c>
      <c r="C2158" s="5" t="n">
        <v>46240</v>
      </c>
      <c r="D2158" t="inlineStr">
        <is>
          <t>Stripe patient 13180</t>
        </is>
      </c>
      <c r="E2158" t="inlineStr">
        <is>
          <t>INV/2026/04417</t>
        </is>
      </c>
      <c r="F2158" t="inlineStr">
        <is>
          <t>Customer payment INV/2026/04417</t>
        </is>
      </c>
      <c r="G2158" s="9" t="n">
        <v>85</v>
      </c>
      <c r="H2158" t="inlineStr">
        <is>
          <t>customer_payment</t>
        </is>
      </c>
      <c r="I2158" t="inlineStr"/>
      <c r="J2158" t="inlineStr">
        <is>
          <t>G00042</t>
        </is>
      </c>
      <c r="K2158" t="str">
        <f>INDEX('Match Groups'!$D$5:$D$1326,MATCH(J2158,'Match Groups'!$A$5:$A$1326,0))</f>
        <v>STRIPE-FEE</v>
      </c>
    </row>
    <row r="2159">
      <c r="A2159" t="inlineStr">
        <is>
          <t>JI-02572</t>
        </is>
      </c>
      <c r="B2159" t="inlineStr">
        <is>
          <t>OPS</t>
        </is>
      </c>
      <c r="C2159" s="5" t="n">
        <v>46240</v>
      </c>
      <c r="D2159" t="inlineStr">
        <is>
          <t>Stripe patient 14786</t>
        </is>
      </c>
      <c r="E2159" t="inlineStr">
        <is>
          <t>INV/2026/04418</t>
        </is>
      </c>
      <c r="F2159" t="inlineStr">
        <is>
          <t>Customer payment INV/2026/04418</t>
        </is>
      </c>
      <c r="G2159" s="9" t="n">
        <v>150</v>
      </c>
      <c r="H2159" t="inlineStr">
        <is>
          <t>customer_payment</t>
        </is>
      </c>
      <c r="I2159" t="inlineStr"/>
      <c r="J2159" t="inlineStr">
        <is>
          <t>G00042</t>
        </is>
      </c>
      <c r="K2159" t="str">
        <f>INDEX('Match Groups'!$D$5:$D$1326,MATCH(J2159,'Match Groups'!$A$5:$A$1326,0))</f>
        <v>STRIPE-FEE</v>
      </c>
    </row>
    <row r="2160">
      <c r="A2160" t="inlineStr">
        <is>
          <t>JI-02573</t>
        </is>
      </c>
      <c r="B2160" t="inlineStr">
        <is>
          <t>OPS</t>
        </is>
      </c>
      <c r="C2160" s="5" t="n">
        <v>46240</v>
      </c>
      <c r="D2160" t="inlineStr">
        <is>
          <t>Stripe patient 66990</t>
        </is>
      </c>
      <c r="E2160" t="inlineStr">
        <is>
          <t>INV/2026/04419</t>
        </is>
      </c>
      <c r="F2160" t="inlineStr">
        <is>
          <t>Customer payment INV/2026/04419</t>
        </is>
      </c>
      <c r="G2160" s="9" t="n">
        <v>85</v>
      </c>
      <c r="H2160" t="inlineStr">
        <is>
          <t>customer_payment</t>
        </is>
      </c>
      <c r="I2160" t="inlineStr"/>
      <c r="J2160" t="inlineStr">
        <is>
          <t>G00042</t>
        </is>
      </c>
      <c r="K2160" t="str">
        <f>INDEX('Match Groups'!$D$5:$D$1326,MATCH(J2160,'Match Groups'!$A$5:$A$1326,0))</f>
        <v>STRIPE-FEE</v>
      </c>
    </row>
    <row r="2161">
      <c r="A2161" t="inlineStr">
        <is>
          <t>JI-02574</t>
        </is>
      </c>
      <c r="B2161" t="inlineStr">
        <is>
          <t>OPS</t>
        </is>
      </c>
      <c r="C2161" s="5" t="n">
        <v>46240</v>
      </c>
      <c r="D2161" t="inlineStr">
        <is>
          <t>Stripe patient 31723</t>
        </is>
      </c>
      <c r="E2161" t="inlineStr">
        <is>
          <t>INV/2026/04420</t>
        </is>
      </c>
      <c r="F2161" t="inlineStr">
        <is>
          <t>Customer payment INV/2026/04420</t>
        </is>
      </c>
      <c r="G2161" s="9" t="n">
        <v>85</v>
      </c>
      <c r="H2161" t="inlineStr">
        <is>
          <t>customer_payment</t>
        </is>
      </c>
      <c r="I2161" t="inlineStr"/>
      <c r="J2161" t="inlineStr">
        <is>
          <t>G00042</t>
        </is>
      </c>
      <c r="K2161" t="str">
        <f>INDEX('Match Groups'!$D$5:$D$1326,MATCH(J2161,'Match Groups'!$A$5:$A$1326,0))</f>
        <v>STRIPE-FEE</v>
      </c>
    </row>
    <row r="2162">
      <c r="A2162" t="inlineStr">
        <is>
          <t>JI-02575</t>
        </is>
      </c>
      <c r="B2162" t="inlineStr">
        <is>
          <t>OPS</t>
        </is>
      </c>
      <c r="C2162" s="5" t="n">
        <v>46240</v>
      </c>
      <c r="D2162" t="inlineStr">
        <is>
          <t>Stripe patient 33662</t>
        </is>
      </c>
      <c r="E2162" t="inlineStr">
        <is>
          <t>INV/2026/04421</t>
        </is>
      </c>
      <c r="F2162" t="inlineStr">
        <is>
          <t>Customer payment INV/2026/04421</t>
        </is>
      </c>
      <c r="G2162" s="9" t="n">
        <v>180</v>
      </c>
      <c r="H2162" t="inlineStr">
        <is>
          <t>customer_payment</t>
        </is>
      </c>
      <c r="I2162" t="inlineStr"/>
      <c r="J2162" t="inlineStr">
        <is>
          <t>G00042</t>
        </is>
      </c>
      <c r="K2162" t="str">
        <f>INDEX('Match Groups'!$D$5:$D$1326,MATCH(J2162,'Match Groups'!$A$5:$A$1326,0))</f>
        <v>STRIPE-FEE</v>
      </c>
    </row>
    <row r="2163">
      <c r="A2163" t="inlineStr">
        <is>
          <t>JI-02576</t>
        </is>
      </c>
      <c r="B2163" t="inlineStr">
        <is>
          <t>OPS</t>
        </is>
      </c>
      <c r="C2163" s="5" t="n">
        <v>46240</v>
      </c>
      <c r="D2163" t="inlineStr">
        <is>
          <t>Stripe patient 83971</t>
        </is>
      </c>
      <c r="E2163" t="inlineStr">
        <is>
          <t>INV/2026/04422</t>
        </is>
      </c>
      <c r="F2163" t="inlineStr">
        <is>
          <t>Customer payment INV/2026/04422</t>
        </is>
      </c>
      <c r="G2163" s="9" t="n">
        <v>95</v>
      </c>
      <c r="H2163" t="inlineStr">
        <is>
          <t>customer_payment</t>
        </is>
      </c>
      <c r="I2163" t="inlineStr"/>
      <c r="J2163" t="inlineStr">
        <is>
          <t>G00042</t>
        </is>
      </c>
      <c r="K2163" t="str">
        <f>INDEX('Match Groups'!$D$5:$D$1326,MATCH(J2163,'Match Groups'!$A$5:$A$1326,0))</f>
        <v>STRIPE-FEE</v>
      </c>
    </row>
    <row r="2164">
      <c r="A2164" t="inlineStr">
        <is>
          <t>JI-02577</t>
        </is>
      </c>
      <c r="B2164" t="inlineStr">
        <is>
          <t>OPS</t>
        </is>
      </c>
      <c r="C2164" s="5" t="n">
        <v>46240</v>
      </c>
      <c r="D2164" t="inlineStr">
        <is>
          <t>Stripe patient 92615</t>
        </is>
      </c>
      <c r="E2164" t="inlineStr">
        <is>
          <t>INV/2026/04423</t>
        </is>
      </c>
      <c r="F2164" t="inlineStr">
        <is>
          <t>Customer payment INV/2026/04423</t>
        </is>
      </c>
      <c r="G2164" s="9" t="n">
        <v>150</v>
      </c>
      <c r="H2164" t="inlineStr">
        <is>
          <t>customer_payment</t>
        </is>
      </c>
      <c r="I2164" t="inlineStr"/>
      <c r="J2164" t="inlineStr">
        <is>
          <t>G00042</t>
        </is>
      </c>
      <c r="K2164" t="str">
        <f>INDEX('Match Groups'!$D$5:$D$1326,MATCH(J2164,'Match Groups'!$A$5:$A$1326,0))</f>
        <v>STRIPE-FEE</v>
      </c>
    </row>
    <row r="2165">
      <c r="A2165" t="inlineStr">
        <is>
          <t>JI-02578</t>
        </is>
      </c>
      <c r="B2165" t="inlineStr">
        <is>
          <t>OPS</t>
        </is>
      </c>
      <c r="C2165" s="5" t="n">
        <v>46240</v>
      </c>
      <c r="D2165" t="inlineStr">
        <is>
          <t>Stripe patient 97729</t>
        </is>
      </c>
      <c r="E2165" t="inlineStr">
        <is>
          <t>INV/2026/04424</t>
        </is>
      </c>
      <c r="F2165" t="inlineStr">
        <is>
          <t>Customer payment INV/2026/04424</t>
        </is>
      </c>
      <c r="G2165" s="9" t="n">
        <v>220</v>
      </c>
      <c r="H2165" t="inlineStr">
        <is>
          <t>customer_payment</t>
        </is>
      </c>
      <c r="I2165" t="inlineStr"/>
      <c r="J2165" t="inlineStr">
        <is>
          <t>G00042</t>
        </is>
      </c>
      <c r="K2165" t="str">
        <f>INDEX('Match Groups'!$D$5:$D$1326,MATCH(J2165,'Match Groups'!$A$5:$A$1326,0))</f>
        <v>STRIPE-FEE</v>
      </c>
    </row>
    <row r="2166">
      <c r="A2166" t="inlineStr">
        <is>
          <t>JI-02579</t>
        </is>
      </c>
      <c r="B2166" t="inlineStr">
        <is>
          <t>OPS</t>
        </is>
      </c>
      <c r="C2166" s="5" t="n">
        <v>46240</v>
      </c>
      <c r="D2166" t="inlineStr">
        <is>
          <t>Stripe patient 97663</t>
        </is>
      </c>
      <c r="E2166" t="inlineStr">
        <is>
          <t>INV/2026/04425</t>
        </is>
      </c>
      <c r="F2166" t="inlineStr">
        <is>
          <t>Customer payment INV/2026/04425</t>
        </is>
      </c>
      <c r="G2166" s="9" t="n">
        <v>65</v>
      </c>
      <c r="H2166" t="inlineStr">
        <is>
          <t>customer_payment</t>
        </is>
      </c>
      <c r="I2166" t="inlineStr"/>
      <c r="J2166" t="inlineStr">
        <is>
          <t>G00042</t>
        </is>
      </c>
      <c r="K2166" t="str">
        <f>INDEX('Match Groups'!$D$5:$D$1326,MATCH(J2166,'Match Groups'!$A$5:$A$1326,0))</f>
        <v>STRIPE-FEE</v>
      </c>
    </row>
    <row r="2167">
      <c r="A2167" t="inlineStr">
        <is>
          <t>JI-02580</t>
        </is>
      </c>
      <c r="B2167" t="inlineStr">
        <is>
          <t>OPS</t>
        </is>
      </c>
      <c r="C2167" s="5" t="n">
        <v>46240</v>
      </c>
      <c r="D2167" t="inlineStr">
        <is>
          <t>Stripe patient 83502</t>
        </is>
      </c>
      <c r="E2167" t="inlineStr">
        <is>
          <t>INV/2026/04426</t>
        </is>
      </c>
      <c r="F2167" t="inlineStr">
        <is>
          <t>Customer payment INV/2026/04426</t>
        </is>
      </c>
      <c r="G2167" s="9" t="n">
        <v>95</v>
      </c>
      <c r="H2167" t="inlineStr">
        <is>
          <t>customer_payment</t>
        </is>
      </c>
      <c r="I2167" t="inlineStr"/>
      <c r="J2167" t="inlineStr">
        <is>
          <t>G00042</t>
        </is>
      </c>
      <c r="K2167" t="str">
        <f>INDEX('Match Groups'!$D$5:$D$1326,MATCH(J2167,'Match Groups'!$A$5:$A$1326,0))</f>
        <v>STRIPE-FEE</v>
      </c>
    </row>
    <row r="2168">
      <c r="A2168" t="inlineStr">
        <is>
          <t>JI-02581</t>
        </is>
      </c>
      <c r="B2168" t="inlineStr">
        <is>
          <t>OPS</t>
        </is>
      </c>
      <c r="C2168" s="5" t="n">
        <v>46240</v>
      </c>
      <c r="D2168" t="inlineStr">
        <is>
          <t>Stripe patient 94826</t>
        </is>
      </c>
      <c r="E2168" t="inlineStr">
        <is>
          <t>INV/2026/04427</t>
        </is>
      </c>
      <c r="F2168" t="inlineStr">
        <is>
          <t>Customer payment INV/2026/04427</t>
        </is>
      </c>
      <c r="G2168" s="9" t="n">
        <v>65</v>
      </c>
      <c r="H2168" t="inlineStr">
        <is>
          <t>customer_payment</t>
        </is>
      </c>
      <c r="I2168" t="inlineStr"/>
      <c r="J2168" t="inlineStr">
        <is>
          <t>G00042</t>
        </is>
      </c>
      <c r="K2168" t="str">
        <f>INDEX('Match Groups'!$D$5:$D$1326,MATCH(J2168,'Match Groups'!$A$5:$A$1326,0))</f>
        <v>STRIPE-FEE</v>
      </c>
    </row>
    <row r="2169">
      <c r="A2169" t="inlineStr">
        <is>
          <t>JI-02582</t>
        </is>
      </c>
      <c r="B2169" t="inlineStr">
        <is>
          <t>OPS</t>
        </is>
      </c>
      <c r="C2169" s="5" t="n">
        <v>46240</v>
      </c>
      <c r="D2169" t="inlineStr">
        <is>
          <t>Stripe patient 14168</t>
        </is>
      </c>
      <c r="E2169" t="inlineStr">
        <is>
          <t>INV/2026/04428</t>
        </is>
      </c>
      <c r="F2169" t="inlineStr">
        <is>
          <t>Customer payment INV/2026/04428</t>
        </is>
      </c>
      <c r="G2169" s="9" t="n">
        <v>135</v>
      </c>
      <c r="H2169" t="inlineStr">
        <is>
          <t>customer_payment</t>
        </is>
      </c>
      <c r="I2169" t="inlineStr"/>
      <c r="J2169" t="inlineStr">
        <is>
          <t>G00042</t>
        </is>
      </c>
      <c r="K2169" t="str">
        <f>INDEX('Match Groups'!$D$5:$D$1326,MATCH(J2169,'Match Groups'!$A$5:$A$1326,0))</f>
        <v>STRIPE-FEE</v>
      </c>
    </row>
    <row r="2170">
      <c r="A2170" t="inlineStr">
        <is>
          <t>JI-02583</t>
        </is>
      </c>
      <c r="B2170" t="inlineStr">
        <is>
          <t>OPS</t>
        </is>
      </c>
      <c r="C2170" s="5" t="n">
        <v>46240</v>
      </c>
      <c r="D2170" t="inlineStr">
        <is>
          <t>Stripe patient 59185</t>
        </is>
      </c>
      <c r="E2170" t="inlineStr">
        <is>
          <t>INV/2026/04429</t>
        </is>
      </c>
      <c r="F2170" t="inlineStr">
        <is>
          <t>Customer payment INV/2026/04429</t>
        </is>
      </c>
      <c r="G2170" s="9" t="n">
        <v>65</v>
      </c>
      <c r="H2170" t="inlineStr">
        <is>
          <t>customer_payment</t>
        </is>
      </c>
      <c r="I2170" t="inlineStr"/>
      <c r="J2170" t="inlineStr">
        <is>
          <t>G00042</t>
        </is>
      </c>
      <c r="K2170" t="str">
        <f>INDEX('Match Groups'!$D$5:$D$1326,MATCH(J2170,'Match Groups'!$A$5:$A$1326,0))</f>
        <v>STRIPE-FEE</v>
      </c>
    </row>
    <row r="2171">
      <c r="A2171" t="inlineStr">
        <is>
          <t>JI-02584</t>
        </is>
      </c>
      <c r="B2171" t="inlineStr">
        <is>
          <t>OPS</t>
        </is>
      </c>
      <c r="C2171" s="5" t="n">
        <v>46240</v>
      </c>
      <c r="D2171" t="inlineStr">
        <is>
          <t>Stripe patient 34885</t>
        </is>
      </c>
      <c r="E2171" t="inlineStr">
        <is>
          <t>INV/2026/04430</t>
        </is>
      </c>
      <c r="F2171" t="inlineStr">
        <is>
          <t>Customer payment INV/2026/04430</t>
        </is>
      </c>
      <c r="G2171" s="9" t="n">
        <v>220</v>
      </c>
      <c r="H2171" t="inlineStr">
        <is>
          <t>customer_payment</t>
        </is>
      </c>
      <c r="I2171" t="inlineStr"/>
      <c r="J2171" t="inlineStr">
        <is>
          <t>G00042</t>
        </is>
      </c>
      <c r="K2171" t="str">
        <f>INDEX('Match Groups'!$D$5:$D$1326,MATCH(J2171,'Match Groups'!$A$5:$A$1326,0))</f>
        <v>STRIPE-FEE</v>
      </c>
    </row>
    <row r="2172">
      <c r="A2172" t="inlineStr">
        <is>
          <t>JI-02585</t>
        </is>
      </c>
      <c r="B2172" t="inlineStr">
        <is>
          <t>OPS</t>
        </is>
      </c>
      <c r="C2172" s="5" t="n">
        <v>46240</v>
      </c>
      <c r="D2172" t="inlineStr">
        <is>
          <t>Stripe patient 35139</t>
        </is>
      </c>
      <c r="E2172" t="inlineStr">
        <is>
          <t>INV/2026/04431</t>
        </is>
      </c>
      <c r="F2172" t="inlineStr">
        <is>
          <t>Customer payment INV/2026/04431</t>
        </is>
      </c>
      <c r="G2172" s="9" t="n">
        <v>120</v>
      </c>
      <c r="H2172" t="inlineStr">
        <is>
          <t>customer_payment</t>
        </is>
      </c>
      <c r="I2172" t="inlineStr"/>
      <c r="J2172" t="inlineStr">
        <is>
          <t>G00042</t>
        </is>
      </c>
      <c r="K2172" t="str">
        <f>INDEX('Match Groups'!$D$5:$D$1326,MATCH(J2172,'Match Groups'!$A$5:$A$1326,0))</f>
        <v>STRIPE-FEE</v>
      </c>
    </row>
    <row r="2173">
      <c r="A2173" t="inlineStr">
        <is>
          <t>JI-02586</t>
        </is>
      </c>
      <c r="B2173" t="inlineStr">
        <is>
          <t>OPS</t>
        </is>
      </c>
      <c r="C2173" s="5" t="n">
        <v>46240</v>
      </c>
      <c r="D2173" t="inlineStr">
        <is>
          <t>Stripe patient 40332</t>
        </is>
      </c>
      <c r="E2173" t="inlineStr">
        <is>
          <t>INV/2026/04432</t>
        </is>
      </c>
      <c r="F2173" t="inlineStr">
        <is>
          <t>Customer payment INV/2026/04432</t>
        </is>
      </c>
      <c r="G2173" s="9" t="n">
        <v>120</v>
      </c>
      <c r="H2173" t="inlineStr">
        <is>
          <t>customer_payment</t>
        </is>
      </c>
      <c r="I2173" t="inlineStr"/>
      <c r="J2173" t="inlineStr">
        <is>
          <t>G00042</t>
        </is>
      </c>
      <c r="K2173" t="str">
        <f>INDEX('Match Groups'!$D$5:$D$1326,MATCH(J2173,'Match Groups'!$A$5:$A$1326,0))</f>
        <v>STRIPE-FEE</v>
      </c>
    </row>
    <row r="2174">
      <c r="A2174" t="inlineStr">
        <is>
          <t>JI-02587</t>
        </is>
      </c>
      <c r="B2174" t="inlineStr">
        <is>
          <t>OPS</t>
        </is>
      </c>
      <c r="C2174" s="5" t="n">
        <v>46240</v>
      </c>
      <c r="D2174" t="inlineStr">
        <is>
          <t>Stripe patient 50890</t>
        </is>
      </c>
      <c r="E2174" t="inlineStr">
        <is>
          <t>INV/2026/04433</t>
        </is>
      </c>
      <c r="F2174" t="inlineStr">
        <is>
          <t>Customer payment INV/2026/04433</t>
        </is>
      </c>
      <c r="G2174" s="9" t="n">
        <v>110</v>
      </c>
      <c r="H2174" t="inlineStr">
        <is>
          <t>customer_payment</t>
        </is>
      </c>
      <c r="I2174" t="inlineStr"/>
      <c r="J2174" t="inlineStr">
        <is>
          <t>G00042</t>
        </is>
      </c>
      <c r="K2174" t="str">
        <f>INDEX('Match Groups'!$D$5:$D$1326,MATCH(J2174,'Match Groups'!$A$5:$A$1326,0))</f>
        <v>STRIPE-FEE</v>
      </c>
    </row>
    <row r="2175">
      <c r="A2175" t="inlineStr">
        <is>
          <t>JI-02588</t>
        </is>
      </c>
      <c r="B2175" t="inlineStr">
        <is>
          <t>OPS</t>
        </is>
      </c>
      <c r="C2175" s="5" t="n">
        <v>46240</v>
      </c>
      <c r="D2175" t="inlineStr">
        <is>
          <t>Stripe patient 10386</t>
        </is>
      </c>
      <c r="E2175" t="inlineStr">
        <is>
          <t>INV/2026/04434</t>
        </is>
      </c>
      <c r="F2175" t="inlineStr">
        <is>
          <t>Customer payment INV/2026/04434</t>
        </is>
      </c>
      <c r="G2175" s="9" t="n">
        <v>220</v>
      </c>
      <c r="H2175" t="inlineStr">
        <is>
          <t>customer_payment</t>
        </is>
      </c>
      <c r="I2175" t="inlineStr"/>
      <c r="J2175" t="inlineStr">
        <is>
          <t>G00042</t>
        </is>
      </c>
      <c r="K2175" t="str">
        <f>INDEX('Match Groups'!$D$5:$D$1326,MATCH(J2175,'Match Groups'!$A$5:$A$1326,0))</f>
        <v>STRIPE-FEE</v>
      </c>
    </row>
    <row r="2176">
      <c r="A2176" t="inlineStr">
        <is>
          <t>JI-02589</t>
        </is>
      </c>
      <c r="B2176" t="inlineStr">
        <is>
          <t>OPS</t>
        </is>
      </c>
      <c r="C2176" s="5" t="n">
        <v>46240</v>
      </c>
      <c r="D2176" t="inlineStr">
        <is>
          <t>Stripe patient 16142</t>
        </is>
      </c>
      <c r="E2176" t="inlineStr">
        <is>
          <t>INV/2026/04435</t>
        </is>
      </c>
      <c r="F2176" t="inlineStr">
        <is>
          <t>Customer payment INV/2026/04435</t>
        </is>
      </c>
      <c r="G2176" s="9" t="n">
        <v>135</v>
      </c>
      <c r="H2176" t="inlineStr">
        <is>
          <t>customer_payment</t>
        </is>
      </c>
      <c r="I2176" t="inlineStr"/>
      <c r="J2176" t="inlineStr">
        <is>
          <t>G00042</t>
        </is>
      </c>
      <c r="K2176" t="str">
        <f>INDEX('Match Groups'!$D$5:$D$1326,MATCH(J2176,'Match Groups'!$A$5:$A$1326,0))</f>
        <v>STRIPE-FEE</v>
      </c>
    </row>
    <row r="2177">
      <c r="A2177" t="inlineStr">
        <is>
          <t>JI-02590</t>
        </is>
      </c>
      <c r="B2177" t="inlineStr">
        <is>
          <t>OPS</t>
        </is>
      </c>
      <c r="C2177" s="5" t="n">
        <v>46240</v>
      </c>
      <c r="D2177" t="inlineStr">
        <is>
          <t>Stripe patient 57193</t>
        </is>
      </c>
      <c r="E2177" t="inlineStr">
        <is>
          <t>INV/2026/04436</t>
        </is>
      </c>
      <c r="F2177" t="inlineStr">
        <is>
          <t>Customer payment INV/2026/04436</t>
        </is>
      </c>
      <c r="G2177" s="9" t="n">
        <v>95</v>
      </c>
      <c r="H2177" t="inlineStr">
        <is>
          <t>customer_payment</t>
        </is>
      </c>
      <c r="I2177" t="inlineStr"/>
      <c r="J2177" t="inlineStr">
        <is>
          <t>G00042</t>
        </is>
      </c>
      <c r="K2177" t="str">
        <f>INDEX('Match Groups'!$D$5:$D$1326,MATCH(J2177,'Match Groups'!$A$5:$A$1326,0))</f>
        <v>STRIPE-FEE</v>
      </c>
    </row>
    <row r="2178">
      <c r="A2178" t="inlineStr">
        <is>
          <t>JI-02591</t>
        </is>
      </c>
      <c r="B2178" t="inlineStr">
        <is>
          <t>OPS</t>
        </is>
      </c>
      <c r="C2178" s="5" t="n">
        <v>46240</v>
      </c>
      <c r="D2178" t="inlineStr">
        <is>
          <t>Stripe patient 62405</t>
        </is>
      </c>
      <c r="E2178" t="inlineStr">
        <is>
          <t>INV/2026/04437</t>
        </is>
      </c>
      <c r="F2178" t="inlineStr">
        <is>
          <t>Customer payment INV/2026/04437</t>
        </is>
      </c>
      <c r="G2178" s="9" t="n">
        <v>135</v>
      </c>
      <c r="H2178" t="inlineStr">
        <is>
          <t>customer_payment</t>
        </is>
      </c>
      <c r="I2178" t="inlineStr"/>
      <c r="J2178" t="inlineStr">
        <is>
          <t>G00042</t>
        </is>
      </c>
      <c r="K2178" t="str">
        <f>INDEX('Match Groups'!$D$5:$D$1326,MATCH(J2178,'Match Groups'!$A$5:$A$1326,0))</f>
        <v>STRIPE-FEE</v>
      </c>
    </row>
    <row r="2179">
      <c r="A2179" t="inlineStr">
        <is>
          <t>JI-02592</t>
        </is>
      </c>
      <c r="B2179" t="inlineStr">
        <is>
          <t>OPS</t>
        </is>
      </c>
      <c r="C2179" s="5" t="n">
        <v>46240</v>
      </c>
      <c r="D2179" t="inlineStr">
        <is>
          <t>Stripe patient 43594</t>
        </is>
      </c>
      <c r="E2179" t="inlineStr">
        <is>
          <t>INV/2026/04438</t>
        </is>
      </c>
      <c r="F2179" t="inlineStr">
        <is>
          <t>Customer payment INV/2026/04438</t>
        </is>
      </c>
      <c r="G2179" s="9" t="n">
        <v>65</v>
      </c>
      <c r="H2179" t="inlineStr">
        <is>
          <t>customer_payment</t>
        </is>
      </c>
      <c r="I2179" t="inlineStr"/>
      <c r="J2179" t="inlineStr">
        <is>
          <t>G00042</t>
        </is>
      </c>
      <c r="K2179" t="str">
        <f>INDEX('Match Groups'!$D$5:$D$1326,MATCH(J2179,'Match Groups'!$A$5:$A$1326,0))</f>
        <v>STRIPE-FEE</v>
      </c>
    </row>
    <row r="2180">
      <c r="A2180" t="inlineStr">
        <is>
          <t>JI-02593</t>
        </is>
      </c>
      <c r="B2180" t="inlineStr">
        <is>
          <t>OPS</t>
        </is>
      </c>
      <c r="C2180" s="5" t="n">
        <v>46240</v>
      </c>
      <c r="D2180" t="inlineStr">
        <is>
          <t>Stripe patient 28197</t>
        </is>
      </c>
      <c r="E2180" t="inlineStr">
        <is>
          <t>INV/2026/04439</t>
        </is>
      </c>
      <c r="F2180" t="inlineStr">
        <is>
          <t>Customer payment INV/2026/04439</t>
        </is>
      </c>
      <c r="G2180" s="9" t="n">
        <v>220</v>
      </c>
      <c r="H2180" t="inlineStr">
        <is>
          <t>customer_payment</t>
        </is>
      </c>
      <c r="I2180" t="inlineStr"/>
      <c r="J2180" t="inlineStr">
        <is>
          <t>G00042</t>
        </is>
      </c>
      <c r="K2180" t="str">
        <f>INDEX('Match Groups'!$D$5:$D$1326,MATCH(J2180,'Match Groups'!$A$5:$A$1326,0))</f>
        <v>STRIPE-FEE</v>
      </c>
    </row>
    <row r="2181">
      <c r="A2181" t="inlineStr">
        <is>
          <t>JI-02594</t>
        </is>
      </c>
      <c r="B2181" t="inlineStr">
        <is>
          <t>OPS</t>
        </is>
      </c>
      <c r="C2181" s="5" t="n">
        <v>46240</v>
      </c>
      <c r="D2181" t="inlineStr">
        <is>
          <t>Stripe patient 68635</t>
        </is>
      </c>
      <c r="E2181" t="inlineStr">
        <is>
          <t>INV/2026/04440</t>
        </is>
      </c>
      <c r="F2181" t="inlineStr">
        <is>
          <t>Customer payment INV/2026/04440</t>
        </is>
      </c>
      <c r="G2181" s="9" t="n">
        <v>120</v>
      </c>
      <c r="H2181" t="inlineStr">
        <is>
          <t>customer_payment</t>
        </is>
      </c>
      <c r="I2181" t="inlineStr"/>
      <c r="J2181" t="inlineStr">
        <is>
          <t>G00042</t>
        </is>
      </c>
      <c r="K2181" t="str">
        <f>INDEX('Match Groups'!$D$5:$D$1326,MATCH(J2181,'Match Groups'!$A$5:$A$1326,0))</f>
        <v>STRIPE-FEE</v>
      </c>
    </row>
    <row r="2182">
      <c r="A2182" t="inlineStr">
        <is>
          <t>JI-02595</t>
        </is>
      </c>
      <c r="B2182" t="inlineStr">
        <is>
          <t>OPS</t>
        </is>
      </c>
      <c r="C2182" s="5" t="n">
        <v>46240</v>
      </c>
      <c r="D2182" t="inlineStr">
        <is>
          <t>Stripe patient 59096</t>
        </is>
      </c>
      <c r="E2182" t="inlineStr">
        <is>
          <t>INV/2026/04441</t>
        </is>
      </c>
      <c r="F2182" t="inlineStr">
        <is>
          <t>Customer payment INV/2026/04441</t>
        </is>
      </c>
      <c r="G2182" s="9" t="n">
        <v>65</v>
      </c>
      <c r="H2182" t="inlineStr">
        <is>
          <t>customer_payment</t>
        </is>
      </c>
      <c r="I2182" t="inlineStr"/>
      <c r="J2182" t="inlineStr">
        <is>
          <t>G00042</t>
        </is>
      </c>
      <c r="K2182" t="str">
        <f>INDEX('Match Groups'!$D$5:$D$1326,MATCH(J2182,'Match Groups'!$A$5:$A$1326,0))</f>
        <v>STRIPE-FEE</v>
      </c>
    </row>
    <row r="2183">
      <c r="A2183" t="inlineStr">
        <is>
          <t>JI-02596</t>
        </is>
      </c>
      <c r="B2183" t="inlineStr">
        <is>
          <t>OPS</t>
        </is>
      </c>
      <c r="C2183" s="5" t="n">
        <v>46240</v>
      </c>
      <c r="D2183" t="inlineStr">
        <is>
          <t>Stripe patient 76031</t>
        </is>
      </c>
      <c r="E2183" t="inlineStr">
        <is>
          <t>INV/2026/04442</t>
        </is>
      </c>
      <c r="F2183" t="inlineStr">
        <is>
          <t>Customer payment INV/2026/04442</t>
        </is>
      </c>
      <c r="G2183" s="9" t="n">
        <v>110</v>
      </c>
      <c r="H2183" t="inlineStr">
        <is>
          <t>customer_payment</t>
        </is>
      </c>
      <c r="I2183" t="inlineStr"/>
      <c r="J2183" t="inlineStr">
        <is>
          <t>G00042</t>
        </is>
      </c>
      <c r="K2183" t="str">
        <f>INDEX('Match Groups'!$D$5:$D$1326,MATCH(J2183,'Match Groups'!$A$5:$A$1326,0))</f>
        <v>STRIPE-FEE</v>
      </c>
    </row>
    <row r="2184">
      <c r="A2184" t="inlineStr">
        <is>
          <t>JI-02597</t>
        </is>
      </c>
      <c r="B2184" t="inlineStr">
        <is>
          <t>OPS</t>
        </is>
      </c>
      <c r="C2184" s="5" t="n">
        <v>46240</v>
      </c>
      <c r="D2184" t="inlineStr">
        <is>
          <t>Stripe patient 44462</t>
        </is>
      </c>
      <c r="E2184" t="inlineStr">
        <is>
          <t>INV/2026/04443</t>
        </is>
      </c>
      <c r="F2184" t="inlineStr">
        <is>
          <t>Customer payment INV/2026/04443</t>
        </is>
      </c>
      <c r="G2184" s="9" t="n">
        <v>95</v>
      </c>
      <c r="H2184" t="inlineStr">
        <is>
          <t>customer_payment</t>
        </is>
      </c>
      <c r="I2184" t="inlineStr"/>
      <c r="J2184" t="inlineStr">
        <is>
          <t>G00042</t>
        </is>
      </c>
      <c r="K2184" t="str">
        <f>INDEX('Match Groups'!$D$5:$D$1326,MATCH(J2184,'Match Groups'!$A$5:$A$1326,0))</f>
        <v>STRIPE-FEE</v>
      </c>
    </row>
    <row r="2185">
      <c r="A2185" t="inlineStr">
        <is>
          <t>JI-02598</t>
        </is>
      </c>
      <c r="B2185" t="inlineStr">
        <is>
          <t>OPS</t>
        </is>
      </c>
      <c r="C2185" s="5" t="n">
        <v>46240</v>
      </c>
      <c r="D2185" t="inlineStr">
        <is>
          <t>Stripe patient 13429</t>
        </is>
      </c>
      <c r="E2185" t="inlineStr">
        <is>
          <t>INV/2026/04444</t>
        </is>
      </c>
      <c r="F2185" t="inlineStr">
        <is>
          <t>Customer payment INV/2026/04444</t>
        </is>
      </c>
      <c r="G2185" s="9" t="n">
        <v>220</v>
      </c>
      <c r="H2185" t="inlineStr">
        <is>
          <t>customer_payment</t>
        </is>
      </c>
      <c r="I2185" t="inlineStr"/>
      <c r="J2185" t="inlineStr">
        <is>
          <t>G00042</t>
        </is>
      </c>
      <c r="K2185" t="str">
        <f>INDEX('Match Groups'!$D$5:$D$1326,MATCH(J2185,'Match Groups'!$A$5:$A$1326,0))</f>
        <v>STRIPE-FEE</v>
      </c>
    </row>
    <row r="2186">
      <c r="A2186" t="inlineStr">
        <is>
          <t>JI-02599</t>
        </is>
      </c>
      <c r="B2186" t="inlineStr">
        <is>
          <t>OPS</t>
        </is>
      </c>
      <c r="C2186" s="5" t="n">
        <v>46240</v>
      </c>
      <c r="D2186" t="inlineStr">
        <is>
          <t>Stripe patient 45733</t>
        </is>
      </c>
      <c r="E2186" t="inlineStr">
        <is>
          <t>INV/2026/04445</t>
        </is>
      </c>
      <c r="F2186" t="inlineStr">
        <is>
          <t>Customer payment INV/2026/04445</t>
        </is>
      </c>
      <c r="G2186" s="9" t="n">
        <v>110</v>
      </c>
      <c r="H2186" t="inlineStr">
        <is>
          <t>customer_payment</t>
        </is>
      </c>
      <c r="I2186" t="inlineStr"/>
      <c r="J2186" t="inlineStr">
        <is>
          <t>G00042</t>
        </is>
      </c>
      <c r="K2186" t="str">
        <f>INDEX('Match Groups'!$D$5:$D$1326,MATCH(J2186,'Match Groups'!$A$5:$A$1326,0))</f>
        <v>STRIPE-FEE</v>
      </c>
    </row>
    <row r="2187">
      <c r="A2187" t="inlineStr">
        <is>
          <t>JI-02600</t>
        </is>
      </c>
      <c r="B2187" t="inlineStr">
        <is>
          <t>OPS</t>
        </is>
      </c>
      <c r="C2187" s="5" t="n">
        <v>46240</v>
      </c>
      <c r="D2187" t="inlineStr">
        <is>
          <t>Stripe patient 20885</t>
        </is>
      </c>
      <c r="E2187" t="inlineStr">
        <is>
          <t>INV/2026/04446</t>
        </is>
      </c>
      <c r="F2187" t="inlineStr">
        <is>
          <t>Customer payment INV/2026/04446</t>
        </is>
      </c>
      <c r="G2187" s="9" t="n">
        <v>135</v>
      </c>
      <c r="H2187" t="inlineStr">
        <is>
          <t>customer_payment</t>
        </is>
      </c>
      <c r="I2187" t="inlineStr"/>
      <c r="J2187" t="inlineStr">
        <is>
          <t>G00042</t>
        </is>
      </c>
      <c r="K2187" t="str">
        <f>INDEX('Match Groups'!$D$5:$D$1326,MATCH(J2187,'Match Groups'!$A$5:$A$1326,0))</f>
        <v>STRIPE-FEE</v>
      </c>
    </row>
    <row r="2188">
      <c r="A2188" t="inlineStr">
        <is>
          <t>JI-03913</t>
        </is>
      </c>
      <c r="B2188" t="inlineStr">
        <is>
          <t>OPS</t>
        </is>
      </c>
      <c r="C2188" s="5" t="n">
        <v>46240</v>
      </c>
      <c r="D2188" t="inlineStr">
        <is>
          <t>Cloud Payroll Pty Ltd</t>
        </is>
      </c>
      <c r="E2188" t="inlineStr">
        <is>
          <t>BILL/2026/1020</t>
        </is>
      </c>
      <c r="F2188" t="inlineStr">
        <is>
          <t>Vendor payment BILL/2026/1020</t>
        </is>
      </c>
      <c r="G2188" s="9" t="n">
        <v>-495</v>
      </c>
      <c r="H2188" t="inlineStr">
        <is>
          <t>supplier_payment</t>
        </is>
      </c>
      <c r="I2188" t="inlineStr"/>
      <c r="J2188" t="inlineStr">
        <is>
          <t>G01136</t>
        </is>
      </c>
      <c r="K2188" t="str">
        <f>INDEX('Match Groups'!$D$5:$D$1326,MATCH(J2188,'Match Groups'!$A$5:$A$1326,0))</f>
        <v>MATCH</v>
      </c>
    </row>
    <row r="2189">
      <c r="A2189" t="inlineStr">
        <is>
          <t>JI-00808</t>
        </is>
      </c>
      <c r="B2189" t="inlineStr">
        <is>
          <t>OPS</t>
        </is>
      </c>
      <c r="C2189" s="5" t="n">
        <v>46241</v>
      </c>
      <c r="D2189" t="inlineStr">
        <is>
          <t>Bluegum Plan Management</t>
        </is>
      </c>
      <c r="E2189" t="inlineStr">
        <is>
          <t>INV/2026/02271</t>
        </is>
      </c>
      <c r="F2189" t="inlineStr">
        <is>
          <t>Customer payment INV/2026/02271</t>
        </is>
      </c>
      <c r="G2189" s="9" t="n">
        <v>290.98</v>
      </c>
      <c r="H2189" t="inlineStr">
        <is>
          <t>customer_payment</t>
        </is>
      </c>
      <c r="I2189" t="inlineStr"/>
      <c r="J2189" t="inlineStr">
        <is>
          <t>G00267</t>
        </is>
      </c>
      <c r="K2189" t="str">
        <f>INDEX('Match Groups'!$D$5:$D$1326,MATCH(J2189,'Match Groups'!$A$5:$A$1326,0))</f>
        <v>MATCH</v>
      </c>
    </row>
    <row r="2190">
      <c r="A2190" t="inlineStr">
        <is>
          <t>JI-00809</t>
        </is>
      </c>
      <c r="B2190" t="inlineStr">
        <is>
          <t>OPS</t>
        </is>
      </c>
      <c r="C2190" s="5" t="n">
        <v>46241</v>
      </c>
      <c r="D2190" t="inlineStr">
        <is>
          <t>Bluegum Plan Management</t>
        </is>
      </c>
      <c r="E2190" t="inlineStr">
        <is>
          <t>INV/2026/02299</t>
        </is>
      </c>
      <c r="F2190" t="inlineStr">
        <is>
          <t>Customer payment INV/2026/02299</t>
        </is>
      </c>
      <c r="G2190" s="9" t="n">
        <v>242.49</v>
      </c>
      <c r="H2190" t="inlineStr">
        <is>
          <t>customer_payment</t>
        </is>
      </c>
      <c r="I2190" t="inlineStr"/>
      <c r="J2190" t="inlineStr">
        <is>
          <t>G00267</t>
        </is>
      </c>
      <c r="K2190" t="str">
        <f>INDEX('Match Groups'!$D$5:$D$1326,MATCH(J2190,'Match Groups'!$A$5:$A$1326,0))</f>
        <v>MATCH</v>
      </c>
    </row>
    <row r="2191">
      <c r="A2191" t="inlineStr">
        <is>
          <t>JI-00810</t>
        </is>
      </c>
      <c r="B2191" t="inlineStr">
        <is>
          <t>OPS</t>
        </is>
      </c>
      <c r="C2191" s="5" t="n">
        <v>46241</v>
      </c>
      <c r="D2191" t="inlineStr">
        <is>
          <t>Bluegum Plan Management</t>
        </is>
      </c>
      <c r="E2191" t="inlineStr">
        <is>
          <t>INV/2026/02318</t>
        </is>
      </c>
      <c r="F2191" t="inlineStr">
        <is>
          <t>Customer payment INV/2026/02318</t>
        </is>
      </c>
      <c r="G2191" s="9" t="n">
        <v>203.69</v>
      </c>
      <c r="H2191" t="inlineStr">
        <is>
          <t>customer_payment</t>
        </is>
      </c>
      <c r="I2191" t="inlineStr"/>
      <c r="J2191" t="inlineStr">
        <is>
          <t>G00267</t>
        </is>
      </c>
      <c r="K2191" t="str">
        <f>INDEX('Match Groups'!$D$5:$D$1326,MATCH(J2191,'Match Groups'!$A$5:$A$1326,0))</f>
        <v>MATCH</v>
      </c>
    </row>
    <row r="2192">
      <c r="A2192" t="inlineStr">
        <is>
          <t>JI-00811</t>
        </is>
      </c>
      <c r="B2192" t="inlineStr">
        <is>
          <t>OPS</t>
        </is>
      </c>
      <c r="C2192" s="5" t="n">
        <v>46241</v>
      </c>
      <c r="D2192" t="inlineStr">
        <is>
          <t>Riverbend Plan Partners</t>
        </is>
      </c>
      <c r="E2192" t="inlineStr">
        <is>
          <t>INV/2026/02372</t>
        </is>
      </c>
      <c r="F2192" t="inlineStr">
        <is>
          <t>Customer payment INV/2026/02372</t>
        </is>
      </c>
      <c r="G2192" s="9" t="n">
        <v>300.69</v>
      </c>
      <c r="H2192" t="inlineStr">
        <is>
          <t>customer_payment</t>
        </is>
      </c>
      <c r="I2192" t="inlineStr"/>
      <c r="J2192" t="inlineStr">
        <is>
          <t>G00268</t>
        </is>
      </c>
      <c r="K2192" t="str">
        <f>INDEX('Match Groups'!$D$5:$D$1326,MATCH(J2192,'Match Groups'!$A$5:$A$1326,0))</f>
        <v>MATCH</v>
      </c>
    </row>
    <row r="2193">
      <c r="A2193" t="inlineStr">
        <is>
          <t>JI-00812</t>
        </is>
      </c>
      <c r="B2193" t="inlineStr">
        <is>
          <t>OPS</t>
        </is>
      </c>
      <c r="C2193" s="5" t="n">
        <v>46241</v>
      </c>
      <c r="D2193" t="inlineStr">
        <is>
          <t>Riverbend Plan Partners</t>
        </is>
      </c>
      <c r="E2193" t="inlineStr">
        <is>
          <t>INV/2026/02419</t>
        </is>
      </c>
      <c r="F2193" t="inlineStr">
        <is>
          <t>Customer payment INV/2026/02419</t>
        </is>
      </c>
      <c r="G2193" s="9" t="n">
        <v>223.99</v>
      </c>
      <c r="H2193" t="inlineStr">
        <is>
          <t>customer_payment</t>
        </is>
      </c>
      <c r="I2193" t="inlineStr"/>
      <c r="J2193" t="inlineStr">
        <is>
          <t>G00268</t>
        </is>
      </c>
      <c r="K2193" t="str">
        <f>INDEX('Match Groups'!$D$5:$D$1326,MATCH(J2193,'Match Groups'!$A$5:$A$1326,0))</f>
        <v>MATCH</v>
      </c>
    </row>
    <row r="2194">
      <c r="A2194" t="inlineStr">
        <is>
          <t>JI-00813</t>
        </is>
      </c>
      <c r="B2194" t="inlineStr">
        <is>
          <t>OPS</t>
        </is>
      </c>
      <c r="C2194" s="5" t="n">
        <v>46241</v>
      </c>
      <c r="D2194" t="inlineStr">
        <is>
          <t>Clearpath NDIS Plans</t>
        </is>
      </c>
      <c r="E2194" t="inlineStr">
        <is>
          <t>INV/2026/02393</t>
        </is>
      </c>
      <c r="F2194" t="inlineStr">
        <is>
          <t>Customer payment INV/2026/02393</t>
        </is>
      </c>
      <c r="G2194" s="9" t="n">
        <v>290.98</v>
      </c>
      <c r="H2194" t="inlineStr">
        <is>
          <t>customer_payment</t>
        </is>
      </c>
      <c r="I2194" t="inlineStr"/>
      <c r="J2194" t="inlineStr">
        <is>
          <t>G00269</t>
        </is>
      </c>
      <c r="K2194" t="str">
        <f>INDEX('Match Groups'!$D$5:$D$1326,MATCH(J2194,'Match Groups'!$A$5:$A$1326,0))</f>
        <v>MATCH</v>
      </c>
    </row>
    <row r="2195">
      <c r="A2195" t="inlineStr">
        <is>
          <t>JI-00814</t>
        </is>
      </c>
      <c r="B2195" t="inlineStr">
        <is>
          <t>OPS</t>
        </is>
      </c>
      <c r="C2195" s="5" t="n">
        <v>46241</v>
      </c>
      <c r="D2195" t="inlineStr">
        <is>
          <t>Banksia Plan Co</t>
        </is>
      </c>
      <c r="E2195" t="inlineStr">
        <is>
          <t>INV/2026/02322</t>
        </is>
      </c>
      <c r="F2195" t="inlineStr">
        <is>
          <t>Customer payment INV/2026/02322</t>
        </is>
      </c>
      <c r="G2195" s="9" t="n">
        <v>193.99</v>
      </c>
      <c r="H2195" t="inlineStr">
        <is>
          <t>customer_payment</t>
        </is>
      </c>
      <c r="I2195" t="inlineStr"/>
      <c r="J2195" t="inlineStr">
        <is>
          <t>G00270</t>
        </is>
      </c>
      <c r="K2195" t="str">
        <f>INDEX('Match Groups'!$D$5:$D$1326,MATCH(J2195,'Match Groups'!$A$5:$A$1326,0))</f>
        <v>MATCH</v>
      </c>
    </row>
    <row r="2196">
      <c r="A2196" t="inlineStr">
        <is>
          <t>JI-00815</t>
        </is>
      </c>
      <c r="B2196" t="inlineStr">
        <is>
          <t>OPS</t>
        </is>
      </c>
      <c r="C2196" s="5" t="n">
        <v>46241</v>
      </c>
      <c r="D2196" t="inlineStr">
        <is>
          <t>Banksia Plan Co</t>
        </is>
      </c>
      <c r="E2196" t="inlineStr">
        <is>
          <t>INV/2026/02447</t>
        </is>
      </c>
      <c r="F2196" t="inlineStr">
        <is>
          <t>Customer payment INV/2026/02447</t>
        </is>
      </c>
      <c r="G2196" s="9" t="n">
        <v>126.99</v>
      </c>
      <c r="H2196" t="inlineStr">
        <is>
          <t>customer_payment</t>
        </is>
      </c>
      <c r="I2196" t="inlineStr"/>
      <c r="J2196" t="inlineStr">
        <is>
          <t>G00270</t>
        </is>
      </c>
      <c r="K2196" t="str">
        <f>INDEX('Match Groups'!$D$5:$D$1326,MATCH(J2196,'Match Groups'!$A$5:$A$1326,0))</f>
        <v>MATCH</v>
      </c>
    </row>
    <row r="2197">
      <c r="A2197" t="inlineStr">
        <is>
          <t>JI-00816</t>
        </is>
      </c>
      <c r="B2197" t="inlineStr">
        <is>
          <t>OPS</t>
        </is>
      </c>
      <c r="C2197" s="5" t="n">
        <v>46241</v>
      </c>
      <c r="D2197" t="inlineStr">
        <is>
          <t>Banksia Plan Co</t>
        </is>
      </c>
      <c r="E2197" t="inlineStr">
        <is>
          <t>INV/2026/02468</t>
        </is>
      </c>
      <c r="F2197" t="inlineStr">
        <is>
          <t>Customer payment INV/2026/02468</t>
        </is>
      </c>
      <c r="G2197" s="9" t="n">
        <v>145.49</v>
      </c>
      <c r="H2197" t="inlineStr">
        <is>
          <t>customer_payment</t>
        </is>
      </c>
      <c r="I2197" t="inlineStr"/>
      <c r="J2197" t="inlineStr">
        <is>
          <t>G00270</t>
        </is>
      </c>
      <c r="K2197" t="str">
        <f>INDEX('Match Groups'!$D$5:$D$1326,MATCH(J2197,'Match Groups'!$A$5:$A$1326,0))</f>
        <v>MATCH</v>
      </c>
    </row>
    <row r="2198">
      <c r="A2198" t="inlineStr">
        <is>
          <t>JI-00817</t>
        </is>
      </c>
      <c r="B2198" t="inlineStr">
        <is>
          <t>OPS</t>
        </is>
      </c>
      <c r="C2198" s="5" t="n">
        <v>46241</v>
      </c>
      <c r="D2198" t="inlineStr">
        <is>
          <t>Banksia Plan Co</t>
        </is>
      </c>
      <c r="E2198" t="inlineStr">
        <is>
          <t>INV/2026/02469</t>
        </is>
      </c>
      <c r="F2198" t="inlineStr">
        <is>
          <t>Customer payment INV/2026/02469</t>
        </is>
      </c>
      <c r="G2198" s="9" t="n">
        <v>193.99</v>
      </c>
      <c r="H2198" t="inlineStr">
        <is>
          <t>customer_payment</t>
        </is>
      </c>
      <c r="I2198" t="inlineStr"/>
      <c r="J2198" t="inlineStr">
        <is>
          <t>G00270</t>
        </is>
      </c>
      <c r="K2198" t="str">
        <f>INDEX('Match Groups'!$D$5:$D$1326,MATCH(J2198,'Match Groups'!$A$5:$A$1326,0))</f>
        <v>MATCH</v>
      </c>
    </row>
    <row r="2199">
      <c r="A2199" t="inlineStr">
        <is>
          <t>JI-00818</t>
        </is>
      </c>
      <c r="B2199" t="inlineStr">
        <is>
          <t>OPS</t>
        </is>
      </c>
      <c r="C2199" s="5" t="n">
        <v>46241</v>
      </c>
      <c r="D2199" t="inlineStr">
        <is>
          <t>Banksia Plan Co</t>
        </is>
      </c>
      <c r="E2199" t="inlineStr">
        <is>
          <t>INV/2026/02470</t>
        </is>
      </c>
      <c r="F2199" t="inlineStr">
        <is>
          <t>Customer payment INV/2026/02470</t>
        </is>
      </c>
      <c r="G2199" s="9" t="n">
        <v>242.49</v>
      </c>
      <c r="H2199" t="inlineStr">
        <is>
          <t>customer_payment</t>
        </is>
      </c>
      <c r="I2199" t="inlineStr"/>
      <c r="J2199" t="inlineStr">
        <is>
          <t>G00270</t>
        </is>
      </c>
      <c r="K2199" t="str">
        <f>INDEX('Match Groups'!$D$5:$D$1326,MATCH(J2199,'Match Groups'!$A$5:$A$1326,0))</f>
        <v>MATCH</v>
      </c>
    </row>
    <row r="2200">
      <c r="A2200" t="inlineStr">
        <is>
          <t>JI-00819</t>
        </is>
      </c>
      <c r="B2200" t="inlineStr">
        <is>
          <t>OPS</t>
        </is>
      </c>
      <c r="C2200" s="5" t="n">
        <v>46241</v>
      </c>
      <c r="D2200" t="inlineStr">
        <is>
          <t>Kookaburra Plan Support</t>
        </is>
      </c>
      <c r="E2200" t="inlineStr">
        <is>
          <t>INV/2026/02356</t>
        </is>
      </c>
      <c r="F2200" t="inlineStr">
        <is>
          <t>Customer payment INV/2026/02356</t>
        </is>
      </c>
      <c r="G2200" s="9" t="n">
        <v>290.98</v>
      </c>
      <c r="H2200" t="inlineStr">
        <is>
          <t>customer_payment</t>
        </is>
      </c>
      <c r="I2200" t="inlineStr"/>
      <c r="J2200" t="inlineStr">
        <is>
          <t>G00271</t>
        </is>
      </c>
      <c r="K2200" t="str">
        <f>INDEX('Match Groups'!$D$5:$D$1326,MATCH(J2200,'Match Groups'!$A$5:$A$1326,0))</f>
        <v>MATCH</v>
      </c>
    </row>
    <row r="2201">
      <c r="A2201" t="inlineStr">
        <is>
          <t>JI-00820</t>
        </is>
      </c>
      <c r="B2201" t="inlineStr">
        <is>
          <t>OPS</t>
        </is>
      </c>
      <c r="C2201" s="5" t="n">
        <v>46241</v>
      </c>
      <c r="D2201" t="inlineStr">
        <is>
          <t>Kookaburra Plan Support</t>
        </is>
      </c>
      <c r="E2201" t="inlineStr">
        <is>
          <t>INV/2026/02357</t>
        </is>
      </c>
      <c r="F2201" t="inlineStr">
        <is>
          <t>Customer payment INV/2026/02357</t>
        </is>
      </c>
      <c r="G2201" s="9" t="n">
        <v>242.49</v>
      </c>
      <c r="H2201" t="inlineStr">
        <is>
          <t>customer_payment</t>
        </is>
      </c>
      <c r="I2201" t="inlineStr"/>
      <c r="J2201" t="inlineStr">
        <is>
          <t>G00271</t>
        </is>
      </c>
      <c r="K2201" t="str">
        <f>INDEX('Match Groups'!$D$5:$D$1326,MATCH(J2201,'Match Groups'!$A$5:$A$1326,0))</f>
        <v>MATCH</v>
      </c>
    </row>
    <row r="2202">
      <c r="A2202" t="inlineStr">
        <is>
          <t>JI-00821</t>
        </is>
      </c>
      <c r="B2202" t="inlineStr">
        <is>
          <t>OPS</t>
        </is>
      </c>
      <c r="C2202" s="5" t="n">
        <v>46241</v>
      </c>
      <c r="D2202" t="inlineStr">
        <is>
          <t>Acacia Plan Partners</t>
        </is>
      </c>
      <c r="E2202" t="inlineStr">
        <is>
          <t>INV/2026/02436</t>
        </is>
      </c>
      <c r="F2202" t="inlineStr">
        <is>
          <t>Customer payment INV/2026/02436</t>
        </is>
      </c>
      <c r="G2202" s="9" t="n">
        <v>175.49</v>
      </c>
      <c r="H2202" t="inlineStr">
        <is>
          <t>customer_payment</t>
        </is>
      </c>
      <c r="I2202" t="inlineStr"/>
      <c r="J2202" t="inlineStr">
        <is>
          <t>G00272</t>
        </is>
      </c>
      <c r="K2202" t="str">
        <f>INDEX('Match Groups'!$D$5:$D$1326,MATCH(J2202,'Match Groups'!$A$5:$A$1326,0))</f>
        <v>MATCH</v>
      </c>
    </row>
    <row r="2203">
      <c r="A2203" t="inlineStr">
        <is>
          <t>JI-01579</t>
        </is>
      </c>
      <c r="B2203" t="inlineStr">
        <is>
          <t>OPS</t>
        </is>
      </c>
      <c r="C2203" s="5" t="n">
        <v>46241</v>
      </c>
      <c r="D2203" t="inlineStr">
        <is>
          <t>Unity Workcover Agents</t>
        </is>
      </c>
      <c r="E2203" t="inlineStr">
        <is>
          <t>INV/2026/02369</t>
        </is>
      </c>
      <c r="F2203" t="inlineStr">
        <is>
          <t>Customer payment INV/2026/02369</t>
        </is>
      </c>
      <c r="G2203" s="9" t="n">
        <v>132</v>
      </c>
      <c r="H2203" t="inlineStr">
        <is>
          <t>customer_payment</t>
        </is>
      </c>
      <c r="I2203" t="inlineStr"/>
      <c r="J2203" t="inlineStr">
        <is>
          <t>G00988</t>
        </is>
      </c>
      <c r="K2203" t="str">
        <f>INDEX('Match Groups'!$D$5:$D$1326,MATCH(J2203,'Match Groups'!$A$5:$A$1326,0))</f>
        <v>MATCH</v>
      </c>
    </row>
    <row r="2204">
      <c r="A2204" t="inlineStr">
        <is>
          <t>JI-01634</t>
        </is>
      </c>
      <c r="B2204" t="inlineStr">
        <is>
          <t>OPS</t>
        </is>
      </c>
      <c r="C2204" s="5" t="n">
        <v>46241</v>
      </c>
      <c r="D2204" t="inlineStr">
        <is>
          <t>Northline Injury Claims</t>
        </is>
      </c>
      <c r="E2204" t="inlineStr">
        <is>
          <t>INV/2026/02284</t>
        </is>
      </c>
      <c r="F2204" t="inlineStr">
        <is>
          <t>Customer payment INV/2026/02284</t>
        </is>
      </c>
      <c r="G2204" s="9" t="n">
        <v>176</v>
      </c>
      <c r="H2204" t="inlineStr">
        <is>
          <t>customer_payment</t>
        </is>
      </c>
      <c r="I2204" t="inlineStr"/>
      <c r="J2204" t="inlineStr">
        <is>
          <t>G00990</t>
        </is>
      </c>
      <c r="K2204" t="str">
        <f>INDEX('Match Groups'!$D$5:$D$1326,MATCH(J2204,'Match Groups'!$A$5:$A$1326,0))</f>
        <v>MATCH</v>
      </c>
    </row>
    <row r="2205">
      <c r="A2205" t="inlineStr">
        <is>
          <t>JI-01735</t>
        </is>
      </c>
      <c r="B2205" t="inlineStr">
        <is>
          <t>OPS</t>
        </is>
      </c>
      <c r="C2205" s="5" t="n">
        <v>46241</v>
      </c>
      <c r="D2205" t="inlineStr">
        <is>
          <t>Jarrah Ridge Estates</t>
        </is>
      </c>
      <c r="E2205" t="inlineStr">
        <is>
          <t>INV/2026/03447</t>
        </is>
      </c>
      <c r="F2205" t="inlineStr">
        <is>
          <t>Customer payment INV/2026/03447</t>
        </is>
      </c>
      <c r="G2205" s="9" t="n">
        <v>2640</v>
      </c>
      <c r="H2205" t="inlineStr">
        <is>
          <t>customer_payment</t>
        </is>
      </c>
      <c r="I2205" t="inlineStr"/>
      <c r="J2205" t="inlineStr">
        <is>
          <t>G01139</t>
        </is>
      </c>
      <c r="K2205" t="str">
        <f>INDEX('Match Groups'!$D$5:$D$1326,MATCH(J2205,'Match Groups'!$A$5:$A$1326,0))</f>
        <v>MATCH</v>
      </c>
    </row>
    <row r="2206">
      <c r="A2206" t="inlineStr">
        <is>
          <t>JI-01736</t>
        </is>
      </c>
      <c r="B2206" t="inlineStr">
        <is>
          <t>OPS</t>
        </is>
      </c>
      <c r="C2206" s="5" t="n">
        <v>46241</v>
      </c>
      <c r="D2206" t="inlineStr">
        <is>
          <t>Jarrah Ridge Estates</t>
        </is>
      </c>
      <c r="E2206" t="inlineStr">
        <is>
          <t>INV/2026/03500</t>
        </is>
      </c>
      <c r="F2206" t="inlineStr">
        <is>
          <t>Customer payment INV/2026/03500</t>
        </is>
      </c>
      <c r="G2206" s="9" t="n">
        <v>10725</v>
      </c>
      <c r="H2206" t="inlineStr">
        <is>
          <t>customer_payment</t>
        </is>
      </c>
      <c r="I2206" t="inlineStr"/>
      <c r="J2206" t="inlineStr">
        <is>
          <t>G01139</t>
        </is>
      </c>
      <c r="K2206" t="str">
        <f>INDEX('Match Groups'!$D$5:$D$1326,MATCH(J2206,'Match Groups'!$A$5:$A$1326,0))</f>
        <v>MATCH</v>
      </c>
    </row>
    <row r="2207">
      <c r="A2207" t="inlineStr">
        <is>
          <t>JI-01746</t>
        </is>
      </c>
      <c r="B2207" t="inlineStr">
        <is>
          <t>OPS</t>
        </is>
      </c>
      <c r="C2207" s="5" t="n">
        <v>46241</v>
      </c>
      <c r="D2207" t="inlineStr">
        <is>
          <t>Lockhart Glass</t>
        </is>
      </c>
      <c r="E2207" t="inlineStr">
        <is>
          <t>INV/2026/03503</t>
        </is>
      </c>
      <c r="F2207" t="inlineStr">
        <is>
          <t>Customer payment INV/2026/03503</t>
        </is>
      </c>
      <c r="G2207" s="9" t="n">
        <v>5362.5</v>
      </c>
      <c r="H2207" t="inlineStr">
        <is>
          <t>customer_payment</t>
        </is>
      </c>
      <c r="I2207" t="inlineStr"/>
      <c r="J2207" t="inlineStr">
        <is>
          <t>G01137</t>
        </is>
      </c>
      <c r="K2207" t="str">
        <f>INDEX('Match Groups'!$D$5:$D$1326,MATCH(J2207,'Match Groups'!$A$5:$A$1326,0))</f>
        <v>MATCH</v>
      </c>
    </row>
    <row r="2208">
      <c r="A2208" t="inlineStr">
        <is>
          <t>JI-01757</t>
        </is>
      </c>
      <c r="B2208" t="inlineStr">
        <is>
          <t>OPS</t>
        </is>
      </c>
      <c r="C2208" s="5" t="n">
        <v>46241</v>
      </c>
      <c r="D2208" t="inlineStr">
        <is>
          <t>Pendle Hill Bakery</t>
        </is>
      </c>
      <c r="E2208" t="inlineStr">
        <is>
          <t>INV/2026/03455</t>
        </is>
      </c>
      <c r="F2208" t="inlineStr">
        <is>
          <t>Customer payment INV/2026/03455</t>
        </is>
      </c>
      <c r="G2208" s="9" t="n">
        <v>10876.25</v>
      </c>
      <c r="H2208" t="inlineStr">
        <is>
          <t>customer_payment</t>
        </is>
      </c>
      <c r="I2208" t="inlineStr"/>
      <c r="J2208" t="inlineStr">
        <is>
          <t>G01140</t>
        </is>
      </c>
      <c r="K2208" t="str">
        <f>INDEX('Match Groups'!$D$5:$D$1326,MATCH(J2208,'Match Groups'!$A$5:$A$1326,0))</f>
        <v>MATCH</v>
      </c>
    </row>
    <row r="2209">
      <c r="A2209" t="inlineStr">
        <is>
          <t>JI-01758</t>
        </is>
      </c>
      <c r="B2209" t="inlineStr">
        <is>
          <t>OPS</t>
        </is>
      </c>
      <c r="C2209" s="5" t="n">
        <v>46241</v>
      </c>
      <c r="D2209" t="inlineStr">
        <is>
          <t>Pendle Hill Bakery</t>
        </is>
      </c>
      <c r="E2209" t="inlineStr">
        <is>
          <t>INV/2026/03456</t>
        </is>
      </c>
      <c r="F2209" t="inlineStr">
        <is>
          <t>Customer payment INV/2026/03456</t>
        </is>
      </c>
      <c r="G2209" s="9" t="n">
        <v>16032.5</v>
      </c>
      <c r="H2209" t="inlineStr">
        <is>
          <t>customer_payment</t>
        </is>
      </c>
      <c r="I2209" t="inlineStr"/>
      <c r="J2209" t="inlineStr">
        <is>
          <t>G01140</t>
        </is>
      </c>
      <c r="K2209" t="str">
        <f>INDEX('Match Groups'!$D$5:$D$1326,MATCH(J2209,'Match Groups'!$A$5:$A$1326,0))</f>
        <v>MATCH</v>
      </c>
    </row>
    <row r="2210">
      <c r="A2210" t="inlineStr">
        <is>
          <t>JI-01759</t>
        </is>
      </c>
      <c r="B2210" t="inlineStr">
        <is>
          <t>OPS</t>
        </is>
      </c>
      <c r="C2210" s="5" t="n">
        <v>46241</v>
      </c>
      <c r="D2210" t="inlineStr">
        <is>
          <t>Pendle Hill Bakery</t>
        </is>
      </c>
      <c r="E2210" t="inlineStr">
        <is>
          <t>INV/2026/03508</t>
        </is>
      </c>
      <c r="F2210" t="inlineStr">
        <is>
          <t>Customer payment INV/2026/03508</t>
        </is>
      </c>
      <c r="G2210" s="9" t="n">
        <v>1320</v>
      </c>
      <c r="H2210" t="inlineStr">
        <is>
          <t>customer_payment</t>
        </is>
      </c>
      <c r="I2210" t="inlineStr"/>
      <c r="J2210" t="inlineStr">
        <is>
          <t>G01140</t>
        </is>
      </c>
      <c r="K2210" t="str">
        <f>INDEX('Match Groups'!$D$5:$D$1326,MATCH(J2210,'Match Groups'!$A$5:$A$1326,0))</f>
        <v>MATCH</v>
      </c>
    </row>
    <row r="2211">
      <c r="A2211" t="inlineStr">
        <is>
          <t>JI-02601</t>
        </is>
      </c>
      <c r="B2211" t="inlineStr">
        <is>
          <t>OPS</t>
        </is>
      </c>
      <c r="C2211" s="5" t="n">
        <v>46241</v>
      </c>
      <c r="D2211" t="inlineStr">
        <is>
          <t>Stripe patient 70908</t>
        </is>
      </c>
      <c r="E2211" t="inlineStr">
        <is>
          <t>INV/2026/04447</t>
        </is>
      </c>
      <c r="F2211" t="inlineStr">
        <is>
          <t>Customer payment INV/2026/04447</t>
        </is>
      </c>
      <c r="G2211" s="9" t="n">
        <v>95</v>
      </c>
      <c r="H2211" t="inlineStr">
        <is>
          <t>customer_payment</t>
        </is>
      </c>
      <c r="I2211" t="inlineStr"/>
      <c r="J2211" t="inlineStr">
        <is>
          <t>G00043</t>
        </is>
      </c>
      <c r="K2211" t="str">
        <f>INDEX('Match Groups'!$D$5:$D$1326,MATCH(J2211,'Match Groups'!$A$5:$A$1326,0))</f>
        <v>STRIPE-FEE</v>
      </c>
    </row>
    <row r="2212">
      <c r="A2212" t="inlineStr">
        <is>
          <t>JI-02602</t>
        </is>
      </c>
      <c r="B2212" t="inlineStr">
        <is>
          <t>OPS</t>
        </is>
      </c>
      <c r="C2212" s="5" t="n">
        <v>46241</v>
      </c>
      <c r="D2212" t="inlineStr">
        <is>
          <t>Stripe patient 84670</t>
        </is>
      </c>
      <c r="E2212" t="inlineStr">
        <is>
          <t>INV/2026/04448</t>
        </is>
      </c>
      <c r="F2212" t="inlineStr">
        <is>
          <t>Customer payment INV/2026/04448</t>
        </is>
      </c>
      <c r="G2212" s="9" t="n">
        <v>180</v>
      </c>
      <c r="H2212" t="inlineStr">
        <is>
          <t>customer_payment</t>
        </is>
      </c>
      <c r="I2212" t="inlineStr"/>
      <c r="J2212" t="inlineStr">
        <is>
          <t>G00043</t>
        </is>
      </c>
      <c r="K2212" t="str">
        <f>INDEX('Match Groups'!$D$5:$D$1326,MATCH(J2212,'Match Groups'!$A$5:$A$1326,0))</f>
        <v>STRIPE-FEE</v>
      </c>
    </row>
    <row r="2213">
      <c r="A2213" t="inlineStr">
        <is>
          <t>JI-02603</t>
        </is>
      </c>
      <c r="B2213" t="inlineStr">
        <is>
          <t>OPS</t>
        </is>
      </c>
      <c r="C2213" s="5" t="n">
        <v>46241</v>
      </c>
      <c r="D2213" t="inlineStr">
        <is>
          <t>Stripe patient 63860</t>
        </is>
      </c>
      <c r="E2213" t="inlineStr">
        <is>
          <t>INV/2026/04449</t>
        </is>
      </c>
      <c r="F2213" t="inlineStr">
        <is>
          <t>Customer payment INV/2026/04449</t>
        </is>
      </c>
      <c r="G2213" s="9" t="n">
        <v>65</v>
      </c>
      <c r="H2213" t="inlineStr">
        <is>
          <t>customer_payment</t>
        </is>
      </c>
      <c r="I2213" t="inlineStr"/>
      <c r="J2213" t="inlineStr">
        <is>
          <t>G00043</t>
        </is>
      </c>
      <c r="K2213" t="str">
        <f>INDEX('Match Groups'!$D$5:$D$1326,MATCH(J2213,'Match Groups'!$A$5:$A$1326,0))</f>
        <v>STRIPE-FEE</v>
      </c>
    </row>
    <row r="2214">
      <c r="A2214" t="inlineStr">
        <is>
          <t>JI-02604</t>
        </is>
      </c>
      <c r="B2214" t="inlineStr">
        <is>
          <t>OPS</t>
        </is>
      </c>
      <c r="C2214" s="5" t="n">
        <v>46241</v>
      </c>
      <c r="D2214" t="inlineStr">
        <is>
          <t>Stripe patient 87616</t>
        </is>
      </c>
      <c r="E2214" t="inlineStr">
        <is>
          <t>INV/2026/04450</t>
        </is>
      </c>
      <c r="F2214" t="inlineStr">
        <is>
          <t>Customer payment INV/2026/04450</t>
        </is>
      </c>
      <c r="G2214" s="9" t="n">
        <v>180</v>
      </c>
      <c r="H2214" t="inlineStr">
        <is>
          <t>customer_payment</t>
        </is>
      </c>
      <c r="I2214" t="inlineStr"/>
      <c r="J2214" t="inlineStr">
        <is>
          <t>G00043</t>
        </is>
      </c>
      <c r="K2214" t="str">
        <f>INDEX('Match Groups'!$D$5:$D$1326,MATCH(J2214,'Match Groups'!$A$5:$A$1326,0))</f>
        <v>STRIPE-FEE</v>
      </c>
    </row>
    <row r="2215">
      <c r="A2215" t="inlineStr">
        <is>
          <t>JI-02605</t>
        </is>
      </c>
      <c r="B2215" t="inlineStr">
        <is>
          <t>OPS</t>
        </is>
      </c>
      <c r="C2215" s="5" t="n">
        <v>46241</v>
      </c>
      <c r="D2215" t="inlineStr">
        <is>
          <t>Stripe patient 68747</t>
        </is>
      </c>
      <c r="E2215" t="inlineStr">
        <is>
          <t>INV/2026/04451</t>
        </is>
      </c>
      <c r="F2215" t="inlineStr">
        <is>
          <t>Customer payment INV/2026/04451</t>
        </is>
      </c>
      <c r="G2215" s="9" t="n">
        <v>120</v>
      </c>
      <c r="H2215" t="inlineStr">
        <is>
          <t>customer_payment</t>
        </is>
      </c>
      <c r="I2215" t="inlineStr"/>
      <c r="J2215" t="inlineStr">
        <is>
          <t>G00043</t>
        </is>
      </c>
      <c r="K2215" t="str">
        <f>INDEX('Match Groups'!$D$5:$D$1326,MATCH(J2215,'Match Groups'!$A$5:$A$1326,0))</f>
        <v>STRIPE-FEE</v>
      </c>
    </row>
    <row r="2216">
      <c r="A2216" t="inlineStr">
        <is>
          <t>JI-02606</t>
        </is>
      </c>
      <c r="B2216" t="inlineStr">
        <is>
          <t>OPS</t>
        </is>
      </c>
      <c r="C2216" s="5" t="n">
        <v>46241</v>
      </c>
      <c r="D2216" t="inlineStr">
        <is>
          <t>Stripe patient 99605</t>
        </is>
      </c>
      <c r="E2216" t="inlineStr">
        <is>
          <t>INV/2026/04452</t>
        </is>
      </c>
      <c r="F2216" t="inlineStr">
        <is>
          <t>Customer payment INV/2026/04452</t>
        </is>
      </c>
      <c r="G2216" s="9" t="n">
        <v>85</v>
      </c>
      <c r="H2216" t="inlineStr">
        <is>
          <t>customer_payment</t>
        </is>
      </c>
      <c r="I2216" t="inlineStr"/>
      <c r="J2216" t="inlineStr">
        <is>
          <t>G00043</t>
        </is>
      </c>
      <c r="K2216" t="str">
        <f>INDEX('Match Groups'!$D$5:$D$1326,MATCH(J2216,'Match Groups'!$A$5:$A$1326,0))</f>
        <v>STRIPE-FEE</v>
      </c>
    </row>
    <row r="2217">
      <c r="A2217" t="inlineStr">
        <is>
          <t>JI-02607</t>
        </is>
      </c>
      <c r="B2217" t="inlineStr">
        <is>
          <t>OPS</t>
        </is>
      </c>
      <c r="C2217" s="5" t="n">
        <v>46241</v>
      </c>
      <c r="D2217" t="inlineStr">
        <is>
          <t>Stripe patient 84552</t>
        </is>
      </c>
      <c r="E2217" t="inlineStr">
        <is>
          <t>INV/2026/04453</t>
        </is>
      </c>
      <c r="F2217" t="inlineStr">
        <is>
          <t>Customer payment INV/2026/04453</t>
        </is>
      </c>
      <c r="G2217" s="9" t="n">
        <v>135</v>
      </c>
      <c r="H2217" t="inlineStr">
        <is>
          <t>customer_payment</t>
        </is>
      </c>
      <c r="I2217" t="inlineStr"/>
      <c r="J2217" t="inlineStr">
        <is>
          <t>G00043</t>
        </is>
      </c>
      <c r="K2217" t="str">
        <f>INDEX('Match Groups'!$D$5:$D$1326,MATCH(J2217,'Match Groups'!$A$5:$A$1326,0))</f>
        <v>STRIPE-FEE</v>
      </c>
    </row>
    <row r="2218">
      <c r="A2218" t="inlineStr">
        <is>
          <t>JI-02608</t>
        </is>
      </c>
      <c r="B2218" t="inlineStr">
        <is>
          <t>OPS</t>
        </is>
      </c>
      <c r="C2218" s="5" t="n">
        <v>46241</v>
      </c>
      <c r="D2218" t="inlineStr">
        <is>
          <t>Stripe patient 43282</t>
        </is>
      </c>
      <c r="E2218" t="inlineStr">
        <is>
          <t>INV/2026/04454</t>
        </is>
      </c>
      <c r="F2218" t="inlineStr">
        <is>
          <t>Customer payment INV/2026/04454</t>
        </is>
      </c>
      <c r="G2218" s="9" t="n">
        <v>135</v>
      </c>
      <c r="H2218" t="inlineStr">
        <is>
          <t>customer_payment</t>
        </is>
      </c>
      <c r="I2218" t="inlineStr"/>
      <c r="J2218" t="inlineStr">
        <is>
          <t>G00043</t>
        </is>
      </c>
      <c r="K2218" t="str">
        <f>INDEX('Match Groups'!$D$5:$D$1326,MATCH(J2218,'Match Groups'!$A$5:$A$1326,0))</f>
        <v>STRIPE-FEE</v>
      </c>
    </row>
    <row r="2219">
      <c r="A2219" t="inlineStr">
        <is>
          <t>JI-02609</t>
        </is>
      </c>
      <c r="B2219" t="inlineStr">
        <is>
          <t>OPS</t>
        </is>
      </c>
      <c r="C2219" s="5" t="n">
        <v>46241</v>
      </c>
      <c r="D2219" t="inlineStr">
        <is>
          <t>Stripe patient 51774</t>
        </is>
      </c>
      <c r="E2219" t="inlineStr">
        <is>
          <t>INV/2026/04455</t>
        </is>
      </c>
      <c r="F2219" t="inlineStr">
        <is>
          <t>Customer payment INV/2026/04455</t>
        </is>
      </c>
      <c r="G2219" s="9" t="n">
        <v>110</v>
      </c>
      <c r="H2219" t="inlineStr">
        <is>
          <t>customer_payment</t>
        </is>
      </c>
      <c r="I2219" t="inlineStr"/>
      <c r="J2219" t="inlineStr">
        <is>
          <t>G00043</t>
        </is>
      </c>
      <c r="K2219" t="str">
        <f>INDEX('Match Groups'!$D$5:$D$1326,MATCH(J2219,'Match Groups'!$A$5:$A$1326,0))</f>
        <v>STRIPE-FEE</v>
      </c>
    </row>
    <row r="2220">
      <c r="A2220" t="inlineStr">
        <is>
          <t>JI-02610</t>
        </is>
      </c>
      <c r="B2220" t="inlineStr">
        <is>
          <t>OPS</t>
        </is>
      </c>
      <c r="C2220" s="5" t="n">
        <v>46241</v>
      </c>
      <c r="D2220" t="inlineStr">
        <is>
          <t>Stripe patient 34856</t>
        </is>
      </c>
      <c r="E2220" t="inlineStr">
        <is>
          <t>INV/2026/04456</t>
        </is>
      </c>
      <c r="F2220" t="inlineStr">
        <is>
          <t>Customer payment INV/2026/04456</t>
        </is>
      </c>
      <c r="G2220" s="9" t="n">
        <v>180</v>
      </c>
      <c r="H2220" t="inlineStr">
        <is>
          <t>customer_payment</t>
        </is>
      </c>
      <c r="I2220" t="inlineStr"/>
      <c r="J2220" t="inlineStr">
        <is>
          <t>G00043</t>
        </is>
      </c>
      <c r="K2220" t="str">
        <f>INDEX('Match Groups'!$D$5:$D$1326,MATCH(J2220,'Match Groups'!$A$5:$A$1326,0))</f>
        <v>STRIPE-FEE</v>
      </c>
    </row>
    <row r="2221">
      <c r="A2221" t="inlineStr">
        <is>
          <t>JI-02611</t>
        </is>
      </c>
      <c r="B2221" t="inlineStr">
        <is>
          <t>OPS</t>
        </is>
      </c>
      <c r="C2221" s="5" t="n">
        <v>46241</v>
      </c>
      <c r="D2221" t="inlineStr">
        <is>
          <t>Stripe patient 43008</t>
        </is>
      </c>
      <c r="E2221" t="inlineStr">
        <is>
          <t>INV/2026/04457</t>
        </is>
      </c>
      <c r="F2221" t="inlineStr">
        <is>
          <t>Customer payment INV/2026/04457</t>
        </is>
      </c>
      <c r="G2221" s="9" t="n">
        <v>85</v>
      </c>
      <c r="H2221" t="inlineStr">
        <is>
          <t>customer_payment</t>
        </is>
      </c>
      <c r="I2221" t="inlineStr"/>
      <c r="J2221" t="inlineStr">
        <is>
          <t>G00043</t>
        </is>
      </c>
      <c r="K2221" t="str">
        <f>INDEX('Match Groups'!$D$5:$D$1326,MATCH(J2221,'Match Groups'!$A$5:$A$1326,0))</f>
        <v>STRIPE-FEE</v>
      </c>
    </row>
    <row r="2222">
      <c r="A2222" t="inlineStr">
        <is>
          <t>JI-02612</t>
        </is>
      </c>
      <c r="B2222" t="inlineStr">
        <is>
          <t>OPS</t>
        </is>
      </c>
      <c r="C2222" s="5" t="n">
        <v>46241</v>
      </c>
      <c r="D2222" t="inlineStr">
        <is>
          <t>Stripe patient 67033</t>
        </is>
      </c>
      <c r="E2222" t="inlineStr">
        <is>
          <t>INV/2026/04458</t>
        </is>
      </c>
      <c r="F2222" t="inlineStr">
        <is>
          <t>Customer payment INV/2026/04458</t>
        </is>
      </c>
      <c r="G2222" s="9" t="n">
        <v>220</v>
      </c>
      <c r="H2222" t="inlineStr">
        <is>
          <t>customer_payment</t>
        </is>
      </c>
      <c r="I2222" t="inlineStr"/>
      <c r="J2222" t="inlineStr">
        <is>
          <t>G00043</t>
        </is>
      </c>
      <c r="K2222" t="str">
        <f>INDEX('Match Groups'!$D$5:$D$1326,MATCH(J2222,'Match Groups'!$A$5:$A$1326,0))</f>
        <v>STRIPE-FEE</v>
      </c>
    </row>
    <row r="2223">
      <c r="A2223" t="inlineStr">
        <is>
          <t>JI-02613</t>
        </is>
      </c>
      <c r="B2223" t="inlineStr">
        <is>
          <t>OPS</t>
        </is>
      </c>
      <c r="C2223" s="5" t="n">
        <v>46241</v>
      </c>
      <c r="D2223" t="inlineStr">
        <is>
          <t>Stripe patient 61270</t>
        </is>
      </c>
      <c r="E2223" t="inlineStr">
        <is>
          <t>INV/2026/04459</t>
        </is>
      </c>
      <c r="F2223" t="inlineStr">
        <is>
          <t>Customer payment INV/2026/04459</t>
        </is>
      </c>
      <c r="G2223" s="9" t="n">
        <v>220</v>
      </c>
      <c r="H2223" t="inlineStr">
        <is>
          <t>customer_payment</t>
        </is>
      </c>
      <c r="I2223" t="inlineStr"/>
      <c r="J2223" t="inlineStr">
        <is>
          <t>G00043</t>
        </is>
      </c>
      <c r="K2223" t="str">
        <f>INDEX('Match Groups'!$D$5:$D$1326,MATCH(J2223,'Match Groups'!$A$5:$A$1326,0))</f>
        <v>STRIPE-FEE</v>
      </c>
    </row>
    <row r="2224">
      <c r="A2224" t="inlineStr">
        <is>
          <t>JI-02614</t>
        </is>
      </c>
      <c r="B2224" t="inlineStr">
        <is>
          <t>OPS</t>
        </is>
      </c>
      <c r="C2224" s="5" t="n">
        <v>46241</v>
      </c>
      <c r="D2224" t="inlineStr">
        <is>
          <t>Stripe patient 87246</t>
        </is>
      </c>
      <c r="E2224" t="inlineStr">
        <is>
          <t>INV/2026/04460</t>
        </is>
      </c>
      <c r="F2224" t="inlineStr">
        <is>
          <t>Customer payment INV/2026/04460</t>
        </is>
      </c>
      <c r="G2224" s="9" t="n">
        <v>65</v>
      </c>
      <c r="H2224" t="inlineStr">
        <is>
          <t>customer_payment</t>
        </is>
      </c>
      <c r="I2224" t="inlineStr"/>
      <c r="J2224" t="inlineStr">
        <is>
          <t>G00043</t>
        </is>
      </c>
      <c r="K2224" t="str">
        <f>INDEX('Match Groups'!$D$5:$D$1326,MATCH(J2224,'Match Groups'!$A$5:$A$1326,0))</f>
        <v>STRIPE-FEE</v>
      </c>
    </row>
    <row r="2225">
      <c r="A2225" t="inlineStr">
        <is>
          <t>JI-02615</t>
        </is>
      </c>
      <c r="B2225" t="inlineStr">
        <is>
          <t>OPS</t>
        </is>
      </c>
      <c r="C2225" s="5" t="n">
        <v>46241</v>
      </c>
      <c r="D2225" t="inlineStr">
        <is>
          <t>Stripe patient 11181</t>
        </is>
      </c>
      <c r="E2225" t="inlineStr">
        <is>
          <t>INV/2026/04461</t>
        </is>
      </c>
      <c r="F2225" t="inlineStr">
        <is>
          <t>Customer payment INV/2026/04461</t>
        </is>
      </c>
      <c r="G2225" s="9" t="n">
        <v>110</v>
      </c>
      <c r="H2225" t="inlineStr">
        <is>
          <t>customer_payment</t>
        </is>
      </c>
      <c r="I2225" t="inlineStr"/>
      <c r="J2225" t="inlineStr">
        <is>
          <t>G00043</t>
        </is>
      </c>
      <c r="K2225" t="str">
        <f>INDEX('Match Groups'!$D$5:$D$1326,MATCH(J2225,'Match Groups'!$A$5:$A$1326,0))</f>
        <v>STRIPE-FEE</v>
      </c>
    </row>
    <row r="2226">
      <c r="A2226" t="inlineStr">
        <is>
          <t>JI-02616</t>
        </is>
      </c>
      <c r="B2226" t="inlineStr">
        <is>
          <t>OPS</t>
        </is>
      </c>
      <c r="C2226" s="5" t="n">
        <v>46241</v>
      </c>
      <c r="D2226" t="inlineStr">
        <is>
          <t>Stripe patient 55061</t>
        </is>
      </c>
      <c r="E2226" t="inlineStr">
        <is>
          <t>INV/2026/04462</t>
        </is>
      </c>
      <c r="F2226" t="inlineStr">
        <is>
          <t>Customer payment INV/2026/04462</t>
        </is>
      </c>
      <c r="G2226" s="9" t="n">
        <v>120</v>
      </c>
      <c r="H2226" t="inlineStr">
        <is>
          <t>customer_payment</t>
        </is>
      </c>
      <c r="I2226" t="inlineStr"/>
      <c r="J2226" t="inlineStr">
        <is>
          <t>G00043</t>
        </is>
      </c>
      <c r="K2226" t="str">
        <f>INDEX('Match Groups'!$D$5:$D$1326,MATCH(J2226,'Match Groups'!$A$5:$A$1326,0))</f>
        <v>STRIPE-FEE</v>
      </c>
    </row>
    <row r="2227">
      <c r="A2227" t="inlineStr">
        <is>
          <t>JI-02617</t>
        </is>
      </c>
      <c r="B2227" t="inlineStr">
        <is>
          <t>OPS</t>
        </is>
      </c>
      <c r="C2227" s="5" t="n">
        <v>46241</v>
      </c>
      <c r="D2227" t="inlineStr">
        <is>
          <t>Stripe patient 10517</t>
        </is>
      </c>
      <c r="E2227" t="inlineStr">
        <is>
          <t>INV/2026/04463</t>
        </is>
      </c>
      <c r="F2227" t="inlineStr">
        <is>
          <t>Customer payment INV/2026/04463</t>
        </is>
      </c>
      <c r="G2227" s="9" t="n">
        <v>135</v>
      </c>
      <c r="H2227" t="inlineStr">
        <is>
          <t>customer_payment</t>
        </is>
      </c>
      <c r="I2227" t="inlineStr"/>
      <c r="J2227" t="inlineStr">
        <is>
          <t>G00043</t>
        </is>
      </c>
      <c r="K2227" t="str">
        <f>INDEX('Match Groups'!$D$5:$D$1326,MATCH(J2227,'Match Groups'!$A$5:$A$1326,0))</f>
        <v>STRIPE-FEE</v>
      </c>
    </row>
    <row r="2228">
      <c r="A2228" t="inlineStr">
        <is>
          <t>JI-02618</t>
        </is>
      </c>
      <c r="B2228" t="inlineStr">
        <is>
          <t>OPS</t>
        </is>
      </c>
      <c r="C2228" s="5" t="n">
        <v>46241</v>
      </c>
      <c r="D2228" t="inlineStr">
        <is>
          <t>Stripe patient 79009</t>
        </is>
      </c>
      <c r="E2228" t="inlineStr">
        <is>
          <t>INV/2026/04464</t>
        </is>
      </c>
      <c r="F2228" t="inlineStr">
        <is>
          <t>Customer payment INV/2026/04464</t>
        </is>
      </c>
      <c r="G2228" s="9" t="n">
        <v>120</v>
      </c>
      <c r="H2228" t="inlineStr">
        <is>
          <t>customer_payment</t>
        </is>
      </c>
      <c r="I2228" t="inlineStr"/>
      <c r="J2228" t="inlineStr">
        <is>
          <t>G00043</t>
        </is>
      </c>
      <c r="K2228" t="str">
        <f>INDEX('Match Groups'!$D$5:$D$1326,MATCH(J2228,'Match Groups'!$A$5:$A$1326,0))</f>
        <v>STRIPE-FEE</v>
      </c>
    </row>
    <row r="2229">
      <c r="A2229" t="inlineStr">
        <is>
          <t>JI-02619</t>
        </is>
      </c>
      <c r="B2229" t="inlineStr">
        <is>
          <t>OPS</t>
        </is>
      </c>
      <c r="C2229" s="5" t="n">
        <v>46241</v>
      </c>
      <c r="D2229" t="inlineStr">
        <is>
          <t>Stripe patient 64676</t>
        </is>
      </c>
      <c r="E2229" t="inlineStr">
        <is>
          <t>INV/2026/04465</t>
        </is>
      </c>
      <c r="F2229" t="inlineStr">
        <is>
          <t>Customer payment INV/2026/04465</t>
        </is>
      </c>
      <c r="G2229" s="9" t="n">
        <v>65</v>
      </c>
      <c r="H2229" t="inlineStr">
        <is>
          <t>customer_payment</t>
        </is>
      </c>
      <c r="I2229" t="inlineStr"/>
      <c r="J2229" t="inlineStr">
        <is>
          <t>G00043</t>
        </is>
      </c>
      <c r="K2229" t="str">
        <f>INDEX('Match Groups'!$D$5:$D$1326,MATCH(J2229,'Match Groups'!$A$5:$A$1326,0))</f>
        <v>STRIPE-FEE</v>
      </c>
    </row>
    <row r="2230">
      <c r="A2230" t="inlineStr">
        <is>
          <t>JI-02620</t>
        </is>
      </c>
      <c r="B2230" t="inlineStr">
        <is>
          <t>OPS</t>
        </is>
      </c>
      <c r="C2230" s="5" t="n">
        <v>46241</v>
      </c>
      <c r="D2230" t="inlineStr">
        <is>
          <t>Stripe patient 14341</t>
        </is>
      </c>
      <c r="E2230" t="inlineStr">
        <is>
          <t>INV/2026/04466</t>
        </is>
      </c>
      <c r="F2230" t="inlineStr">
        <is>
          <t>Customer payment INV/2026/04466</t>
        </is>
      </c>
      <c r="G2230" s="9" t="n">
        <v>65</v>
      </c>
      <c r="H2230" t="inlineStr">
        <is>
          <t>customer_payment</t>
        </is>
      </c>
      <c r="I2230" t="inlineStr"/>
      <c r="J2230" t="inlineStr">
        <is>
          <t>G00043</t>
        </is>
      </c>
      <c r="K2230" t="str">
        <f>INDEX('Match Groups'!$D$5:$D$1326,MATCH(J2230,'Match Groups'!$A$5:$A$1326,0))</f>
        <v>STRIPE-FEE</v>
      </c>
    </row>
    <row r="2231">
      <c r="A2231" t="inlineStr">
        <is>
          <t>JI-02621</t>
        </is>
      </c>
      <c r="B2231" t="inlineStr">
        <is>
          <t>OPS</t>
        </is>
      </c>
      <c r="C2231" s="5" t="n">
        <v>46241</v>
      </c>
      <c r="D2231" t="inlineStr">
        <is>
          <t>Stripe patient 25482</t>
        </is>
      </c>
      <c r="E2231" t="inlineStr">
        <is>
          <t>INV/2026/04467</t>
        </is>
      </c>
      <c r="F2231" t="inlineStr">
        <is>
          <t>Customer payment INV/2026/04467</t>
        </is>
      </c>
      <c r="G2231" s="9" t="n">
        <v>150</v>
      </c>
      <c r="H2231" t="inlineStr">
        <is>
          <t>customer_payment</t>
        </is>
      </c>
      <c r="I2231" t="inlineStr"/>
      <c r="J2231" t="inlineStr">
        <is>
          <t>G00043</t>
        </is>
      </c>
      <c r="K2231" t="str">
        <f>INDEX('Match Groups'!$D$5:$D$1326,MATCH(J2231,'Match Groups'!$A$5:$A$1326,0))</f>
        <v>STRIPE-FEE</v>
      </c>
    </row>
    <row r="2232">
      <c r="A2232" t="inlineStr">
        <is>
          <t>JI-02622</t>
        </is>
      </c>
      <c r="B2232" t="inlineStr">
        <is>
          <t>OPS</t>
        </is>
      </c>
      <c r="C2232" s="5" t="n">
        <v>46241</v>
      </c>
      <c r="D2232" t="inlineStr">
        <is>
          <t>Stripe patient 14541</t>
        </is>
      </c>
      <c r="E2232" t="inlineStr">
        <is>
          <t>INV/2026/04468</t>
        </is>
      </c>
      <c r="F2232" t="inlineStr">
        <is>
          <t>Customer payment INV/2026/04468</t>
        </is>
      </c>
      <c r="G2232" s="9" t="n">
        <v>180</v>
      </c>
      <c r="H2232" t="inlineStr">
        <is>
          <t>customer_payment</t>
        </is>
      </c>
      <c r="I2232" t="inlineStr"/>
      <c r="J2232" t="inlineStr">
        <is>
          <t>G00043</t>
        </is>
      </c>
      <c r="K2232" t="str">
        <f>INDEX('Match Groups'!$D$5:$D$1326,MATCH(J2232,'Match Groups'!$A$5:$A$1326,0))</f>
        <v>STRIPE-FEE</v>
      </c>
    </row>
    <row r="2233">
      <c r="A2233" t="inlineStr">
        <is>
          <t>JI-01600</t>
        </is>
      </c>
      <c r="B2233" t="inlineStr">
        <is>
          <t>OPS</t>
        </is>
      </c>
      <c r="C2233" s="5" t="n">
        <v>46242</v>
      </c>
      <c r="D2233" t="inlineStr">
        <is>
          <t>Pinnacle Claims Services</t>
        </is>
      </c>
      <c r="E2233" t="inlineStr">
        <is>
          <t>INV/2026/02387</t>
        </is>
      </c>
      <c r="F2233" t="inlineStr">
        <is>
          <t>Customer payment INV/2026/02387</t>
        </is>
      </c>
      <c r="G2233" s="9" t="n">
        <v>132</v>
      </c>
      <c r="H2233" t="inlineStr">
        <is>
          <t>customer_payment</t>
        </is>
      </c>
      <c r="I2233" t="inlineStr"/>
      <c r="J2233" t="inlineStr">
        <is>
          <t>G00989</t>
        </is>
      </c>
      <c r="K2233" t="str">
        <f>INDEX('Match Groups'!$D$5:$D$1326,MATCH(J2233,'Match Groups'!$A$5:$A$1326,0))</f>
        <v>MATCH</v>
      </c>
    </row>
    <row r="2234">
      <c r="A2234" t="inlineStr">
        <is>
          <t>JI-02623</t>
        </is>
      </c>
      <c r="B2234" t="inlineStr">
        <is>
          <t>OPS</t>
        </is>
      </c>
      <c r="C2234" s="5" t="n">
        <v>46242</v>
      </c>
      <c r="D2234" t="inlineStr">
        <is>
          <t>Stripe patient 39983</t>
        </is>
      </c>
      <c r="E2234" t="inlineStr">
        <is>
          <t>INV/2026/04469</t>
        </is>
      </c>
      <c r="F2234" t="inlineStr">
        <is>
          <t>Customer payment INV/2026/04469</t>
        </is>
      </c>
      <c r="G2234" s="9" t="n">
        <v>65</v>
      </c>
      <c r="H2234" t="inlineStr">
        <is>
          <t>customer_payment</t>
        </is>
      </c>
      <c r="I2234" t="inlineStr"/>
      <c r="J2234" t="inlineStr">
        <is>
          <t>G00043</t>
        </is>
      </c>
      <c r="K2234" t="str">
        <f>INDEX('Match Groups'!$D$5:$D$1326,MATCH(J2234,'Match Groups'!$A$5:$A$1326,0))</f>
        <v>STRIPE-FEE</v>
      </c>
    </row>
    <row r="2235">
      <c r="A2235" t="inlineStr">
        <is>
          <t>JI-02624</t>
        </is>
      </c>
      <c r="B2235" t="inlineStr">
        <is>
          <t>OPS</t>
        </is>
      </c>
      <c r="C2235" s="5" t="n">
        <v>46242</v>
      </c>
      <c r="D2235" t="inlineStr">
        <is>
          <t>Stripe patient 77086</t>
        </is>
      </c>
      <c r="E2235" t="inlineStr">
        <is>
          <t>INV/2026/04470</t>
        </is>
      </c>
      <c r="F2235" t="inlineStr">
        <is>
          <t>Customer payment INV/2026/04470</t>
        </is>
      </c>
      <c r="G2235" s="9" t="n">
        <v>150</v>
      </c>
      <c r="H2235" t="inlineStr">
        <is>
          <t>customer_payment</t>
        </is>
      </c>
      <c r="I2235" t="inlineStr"/>
      <c r="J2235" t="inlineStr">
        <is>
          <t>G00043</t>
        </is>
      </c>
      <c r="K2235" t="str">
        <f>INDEX('Match Groups'!$D$5:$D$1326,MATCH(J2235,'Match Groups'!$A$5:$A$1326,0))</f>
        <v>STRIPE-FEE</v>
      </c>
    </row>
    <row r="2236">
      <c r="A2236" t="inlineStr">
        <is>
          <t>JI-02625</t>
        </is>
      </c>
      <c r="B2236" t="inlineStr">
        <is>
          <t>OPS</t>
        </is>
      </c>
      <c r="C2236" s="5" t="n">
        <v>46242</v>
      </c>
      <c r="D2236" t="inlineStr">
        <is>
          <t>Stripe patient 44845</t>
        </is>
      </c>
      <c r="E2236" t="inlineStr">
        <is>
          <t>INV/2026/04471</t>
        </is>
      </c>
      <c r="F2236" t="inlineStr">
        <is>
          <t>Customer payment INV/2026/04471</t>
        </is>
      </c>
      <c r="G2236" s="9" t="n">
        <v>150</v>
      </c>
      <c r="H2236" t="inlineStr">
        <is>
          <t>customer_payment</t>
        </is>
      </c>
      <c r="I2236" t="inlineStr"/>
      <c r="J2236" t="inlineStr">
        <is>
          <t>G00043</t>
        </is>
      </c>
      <c r="K2236" t="str">
        <f>INDEX('Match Groups'!$D$5:$D$1326,MATCH(J2236,'Match Groups'!$A$5:$A$1326,0))</f>
        <v>STRIPE-FEE</v>
      </c>
    </row>
    <row r="2237">
      <c r="A2237" t="inlineStr">
        <is>
          <t>JI-02626</t>
        </is>
      </c>
      <c r="B2237" t="inlineStr">
        <is>
          <t>OPS</t>
        </is>
      </c>
      <c r="C2237" s="5" t="n">
        <v>46242</v>
      </c>
      <c r="D2237" t="inlineStr">
        <is>
          <t>Stripe patient 92300</t>
        </is>
      </c>
      <c r="E2237" t="inlineStr">
        <is>
          <t>INV/2026/04472</t>
        </is>
      </c>
      <c r="F2237" t="inlineStr">
        <is>
          <t>Customer payment INV/2026/04472</t>
        </is>
      </c>
      <c r="G2237" s="9" t="n">
        <v>120</v>
      </c>
      <c r="H2237" t="inlineStr">
        <is>
          <t>customer_payment</t>
        </is>
      </c>
      <c r="I2237" t="inlineStr"/>
      <c r="J2237" t="inlineStr">
        <is>
          <t>G00043</t>
        </is>
      </c>
      <c r="K2237" t="str">
        <f>INDEX('Match Groups'!$D$5:$D$1326,MATCH(J2237,'Match Groups'!$A$5:$A$1326,0))</f>
        <v>STRIPE-FEE</v>
      </c>
    </row>
    <row r="2238">
      <c r="A2238" t="inlineStr">
        <is>
          <t>JI-02627</t>
        </is>
      </c>
      <c r="B2238" t="inlineStr">
        <is>
          <t>OPS</t>
        </is>
      </c>
      <c r="C2238" s="5" t="n">
        <v>46242</v>
      </c>
      <c r="D2238" t="inlineStr">
        <is>
          <t>Stripe patient 22072</t>
        </is>
      </c>
      <c r="E2238" t="inlineStr">
        <is>
          <t>INV/2026/04473</t>
        </is>
      </c>
      <c r="F2238" t="inlineStr">
        <is>
          <t>Customer payment INV/2026/04473</t>
        </is>
      </c>
      <c r="G2238" s="9" t="n">
        <v>95</v>
      </c>
      <c r="H2238" t="inlineStr">
        <is>
          <t>customer_payment</t>
        </is>
      </c>
      <c r="I2238" t="inlineStr"/>
      <c r="J2238" t="inlineStr">
        <is>
          <t>G00043</t>
        </is>
      </c>
      <c r="K2238" t="str">
        <f>INDEX('Match Groups'!$D$5:$D$1326,MATCH(J2238,'Match Groups'!$A$5:$A$1326,0))</f>
        <v>STRIPE-FEE</v>
      </c>
    </row>
    <row r="2239">
      <c r="A2239" t="inlineStr">
        <is>
          <t>JI-02628</t>
        </is>
      </c>
      <c r="B2239" t="inlineStr">
        <is>
          <t>OPS</t>
        </is>
      </c>
      <c r="C2239" s="5" t="n">
        <v>46242</v>
      </c>
      <c r="D2239" t="inlineStr">
        <is>
          <t>Stripe patient 54227</t>
        </is>
      </c>
      <c r="E2239" t="inlineStr">
        <is>
          <t>INV/2026/04474</t>
        </is>
      </c>
      <c r="F2239" t="inlineStr">
        <is>
          <t>Customer payment INV/2026/04474</t>
        </is>
      </c>
      <c r="G2239" s="9" t="n">
        <v>95</v>
      </c>
      <c r="H2239" t="inlineStr">
        <is>
          <t>customer_payment</t>
        </is>
      </c>
      <c r="I2239" t="inlineStr"/>
      <c r="J2239" t="inlineStr">
        <is>
          <t>G00043</t>
        </is>
      </c>
      <c r="K2239" t="str">
        <f>INDEX('Match Groups'!$D$5:$D$1326,MATCH(J2239,'Match Groups'!$A$5:$A$1326,0))</f>
        <v>STRIPE-FEE</v>
      </c>
    </row>
    <row r="2240">
      <c r="A2240" t="inlineStr">
        <is>
          <t>JI-02629</t>
        </is>
      </c>
      <c r="B2240" t="inlineStr">
        <is>
          <t>OPS</t>
        </is>
      </c>
      <c r="C2240" s="5" t="n">
        <v>46242</v>
      </c>
      <c r="D2240" t="inlineStr">
        <is>
          <t>Stripe patient 70060</t>
        </is>
      </c>
      <c r="E2240" t="inlineStr">
        <is>
          <t>INV/2026/04475</t>
        </is>
      </c>
      <c r="F2240" t="inlineStr">
        <is>
          <t>Customer payment INV/2026/04475</t>
        </is>
      </c>
      <c r="G2240" s="9" t="n">
        <v>95</v>
      </c>
      <c r="H2240" t="inlineStr">
        <is>
          <t>customer_payment</t>
        </is>
      </c>
      <c r="I2240" t="inlineStr"/>
      <c r="J2240" t="inlineStr">
        <is>
          <t>G00043</t>
        </is>
      </c>
      <c r="K2240" t="str">
        <f>INDEX('Match Groups'!$D$5:$D$1326,MATCH(J2240,'Match Groups'!$A$5:$A$1326,0))</f>
        <v>STRIPE-FEE</v>
      </c>
    </row>
    <row r="2241">
      <c r="A2241" t="inlineStr">
        <is>
          <t>JI-02630</t>
        </is>
      </c>
      <c r="B2241" t="inlineStr">
        <is>
          <t>OPS</t>
        </is>
      </c>
      <c r="C2241" s="5" t="n">
        <v>46242</v>
      </c>
      <c r="D2241" t="inlineStr">
        <is>
          <t>Stripe patient 71505</t>
        </is>
      </c>
      <c r="E2241" t="inlineStr">
        <is>
          <t>INV/2026/04476</t>
        </is>
      </c>
      <c r="F2241" t="inlineStr">
        <is>
          <t>Customer payment INV/2026/04476</t>
        </is>
      </c>
      <c r="G2241" s="9" t="n">
        <v>150</v>
      </c>
      <c r="H2241" t="inlineStr">
        <is>
          <t>customer_payment</t>
        </is>
      </c>
      <c r="I2241" t="inlineStr"/>
      <c r="J2241" t="inlineStr">
        <is>
          <t>G00043</t>
        </is>
      </c>
      <c r="K2241" t="str">
        <f>INDEX('Match Groups'!$D$5:$D$1326,MATCH(J2241,'Match Groups'!$A$5:$A$1326,0))</f>
        <v>STRIPE-FEE</v>
      </c>
    </row>
    <row r="2242">
      <c r="A2242" t="inlineStr">
        <is>
          <t>JI-02631</t>
        </is>
      </c>
      <c r="B2242" t="inlineStr">
        <is>
          <t>OPS</t>
        </is>
      </c>
      <c r="C2242" s="5" t="n">
        <v>46242</v>
      </c>
      <c r="D2242" t="inlineStr">
        <is>
          <t>Stripe patient 23240</t>
        </is>
      </c>
      <c r="E2242" t="inlineStr">
        <is>
          <t>INV/2026/04477</t>
        </is>
      </c>
      <c r="F2242" t="inlineStr">
        <is>
          <t>Customer payment INV/2026/04477</t>
        </is>
      </c>
      <c r="G2242" s="9" t="n">
        <v>120</v>
      </c>
      <c r="H2242" t="inlineStr">
        <is>
          <t>customer_payment</t>
        </is>
      </c>
      <c r="I2242" t="inlineStr"/>
      <c r="J2242" t="inlineStr">
        <is>
          <t>G00043</t>
        </is>
      </c>
      <c r="K2242" t="str">
        <f>INDEX('Match Groups'!$D$5:$D$1326,MATCH(J2242,'Match Groups'!$A$5:$A$1326,0))</f>
        <v>STRIPE-FEE</v>
      </c>
    </row>
    <row r="2243">
      <c r="A2243" t="inlineStr">
        <is>
          <t>JI-02632</t>
        </is>
      </c>
      <c r="B2243" t="inlineStr">
        <is>
          <t>OPS</t>
        </is>
      </c>
      <c r="C2243" s="5" t="n">
        <v>46242</v>
      </c>
      <c r="D2243" t="inlineStr">
        <is>
          <t>Stripe patient 30766</t>
        </is>
      </c>
      <c r="E2243" t="inlineStr">
        <is>
          <t>INV/2026/04478</t>
        </is>
      </c>
      <c r="F2243" t="inlineStr">
        <is>
          <t>Customer payment INV/2026/04478</t>
        </is>
      </c>
      <c r="G2243" s="9" t="n">
        <v>150</v>
      </c>
      <c r="H2243" t="inlineStr">
        <is>
          <t>customer_payment</t>
        </is>
      </c>
      <c r="I2243" t="inlineStr"/>
      <c r="J2243" t="inlineStr">
        <is>
          <t>G00043</t>
        </is>
      </c>
      <c r="K2243" t="str">
        <f>INDEX('Match Groups'!$D$5:$D$1326,MATCH(J2243,'Match Groups'!$A$5:$A$1326,0))</f>
        <v>STRIPE-FEE</v>
      </c>
    </row>
    <row r="2244">
      <c r="A2244" t="inlineStr">
        <is>
          <t>JI-02633</t>
        </is>
      </c>
      <c r="B2244" t="inlineStr">
        <is>
          <t>OPS</t>
        </is>
      </c>
      <c r="C2244" s="5" t="n">
        <v>46242</v>
      </c>
      <c r="D2244" t="inlineStr">
        <is>
          <t>Stripe patient 72208</t>
        </is>
      </c>
      <c r="E2244" t="inlineStr">
        <is>
          <t>INV/2026/04479</t>
        </is>
      </c>
      <c r="F2244" t="inlineStr">
        <is>
          <t>Customer payment INV/2026/04479</t>
        </is>
      </c>
      <c r="G2244" s="9" t="n">
        <v>110</v>
      </c>
      <c r="H2244" t="inlineStr">
        <is>
          <t>customer_payment</t>
        </is>
      </c>
      <c r="I2244" t="inlineStr"/>
      <c r="J2244" t="inlineStr">
        <is>
          <t>G00043</t>
        </is>
      </c>
      <c r="K2244" t="str">
        <f>INDEX('Match Groups'!$D$5:$D$1326,MATCH(J2244,'Match Groups'!$A$5:$A$1326,0))</f>
        <v>STRIPE-FEE</v>
      </c>
    </row>
    <row r="2245">
      <c r="A2245" t="inlineStr">
        <is>
          <t>JI-01692</t>
        </is>
      </c>
      <c r="B2245" t="inlineStr">
        <is>
          <t>OPS</t>
        </is>
      </c>
      <c r="C2245" s="5" t="n">
        <v>46243</v>
      </c>
      <c r="D2245" t="inlineStr">
        <is>
          <t>Copperleaf Childcare</t>
        </is>
      </c>
      <c r="E2245" t="inlineStr">
        <is>
          <t>INV/2026/03430</t>
        </is>
      </c>
      <c r="F2245" t="inlineStr">
        <is>
          <t>Customer payment INV/2026/03430</t>
        </is>
      </c>
      <c r="G2245" s="9" t="n">
        <v>10807.5</v>
      </c>
      <c r="H2245" t="inlineStr">
        <is>
          <t>customer_payment</t>
        </is>
      </c>
      <c r="I2245" t="inlineStr"/>
      <c r="J2245" t="inlineStr">
        <is>
          <t>G01138</t>
        </is>
      </c>
      <c r="K2245" t="str">
        <f>INDEX('Match Groups'!$D$5:$D$1326,MATCH(J2245,'Match Groups'!$A$5:$A$1326,0))</f>
        <v>MATCH</v>
      </c>
    </row>
    <row r="2246">
      <c r="A2246" t="inlineStr">
        <is>
          <t>JI-01693</t>
        </is>
      </c>
      <c r="B2246" t="inlineStr">
        <is>
          <t>OPS</t>
        </is>
      </c>
      <c r="C2246" s="5" t="n">
        <v>46243</v>
      </c>
      <c r="D2246" t="inlineStr">
        <is>
          <t>Copperleaf Childcare</t>
        </is>
      </c>
      <c r="E2246" t="inlineStr">
        <is>
          <t>INV/2026/03481</t>
        </is>
      </c>
      <c r="F2246" t="inlineStr">
        <is>
          <t>Customer payment INV/2026/03481</t>
        </is>
      </c>
      <c r="G2246" s="9" t="n">
        <v>5280</v>
      </c>
      <c r="H2246" t="inlineStr">
        <is>
          <t>customer_payment</t>
        </is>
      </c>
      <c r="I2246" t="inlineStr"/>
      <c r="J2246" t="inlineStr">
        <is>
          <t>G01138</t>
        </is>
      </c>
      <c r="K2246" t="str">
        <f>INDEX('Match Groups'!$D$5:$D$1326,MATCH(J2246,'Match Groups'!$A$5:$A$1326,0))</f>
        <v>MATCH</v>
      </c>
    </row>
    <row r="2247">
      <c r="A2247" t="inlineStr">
        <is>
          <t>JI-00823</t>
        </is>
      </c>
      <c r="B2247" t="inlineStr">
        <is>
          <t>OPS</t>
        </is>
      </c>
      <c r="C2247" s="5" t="n">
        <v>46244</v>
      </c>
      <c r="D2247" t="inlineStr">
        <is>
          <t>Riverbend Plan Partners</t>
        </is>
      </c>
      <c r="E2247" t="inlineStr">
        <is>
          <t>INV/2026/02443</t>
        </is>
      </c>
      <c r="F2247" t="inlineStr">
        <is>
          <t>Customer payment INV/2026/02443</t>
        </is>
      </c>
      <c r="G2247" s="9" t="n">
        <v>300.69</v>
      </c>
      <c r="H2247" t="inlineStr">
        <is>
          <t>customer_payment</t>
        </is>
      </c>
      <c r="I2247" t="inlineStr"/>
      <c r="J2247" t="inlineStr">
        <is>
          <t>G00274</t>
        </is>
      </c>
      <c r="K2247" t="str">
        <f>INDEX('Match Groups'!$D$5:$D$1326,MATCH(J2247,'Match Groups'!$A$5:$A$1326,0))</f>
        <v>MATCH</v>
      </c>
    </row>
    <row r="2248">
      <c r="A2248" t="inlineStr">
        <is>
          <t>JI-00824</t>
        </is>
      </c>
      <c r="B2248" t="inlineStr">
        <is>
          <t>OPS</t>
        </is>
      </c>
      <c r="C2248" s="5" t="n">
        <v>46244</v>
      </c>
      <c r="D2248" t="inlineStr">
        <is>
          <t>Riverbend Plan Partners</t>
        </is>
      </c>
      <c r="E2248" t="inlineStr">
        <is>
          <t>INV/2026/02463</t>
        </is>
      </c>
      <c r="F2248" t="inlineStr">
        <is>
          <t>Customer payment INV/2026/02463</t>
        </is>
      </c>
      <c r="G2248" s="9" t="n">
        <v>272.49</v>
      </c>
      <c r="H2248" t="inlineStr">
        <is>
          <t>customer_payment</t>
        </is>
      </c>
      <c r="I2248" t="inlineStr"/>
      <c r="J2248" t="inlineStr">
        <is>
          <t>G00274</t>
        </is>
      </c>
      <c r="K2248" t="str">
        <f>INDEX('Match Groups'!$D$5:$D$1326,MATCH(J2248,'Match Groups'!$A$5:$A$1326,0))</f>
        <v>MATCH</v>
      </c>
    </row>
    <row r="2249">
      <c r="A2249" t="inlineStr">
        <is>
          <t>JI-00825</t>
        </is>
      </c>
      <c r="B2249" t="inlineStr">
        <is>
          <t>OPS</t>
        </is>
      </c>
      <c r="C2249" s="5" t="n">
        <v>46244</v>
      </c>
      <c r="D2249" t="inlineStr">
        <is>
          <t>Riverbend Plan Partners</t>
        </is>
      </c>
      <c r="E2249" t="inlineStr">
        <is>
          <t>INV/2026/02465</t>
        </is>
      </c>
      <c r="F2249" t="inlineStr">
        <is>
          <t>Customer payment INV/2026/02465</t>
        </is>
      </c>
      <c r="G2249" s="9" t="n">
        <v>193.99</v>
      </c>
      <c r="H2249" t="inlineStr">
        <is>
          <t>customer_payment</t>
        </is>
      </c>
      <c r="I2249" t="inlineStr"/>
      <c r="J2249" t="inlineStr">
        <is>
          <t>G00274</t>
        </is>
      </c>
      <c r="K2249" t="str">
        <f>INDEX('Match Groups'!$D$5:$D$1326,MATCH(J2249,'Match Groups'!$A$5:$A$1326,0))</f>
        <v>MATCH</v>
      </c>
    </row>
    <row r="2250">
      <c r="A2250" t="inlineStr">
        <is>
          <t>JI-00826</t>
        </is>
      </c>
      <c r="B2250" t="inlineStr">
        <is>
          <t>OPS</t>
        </is>
      </c>
      <c r="C2250" s="5" t="n">
        <v>46244</v>
      </c>
      <c r="D2250" t="inlineStr">
        <is>
          <t>Clearpath NDIS Plans</t>
        </is>
      </c>
      <c r="E2250" t="inlineStr">
        <is>
          <t>INV/2026/02444</t>
        </is>
      </c>
      <c r="F2250" t="inlineStr">
        <is>
          <t>Customer payment INV/2026/02444</t>
        </is>
      </c>
      <c r="G2250" s="9" t="n">
        <v>126.99</v>
      </c>
      <c r="H2250" t="inlineStr">
        <is>
          <t>customer_payment</t>
        </is>
      </c>
      <c r="I2250" t="inlineStr"/>
      <c r="J2250" t="inlineStr">
        <is>
          <t>G00275</t>
        </is>
      </c>
      <c r="K2250" t="str">
        <f>INDEX('Match Groups'!$D$5:$D$1326,MATCH(J2250,'Match Groups'!$A$5:$A$1326,0))</f>
        <v>MATCH</v>
      </c>
    </row>
    <row r="2251">
      <c r="A2251" t="inlineStr">
        <is>
          <t>JI-00827</t>
        </is>
      </c>
      <c r="B2251" t="inlineStr">
        <is>
          <t>OPS</t>
        </is>
      </c>
      <c r="C2251" s="5" t="n">
        <v>46244</v>
      </c>
      <c r="D2251" t="inlineStr">
        <is>
          <t>Clearpath NDIS Plans</t>
        </is>
      </c>
      <c r="E2251" t="inlineStr">
        <is>
          <t>INV/2026/02466</t>
        </is>
      </c>
      <c r="F2251" t="inlineStr">
        <is>
          <t>Customer payment INV/2026/02466</t>
        </is>
      </c>
      <c r="G2251" s="9" t="n">
        <v>175.49</v>
      </c>
      <c r="H2251" t="inlineStr">
        <is>
          <t>customer_payment</t>
        </is>
      </c>
      <c r="I2251" t="inlineStr"/>
      <c r="J2251" t="inlineStr">
        <is>
          <t>G00275</t>
        </is>
      </c>
      <c r="K2251" t="str">
        <f>INDEX('Match Groups'!$D$5:$D$1326,MATCH(J2251,'Match Groups'!$A$5:$A$1326,0))</f>
        <v>MATCH</v>
      </c>
    </row>
    <row r="2252">
      <c r="A2252" t="inlineStr">
        <is>
          <t>JI-00828</t>
        </is>
      </c>
      <c r="B2252" t="inlineStr">
        <is>
          <t>OPS</t>
        </is>
      </c>
      <c r="C2252" s="5" t="n">
        <v>46244</v>
      </c>
      <c r="D2252" t="inlineStr">
        <is>
          <t>Clearpath NDIS Plans</t>
        </is>
      </c>
      <c r="E2252" t="inlineStr">
        <is>
          <t>INV/2026/02493</t>
        </is>
      </c>
      <c r="F2252" t="inlineStr">
        <is>
          <t>Customer payment INV/2026/02493</t>
        </is>
      </c>
      <c r="G2252" s="9" t="n">
        <v>223.99</v>
      </c>
      <c r="H2252" t="inlineStr">
        <is>
          <t>customer_payment</t>
        </is>
      </c>
      <c r="I2252" t="inlineStr"/>
      <c r="J2252" t="inlineStr">
        <is>
          <t>G00275</t>
        </is>
      </c>
      <c r="K2252" t="str">
        <f>INDEX('Match Groups'!$D$5:$D$1326,MATCH(J2252,'Match Groups'!$A$5:$A$1326,0))</f>
        <v>MATCH</v>
      </c>
    </row>
    <row r="2253">
      <c r="A2253" t="inlineStr">
        <is>
          <t>JI-00829</t>
        </is>
      </c>
      <c r="B2253" t="inlineStr">
        <is>
          <t>OPS</t>
        </is>
      </c>
      <c r="C2253" s="5" t="n">
        <v>46244</v>
      </c>
      <c r="D2253" t="inlineStr">
        <is>
          <t>Clearpath NDIS Plans</t>
        </is>
      </c>
      <c r="E2253" t="inlineStr">
        <is>
          <t>INV/2026/02514</t>
        </is>
      </c>
      <c r="F2253" t="inlineStr">
        <is>
          <t>Customer payment INV/2026/02514</t>
        </is>
      </c>
      <c r="G2253" s="9" t="n">
        <v>349.18</v>
      </c>
      <c r="H2253" t="inlineStr">
        <is>
          <t>customer_payment</t>
        </is>
      </c>
      <c r="I2253" t="inlineStr"/>
      <c r="J2253" t="inlineStr">
        <is>
          <t>G00275</t>
        </is>
      </c>
      <c r="K2253" t="str">
        <f>INDEX('Match Groups'!$D$5:$D$1326,MATCH(J2253,'Match Groups'!$A$5:$A$1326,0))</f>
        <v>MATCH</v>
      </c>
    </row>
    <row r="2254">
      <c r="A2254" t="inlineStr">
        <is>
          <t>JI-00830</t>
        </is>
      </c>
      <c r="B2254" t="inlineStr">
        <is>
          <t>OPS</t>
        </is>
      </c>
      <c r="C2254" s="5" t="n">
        <v>46244</v>
      </c>
      <c r="D2254" t="inlineStr">
        <is>
          <t>Kookaburra Plan Support</t>
        </is>
      </c>
      <c r="E2254" t="inlineStr">
        <is>
          <t>INV/2026/02400</t>
        </is>
      </c>
      <c r="F2254" t="inlineStr">
        <is>
          <t>Customer payment INV/2026/02400</t>
        </is>
      </c>
      <c r="G2254" s="9" t="n">
        <v>417.98</v>
      </c>
      <c r="H2254" t="inlineStr">
        <is>
          <t>customer_payment</t>
        </is>
      </c>
      <c r="I2254" t="inlineStr"/>
      <c r="J2254" t="inlineStr">
        <is>
          <t>G00277</t>
        </is>
      </c>
      <c r="K2254" t="str">
        <f>INDEX('Match Groups'!$D$5:$D$1326,MATCH(J2254,'Match Groups'!$A$5:$A$1326,0))</f>
        <v>MATCH</v>
      </c>
    </row>
    <row r="2255">
      <c r="A2255" t="inlineStr">
        <is>
          <t>JI-00831</t>
        </is>
      </c>
      <c r="B2255" t="inlineStr">
        <is>
          <t>OPS</t>
        </is>
      </c>
      <c r="C2255" s="5" t="n">
        <v>46244</v>
      </c>
      <c r="D2255" t="inlineStr">
        <is>
          <t>Kookaburra Plan Support</t>
        </is>
      </c>
      <c r="E2255" t="inlineStr">
        <is>
          <t>INV/2026/02451</t>
        </is>
      </c>
      <c r="F2255" t="inlineStr">
        <is>
          <t>Customer payment INV/2026/02451</t>
        </is>
      </c>
      <c r="G2255" s="9" t="n">
        <v>387.98</v>
      </c>
      <c r="H2255" t="inlineStr">
        <is>
          <t>customer_payment</t>
        </is>
      </c>
      <c r="I2255" t="inlineStr"/>
      <c r="J2255" t="inlineStr">
        <is>
          <t>G00277</t>
        </is>
      </c>
      <c r="K2255" t="str">
        <f>INDEX('Match Groups'!$D$5:$D$1326,MATCH(J2255,'Match Groups'!$A$5:$A$1326,0))</f>
        <v>MATCH</v>
      </c>
    </row>
    <row r="2256">
      <c r="A2256" t="inlineStr">
        <is>
          <t>JI-00832</t>
        </is>
      </c>
      <c r="B2256" t="inlineStr">
        <is>
          <t>OPS</t>
        </is>
      </c>
      <c r="C2256" s="5" t="n">
        <v>46244</v>
      </c>
      <c r="D2256" t="inlineStr">
        <is>
          <t>Kookaburra Plan Support</t>
        </is>
      </c>
      <c r="E2256" t="inlineStr">
        <is>
          <t>INV/2026/02474</t>
        </is>
      </c>
      <c r="F2256" t="inlineStr">
        <is>
          <t>Customer payment INV/2026/02474</t>
        </is>
      </c>
      <c r="G2256" s="9" t="n">
        <v>96.98999999999999</v>
      </c>
      <c r="H2256" t="inlineStr">
        <is>
          <t>customer_payment</t>
        </is>
      </c>
      <c r="I2256" t="inlineStr"/>
      <c r="J2256" t="inlineStr">
        <is>
          <t>G00277</t>
        </is>
      </c>
      <c r="K2256" t="str">
        <f>INDEX('Match Groups'!$D$5:$D$1326,MATCH(J2256,'Match Groups'!$A$5:$A$1326,0))</f>
        <v>MATCH</v>
      </c>
    </row>
    <row r="2257">
      <c r="A2257" t="inlineStr">
        <is>
          <t>JI-00833</t>
        </is>
      </c>
      <c r="B2257" t="inlineStr">
        <is>
          <t>OPS</t>
        </is>
      </c>
      <c r="C2257" s="5" t="n">
        <v>46244</v>
      </c>
      <c r="D2257" t="inlineStr">
        <is>
          <t>Kookaburra Plan Support</t>
        </is>
      </c>
      <c r="E2257" t="inlineStr">
        <is>
          <t>INV/2026/02475</t>
        </is>
      </c>
      <c r="F2257" t="inlineStr">
        <is>
          <t>Customer payment INV/2026/02475</t>
        </is>
      </c>
      <c r="G2257" s="9" t="n">
        <v>349.18</v>
      </c>
      <c r="H2257" t="inlineStr">
        <is>
          <t>customer_payment</t>
        </is>
      </c>
      <c r="I2257" t="inlineStr"/>
      <c r="J2257" t="inlineStr">
        <is>
          <t>G00277</t>
        </is>
      </c>
      <c r="K2257" t="str">
        <f>INDEX('Match Groups'!$D$5:$D$1326,MATCH(J2257,'Match Groups'!$A$5:$A$1326,0))</f>
        <v>MATCH</v>
      </c>
    </row>
    <row r="2258">
      <c r="A2258" t="inlineStr">
        <is>
          <t>JI-00834</t>
        </is>
      </c>
      <c r="B2258" t="inlineStr">
        <is>
          <t>OPS</t>
        </is>
      </c>
      <c r="C2258" s="5" t="n">
        <v>46244</v>
      </c>
      <c r="D2258" t="inlineStr">
        <is>
          <t>Kookaburra Plan Support</t>
        </is>
      </c>
      <c r="E2258" t="inlineStr">
        <is>
          <t>INV/2026/02498</t>
        </is>
      </c>
      <c r="F2258" t="inlineStr">
        <is>
          <t>Customer payment INV/2026/02498</t>
        </is>
      </c>
      <c r="G2258" s="9" t="n">
        <v>272.49</v>
      </c>
      <c r="H2258" t="inlineStr">
        <is>
          <t>customer_payment</t>
        </is>
      </c>
      <c r="I2258" t="inlineStr"/>
      <c r="J2258" t="inlineStr">
        <is>
          <t>G00277</t>
        </is>
      </c>
      <c r="K2258" t="str">
        <f>INDEX('Match Groups'!$D$5:$D$1326,MATCH(J2258,'Match Groups'!$A$5:$A$1326,0))</f>
        <v>MATCH</v>
      </c>
    </row>
    <row r="2259">
      <c r="A2259" t="inlineStr">
        <is>
          <t>JI-00835</t>
        </is>
      </c>
      <c r="B2259" t="inlineStr">
        <is>
          <t>OPS</t>
        </is>
      </c>
      <c r="C2259" s="5" t="n">
        <v>46244</v>
      </c>
      <c r="D2259" t="inlineStr">
        <is>
          <t>Kookaburra Plan Support</t>
        </is>
      </c>
      <c r="E2259" t="inlineStr">
        <is>
          <t>INV/2026/02522</t>
        </is>
      </c>
      <c r="F2259" t="inlineStr">
        <is>
          <t>Customer payment INV/2026/02522</t>
        </is>
      </c>
      <c r="G2259" s="9" t="n">
        <v>446.18</v>
      </c>
      <c r="H2259" t="inlineStr">
        <is>
          <t>customer_payment</t>
        </is>
      </c>
      <c r="I2259" t="inlineStr"/>
      <c r="J2259" t="inlineStr">
        <is>
          <t>G00277</t>
        </is>
      </c>
      <c r="K2259" t="str">
        <f>INDEX('Match Groups'!$D$5:$D$1326,MATCH(J2259,'Match Groups'!$A$5:$A$1326,0))</f>
        <v>MATCH</v>
      </c>
    </row>
    <row r="2260">
      <c r="A2260" t="inlineStr">
        <is>
          <t>JI-00836</t>
        </is>
      </c>
      <c r="B2260" t="inlineStr">
        <is>
          <t>OPS</t>
        </is>
      </c>
      <c r="C2260" s="5" t="n">
        <v>46244</v>
      </c>
      <c r="D2260" t="inlineStr">
        <is>
          <t>Saltbush Plan Managers</t>
        </is>
      </c>
      <c r="E2260" t="inlineStr">
        <is>
          <t>INV/2026/02403</t>
        </is>
      </c>
      <c r="F2260" t="inlineStr">
        <is>
          <t>Customer payment INV/2026/02403</t>
        </is>
      </c>
      <c r="G2260" s="9" t="n">
        <v>387.98</v>
      </c>
      <c r="H2260" t="inlineStr">
        <is>
          <t>customer_payment</t>
        </is>
      </c>
      <c r="I2260" t="inlineStr"/>
      <c r="J2260" t="inlineStr">
        <is>
          <t>G00278</t>
        </is>
      </c>
      <c r="K2260" t="str">
        <f>INDEX('Match Groups'!$D$5:$D$1326,MATCH(J2260,'Match Groups'!$A$5:$A$1326,0))</f>
        <v>MATCH</v>
      </c>
    </row>
    <row r="2261">
      <c r="A2261" t="inlineStr">
        <is>
          <t>JI-00837</t>
        </is>
      </c>
      <c r="B2261" t="inlineStr">
        <is>
          <t>OPS</t>
        </is>
      </c>
      <c r="C2261" s="5" t="n">
        <v>46244</v>
      </c>
      <c r="D2261" t="inlineStr">
        <is>
          <t>Saltbush Plan Managers</t>
        </is>
      </c>
      <c r="E2261" t="inlineStr">
        <is>
          <t>INV/2026/02476</t>
        </is>
      </c>
      <c r="F2261" t="inlineStr">
        <is>
          <t>Customer payment INV/2026/02476</t>
        </is>
      </c>
      <c r="G2261" s="9" t="n">
        <v>349.18</v>
      </c>
      <c r="H2261" t="inlineStr">
        <is>
          <t>customer_payment</t>
        </is>
      </c>
      <c r="I2261" t="inlineStr"/>
      <c r="J2261" t="inlineStr">
        <is>
          <t>G00278</t>
        </is>
      </c>
      <c r="K2261" t="str">
        <f>INDEX('Match Groups'!$D$5:$D$1326,MATCH(J2261,'Match Groups'!$A$5:$A$1326,0))</f>
        <v>MATCH</v>
      </c>
    </row>
    <row r="2262">
      <c r="A2262" t="inlineStr">
        <is>
          <t>JI-00838</t>
        </is>
      </c>
      <c r="B2262" t="inlineStr">
        <is>
          <t>OPS</t>
        </is>
      </c>
      <c r="C2262" s="5" t="n">
        <v>46244</v>
      </c>
      <c r="D2262" t="inlineStr">
        <is>
          <t>Saltbush Plan Managers</t>
        </is>
      </c>
      <c r="E2262" t="inlineStr">
        <is>
          <t>INV/2026/02477</t>
        </is>
      </c>
      <c r="F2262" t="inlineStr">
        <is>
          <t>Customer payment INV/2026/02477</t>
        </is>
      </c>
      <c r="G2262" s="9" t="n">
        <v>387.98</v>
      </c>
      <c r="H2262" t="inlineStr">
        <is>
          <t>customer_payment</t>
        </is>
      </c>
      <c r="I2262" t="inlineStr"/>
      <c r="J2262" t="inlineStr">
        <is>
          <t>G00278</t>
        </is>
      </c>
      <c r="K2262" t="str">
        <f>INDEX('Match Groups'!$D$5:$D$1326,MATCH(J2262,'Match Groups'!$A$5:$A$1326,0))</f>
        <v>MATCH</v>
      </c>
    </row>
    <row r="2263">
      <c r="A2263" t="inlineStr">
        <is>
          <t>JI-00839</t>
        </is>
      </c>
      <c r="B2263" t="inlineStr">
        <is>
          <t>OPS</t>
        </is>
      </c>
      <c r="C2263" s="5" t="n">
        <v>46244</v>
      </c>
      <c r="D2263" t="inlineStr">
        <is>
          <t>Saltbush Plan Managers</t>
        </is>
      </c>
      <c r="E2263" t="inlineStr">
        <is>
          <t>INV/2026/02478</t>
        </is>
      </c>
      <c r="F2263" t="inlineStr">
        <is>
          <t>Customer payment INV/2026/02478</t>
        </is>
      </c>
      <c r="G2263" s="9" t="n">
        <v>175.49</v>
      </c>
      <c r="H2263" t="inlineStr">
        <is>
          <t>customer_payment</t>
        </is>
      </c>
      <c r="I2263" t="inlineStr"/>
      <c r="J2263" t="inlineStr">
        <is>
          <t>G00278</t>
        </is>
      </c>
      <c r="K2263" t="str">
        <f>INDEX('Match Groups'!$D$5:$D$1326,MATCH(J2263,'Match Groups'!$A$5:$A$1326,0))</f>
        <v>MATCH</v>
      </c>
    </row>
    <row r="2264">
      <c r="A2264" t="inlineStr">
        <is>
          <t>JI-00840</t>
        </is>
      </c>
      <c r="B2264" t="inlineStr">
        <is>
          <t>OPS</t>
        </is>
      </c>
      <c r="C2264" s="5" t="n">
        <v>46244</v>
      </c>
      <c r="D2264" t="inlineStr">
        <is>
          <t>Redgum Plan Admin</t>
        </is>
      </c>
      <c r="E2264" t="inlineStr">
        <is>
          <t>INV/2026/02382</t>
        </is>
      </c>
      <c r="F2264" t="inlineStr">
        <is>
          <t>Customer payment INV/2026/02382</t>
        </is>
      </c>
      <c r="G2264" s="9" t="n">
        <v>145.49</v>
      </c>
      <c r="H2264" t="inlineStr">
        <is>
          <t>customer_payment</t>
        </is>
      </c>
      <c r="I2264" t="inlineStr"/>
      <c r="J2264" t="inlineStr">
        <is>
          <t>G00279</t>
        </is>
      </c>
      <c r="K2264" t="str">
        <f>INDEX('Match Groups'!$D$5:$D$1326,MATCH(J2264,'Match Groups'!$A$5:$A$1326,0))</f>
        <v>MATCH</v>
      </c>
    </row>
    <row r="2265">
      <c r="A2265" t="inlineStr">
        <is>
          <t>JI-00841</t>
        </is>
      </c>
      <c r="B2265" t="inlineStr">
        <is>
          <t>OPS</t>
        </is>
      </c>
      <c r="C2265" s="5" t="n">
        <v>46244</v>
      </c>
      <c r="D2265" t="inlineStr">
        <is>
          <t>Redgum Plan Admin</t>
        </is>
      </c>
      <c r="E2265" t="inlineStr">
        <is>
          <t>INV/2026/02452</t>
        </is>
      </c>
      <c r="F2265" t="inlineStr">
        <is>
          <t>Customer payment INV/2026/02452</t>
        </is>
      </c>
      <c r="G2265" s="9" t="n">
        <v>242.49</v>
      </c>
      <c r="H2265" t="inlineStr">
        <is>
          <t>customer_payment</t>
        </is>
      </c>
      <c r="I2265" t="inlineStr"/>
      <c r="J2265" t="inlineStr">
        <is>
          <t>G00279</t>
        </is>
      </c>
      <c r="K2265" t="str">
        <f>INDEX('Match Groups'!$D$5:$D$1326,MATCH(J2265,'Match Groups'!$A$5:$A$1326,0))</f>
        <v>MATCH</v>
      </c>
    </row>
    <row r="2266">
      <c r="A2266" t="inlineStr">
        <is>
          <t>JI-00842</t>
        </is>
      </c>
      <c r="B2266" t="inlineStr">
        <is>
          <t>OPS</t>
        </is>
      </c>
      <c r="C2266" s="5" t="n">
        <v>46244</v>
      </c>
      <c r="D2266" t="inlineStr">
        <is>
          <t>Redgum Plan Admin</t>
        </is>
      </c>
      <c r="E2266" t="inlineStr">
        <is>
          <t>INV/2026/02479</t>
        </is>
      </c>
      <c r="F2266" t="inlineStr">
        <is>
          <t>Customer payment INV/2026/02479</t>
        </is>
      </c>
      <c r="G2266" s="9" t="n">
        <v>320.98</v>
      </c>
      <c r="H2266" t="inlineStr">
        <is>
          <t>customer_payment</t>
        </is>
      </c>
      <c r="I2266" t="inlineStr"/>
      <c r="J2266" t="inlineStr">
        <is>
          <t>G00279</t>
        </is>
      </c>
      <c r="K2266" t="str">
        <f>INDEX('Match Groups'!$D$5:$D$1326,MATCH(J2266,'Match Groups'!$A$5:$A$1326,0))</f>
        <v>MATCH</v>
      </c>
    </row>
    <row r="2267">
      <c r="A2267" t="inlineStr">
        <is>
          <t>JI-00843</t>
        </is>
      </c>
      <c r="B2267" t="inlineStr">
        <is>
          <t>OPS</t>
        </is>
      </c>
      <c r="C2267" s="5" t="n">
        <v>46244</v>
      </c>
      <c r="D2267" t="inlineStr">
        <is>
          <t>Redgum Plan Admin</t>
        </is>
      </c>
      <c r="E2267" t="inlineStr">
        <is>
          <t>INV/2026/02480</t>
        </is>
      </c>
      <c r="F2267" t="inlineStr">
        <is>
          <t>Customer payment INV/2026/02480</t>
        </is>
      </c>
      <c r="G2267" s="9" t="n">
        <v>193.99</v>
      </c>
      <c r="H2267" t="inlineStr">
        <is>
          <t>customer_payment</t>
        </is>
      </c>
      <c r="I2267" t="inlineStr"/>
      <c r="J2267" t="inlineStr">
        <is>
          <t>G00279</t>
        </is>
      </c>
      <c r="K2267" t="str">
        <f>INDEX('Match Groups'!$D$5:$D$1326,MATCH(J2267,'Match Groups'!$A$5:$A$1326,0))</f>
        <v>MATCH</v>
      </c>
    </row>
    <row r="2268">
      <c r="A2268" t="inlineStr">
        <is>
          <t>JI-00844</t>
        </is>
      </c>
      <c r="B2268" t="inlineStr">
        <is>
          <t>OPS</t>
        </is>
      </c>
      <c r="C2268" s="5" t="n">
        <v>46244</v>
      </c>
      <c r="D2268" t="inlineStr">
        <is>
          <t>Redgum Plan Admin</t>
        </is>
      </c>
      <c r="E2268" t="inlineStr">
        <is>
          <t>INV/2026/02525</t>
        </is>
      </c>
      <c r="F2268" t="inlineStr">
        <is>
          <t>Customer payment INV/2026/02525</t>
        </is>
      </c>
      <c r="G2268" s="9" t="n">
        <v>193.99</v>
      </c>
      <c r="H2268" t="inlineStr">
        <is>
          <t>customer_payment</t>
        </is>
      </c>
      <c r="I2268" t="inlineStr"/>
      <c r="J2268" t="inlineStr">
        <is>
          <t>G00279</t>
        </is>
      </c>
      <c r="K2268" t="str">
        <f>INDEX('Match Groups'!$D$5:$D$1326,MATCH(J2268,'Match Groups'!$A$5:$A$1326,0))</f>
        <v>MATCH</v>
      </c>
    </row>
    <row r="2269">
      <c r="A2269" t="inlineStr">
        <is>
          <t>JI-00845</t>
        </is>
      </c>
      <c r="B2269" t="inlineStr">
        <is>
          <t>OPS</t>
        </is>
      </c>
      <c r="C2269" s="5" t="n">
        <v>46244</v>
      </c>
      <c r="D2269" t="inlineStr">
        <is>
          <t>Acacia Plan Partners</t>
        </is>
      </c>
      <c r="E2269" t="inlineStr">
        <is>
          <t>INV/2026/02458</t>
        </is>
      </c>
      <c r="F2269" t="inlineStr">
        <is>
          <t>Customer payment INV/2026/02458</t>
        </is>
      </c>
      <c r="G2269" s="9" t="n">
        <v>126.99</v>
      </c>
      <c r="H2269" t="inlineStr">
        <is>
          <t>customer_payment</t>
        </is>
      </c>
      <c r="I2269" t="inlineStr"/>
      <c r="J2269" t="inlineStr">
        <is>
          <t>G00280</t>
        </is>
      </c>
      <c r="K2269" t="str">
        <f>INDEX('Match Groups'!$D$5:$D$1326,MATCH(J2269,'Match Groups'!$A$5:$A$1326,0))</f>
        <v>MATCH</v>
      </c>
    </row>
    <row r="2270">
      <c r="A2270" t="inlineStr">
        <is>
          <t>JI-00846</t>
        </is>
      </c>
      <c r="B2270" t="inlineStr">
        <is>
          <t>OPS</t>
        </is>
      </c>
      <c r="C2270" s="5" t="n">
        <v>46244</v>
      </c>
      <c r="D2270" t="inlineStr">
        <is>
          <t>Acacia Plan Partners</t>
        </is>
      </c>
      <c r="E2270" t="inlineStr">
        <is>
          <t>INV/2026/02486</t>
        </is>
      </c>
      <c r="F2270" t="inlineStr">
        <is>
          <t>Customer payment INV/2026/02486</t>
        </is>
      </c>
      <c r="G2270" s="9" t="n">
        <v>252.19</v>
      </c>
      <c r="H2270" t="inlineStr">
        <is>
          <t>customer_payment</t>
        </is>
      </c>
      <c r="I2270" t="inlineStr"/>
      <c r="J2270" t="inlineStr">
        <is>
          <t>G00280</t>
        </is>
      </c>
      <c r="K2270" t="str">
        <f>INDEX('Match Groups'!$D$5:$D$1326,MATCH(J2270,'Match Groups'!$A$5:$A$1326,0))</f>
        <v>MATCH</v>
      </c>
    </row>
    <row r="2271">
      <c r="A2271" t="inlineStr">
        <is>
          <t>JI-00847</t>
        </is>
      </c>
      <c r="B2271" t="inlineStr">
        <is>
          <t>OPS</t>
        </is>
      </c>
      <c r="C2271" s="5" t="n">
        <v>46244</v>
      </c>
      <c r="D2271" t="inlineStr">
        <is>
          <t>Acacia Plan Partners</t>
        </is>
      </c>
      <c r="E2271" t="inlineStr">
        <is>
          <t>INV/2026/02507</t>
        </is>
      </c>
      <c r="F2271" t="inlineStr">
        <is>
          <t>Customer payment INV/2026/02507</t>
        </is>
      </c>
      <c r="G2271" s="9" t="n">
        <v>155.19</v>
      </c>
      <c r="H2271" t="inlineStr">
        <is>
          <t>customer_payment</t>
        </is>
      </c>
      <c r="I2271" t="inlineStr"/>
      <c r="J2271" t="inlineStr">
        <is>
          <t>G00280</t>
        </is>
      </c>
      <c r="K2271" t="str">
        <f>INDEX('Match Groups'!$D$5:$D$1326,MATCH(J2271,'Match Groups'!$A$5:$A$1326,0))</f>
        <v>MATCH</v>
      </c>
    </row>
    <row r="2272">
      <c r="A2272" t="inlineStr">
        <is>
          <t>JI-01620</t>
        </is>
      </c>
      <c r="B2272" t="inlineStr">
        <is>
          <t>OPS</t>
        </is>
      </c>
      <c r="C2272" s="5" t="n">
        <v>46244</v>
      </c>
      <c r="D2272" t="inlineStr">
        <is>
          <t>Meridian Health Cover</t>
        </is>
      </c>
      <c r="E2272" t="inlineStr">
        <is>
          <t>INV/2026/02370</t>
        </is>
      </c>
      <c r="F2272" t="inlineStr">
        <is>
          <t>Customer payment INV/2026/02370</t>
        </is>
      </c>
      <c r="G2272" s="9" t="n">
        <v>264</v>
      </c>
      <c r="H2272" t="inlineStr">
        <is>
          <t>customer_payment</t>
        </is>
      </c>
      <c r="I2272" t="inlineStr"/>
      <c r="J2272" t="inlineStr">
        <is>
          <t>G00991</t>
        </is>
      </c>
      <c r="K2272" t="str">
        <f>INDEX('Match Groups'!$D$5:$D$1326,MATCH(J2272,'Match Groups'!$A$5:$A$1326,0))</f>
        <v>MATCH</v>
      </c>
    </row>
    <row r="2273">
      <c r="A2273" t="inlineStr">
        <is>
          <t>JI-01679</t>
        </is>
      </c>
      <c r="B2273" t="inlineStr">
        <is>
          <t>OPS</t>
        </is>
      </c>
      <c r="C2273" s="5" t="n">
        <v>46244</v>
      </c>
      <c r="D2273" t="inlineStr">
        <is>
          <t>Marlowe Print &amp; Pack</t>
        </is>
      </c>
      <c r="E2273" t="inlineStr">
        <is>
          <t>INV/2026/03476</t>
        </is>
      </c>
      <c r="F2273" t="inlineStr">
        <is>
          <t>Customer payment INV/2026/03476</t>
        </is>
      </c>
      <c r="G2273" s="9" t="n">
        <v>2791.25</v>
      </c>
      <c r="H2273" t="inlineStr">
        <is>
          <t>customer_payment</t>
        </is>
      </c>
      <c r="I2273" t="inlineStr"/>
      <c r="J2273" t="inlineStr">
        <is>
          <t>G01141</t>
        </is>
      </c>
      <c r="K2273" t="str">
        <f>INDEX('Match Groups'!$D$5:$D$1326,MATCH(J2273,'Match Groups'!$A$5:$A$1326,0))</f>
        <v>MATCH</v>
      </c>
    </row>
    <row r="2274">
      <c r="A2274" t="inlineStr">
        <is>
          <t>JI-01770</t>
        </is>
      </c>
      <c r="B2274" t="inlineStr">
        <is>
          <t>OPS</t>
        </is>
      </c>
      <c r="C2274" s="5" t="n">
        <v>46244</v>
      </c>
      <c r="D2274" t="inlineStr">
        <is>
          <t>Stanhope Trucking</t>
        </is>
      </c>
      <c r="E2274" t="inlineStr">
        <is>
          <t>INV/2026/03511</t>
        </is>
      </c>
      <c r="F2274" t="inlineStr">
        <is>
          <t>Customer payment INV/2026/03511</t>
        </is>
      </c>
      <c r="G2274" s="9" t="n">
        <v>1320</v>
      </c>
      <c r="H2274" t="inlineStr">
        <is>
          <t>customer_payment</t>
        </is>
      </c>
      <c r="I2274" t="inlineStr"/>
      <c r="J2274" t="inlineStr">
        <is>
          <t>G00993</t>
        </is>
      </c>
      <c r="K2274" t="str">
        <f>INDEX('Match Groups'!$D$5:$D$1326,MATCH(J2274,'Match Groups'!$A$5:$A$1326,0))</f>
        <v>MATCH</v>
      </c>
    </row>
    <row r="2275">
      <c r="A2275" t="inlineStr">
        <is>
          <t>JI-02634</t>
        </is>
      </c>
      <c r="B2275" t="inlineStr">
        <is>
          <t>OPS</t>
        </is>
      </c>
      <c r="C2275" s="5" t="n">
        <v>46244</v>
      </c>
      <c r="D2275" t="inlineStr">
        <is>
          <t>Stripe patient 37830</t>
        </is>
      </c>
      <c r="E2275" t="inlineStr">
        <is>
          <t>INV/2026/04480</t>
        </is>
      </c>
      <c r="F2275" t="inlineStr">
        <is>
          <t>Customer payment INV/2026/04480</t>
        </is>
      </c>
      <c r="G2275" s="9" t="n">
        <v>65</v>
      </c>
      <c r="H2275" t="inlineStr">
        <is>
          <t>customer_payment</t>
        </is>
      </c>
      <c r="I2275" t="inlineStr"/>
      <c r="J2275" t="inlineStr">
        <is>
          <t>G00044</t>
        </is>
      </c>
      <c r="K2275" t="str">
        <f>INDEX('Match Groups'!$D$5:$D$1326,MATCH(J2275,'Match Groups'!$A$5:$A$1326,0))</f>
        <v>STRIPE-FEE</v>
      </c>
    </row>
    <row r="2276">
      <c r="A2276" t="inlineStr">
        <is>
          <t>JI-02635</t>
        </is>
      </c>
      <c r="B2276" t="inlineStr">
        <is>
          <t>OPS</t>
        </is>
      </c>
      <c r="C2276" s="5" t="n">
        <v>46244</v>
      </c>
      <c r="D2276" t="inlineStr">
        <is>
          <t>Stripe patient 37936</t>
        </is>
      </c>
      <c r="E2276" t="inlineStr">
        <is>
          <t>INV/2026/04481</t>
        </is>
      </c>
      <c r="F2276" t="inlineStr">
        <is>
          <t>Customer payment INV/2026/04481</t>
        </is>
      </c>
      <c r="G2276" s="9" t="n">
        <v>95</v>
      </c>
      <c r="H2276" t="inlineStr">
        <is>
          <t>customer_payment</t>
        </is>
      </c>
      <c r="I2276" t="inlineStr"/>
      <c r="J2276" t="inlineStr">
        <is>
          <t>G00044</t>
        </is>
      </c>
      <c r="K2276" t="str">
        <f>INDEX('Match Groups'!$D$5:$D$1326,MATCH(J2276,'Match Groups'!$A$5:$A$1326,0))</f>
        <v>STRIPE-FEE</v>
      </c>
    </row>
    <row r="2277">
      <c r="A2277" t="inlineStr">
        <is>
          <t>JI-02636</t>
        </is>
      </c>
      <c r="B2277" t="inlineStr">
        <is>
          <t>OPS</t>
        </is>
      </c>
      <c r="C2277" s="5" t="n">
        <v>46244</v>
      </c>
      <c r="D2277" t="inlineStr">
        <is>
          <t>Stripe patient 35194</t>
        </is>
      </c>
      <c r="E2277" t="inlineStr">
        <is>
          <t>INV/2026/04482</t>
        </is>
      </c>
      <c r="F2277" t="inlineStr">
        <is>
          <t>Customer payment INV/2026/04482</t>
        </is>
      </c>
      <c r="G2277" s="9" t="n">
        <v>85</v>
      </c>
      <c r="H2277" t="inlineStr">
        <is>
          <t>customer_payment</t>
        </is>
      </c>
      <c r="I2277" t="inlineStr"/>
      <c r="J2277" t="inlineStr">
        <is>
          <t>G00044</t>
        </is>
      </c>
      <c r="K2277" t="str">
        <f>INDEX('Match Groups'!$D$5:$D$1326,MATCH(J2277,'Match Groups'!$A$5:$A$1326,0))</f>
        <v>STRIPE-FEE</v>
      </c>
    </row>
    <row r="2278">
      <c r="A2278" t="inlineStr">
        <is>
          <t>JI-02637</t>
        </is>
      </c>
      <c r="B2278" t="inlineStr">
        <is>
          <t>OPS</t>
        </is>
      </c>
      <c r="C2278" s="5" t="n">
        <v>46244</v>
      </c>
      <c r="D2278" t="inlineStr">
        <is>
          <t>Stripe patient 53043</t>
        </is>
      </c>
      <c r="E2278" t="inlineStr">
        <is>
          <t>INV/2026/04483</t>
        </is>
      </c>
      <c r="F2278" t="inlineStr">
        <is>
          <t>Customer payment INV/2026/04483</t>
        </is>
      </c>
      <c r="G2278" s="9" t="n">
        <v>150</v>
      </c>
      <c r="H2278" t="inlineStr">
        <is>
          <t>customer_payment</t>
        </is>
      </c>
      <c r="I2278" t="inlineStr"/>
      <c r="J2278" t="inlineStr">
        <is>
          <t>G00044</t>
        </is>
      </c>
      <c r="K2278" t="str">
        <f>INDEX('Match Groups'!$D$5:$D$1326,MATCH(J2278,'Match Groups'!$A$5:$A$1326,0))</f>
        <v>STRIPE-FEE</v>
      </c>
    </row>
    <row r="2279">
      <c r="A2279" t="inlineStr">
        <is>
          <t>JI-02638</t>
        </is>
      </c>
      <c r="B2279" t="inlineStr">
        <is>
          <t>OPS</t>
        </is>
      </c>
      <c r="C2279" s="5" t="n">
        <v>46244</v>
      </c>
      <c r="D2279" t="inlineStr">
        <is>
          <t>Stripe patient 98247</t>
        </is>
      </c>
      <c r="E2279" t="inlineStr">
        <is>
          <t>INV/2026/04484</t>
        </is>
      </c>
      <c r="F2279" t="inlineStr">
        <is>
          <t>Customer payment INV/2026/04484</t>
        </is>
      </c>
      <c r="G2279" s="9" t="n">
        <v>85</v>
      </c>
      <c r="H2279" t="inlineStr">
        <is>
          <t>customer_payment</t>
        </is>
      </c>
      <c r="I2279" t="inlineStr"/>
      <c r="J2279" t="inlineStr">
        <is>
          <t>G00044</t>
        </is>
      </c>
      <c r="K2279" t="str">
        <f>INDEX('Match Groups'!$D$5:$D$1326,MATCH(J2279,'Match Groups'!$A$5:$A$1326,0))</f>
        <v>STRIPE-FEE</v>
      </c>
    </row>
    <row r="2280">
      <c r="A2280" t="inlineStr">
        <is>
          <t>JI-02639</t>
        </is>
      </c>
      <c r="B2280" t="inlineStr">
        <is>
          <t>OPS</t>
        </is>
      </c>
      <c r="C2280" s="5" t="n">
        <v>46244</v>
      </c>
      <c r="D2280" t="inlineStr">
        <is>
          <t>Stripe patient 70535</t>
        </is>
      </c>
      <c r="E2280" t="inlineStr">
        <is>
          <t>INV/2026/04485</t>
        </is>
      </c>
      <c r="F2280" t="inlineStr">
        <is>
          <t>Customer payment INV/2026/04485</t>
        </is>
      </c>
      <c r="G2280" s="9" t="n">
        <v>110</v>
      </c>
      <c r="H2280" t="inlineStr">
        <is>
          <t>customer_payment</t>
        </is>
      </c>
      <c r="I2280" t="inlineStr"/>
      <c r="J2280" t="inlineStr">
        <is>
          <t>G00044</t>
        </is>
      </c>
      <c r="K2280" t="str">
        <f>INDEX('Match Groups'!$D$5:$D$1326,MATCH(J2280,'Match Groups'!$A$5:$A$1326,0))</f>
        <v>STRIPE-FEE</v>
      </c>
    </row>
    <row r="2281">
      <c r="A2281" t="inlineStr">
        <is>
          <t>JI-02640</t>
        </is>
      </c>
      <c r="B2281" t="inlineStr">
        <is>
          <t>OPS</t>
        </is>
      </c>
      <c r="C2281" s="5" t="n">
        <v>46244</v>
      </c>
      <c r="D2281" t="inlineStr">
        <is>
          <t>Stripe patient 82742</t>
        </is>
      </c>
      <c r="E2281" t="inlineStr">
        <is>
          <t>INV/2026/04486</t>
        </is>
      </c>
      <c r="F2281" t="inlineStr">
        <is>
          <t>Customer payment INV/2026/04486</t>
        </is>
      </c>
      <c r="G2281" s="9" t="n">
        <v>120</v>
      </c>
      <c r="H2281" t="inlineStr">
        <is>
          <t>customer_payment</t>
        </is>
      </c>
      <c r="I2281" t="inlineStr"/>
      <c r="J2281" t="inlineStr">
        <is>
          <t>G00044</t>
        </is>
      </c>
      <c r="K2281" t="str">
        <f>INDEX('Match Groups'!$D$5:$D$1326,MATCH(J2281,'Match Groups'!$A$5:$A$1326,0))</f>
        <v>STRIPE-FEE</v>
      </c>
    </row>
    <row r="2282">
      <c r="A2282" t="inlineStr">
        <is>
          <t>JI-02641</t>
        </is>
      </c>
      <c r="B2282" t="inlineStr">
        <is>
          <t>OPS</t>
        </is>
      </c>
      <c r="C2282" s="5" t="n">
        <v>46244</v>
      </c>
      <c r="D2282" t="inlineStr">
        <is>
          <t>Stripe patient 50879</t>
        </is>
      </c>
      <c r="E2282" t="inlineStr">
        <is>
          <t>INV/2026/04487</t>
        </is>
      </c>
      <c r="F2282" t="inlineStr">
        <is>
          <t>Customer payment INV/2026/04487</t>
        </is>
      </c>
      <c r="G2282" s="9" t="n">
        <v>85</v>
      </c>
      <c r="H2282" t="inlineStr">
        <is>
          <t>customer_payment</t>
        </is>
      </c>
      <c r="I2282" t="inlineStr"/>
      <c r="J2282" t="inlineStr">
        <is>
          <t>G00044</t>
        </is>
      </c>
      <c r="K2282" t="str">
        <f>INDEX('Match Groups'!$D$5:$D$1326,MATCH(J2282,'Match Groups'!$A$5:$A$1326,0))</f>
        <v>STRIPE-FEE</v>
      </c>
    </row>
    <row r="2283">
      <c r="A2283" t="inlineStr">
        <is>
          <t>JI-02642</t>
        </is>
      </c>
      <c r="B2283" t="inlineStr">
        <is>
          <t>OPS</t>
        </is>
      </c>
      <c r="C2283" s="5" t="n">
        <v>46244</v>
      </c>
      <c r="D2283" t="inlineStr">
        <is>
          <t>Stripe patient 50111</t>
        </is>
      </c>
      <c r="E2283" t="inlineStr">
        <is>
          <t>INV/2026/04488</t>
        </is>
      </c>
      <c r="F2283" t="inlineStr">
        <is>
          <t>Customer payment INV/2026/04488</t>
        </is>
      </c>
      <c r="G2283" s="9" t="n">
        <v>150</v>
      </c>
      <c r="H2283" t="inlineStr">
        <is>
          <t>customer_payment</t>
        </is>
      </c>
      <c r="I2283" t="inlineStr"/>
      <c r="J2283" t="inlineStr">
        <is>
          <t>G00044</t>
        </is>
      </c>
      <c r="K2283" t="str">
        <f>INDEX('Match Groups'!$D$5:$D$1326,MATCH(J2283,'Match Groups'!$A$5:$A$1326,0))</f>
        <v>STRIPE-FEE</v>
      </c>
    </row>
    <row r="2284">
      <c r="A2284" t="inlineStr">
        <is>
          <t>JI-02643</t>
        </is>
      </c>
      <c r="B2284" t="inlineStr">
        <is>
          <t>OPS</t>
        </is>
      </c>
      <c r="C2284" s="5" t="n">
        <v>46244</v>
      </c>
      <c r="D2284" t="inlineStr">
        <is>
          <t>Stripe patient 48812</t>
        </is>
      </c>
      <c r="E2284" t="inlineStr">
        <is>
          <t>INV/2026/04489</t>
        </is>
      </c>
      <c r="F2284" t="inlineStr">
        <is>
          <t>Customer payment INV/2026/04489</t>
        </is>
      </c>
      <c r="G2284" s="9" t="n">
        <v>135</v>
      </c>
      <c r="H2284" t="inlineStr">
        <is>
          <t>customer_payment</t>
        </is>
      </c>
      <c r="I2284" t="inlineStr"/>
      <c r="J2284" t="inlineStr">
        <is>
          <t>G00044</t>
        </is>
      </c>
      <c r="K2284" t="str">
        <f>INDEX('Match Groups'!$D$5:$D$1326,MATCH(J2284,'Match Groups'!$A$5:$A$1326,0))</f>
        <v>STRIPE-FEE</v>
      </c>
    </row>
    <row r="2285">
      <c r="A2285" t="inlineStr">
        <is>
          <t>JI-02644</t>
        </is>
      </c>
      <c r="B2285" t="inlineStr">
        <is>
          <t>OPS</t>
        </is>
      </c>
      <c r="C2285" s="5" t="n">
        <v>46244</v>
      </c>
      <c r="D2285" t="inlineStr">
        <is>
          <t>Stripe patient 26589</t>
        </is>
      </c>
      <c r="E2285" t="inlineStr">
        <is>
          <t>INV/2026/04490</t>
        </is>
      </c>
      <c r="F2285" t="inlineStr">
        <is>
          <t>Customer payment INV/2026/04490</t>
        </is>
      </c>
      <c r="G2285" s="9" t="n">
        <v>65</v>
      </c>
      <c r="H2285" t="inlineStr">
        <is>
          <t>customer_payment</t>
        </is>
      </c>
      <c r="I2285" t="inlineStr"/>
      <c r="J2285" t="inlineStr">
        <is>
          <t>G00044</t>
        </is>
      </c>
      <c r="K2285" t="str">
        <f>INDEX('Match Groups'!$D$5:$D$1326,MATCH(J2285,'Match Groups'!$A$5:$A$1326,0))</f>
        <v>STRIPE-FEE</v>
      </c>
    </row>
    <row r="2286">
      <c r="A2286" t="inlineStr">
        <is>
          <t>JI-02645</t>
        </is>
      </c>
      <c r="B2286" t="inlineStr">
        <is>
          <t>OPS</t>
        </is>
      </c>
      <c r="C2286" s="5" t="n">
        <v>46244</v>
      </c>
      <c r="D2286" t="inlineStr">
        <is>
          <t>Stripe patient 92336</t>
        </is>
      </c>
      <c r="E2286" t="inlineStr">
        <is>
          <t>INV/2026/04491</t>
        </is>
      </c>
      <c r="F2286" t="inlineStr">
        <is>
          <t>Customer payment INV/2026/04491</t>
        </is>
      </c>
      <c r="G2286" s="9" t="n">
        <v>150</v>
      </c>
      <c r="H2286" t="inlineStr">
        <is>
          <t>customer_payment</t>
        </is>
      </c>
      <c r="I2286" t="inlineStr"/>
      <c r="J2286" t="inlineStr">
        <is>
          <t>G00044</t>
        </is>
      </c>
      <c r="K2286" t="str">
        <f>INDEX('Match Groups'!$D$5:$D$1326,MATCH(J2286,'Match Groups'!$A$5:$A$1326,0))</f>
        <v>STRIPE-FEE</v>
      </c>
    </row>
    <row r="2287">
      <c r="A2287" t="inlineStr">
        <is>
          <t>JI-02646</t>
        </is>
      </c>
      <c r="B2287" t="inlineStr">
        <is>
          <t>OPS</t>
        </is>
      </c>
      <c r="C2287" s="5" t="n">
        <v>46244</v>
      </c>
      <c r="D2287" t="inlineStr">
        <is>
          <t>Stripe patient 62637</t>
        </is>
      </c>
      <c r="E2287" t="inlineStr">
        <is>
          <t>INV/2026/04492</t>
        </is>
      </c>
      <c r="F2287" t="inlineStr">
        <is>
          <t>Customer payment INV/2026/04492</t>
        </is>
      </c>
      <c r="G2287" s="9" t="n">
        <v>220</v>
      </c>
      <c r="H2287" t="inlineStr">
        <is>
          <t>customer_payment</t>
        </is>
      </c>
      <c r="I2287" t="inlineStr"/>
      <c r="J2287" t="inlineStr">
        <is>
          <t>G00044</t>
        </is>
      </c>
      <c r="K2287" t="str">
        <f>INDEX('Match Groups'!$D$5:$D$1326,MATCH(J2287,'Match Groups'!$A$5:$A$1326,0))</f>
        <v>STRIPE-FEE</v>
      </c>
    </row>
    <row r="2288">
      <c r="A2288" t="inlineStr">
        <is>
          <t>JI-02647</t>
        </is>
      </c>
      <c r="B2288" t="inlineStr">
        <is>
          <t>OPS</t>
        </is>
      </c>
      <c r="C2288" s="5" t="n">
        <v>46244</v>
      </c>
      <c r="D2288" t="inlineStr">
        <is>
          <t>Stripe patient 34294</t>
        </is>
      </c>
      <c r="E2288" t="inlineStr">
        <is>
          <t>INV/2026/04493</t>
        </is>
      </c>
      <c r="F2288" t="inlineStr">
        <is>
          <t>Customer payment INV/2026/04493</t>
        </is>
      </c>
      <c r="G2288" s="9" t="n">
        <v>150</v>
      </c>
      <c r="H2288" t="inlineStr">
        <is>
          <t>customer_payment</t>
        </is>
      </c>
      <c r="I2288" t="inlineStr"/>
      <c r="J2288" t="inlineStr">
        <is>
          <t>G00044</t>
        </is>
      </c>
      <c r="K2288" t="str">
        <f>INDEX('Match Groups'!$D$5:$D$1326,MATCH(J2288,'Match Groups'!$A$5:$A$1326,0))</f>
        <v>STRIPE-FEE</v>
      </c>
    </row>
    <row r="2289">
      <c r="A2289" t="inlineStr">
        <is>
          <t>JI-02648</t>
        </is>
      </c>
      <c r="B2289" t="inlineStr">
        <is>
          <t>OPS</t>
        </is>
      </c>
      <c r="C2289" s="5" t="n">
        <v>46244</v>
      </c>
      <c r="D2289" t="inlineStr">
        <is>
          <t>Stripe patient 88946</t>
        </is>
      </c>
      <c r="E2289" t="inlineStr">
        <is>
          <t>INV/2026/04494</t>
        </is>
      </c>
      <c r="F2289" t="inlineStr">
        <is>
          <t>Customer payment INV/2026/04494</t>
        </is>
      </c>
      <c r="G2289" s="9" t="n">
        <v>95</v>
      </c>
      <c r="H2289" t="inlineStr">
        <is>
          <t>customer_payment</t>
        </is>
      </c>
      <c r="I2289" t="inlineStr"/>
      <c r="J2289" t="inlineStr">
        <is>
          <t>G00044</t>
        </is>
      </c>
      <c r="K2289" t="str">
        <f>INDEX('Match Groups'!$D$5:$D$1326,MATCH(J2289,'Match Groups'!$A$5:$A$1326,0))</f>
        <v>STRIPE-FEE</v>
      </c>
    </row>
    <row r="2290">
      <c r="A2290" t="inlineStr">
        <is>
          <t>JI-02649</t>
        </is>
      </c>
      <c r="B2290" t="inlineStr">
        <is>
          <t>OPS</t>
        </is>
      </c>
      <c r="C2290" s="5" t="n">
        <v>46244</v>
      </c>
      <c r="D2290" t="inlineStr">
        <is>
          <t>Stripe patient 73446</t>
        </is>
      </c>
      <c r="E2290" t="inlineStr">
        <is>
          <t>INV/2026/04495</t>
        </is>
      </c>
      <c r="F2290" t="inlineStr">
        <is>
          <t>Customer payment INV/2026/04495</t>
        </is>
      </c>
      <c r="G2290" s="9" t="n">
        <v>65</v>
      </c>
      <c r="H2290" t="inlineStr">
        <is>
          <t>customer_payment</t>
        </is>
      </c>
      <c r="I2290" t="inlineStr"/>
      <c r="J2290" t="inlineStr">
        <is>
          <t>G00044</t>
        </is>
      </c>
      <c r="K2290" t="str">
        <f>INDEX('Match Groups'!$D$5:$D$1326,MATCH(J2290,'Match Groups'!$A$5:$A$1326,0))</f>
        <v>STRIPE-FEE</v>
      </c>
    </row>
    <row r="2291">
      <c r="A2291" t="inlineStr">
        <is>
          <t>JI-02650</t>
        </is>
      </c>
      <c r="B2291" t="inlineStr">
        <is>
          <t>OPS</t>
        </is>
      </c>
      <c r="C2291" s="5" t="n">
        <v>46244</v>
      </c>
      <c r="D2291" t="inlineStr">
        <is>
          <t>Stripe patient 52313</t>
        </is>
      </c>
      <c r="E2291" t="inlineStr">
        <is>
          <t>INV/2026/04496</t>
        </is>
      </c>
      <c r="F2291" t="inlineStr">
        <is>
          <t>Customer payment INV/2026/04496</t>
        </is>
      </c>
      <c r="G2291" s="9" t="n">
        <v>180</v>
      </c>
      <c r="H2291" t="inlineStr">
        <is>
          <t>customer_payment</t>
        </is>
      </c>
      <c r="I2291" t="inlineStr"/>
      <c r="J2291" t="inlineStr">
        <is>
          <t>G00044</t>
        </is>
      </c>
      <c r="K2291" t="str">
        <f>INDEX('Match Groups'!$D$5:$D$1326,MATCH(J2291,'Match Groups'!$A$5:$A$1326,0))</f>
        <v>STRIPE-FEE</v>
      </c>
    </row>
    <row r="2292">
      <c r="A2292" t="inlineStr">
        <is>
          <t>JI-02651</t>
        </is>
      </c>
      <c r="B2292" t="inlineStr">
        <is>
          <t>OPS</t>
        </is>
      </c>
      <c r="C2292" s="5" t="n">
        <v>46244</v>
      </c>
      <c r="D2292" t="inlineStr">
        <is>
          <t>Stripe patient 84466</t>
        </is>
      </c>
      <c r="E2292" t="inlineStr">
        <is>
          <t>INV/2026/04497</t>
        </is>
      </c>
      <c r="F2292" t="inlineStr">
        <is>
          <t>Customer payment INV/2026/04497</t>
        </is>
      </c>
      <c r="G2292" s="9" t="n">
        <v>180</v>
      </c>
      <c r="H2292" t="inlineStr">
        <is>
          <t>customer_payment</t>
        </is>
      </c>
      <c r="I2292" t="inlineStr"/>
      <c r="J2292" t="inlineStr">
        <is>
          <t>G00044</t>
        </is>
      </c>
      <c r="K2292" t="str">
        <f>INDEX('Match Groups'!$D$5:$D$1326,MATCH(J2292,'Match Groups'!$A$5:$A$1326,0))</f>
        <v>STRIPE-FEE</v>
      </c>
    </row>
    <row r="2293">
      <c r="A2293" t="inlineStr">
        <is>
          <t>JI-02652</t>
        </is>
      </c>
      <c r="B2293" t="inlineStr">
        <is>
          <t>OPS</t>
        </is>
      </c>
      <c r="C2293" s="5" t="n">
        <v>46244</v>
      </c>
      <c r="D2293" t="inlineStr">
        <is>
          <t>Stripe patient 98065</t>
        </is>
      </c>
      <c r="E2293" t="inlineStr">
        <is>
          <t>INV/2026/04498</t>
        </is>
      </c>
      <c r="F2293" t="inlineStr">
        <is>
          <t>Customer payment INV/2026/04498</t>
        </is>
      </c>
      <c r="G2293" s="9" t="n">
        <v>95</v>
      </c>
      <c r="H2293" t="inlineStr">
        <is>
          <t>customer_payment</t>
        </is>
      </c>
      <c r="I2293" t="inlineStr"/>
      <c r="J2293" t="inlineStr">
        <is>
          <t>G00044</t>
        </is>
      </c>
      <c r="K2293" t="str">
        <f>INDEX('Match Groups'!$D$5:$D$1326,MATCH(J2293,'Match Groups'!$A$5:$A$1326,0))</f>
        <v>STRIPE-FEE</v>
      </c>
    </row>
    <row r="2294">
      <c r="A2294" t="inlineStr">
        <is>
          <t>JI-02653</t>
        </is>
      </c>
      <c r="B2294" t="inlineStr">
        <is>
          <t>OPS</t>
        </is>
      </c>
      <c r="C2294" s="5" t="n">
        <v>46244</v>
      </c>
      <c r="D2294" t="inlineStr">
        <is>
          <t>Stripe patient 24970</t>
        </is>
      </c>
      <c r="E2294" t="inlineStr">
        <is>
          <t>INV/2026/04499</t>
        </is>
      </c>
      <c r="F2294" t="inlineStr">
        <is>
          <t>Customer payment INV/2026/04499</t>
        </is>
      </c>
      <c r="G2294" s="9" t="n">
        <v>65</v>
      </c>
      <c r="H2294" t="inlineStr">
        <is>
          <t>customer_payment</t>
        </is>
      </c>
      <c r="I2294" t="inlineStr"/>
      <c r="J2294" t="inlineStr">
        <is>
          <t>G00044</t>
        </is>
      </c>
      <c r="K2294" t="str">
        <f>INDEX('Match Groups'!$D$5:$D$1326,MATCH(J2294,'Match Groups'!$A$5:$A$1326,0))</f>
        <v>STRIPE-FEE</v>
      </c>
    </row>
    <row r="2295">
      <c r="A2295" t="inlineStr">
        <is>
          <t>JI-02654</t>
        </is>
      </c>
      <c r="B2295" t="inlineStr">
        <is>
          <t>OPS</t>
        </is>
      </c>
      <c r="C2295" s="5" t="n">
        <v>46244</v>
      </c>
      <c r="D2295" t="inlineStr">
        <is>
          <t>Stripe patient 36146</t>
        </is>
      </c>
      <c r="E2295" t="inlineStr">
        <is>
          <t>INV/2026/04500</t>
        </is>
      </c>
      <c r="F2295" t="inlineStr">
        <is>
          <t>Customer payment INV/2026/04500</t>
        </is>
      </c>
      <c r="G2295" s="9" t="n">
        <v>220</v>
      </c>
      <c r="H2295" t="inlineStr">
        <is>
          <t>customer_payment</t>
        </is>
      </c>
      <c r="I2295" t="inlineStr"/>
      <c r="J2295" t="inlineStr">
        <is>
          <t>G00044</t>
        </is>
      </c>
      <c r="K2295" t="str">
        <f>INDEX('Match Groups'!$D$5:$D$1326,MATCH(J2295,'Match Groups'!$A$5:$A$1326,0))</f>
        <v>STRIPE-FEE</v>
      </c>
    </row>
    <row r="2296">
      <c r="A2296" t="inlineStr">
        <is>
          <t>JI-02655</t>
        </is>
      </c>
      <c r="B2296" t="inlineStr">
        <is>
          <t>OPS</t>
        </is>
      </c>
      <c r="C2296" s="5" t="n">
        <v>46244</v>
      </c>
      <c r="D2296" t="inlineStr">
        <is>
          <t>Stripe patient 99799</t>
        </is>
      </c>
      <c r="E2296" t="inlineStr">
        <is>
          <t>INV/2026/04501</t>
        </is>
      </c>
      <c r="F2296" t="inlineStr">
        <is>
          <t>Customer payment INV/2026/04501</t>
        </is>
      </c>
      <c r="G2296" s="9" t="n">
        <v>65</v>
      </c>
      <c r="H2296" t="inlineStr">
        <is>
          <t>customer_payment</t>
        </is>
      </c>
      <c r="I2296" t="inlineStr"/>
      <c r="J2296" t="inlineStr">
        <is>
          <t>G00044</t>
        </is>
      </c>
      <c r="K2296" t="str">
        <f>INDEX('Match Groups'!$D$5:$D$1326,MATCH(J2296,'Match Groups'!$A$5:$A$1326,0))</f>
        <v>STRIPE-FEE</v>
      </c>
    </row>
    <row r="2297">
      <c r="A2297" t="inlineStr">
        <is>
          <t>JI-02656</t>
        </is>
      </c>
      <c r="B2297" t="inlineStr">
        <is>
          <t>OPS</t>
        </is>
      </c>
      <c r="C2297" s="5" t="n">
        <v>46244</v>
      </c>
      <c r="D2297" t="inlineStr">
        <is>
          <t>Stripe patient 27749</t>
        </is>
      </c>
      <c r="E2297" t="inlineStr">
        <is>
          <t>INV/2026/04502</t>
        </is>
      </c>
      <c r="F2297" t="inlineStr">
        <is>
          <t>Customer payment INV/2026/04502</t>
        </is>
      </c>
      <c r="G2297" s="9" t="n">
        <v>150</v>
      </c>
      <c r="H2297" t="inlineStr">
        <is>
          <t>customer_payment</t>
        </is>
      </c>
      <c r="I2297" t="inlineStr"/>
      <c r="J2297" t="inlineStr">
        <is>
          <t>G00044</t>
        </is>
      </c>
      <c r="K2297" t="str">
        <f>INDEX('Match Groups'!$D$5:$D$1326,MATCH(J2297,'Match Groups'!$A$5:$A$1326,0))</f>
        <v>STRIPE-FEE</v>
      </c>
    </row>
    <row r="2298">
      <c r="A2298" t="inlineStr">
        <is>
          <t>JI-02657</t>
        </is>
      </c>
      <c r="B2298" t="inlineStr">
        <is>
          <t>OPS</t>
        </is>
      </c>
      <c r="C2298" s="5" t="n">
        <v>46244</v>
      </c>
      <c r="D2298" t="inlineStr">
        <is>
          <t>Stripe patient 91256</t>
        </is>
      </c>
      <c r="E2298" t="inlineStr">
        <is>
          <t>INV/2026/04503</t>
        </is>
      </c>
      <c r="F2298" t="inlineStr">
        <is>
          <t>Customer payment INV/2026/04503</t>
        </is>
      </c>
      <c r="G2298" s="9" t="n">
        <v>85</v>
      </c>
      <c r="H2298" t="inlineStr">
        <is>
          <t>customer_payment</t>
        </is>
      </c>
      <c r="I2298" t="inlineStr"/>
      <c r="J2298" t="inlineStr">
        <is>
          <t>G00044</t>
        </is>
      </c>
      <c r="K2298" t="str">
        <f>INDEX('Match Groups'!$D$5:$D$1326,MATCH(J2298,'Match Groups'!$A$5:$A$1326,0))</f>
        <v>STRIPE-FEE</v>
      </c>
    </row>
    <row r="2299">
      <c r="A2299" t="inlineStr">
        <is>
          <t>JI-02658</t>
        </is>
      </c>
      <c r="B2299" t="inlineStr">
        <is>
          <t>OPS</t>
        </is>
      </c>
      <c r="C2299" s="5" t="n">
        <v>46244</v>
      </c>
      <c r="D2299" t="inlineStr">
        <is>
          <t>Stripe patient 24119</t>
        </is>
      </c>
      <c r="E2299" t="inlineStr">
        <is>
          <t>INV/2026/04504</t>
        </is>
      </c>
      <c r="F2299" t="inlineStr">
        <is>
          <t>Customer payment INV/2026/04504</t>
        </is>
      </c>
      <c r="G2299" s="9" t="n">
        <v>180</v>
      </c>
      <c r="H2299" t="inlineStr">
        <is>
          <t>customer_payment</t>
        </is>
      </c>
      <c r="I2299" t="inlineStr"/>
      <c r="J2299" t="inlineStr">
        <is>
          <t>G00044</t>
        </is>
      </c>
      <c r="K2299" t="str">
        <f>INDEX('Match Groups'!$D$5:$D$1326,MATCH(J2299,'Match Groups'!$A$5:$A$1326,0))</f>
        <v>STRIPE-FEE</v>
      </c>
    </row>
    <row r="2300">
      <c r="A2300" t="inlineStr">
        <is>
          <t>JI-02659</t>
        </is>
      </c>
      <c r="B2300" t="inlineStr">
        <is>
          <t>OPS</t>
        </is>
      </c>
      <c r="C2300" s="5" t="n">
        <v>46244</v>
      </c>
      <c r="D2300" t="inlineStr">
        <is>
          <t>Stripe patient 15421</t>
        </is>
      </c>
      <c r="E2300" t="inlineStr">
        <is>
          <t>INV/2026/04505</t>
        </is>
      </c>
      <c r="F2300" t="inlineStr">
        <is>
          <t>Customer payment INV/2026/04505</t>
        </is>
      </c>
      <c r="G2300" s="9" t="n">
        <v>135</v>
      </c>
      <c r="H2300" t="inlineStr">
        <is>
          <t>customer_payment</t>
        </is>
      </c>
      <c r="I2300" t="inlineStr"/>
      <c r="J2300" t="inlineStr">
        <is>
          <t>G00044</t>
        </is>
      </c>
      <c r="K2300" t="str">
        <f>INDEX('Match Groups'!$D$5:$D$1326,MATCH(J2300,'Match Groups'!$A$5:$A$1326,0))</f>
        <v>STRIPE-FEE</v>
      </c>
    </row>
    <row r="2301">
      <c r="A2301" t="inlineStr">
        <is>
          <t>JI-02660</t>
        </is>
      </c>
      <c r="B2301" t="inlineStr">
        <is>
          <t>OPS</t>
        </is>
      </c>
      <c r="C2301" s="5" t="n">
        <v>46244</v>
      </c>
      <c r="D2301" t="inlineStr">
        <is>
          <t>Stripe patient 96595</t>
        </is>
      </c>
      <c r="E2301" t="inlineStr">
        <is>
          <t>INV/2026/04506</t>
        </is>
      </c>
      <c r="F2301" t="inlineStr">
        <is>
          <t>Customer payment INV/2026/04506</t>
        </is>
      </c>
      <c r="G2301" s="9" t="n">
        <v>220</v>
      </c>
      <c r="H2301" t="inlineStr">
        <is>
          <t>customer_payment</t>
        </is>
      </c>
      <c r="I2301" t="inlineStr"/>
      <c r="J2301" t="inlineStr">
        <is>
          <t>G00044</t>
        </is>
      </c>
      <c r="K2301" t="str">
        <f>INDEX('Match Groups'!$D$5:$D$1326,MATCH(J2301,'Match Groups'!$A$5:$A$1326,0))</f>
        <v>STRIPE-FEE</v>
      </c>
    </row>
    <row r="2302">
      <c r="A2302" t="inlineStr">
        <is>
          <t>JI-02661</t>
        </is>
      </c>
      <c r="B2302" t="inlineStr">
        <is>
          <t>OPS</t>
        </is>
      </c>
      <c r="C2302" s="5" t="n">
        <v>46244</v>
      </c>
      <c r="D2302" t="inlineStr">
        <is>
          <t>Stripe patient 43182</t>
        </is>
      </c>
      <c r="E2302" t="inlineStr">
        <is>
          <t>INV/2026/04507</t>
        </is>
      </c>
      <c r="F2302" t="inlineStr">
        <is>
          <t>Customer payment INV/2026/04507</t>
        </is>
      </c>
      <c r="G2302" s="9" t="n">
        <v>110</v>
      </c>
      <c r="H2302" t="inlineStr">
        <is>
          <t>customer_payment</t>
        </is>
      </c>
      <c r="I2302" t="inlineStr"/>
      <c r="J2302" t="inlineStr">
        <is>
          <t>G00044</t>
        </is>
      </c>
      <c r="K2302" t="str">
        <f>INDEX('Match Groups'!$D$5:$D$1326,MATCH(J2302,'Match Groups'!$A$5:$A$1326,0))</f>
        <v>STRIPE-FEE</v>
      </c>
    </row>
    <row r="2303">
      <c r="A2303" t="inlineStr">
        <is>
          <t>JI-02662</t>
        </is>
      </c>
      <c r="B2303" t="inlineStr">
        <is>
          <t>OPS</t>
        </is>
      </c>
      <c r="C2303" s="5" t="n">
        <v>46244</v>
      </c>
      <c r="D2303" t="inlineStr">
        <is>
          <t>Stripe patient 42686</t>
        </is>
      </c>
      <c r="E2303" t="inlineStr">
        <is>
          <t>INV/2026/04508</t>
        </is>
      </c>
      <c r="F2303" t="inlineStr">
        <is>
          <t>Customer payment INV/2026/04508</t>
        </is>
      </c>
      <c r="G2303" s="9" t="n">
        <v>220</v>
      </c>
      <c r="H2303" t="inlineStr">
        <is>
          <t>customer_payment</t>
        </is>
      </c>
      <c r="I2303" t="inlineStr"/>
      <c r="J2303" t="inlineStr">
        <is>
          <t>G00044</t>
        </is>
      </c>
      <c r="K2303" t="str">
        <f>INDEX('Match Groups'!$D$5:$D$1326,MATCH(J2303,'Match Groups'!$A$5:$A$1326,0))</f>
        <v>STRIPE-FEE</v>
      </c>
    </row>
    <row r="2304">
      <c r="A2304" t="inlineStr">
        <is>
          <t>JI-02663</t>
        </is>
      </c>
      <c r="B2304" t="inlineStr">
        <is>
          <t>OPS</t>
        </is>
      </c>
      <c r="C2304" s="5" t="n">
        <v>46244</v>
      </c>
      <c r="D2304" t="inlineStr">
        <is>
          <t>Stripe patient 82791</t>
        </is>
      </c>
      <c r="E2304" t="inlineStr">
        <is>
          <t>INV/2026/04509</t>
        </is>
      </c>
      <c r="F2304" t="inlineStr">
        <is>
          <t>Customer payment INV/2026/04509</t>
        </is>
      </c>
      <c r="G2304" s="9" t="n">
        <v>110</v>
      </c>
      <c r="H2304" t="inlineStr">
        <is>
          <t>customer_payment</t>
        </is>
      </c>
      <c r="I2304" t="inlineStr"/>
      <c r="J2304" t="inlineStr">
        <is>
          <t>G00044</t>
        </is>
      </c>
      <c r="K2304" t="str">
        <f>INDEX('Match Groups'!$D$5:$D$1326,MATCH(J2304,'Match Groups'!$A$5:$A$1326,0))</f>
        <v>STRIPE-FEE</v>
      </c>
    </row>
    <row r="2305">
      <c r="A2305" t="inlineStr">
        <is>
          <t>JI-02664</t>
        </is>
      </c>
      <c r="B2305" t="inlineStr">
        <is>
          <t>OPS</t>
        </is>
      </c>
      <c r="C2305" s="5" t="n">
        <v>46244</v>
      </c>
      <c r="D2305" t="inlineStr">
        <is>
          <t>Stripe patient 53261</t>
        </is>
      </c>
      <c r="E2305" t="inlineStr">
        <is>
          <t>INV/2026/04510</t>
        </is>
      </c>
      <c r="F2305" t="inlineStr">
        <is>
          <t>Customer payment INV/2026/04510</t>
        </is>
      </c>
      <c r="G2305" s="9" t="n">
        <v>220</v>
      </c>
      <c r="H2305" t="inlineStr">
        <is>
          <t>customer_payment</t>
        </is>
      </c>
      <c r="I2305" t="inlineStr"/>
      <c r="J2305" t="inlineStr">
        <is>
          <t>G00044</t>
        </is>
      </c>
      <c r="K2305" t="str">
        <f>INDEX('Match Groups'!$D$5:$D$1326,MATCH(J2305,'Match Groups'!$A$5:$A$1326,0))</f>
        <v>STRIPE-FEE</v>
      </c>
    </row>
    <row r="2306">
      <c r="A2306" t="inlineStr">
        <is>
          <t>JI-02665</t>
        </is>
      </c>
      <c r="B2306" t="inlineStr">
        <is>
          <t>OPS</t>
        </is>
      </c>
      <c r="C2306" s="5" t="n">
        <v>46244</v>
      </c>
      <c r="D2306" t="inlineStr">
        <is>
          <t>Stripe patient 83231</t>
        </is>
      </c>
      <c r="E2306" t="inlineStr">
        <is>
          <t>INV/2026/04511</t>
        </is>
      </c>
      <c r="F2306" t="inlineStr">
        <is>
          <t>Customer payment INV/2026/04511</t>
        </is>
      </c>
      <c r="G2306" s="9" t="n">
        <v>65</v>
      </c>
      <c r="H2306" t="inlineStr">
        <is>
          <t>customer_payment</t>
        </is>
      </c>
      <c r="I2306" t="inlineStr"/>
      <c r="J2306" t="inlineStr">
        <is>
          <t>G00044</t>
        </is>
      </c>
      <c r="K2306" t="str">
        <f>INDEX('Match Groups'!$D$5:$D$1326,MATCH(J2306,'Match Groups'!$A$5:$A$1326,0))</f>
        <v>STRIPE-FEE</v>
      </c>
    </row>
    <row r="2307">
      <c r="A2307" t="inlineStr">
        <is>
          <t>JI-02666</t>
        </is>
      </c>
      <c r="B2307" t="inlineStr">
        <is>
          <t>OPS</t>
        </is>
      </c>
      <c r="C2307" s="5" t="n">
        <v>46244</v>
      </c>
      <c r="D2307" t="inlineStr">
        <is>
          <t>Stripe patient 52697</t>
        </is>
      </c>
      <c r="E2307" t="inlineStr">
        <is>
          <t>INV/2026/04512</t>
        </is>
      </c>
      <c r="F2307" t="inlineStr">
        <is>
          <t>Customer payment INV/2026/04512</t>
        </is>
      </c>
      <c r="G2307" s="9" t="n">
        <v>85</v>
      </c>
      <c r="H2307" t="inlineStr">
        <is>
          <t>customer_payment</t>
        </is>
      </c>
      <c r="I2307" t="inlineStr"/>
      <c r="J2307" t="inlineStr">
        <is>
          <t>G00044</t>
        </is>
      </c>
      <c r="K2307" t="str">
        <f>INDEX('Match Groups'!$D$5:$D$1326,MATCH(J2307,'Match Groups'!$A$5:$A$1326,0))</f>
        <v>STRIPE-FEE</v>
      </c>
    </row>
    <row r="2308">
      <c r="A2308" t="inlineStr">
        <is>
          <t>JI-02667</t>
        </is>
      </c>
      <c r="B2308" t="inlineStr">
        <is>
          <t>OPS</t>
        </is>
      </c>
      <c r="C2308" s="5" t="n">
        <v>46244</v>
      </c>
      <c r="D2308" t="inlineStr">
        <is>
          <t>Stripe patient 86162</t>
        </is>
      </c>
      <c r="E2308" t="inlineStr">
        <is>
          <t>INV/2026/04513</t>
        </is>
      </c>
      <c r="F2308" t="inlineStr">
        <is>
          <t>Customer payment INV/2026/04513</t>
        </is>
      </c>
      <c r="G2308" s="9" t="n">
        <v>95</v>
      </c>
      <c r="H2308" t="inlineStr">
        <is>
          <t>customer_payment</t>
        </is>
      </c>
      <c r="I2308" t="inlineStr"/>
      <c r="J2308" t="inlineStr">
        <is>
          <t>G00044</t>
        </is>
      </c>
      <c r="K2308" t="str">
        <f>INDEX('Match Groups'!$D$5:$D$1326,MATCH(J2308,'Match Groups'!$A$5:$A$1326,0))</f>
        <v>STRIPE-FEE</v>
      </c>
    </row>
    <row r="2309">
      <c r="A2309" t="inlineStr">
        <is>
          <t>JI-03910</t>
        </is>
      </c>
      <c r="B2309" t="inlineStr">
        <is>
          <t>OPS</t>
        </is>
      </c>
      <c r="C2309" s="5" t="n">
        <v>46244</v>
      </c>
      <c r="D2309" t="inlineStr">
        <is>
          <t>Fibrewire Networks</t>
        </is>
      </c>
      <c r="E2309" t="inlineStr">
        <is>
          <t>BILL/2026/1016</t>
        </is>
      </c>
      <c r="F2309" t="inlineStr">
        <is>
          <t>Vendor payment BILL/2026/1016</t>
        </is>
      </c>
      <c r="G2309" s="9" t="n">
        <v>-649</v>
      </c>
      <c r="H2309" t="inlineStr">
        <is>
          <t>supplier_payment</t>
        </is>
      </c>
      <c r="I2309" t="inlineStr"/>
      <c r="J2309" t="inlineStr">
        <is>
          <t>G01142</t>
        </is>
      </c>
      <c r="K2309" t="str">
        <f>INDEX('Match Groups'!$D$5:$D$1326,MATCH(J2309,'Match Groups'!$A$5:$A$1326,0))</f>
        <v>MATCH</v>
      </c>
    </row>
    <row r="2310">
      <c r="A2310" t="inlineStr">
        <is>
          <t>JI-04293</t>
        </is>
      </c>
      <c r="B2310" t="inlineStr">
        <is>
          <t>OPS</t>
        </is>
      </c>
      <c r="C2310" s="5" t="n">
        <v>46244</v>
      </c>
      <c r="D2310" t="inlineStr">
        <is>
          <t>Internal transfer</t>
        </is>
      </c>
      <c r="E2310" t="inlineStr">
        <is>
          <t>SWEEP 1008</t>
        </is>
      </c>
      <c r="F2310" t="inlineStr">
        <is>
          <t>Sweep from merchant account</t>
        </is>
      </c>
      <c r="G2310" s="9" t="n">
        <v>22000</v>
      </c>
      <c r="H2310" t="inlineStr">
        <is>
          <t>transfer</t>
        </is>
      </c>
      <c r="I2310" t="inlineStr"/>
      <c r="J2310" t="inlineStr">
        <is>
          <t>G00520</t>
        </is>
      </c>
      <c r="K2310" t="str">
        <f>INDEX('Match Groups'!$D$5:$D$1326,MATCH(J2310,'Match Groups'!$A$5:$A$1326,0))</f>
        <v>MATCH</v>
      </c>
    </row>
    <row r="2311">
      <c r="A2311" t="inlineStr">
        <is>
          <t>JI-04310</t>
        </is>
      </c>
      <c r="B2311" t="inlineStr">
        <is>
          <t>OPS</t>
        </is>
      </c>
      <c r="C2311" s="5" t="n">
        <v>46244</v>
      </c>
      <c r="D2311" t="inlineStr">
        <is>
          <t>Internal transfer</t>
        </is>
      </c>
      <c r="E2311" t="inlineStr">
        <is>
          <t>FX0810</t>
        </is>
      </c>
      <c r="F2311" t="inlineStr">
        <is>
          <t>Transfer to USD account (USD 9,000.00 @ 0.6531)</t>
        </is>
      </c>
      <c r="G2311" s="9" t="n">
        <v>-13780.43</v>
      </c>
      <c r="H2311" t="inlineStr">
        <is>
          <t>transfer</t>
        </is>
      </c>
      <c r="I2311" t="inlineStr"/>
      <c r="J2311" t="inlineStr">
        <is>
          <t>G00521</t>
        </is>
      </c>
      <c r="K2311" t="str">
        <f>INDEX('Match Groups'!$D$5:$D$1326,MATCH(J2311,'Match Groups'!$A$5:$A$1326,0))</f>
        <v>FXR</v>
      </c>
    </row>
    <row r="2312">
      <c r="A2312" t="inlineStr">
        <is>
          <t>JI-00848</t>
        </is>
      </c>
      <c r="B2312" t="inlineStr">
        <is>
          <t>OPS</t>
        </is>
      </c>
      <c r="C2312" s="5" t="n">
        <v>46245</v>
      </c>
      <c r="D2312" t="inlineStr">
        <is>
          <t>Bluegum Plan Management</t>
        </is>
      </c>
      <c r="E2312" t="inlineStr">
        <is>
          <t>INV/2026/02319</t>
        </is>
      </c>
      <c r="F2312" t="inlineStr">
        <is>
          <t>Customer payment INV/2026/02319</t>
        </is>
      </c>
      <c r="G2312" s="9" t="n">
        <v>272.49</v>
      </c>
      <c r="H2312" t="inlineStr">
        <is>
          <t>customer_payment</t>
        </is>
      </c>
      <c r="I2312" t="inlineStr"/>
      <c r="J2312" t="inlineStr">
        <is>
          <t>G00281</t>
        </is>
      </c>
      <c r="K2312" t="str">
        <f>INDEX('Match Groups'!$D$5:$D$1326,MATCH(J2312,'Match Groups'!$A$5:$A$1326,0))</f>
        <v>MATCH</v>
      </c>
    </row>
    <row r="2313">
      <c r="A2313" t="inlineStr">
        <is>
          <t>JI-00849</t>
        </is>
      </c>
      <c r="B2313" t="inlineStr">
        <is>
          <t>OPS</t>
        </is>
      </c>
      <c r="C2313" s="5" t="n">
        <v>46245</v>
      </c>
      <c r="D2313" t="inlineStr">
        <is>
          <t>Bluegum Plan Management</t>
        </is>
      </c>
      <c r="E2313" t="inlineStr">
        <is>
          <t>INV/2026/02343</t>
        </is>
      </c>
      <c r="F2313" t="inlineStr">
        <is>
          <t>Customer payment INV/2026/02343</t>
        </is>
      </c>
      <c r="G2313" s="9" t="n">
        <v>223.99</v>
      </c>
      <c r="H2313" t="inlineStr">
        <is>
          <t>customer_payment</t>
        </is>
      </c>
      <c r="I2313" t="inlineStr"/>
      <c r="J2313" t="inlineStr">
        <is>
          <t>G00281</t>
        </is>
      </c>
      <c r="K2313" t="str">
        <f>INDEX('Match Groups'!$D$5:$D$1326,MATCH(J2313,'Match Groups'!$A$5:$A$1326,0))</f>
        <v>MATCH</v>
      </c>
    </row>
    <row r="2314">
      <c r="A2314" t="inlineStr">
        <is>
          <t>JI-00850</t>
        </is>
      </c>
      <c r="B2314" t="inlineStr">
        <is>
          <t>OPS</t>
        </is>
      </c>
      <c r="C2314" s="5" t="n">
        <v>46245</v>
      </c>
      <c r="D2314" t="inlineStr">
        <is>
          <t>Bluegum Plan Management</t>
        </is>
      </c>
      <c r="E2314" t="inlineStr">
        <is>
          <t>INV/2026/02344</t>
        </is>
      </c>
      <c r="F2314" t="inlineStr">
        <is>
          <t>Customer payment INV/2026/02344</t>
        </is>
      </c>
      <c r="G2314" s="9" t="n">
        <v>96.98999999999999</v>
      </c>
      <c r="H2314" t="inlineStr">
        <is>
          <t>customer_payment</t>
        </is>
      </c>
      <c r="I2314" t="inlineStr"/>
      <c r="J2314" t="inlineStr">
        <is>
          <t>G00281</t>
        </is>
      </c>
      <c r="K2314" t="str">
        <f>INDEX('Match Groups'!$D$5:$D$1326,MATCH(J2314,'Match Groups'!$A$5:$A$1326,0))</f>
        <v>MATCH</v>
      </c>
    </row>
    <row r="2315">
      <c r="A2315" t="inlineStr">
        <is>
          <t>JI-00851</t>
        </is>
      </c>
      <c r="B2315" t="inlineStr">
        <is>
          <t>OPS</t>
        </is>
      </c>
      <c r="C2315" s="5" t="n">
        <v>46245</v>
      </c>
      <c r="D2315" t="inlineStr">
        <is>
          <t>Bluegum Plan Management</t>
        </is>
      </c>
      <c r="E2315" t="inlineStr">
        <is>
          <t>INV/2026/02345</t>
        </is>
      </c>
      <c r="F2315" t="inlineStr">
        <is>
          <t>Customer payment INV/2026/02345</t>
        </is>
      </c>
      <c r="G2315" s="9" t="n">
        <v>290.98</v>
      </c>
      <c r="H2315" t="inlineStr">
        <is>
          <t>customer_payment</t>
        </is>
      </c>
      <c r="I2315" t="inlineStr"/>
      <c r="J2315" t="inlineStr">
        <is>
          <t>G00281</t>
        </is>
      </c>
      <c r="K2315" t="str">
        <f>INDEX('Match Groups'!$D$5:$D$1326,MATCH(J2315,'Match Groups'!$A$5:$A$1326,0))</f>
        <v>MATCH</v>
      </c>
    </row>
    <row r="2316">
      <c r="A2316" t="inlineStr">
        <is>
          <t>JI-00852</t>
        </is>
      </c>
      <c r="B2316" t="inlineStr">
        <is>
          <t>OPS</t>
        </is>
      </c>
      <c r="C2316" s="5" t="n">
        <v>46245</v>
      </c>
      <c r="D2316" t="inlineStr">
        <is>
          <t>Bluegum Plan Management</t>
        </is>
      </c>
      <c r="E2316" t="inlineStr">
        <is>
          <t>INV/2026/02371</t>
        </is>
      </c>
      <c r="F2316" t="inlineStr">
        <is>
          <t>Customer payment INV/2026/02371</t>
        </is>
      </c>
      <c r="G2316" s="9" t="n">
        <v>193.99</v>
      </c>
      <c r="H2316" t="inlineStr">
        <is>
          <t>customer_payment</t>
        </is>
      </c>
      <c r="I2316" t="inlineStr"/>
      <c r="J2316" t="inlineStr">
        <is>
          <t>G00281</t>
        </is>
      </c>
      <c r="K2316" t="str">
        <f>INDEX('Match Groups'!$D$5:$D$1326,MATCH(J2316,'Match Groups'!$A$5:$A$1326,0))</f>
        <v>MATCH</v>
      </c>
    </row>
    <row r="2317">
      <c r="A2317" t="inlineStr">
        <is>
          <t>JI-00853</t>
        </is>
      </c>
      <c r="B2317" t="inlineStr">
        <is>
          <t>OPS</t>
        </is>
      </c>
      <c r="C2317" s="5" t="n">
        <v>46245</v>
      </c>
      <c r="D2317" t="inlineStr">
        <is>
          <t>Bluegum Plan Management</t>
        </is>
      </c>
      <c r="E2317" t="inlineStr">
        <is>
          <t>INV/2026/02389</t>
        </is>
      </c>
      <c r="F2317" t="inlineStr">
        <is>
          <t>Customer payment INV/2026/02389</t>
        </is>
      </c>
      <c r="G2317" s="9" t="n">
        <v>300.69</v>
      </c>
      <c r="H2317" t="inlineStr">
        <is>
          <t>customer_payment</t>
        </is>
      </c>
      <c r="I2317" t="inlineStr"/>
      <c r="J2317" t="inlineStr">
        <is>
          <t>G00281</t>
        </is>
      </c>
      <c r="K2317" t="str">
        <f>INDEX('Match Groups'!$D$5:$D$1326,MATCH(J2317,'Match Groups'!$A$5:$A$1326,0))</f>
        <v>MATCH</v>
      </c>
    </row>
    <row r="2318">
      <c r="A2318" t="inlineStr">
        <is>
          <t>JI-00854</t>
        </is>
      </c>
      <c r="B2318" t="inlineStr">
        <is>
          <t>OPS</t>
        </is>
      </c>
      <c r="C2318" s="5" t="n">
        <v>46245</v>
      </c>
      <c r="D2318" t="inlineStr">
        <is>
          <t>Wattle Plan Services</t>
        </is>
      </c>
      <c r="E2318" t="inlineStr">
        <is>
          <t>INV/2026/02516</t>
        </is>
      </c>
      <c r="F2318" t="inlineStr">
        <is>
          <t>Customer payment INV/2026/02516</t>
        </is>
      </c>
      <c r="G2318" s="9" t="n">
        <v>193.99</v>
      </c>
      <c r="H2318" t="inlineStr">
        <is>
          <t>customer_payment</t>
        </is>
      </c>
      <c r="I2318" t="inlineStr"/>
      <c r="J2318" t="inlineStr">
        <is>
          <t>G00282</t>
        </is>
      </c>
      <c r="K2318" t="str">
        <f>INDEX('Match Groups'!$D$5:$D$1326,MATCH(J2318,'Match Groups'!$A$5:$A$1326,0))</f>
        <v>MATCH</v>
      </c>
    </row>
    <row r="2319">
      <c r="A2319" t="inlineStr">
        <is>
          <t>JI-00855</t>
        </is>
      </c>
      <c r="B2319" t="inlineStr">
        <is>
          <t>OPS</t>
        </is>
      </c>
      <c r="C2319" s="5" t="n">
        <v>46245</v>
      </c>
      <c r="D2319" t="inlineStr">
        <is>
          <t>Wattle Plan Services</t>
        </is>
      </c>
      <c r="E2319" t="inlineStr">
        <is>
          <t>INV/2026/02543</t>
        </is>
      </c>
      <c r="F2319" t="inlineStr">
        <is>
          <t>Customer payment INV/2026/02543</t>
        </is>
      </c>
      <c r="G2319" s="9" t="n">
        <v>290.98</v>
      </c>
      <c r="H2319" t="inlineStr">
        <is>
          <t>customer_payment</t>
        </is>
      </c>
      <c r="I2319" t="inlineStr"/>
      <c r="J2319" t="inlineStr">
        <is>
          <t>G00282</t>
        </is>
      </c>
      <c r="K2319" t="str">
        <f>INDEX('Match Groups'!$D$5:$D$1326,MATCH(J2319,'Match Groups'!$A$5:$A$1326,0))</f>
        <v>MATCH</v>
      </c>
    </row>
    <row r="2320">
      <c r="A2320" t="inlineStr">
        <is>
          <t>JI-00856</t>
        </is>
      </c>
      <c r="B2320" t="inlineStr">
        <is>
          <t>OPS</t>
        </is>
      </c>
      <c r="C2320" s="5" t="n">
        <v>46245</v>
      </c>
      <c r="D2320" t="inlineStr">
        <is>
          <t>Banksia Plan Co</t>
        </is>
      </c>
      <c r="E2320" t="inlineStr">
        <is>
          <t>INV/2026/02424</t>
        </is>
      </c>
      <c r="F2320" t="inlineStr">
        <is>
          <t>Customer payment INV/2026/02424</t>
        </is>
      </c>
      <c r="G2320" s="9" t="n">
        <v>446.18</v>
      </c>
      <c r="H2320" t="inlineStr">
        <is>
          <t>customer_payment</t>
        </is>
      </c>
      <c r="I2320" t="inlineStr"/>
      <c r="J2320" t="inlineStr">
        <is>
          <t>G00283</t>
        </is>
      </c>
      <c r="K2320" t="str">
        <f>INDEX('Match Groups'!$D$5:$D$1326,MATCH(J2320,'Match Groups'!$A$5:$A$1326,0))</f>
        <v>MATCH</v>
      </c>
    </row>
    <row r="2321">
      <c r="A2321" t="inlineStr">
        <is>
          <t>JI-00857</t>
        </is>
      </c>
      <c r="B2321" t="inlineStr">
        <is>
          <t>OPS</t>
        </is>
      </c>
      <c r="C2321" s="5" t="n">
        <v>46245</v>
      </c>
      <c r="D2321" t="inlineStr">
        <is>
          <t>Banksia Plan Co</t>
        </is>
      </c>
      <c r="E2321" t="inlineStr">
        <is>
          <t>INV/2026/02445</t>
        </is>
      </c>
      <c r="F2321" t="inlineStr">
        <is>
          <t>Customer payment INV/2026/02445</t>
        </is>
      </c>
      <c r="G2321" s="9" t="n">
        <v>193.99</v>
      </c>
      <c r="H2321" t="inlineStr">
        <is>
          <t>customer_payment</t>
        </is>
      </c>
      <c r="I2321" t="inlineStr"/>
      <c r="J2321" t="inlineStr">
        <is>
          <t>G00283</t>
        </is>
      </c>
      <c r="K2321" t="str">
        <f>INDEX('Match Groups'!$D$5:$D$1326,MATCH(J2321,'Match Groups'!$A$5:$A$1326,0))</f>
        <v>MATCH</v>
      </c>
    </row>
    <row r="2322">
      <c r="A2322" t="inlineStr">
        <is>
          <t>JI-00858</t>
        </is>
      </c>
      <c r="B2322" t="inlineStr">
        <is>
          <t>OPS</t>
        </is>
      </c>
      <c r="C2322" s="5" t="n">
        <v>46245</v>
      </c>
      <c r="D2322" t="inlineStr">
        <is>
          <t>Ironbark Plan Management</t>
        </is>
      </c>
      <c r="E2322" t="inlineStr">
        <is>
          <t>INV/2026/02353</t>
        </is>
      </c>
      <c r="F2322" t="inlineStr">
        <is>
          <t>Customer payment INV/2026/02353</t>
        </is>
      </c>
      <c r="G2322" s="9" t="n">
        <v>261.88</v>
      </c>
      <c r="H2322" t="inlineStr">
        <is>
          <t>customer_payment</t>
        </is>
      </c>
      <c r="I2322" t="inlineStr"/>
      <c r="J2322" t="inlineStr">
        <is>
          <t>G00284</t>
        </is>
      </c>
      <c r="K2322" t="str">
        <f>INDEX('Match Groups'!$D$5:$D$1326,MATCH(J2322,'Match Groups'!$A$5:$A$1326,0))</f>
        <v>MATCH</v>
      </c>
    </row>
    <row r="2323">
      <c r="A2323" t="inlineStr">
        <is>
          <t>JI-00859</t>
        </is>
      </c>
      <c r="B2323" t="inlineStr">
        <is>
          <t>OPS</t>
        </is>
      </c>
      <c r="C2323" s="5" t="n">
        <v>46245</v>
      </c>
      <c r="D2323" t="inlineStr">
        <is>
          <t>Ironbark Plan Management</t>
        </is>
      </c>
      <c r="E2323" t="inlineStr">
        <is>
          <t>INV/2026/02375</t>
        </is>
      </c>
      <c r="F2323" t="inlineStr">
        <is>
          <t>Customer payment INV/2026/02375</t>
        </is>
      </c>
      <c r="G2323" s="9" t="n">
        <v>193.99</v>
      </c>
      <c r="H2323" t="inlineStr">
        <is>
          <t>customer_payment</t>
        </is>
      </c>
      <c r="I2323" t="inlineStr"/>
      <c r="J2323" t="inlineStr">
        <is>
          <t>G00284</t>
        </is>
      </c>
      <c r="K2323" t="str">
        <f>INDEX('Match Groups'!$D$5:$D$1326,MATCH(J2323,'Match Groups'!$A$5:$A$1326,0))</f>
        <v>MATCH</v>
      </c>
    </row>
    <row r="2324">
      <c r="A2324" t="inlineStr">
        <is>
          <t>JI-00860</t>
        </is>
      </c>
      <c r="B2324" t="inlineStr">
        <is>
          <t>OPS</t>
        </is>
      </c>
      <c r="C2324" s="5" t="n">
        <v>46245</v>
      </c>
      <c r="D2324" t="inlineStr">
        <is>
          <t>Ironbark Plan Management</t>
        </is>
      </c>
      <c r="E2324" t="inlineStr">
        <is>
          <t>INV/2026/02398</t>
        </is>
      </c>
      <c r="F2324" t="inlineStr">
        <is>
          <t>Customer payment INV/2026/02398</t>
        </is>
      </c>
      <c r="G2324" s="9" t="n">
        <v>145.49</v>
      </c>
      <c r="H2324" t="inlineStr">
        <is>
          <t>customer_payment</t>
        </is>
      </c>
      <c r="I2324" t="inlineStr"/>
      <c r="J2324" t="inlineStr">
        <is>
          <t>G00284</t>
        </is>
      </c>
      <c r="K2324" t="str">
        <f>INDEX('Match Groups'!$D$5:$D$1326,MATCH(J2324,'Match Groups'!$A$5:$A$1326,0))</f>
        <v>MATCH</v>
      </c>
    </row>
    <row r="2325">
      <c r="A2325" t="inlineStr">
        <is>
          <t>JI-00861</t>
        </is>
      </c>
      <c r="B2325" t="inlineStr">
        <is>
          <t>OPS</t>
        </is>
      </c>
      <c r="C2325" s="5" t="n">
        <v>46245</v>
      </c>
      <c r="D2325" t="inlineStr">
        <is>
          <t>Ironbark Plan Management</t>
        </is>
      </c>
      <c r="E2325" t="inlineStr">
        <is>
          <t>INV/2026/02426</t>
        </is>
      </c>
      <c r="F2325" t="inlineStr">
        <is>
          <t>Customer payment INV/2026/02426</t>
        </is>
      </c>
      <c r="G2325" s="9" t="n">
        <v>387.98</v>
      </c>
      <c r="H2325" t="inlineStr">
        <is>
          <t>customer_payment</t>
        </is>
      </c>
      <c r="I2325" t="inlineStr"/>
      <c r="J2325" t="inlineStr">
        <is>
          <t>G00284</t>
        </is>
      </c>
      <c r="K2325" t="str">
        <f>INDEX('Match Groups'!$D$5:$D$1326,MATCH(J2325,'Match Groups'!$A$5:$A$1326,0))</f>
        <v>MATCH</v>
      </c>
    </row>
    <row r="2326">
      <c r="A2326" t="inlineStr">
        <is>
          <t>JI-00862</t>
        </is>
      </c>
      <c r="B2326" t="inlineStr">
        <is>
          <t>OPS</t>
        </is>
      </c>
      <c r="C2326" s="5" t="n">
        <v>46245</v>
      </c>
      <c r="D2326" t="inlineStr">
        <is>
          <t>Lyrebird Plan Management</t>
        </is>
      </c>
      <c r="E2326" t="inlineStr">
        <is>
          <t>INV/2026/02407</t>
        </is>
      </c>
      <c r="F2326" t="inlineStr">
        <is>
          <t>Customer payment INV/2026/02407</t>
        </is>
      </c>
      <c r="G2326" s="9" t="n">
        <v>145.49</v>
      </c>
      <c r="H2326" t="inlineStr">
        <is>
          <t>customer_payment</t>
        </is>
      </c>
      <c r="I2326" t="inlineStr"/>
      <c r="J2326" t="inlineStr">
        <is>
          <t>G00286</t>
        </is>
      </c>
      <c r="K2326" t="str">
        <f>INDEX('Match Groups'!$D$5:$D$1326,MATCH(J2326,'Match Groups'!$A$5:$A$1326,0))</f>
        <v>MATCH</v>
      </c>
    </row>
    <row r="2327">
      <c r="A2327" t="inlineStr">
        <is>
          <t>JI-00863</t>
        </is>
      </c>
      <c r="B2327" t="inlineStr">
        <is>
          <t>OPS</t>
        </is>
      </c>
      <c r="C2327" s="5" t="n">
        <v>46245</v>
      </c>
      <c r="D2327" t="inlineStr">
        <is>
          <t>Lyrebird Plan Management</t>
        </is>
      </c>
      <c r="E2327" t="inlineStr">
        <is>
          <t>INV/2026/02455</t>
        </is>
      </c>
      <c r="F2327" t="inlineStr">
        <is>
          <t>Customer payment INV/2026/02455</t>
        </is>
      </c>
      <c r="G2327" s="9" t="n">
        <v>96.98999999999999</v>
      </c>
      <c r="H2327" t="inlineStr">
        <is>
          <t>customer_payment</t>
        </is>
      </c>
      <c r="I2327" t="inlineStr"/>
      <c r="J2327" t="inlineStr">
        <is>
          <t>G00286</t>
        </is>
      </c>
      <c r="K2327" t="str">
        <f>INDEX('Match Groups'!$D$5:$D$1326,MATCH(J2327,'Match Groups'!$A$5:$A$1326,0))</f>
        <v>MATCH</v>
      </c>
    </row>
    <row r="2328">
      <c r="A2328" t="inlineStr">
        <is>
          <t>JI-00864</t>
        </is>
      </c>
      <c r="B2328" t="inlineStr">
        <is>
          <t>OPS</t>
        </is>
      </c>
      <c r="C2328" s="5" t="n">
        <v>46245</v>
      </c>
      <c r="D2328" t="inlineStr">
        <is>
          <t>Lyrebird Plan Management</t>
        </is>
      </c>
      <c r="E2328" t="inlineStr">
        <is>
          <t>INV/2026/02456</t>
        </is>
      </c>
      <c r="F2328" t="inlineStr">
        <is>
          <t>Customer payment INV/2026/02456</t>
        </is>
      </c>
      <c r="G2328" s="9" t="n">
        <v>290.98</v>
      </c>
      <c r="H2328" t="inlineStr">
        <is>
          <t>customer_payment</t>
        </is>
      </c>
      <c r="I2328" t="inlineStr"/>
      <c r="J2328" t="inlineStr">
        <is>
          <t>G00286</t>
        </is>
      </c>
      <c r="K2328" t="str">
        <f>INDEX('Match Groups'!$D$5:$D$1326,MATCH(J2328,'Match Groups'!$A$5:$A$1326,0))</f>
        <v>MATCH</v>
      </c>
    </row>
    <row r="2329">
      <c r="A2329" t="inlineStr">
        <is>
          <t>JI-00865</t>
        </is>
      </c>
      <c r="B2329" t="inlineStr">
        <is>
          <t>OPS</t>
        </is>
      </c>
      <c r="C2329" s="5" t="n">
        <v>46245</v>
      </c>
      <c r="D2329" t="inlineStr">
        <is>
          <t>Lyrebird Plan Management</t>
        </is>
      </c>
      <c r="E2329" t="inlineStr">
        <is>
          <t>INV/2026/02505</t>
        </is>
      </c>
      <c r="F2329" t="inlineStr">
        <is>
          <t>Customer payment INV/2026/02505</t>
        </is>
      </c>
      <c r="G2329" s="9" t="n">
        <v>387.98</v>
      </c>
      <c r="H2329" t="inlineStr">
        <is>
          <t>customer_payment</t>
        </is>
      </c>
      <c r="I2329" t="inlineStr"/>
      <c r="J2329" t="inlineStr">
        <is>
          <t>G00286</t>
        </is>
      </c>
      <c r="K2329" t="str">
        <f>INDEX('Match Groups'!$D$5:$D$1326,MATCH(J2329,'Match Groups'!$A$5:$A$1326,0))</f>
        <v>MATCH</v>
      </c>
    </row>
    <row r="2330">
      <c r="A2330" t="inlineStr">
        <is>
          <t>JI-00866</t>
        </is>
      </c>
      <c r="B2330" t="inlineStr">
        <is>
          <t>OPS</t>
        </is>
      </c>
      <c r="C2330" s="5" t="n">
        <v>46245</v>
      </c>
      <c r="D2330" t="inlineStr">
        <is>
          <t>Mallee Plan Services</t>
        </is>
      </c>
      <c r="E2330" t="inlineStr">
        <is>
          <t>INV/2026/02459</t>
        </is>
      </c>
      <c r="F2330" t="inlineStr">
        <is>
          <t>Customer payment INV/2026/02459</t>
        </is>
      </c>
      <c r="G2330" s="9" t="n">
        <v>145.49</v>
      </c>
      <c r="H2330" t="inlineStr">
        <is>
          <t>customer_payment</t>
        </is>
      </c>
      <c r="I2330" t="inlineStr"/>
      <c r="J2330" t="inlineStr">
        <is>
          <t>G00287</t>
        </is>
      </c>
      <c r="K2330" t="str">
        <f>INDEX('Match Groups'!$D$5:$D$1326,MATCH(J2330,'Match Groups'!$A$5:$A$1326,0))</f>
        <v>MATCH</v>
      </c>
    </row>
    <row r="2331">
      <c r="A2331" t="inlineStr">
        <is>
          <t>JI-00867</t>
        </is>
      </c>
      <c r="B2331" t="inlineStr">
        <is>
          <t>OPS</t>
        </is>
      </c>
      <c r="C2331" s="5" t="n">
        <v>46245</v>
      </c>
      <c r="D2331" t="inlineStr">
        <is>
          <t>Mallee Plan Services</t>
        </is>
      </c>
      <c r="E2331" t="inlineStr">
        <is>
          <t>INV/2026/02509</t>
        </is>
      </c>
      <c r="F2331" t="inlineStr">
        <is>
          <t>Customer payment INV/2026/02509</t>
        </is>
      </c>
      <c r="G2331" s="9" t="n">
        <v>145.49</v>
      </c>
      <c r="H2331" t="inlineStr">
        <is>
          <t>customer_payment</t>
        </is>
      </c>
      <c r="I2331" t="inlineStr"/>
      <c r="J2331" t="inlineStr">
        <is>
          <t>G00287</t>
        </is>
      </c>
      <c r="K2331" t="str">
        <f>INDEX('Match Groups'!$D$5:$D$1326,MATCH(J2331,'Match Groups'!$A$5:$A$1326,0))</f>
        <v>MATCH</v>
      </c>
    </row>
    <row r="2332">
      <c r="A2332" t="inlineStr">
        <is>
          <t>JI-00868</t>
        </is>
      </c>
      <c r="B2332" t="inlineStr">
        <is>
          <t>OPS</t>
        </is>
      </c>
      <c r="C2332" s="5" t="n">
        <v>46245</v>
      </c>
      <c r="D2332" t="inlineStr">
        <is>
          <t>Mallee Plan Services</t>
        </is>
      </c>
      <c r="E2332" t="inlineStr">
        <is>
          <t>INV/2026/02531</t>
        </is>
      </c>
      <c r="F2332" t="inlineStr">
        <is>
          <t>Customer payment INV/2026/02531</t>
        </is>
      </c>
      <c r="G2332" s="9" t="n">
        <v>387.98</v>
      </c>
      <c r="H2332" t="inlineStr">
        <is>
          <t>customer_payment</t>
        </is>
      </c>
      <c r="I2332" t="inlineStr"/>
      <c r="J2332" t="inlineStr">
        <is>
          <t>G00287</t>
        </is>
      </c>
      <c r="K2332" t="str">
        <f>INDEX('Match Groups'!$D$5:$D$1326,MATCH(J2332,'Match Groups'!$A$5:$A$1326,0))</f>
        <v>MATCH</v>
      </c>
    </row>
    <row r="2333">
      <c r="A2333" t="inlineStr">
        <is>
          <t>JI-01544</t>
        </is>
      </c>
      <c r="B2333" t="inlineStr">
        <is>
          <t>OPS</t>
        </is>
      </c>
      <c r="C2333" s="5" t="n">
        <v>46245</v>
      </c>
      <c r="D2333" t="inlineStr">
        <is>
          <t>Harbour Mutual Health</t>
        </is>
      </c>
      <c r="E2333" t="inlineStr">
        <is>
          <t>INV/2026/02386</t>
        </is>
      </c>
      <c r="F2333" t="inlineStr">
        <is>
          <t>Customer payment INV/2026/02386</t>
        </is>
      </c>
      <c r="G2333" s="9" t="n">
        <v>88</v>
      </c>
      <c r="H2333" t="inlineStr">
        <is>
          <t>customer_payment</t>
        </is>
      </c>
      <c r="I2333" t="inlineStr"/>
      <c r="J2333" t="inlineStr">
        <is>
          <t>G00994</t>
        </is>
      </c>
      <c r="K2333" t="str">
        <f>INDEX('Match Groups'!$D$5:$D$1326,MATCH(J2333,'Match Groups'!$A$5:$A$1326,0))</f>
        <v>MATCH</v>
      </c>
    </row>
    <row r="2334">
      <c r="A2334" t="inlineStr">
        <is>
          <t>JI-01619</t>
        </is>
      </c>
      <c r="B2334" t="inlineStr">
        <is>
          <t>OPS</t>
        </is>
      </c>
      <c r="C2334" s="5" t="n">
        <v>46245</v>
      </c>
      <c r="D2334" t="inlineStr">
        <is>
          <t>Meridian Health Cover</t>
        </is>
      </c>
      <c r="E2334" t="inlineStr">
        <is>
          <t>INV/2026/02270</t>
        </is>
      </c>
      <c r="F2334" t="inlineStr">
        <is>
          <t>Customer payment INV/2026/02270</t>
        </is>
      </c>
      <c r="G2334" s="9" t="n">
        <v>176</v>
      </c>
      <c r="H2334" t="inlineStr">
        <is>
          <t>customer_payment</t>
        </is>
      </c>
      <c r="I2334" t="inlineStr"/>
      <c r="J2334" t="inlineStr">
        <is>
          <t>G00995</t>
        </is>
      </c>
      <c r="K2334" t="str">
        <f>INDEX('Match Groups'!$D$5:$D$1326,MATCH(J2334,'Match Groups'!$A$5:$A$1326,0))</f>
        <v>MATCH</v>
      </c>
    </row>
    <row r="2335">
      <c r="A2335" t="inlineStr">
        <is>
          <t>JI-01750</t>
        </is>
      </c>
      <c r="B2335" t="inlineStr">
        <is>
          <t>OPS</t>
        </is>
      </c>
      <c r="C2335" s="5" t="n">
        <v>46245</v>
      </c>
      <c r="D2335" t="inlineStr">
        <is>
          <t>Mornane Electrical</t>
        </is>
      </c>
      <c r="E2335" t="inlineStr">
        <is>
          <t>INV/2026/03504</t>
        </is>
      </c>
      <c r="F2335" t="inlineStr">
        <is>
          <t>Customer payment INV/2026/03504</t>
        </is>
      </c>
      <c r="G2335" s="9" t="n">
        <v>1402.5</v>
      </c>
      <c r="H2335" t="inlineStr">
        <is>
          <t>customer_payment</t>
        </is>
      </c>
      <c r="I2335" t="inlineStr"/>
      <c r="J2335" t="inlineStr">
        <is>
          <t>G00997</t>
        </is>
      </c>
      <c r="K2335" t="str">
        <f>INDEX('Match Groups'!$D$5:$D$1326,MATCH(J2335,'Match Groups'!$A$5:$A$1326,0))</f>
        <v>MATCH</v>
      </c>
    </row>
    <row r="2336">
      <c r="A2336" t="inlineStr">
        <is>
          <t>JI-02668</t>
        </is>
      </c>
      <c r="B2336" t="inlineStr">
        <is>
          <t>OPS</t>
        </is>
      </c>
      <c r="C2336" s="5" t="n">
        <v>46245</v>
      </c>
      <c r="D2336" t="inlineStr">
        <is>
          <t>Stripe patient 95673</t>
        </is>
      </c>
      <c r="E2336" t="inlineStr">
        <is>
          <t>INV/2026/04514</t>
        </is>
      </c>
      <c r="F2336" t="inlineStr">
        <is>
          <t>Customer payment INV/2026/04514</t>
        </is>
      </c>
      <c r="G2336" s="9" t="n">
        <v>150</v>
      </c>
      <c r="H2336" t="inlineStr">
        <is>
          <t>customer_payment</t>
        </is>
      </c>
      <c r="I2336" t="inlineStr"/>
      <c r="J2336" t="inlineStr">
        <is>
          <t>G00045</t>
        </is>
      </c>
      <c r="K2336" t="str">
        <f>INDEX('Match Groups'!$D$5:$D$1326,MATCH(J2336,'Match Groups'!$A$5:$A$1326,0))</f>
        <v>STRIPE-FEE</v>
      </c>
    </row>
    <row r="2337">
      <c r="A2337" t="inlineStr">
        <is>
          <t>JI-02669</t>
        </is>
      </c>
      <c r="B2337" t="inlineStr">
        <is>
          <t>OPS</t>
        </is>
      </c>
      <c r="C2337" s="5" t="n">
        <v>46245</v>
      </c>
      <c r="D2337" t="inlineStr">
        <is>
          <t>Stripe patient 50610</t>
        </is>
      </c>
      <c r="E2337" t="inlineStr">
        <is>
          <t>INV/2026/04515</t>
        </is>
      </c>
      <c r="F2337" t="inlineStr">
        <is>
          <t>Customer payment INV/2026/04515</t>
        </is>
      </c>
      <c r="G2337" s="9" t="n">
        <v>220</v>
      </c>
      <c r="H2337" t="inlineStr">
        <is>
          <t>customer_payment</t>
        </is>
      </c>
      <c r="I2337" t="inlineStr"/>
      <c r="J2337" t="inlineStr">
        <is>
          <t>G00045</t>
        </is>
      </c>
      <c r="K2337" t="str">
        <f>INDEX('Match Groups'!$D$5:$D$1326,MATCH(J2337,'Match Groups'!$A$5:$A$1326,0))</f>
        <v>STRIPE-FEE</v>
      </c>
    </row>
    <row r="2338">
      <c r="A2338" t="inlineStr">
        <is>
          <t>JI-02670</t>
        </is>
      </c>
      <c r="B2338" t="inlineStr">
        <is>
          <t>OPS</t>
        </is>
      </c>
      <c r="C2338" s="5" t="n">
        <v>46245</v>
      </c>
      <c r="D2338" t="inlineStr">
        <is>
          <t>Stripe patient 86973</t>
        </is>
      </c>
      <c r="E2338" t="inlineStr">
        <is>
          <t>INV/2026/04516</t>
        </is>
      </c>
      <c r="F2338" t="inlineStr">
        <is>
          <t>Customer payment INV/2026/04516</t>
        </is>
      </c>
      <c r="G2338" s="9" t="n">
        <v>150</v>
      </c>
      <c r="H2338" t="inlineStr">
        <is>
          <t>customer_payment</t>
        </is>
      </c>
      <c r="I2338" t="inlineStr"/>
      <c r="J2338" t="inlineStr">
        <is>
          <t>G00045</t>
        </is>
      </c>
      <c r="K2338" t="str">
        <f>INDEX('Match Groups'!$D$5:$D$1326,MATCH(J2338,'Match Groups'!$A$5:$A$1326,0))</f>
        <v>STRIPE-FEE</v>
      </c>
    </row>
    <row r="2339">
      <c r="A2339" t="inlineStr">
        <is>
          <t>JI-02671</t>
        </is>
      </c>
      <c r="B2339" t="inlineStr">
        <is>
          <t>OPS</t>
        </is>
      </c>
      <c r="C2339" s="5" t="n">
        <v>46245</v>
      </c>
      <c r="D2339" t="inlineStr">
        <is>
          <t>Stripe patient 50305</t>
        </is>
      </c>
      <c r="E2339" t="inlineStr">
        <is>
          <t>INV/2026/04517</t>
        </is>
      </c>
      <c r="F2339" t="inlineStr">
        <is>
          <t>Customer payment INV/2026/04517</t>
        </is>
      </c>
      <c r="G2339" s="9" t="n">
        <v>85</v>
      </c>
      <c r="H2339" t="inlineStr">
        <is>
          <t>customer_payment</t>
        </is>
      </c>
      <c r="I2339" t="inlineStr"/>
      <c r="J2339" t="inlineStr">
        <is>
          <t>G00045</t>
        </is>
      </c>
      <c r="K2339" t="str">
        <f>INDEX('Match Groups'!$D$5:$D$1326,MATCH(J2339,'Match Groups'!$A$5:$A$1326,0))</f>
        <v>STRIPE-FEE</v>
      </c>
    </row>
    <row r="2340">
      <c r="A2340" t="inlineStr">
        <is>
          <t>JI-02672</t>
        </is>
      </c>
      <c r="B2340" t="inlineStr">
        <is>
          <t>OPS</t>
        </is>
      </c>
      <c r="C2340" s="5" t="n">
        <v>46245</v>
      </c>
      <c r="D2340" t="inlineStr">
        <is>
          <t>Stripe patient 80600</t>
        </is>
      </c>
      <c r="E2340" t="inlineStr">
        <is>
          <t>INV/2026/04518</t>
        </is>
      </c>
      <c r="F2340" t="inlineStr">
        <is>
          <t>Customer payment INV/2026/04518</t>
        </is>
      </c>
      <c r="G2340" s="9" t="n">
        <v>150</v>
      </c>
      <c r="H2340" t="inlineStr">
        <is>
          <t>customer_payment</t>
        </is>
      </c>
      <c r="I2340" t="inlineStr"/>
      <c r="J2340" t="inlineStr">
        <is>
          <t>G00045</t>
        </is>
      </c>
      <c r="K2340" t="str">
        <f>INDEX('Match Groups'!$D$5:$D$1326,MATCH(J2340,'Match Groups'!$A$5:$A$1326,0))</f>
        <v>STRIPE-FEE</v>
      </c>
    </row>
    <row r="2341">
      <c r="A2341" t="inlineStr">
        <is>
          <t>JI-02673</t>
        </is>
      </c>
      <c r="B2341" t="inlineStr">
        <is>
          <t>OPS</t>
        </is>
      </c>
      <c r="C2341" s="5" t="n">
        <v>46245</v>
      </c>
      <c r="D2341" t="inlineStr">
        <is>
          <t>Stripe patient 78443</t>
        </is>
      </c>
      <c r="E2341" t="inlineStr">
        <is>
          <t>INV/2026/04519</t>
        </is>
      </c>
      <c r="F2341" t="inlineStr">
        <is>
          <t>Customer payment INV/2026/04519</t>
        </is>
      </c>
      <c r="G2341" s="9" t="n">
        <v>95</v>
      </c>
      <c r="H2341" t="inlineStr">
        <is>
          <t>customer_payment</t>
        </is>
      </c>
      <c r="I2341" t="inlineStr"/>
      <c r="J2341" t="inlineStr">
        <is>
          <t>G00045</t>
        </is>
      </c>
      <c r="K2341" t="str">
        <f>INDEX('Match Groups'!$D$5:$D$1326,MATCH(J2341,'Match Groups'!$A$5:$A$1326,0))</f>
        <v>STRIPE-FEE</v>
      </c>
    </row>
    <row r="2342">
      <c r="A2342" t="inlineStr">
        <is>
          <t>JI-02674</t>
        </is>
      </c>
      <c r="B2342" t="inlineStr">
        <is>
          <t>OPS</t>
        </is>
      </c>
      <c r="C2342" s="5" t="n">
        <v>46245</v>
      </c>
      <c r="D2342" t="inlineStr">
        <is>
          <t>Stripe patient 64020</t>
        </is>
      </c>
      <c r="E2342" t="inlineStr">
        <is>
          <t>INV/2026/04520</t>
        </is>
      </c>
      <c r="F2342" t="inlineStr">
        <is>
          <t>Customer payment INV/2026/04520</t>
        </is>
      </c>
      <c r="G2342" s="9" t="n">
        <v>65</v>
      </c>
      <c r="H2342" t="inlineStr">
        <is>
          <t>customer_payment</t>
        </is>
      </c>
      <c r="I2342" t="inlineStr"/>
      <c r="J2342" t="inlineStr">
        <is>
          <t>G00045</t>
        </is>
      </c>
      <c r="K2342" t="str">
        <f>INDEX('Match Groups'!$D$5:$D$1326,MATCH(J2342,'Match Groups'!$A$5:$A$1326,0))</f>
        <v>STRIPE-FEE</v>
      </c>
    </row>
    <row r="2343">
      <c r="A2343" t="inlineStr">
        <is>
          <t>JI-02675</t>
        </is>
      </c>
      <c r="B2343" t="inlineStr">
        <is>
          <t>OPS</t>
        </is>
      </c>
      <c r="C2343" s="5" t="n">
        <v>46245</v>
      </c>
      <c r="D2343" t="inlineStr">
        <is>
          <t>Stripe patient 35675</t>
        </is>
      </c>
      <c r="E2343" t="inlineStr">
        <is>
          <t>INV/2026/04521</t>
        </is>
      </c>
      <c r="F2343" t="inlineStr">
        <is>
          <t>Customer payment INV/2026/04521</t>
        </is>
      </c>
      <c r="G2343" s="9" t="n">
        <v>120</v>
      </c>
      <c r="H2343" t="inlineStr">
        <is>
          <t>customer_payment</t>
        </is>
      </c>
      <c r="I2343" t="inlineStr"/>
      <c r="J2343" t="inlineStr">
        <is>
          <t>G00045</t>
        </is>
      </c>
      <c r="K2343" t="str">
        <f>INDEX('Match Groups'!$D$5:$D$1326,MATCH(J2343,'Match Groups'!$A$5:$A$1326,0))</f>
        <v>STRIPE-FEE</v>
      </c>
    </row>
    <row r="2344">
      <c r="A2344" t="inlineStr">
        <is>
          <t>JI-02676</t>
        </is>
      </c>
      <c r="B2344" t="inlineStr">
        <is>
          <t>OPS</t>
        </is>
      </c>
      <c r="C2344" s="5" t="n">
        <v>46245</v>
      </c>
      <c r="D2344" t="inlineStr">
        <is>
          <t>Stripe patient 58194</t>
        </is>
      </c>
      <c r="E2344" t="inlineStr">
        <is>
          <t>INV/2026/04522</t>
        </is>
      </c>
      <c r="F2344" t="inlineStr">
        <is>
          <t>Customer payment INV/2026/04522</t>
        </is>
      </c>
      <c r="G2344" s="9" t="n">
        <v>95</v>
      </c>
      <c r="H2344" t="inlineStr">
        <is>
          <t>customer_payment</t>
        </is>
      </c>
      <c r="I2344" t="inlineStr"/>
      <c r="J2344" t="inlineStr">
        <is>
          <t>G00045</t>
        </is>
      </c>
      <c r="K2344" t="str">
        <f>INDEX('Match Groups'!$D$5:$D$1326,MATCH(J2344,'Match Groups'!$A$5:$A$1326,0))</f>
        <v>STRIPE-FEE</v>
      </c>
    </row>
    <row r="2345">
      <c r="A2345" t="inlineStr">
        <is>
          <t>JI-02677</t>
        </is>
      </c>
      <c r="B2345" t="inlineStr">
        <is>
          <t>OPS</t>
        </is>
      </c>
      <c r="C2345" s="5" t="n">
        <v>46245</v>
      </c>
      <c r="D2345" t="inlineStr">
        <is>
          <t>Stripe patient 72543</t>
        </is>
      </c>
      <c r="E2345" t="inlineStr">
        <is>
          <t>INV/2026/04523</t>
        </is>
      </c>
      <c r="F2345" t="inlineStr">
        <is>
          <t>Customer payment INV/2026/04523</t>
        </is>
      </c>
      <c r="G2345" s="9" t="n">
        <v>65</v>
      </c>
      <c r="H2345" t="inlineStr">
        <is>
          <t>customer_payment</t>
        </is>
      </c>
      <c r="I2345" t="inlineStr"/>
      <c r="J2345" t="inlineStr">
        <is>
          <t>G00045</t>
        </is>
      </c>
      <c r="K2345" t="str">
        <f>INDEX('Match Groups'!$D$5:$D$1326,MATCH(J2345,'Match Groups'!$A$5:$A$1326,0))</f>
        <v>STRIPE-FEE</v>
      </c>
    </row>
    <row r="2346">
      <c r="A2346" t="inlineStr">
        <is>
          <t>JI-02678</t>
        </is>
      </c>
      <c r="B2346" t="inlineStr">
        <is>
          <t>OPS</t>
        </is>
      </c>
      <c r="C2346" s="5" t="n">
        <v>46245</v>
      </c>
      <c r="D2346" t="inlineStr">
        <is>
          <t>Stripe patient 57449</t>
        </is>
      </c>
      <c r="E2346" t="inlineStr">
        <is>
          <t>INV/2026/04524</t>
        </is>
      </c>
      <c r="F2346" t="inlineStr">
        <is>
          <t>Customer payment INV/2026/04524</t>
        </is>
      </c>
      <c r="G2346" s="9" t="n">
        <v>150</v>
      </c>
      <c r="H2346" t="inlineStr">
        <is>
          <t>customer_payment</t>
        </is>
      </c>
      <c r="I2346" t="inlineStr"/>
      <c r="J2346" t="inlineStr">
        <is>
          <t>G00045</t>
        </is>
      </c>
      <c r="K2346" t="str">
        <f>INDEX('Match Groups'!$D$5:$D$1326,MATCH(J2346,'Match Groups'!$A$5:$A$1326,0))</f>
        <v>STRIPE-FEE</v>
      </c>
    </row>
    <row r="2347">
      <c r="A2347" t="inlineStr">
        <is>
          <t>JI-02679</t>
        </is>
      </c>
      <c r="B2347" t="inlineStr">
        <is>
          <t>OPS</t>
        </is>
      </c>
      <c r="C2347" s="5" t="n">
        <v>46245</v>
      </c>
      <c r="D2347" t="inlineStr">
        <is>
          <t>Stripe patient 35998</t>
        </is>
      </c>
      <c r="E2347" t="inlineStr">
        <is>
          <t>INV/2026/04525</t>
        </is>
      </c>
      <c r="F2347" t="inlineStr">
        <is>
          <t>Customer payment INV/2026/04525</t>
        </is>
      </c>
      <c r="G2347" s="9" t="n">
        <v>120</v>
      </c>
      <c r="H2347" t="inlineStr">
        <is>
          <t>customer_payment</t>
        </is>
      </c>
      <c r="I2347" t="inlineStr"/>
      <c r="J2347" t="inlineStr">
        <is>
          <t>G00045</t>
        </is>
      </c>
      <c r="K2347" t="str">
        <f>INDEX('Match Groups'!$D$5:$D$1326,MATCH(J2347,'Match Groups'!$A$5:$A$1326,0))</f>
        <v>STRIPE-FEE</v>
      </c>
    </row>
    <row r="2348">
      <c r="A2348" t="inlineStr">
        <is>
          <t>JI-02680</t>
        </is>
      </c>
      <c r="B2348" t="inlineStr">
        <is>
          <t>OPS</t>
        </is>
      </c>
      <c r="C2348" s="5" t="n">
        <v>46245</v>
      </c>
      <c r="D2348" t="inlineStr">
        <is>
          <t>Stripe patient 47858</t>
        </is>
      </c>
      <c r="E2348" t="inlineStr">
        <is>
          <t>INV/2026/04526</t>
        </is>
      </c>
      <c r="F2348" t="inlineStr">
        <is>
          <t>Customer payment INV/2026/04526</t>
        </is>
      </c>
      <c r="G2348" s="9" t="n">
        <v>135</v>
      </c>
      <c r="H2348" t="inlineStr">
        <is>
          <t>customer_payment</t>
        </is>
      </c>
      <c r="I2348" t="inlineStr"/>
      <c r="J2348" t="inlineStr">
        <is>
          <t>G00045</t>
        </is>
      </c>
      <c r="K2348" t="str">
        <f>INDEX('Match Groups'!$D$5:$D$1326,MATCH(J2348,'Match Groups'!$A$5:$A$1326,0))</f>
        <v>STRIPE-FEE</v>
      </c>
    </row>
    <row r="2349">
      <c r="A2349" t="inlineStr">
        <is>
          <t>JI-02681</t>
        </is>
      </c>
      <c r="B2349" t="inlineStr">
        <is>
          <t>OPS</t>
        </is>
      </c>
      <c r="C2349" s="5" t="n">
        <v>46245</v>
      </c>
      <c r="D2349" t="inlineStr">
        <is>
          <t>Stripe patient 34427</t>
        </is>
      </c>
      <c r="E2349" t="inlineStr">
        <is>
          <t>INV/2026/04527</t>
        </is>
      </c>
      <c r="F2349" t="inlineStr">
        <is>
          <t>Customer payment INV/2026/04527</t>
        </is>
      </c>
      <c r="G2349" s="9" t="n">
        <v>95</v>
      </c>
      <c r="H2349" t="inlineStr">
        <is>
          <t>customer_payment</t>
        </is>
      </c>
      <c r="I2349" t="inlineStr"/>
      <c r="J2349" t="inlineStr">
        <is>
          <t>G00045</t>
        </is>
      </c>
      <c r="K2349" t="str">
        <f>INDEX('Match Groups'!$D$5:$D$1326,MATCH(J2349,'Match Groups'!$A$5:$A$1326,0))</f>
        <v>STRIPE-FEE</v>
      </c>
    </row>
    <row r="2350">
      <c r="A2350" t="inlineStr">
        <is>
          <t>JI-02682</t>
        </is>
      </c>
      <c r="B2350" t="inlineStr">
        <is>
          <t>OPS</t>
        </is>
      </c>
      <c r="C2350" s="5" t="n">
        <v>46245</v>
      </c>
      <c r="D2350" t="inlineStr">
        <is>
          <t>Stripe patient 31865</t>
        </is>
      </c>
      <c r="E2350" t="inlineStr">
        <is>
          <t>INV/2026/04528</t>
        </is>
      </c>
      <c r="F2350" t="inlineStr">
        <is>
          <t>Customer payment INV/2026/04528</t>
        </is>
      </c>
      <c r="G2350" s="9" t="n">
        <v>85</v>
      </c>
      <c r="H2350" t="inlineStr">
        <is>
          <t>customer_payment</t>
        </is>
      </c>
      <c r="I2350" t="inlineStr"/>
      <c r="J2350" t="inlineStr">
        <is>
          <t>G00045</t>
        </is>
      </c>
      <c r="K2350" t="str">
        <f>INDEX('Match Groups'!$D$5:$D$1326,MATCH(J2350,'Match Groups'!$A$5:$A$1326,0))</f>
        <v>STRIPE-FEE</v>
      </c>
    </row>
    <row r="2351">
      <c r="A2351" t="inlineStr">
        <is>
          <t>JI-02683</t>
        </is>
      </c>
      <c r="B2351" t="inlineStr">
        <is>
          <t>OPS</t>
        </is>
      </c>
      <c r="C2351" s="5" t="n">
        <v>46245</v>
      </c>
      <c r="D2351" t="inlineStr">
        <is>
          <t>Stripe patient 49586</t>
        </is>
      </c>
      <c r="E2351" t="inlineStr">
        <is>
          <t>INV/2026/04529</t>
        </is>
      </c>
      <c r="F2351" t="inlineStr">
        <is>
          <t>Customer payment INV/2026/04529</t>
        </is>
      </c>
      <c r="G2351" s="9" t="n">
        <v>220</v>
      </c>
      <c r="H2351" t="inlineStr">
        <is>
          <t>customer_payment</t>
        </is>
      </c>
      <c r="I2351" t="inlineStr"/>
      <c r="J2351" t="inlineStr">
        <is>
          <t>G00045</t>
        </is>
      </c>
      <c r="K2351" t="str">
        <f>INDEX('Match Groups'!$D$5:$D$1326,MATCH(J2351,'Match Groups'!$A$5:$A$1326,0))</f>
        <v>STRIPE-FEE</v>
      </c>
    </row>
    <row r="2352">
      <c r="A2352" t="inlineStr">
        <is>
          <t>JI-02684</t>
        </is>
      </c>
      <c r="B2352" t="inlineStr">
        <is>
          <t>OPS</t>
        </is>
      </c>
      <c r="C2352" s="5" t="n">
        <v>46245</v>
      </c>
      <c r="D2352" t="inlineStr">
        <is>
          <t>Stripe patient 72029</t>
        </is>
      </c>
      <c r="E2352" t="inlineStr">
        <is>
          <t>INV/2026/04530</t>
        </is>
      </c>
      <c r="F2352" t="inlineStr">
        <is>
          <t>Customer payment INV/2026/04530</t>
        </is>
      </c>
      <c r="G2352" s="9" t="n">
        <v>220</v>
      </c>
      <c r="H2352" t="inlineStr">
        <is>
          <t>customer_payment</t>
        </is>
      </c>
      <c r="I2352" t="inlineStr"/>
      <c r="J2352" t="inlineStr">
        <is>
          <t>G00045</t>
        </is>
      </c>
      <c r="K2352" t="str">
        <f>INDEX('Match Groups'!$D$5:$D$1326,MATCH(J2352,'Match Groups'!$A$5:$A$1326,0))</f>
        <v>STRIPE-FEE</v>
      </c>
    </row>
    <row r="2353">
      <c r="A2353" t="inlineStr">
        <is>
          <t>JI-02685</t>
        </is>
      </c>
      <c r="B2353" t="inlineStr">
        <is>
          <t>OPS</t>
        </is>
      </c>
      <c r="C2353" s="5" t="n">
        <v>46245</v>
      </c>
      <c r="D2353" t="inlineStr">
        <is>
          <t>Stripe patient 68761</t>
        </is>
      </c>
      <c r="E2353" t="inlineStr">
        <is>
          <t>INV/2026/04531</t>
        </is>
      </c>
      <c r="F2353" t="inlineStr">
        <is>
          <t>Customer payment INV/2026/04531</t>
        </is>
      </c>
      <c r="G2353" s="9" t="n">
        <v>85</v>
      </c>
      <c r="H2353" t="inlineStr">
        <is>
          <t>customer_payment</t>
        </is>
      </c>
      <c r="I2353" t="inlineStr"/>
      <c r="J2353" t="inlineStr">
        <is>
          <t>G00045</t>
        </is>
      </c>
      <c r="K2353" t="str">
        <f>INDEX('Match Groups'!$D$5:$D$1326,MATCH(J2353,'Match Groups'!$A$5:$A$1326,0))</f>
        <v>STRIPE-FEE</v>
      </c>
    </row>
    <row r="2354">
      <c r="A2354" t="inlineStr">
        <is>
          <t>JI-02686</t>
        </is>
      </c>
      <c r="B2354" t="inlineStr">
        <is>
          <t>OPS</t>
        </is>
      </c>
      <c r="C2354" s="5" t="n">
        <v>46245</v>
      </c>
      <c r="D2354" t="inlineStr">
        <is>
          <t>Stripe patient 73224</t>
        </is>
      </c>
      <c r="E2354" t="inlineStr">
        <is>
          <t>INV/2026/04532</t>
        </is>
      </c>
      <c r="F2354" t="inlineStr">
        <is>
          <t>Customer payment INV/2026/04532</t>
        </is>
      </c>
      <c r="G2354" s="9" t="n">
        <v>120</v>
      </c>
      <c r="H2354" t="inlineStr">
        <is>
          <t>customer_payment</t>
        </is>
      </c>
      <c r="I2354" t="inlineStr"/>
      <c r="J2354" t="inlineStr">
        <is>
          <t>G00045</t>
        </is>
      </c>
      <c r="K2354" t="str">
        <f>INDEX('Match Groups'!$D$5:$D$1326,MATCH(J2354,'Match Groups'!$A$5:$A$1326,0))</f>
        <v>STRIPE-FEE</v>
      </c>
    </row>
    <row r="2355">
      <c r="A2355" t="inlineStr">
        <is>
          <t>JI-02687</t>
        </is>
      </c>
      <c r="B2355" t="inlineStr">
        <is>
          <t>OPS</t>
        </is>
      </c>
      <c r="C2355" s="5" t="n">
        <v>46245</v>
      </c>
      <c r="D2355" t="inlineStr">
        <is>
          <t>Stripe patient 15814</t>
        </is>
      </c>
      <c r="E2355" t="inlineStr">
        <is>
          <t>INV/2026/04533</t>
        </is>
      </c>
      <c r="F2355" t="inlineStr">
        <is>
          <t>Customer payment INV/2026/04533</t>
        </is>
      </c>
      <c r="G2355" s="9" t="n">
        <v>220</v>
      </c>
      <c r="H2355" t="inlineStr">
        <is>
          <t>customer_payment</t>
        </is>
      </c>
      <c r="I2355" t="inlineStr"/>
      <c r="J2355" t="inlineStr">
        <is>
          <t>G00045</t>
        </is>
      </c>
      <c r="K2355" t="str">
        <f>INDEX('Match Groups'!$D$5:$D$1326,MATCH(J2355,'Match Groups'!$A$5:$A$1326,0))</f>
        <v>STRIPE-FEE</v>
      </c>
    </row>
    <row r="2356">
      <c r="A2356" t="inlineStr">
        <is>
          <t>JI-02688</t>
        </is>
      </c>
      <c r="B2356" t="inlineStr">
        <is>
          <t>OPS</t>
        </is>
      </c>
      <c r="C2356" s="5" t="n">
        <v>46245</v>
      </c>
      <c r="D2356" t="inlineStr">
        <is>
          <t>Stripe patient 72554</t>
        </is>
      </c>
      <c r="E2356" t="inlineStr">
        <is>
          <t>INV/2026/04534</t>
        </is>
      </c>
      <c r="F2356" t="inlineStr">
        <is>
          <t>Customer payment INV/2026/04534</t>
        </is>
      </c>
      <c r="G2356" s="9" t="n">
        <v>150</v>
      </c>
      <c r="H2356" t="inlineStr">
        <is>
          <t>customer_payment</t>
        </is>
      </c>
      <c r="I2356" t="inlineStr"/>
      <c r="J2356" t="inlineStr">
        <is>
          <t>G00045</t>
        </is>
      </c>
      <c r="K2356" t="str">
        <f>INDEX('Match Groups'!$D$5:$D$1326,MATCH(J2356,'Match Groups'!$A$5:$A$1326,0))</f>
        <v>STRIPE-FEE</v>
      </c>
    </row>
    <row r="2357">
      <c r="A2357" t="inlineStr">
        <is>
          <t>JI-03924</t>
        </is>
      </c>
      <c r="B2357" t="inlineStr">
        <is>
          <t>OPS</t>
        </is>
      </c>
      <c r="C2357" s="5" t="n">
        <v>46245</v>
      </c>
      <c r="D2357" t="inlineStr">
        <is>
          <t>Ward Electrical</t>
        </is>
      </c>
      <c r="E2357" t="inlineStr">
        <is>
          <t>CHQ 000406</t>
        </is>
      </c>
      <c r="F2357" t="inlineStr">
        <is>
          <t>Cheque 000406 Ward Electrical</t>
        </is>
      </c>
      <c r="G2357" s="9" t="n">
        <v>-132</v>
      </c>
      <c r="H2357" t="inlineStr">
        <is>
          <t>supplier_payment</t>
        </is>
      </c>
      <c r="I2357" t="inlineStr"/>
      <c r="J2357" t="inlineStr">
        <is>
          <t>G00526</t>
        </is>
      </c>
      <c r="K2357" t="str">
        <f>INDEX('Match Groups'!$D$5:$D$1326,MATCH(J2357,'Match Groups'!$A$5:$A$1326,0))</f>
        <v>MATCH</v>
      </c>
    </row>
    <row r="2358">
      <c r="A2358" t="inlineStr">
        <is>
          <t>JI-03925</t>
        </is>
      </c>
      <c r="B2358" t="inlineStr">
        <is>
          <t>OPS</t>
        </is>
      </c>
      <c r="C2358" s="5" t="n">
        <v>46245</v>
      </c>
      <c r="D2358" t="inlineStr">
        <is>
          <t>Bayside Cleaning Co</t>
        </is>
      </c>
      <c r="E2358" t="inlineStr">
        <is>
          <t>CHQ 000407</t>
        </is>
      </c>
      <c r="F2358" t="inlineStr">
        <is>
          <t>Cheque 000407 Bayside Cleaning Co</t>
        </is>
      </c>
      <c r="G2358" s="9" t="n">
        <v>-924</v>
      </c>
      <c r="H2358" t="inlineStr">
        <is>
          <t>supplier_payment</t>
        </is>
      </c>
      <c r="I2358" t="inlineStr"/>
      <c r="J2358" t="inlineStr">
        <is>
          <t>G00527</t>
        </is>
      </c>
      <c r="K2358" t="str">
        <f>INDEX('Match Groups'!$D$5:$D$1326,MATCH(J2358,'Match Groups'!$A$5:$A$1326,0))</f>
        <v>MATCH</v>
      </c>
    </row>
    <row r="2359">
      <c r="A2359" t="inlineStr">
        <is>
          <t>JI-00869</t>
        </is>
      </c>
      <c r="B2359" t="inlineStr">
        <is>
          <t>OPS</t>
        </is>
      </c>
      <c r="C2359" s="5" t="n">
        <v>46246</v>
      </c>
      <c r="D2359" t="inlineStr">
        <is>
          <t>Bluegum Plan Management</t>
        </is>
      </c>
      <c r="E2359" t="inlineStr">
        <is>
          <t>INV/2026/02418</t>
        </is>
      </c>
      <c r="F2359" t="inlineStr">
        <is>
          <t>Customer payment INV/2026/02418</t>
        </is>
      </c>
      <c r="G2359" s="9" t="n">
        <v>163.99</v>
      </c>
      <c r="H2359" t="inlineStr">
        <is>
          <t>customer_payment</t>
        </is>
      </c>
      <c r="I2359" t="inlineStr"/>
      <c r="J2359" t="inlineStr">
        <is>
          <t>G00288</t>
        </is>
      </c>
      <c r="K2359" t="str">
        <f>INDEX('Match Groups'!$D$5:$D$1326,MATCH(J2359,'Match Groups'!$A$5:$A$1326,0))</f>
        <v>MATCH</v>
      </c>
    </row>
    <row r="2360">
      <c r="A2360" t="inlineStr">
        <is>
          <t>JI-00870</t>
        </is>
      </c>
      <c r="B2360" t="inlineStr">
        <is>
          <t>OPS</t>
        </is>
      </c>
      <c r="C2360" s="5" t="n">
        <v>46246</v>
      </c>
      <c r="D2360" t="inlineStr">
        <is>
          <t>Bluegum Plan Management</t>
        </is>
      </c>
      <c r="E2360" t="inlineStr">
        <is>
          <t>INV/2026/02442</t>
        </is>
      </c>
      <c r="F2360" t="inlineStr">
        <is>
          <t>Customer payment INV/2026/02442</t>
        </is>
      </c>
      <c r="G2360" s="9" t="n">
        <v>320.98</v>
      </c>
      <c r="H2360" t="inlineStr">
        <is>
          <t>customer_payment</t>
        </is>
      </c>
      <c r="I2360" t="inlineStr"/>
      <c r="J2360" t="inlineStr">
        <is>
          <t>G00288</t>
        </is>
      </c>
      <c r="K2360" t="str">
        <f>INDEX('Match Groups'!$D$5:$D$1326,MATCH(J2360,'Match Groups'!$A$5:$A$1326,0))</f>
        <v>MATCH</v>
      </c>
    </row>
    <row r="2361">
      <c r="A2361" t="inlineStr">
        <is>
          <t>JI-00871</t>
        </is>
      </c>
      <c r="B2361" t="inlineStr">
        <is>
          <t>OPS</t>
        </is>
      </c>
      <c r="C2361" s="5" t="n">
        <v>46246</v>
      </c>
      <c r="D2361" t="inlineStr">
        <is>
          <t>Riverbend Plan Partners</t>
        </is>
      </c>
      <c r="E2361" t="inlineStr">
        <is>
          <t>INV/2026/02464</t>
        </is>
      </c>
      <c r="F2361" t="inlineStr">
        <is>
          <t>Customer payment INV/2026/02464</t>
        </is>
      </c>
      <c r="G2361" s="9" t="n">
        <v>126.99</v>
      </c>
      <c r="H2361" t="inlineStr">
        <is>
          <t>customer_payment</t>
        </is>
      </c>
      <c r="I2361" t="inlineStr"/>
      <c r="J2361" t="inlineStr">
        <is>
          <t>G00289</t>
        </is>
      </c>
      <c r="K2361" t="str">
        <f>INDEX('Match Groups'!$D$5:$D$1326,MATCH(J2361,'Match Groups'!$A$5:$A$1326,0))</f>
        <v>MATCH</v>
      </c>
    </row>
    <row r="2362">
      <c r="A2362" t="inlineStr">
        <is>
          <t>JI-00872</t>
        </is>
      </c>
      <c r="B2362" t="inlineStr">
        <is>
          <t>OPS</t>
        </is>
      </c>
      <c r="C2362" s="5" t="n">
        <v>46246</v>
      </c>
      <c r="D2362" t="inlineStr">
        <is>
          <t>Riverbend Plan Partners</t>
        </is>
      </c>
      <c r="E2362" t="inlineStr">
        <is>
          <t>INV/2026/02513</t>
        </is>
      </c>
      <c r="F2362" t="inlineStr">
        <is>
          <t>Customer payment INV/2026/02513</t>
        </is>
      </c>
      <c r="G2362" s="9" t="n">
        <v>242.49</v>
      </c>
      <c r="H2362" t="inlineStr">
        <is>
          <t>customer_payment</t>
        </is>
      </c>
      <c r="I2362" t="inlineStr"/>
      <c r="J2362" t="inlineStr">
        <is>
          <t>G00289</t>
        </is>
      </c>
      <c r="K2362" t="str">
        <f>INDEX('Match Groups'!$D$5:$D$1326,MATCH(J2362,'Match Groups'!$A$5:$A$1326,0))</f>
        <v>MATCH</v>
      </c>
    </row>
    <row r="2363">
      <c r="A2363" t="inlineStr">
        <is>
          <t>JI-00873</t>
        </is>
      </c>
      <c r="B2363" t="inlineStr">
        <is>
          <t>OPS</t>
        </is>
      </c>
      <c r="C2363" s="5" t="n">
        <v>46246</v>
      </c>
      <c r="D2363" t="inlineStr">
        <is>
          <t>Banksia Plan Co</t>
        </is>
      </c>
      <c r="E2363" t="inlineStr">
        <is>
          <t>INV/2026/02446</t>
        </is>
      </c>
      <c r="F2363" t="inlineStr">
        <is>
          <t>Customer payment INV/2026/02446</t>
        </is>
      </c>
      <c r="G2363" s="9" t="n">
        <v>242.49</v>
      </c>
      <c r="H2363" t="inlineStr">
        <is>
          <t>customer_payment</t>
        </is>
      </c>
      <c r="I2363" t="inlineStr"/>
      <c r="J2363" t="inlineStr">
        <is>
          <t>G00290</t>
        </is>
      </c>
      <c r="K2363" t="str">
        <f>INDEX('Match Groups'!$D$5:$D$1326,MATCH(J2363,'Match Groups'!$A$5:$A$1326,0))</f>
        <v>MATCH</v>
      </c>
    </row>
    <row r="2364">
      <c r="A2364" t="inlineStr">
        <is>
          <t>JI-00874</t>
        </is>
      </c>
      <c r="B2364" t="inlineStr">
        <is>
          <t>OPS</t>
        </is>
      </c>
      <c r="C2364" s="5" t="n">
        <v>46246</v>
      </c>
      <c r="D2364" t="inlineStr">
        <is>
          <t>Banksia Plan Co</t>
        </is>
      </c>
      <c r="E2364" t="inlineStr">
        <is>
          <t>INV/2026/02519</t>
        </is>
      </c>
      <c r="F2364" t="inlineStr">
        <is>
          <t>Customer payment INV/2026/02519</t>
        </is>
      </c>
      <c r="G2364" s="9" t="n">
        <v>320.98</v>
      </c>
      <c r="H2364" t="inlineStr">
        <is>
          <t>customer_payment</t>
        </is>
      </c>
      <c r="I2364" t="inlineStr"/>
      <c r="J2364" t="inlineStr">
        <is>
          <t>G00290</t>
        </is>
      </c>
      <c r="K2364" t="str">
        <f>INDEX('Match Groups'!$D$5:$D$1326,MATCH(J2364,'Match Groups'!$A$5:$A$1326,0))</f>
        <v>MATCH</v>
      </c>
    </row>
    <row r="2365">
      <c r="A2365" t="inlineStr">
        <is>
          <t>JI-00875</t>
        </is>
      </c>
      <c r="B2365" t="inlineStr">
        <is>
          <t>OPS</t>
        </is>
      </c>
      <c r="C2365" s="5" t="n">
        <v>46246</v>
      </c>
      <c r="D2365" t="inlineStr">
        <is>
          <t>Lyrebird Plan Management</t>
        </is>
      </c>
      <c r="E2365" t="inlineStr">
        <is>
          <t>INV/2026/02482</t>
        </is>
      </c>
      <c r="F2365" t="inlineStr">
        <is>
          <t>Customer payment INV/2026/02482</t>
        </is>
      </c>
      <c r="G2365" s="9" t="n">
        <v>387.98</v>
      </c>
      <c r="H2365" t="inlineStr">
        <is>
          <t>customer_payment</t>
        </is>
      </c>
      <c r="I2365" t="inlineStr"/>
      <c r="J2365" t="inlineStr">
        <is>
          <t>G00291</t>
        </is>
      </c>
      <c r="K2365" t="str">
        <f>INDEX('Match Groups'!$D$5:$D$1326,MATCH(J2365,'Match Groups'!$A$5:$A$1326,0))</f>
        <v>MATCH</v>
      </c>
    </row>
    <row r="2366">
      <c r="A2366" t="inlineStr">
        <is>
          <t>JI-00876</t>
        </is>
      </c>
      <c r="B2366" t="inlineStr">
        <is>
          <t>OPS</t>
        </is>
      </c>
      <c r="C2366" s="5" t="n">
        <v>46246</v>
      </c>
      <c r="D2366" t="inlineStr">
        <is>
          <t>Acacia Plan Partners</t>
        </is>
      </c>
      <c r="E2366" t="inlineStr">
        <is>
          <t>INV/2026/02530</t>
        </is>
      </c>
      <c r="F2366" t="inlineStr">
        <is>
          <t>Customer payment INV/2026/02530</t>
        </is>
      </c>
      <c r="G2366" s="9" t="n">
        <v>96.98999999999999</v>
      </c>
      <c r="H2366" t="inlineStr">
        <is>
          <t>customer_payment</t>
        </is>
      </c>
      <c r="I2366" t="inlineStr"/>
      <c r="J2366" t="inlineStr">
        <is>
          <t>G00292</t>
        </is>
      </c>
      <c r="K2366" t="str">
        <f>INDEX('Match Groups'!$D$5:$D$1326,MATCH(J2366,'Match Groups'!$A$5:$A$1326,0))</f>
        <v>MATCH</v>
      </c>
    </row>
    <row r="2367">
      <c r="A2367" t="inlineStr">
        <is>
          <t>JI-00887</t>
        </is>
      </c>
      <c r="B2367" t="inlineStr">
        <is>
          <t>OPS</t>
        </is>
      </c>
      <c r="C2367" s="5" t="n">
        <v>46246</v>
      </c>
      <c r="D2367" t="inlineStr">
        <is>
          <t>Tallowwood Plans</t>
        </is>
      </c>
      <c r="E2367" t="inlineStr">
        <is>
          <t>INV/2026/02483</t>
        </is>
      </c>
      <c r="F2367" t="inlineStr">
        <is>
          <t>Customer payment INV/2026/02483</t>
        </is>
      </c>
      <c r="G2367" s="9" t="n">
        <v>155.19</v>
      </c>
      <c r="H2367" t="inlineStr">
        <is>
          <t>customer_payment</t>
        </is>
      </c>
      <c r="I2367" t="inlineStr"/>
      <c r="J2367" t="inlineStr">
        <is>
          <t>G00297</t>
        </is>
      </c>
      <c r="K2367" t="str">
        <f>INDEX('Match Groups'!$D$5:$D$1326,MATCH(J2367,'Match Groups'!$A$5:$A$1326,0))</f>
        <v>MATCH</v>
      </c>
    </row>
    <row r="2368">
      <c r="A2368" t="inlineStr">
        <is>
          <t>JI-00888</t>
        </is>
      </c>
      <c r="B2368" t="inlineStr">
        <is>
          <t>OPS</t>
        </is>
      </c>
      <c r="C2368" s="5" t="n">
        <v>46246</v>
      </c>
      <c r="D2368" t="inlineStr">
        <is>
          <t>Tallowwood Plans</t>
        </is>
      </c>
      <c r="E2368" t="inlineStr">
        <is>
          <t>INV/2026/02484</t>
        </is>
      </c>
      <c r="F2368" t="inlineStr">
        <is>
          <t>Customer payment INV/2026/02484</t>
        </is>
      </c>
      <c r="G2368" s="9" t="n">
        <v>272.49</v>
      </c>
      <c r="H2368" t="inlineStr">
        <is>
          <t>customer_payment</t>
        </is>
      </c>
      <c r="I2368" t="inlineStr"/>
      <c r="J2368" t="inlineStr">
        <is>
          <t>G00297</t>
        </is>
      </c>
      <c r="K2368" t="str">
        <f>INDEX('Match Groups'!$D$5:$D$1326,MATCH(J2368,'Match Groups'!$A$5:$A$1326,0))</f>
        <v>MATCH</v>
      </c>
    </row>
    <row r="2369">
      <c r="A2369" t="inlineStr">
        <is>
          <t>JI-00889</t>
        </is>
      </c>
      <c r="B2369" t="inlineStr">
        <is>
          <t>OPS</t>
        </is>
      </c>
      <c r="C2369" s="5" t="n">
        <v>46246</v>
      </c>
      <c r="D2369" t="inlineStr">
        <is>
          <t>Tallowwood Plans</t>
        </is>
      </c>
      <c r="E2369" t="inlineStr">
        <is>
          <t>INV/2026/02485</t>
        </is>
      </c>
      <c r="F2369" t="inlineStr">
        <is>
          <t>Customer payment INV/2026/02485</t>
        </is>
      </c>
      <c r="G2369" s="9" t="n">
        <v>193.99</v>
      </c>
      <c r="H2369" t="inlineStr">
        <is>
          <t>customer_payment</t>
        </is>
      </c>
      <c r="I2369" t="inlineStr"/>
      <c r="J2369" t="inlineStr">
        <is>
          <t>G00297</t>
        </is>
      </c>
      <c r="K2369" t="str">
        <f>INDEX('Match Groups'!$D$5:$D$1326,MATCH(J2369,'Match Groups'!$A$5:$A$1326,0))</f>
        <v>MATCH</v>
      </c>
    </row>
    <row r="2370">
      <c r="A2370" t="inlineStr">
        <is>
          <t>JI-00890</t>
        </is>
      </c>
      <c r="B2370" t="inlineStr">
        <is>
          <t>OPS</t>
        </is>
      </c>
      <c r="C2370" s="5" t="n">
        <v>46246</v>
      </c>
      <c r="D2370" t="inlineStr">
        <is>
          <t>Tallowwood Plans</t>
        </is>
      </c>
      <c r="E2370" t="inlineStr">
        <is>
          <t>INV/2026/02506</t>
        </is>
      </c>
      <c r="F2370" t="inlineStr">
        <is>
          <t>Customer payment INV/2026/02506</t>
        </is>
      </c>
      <c r="G2370" s="9" t="n">
        <v>145.49</v>
      </c>
      <c r="H2370" t="inlineStr">
        <is>
          <t>customer_payment</t>
        </is>
      </c>
      <c r="I2370" t="inlineStr"/>
      <c r="J2370" t="inlineStr">
        <is>
          <t>G00297</t>
        </is>
      </c>
      <c r="K2370" t="str">
        <f>INDEX('Match Groups'!$D$5:$D$1326,MATCH(J2370,'Match Groups'!$A$5:$A$1326,0))</f>
        <v>MATCH</v>
      </c>
    </row>
    <row r="2371">
      <c r="A2371" t="inlineStr">
        <is>
          <t>JI-00891</t>
        </is>
      </c>
      <c r="B2371" t="inlineStr">
        <is>
          <t>OPS</t>
        </is>
      </c>
      <c r="C2371" s="5" t="n">
        <v>46246</v>
      </c>
      <c r="D2371" t="inlineStr">
        <is>
          <t>Tallowwood Plans</t>
        </is>
      </c>
      <c r="E2371" t="inlineStr">
        <is>
          <t>INV/2026/02528</t>
        </is>
      </c>
      <c r="F2371" t="inlineStr">
        <is>
          <t>Customer payment INV/2026/02528</t>
        </is>
      </c>
      <c r="G2371" s="9" t="n">
        <v>320.98</v>
      </c>
      <c r="H2371" t="inlineStr">
        <is>
          <t>customer_payment</t>
        </is>
      </c>
      <c r="I2371" t="inlineStr"/>
      <c r="J2371" t="inlineStr">
        <is>
          <t>G00297</t>
        </is>
      </c>
      <c r="K2371" t="str">
        <f>INDEX('Match Groups'!$D$5:$D$1326,MATCH(J2371,'Match Groups'!$A$5:$A$1326,0))</f>
        <v>MATCH</v>
      </c>
    </row>
    <row r="2372">
      <c r="A2372" t="inlineStr">
        <is>
          <t>JI-00892</t>
        </is>
      </c>
      <c r="B2372" t="inlineStr">
        <is>
          <t>OPS</t>
        </is>
      </c>
      <c r="C2372" s="5" t="n">
        <v>46246</v>
      </c>
      <c r="D2372" t="inlineStr">
        <is>
          <t>Tallowwood Plans</t>
        </is>
      </c>
      <c r="E2372" t="inlineStr">
        <is>
          <t>INV/2026/02529</t>
        </is>
      </c>
      <c r="F2372" t="inlineStr">
        <is>
          <t>Customer payment INV/2026/02529</t>
        </is>
      </c>
      <c r="G2372" s="9" t="n">
        <v>242.49</v>
      </c>
      <c r="H2372" t="inlineStr">
        <is>
          <t>customer_payment</t>
        </is>
      </c>
      <c r="I2372" t="inlineStr"/>
      <c r="J2372" t="inlineStr">
        <is>
          <t>G00297</t>
        </is>
      </c>
      <c r="K2372" t="str">
        <f>INDEX('Match Groups'!$D$5:$D$1326,MATCH(J2372,'Match Groups'!$A$5:$A$1326,0))</f>
        <v>MATCH</v>
      </c>
    </row>
    <row r="2373">
      <c r="A2373" t="inlineStr">
        <is>
          <t>JI-01580</t>
        </is>
      </c>
      <c r="B2373" t="inlineStr">
        <is>
          <t>OPS</t>
        </is>
      </c>
      <c r="C2373" s="5" t="n">
        <v>46246</v>
      </c>
      <c r="D2373" t="inlineStr">
        <is>
          <t>Unity Workcover Agents</t>
        </is>
      </c>
      <c r="E2373" t="inlineStr">
        <is>
          <t>INV/2026/02439</t>
        </is>
      </c>
      <c r="F2373" t="inlineStr">
        <is>
          <t>Customer payment INV/2026/02439</t>
        </is>
      </c>
      <c r="G2373" s="9" t="n">
        <v>990</v>
      </c>
      <c r="H2373" t="inlineStr">
        <is>
          <t>customer_payment</t>
        </is>
      </c>
      <c r="I2373" t="inlineStr"/>
      <c r="J2373" t="inlineStr">
        <is>
          <t>G00999</t>
        </is>
      </c>
      <c r="K2373" t="str">
        <f>INDEX('Match Groups'!$D$5:$D$1326,MATCH(J2373,'Match Groups'!$A$5:$A$1326,0))</f>
        <v>MATCH</v>
      </c>
    </row>
    <row r="2374">
      <c r="A2374" t="inlineStr">
        <is>
          <t>JI-01676</t>
        </is>
      </c>
      <c r="B2374" t="inlineStr">
        <is>
          <t>OPS</t>
        </is>
      </c>
      <c r="C2374" s="5" t="n">
        <v>46246</v>
      </c>
      <c r="D2374" t="inlineStr">
        <is>
          <t>Fernhill Aged Care</t>
        </is>
      </c>
      <c r="E2374" t="inlineStr">
        <is>
          <t>INV/2026/03475</t>
        </is>
      </c>
      <c r="F2374" t="inlineStr">
        <is>
          <t>Customer payment INV/2026/03475</t>
        </is>
      </c>
      <c r="G2374" s="9" t="n">
        <v>15950</v>
      </c>
      <c r="H2374" t="inlineStr">
        <is>
          <t>customer_payment</t>
        </is>
      </c>
      <c r="I2374" t="inlineStr"/>
      <c r="J2374" t="inlineStr">
        <is>
          <t>G00996</t>
        </is>
      </c>
      <c r="K2374" t="str">
        <f>INDEX('Match Groups'!$D$5:$D$1326,MATCH(J2374,'Match Groups'!$A$5:$A$1326,0))</f>
        <v>MATCH</v>
      </c>
    </row>
    <row r="2375">
      <c r="A2375" t="inlineStr">
        <is>
          <t>JI-01719</t>
        </is>
      </c>
      <c r="B2375" t="inlineStr">
        <is>
          <t>OPS</t>
        </is>
      </c>
      <c r="C2375" s="5" t="n">
        <v>46246</v>
      </c>
      <c r="D2375" t="inlineStr">
        <is>
          <t>Daintree Packaging</t>
        </is>
      </c>
      <c r="E2375" t="inlineStr">
        <is>
          <t>INV/2026/03493</t>
        </is>
      </c>
      <c r="F2375" t="inlineStr">
        <is>
          <t>Customer payment INV/2026/03493</t>
        </is>
      </c>
      <c r="G2375" s="9" t="n">
        <v>16032.5</v>
      </c>
      <c r="H2375" t="inlineStr">
        <is>
          <t>customer_payment</t>
        </is>
      </c>
      <c r="I2375" t="inlineStr"/>
      <c r="J2375" t="inlineStr">
        <is>
          <t>G01002</t>
        </is>
      </c>
      <c r="K2375" t="str">
        <f>INDEX('Match Groups'!$D$5:$D$1326,MATCH(J2375,'Match Groups'!$A$5:$A$1326,0))</f>
        <v>MATCH</v>
      </c>
    </row>
    <row r="2376">
      <c r="A2376" t="inlineStr">
        <is>
          <t>JI-01725</t>
        </is>
      </c>
      <c r="B2376" t="inlineStr">
        <is>
          <t>OPS</t>
        </is>
      </c>
      <c r="C2376" s="5" t="n">
        <v>46246</v>
      </c>
      <c r="D2376" t="inlineStr">
        <is>
          <t>Gilmour Steel Pty Ltd</t>
        </is>
      </c>
      <c r="E2376" t="inlineStr">
        <is>
          <t>INV/2026/03444</t>
        </is>
      </c>
      <c r="F2376" t="inlineStr">
        <is>
          <t>Customer payment INV/2026/03444</t>
        </is>
      </c>
      <c r="G2376" s="9" t="n">
        <v>16032.5</v>
      </c>
      <c r="H2376" t="inlineStr">
        <is>
          <t>customer_payment</t>
        </is>
      </c>
      <c r="I2376" t="inlineStr"/>
      <c r="J2376" t="inlineStr">
        <is>
          <t>G00992</t>
        </is>
      </c>
      <c r="K2376" t="str">
        <f>INDEX('Match Groups'!$D$5:$D$1326,MATCH(J2376,'Match Groups'!$A$5:$A$1326,0))</f>
        <v>MATCH</v>
      </c>
    </row>
    <row r="2377">
      <c r="A2377" t="inlineStr">
        <is>
          <t>JI-01729</t>
        </is>
      </c>
      <c r="B2377" t="inlineStr">
        <is>
          <t>OPS</t>
        </is>
      </c>
      <c r="C2377" s="5" t="n">
        <v>46246</v>
      </c>
      <c r="D2377" t="inlineStr">
        <is>
          <t>Hollis &amp; Fry Architects</t>
        </is>
      </c>
      <c r="E2377" t="inlineStr">
        <is>
          <t>INV/2026/03498</t>
        </is>
      </c>
      <c r="F2377" t="inlineStr">
        <is>
          <t>Customer payment INV/2026/03498</t>
        </is>
      </c>
      <c r="G2377" s="9" t="n">
        <v>1471.25</v>
      </c>
      <c r="H2377" t="inlineStr">
        <is>
          <t>customer_payment</t>
        </is>
      </c>
      <c r="I2377" t="inlineStr"/>
      <c r="J2377" t="inlineStr">
        <is>
          <t>G01003</t>
        </is>
      </c>
      <c r="K2377" t="str">
        <f>INDEX('Match Groups'!$D$5:$D$1326,MATCH(J2377,'Match Groups'!$A$5:$A$1326,0))</f>
        <v>MATCH</v>
      </c>
    </row>
    <row r="2378">
      <c r="A2378" t="inlineStr">
        <is>
          <t>JI-01774</t>
        </is>
      </c>
      <c r="B2378" t="inlineStr">
        <is>
          <t>OPS</t>
        </is>
      </c>
      <c r="C2378" s="5" t="n">
        <v>46246</v>
      </c>
      <c r="D2378" t="inlineStr">
        <is>
          <t>Thornbury Textiles</t>
        </is>
      </c>
      <c r="E2378" t="inlineStr">
        <is>
          <t>INV/2026/03513</t>
        </is>
      </c>
      <c r="F2378" t="inlineStr">
        <is>
          <t>Customer payment INV/2026/03513</t>
        </is>
      </c>
      <c r="G2378" s="9" t="n">
        <v>6820</v>
      </c>
      <c r="H2378" t="inlineStr">
        <is>
          <t>customer_payment</t>
        </is>
      </c>
      <c r="I2378" t="inlineStr"/>
      <c r="J2378" t="inlineStr">
        <is>
          <t>G00998</t>
        </is>
      </c>
      <c r="K2378" t="str">
        <f>INDEX('Match Groups'!$D$5:$D$1326,MATCH(J2378,'Match Groups'!$A$5:$A$1326,0))</f>
        <v>MATCH</v>
      </c>
    </row>
    <row r="2379">
      <c r="A2379" t="inlineStr">
        <is>
          <t>JI-02690</t>
        </is>
      </c>
      <c r="B2379" t="inlineStr">
        <is>
          <t>OPS</t>
        </is>
      </c>
      <c r="C2379" s="5" t="n">
        <v>46246</v>
      </c>
      <c r="D2379" t="inlineStr">
        <is>
          <t>Stripe patient 31378</t>
        </is>
      </c>
      <c r="E2379" t="inlineStr">
        <is>
          <t>INV/2026/04535</t>
        </is>
      </c>
      <c r="F2379" t="inlineStr">
        <is>
          <t>Customer payment INV/2026/04535</t>
        </is>
      </c>
      <c r="G2379" s="9" t="n">
        <v>110</v>
      </c>
      <c r="H2379" t="inlineStr">
        <is>
          <t>customer_payment</t>
        </is>
      </c>
      <c r="I2379" t="inlineStr"/>
      <c r="J2379" t="inlineStr">
        <is>
          <t>G00046</t>
        </is>
      </c>
      <c r="K2379" t="str">
        <f>INDEX('Match Groups'!$D$5:$D$1326,MATCH(J2379,'Match Groups'!$A$5:$A$1326,0))</f>
        <v>STRIPE-FEE</v>
      </c>
    </row>
    <row r="2380">
      <c r="A2380" t="inlineStr">
        <is>
          <t>JI-02691</t>
        </is>
      </c>
      <c r="B2380" t="inlineStr">
        <is>
          <t>OPS</t>
        </is>
      </c>
      <c r="C2380" s="5" t="n">
        <v>46246</v>
      </c>
      <c r="D2380" t="inlineStr">
        <is>
          <t>Stripe patient 67887</t>
        </is>
      </c>
      <c r="E2380" t="inlineStr">
        <is>
          <t>INV/2026/04536</t>
        </is>
      </c>
      <c r="F2380" t="inlineStr">
        <is>
          <t>Customer payment INV/2026/04536</t>
        </is>
      </c>
      <c r="G2380" s="9" t="n">
        <v>180</v>
      </c>
      <c r="H2380" t="inlineStr">
        <is>
          <t>customer_payment</t>
        </is>
      </c>
      <c r="I2380" t="inlineStr"/>
      <c r="J2380" t="inlineStr">
        <is>
          <t>G00046</t>
        </is>
      </c>
      <c r="K2380" t="str">
        <f>INDEX('Match Groups'!$D$5:$D$1326,MATCH(J2380,'Match Groups'!$A$5:$A$1326,0))</f>
        <v>STRIPE-FEE</v>
      </c>
    </row>
    <row r="2381">
      <c r="A2381" t="inlineStr">
        <is>
          <t>JI-02692</t>
        </is>
      </c>
      <c r="B2381" t="inlineStr">
        <is>
          <t>OPS</t>
        </is>
      </c>
      <c r="C2381" s="5" t="n">
        <v>46246</v>
      </c>
      <c r="D2381" t="inlineStr">
        <is>
          <t>Stripe patient 53173</t>
        </is>
      </c>
      <c r="E2381" t="inlineStr">
        <is>
          <t>INV/2026/04537</t>
        </is>
      </c>
      <c r="F2381" t="inlineStr">
        <is>
          <t>Customer payment INV/2026/04537</t>
        </is>
      </c>
      <c r="G2381" s="9" t="n">
        <v>85</v>
      </c>
      <c r="H2381" t="inlineStr">
        <is>
          <t>customer_payment</t>
        </is>
      </c>
      <c r="I2381" t="inlineStr"/>
      <c r="J2381" t="inlineStr">
        <is>
          <t>G00046</t>
        </is>
      </c>
      <c r="K2381" t="str">
        <f>INDEX('Match Groups'!$D$5:$D$1326,MATCH(J2381,'Match Groups'!$A$5:$A$1326,0))</f>
        <v>STRIPE-FEE</v>
      </c>
    </row>
    <row r="2382">
      <c r="A2382" t="inlineStr">
        <is>
          <t>JI-02693</t>
        </is>
      </c>
      <c r="B2382" t="inlineStr">
        <is>
          <t>OPS</t>
        </is>
      </c>
      <c r="C2382" s="5" t="n">
        <v>46246</v>
      </c>
      <c r="D2382" t="inlineStr">
        <is>
          <t>Stripe patient 98605</t>
        </is>
      </c>
      <c r="E2382" t="inlineStr">
        <is>
          <t>INV/2026/04538</t>
        </is>
      </c>
      <c r="F2382" t="inlineStr">
        <is>
          <t>Customer payment INV/2026/04538</t>
        </is>
      </c>
      <c r="G2382" s="9" t="n">
        <v>95</v>
      </c>
      <c r="H2382" t="inlineStr">
        <is>
          <t>customer_payment</t>
        </is>
      </c>
      <c r="I2382" t="inlineStr"/>
      <c r="J2382" t="inlineStr">
        <is>
          <t>G00046</t>
        </is>
      </c>
      <c r="K2382" t="str">
        <f>INDEX('Match Groups'!$D$5:$D$1326,MATCH(J2382,'Match Groups'!$A$5:$A$1326,0))</f>
        <v>STRIPE-FEE</v>
      </c>
    </row>
    <row r="2383">
      <c r="A2383" t="inlineStr">
        <is>
          <t>JI-02694</t>
        </is>
      </c>
      <c r="B2383" t="inlineStr">
        <is>
          <t>OPS</t>
        </is>
      </c>
      <c r="C2383" s="5" t="n">
        <v>46246</v>
      </c>
      <c r="D2383" t="inlineStr">
        <is>
          <t>Stripe patient 60984</t>
        </is>
      </c>
      <c r="E2383" t="inlineStr">
        <is>
          <t>INV/2026/04539</t>
        </is>
      </c>
      <c r="F2383" t="inlineStr">
        <is>
          <t>Customer payment INV/2026/04539</t>
        </is>
      </c>
      <c r="G2383" s="9" t="n">
        <v>95</v>
      </c>
      <c r="H2383" t="inlineStr">
        <is>
          <t>customer_payment</t>
        </is>
      </c>
      <c r="I2383" t="inlineStr"/>
      <c r="J2383" t="inlineStr">
        <is>
          <t>G00046</t>
        </is>
      </c>
      <c r="K2383" t="str">
        <f>INDEX('Match Groups'!$D$5:$D$1326,MATCH(J2383,'Match Groups'!$A$5:$A$1326,0))</f>
        <v>STRIPE-FEE</v>
      </c>
    </row>
    <row r="2384">
      <c r="A2384" t="inlineStr">
        <is>
          <t>JI-02695</t>
        </is>
      </c>
      <c r="B2384" t="inlineStr">
        <is>
          <t>OPS</t>
        </is>
      </c>
      <c r="C2384" s="5" t="n">
        <v>46246</v>
      </c>
      <c r="D2384" t="inlineStr">
        <is>
          <t>Stripe patient 14823</t>
        </is>
      </c>
      <c r="E2384" t="inlineStr">
        <is>
          <t>INV/2026/04540</t>
        </is>
      </c>
      <c r="F2384" t="inlineStr">
        <is>
          <t>Customer payment INV/2026/04540</t>
        </is>
      </c>
      <c r="G2384" s="9" t="n">
        <v>95</v>
      </c>
      <c r="H2384" t="inlineStr">
        <is>
          <t>customer_payment</t>
        </is>
      </c>
      <c r="I2384" t="inlineStr"/>
      <c r="J2384" t="inlineStr">
        <is>
          <t>G00046</t>
        </is>
      </c>
      <c r="K2384" t="str">
        <f>INDEX('Match Groups'!$D$5:$D$1326,MATCH(J2384,'Match Groups'!$A$5:$A$1326,0))</f>
        <v>STRIPE-FEE</v>
      </c>
    </row>
    <row r="2385">
      <c r="A2385" t="inlineStr">
        <is>
          <t>JI-02696</t>
        </is>
      </c>
      <c r="B2385" t="inlineStr">
        <is>
          <t>OPS</t>
        </is>
      </c>
      <c r="C2385" s="5" t="n">
        <v>46246</v>
      </c>
      <c r="D2385" t="inlineStr">
        <is>
          <t>Stripe patient 25311</t>
        </is>
      </c>
      <c r="E2385" t="inlineStr">
        <is>
          <t>INV/2026/04541</t>
        </is>
      </c>
      <c r="F2385" t="inlineStr">
        <is>
          <t>Customer payment INV/2026/04541</t>
        </is>
      </c>
      <c r="G2385" s="9" t="n">
        <v>65</v>
      </c>
      <c r="H2385" t="inlineStr">
        <is>
          <t>customer_payment</t>
        </is>
      </c>
      <c r="I2385" t="inlineStr"/>
      <c r="J2385" t="inlineStr">
        <is>
          <t>G00046</t>
        </is>
      </c>
      <c r="K2385" t="str">
        <f>INDEX('Match Groups'!$D$5:$D$1326,MATCH(J2385,'Match Groups'!$A$5:$A$1326,0))</f>
        <v>STRIPE-FEE</v>
      </c>
    </row>
    <row r="2386">
      <c r="A2386" t="inlineStr">
        <is>
          <t>JI-02697</t>
        </is>
      </c>
      <c r="B2386" t="inlineStr">
        <is>
          <t>OPS</t>
        </is>
      </c>
      <c r="C2386" s="5" t="n">
        <v>46246</v>
      </c>
      <c r="D2386" t="inlineStr">
        <is>
          <t>Stripe patient 64346</t>
        </is>
      </c>
      <c r="E2386" t="inlineStr">
        <is>
          <t>INV/2026/04542</t>
        </is>
      </c>
      <c r="F2386" t="inlineStr">
        <is>
          <t>Customer payment INV/2026/04542</t>
        </is>
      </c>
      <c r="G2386" s="9" t="n">
        <v>135</v>
      </c>
      <c r="H2386" t="inlineStr">
        <is>
          <t>customer_payment</t>
        </is>
      </c>
      <c r="I2386" t="inlineStr"/>
      <c r="J2386" t="inlineStr">
        <is>
          <t>G00046</t>
        </is>
      </c>
      <c r="K2386" t="str">
        <f>INDEX('Match Groups'!$D$5:$D$1326,MATCH(J2386,'Match Groups'!$A$5:$A$1326,0))</f>
        <v>STRIPE-FEE</v>
      </c>
    </row>
    <row r="2387">
      <c r="A2387" t="inlineStr">
        <is>
          <t>JI-02698</t>
        </is>
      </c>
      <c r="B2387" t="inlineStr">
        <is>
          <t>OPS</t>
        </is>
      </c>
      <c r="C2387" s="5" t="n">
        <v>46246</v>
      </c>
      <c r="D2387" t="inlineStr">
        <is>
          <t>Stripe patient 81936</t>
        </is>
      </c>
      <c r="E2387" t="inlineStr">
        <is>
          <t>INV/2026/04543</t>
        </is>
      </c>
      <c r="F2387" t="inlineStr">
        <is>
          <t>Customer payment INV/2026/04543</t>
        </is>
      </c>
      <c r="G2387" s="9" t="n">
        <v>180</v>
      </c>
      <c r="H2387" t="inlineStr">
        <is>
          <t>customer_payment</t>
        </is>
      </c>
      <c r="I2387" t="inlineStr"/>
      <c r="J2387" t="inlineStr">
        <is>
          <t>G00046</t>
        </is>
      </c>
      <c r="K2387" t="str">
        <f>INDEX('Match Groups'!$D$5:$D$1326,MATCH(J2387,'Match Groups'!$A$5:$A$1326,0))</f>
        <v>STRIPE-FEE</v>
      </c>
    </row>
    <row r="2388">
      <c r="A2388" t="inlineStr">
        <is>
          <t>JI-02699</t>
        </is>
      </c>
      <c r="B2388" t="inlineStr">
        <is>
          <t>OPS</t>
        </is>
      </c>
      <c r="C2388" s="5" t="n">
        <v>46246</v>
      </c>
      <c r="D2388" t="inlineStr">
        <is>
          <t>Stripe patient 27848</t>
        </is>
      </c>
      <c r="E2388" t="inlineStr">
        <is>
          <t>INV/2026/04544</t>
        </is>
      </c>
      <c r="F2388" t="inlineStr">
        <is>
          <t>Customer payment INV/2026/04544</t>
        </is>
      </c>
      <c r="G2388" s="9" t="n">
        <v>135</v>
      </c>
      <c r="H2388" t="inlineStr">
        <is>
          <t>customer_payment</t>
        </is>
      </c>
      <c r="I2388" t="inlineStr"/>
      <c r="J2388" t="inlineStr">
        <is>
          <t>G00046</t>
        </is>
      </c>
      <c r="K2388" t="str">
        <f>INDEX('Match Groups'!$D$5:$D$1326,MATCH(J2388,'Match Groups'!$A$5:$A$1326,0))</f>
        <v>STRIPE-FEE</v>
      </c>
    </row>
    <row r="2389">
      <c r="A2389" t="inlineStr">
        <is>
          <t>JI-02700</t>
        </is>
      </c>
      <c r="B2389" t="inlineStr">
        <is>
          <t>OPS</t>
        </is>
      </c>
      <c r="C2389" s="5" t="n">
        <v>46246</v>
      </c>
      <c r="D2389" t="inlineStr">
        <is>
          <t>Stripe patient 23619</t>
        </is>
      </c>
      <c r="E2389" t="inlineStr">
        <is>
          <t>INV/2026/04545</t>
        </is>
      </c>
      <c r="F2389" t="inlineStr">
        <is>
          <t>Customer payment INV/2026/04545</t>
        </is>
      </c>
      <c r="G2389" s="9" t="n">
        <v>95</v>
      </c>
      <c r="H2389" t="inlineStr">
        <is>
          <t>customer_payment</t>
        </is>
      </c>
      <c r="I2389" t="inlineStr"/>
      <c r="J2389" t="inlineStr">
        <is>
          <t>G00046</t>
        </is>
      </c>
      <c r="K2389" t="str">
        <f>INDEX('Match Groups'!$D$5:$D$1326,MATCH(J2389,'Match Groups'!$A$5:$A$1326,0))</f>
        <v>STRIPE-FEE</v>
      </c>
    </row>
    <row r="2390">
      <c r="A2390" t="inlineStr">
        <is>
          <t>JI-02701</t>
        </is>
      </c>
      <c r="B2390" t="inlineStr">
        <is>
          <t>OPS</t>
        </is>
      </c>
      <c r="C2390" s="5" t="n">
        <v>46246</v>
      </c>
      <c r="D2390" t="inlineStr">
        <is>
          <t>Stripe patient 27354</t>
        </is>
      </c>
      <c r="E2390" t="inlineStr">
        <is>
          <t>INV/2026/04546</t>
        </is>
      </c>
      <c r="F2390" t="inlineStr">
        <is>
          <t>Customer payment INV/2026/04546</t>
        </is>
      </c>
      <c r="G2390" s="9" t="n">
        <v>120</v>
      </c>
      <c r="H2390" t="inlineStr">
        <is>
          <t>customer_payment</t>
        </is>
      </c>
      <c r="I2390" t="inlineStr"/>
      <c r="J2390" t="inlineStr">
        <is>
          <t>G00046</t>
        </is>
      </c>
      <c r="K2390" t="str">
        <f>INDEX('Match Groups'!$D$5:$D$1326,MATCH(J2390,'Match Groups'!$A$5:$A$1326,0))</f>
        <v>STRIPE-FEE</v>
      </c>
    </row>
    <row r="2391">
      <c r="A2391" t="inlineStr">
        <is>
          <t>JI-02702</t>
        </is>
      </c>
      <c r="B2391" t="inlineStr">
        <is>
          <t>OPS</t>
        </is>
      </c>
      <c r="C2391" s="5" t="n">
        <v>46246</v>
      </c>
      <c r="D2391" t="inlineStr">
        <is>
          <t>Stripe patient 60014</t>
        </is>
      </c>
      <c r="E2391" t="inlineStr">
        <is>
          <t>INV/2026/04547</t>
        </is>
      </c>
      <c r="F2391" t="inlineStr">
        <is>
          <t>Customer payment INV/2026/04547</t>
        </is>
      </c>
      <c r="G2391" s="9" t="n">
        <v>65</v>
      </c>
      <c r="H2391" t="inlineStr">
        <is>
          <t>customer_payment</t>
        </is>
      </c>
      <c r="I2391" t="inlineStr"/>
      <c r="J2391" t="inlineStr">
        <is>
          <t>G00046</t>
        </is>
      </c>
      <c r="K2391" t="str">
        <f>INDEX('Match Groups'!$D$5:$D$1326,MATCH(J2391,'Match Groups'!$A$5:$A$1326,0))</f>
        <v>STRIPE-FEE</v>
      </c>
    </row>
    <row r="2392">
      <c r="A2392" t="inlineStr">
        <is>
          <t>JI-02703</t>
        </is>
      </c>
      <c r="B2392" t="inlineStr">
        <is>
          <t>OPS</t>
        </is>
      </c>
      <c r="C2392" s="5" t="n">
        <v>46246</v>
      </c>
      <c r="D2392" t="inlineStr">
        <is>
          <t>Stripe patient 53123</t>
        </is>
      </c>
      <c r="E2392" t="inlineStr">
        <is>
          <t>INV/2026/04548</t>
        </is>
      </c>
      <c r="F2392" t="inlineStr">
        <is>
          <t>Customer payment INV/2026/04548</t>
        </is>
      </c>
      <c r="G2392" s="9" t="n">
        <v>95</v>
      </c>
      <c r="H2392" t="inlineStr">
        <is>
          <t>customer_payment</t>
        </is>
      </c>
      <c r="I2392" t="inlineStr"/>
      <c r="J2392" t="inlineStr">
        <is>
          <t>G00046</t>
        </is>
      </c>
      <c r="K2392" t="str">
        <f>INDEX('Match Groups'!$D$5:$D$1326,MATCH(J2392,'Match Groups'!$A$5:$A$1326,0))</f>
        <v>STRIPE-FEE</v>
      </c>
    </row>
    <row r="2393">
      <c r="A2393" t="inlineStr">
        <is>
          <t>JI-02704</t>
        </is>
      </c>
      <c r="B2393" t="inlineStr">
        <is>
          <t>OPS</t>
        </is>
      </c>
      <c r="C2393" s="5" t="n">
        <v>46246</v>
      </c>
      <c r="D2393" t="inlineStr">
        <is>
          <t>Stripe patient 98708</t>
        </is>
      </c>
      <c r="E2393" t="inlineStr">
        <is>
          <t>INV/2026/04549</t>
        </is>
      </c>
      <c r="F2393" t="inlineStr">
        <is>
          <t>Customer payment INV/2026/04549</t>
        </is>
      </c>
      <c r="G2393" s="9" t="n">
        <v>220</v>
      </c>
      <c r="H2393" t="inlineStr">
        <is>
          <t>customer_payment</t>
        </is>
      </c>
      <c r="I2393" t="inlineStr"/>
      <c r="J2393" t="inlineStr">
        <is>
          <t>G00046</t>
        </is>
      </c>
      <c r="K2393" t="str">
        <f>INDEX('Match Groups'!$D$5:$D$1326,MATCH(J2393,'Match Groups'!$A$5:$A$1326,0))</f>
        <v>STRIPE-FEE</v>
      </c>
    </row>
    <row r="2394">
      <c r="A2394" t="inlineStr">
        <is>
          <t>JI-02705</t>
        </is>
      </c>
      <c r="B2394" t="inlineStr">
        <is>
          <t>OPS</t>
        </is>
      </c>
      <c r="C2394" s="5" t="n">
        <v>46246</v>
      </c>
      <c r="D2394" t="inlineStr">
        <is>
          <t>Stripe patient 64552</t>
        </is>
      </c>
      <c r="E2394" t="inlineStr">
        <is>
          <t>INV/2026/04550</t>
        </is>
      </c>
      <c r="F2394" t="inlineStr">
        <is>
          <t>Customer payment INV/2026/04550</t>
        </is>
      </c>
      <c r="G2394" s="9" t="n">
        <v>65</v>
      </c>
      <c r="H2394" t="inlineStr">
        <is>
          <t>customer_payment</t>
        </is>
      </c>
      <c r="I2394" t="inlineStr"/>
      <c r="J2394" t="inlineStr">
        <is>
          <t>G00046</t>
        </is>
      </c>
      <c r="K2394" t="str">
        <f>INDEX('Match Groups'!$D$5:$D$1326,MATCH(J2394,'Match Groups'!$A$5:$A$1326,0))</f>
        <v>STRIPE-FEE</v>
      </c>
    </row>
    <row r="2395">
      <c r="A2395" t="inlineStr">
        <is>
          <t>JI-02706</t>
        </is>
      </c>
      <c r="B2395" t="inlineStr">
        <is>
          <t>OPS</t>
        </is>
      </c>
      <c r="C2395" s="5" t="n">
        <v>46246</v>
      </c>
      <c r="D2395" t="inlineStr">
        <is>
          <t>Stripe patient 43407</t>
        </is>
      </c>
      <c r="E2395" t="inlineStr">
        <is>
          <t>INV/2026/04551</t>
        </is>
      </c>
      <c r="F2395" t="inlineStr">
        <is>
          <t>Customer payment INV/2026/04551</t>
        </is>
      </c>
      <c r="G2395" s="9" t="n">
        <v>85</v>
      </c>
      <c r="H2395" t="inlineStr">
        <is>
          <t>customer_payment</t>
        </is>
      </c>
      <c r="I2395" t="inlineStr"/>
      <c r="J2395" t="inlineStr">
        <is>
          <t>G00046</t>
        </is>
      </c>
      <c r="K2395" t="str">
        <f>INDEX('Match Groups'!$D$5:$D$1326,MATCH(J2395,'Match Groups'!$A$5:$A$1326,0))</f>
        <v>STRIPE-FEE</v>
      </c>
    </row>
    <row r="2396">
      <c r="A2396" t="inlineStr">
        <is>
          <t>JI-02707</t>
        </is>
      </c>
      <c r="B2396" t="inlineStr">
        <is>
          <t>OPS</t>
        </is>
      </c>
      <c r="C2396" s="5" t="n">
        <v>46246</v>
      </c>
      <c r="D2396" t="inlineStr">
        <is>
          <t>Stripe patient 61341</t>
        </is>
      </c>
      <c r="E2396" t="inlineStr">
        <is>
          <t>INV/2026/04552</t>
        </is>
      </c>
      <c r="F2396" t="inlineStr">
        <is>
          <t>Customer payment INV/2026/04552</t>
        </is>
      </c>
      <c r="G2396" s="9" t="n">
        <v>220</v>
      </c>
      <c r="H2396" t="inlineStr">
        <is>
          <t>customer_payment</t>
        </is>
      </c>
      <c r="I2396" t="inlineStr"/>
      <c r="J2396" t="inlineStr">
        <is>
          <t>G00046</t>
        </is>
      </c>
      <c r="K2396" t="str">
        <f>INDEX('Match Groups'!$D$5:$D$1326,MATCH(J2396,'Match Groups'!$A$5:$A$1326,0))</f>
        <v>STRIPE-FEE</v>
      </c>
    </row>
    <row r="2397">
      <c r="A2397" t="inlineStr">
        <is>
          <t>JI-02708</t>
        </is>
      </c>
      <c r="B2397" t="inlineStr">
        <is>
          <t>OPS</t>
        </is>
      </c>
      <c r="C2397" s="5" t="n">
        <v>46246</v>
      </c>
      <c r="D2397" t="inlineStr">
        <is>
          <t>Stripe patient 75863</t>
        </is>
      </c>
      <c r="E2397" t="inlineStr">
        <is>
          <t>INV/2026/04553</t>
        </is>
      </c>
      <c r="F2397" t="inlineStr">
        <is>
          <t>Customer payment INV/2026/04553</t>
        </is>
      </c>
      <c r="G2397" s="9" t="n">
        <v>95</v>
      </c>
      <c r="H2397" t="inlineStr">
        <is>
          <t>customer_payment</t>
        </is>
      </c>
      <c r="I2397" t="inlineStr"/>
      <c r="J2397" t="inlineStr">
        <is>
          <t>G00046</t>
        </is>
      </c>
      <c r="K2397" t="str">
        <f>INDEX('Match Groups'!$D$5:$D$1326,MATCH(J2397,'Match Groups'!$A$5:$A$1326,0))</f>
        <v>STRIPE-FEE</v>
      </c>
    </row>
    <row r="2398">
      <c r="A2398" t="inlineStr">
        <is>
          <t>JI-02709</t>
        </is>
      </c>
      <c r="B2398" t="inlineStr">
        <is>
          <t>OPS</t>
        </is>
      </c>
      <c r="C2398" s="5" t="n">
        <v>46246</v>
      </c>
      <c r="D2398" t="inlineStr">
        <is>
          <t>Stripe patient 77350</t>
        </is>
      </c>
      <c r="E2398" t="inlineStr">
        <is>
          <t>INV/2026/04554</t>
        </is>
      </c>
      <c r="F2398" t="inlineStr">
        <is>
          <t>Customer payment INV/2026/04554</t>
        </is>
      </c>
      <c r="G2398" s="9" t="n">
        <v>220</v>
      </c>
      <c r="H2398" t="inlineStr">
        <is>
          <t>customer_payment</t>
        </is>
      </c>
      <c r="I2398" t="inlineStr"/>
      <c r="J2398" t="inlineStr">
        <is>
          <t>G00046</t>
        </is>
      </c>
      <c r="K2398" t="str">
        <f>INDEX('Match Groups'!$D$5:$D$1326,MATCH(J2398,'Match Groups'!$A$5:$A$1326,0))</f>
        <v>STRIPE-FEE</v>
      </c>
    </row>
    <row r="2399">
      <c r="A2399" t="inlineStr">
        <is>
          <t>JI-02710</t>
        </is>
      </c>
      <c r="B2399" t="inlineStr">
        <is>
          <t>OPS</t>
        </is>
      </c>
      <c r="C2399" s="5" t="n">
        <v>46246</v>
      </c>
      <c r="D2399" t="inlineStr">
        <is>
          <t>Stripe patient 38796</t>
        </is>
      </c>
      <c r="E2399" t="inlineStr">
        <is>
          <t>INV/2026/04555</t>
        </is>
      </c>
      <c r="F2399" t="inlineStr">
        <is>
          <t>Customer payment INV/2026/04555</t>
        </is>
      </c>
      <c r="G2399" s="9" t="n">
        <v>150</v>
      </c>
      <c r="H2399" t="inlineStr">
        <is>
          <t>customer_payment</t>
        </is>
      </c>
      <c r="I2399" t="inlineStr"/>
      <c r="J2399" t="inlineStr">
        <is>
          <t>G00046</t>
        </is>
      </c>
      <c r="K2399" t="str">
        <f>INDEX('Match Groups'!$D$5:$D$1326,MATCH(J2399,'Match Groups'!$A$5:$A$1326,0))</f>
        <v>STRIPE-FEE</v>
      </c>
    </row>
    <row r="2400">
      <c r="A2400" t="inlineStr">
        <is>
          <t>JI-02711</t>
        </is>
      </c>
      <c r="B2400" t="inlineStr">
        <is>
          <t>OPS</t>
        </is>
      </c>
      <c r="C2400" s="5" t="n">
        <v>46246</v>
      </c>
      <c r="D2400" t="inlineStr">
        <is>
          <t>Stripe patient 64218</t>
        </is>
      </c>
      <c r="E2400" t="inlineStr">
        <is>
          <t>INV/2026/04556</t>
        </is>
      </c>
      <c r="F2400" t="inlineStr">
        <is>
          <t>Customer payment INV/2026/04556</t>
        </is>
      </c>
      <c r="G2400" s="9" t="n">
        <v>110</v>
      </c>
      <c r="H2400" t="inlineStr">
        <is>
          <t>customer_payment</t>
        </is>
      </c>
      <c r="I2400" t="inlineStr"/>
      <c r="J2400" t="inlineStr">
        <is>
          <t>G00046</t>
        </is>
      </c>
      <c r="K2400" t="str">
        <f>INDEX('Match Groups'!$D$5:$D$1326,MATCH(J2400,'Match Groups'!$A$5:$A$1326,0))</f>
        <v>STRIPE-FEE</v>
      </c>
    </row>
    <row r="2401">
      <c r="A2401" t="inlineStr">
        <is>
          <t>JI-02712</t>
        </is>
      </c>
      <c r="B2401" t="inlineStr">
        <is>
          <t>OPS</t>
        </is>
      </c>
      <c r="C2401" s="5" t="n">
        <v>46246</v>
      </c>
      <c r="D2401" t="inlineStr">
        <is>
          <t>Stripe patient 81123</t>
        </is>
      </c>
      <c r="E2401" t="inlineStr">
        <is>
          <t>INV/2026/04557</t>
        </is>
      </c>
      <c r="F2401" t="inlineStr">
        <is>
          <t>Customer payment INV/2026/04557</t>
        </is>
      </c>
      <c r="G2401" s="9" t="n">
        <v>120</v>
      </c>
      <c r="H2401" t="inlineStr">
        <is>
          <t>customer_payment</t>
        </is>
      </c>
      <c r="I2401" t="inlineStr"/>
      <c r="J2401" t="inlineStr">
        <is>
          <t>G00046</t>
        </is>
      </c>
      <c r="K2401" t="str">
        <f>INDEX('Match Groups'!$D$5:$D$1326,MATCH(J2401,'Match Groups'!$A$5:$A$1326,0))</f>
        <v>STRIPE-FEE</v>
      </c>
    </row>
    <row r="2402">
      <c r="A2402" t="inlineStr">
        <is>
          <t>JI-02713</t>
        </is>
      </c>
      <c r="B2402" t="inlineStr">
        <is>
          <t>OPS</t>
        </is>
      </c>
      <c r="C2402" s="5" t="n">
        <v>46246</v>
      </c>
      <c r="D2402" t="inlineStr">
        <is>
          <t>Stripe patient 95983</t>
        </is>
      </c>
      <c r="E2402" t="inlineStr">
        <is>
          <t>INV/2026/04558</t>
        </is>
      </c>
      <c r="F2402" t="inlineStr">
        <is>
          <t>Customer payment INV/2026/04558</t>
        </is>
      </c>
      <c r="G2402" s="9" t="n">
        <v>95</v>
      </c>
      <c r="H2402" t="inlineStr">
        <is>
          <t>customer_payment</t>
        </is>
      </c>
      <c r="I2402" t="inlineStr"/>
      <c r="J2402" t="inlineStr">
        <is>
          <t>G00046</t>
        </is>
      </c>
      <c r="K2402" t="str">
        <f>INDEX('Match Groups'!$D$5:$D$1326,MATCH(J2402,'Match Groups'!$A$5:$A$1326,0))</f>
        <v>STRIPE-FEE</v>
      </c>
    </row>
    <row r="2403">
      <c r="A2403" t="inlineStr">
        <is>
          <t>JI-03805</t>
        </is>
      </c>
      <c r="B2403" t="inlineStr">
        <is>
          <t>OPS</t>
        </is>
      </c>
      <c r="C2403" s="5" t="n">
        <v>46246</v>
      </c>
      <c r="D2403" t="inlineStr">
        <is>
          <t>Allied Med Consumables</t>
        </is>
      </c>
      <c r="E2403" t="inlineStr">
        <is>
          <t>BILL/2026/0903</t>
        </is>
      </c>
      <c r="F2403" t="inlineStr">
        <is>
          <t>Vendor payment BILL/2026/0903 (BATCH/2026/0417)</t>
        </is>
      </c>
      <c r="G2403" s="9" t="n">
        <v>-880</v>
      </c>
      <c r="H2403" t="inlineStr">
        <is>
          <t>supplier_payment</t>
        </is>
      </c>
      <c r="I2403" t="inlineStr">
        <is>
          <t>BATCH/2026/0417</t>
        </is>
      </c>
      <c r="J2403" t="inlineStr">
        <is>
          <t>G00523</t>
        </is>
      </c>
      <c r="K2403" t="str">
        <f>INDEX('Match Groups'!$D$5:$D$1326,MATCH(J2403,'Match Groups'!$A$5:$A$1326,0))</f>
        <v>MATCH</v>
      </c>
    </row>
    <row r="2404">
      <c r="A2404" t="inlineStr">
        <is>
          <t>JI-03806</t>
        </is>
      </c>
      <c r="B2404" t="inlineStr">
        <is>
          <t>OPS</t>
        </is>
      </c>
      <c r="C2404" s="5" t="n">
        <v>46246</v>
      </c>
      <c r="D2404" t="inlineStr">
        <is>
          <t>Rehab Equipment Hire</t>
        </is>
      </c>
      <c r="E2404" t="inlineStr">
        <is>
          <t>BILL/2026/0901</t>
        </is>
      </c>
      <c r="F2404" t="inlineStr">
        <is>
          <t>Vendor payment BILL/2026/0901 (BATCH/2026/0417)</t>
        </is>
      </c>
      <c r="G2404" s="9" t="n">
        <v>-1222.1</v>
      </c>
      <c r="H2404" t="inlineStr">
        <is>
          <t>supplier_payment</t>
        </is>
      </c>
      <c r="I2404" t="inlineStr">
        <is>
          <t>BATCH/2026/0417</t>
        </is>
      </c>
      <c r="J2404" t="inlineStr">
        <is>
          <t>G00523</t>
        </is>
      </c>
      <c r="K2404" t="str">
        <f>INDEX('Match Groups'!$D$5:$D$1326,MATCH(J2404,'Match Groups'!$A$5:$A$1326,0))</f>
        <v>MATCH</v>
      </c>
    </row>
    <row r="2405">
      <c r="A2405" t="inlineStr">
        <is>
          <t>JI-03807</t>
        </is>
      </c>
      <c r="B2405" t="inlineStr">
        <is>
          <t>OPS</t>
        </is>
      </c>
      <c r="C2405" s="5" t="n">
        <v>46246</v>
      </c>
      <c r="D2405" t="inlineStr">
        <is>
          <t>Brightline Signage</t>
        </is>
      </c>
      <c r="E2405" t="inlineStr">
        <is>
          <t>BILL/2026/0899</t>
        </is>
      </c>
      <c r="F2405" t="inlineStr">
        <is>
          <t>Vendor payment BILL/2026/0899 (BATCH/2026/0417)</t>
        </is>
      </c>
      <c r="G2405" s="9" t="n">
        <v>-880</v>
      </c>
      <c r="H2405" t="inlineStr">
        <is>
          <t>supplier_payment</t>
        </is>
      </c>
      <c r="I2405" t="inlineStr">
        <is>
          <t>BATCH/2026/0417</t>
        </is>
      </c>
      <c r="J2405" t="inlineStr">
        <is>
          <t>G00523</t>
        </is>
      </c>
      <c r="K2405" t="str">
        <f>INDEX('Match Groups'!$D$5:$D$1326,MATCH(J2405,'Match Groups'!$A$5:$A$1326,0))</f>
        <v>MATCH</v>
      </c>
    </row>
    <row r="2406">
      <c r="A2406" t="inlineStr">
        <is>
          <t>JI-03808</t>
        </is>
      </c>
      <c r="B2406" t="inlineStr">
        <is>
          <t>OPS</t>
        </is>
      </c>
      <c r="C2406" s="5" t="n">
        <v>46246</v>
      </c>
      <c r="D2406" t="inlineStr">
        <is>
          <t>Practice Fitout Joinery</t>
        </is>
      </c>
      <c r="E2406" t="inlineStr">
        <is>
          <t>BILL/2026/0900</t>
        </is>
      </c>
      <c r="F2406" t="inlineStr">
        <is>
          <t>Vendor payment BILL/2026/0900 (BATCH/2026/0417)</t>
        </is>
      </c>
      <c r="G2406" s="9" t="n">
        <v>-916.3</v>
      </c>
      <c r="H2406" t="inlineStr">
        <is>
          <t>supplier_payment</t>
        </is>
      </c>
      <c r="I2406" t="inlineStr">
        <is>
          <t>BATCH/2026/0417</t>
        </is>
      </c>
      <c r="J2406" t="inlineStr">
        <is>
          <t>G00523</t>
        </is>
      </c>
      <c r="K2406" t="str">
        <f>INDEX('Match Groups'!$D$5:$D$1326,MATCH(J2406,'Match Groups'!$A$5:$A$1326,0))</f>
        <v>MATCH</v>
      </c>
    </row>
    <row r="2407">
      <c r="A2407" t="inlineStr">
        <is>
          <t>JI-03809</t>
        </is>
      </c>
      <c r="B2407" t="inlineStr">
        <is>
          <t>OPS</t>
        </is>
      </c>
      <c r="C2407" s="5" t="n">
        <v>46246</v>
      </c>
      <c r="D2407" t="inlineStr">
        <is>
          <t>Practice Fitout Joinery</t>
        </is>
      </c>
      <c r="E2407" t="inlineStr">
        <is>
          <t>BILL/2026/0906</t>
        </is>
      </c>
      <c r="F2407" t="inlineStr">
        <is>
          <t>Vendor payment BILL/2026/0906 (BATCH/2026/0417)</t>
        </is>
      </c>
      <c r="G2407" s="9" t="n">
        <v>-1650</v>
      </c>
      <c r="H2407" t="inlineStr">
        <is>
          <t>supplier_payment</t>
        </is>
      </c>
      <c r="I2407" t="inlineStr">
        <is>
          <t>BATCH/2026/0417</t>
        </is>
      </c>
      <c r="J2407" t="inlineStr">
        <is>
          <t>G00523</t>
        </is>
      </c>
      <c r="K2407" t="str">
        <f>INDEX('Match Groups'!$D$5:$D$1326,MATCH(J2407,'Match Groups'!$A$5:$A$1326,0))</f>
        <v>MATCH</v>
      </c>
    </row>
    <row r="2408">
      <c r="A2408" t="inlineStr">
        <is>
          <t>JI-03810</t>
        </is>
      </c>
      <c r="B2408" t="inlineStr">
        <is>
          <t>OPS</t>
        </is>
      </c>
      <c r="C2408" s="5" t="n">
        <v>46246</v>
      </c>
      <c r="D2408" t="inlineStr">
        <is>
          <t>Prime Print Services</t>
        </is>
      </c>
      <c r="E2408" t="inlineStr">
        <is>
          <t>BILL/2026/0907</t>
        </is>
      </c>
      <c r="F2408" t="inlineStr">
        <is>
          <t>Vendor payment BILL/2026/0907 (BATCH/2026/0417)</t>
        </is>
      </c>
      <c r="G2408" s="9" t="n">
        <v>-1662.1</v>
      </c>
      <c r="H2408" t="inlineStr">
        <is>
          <t>supplier_payment</t>
        </is>
      </c>
      <c r="I2408" t="inlineStr">
        <is>
          <t>BATCH/2026/0417</t>
        </is>
      </c>
      <c r="J2408" t="inlineStr">
        <is>
          <t>G00523</t>
        </is>
      </c>
      <c r="K2408" t="str">
        <f>INDEX('Match Groups'!$D$5:$D$1326,MATCH(J2408,'Match Groups'!$A$5:$A$1326,0))</f>
        <v>MATCH</v>
      </c>
    </row>
    <row r="2409">
      <c r="A2409" t="inlineStr">
        <is>
          <t>JI-03811</t>
        </is>
      </c>
      <c r="B2409" t="inlineStr">
        <is>
          <t>OPS</t>
        </is>
      </c>
      <c r="C2409" s="5" t="n">
        <v>46246</v>
      </c>
      <c r="D2409" t="inlineStr">
        <is>
          <t>Prime Print Services</t>
        </is>
      </c>
      <c r="E2409" t="inlineStr">
        <is>
          <t>BILL/2026/0908</t>
        </is>
      </c>
      <c r="F2409" t="inlineStr">
        <is>
          <t>Vendor payment BILL/2026/0908 (BATCH/2026/0417)</t>
        </is>
      </c>
      <c r="G2409" s="9" t="n">
        <v>-696.3</v>
      </c>
      <c r="H2409" t="inlineStr">
        <is>
          <t>supplier_payment</t>
        </is>
      </c>
      <c r="I2409" t="inlineStr">
        <is>
          <t>BATCH/2026/0417</t>
        </is>
      </c>
      <c r="J2409" t="inlineStr">
        <is>
          <t>G00523</t>
        </is>
      </c>
      <c r="K2409" t="str">
        <f>INDEX('Match Groups'!$D$5:$D$1326,MATCH(J2409,'Match Groups'!$A$5:$A$1326,0))</f>
        <v>MATCH</v>
      </c>
    </row>
    <row r="2410">
      <c r="A2410" t="inlineStr">
        <is>
          <t>JI-03812</t>
        </is>
      </c>
      <c r="B2410" t="inlineStr">
        <is>
          <t>OPS</t>
        </is>
      </c>
      <c r="C2410" s="5" t="n">
        <v>46246</v>
      </c>
      <c r="D2410" t="inlineStr">
        <is>
          <t>Secure Shred Australia</t>
        </is>
      </c>
      <c r="E2410" t="inlineStr">
        <is>
          <t>BILL/2026/0905</t>
        </is>
      </c>
      <c r="F2410" t="inlineStr">
        <is>
          <t>Vendor payment BILL/2026/0905 (BATCH/2026/0417)</t>
        </is>
      </c>
      <c r="G2410" s="9" t="n">
        <v>-3886.3</v>
      </c>
      <c r="H2410" t="inlineStr">
        <is>
          <t>supplier_payment</t>
        </is>
      </c>
      <c r="I2410" t="inlineStr">
        <is>
          <t>BATCH/2026/0417</t>
        </is>
      </c>
      <c r="J2410" t="inlineStr">
        <is>
          <t>G00523</t>
        </is>
      </c>
      <c r="K2410" t="str">
        <f>INDEX('Match Groups'!$D$5:$D$1326,MATCH(J2410,'Match Groups'!$A$5:$A$1326,0))</f>
        <v>MATCH</v>
      </c>
    </row>
    <row r="2411">
      <c r="A2411" t="inlineStr">
        <is>
          <t>JI-03813</t>
        </is>
      </c>
      <c r="B2411" t="inlineStr">
        <is>
          <t>OPS</t>
        </is>
      </c>
      <c r="C2411" s="5" t="n">
        <v>46246</v>
      </c>
      <c r="D2411" t="inlineStr">
        <is>
          <t>Compass Insurance Brokers</t>
        </is>
      </c>
      <c r="E2411" t="inlineStr">
        <is>
          <t>BILL/2026/0904</t>
        </is>
      </c>
      <c r="F2411" t="inlineStr">
        <is>
          <t>Vendor payment BILL/2026/0904 (BATCH/2026/0417)</t>
        </is>
      </c>
      <c r="G2411" s="9" t="n">
        <v>-696.3</v>
      </c>
      <c r="H2411" t="inlineStr">
        <is>
          <t>supplier_payment</t>
        </is>
      </c>
      <c r="I2411" t="inlineStr">
        <is>
          <t>BATCH/2026/0417</t>
        </is>
      </c>
      <c r="J2411" t="inlineStr">
        <is>
          <t>G00523</t>
        </is>
      </c>
      <c r="K2411" t="str">
        <f>INDEX('Match Groups'!$D$5:$D$1326,MATCH(J2411,'Match Groups'!$A$5:$A$1326,0))</f>
        <v>MATCH</v>
      </c>
    </row>
    <row r="2412">
      <c r="A2412" t="inlineStr">
        <is>
          <t>JI-03814</t>
        </is>
      </c>
      <c r="B2412" t="inlineStr">
        <is>
          <t>OPS</t>
        </is>
      </c>
      <c r="C2412" s="5" t="n">
        <v>46246</v>
      </c>
      <c r="D2412" t="inlineStr">
        <is>
          <t>Ledgerline Tax Advisers</t>
        </is>
      </c>
      <c r="E2412" t="inlineStr">
        <is>
          <t>BILL/2026/0902</t>
        </is>
      </c>
      <c r="F2412" t="inlineStr">
        <is>
          <t>Vendor payment BILL/2026/0902 (BATCH/2026/0417)</t>
        </is>
      </c>
      <c r="G2412" s="9" t="n">
        <v>-1662.1</v>
      </c>
      <c r="H2412" t="inlineStr">
        <is>
          <t>supplier_payment</t>
        </is>
      </c>
      <c r="I2412" t="inlineStr">
        <is>
          <t>BATCH/2026/0417</t>
        </is>
      </c>
      <c r="J2412" t="inlineStr">
        <is>
          <t>G00523</t>
        </is>
      </c>
      <c r="K2412" t="str">
        <f>INDEX('Match Groups'!$D$5:$D$1326,MATCH(J2412,'Match Groups'!$A$5:$A$1326,0))</f>
        <v>MATCH</v>
      </c>
    </row>
    <row r="2413">
      <c r="A2413" t="inlineStr">
        <is>
          <t>JI-03815</t>
        </is>
      </c>
      <c r="B2413" t="inlineStr">
        <is>
          <t>OPS</t>
        </is>
      </c>
      <c r="C2413" s="5" t="n">
        <v>46246</v>
      </c>
      <c r="D2413" t="inlineStr">
        <is>
          <t>Statewide Uniforms</t>
        </is>
      </c>
      <c r="E2413" t="inlineStr">
        <is>
          <t>BILL/2026/0891</t>
        </is>
      </c>
      <c r="F2413" t="inlineStr">
        <is>
          <t>Vendor payment BILL/2026/0891 (BATCH/2026/0417)</t>
        </is>
      </c>
      <c r="G2413" s="9" t="n">
        <v>-397.1</v>
      </c>
      <c r="H2413" t="inlineStr">
        <is>
          <t>supplier_payment</t>
        </is>
      </c>
      <c r="I2413" t="inlineStr">
        <is>
          <t>BATCH/2026/0417</t>
        </is>
      </c>
      <c r="J2413" t="inlineStr">
        <is>
          <t>G00523</t>
        </is>
      </c>
      <c r="K2413" t="str">
        <f>INDEX('Match Groups'!$D$5:$D$1326,MATCH(J2413,'Match Groups'!$A$5:$A$1326,0))</f>
        <v>MATCH</v>
      </c>
    </row>
    <row r="2414">
      <c r="A2414" t="inlineStr">
        <is>
          <t>JI-03944</t>
        </is>
      </c>
      <c r="B2414" t="inlineStr">
        <is>
          <t>OPS</t>
        </is>
      </c>
      <c r="C2414" s="5" t="n">
        <v>46246</v>
      </c>
      <c r="D2414" t="inlineStr">
        <is>
          <t>Internal transfer</t>
        </is>
      </c>
      <c r="E2414" t="inlineStr">
        <is>
          <t>TFR PR260813</t>
        </is>
      </c>
      <c r="F2414" t="inlineStr">
        <is>
          <t>Transfer to payroll clearing PR260813</t>
        </is>
      </c>
      <c r="G2414" s="9" t="n">
        <v>-201473.62</v>
      </c>
      <c r="H2414" t="inlineStr">
        <is>
          <t>transfer</t>
        </is>
      </c>
      <c r="I2414" t="inlineStr"/>
      <c r="J2414" t="inlineStr">
        <is>
          <t>G00524</t>
        </is>
      </c>
      <c r="K2414" t="str">
        <f>INDEX('Match Groups'!$D$5:$D$1326,MATCH(J2414,'Match Groups'!$A$5:$A$1326,0))</f>
        <v>MATCH</v>
      </c>
    </row>
    <row r="2415">
      <c r="A2415" t="inlineStr">
        <is>
          <t>JI-00877</t>
        </is>
      </c>
      <c r="B2415" t="inlineStr">
        <is>
          <t>OPS</t>
        </is>
      </c>
      <c r="C2415" s="5" t="n">
        <v>46247</v>
      </c>
      <c r="D2415" t="inlineStr">
        <is>
          <t>Bluegum Plan Management</t>
        </is>
      </c>
      <c r="E2415" t="inlineStr">
        <is>
          <t>INV/2026/02462</t>
        </is>
      </c>
      <c r="F2415" t="inlineStr">
        <is>
          <t>Customer payment INV/2026/02462</t>
        </is>
      </c>
      <c r="G2415" s="9" t="n">
        <v>96.98999999999999</v>
      </c>
      <c r="H2415" t="inlineStr">
        <is>
          <t>customer_payment</t>
        </is>
      </c>
      <c r="I2415" t="inlineStr"/>
      <c r="J2415" t="inlineStr">
        <is>
          <t>G00293</t>
        </is>
      </c>
      <c r="K2415" t="str">
        <f>INDEX('Match Groups'!$D$5:$D$1326,MATCH(J2415,'Match Groups'!$A$5:$A$1326,0))</f>
        <v>MATCH</v>
      </c>
    </row>
    <row r="2416">
      <c r="A2416" t="inlineStr">
        <is>
          <t>JI-00878</t>
        </is>
      </c>
      <c r="B2416" t="inlineStr">
        <is>
          <t>OPS</t>
        </is>
      </c>
      <c r="C2416" s="5" t="n">
        <v>46247</v>
      </c>
      <c r="D2416" t="inlineStr">
        <is>
          <t>Bluegum Plan Management</t>
        </is>
      </c>
      <c r="E2416" t="inlineStr">
        <is>
          <t>INV/2026/02511</t>
        </is>
      </c>
      <c r="F2416" t="inlineStr">
        <is>
          <t>Customer payment INV/2026/02511</t>
        </is>
      </c>
      <c r="G2416" s="9" t="n">
        <v>252.19</v>
      </c>
      <c r="H2416" t="inlineStr">
        <is>
          <t>customer_payment</t>
        </is>
      </c>
      <c r="I2416" t="inlineStr"/>
      <c r="J2416" t="inlineStr">
        <is>
          <t>G00293</t>
        </is>
      </c>
      <c r="K2416" t="str">
        <f>INDEX('Match Groups'!$D$5:$D$1326,MATCH(J2416,'Match Groups'!$A$5:$A$1326,0))</f>
        <v>MATCH</v>
      </c>
    </row>
    <row r="2417">
      <c r="A2417" t="inlineStr">
        <is>
          <t>JI-00879</t>
        </is>
      </c>
      <c r="B2417" t="inlineStr">
        <is>
          <t>OPS</t>
        </is>
      </c>
      <c r="C2417" s="5" t="n">
        <v>46247</v>
      </c>
      <c r="D2417" t="inlineStr">
        <is>
          <t>Bluegum Plan Management</t>
        </is>
      </c>
      <c r="E2417" t="inlineStr">
        <is>
          <t>INV/2026/02512</t>
        </is>
      </c>
      <c r="F2417" t="inlineStr">
        <is>
          <t>Customer payment INV/2026/02512</t>
        </is>
      </c>
      <c r="G2417" s="9" t="n">
        <v>387.98</v>
      </c>
      <c r="H2417" t="inlineStr">
        <is>
          <t>customer_payment</t>
        </is>
      </c>
      <c r="I2417" t="inlineStr"/>
      <c r="J2417" t="inlineStr">
        <is>
          <t>G00293</t>
        </is>
      </c>
      <c r="K2417" t="str">
        <f>INDEX('Match Groups'!$D$5:$D$1326,MATCH(J2417,'Match Groups'!$A$5:$A$1326,0))</f>
        <v>MATCH</v>
      </c>
    </row>
    <row r="2418">
      <c r="A2418" t="inlineStr">
        <is>
          <t>JI-00880</t>
        </is>
      </c>
      <c r="B2418" t="inlineStr">
        <is>
          <t>OPS</t>
        </is>
      </c>
      <c r="C2418" s="5" t="n">
        <v>46247</v>
      </c>
      <c r="D2418" t="inlineStr">
        <is>
          <t>Riverbend Plan Partners</t>
        </is>
      </c>
      <c r="E2418" t="inlineStr">
        <is>
          <t>INV/2026/02537</t>
        </is>
      </c>
      <c r="F2418" t="inlineStr">
        <is>
          <t>Customer payment INV/2026/02537</t>
        </is>
      </c>
      <c r="G2418" s="9" t="n">
        <v>242.49</v>
      </c>
      <c r="H2418" t="inlineStr">
        <is>
          <t>customer_payment</t>
        </is>
      </c>
      <c r="I2418" t="inlineStr"/>
      <c r="J2418" t="inlineStr">
        <is>
          <t>G00294</t>
        </is>
      </c>
      <c r="K2418" t="str">
        <f>INDEX('Match Groups'!$D$5:$D$1326,MATCH(J2418,'Match Groups'!$A$5:$A$1326,0))</f>
        <v>MATCH</v>
      </c>
    </row>
    <row r="2419">
      <c r="A2419" t="inlineStr">
        <is>
          <t>JI-00881</t>
        </is>
      </c>
      <c r="B2419" t="inlineStr">
        <is>
          <t>OPS</t>
        </is>
      </c>
      <c r="C2419" s="5" t="n">
        <v>46247</v>
      </c>
      <c r="D2419" t="inlineStr">
        <is>
          <t>Riverbend Plan Partners</t>
        </is>
      </c>
      <c r="E2419" t="inlineStr">
        <is>
          <t>INV/2026/02538</t>
        </is>
      </c>
      <c r="F2419" t="inlineStr">
        <is>
          <t>Customer payment INV/2026/02538</t>
        </is>
      </c>
      <c r="G2419" s="9" t="n">
        <v>320.98</v>
      </c>
      <c r="H2419" t="inlineStr">
        <is>
          <t>customer_payment</t>
        </is>
      </c>
      <c r="I2419" t="inlineStr"/>
      <c r="J2419" t="inlineStr">
        <is>
          <t>G00294</t>
        </is>
      </c>
      <c r="K2419" t="str">
        <f>INDEX('Match Groups'!$D$5:$D$1326,MATCH(J2419,'Match Groups'!$A$5:$A$1326,0))</f>
        <v>MATCH</v>
      </c>
    </row>
    <row r="2420">
      <c r="A2420" t="inlineStr">
        <is>
          <t>JI-00882</t>
        </is>
      </c>
      <c r="B2420" t="inlineStr">
        <is>
          <t>OPS</t>
        </is>
      </c>
      <c r="C2420" s="5" t="n">
        <v>46247</v>
      </c>
      <c r="D2420" t="inlineStr">
        <is>
          <t>Riverbend Plan Partners</t>
        </is>
      </c>
      <c r="E2420" t="inlineStr">
        <is>
          <t>INV/2026/02539</t>
        </is>
      </c>
      <c r="F2420" t="inlineStr">
        <is>
          <t>Customer payment INV/2026/02539</t>
        </is>
      </c>
      <c r="G2420" s="9" t="n">
        <v>96.98999999999999</v>
      </c>
      <c r="H2420" t="inlineStr">
        <is>
          <t>customer_payment</t>
        </is>
      </c>
      <c r="I2420" t="inlineStr"/>
      <c r="J2420" t="inlineStr">
        <is>
          <t>G00294</t>
        </is>
      </c>
      <c r="K2420" t="str">
        <f>INDEX('Match Groups'!$D$5:$D$1326,MATCH(J2420,'Match Groups'!$A$5:$A$1326,0))</f>
        <v>MATCH</v>
      </c>
    </row>
    <row r="2421">
      <c r="A2421" t="inlineStr">
        <is>
          <t>JI-00883</t>
        </is>
      </c>
      <c r="B2421" t="inlineStr">
        <is>
          <t>OPS</t>
        </is>
      </c>
      <c r="C2421" s="5" t="n">
        <v>46247</v>
      </c>
      <c r="D2421" t="inlineStr">
        <is>
          <t>Banksia Plan Co</t>
        </is>
      </c>
      <c r="E2421" t="inlineStr">
        <is>
          <t>INV/2026/02495</t>
        </is>
      </c>
      <c r="F2421" t="inlineStr">
        <is>
          <t>Customer payment INV/2026/02495</t>
        </is>
      </c>
      <c r="G2421" s="9" t="n">
        <v>96.98999999999999</v>
      </c>
      <c r="H2421" t="inlineStr">
        <is>
          <t>customer_payment</t>
        </is>
      </c>
      <c r="I2421" t="inlineStr"/>
      <c r="J2421" t="inlineStr">
        <is>
          <t>G00295</t>
        </is>
      </c>
      <c r="K2421" t="str">
        <f>INDEX('Match Groups'!$D$5:$D$1326,MATCH(J2421,'Match Groups'!$A$5:$A$1326,0))</f>
        <v>MATCH</v>
      </c>
    </row>
    <row r="2422">
      <c r="A2422" t="inlineStr">
        <is>
          <t>JI-00884</t>
        </is>
      </c>
      <c r="B2422" t="inlineStr">
        <is>
          <t>OPS</t>
        </is>
      </c>
      <c r="C2422" s="5" t="n">
        <v>46247</v>
      </c>
      <c r="D2422" t="inlineStr">
        <is>
          <t>Banksia Plan Co</t>
        </is>
      </c>
      <c r="E2422" t="inlineStr">
        <is>
          <t>INV/2026/02544</t>
        </is>
      </c>
      <c r="F2422" t="inlineStr">
        <is>
          <t>Customer payment INV/2026/02544</t>
        </is>
      </c>
      <c r="G2422" s="9" t="n">
        <v>175.49</v>
      </c>
      <c r="H2422" t="inlineStr">
        <is>
          <t>customer_payment</t>
        </is>
      </c>
      <c r="I2422" t="inlineStr"/>
      <c r="J2422" t="inlineStr">
        <is>
          <t>G00295</t>
        </is>
      </c>
      <c r="K2422" t="str">
        <f>INDEX('Match Groups'!$D$5:$D$1326,MATCH(J2422,'Match Groups'!$A$5:$A$1326,0))</f>
        <v>MATCH</v>
      </c>
    </row>
    <row r="2423">
      <c r="A2423" t="inlineStr">
        <is>
          <t>JI-00885</t>
        </is>
      </c>
      <c r="B2423" t="inlineStr">
        <is>
          <t>OPS</t>
        </is>
      </c>
      <c r="C2423" s="5" t="n">
        <v>46247</v>
      </c>
      <c r="D2423" t="inlineStr">
        <is>
          <t>Lyrebird Plan Management</t>
        </is>
      </c>
      <c r="E2423" t="inlineStr">
        <is>
          <t>INV/2026/02555</t>
        </is>
      </c>
      <c r="F2423" t="inlineStr">
        <is>
          <t>Customer payment INV/2026/02555</t>
        </is>
      </c>
      <c r="G2423" s="9" t="n">
        <v>145.49</v>
      </c>
      <c r="H2423" t="inlineStr">
        <is>
          <t>customer_payment</t>
        </is>
      </c>
      <c r="I2423" t="inlineStr"/>
      <c r="J2423" t="inlineStr">
        <is>
          <t>G00296</t>
        </is>
      </c>
      <c r="K2423" t="str">
        <f>INDEX('Match Groups'!$D$5:$D$1326,MATCH(J2423,'Match Groups'!$A$5:$A$1326,0))</f>
        <v>MATCH</v>
      </c>
    </row>
    <row r="2424">
      <c r="A2424" t="inlineStr">
        <is>
          <t>JI-00886</t>
        </is>
      </c>
      <c r="B2424" t="inlineStr">
        <is>
          <t>OPS</t>
        </is>
      </c>
      <c r="C2424" s="5" t="n">
        <v>46247</v>
      </c>
      <c r="D2424" t="inlineStr">
        <is>
          <t>Lyrebird Plan Management</t>
        </is>
      </c>
      <c r="E2424" t="inlineStr">
        <is>
          <t>INV/2026/02556</t>
        </is>
      </c>
      <c r="F2424" t="inlineStr">
        <is>
          <t>Customer payment INV/2026/02556</t>
        </is>
      </c>
      <c r="G2424" s="9" t="n">
        <v>242.49</v>
      </c>
      <c r="H2424" t="inlineStr">
        <is>
          <t>customer_payment</t>
        </is>
      </c>
      <c r="I2424" t="inlineStr"/>
      <c r="J2424" t="inlineStr">
        <is>
          <t>G00296</t>
        </is>
      </c>
      <c r="K2424" t="str">
        <f>INDEX('Match Groups'!$D$5:$D$1326,MATCH(J2424,'Match Groups'!$A$5:$A$1326,0))</f>
        <v>MATCH</v>
      </c>
    </row>
    <row r="2425">
      <c r="A2425" t="inlineStr">
        <is>
          <t>JI-00902</t>
        </is>
      </c>
      <c r="B2425" t="inlineStr">
        <is>
          <t>OPS</t>
        </is>
      </c>
      <c r="C2425" s="5" t="n">
        <v>46247</v>
      </c>
      <c r="D2425" t="inlineStr">
        <is>
          <t>Mallee Plan Services</t>
        </is>
      </c>
      <c r="E2425" t="inlineStr">
        <is>
          <t>INV/2026/02487</t>
        </is>
      </c>
      <c r="F2425" t="inlineStr">
        <is>
          <t>Customer payment INV/2026/02487</t>
        </is>
      </c>
      <c r="G2425" s="9" t="n">
        <v>155.19</v>
      </c>
      <c r="H2425" t="inlineStr">
        <is>
          <t>customer_payment</t>
        </is>
      </c>
      <c r="I2425" t="inlineStr"/>
      <c r="J2425" t="inlineStr">
        <is>
          <t>G00304</t>
        </is>
      </c>
      <c r="K2425" t="str">
        <f>INDEX('Match Groups'!$D$5:$D$1326,MATCH(J2425,'Match Groups'!$A$5:$A$1326,0))</f>
        <v>MATCH</v>
      </c>
    </row>
    <row r="2426">
      <c r="A2426" t="inlineStr">
        <is>
          <t>JI-00903</t>
        </is>
      </c>
      <c r="B2426" t="inlineStr">
        <is>
          <t>OPS</t>
        </is>
      </c>
      <c r="C2426" s="5" t="n">
        <v>46247</v>
      </c>
      <c r="D2426" t="inlineStr">
        <is>
          <t>Mallee Plan Services</t>
        </is>
      </c>
      <c r="E2426" t="inlineStr">
        <is>
          <t>INV/2026/02508</t>
        </is>
      </c>
      <c r="F2426" t="inlineStr">
        <is>
          <t>Customer payment INV/2026/02508</t>
        </is>
      </c>
      <c r="G2426" s="9" t="n">
        <v>96.98999999999999</v>
      </c>
      <c r="H2426" t="inlineStr">
        <is>
          <t>customer_payment</t>
        </is>
      </c>
      <c r="I2426" t="inlineStr"/>
      <c r="J2426" t="inlineStr">
        <is>
          <t>G00304</t>
        </is>
      </c>
      <c r="K2426" t="str">
        <f>INDEX('Match Groups'!$D$5:$D$1326,MATCH(J2426,'Match Groups'!$A$5:$A$1326,0))</f>
        <v>MATCH</v>
      </c>
    </row>
    <row r="2427">
      <c r="A2427" t="inlineStr">
        <is>
          <t>JI-00904</t>
        </is>
      </c>
      <c r="B2427" t="inlineStr">
        <is>
          <t>OPS</t>
        </is>
      </c>
      <c r="C2427" s="5" t="n">
        <v>46247</v>
      </c>
      <c r="D2427" t="inlineStr">
        <is>
          <t>Mallee Plan Services</t>
        </is>
      </c>
      <c r="E2427" t="inlineStr">
        <is>
          <t>INV/2026/02532</t>
        </is>
      </c>
      <c r="F2427" t="inlineStr">
        <is>
          <t>Customer payment INV/2026/02532</t>
        </is>
      </c>
      <c r="G2427" s="9" t="n">
        <v>252.19</v>
      </c>
      <c r="H2427" t="inlineStr">
        <is>
          <t>customer_payment</t>
        </is>
      </c>
      <c r="I2427" t="inlineStr"/>
      <c r="J2427" t="inlineStr">
        <is>
          <t>G00304</t>
        </is>
      </c>
      <c r="K2427" t="str">
        <f>INDEX('Match Groups'!$D$5:$D$1326,MATCH(J2427,'Match Groups'!$A$5:$A$1326,0))</f>
        <v>MATCH</v>
      </c>
    </row>
    <row r="2428">
      <c r="A2428" t="inlineStr">
        <is>
          <t>JI-00905</t>
        </is>
      </c>
      <c r="B2428" t="inlineStr">
        <is>
          <t>OPS</t>
        </is>
      </c>
      <c r="C2428" s="5" t="n">
        <v>46247</v>
      </c>
      <c r="D2428" t="inlineStr">
        <is>
          <t>Mallee Plan Services</t>
        </is>
      </c>
      <c r="E2428" t="inlineStr">
        <is>
          <t>INV/2026/02533</t>
        </is>
      </c>
      <c r="F2428" t="inlineStr">
        <is>
          <t>Customer payment INV/2026/02533</t>
        </is>
      </c>
      <c r="G2428" s="9" t="n">
        <v>193.99</v>
      </c>
      <c r="H2428" t="inlineStr">
        <is>
          <t>customer_payment</t>
        </is>
      </c>
      <c r="I2428" t="inlineStr"/>
      <c r="J2428" t="inlineStr">
        <is>
          <t>G00304</t>
        </is>
      </c>
      <c r="K2428" t="str">
        <f>INDEX('Match Groups'!$D$5:$D$1326,MATCH(J2428,'Match Groups'!$A$5:$A$1326,0))</f>
        <v>MATCH</v>
      </c>
    </row>
    <row r="2429">
      <c r="A2429" t="inlineStr">
        <is>
          <t>JI-00906</t>
        </is>
      </c>
      <c r="B2429" t="inlineStr">
        <is>
          <t>OPS</t>
        </is>
      </c>
      <c r="C2429" s="5" t="n">
        <v>46247</v>
      </c>
      <c r="D2429" t="inlineStr">
        <is>
          <t>Mallee Plan Services</t>
        </is>
      </c>
      <c r="E2429" t="inlineStr">
        <is>
          <t>INV/2026/02558</t>
        </is>
      </c>
      <c r="F2429" t="inlineStr">
        <is>
          <t>Customer payment INV/2026/02558</t>
        </is>
      </c>
      <c r="G2429" s="9" t="n">
        <v>290.98</v>
      </c>
      <c r="H2429" t="inlineStr">
        <is>
          <t>customer_payment</t>
        </is>
      </c>
      <c r="I2429" t="inlineStr"/>
      <c r="J2429" t="inlineStr">
        <is>
          <t>G00304</t>
        </is>
      </c>
      <c r="K2429" t="str">
        <f>INDEX('Match Groups'!$D$5:$D$1326,MATCH(J2429,'Match Groups'!$A$5:$A$1326,0))</f>
        <v>MATCH</v>
      </c>
    </row>
    <row r="2430">
      <c r="A2430" t="inlineStr">
        <is>
          <t>JI-00907</t>
        </is>
      </c>
      <c r="B2430" t="inlineStr">
        <is>
          <t>OPS</t>
        </is>
      </c>
      <c r="C2430" s="5" t="n">
        <v>46247</v>
      </c>
      <c r="D2430" t="inlineStr">
        <is>
          <t>Mallee Plan Services</t>
        </is>
      </c>
      <c r="E2430" t="inlineStr">
        <is>
          <t>INV/2026/02607</t>
        </is>
      </c>
      <c r="F2430" t="inlineStr">
        <is>
          <t>Customer payment INV/2026/02607</t>
        </is>
      </c>
      <c r="G2430" s="9" t="n">
        <v>387.98</v>
      </c>
      <c r="H2430" t="inlineStr">
        <is>
          <t>customer_payment</t>
        </is>
      </c>
      <c r="I2430" t="inlineStr"/>
      <c r="J2430" t="inlineStr">
        <is>
          <t>G00304</t>
        </is>
      </c>
      <c r="K2430" t="str">
        <f>INDEX('Match Groups'!$D$5:$D$1326,MATCH(J2430,'Match Groups'!$A$5:$A$1326,0))</f>
        <v>MATCH</v>
      </c>
    </row>
    <row r="2431">
      <c r="A2431" t="inlineStr">
        <is>
          <t>JI-00908</t>
        </is>
      </c>
      <c r="B2431" t="inlineStr">
        <is>
          <t>OPS</t>
        </is>
      </c>
      <c r="C2431" s="5" t="n">
        <v>46247</v>
      </c>
      <c r="D2431" t="inlineStr">
        <is>
          <t>Mallee Plan Services</t>
        </is>
      </c>
      <c r="E2431" t="inlineStr">
        <is>
          <t>INV/2026/02609</t>
        </is>
      </c>
      <c r="F2431" t="inlineStr">
        <is>
          <t>Customer payment INV/2026/02609</t>
        </is>
      </c>
      <c r="G2431" s="9" t="n">
        <v>145.49</v>
      </c>
      <c r="H2431" t="inlineStr">
        <is>
          <t>customer_payment</t>
        </is>
      </c>
      <c r="I2431" t="inlineStr"/>
      <c r="J2431" t="inlineStr">
        <is>
          <t>G00304</t>
        </is>
      </c>
      <c r="K2431" t="str">
        <f>INDEX('Match Groups'!$D$5:$D$1326,MATCH(J2431,'Match Groups'!$A$5:$A$1326,0))</f>
        <v>MATCH</v>
      </c>
    </row>
    <row r="2432">
      <c r="A2432" t="inlineStr">
        <is>
          <t>JI-01635</t>
        </is>
      </c>
      <c r="B2432" t="inlineStr">
        <is>
          <t>OPS</t>
        </is>
      </c>
      <c r="C2432" s="5" t="n">
        <v>46247</v>
      </c>
      <c r="D2432" t="inlineStr">
        <is>
          <t>Northline Injury Claims</t>
        </is>
      </c>
      <c r="E2432" t="inlineStr">
        <is>
          <t>INV/2026/02317</t>
        </is>
      </c>
      <c r="F2432" t="inlineStr">
        <is>
          <t>Customer payment INV/2026/02317</t>
        </is>
      </c>
      <c r="G2432" s="9" t="n">
        <v>990</v>
      </c>
      <c r="H2432" t="inlineStr">
        <is>
          <t>customer_payment</t>
        </is>
      </c>
      <c r="I2432" t="inlineStr"/>
      <c r="J2432" t="inlineStr">
        <is>
          <t>G01004</t>
        </is>
      </c>
      <c r="K2432" t="str">
        <f>INDEX('Match Groups'!$D$5:$D$1326,MATCH(J2432,'Match Groups'!$A$5:$A$1326,0))</f>
        <v>MATCH</v>
      </c>
    </row>
    <row r="2433">
      <c r="A2433" t="inlineStr">
        <is>
          <t>JI-01653</t>
        </is>
      </c>
      <c r="B2433" t="inlineStr">
        <is>
          <t>OPS</t>
        </is>
      </c>
      <c r="C2433" s="5" t="n">
        <v>46247</v>
      </c>
      <c r="D2433" t="inlineStr">
        <is>
          <t>Kestrel Lane Foods</t>
        </is>
      </c>
      <c r="E2433" t="inlineStr">
        <is>
          <t>INV/2026/03464</t>
        </is>
      </c>
      <c r="F2433" t="inlineStr">
        <is>
          <t>Customer payment INV/2026/03464</t>
        </is>
      </c>
      <c r="G2433" s="9" t="n">
        <v>10876.25</v>
      </c>
      <c r="H2433" t="inlineStr">
        <is>
          <t>customer_payment</t>
        </is>
      </c>
      <c r="I2433" t="inlineStr"/>
      <c r="J2433" t="inlineStr">
        <is>
          <t>G01005</t>
        </is>
      </c>
      <c r="K2433" t="str">
        <f>INDEX('Match Groups'!$D$5:$D$1326,MATCH(J2433,'Match Groups'!$A$5:$A$1326,0))</f>
        <v>MATCH</v>
      </c>
    </row>
    <row r="2434">
      <c r="A2434" t="inlineStr">
        <is>
          <t>JI-01703</t>
        </is>
      </c>
      <c r="B2434" t="inlineStr">
        <is>
          <t>OPS</t>
        </is>
      </c>
      <c r="C2434" s="5" t="n">
        <v>46247</v>
      </c>
      <c r="D2434" t="inlineStr">
        <is>
          <t>Talisker Mining Services</t>
        </is>
      </c>
      <c r="E2434" t="inlineStr">
        <is>
          <t>INV/2026/03486</t>
        </is>
      </c>
      <c r="F2434" t="inlineStr">
        <is>
          <t>Customer payment INV/2026/03486</t>
        </is>
      </c>
      <c r="G2434" s="9" t="n">
        <v>10725</v>
      </c>
      <c r="H2434" t="inlineStr">
        <is>
          <t>customer_payment</t>
        </is>
      </c>
      <c r="I2434" t="inlineStr"/>
      <c r="J2434" t="inlineStr">
        <is>
          <t>G01001</t>
        </is>
      </c>
      <c r="K2434" t="str">
        <f>INDEX('Match Groups'!$D$5:$D$1326,MATCH(J2434,'Match Groups'!$A$5:$A$1326,0))</f>
        <v>MATCH</v>
      </c>
    </row>
    <row r="2435">
      <c r="A2435" t="inlineStr">
        <is>
          <t>JI-02689</t>
        </is>
      </c>
      <c r="B2435" t="inlineStr">
        <is>
          <t>OPS</t>
        </is>
      </c>
      <c r="C2435" s="5" t="n">
        <v>46247</v>
      </c>
      <c r="D2435" t="inlineStr">
        <is>
          <t>Stripe patient 31865</t>
        </is>
      </c>
      <c r="E2435" t="inlineStr">
        <is>
          <t>INV/2026/04528</t>
        </is>
      </c>
      <c r="F2435" t="inlineStr">
        <is>
          <t>Refund INV/2026/04528</t>
        </is>
      </c>
      <c r="G2435" s="9" t="n">
        <v>-85</v>
      </c>
      <c r="H2435" t="inlineStr">
        <is>
          <t>customer_refund</t>
        </is>
      </c>
      <c r="I2435" t="inlineStr"/>
      <c r="J2435" t="inlineStr">
        <is>
          <t>G00045</t>
        </is>
      </c>
      <c r="K2435" t="str">
        <f>INDEX('Match Groups'!$D$5:$D$1326,MATCH(J2435,'Match Groups'!$A$5:$A$1326,0))</f>
        <v>STRIPE-FEE</v>
      </c>
    </row>
    <row r="2436">
      <c r="A2436" t="inlineStr">
        <is>
          <t>JI-02714</t>
        </is>
      </c>
      <c r="B2436" t="inlineStr">
        <is>
          <t>OPS</t>
        </is>
      </c>
      <c r="C2436" s="5" t="n">
        <v>46247</v>
      </c>
      <c r="D2436" t="inlineStr">
        <is>
          <t>Stripe patient 71232</t>
        </is>
      </c>
      <c r="E2436" t="inlineStr">
        <is>
          <t>INV/2026/04559</t>
        </is>
      </c>
      <c r="F2436" t="inlineStr">
        <is>
          <t>Customer payment INV/2026/04559</t>
        </is>
      </c>
      <c r="G2436" s="9" t="n">
        <v>135</v>
      </c>
      <c r="H2436" t="inlineStr">
        <is>
          <t>customer_payment</t>
        </is>
      </c>
      <c r="I2436" t="inlineStr"/>
      <c r="J2436" t="inlineStr">
        <is>
          <t>G00047</t>
        </is>
      </c>
      <c r="K2436" t="str">
        <f>INDEX('Match Groups'!$D$5:$D$1326,MATCH(J2436,'Match Groups'!$A$5:$A$1326,0))</f>
        <v>STRIPE-FEE</v>
      </c>
    </row>
    <row r="2437">
      <c r="A2437" t="inlineStr">
        <is>
          <t>JI-02715</t>
        </is>
      </c>
      <c r="B2437" t="inlineStr">
        <is>
          <t>OPS</t>
        </is>
      </c>
      <c r="C2437" s="5" t="n">
        <v>46247</v>
      </c>
      <c r="D2437" t="inlineStr">
        <is>
          <t>Stripe patient 47759</t>
        </is>
      </c>
      <c r="E2437" t="inlineStr">
        <is>
          <t>INV/2026/04560</t>
        </is>
      </c>
      <c r="F2437" t="inlineStr">
        <is>
          <t>Customer payment INV/2026/04560</t>
        </is>
      </c>
      <c r="G2437" s="9" t="n">
        <v>135</v>
      </c>
      <c r="H2437" t="inlineStr">
        <is>
          <t>customer_payment</t>
        </is>
      </c>
      <c r="I2437" t="inlineStr"/>
      <c r="J2437" t="inlineStr">
        <is>
          <t>G00047</t>
        </is>
      </c>
      <c r="K2437" t="str">
        <f>INDEX('Match Groups'!$D$5:$D$1326,MATCH(J2437,'Match Groups'!$A$5:$A$1326,0))</f>
        <v>STRIPE-FEE</v>
      </c>
    </row>
    <row r="2438">
      <c r="A2438" t="inlineStr">
        <is>
          <t>JI-02716</t>
        </is>
      </c>
      <c r="B2438" t="inlineStr">
        <is>
          <t>OPS</t>
        </is>
      </c>
      <c r="C2438" s="5" t="n">
        <v>46247</v>
      </c>
      <c r="D2438" t="inlineStr">
        <is>
          <t>Stripe patient 21121</t>
        </is>
      </c>
      <c r="E2438" t="inlineStr">
        <is>
          <t>INV/2026/04561</t>
        </is>
      </c>
      <c r="F2438" t="inlineStr">
        <is>
          <t>Customer payment INV/2026/04561</t>
        </is>
      </c>
      <c r="G2438" s="9" t="n">
        <v>180</v>
      </c>
      <c r="H2438" t="inlineStr">
        <is>
          <t>customer_payment</t>
        </is>
      </c>
      <c r="I2438" t="inlineStr"/>
      <c r="J2438" t="inlineStr">
        <is>
          <t>G00047</t>
        </is>
      </c>
      <c r="K2438" t="str">
        <f>INDEX('Match Groups'!$D$5:$D$1326,MATCH(J2438,'Match Groups'!$A$5:$A$1326,0))</f>
        <v>STRIPE-FEE</v>
      </c>
    </row>
    <row r="2439">
      <c r="A2439" t="inlineStr">
        <is>
          <t>JI-02717</t>
        </is>
      </c>
      <c r="B2439" t="inlineStr">
        <is>
          <t>OPS</t>
        </is>
      </c>
      <c r="C2439" s="5" t="n">
        <v>46247</v>
      </c>
      <c r="D2439" t="inlineStr">
        <is>
          <t>Stripe patient 57238</t>
        </is>
      </c>
      <c r="E2439" t="inlineStr">
        <is>
          <t>INV/2026/04562</t>
        </is>
      </c>
      <c r="F2439" t="inlineStr">
        <is>
          <t>Customer payment INV/2026/04562</t>
        </is>
      </c>
      <c r="G2439" s="9" t="n">
        <v>135</v>
      </c>
      <c r="H2439" t="inlineStr">
        <is>
          <t>customer_payment</t>
        </is>
      </c>
      <c r="I2439" t="inlineStr"/>
      <c r="J2439" t="inlineStr">
        <is>
          <t>G00047</t>
        </is>
      </c>
      <c r="K2439" t="str">
        <f>INDEX('Match Groups'!$D$5:$D$1326,MATCH(J2439,'Match Groups'!$A$5:$A$1326,0))</f>
        <v>STRIPE-FEE</v>
      </c>
    </row>
    <row r="2440">
      <c r="A2440" t="inlineStr">
        <is>
          <t>JI-02718</t>
        </is>
      </c>
      <c r="B2440" t="inlineStr">
        <is>
          <t>OPS</t>
        </is>
      </c>
      <c r="C2440" s="5" t="n">
        <v>46247</v>
      </c>
      <c r="D2440" t="inlineStr">
        <is>
          <t>Stripe patient 16535</t>
        </is>
      </c>
      <c r="E2440" t="inlineStr">
        <is>
          <t>INV/2026/04563</t>
        </is>
      </c>
      <c r="F2440" t="inlineStr">
        <is>
          <t>Customer payment INV/2026/04563</t>
        </is>
      </c>
      <c r="G2440" s="9" t="n">
        <v>135</v>
      </c>
      <c r="H2440" t="inlineStr">
        <is>
          <t>customer_payment</t>
        </is>
      </c>
      <c r="I2440" t="inlineStr"/>
      <c r="J2440" t="inlineStr">
        <is>
          <t>G00047</t>
        </is>
      </c>
      <c r="K2440" t="str">
        <f>INDEX('Match Groups'!$D$5:$D$1326,MATCH(J2440,'Match Groups'!$A$5:$A$1326,0))</f>
        <v>STRIPE-FEE</v>
      </c>
    </row>
    <row r="2441">
      <c r="A2441" t="inlineStr">
        <is>
          <t>JI-02719</t>
        </is>
      </c>
      <c r="B2441" t="inlineStr">
        <is>
          <t>OPS</t>
        </is>
      </c>
      <c r="C2441" s="5" t="n">
        <v>46247</v>
      </c>
      <c r="D2441" t="inlineStr">
        <is>
          <t>Stripe patient 57106</t>
        </is>
      </c>
      <c r="E2441" t="inlineStr">
        <is>
          <t>INV/2026/04564</t>
        </is>
      </c>
      <c r="F2441" t="inlineStr">
        <is>
          <t>Customer payment INV/2026/04564</t>
        </is>
      </c>
      <c r="G2441" s="9" t="n">
        <v>220</v>
      </c>
      <c r="H2441" t="inlineStr">
        <is>
          <t>customer_payment</t>
        </is>
      </c>
      <c r="I2441" t="inlineStr"/>
      <c r="J2441" t="inlineStr">
        <is>
          <t>G00047</t>
        </is>
      </c>
      <c r="K2441" t="str">
        <f>INDEX('Match Groups'!$D$5:$D$1326,MATCH(J2441,'Match Groups'!$A$5:$A$1326,0))</f>
        <v>STRIPE-FEE</v>
      </c>
    </row>
    <row r="2442">
      <c r="A2442" t="inlineStr">
        <is>
          <t>JI-02720</t>
        </is>
      </c>
      <c r="B2442" t="inlineStr">
        <is>
          <t>OPS</t>
        </is>
      </c>
      <c r="C2442" s="5" t="n">
        <v>46247</v>
      </c>
      <c r="D2442" t="inlineStr">
        <is>
          <t>Stripe patient 55273</t>
        </is>
      </c>
      <c r="E2442" t="inlineStr">
        <is>
          <t>INV/2026/04565</t>
        </is>
      </c>
      <c r="F2442" t="inlineStr">
        <is>
          <t>Customer payment INV/2026/04565</t>
        </is>
      </c>
      <c r="G2442" s="9" t="n">
        <v>85</v>
      </c>
      <c r="H2442" t="inlineStr">
        <is>
          <t>customer_payment</t>
        </is>
      </c>
      <c r="I2442" t="inlineStr"/>
      <c r="J2442" t="inlineStr">
        <is>
          <t>G00047</t>
        </is>
      </c>
      <c r="K2442" t="str">
        <f>INDEX('Match Groups'!$D$5:$D$1326,MATCH(J2442,'Match Groups'!$A$5:$A$1326,0))</f>
        <v>STRIPE-FEE</v>
      </c>
    </row>
    <row r="2443">
      <c r="A2443" t="inlineStr">
        <is>
          <t>JI-02721</t>
        </is>
      </c>
      <c r="B2443" t="inlineStr">
        <is>
          <t>OPS</t>
        </is>
      </c>
      <c r="C2443" s="5" t="n">
        <v>46247</v>
      </c>
      <c r="D2443" t="inlineStr">
        <is>
          <t>Stripe patient 47720</t>
        </is>
      </c>
      <c r="E2443" t="inlineStr">
        <is>
          <t>INV/2026/04566</t>
        </is>
      </c>
      <c r="F2443" t="inlineStr">
        <is>
          <t>Customer payment INV/2026/04566</t>
        </is>
      </c>
      <c r="G2443" s="9" t="n">
        <v>180</v>
      </c>
      <c r="H2443" t="inlineStr">
        <is>
          <t>customer_payment</t>
        </is>
      </c>
      <c r="I2443" t="inlineStr"/>
      <c r="J2443" t="inlineStr">
        <is>
          <t>G00047</t>
        </is>
      </c>
      <c r="K2443" t="str">
        <f>INDEX('Match Groups'!$D$5:$D$1326,MATCH(J2443,'Match Groups'!$A$5:$A$1326,0))</f>
        <v>STRIPE-FEE</v>
      </c>
    </row>
    <row r="2444">
      <c r="A2444" t="inlineStr">
        <is>
          <t>JI-02722</t>
        </is>
      </c>
      <c r="B2444" t="inlineStr">
        <is>
          <t>OPS</t>
        </is>
      </c>
      <c r="C2444" s="5" t="n">
        <v>46247</v>
      </c>
      <c r="D2444" t="inlineStr">
        <is>
          <t>Stripe patient 67662</t>
        </is>
      </c>
      <c r="E2444" t="inlineStr">
        <is>
          <t>INV/2026/04567</t>
        </is>
      </c>
      <c r="F2444" t="inlineStr">
        <is>
          <t>Customer payment INV/2026/04567</t>
        </is>
      </c>
      <c r="G2444" s="9" t="n">
        <v>220</v>
      </c>
      <c r="H2444" t="inlineStr">
        <is>
          <t>customer_payment</t>
        </is>
      </c>
      <c r="I2444" t="inlineStr"/>
      <c r="J2444" t="inlineStr">
        <is>
          <t>G00047</t>
        </is>
      </c>
      <c r="K2444" t="str">
        <f>INDEX('Match Groups'!$D$5:$D$1326,MATCH(J2444,'Match Groups'!$A$5:$A$1326,0))</f>
        <v>STRIPE-FEE</v>
      </c>
    </row>
    <row r="2445">
      <c r="A2445" t="inlineStr">
        <is>
          <t>JI-02723</t>
        </is>
      </c>
      <c r="B2445" t="inlineStr">
        <is>
          <t>OPS</t>
        </is>
      </c>
      <c r="C2445" s="5" t="n">
        <v>46247</v>
      </c>
      <c r="D2445" t="inlineStr">
        <is>
          <t>Stripe patient 80931</t>
        </is>
      </c>
      <c r="E2445" t="inlineStr">
        <is>
          <t>INV/2026/04568</t>
        </is>
      </c>
      <c r="F2445" t="inlineStr">
        <is>
          <t>Customer payment INV/2026/04568</t>
        </is>
      </c>
      <c r="G2445" s="9" t="n">
        <v>120</v>
      </c>
      <c r="H2445" t="inlineStr">
        <is>
          <t>customer_payment</t>
        </is>
      </c>
      <c r="I2445" t="inlineStr"/>
      <c r="J2445" t="inlineStr">
        <is>
          <t>G00047</t>
        </is>
      </c>
      <c r="K2445" t="str">
        <f>INDEX('Match Groups'!$D$5:$D$1326,MATCH(J2445,'Match Groups'!$A$5:$A$1326,0))</f>
        <v>STRIPE-FEE</v>
      </c>
    </row>
    <row r="2446">
      <c r="A2446" t="inlineStr">
        <is>
          <t>JI-02724</t>
        </is>
      </c>
      <c r="B2446" t="inlineStr">
        <is>
          <t>OPS</t>
        </is>
      </c>
      <c r="C2446" s="5" t="n">
        <v>46247</v>
      </c>
      <c r="D2446" t="inlineStr">
        <is>
          <t>Stripe patient 45767</t>
        </is>
      </c>
      <c r="E2446" t="inlineStr">
        <is>
          <t>INV/2026/04569</t>
        </is>
      </c>
      <c r="F2446" t="inlineStr">
        <is>
          <t>Customer payment INV/2026/04569</t>
        </is>
      </c>
      <c r="G2446" s="9" t="n">
        <v>150</v>
      </c>
      <c r="H2446" t="inlineStr">
        <is>
          <t>customer_payment</t>
        </is>
      </c>
      <c r="I2446" t="inlineStr"/>
      <c r="J2446" t="inlineStr">
        <is>
          <t>G00047</t>
        </is>
      </c>
      <c r="K2446" t="str">
        <f>INDEX('Match Groups'!$D$5:$D$1326,MATCH(J2446,'Match Groups'!$A$5:$A$1326,0))</f>
        <v>STRIPE-FEE</v>
      </c>
    </row>
    <row r="2447">
      <c r="A2447" t="inlineStr">
        <is>
          <t>JI-02725</t>
        </is>
      </c>
      <c r="B2447" t="inlineStr">
        <is>
          <t>OPS</t>
        </is>
      </c>
      <c r="C2447" s="5" t="n">
        <v>46247</v>
      </c>
      <c r="D2447" t="inlineStr">
        <is>
          <t>Stripe patient 65110</t>
        </is>
      </c>
      <c r="E2447" t="inlineStr">
        <is>
          <t>INV/2026/04570</t>
        </is>
      </c>
      <c r="F2447" t="inlineStr">
        <is>
          <t>Customer payment INV/2026/04570</t>
        </is>
      </c>
      <c r="G2447" s="9" t="n">
        <v>180</v>
      </c>
      <c r="H2447" t="inlineStr">
        <is>
          <t>customer_payment</t>
        </is>
      </c>
      <c r="I2447" t="inlineStr"/>
      <c r="J2447" t="inlineStr">
        <is>
          <t>G00047</t>
        </is>
      </c>
      <c r="K2447" t="str">
        <f>INDEX('Match Groups'!$D$5:$D$1326,MATCH(J2447,'Match Groups'!$A$5:$A$1326,0))</f>
        <v>STRIPE-FEE</v>
      </c>
    </row>
    <row r="2448">
      <c r="A2448" t="inlineStr">
        <is>
          <t>JI-02726</t>
        </is>
      </c>
      <c r="B2448" t="inlineStr">
        <is>
          <t>OPS</t>
        </is>
      </c>
      <c r="C2448" s="5" t="n">
        <v>46247</v>
      </c>
      <c r="D2448" t="inlineStr">
        <is>
          <t>Stripe patient 58719</t>
        </is>
      </c>
      <c r="E2448" t="inlineStr">
        <is>
          <t>INV/2026/04571</t>
        </is>
      </c>
      <c r="F2448" t="inlineStr">
        <is>
          <t>Customer payment INV/2026/04571</t>
        </is>
      </c>
      <c r="G2448" s="9" t="n">
        <v>85</v>
      </c>
      <c r="H2448" t="inlineStr">
        <is>
          <t>customer_payment</t>
        </is>
      </c>
      <c r="I2448" t="inlineStr"/>
      <c r="J2448" t="inlineStr">
        <is>
          <t>G00047</t>
        </is>
      </c>
      <c r="K2448" t="str">
        <f>INDEX('Match Groups'!$D$5:$D$1326,MATCH(J2448,'Match Groups'!$A$5:$A$1326,0))</f>
        <v>STRIPE-FEE</v>
      </c>
    </row>
    <row r="2449">
      <c r="A2449" t="inlineStr">
        <is>
          <t>JI-02727</t>
        </is>
      </c>
      <c r="B2449" t="inlineStr">
        <is>
          <t>OPS</t>
        </is>
      </c>
      <c r="C2449" s="5" t="n">
        <v>46247</v>
      </c>
      <c r="D2449" t="inlineStr">
        <is>
          <t>Stripe patient 31655</t>
        </is>
      </c>
      <c r="E2449" t="inlineStr">
        <is>
          <t>INV/2026/04572</t>
        </is>
      </c>
      <c r="F2449" t="inlineStr">
        <is>
          <t>Customer payment INV/2026/04572</t>
        </is>
      </c>
      <c r="G2449" s="9" t="n">
        <v>135</v>
      </c>
      <c r="H2449" t="inlineStr">
        <is>
          <t>customer_payment</t>
        </is>
      </c>
      <c r="I2449" t="inlineStr"/>
      <c r="J2449" t="inlineStr">
        <is>
          <t>G00047</t>
        </is>
      </c>
      <c r="K2449" t="str">
        <f>INDEX('Match Groups'!$D$5:$D$1326,MATCH(J2449,'Match Groups'!$A$5:$A$1326,0))</f>
        <v>STRIPE-FEE</v>
      </c>
    </row>
    <row r="2450">
      <c r="A2450" t="inlineStr">
        <is>
          <t>JI-02728</t>
        </is>
      </c>
      <c r="B2450" t="inlineStr">
        <is>
          <t>OPS</t>
        </is>
      </c>
      <c r="C2450" s="5" t="n">
        <v>46247</v>
      </c>
      <c r="D2450" t="inlineStr">
        <is>
          <t>Stripe patient 37075</t>
        </is>
      </c>
      <c r="E2450" t="inlineStr">
        <is>
          <t>INV/2026/04573</t>
        </is>
      </c>
      <c r="F2450" t="inlineStr">
        <is>
          <t>Customer payment INV/2026/04573</t>
        </is>
      </c>
      <c r="G2450" s="9" t="n">
        <v>110</v>
      </c>
      <c r="H2450" t="inlineStr">
        <is>
          <t>customer_payment</t>
        </is>
      </c>
      <c r="I2450" t="inlineStr"/>
      <c r="J2450" t="inlineStr">
        <is>
          <t>G00047</t>
        </is>
      </c>
      <c r="K2450" t="str">
        <f>INDEX('Match Groups'!$D$5:$D$1326,MATCH(J2450,'Match Groups'!$A$5:$A$1326,0))</f>
        <v>STRIPE-FEE</v>
      </c>
    </row>
    <row r="2451">
      <c r="A2451" t="inlineStr">
        <is>
          <t>JI-02729</t>
        </is>
      </c>
      <c r="B2451" t="inlineStr">
        <is>
          <t>OPS</t>
        </is>
      </c>
      <c r="C2451" s="5" t="n">
        <v>46247</v>
      </c>
      <c r="D2451" t="inlineStr">
        <is>
          <t>Stripe patient 34798</t>
        </is>
      </c>
      <c r="E2451" t="inlineStr">
        <is>
          <t>INV/2026/04574</t>
        </is>
      </c>
      <c r="F2451" t="inlineStr">
        <is>
          <t>Customer payment INV/2026/04574</t>
        </is>
      </c>
      <c r="G2451" s="9" t="n">
        <v>220</v>
      </c>
      <c r="H2451" t="inlineStr">
        <is>
          <t>customer_payment</t>
        </is>
      </c>
      <c r="I2451" t="inlineStr"/>
      <c r="J2451" t="inlineStr">
        <is>
          <t>G00047</t>
        </is>
      </c>
      <c r="K2451" t="str">
        <f>INDEX('Match Groups'!$D$5:$D$1326,MATCH(J2451,'Match Groups'!$A$5:$A$1326,0))</f>
        <v>STRIPE-FEE</v>
      </c>
    </row>
    <row r="2452">
      <c r="A2452" t="inlineStr">
        <is>
          <t>JI-02730</t>
        </is>
      </c>
      <c r="B2452" t="inlineStr">
        <is>
          <t>OPS</t>
        </is>
      </c>
      <c r="C2452" s="5" t="n">
        <v>46247</v>
      </c>
      <c r="D2452" t="inlineStr">
        <is>
          <t>Stripe patient 45485</t>
        </is>
      </c>
      <c r="E2452" t="inlineStr">
        <is>
          <t>INV/2026/04575</t>
        </is>
      </c>
      <c r="F2452" t="inlineStr">
        <is>
          <t>Customer payment INV/2026/04575</t>
        </is>
      </c>
      <c r="G2452" s="9" t="n">
        <v>150</v>
      </c>
      <c r="H2452" t="inlineStr">
        <is>
          <t>customer_payment</t>
        </is>
      </c>
      <c r="I2452" t="inlineStr"/>
      <c r="J2452" t="inlineStr">
        <is>
          <t>G00047</t>
        </is>
      </c>
      <c r="K2452" t="str">
        <f>INDEX('Match Groups'!$D$5:$D$1326,MATCH(J2452,'Match Groups'!$A$5:$A$1326,0))</f>
        <v>STRIPE-FEE</v>
      </c>
    </row>
    <row r="2453">
      <c r="A2453" t="inlineStr">
        <is>
          <t>JI-02731</t>
        </is>
      </c>
      <c r="B2453" t="inlineStr">
        <is>
          <t>OPS</t>
        </is>
      </c>
      <c r="C2453" s="5" t="n">
        <v>46247</v>
      </c>
      <c r="D2453" t="inlineStr">
        <is>
          <t>Stripe patient 80763</t>
        </is>
      </c>
      <c r="E2453" t="inlineStr">
        <is>
          <t>INV/2026/04576</t>
        </is>
      </c>
      <c r="F2453" t="inlineStr">
        <is>
          <t>Customer payment INV/2026/04576</t>
        </is>
      </c>
      <c r="G2453" s="9" t="n">
        <v>220</v>
      </c>
      <c r="H2453" t="inlineStr">
        <is>
          <t>customer_payment</t>
        </is>
      </c>
      <c r="I2453" t="inlineStr"/>
      <c r="J2453" t="inlineStr">
        <is>
          <t>G00047</t>
        </is>
      </c>
      <c r="K2453" t="str">
        <f>INDEX('Match Groups'!$D$5:$D$1326,MATCH(J2453,'Match Groups'!$A$5:$A$1326,0))</f>
        <v>STRIPE-FEE</v>
      </c>
    </row>
    <row r="2454">
      <c r="A2454" t="inlineStr">
        <is>
          <t>JI-02732</t>
        </is>
      </c>
      <c r="B2454" t="inlineStr">
        <is>
          <t>OPS</t>
        </is>
      </c>
      <c r="C2454" s="5" t="n">
        <v>46247</v>
      </c>
      <c r="D2454" t="inlineStr">
        <is>
          <t>Stripe patient 92312</t>
        </is>
      </c>
      <c r="E2454" t="inlineStr">
        <is>
          <t>INV/2026/04577</t>
        </is>
      </c>
      <c r="F2454" t="inlineStr">
        <is>
          <t>Customer payment INV/2026/04577</t>
        </is>
      </c>
      <c r="G2454" s="9" t="n">
        <v>120</v>
      </c>
      <c r="H2454" t="inlineStr">
        <is>
          <t>customer_payment</t>
        </is>
      </c>
      <c r="I2454" t="inlineStr"/>
      <c r="J2454" t="inlineStr">
        <is>
          <t>G00047</t>
        </is>
      </c>
      <c r="K2454" t="str">
        <f>INDEX('Match Groups'!$D$5:$D$1326,MATCH(J2454,'Match Groups'!$A$5:$A$1326,0))</f>
        <v>STRIPE-FEE</v>
      </c>
    </row>
    <row r="2455">
      <c r="A2455" t="inlineStr">
        <is>
          <t>JI-02733</t>
        </is>
      </c>
      <c r="B2455" t="inlineStr">
        <is>
          <t>OPS</t>
        </is>
      </c>
      <c r="C2455" s="5" t="n">
        <v>46247</v>
      </c>
      <c r="D2455" t="inlineStr">
        <is>
          <t>Stripe patient 32377</t>
        </is>
      </c>
      <c r="E2455" t="inlineStr">
        <is>
          <t>INV/2026/04578</t>
        </is>
      </c>
      <c r="F2455" t="inlineStr">
        <is>
          <t>Customer payment INV/2026/04578</t>
        </is>
      </c>
      <c r="G2455" s="9" t="n">
        <v>85</v>
      </c>
      <c r="H2455" t="inlineStr">
        <is>
          <t>customer_payment</t>
        </is>
      </c>
      <c r="I2455" t="inlineStr"/>
      <c r="J2455" t="inlineStr">
        <is>
          <t>G00047</t>
        </is>
      </c>
      <c r="K2455" t="str">
        <f>INDEX('Match Groups'!$D$5:$D$1326,MATCH(J2455,'Match Groups'!$A$5:$A$1326,0))</f>
        <v>STRIPE-FEE</v>
      </c>
    </row>
    <row r="2456">
      <c r="A2456" t="inlineStr">
        <is>
          <t>JI-02734</t>
        </is>
      </c>
      <c r="B2456" t="inlineStr">
        <is>
          <t>OPS</t>
        </is>
      </c>
      <c r="C2456" s="5" t="n">
        <v>46247</v>
      </c>
      <c r="D2456" t="inlineStr">
        <is>
          <t>Stripe patient 82313</t>
        </is>
      </c>
      <c r="E2456" t="inlineStr">
        <is>
          <t>INV/2026/04579</t>
        </is>
      </c>
      <c r="F2456" t="inlineStr">
        <is>
          <t>Customer payment INV/2026/04579</t>
        </is>
      </c>
      <c r="G2456" s="9" t="n">
        <v>85</v>
      </c>
      <c r="H2456" t="inlineStr">
        <is>
          <t>customer_payment</t>
        </is>
      </c>
      <c r="I2456" t="inlineStr"/>
      <c r="J2456" t="inlineStr">
        <is>
          <t>G00047</t>
        </is>
      </c>
      <c r="K2456" t="str">
        <f>INDEX('Match Groups'!$D$5:$D$1326,MATCH(J2456,'Match Groups'!$A$5:$A$1326,0))</f>
        <v>STRIPE-FEE</v>
      </c>
    </row>
    <row r="2457">
      <c r="A2457" t="inlineStr">
        <is>
          <t>JI-02735</t>
        </is>
      </c>
      <c r="B2457" t="inlineStr">
        <is>
          <t>OPS</t>
        </is>
      </c>
      <c r="C2457" s="5" t="n">
        <v>46247</v>
      </c>
      <c r="D2457" t="inlineStr">
        <is>
          <t>Stripe patient 89412</t>
        </is>
      </c>
      <c r="E2457" t="inlineStr">
        <is>
          <t>INV/2026/04580</t>
        </is>
      </c>
      <c r="F2457" t="inlineStr">
        <is>
          <t>Customer payment INV/2026/04580</t>
        </is>
      </c>
      <c r="G2457" s="9" t="n">
        <v>85</v>
      </c>
      <c r="H2457" t="inlineStr">
        <is>
          <t>customer_payment</t>
        </is>
      </c>
      <c r="I2457" t="inlineStr"/>
      <c r="J2457" t="inlineStr">
        <is>
          <t>G00047</t>
        </is>
      </c>
      <c r="K2457" t="str">
        <f>INDEX('Match Groups'!$D$5:$D$1326,MATCH(J2457,'Match Groups'!$A$5:$A$1326,0))</f>
        <v>STRIPE-FEE</v>
      </c>
    </row>
    <row r="2458">
      <c r="A2458" t="inlineStr">
        <is>
          <t>JI-02736</t>
        </is>
      </c>
      <c r="B2458" t="inlineStr">
        <is>
          <t>OPS</t>
        </is>
      </c>
      <c r="C2458" s="5" t="n">
        <v>46247</v>
      </c>
      <c r="D2458" t="inlineStr">
        <is>
          <t>Stripe patient 39189</t>
        </is>
      </c>
      <c r="E2458" t="inlineStr">
        <is>
          <t>INV/2026/04581</t>
        </is>
      </c>
      <c r="F2458" t="inlineStr">
        <is>
          <t>Customer payment INV/2026/04581</t>
        </is>
      </c>
      <c r="G2458" s="9" t="n">
        <v>95</v>
      </c>
      <c r="H2458" t="inlineStr">
        <is>
          <t>customer_payment</t>
        </is>
      </c>
      <c r="I2458" t="inlineStr"/>
      <c r="J2458" t="inlineStr">
        <is>
          <t>G00047</t>
        </is>
      </c>
      <c r="K2458" t="str">
        <f>INDEX('Match Groups'!$D$5:$D$1326,MATCH(J2458,'Match Groups'!$A$5:$A$1326,0))</f>
        <v>STRIPE-FEE</v>
      </c>
    </row>
    <row r="2459">
      <c r="A2459" t="inlineStr">
        <is>
          <t>JI-02737</t>
        </is>
      </c>
      <c r="B2459" t="inlineStr">
        <is>
          <t>OPS</t>
        </is>
      </c>
      <c r="C2459" s="5" t="n">
        <v>46247</v>
      </c>
      <c r="D2459" t="inlineStr">
        <is>
          <t>Stripe patient 62294</t>
        </is>
      </c>
      <c r="E2459" t="inlineStr">
        <is>
          <t>INV/2026/04582</t>
        </is>
      </c>
      <c r="F2459" t="inlineStr">
        <is>
          <t>Customer payment INV/2026/04582</t>
        </is>
      </c>
      <c r="G2459" s="9" t="n">
        <v>150</v>
      </c>
      <c r="H2459" t="inlineStr">
        <is>
          <t>customer_payment</t>
        </is>
      </c>
      <c r="I2459" t="inlineStr"/>
      <c r="J2459" t="inlineStr">
        <is>
          <t>G00047</t>
        </is>
      </c>
      <c r="K2459" t="str">
        <f>INDEX('Match Groups'!$D$5:$D$1326,MATCH(J2459,'Match Groups'!$A$5:$A$1326,0))</f>
        <v>STRIPE-FEE</v>
      </c>
    </row>
    <row r="2460">
      <c r="A2460" t="inlineStr">
        <is>
          <t>JI-02738</t>
        </is>
      </c>
      <c r="B2460" t="inlineStr">
        <is>
          <t>OPS</t>
        </is>
      </c>
      <c r="C2460" s="5" t="n">
        <v>46247</v>
      </c>
      <c r="D2460" t="inlineStr">
        <is>
          <t>Stripe patient 10782</t>
        </is>
      </c>
      <c r="E2460" t="inlineStr">
        <is>
          <t>INV/2026/04583</t>
        </is>
      </c>
      <c r="F2460" t="inlineStr">
        <is>
          <t>Customer payment INV/2026/04583</t>
        </is>
      </c>
      <c r="G2460" s="9" t="n">
        <v>135</v>
      </c>
      <c r="H2460" t="inlineStr">
        <is>
          <t>customer_payment</t>
        </is>
      </c>
      <c r="I2460" t="inlineStr"/>
      <c r="J2460" t="inlineStr">
        <is>
          <t>G00047</t>
        </is>
      </c>
      <c r="K2460" t="str">
        <f>INDEX('Match Groups'!$D$5:$D$1326,MATCH(J2460,'Match Groups'!$A$5:$A$1326,0))</f>
        <v>STRIPE-FEE</v>
      </c>
    </row>
    <row r="2461">
      <c r="A2461" t="inlineStr">
        <is>
          <t>JI-02739</t>
        </is>
      </c>
      <c r="B2461" t="inlineStr">
        <is>
          <t>OPS</t>
        </is>
      </c>
      <c r="C2461" s="5" t="n">
        <v>46247</v>
      </c>
      <c r="D2461" t="inlineStr">
        <is>
          <t>Stripe patient 47480</t>
        </is>
      </c>
      <c r="E2461" t="inlineStr">
        <is>
          <t>INV/2026/04584</t>
        </is>
      </c>
      <c r="F2461" t="inlineStr">
        <is>
          <t>Customer payment INV/2026/04584</t>
        </is>
      </c>
      <c r="G2461" s="9" t="n">
        <v>220</v>
      </c>
      <c r="H2461" t="inlineStr">
        <is>
          <t>customer_payment</t>
        </is>
      </c>
      <c r="I2461" t="inlineStr"/>
      <c r="J2461" t="inlineStr">
        <is>
          <t>G00047</t>
        </is>
      </c>
      <c r="K2461" t="str">
        <f>INDEX('Match Groups'!$D$5:$D$1326,MATCH(J2461,'Match Groups'!$A$5:$A$1326,0))</f>
        <v>STRIPE-FEE</v>
      </c>
    </row>
    <row r="2462">
      <c r="A2462" t="inlineStr">
        <is>
          <t>JI-02740</t>
        </is>
      </c>
      <c r="B2462" t="inlineStr">
        <is>
          <t>OPS</t>
        </is>
      </c>
      <c r="C2462" s="5" t="n">
        <v>46247</v>
      </c>
      <c r="D2462" t="inlineStr">
        <is>
          <t>Stripe patient 77853</t>
        </is>
      </c>
      <c r="E2462" t="inlineStr">
        <is>
          <t>INV/2026/04585</t>
        </is>
      </c>
      <c r="F2462" t="inlineStr">
        <is>
          <t>Customer payment INV/2026/04585</t>
        </is>
      </c>
      <c r="G2462" s="9" t="n">
        <v>85</v>
      </c>
      <c r="H2462" t="inlineStr">
        <is>
          <t>customer_payment</t>
        </is>
      </c>
      <c r="I2462" t="inlineStr"/>
      <c r="J2462" t="inlineStr">
        <is>
          <t>G00047</t>
        </is>
      </c>
      <c r="K2462" t="str">
        <f>INDEX('Match Groups'!$D$5:$D$1326,MATCH(J2462,'Match Groups'!$A$5:$A$1326,0))</f>
        <v>STRIPE-FEE</v>
      </c>
    </row>
    <row r="2463">
      <c r="A2463" t="inlineStr">
        <is>
          <t>JI-02741</t>
        </is>
      </c>
      <c r="B2463" t="inlineStr">
        <is>
          <t>OPS</t>
        </is>
      </c>
      <c r="C2463" s="5" t="n">
        <v>46247</v>
      </c>
      <c r="D2463" t="inlineStr">
        <is>
          <t>Stripe patient 55674</t>
        </is>
      </c>
      <c r="E2463" t="inlineStr">
        <is>
          <t>INV/2026/04586</t>
        </is>
      </c>
      <c r="F2463" t="inlineStr">
        <is>
          <t>Customer payment INV/2026/04586</t>
        </is>
      </c>
      <c r="G2463" s="9" t="n">
        <v>65</v>
      </c>
      <c r="H2463" t="inlineStr">
        <is>
          <t>customer_payment</t>
        </is>
      </c>
      <c r="I2463" t="inlineStr"/>
      <c r="J2463" t="inlineStr">
        <is>
          <t>G00047</t>
        </is>
      </c>
      <c r="K2463" t="str">
        <f>INDEX('Match Groups'!$D$5:$D$1326,MATCH(J2463,'Match Groups'!$A$5:$A$1326,0))</f>
        <v>STRIPE-FEE</v>
      </c>
    </row>
    <row r="2464">
      <c r="A2464" t="inlineStr">
        <is>
          <t>JI-02742</t>
        </is>
      </c>
      <c r="B2464" t="inlineStr">
        <is>
          <t>OPS</t>
        </is>
      </c>
      <c r="C2464" s="5" t="n">
        <v>46247</v>
      </c>
      <c r="D2464" t="inlineStr">
        <is>
          <t>Stripe patient 82143</t>
        </is>
      </c>
      <c r="E2464" t="inlineStr">
        <is>
          <t>INV/2026/04587</t>
        </is>
      </c>
      <c r="F2464" t="inlineStr">
        <is>
          <t>Customer payment INV/2026/04587</t>
        </is>
      </c>
      <c r="G2464" s="9" t="n">
        <v>110</v>
      </c>
      <c r="H2464" t="inlineStr">
        <is>
          <t>customer_payment</t>
        </is>
      </c>
      <c r="I2464" t="inlineStr"/>
      <c r="J2464" t="inlineStr">
        <is>
          <t>G00047</t>
        </is>
      </c>
      <c r="K2464" t="str">
        <f>INDEX('Match Groups'!$D$5:$D$1326,MATCH(J2464,'Match Groups'!$A$5:$A$1326,0))</f>
        <v>STRIPE-FEE</v>
      </c>
    </row>
    <row r="2465">
      <c r="A2465" t="inlineStr">
        <is>
          <t>JI-02743</t>
        </is>
      </c>
      <c r="B2465" t="inlineStr">
        <is>
          <t>OPS</t>
        </is>
      </c>
      <c r="C2465" s="5" t="n">
        <v>46247</v>
      </c>
      <c r="D2465" t="inlineStr">
        <is>
          <t>Stripe patient 81238</t>
        </is>
      </c>
      <c r="E2465" t="inlineStr">
        <is>
          <t>INV/2026/04588</t>
        </is>
      </c>
      <c r="F2465" t="inlineStr">
        <is>
          <t>Customer payment INV/2026/04588</t>
        </is>
      </c>
      <c r="G2465" s="9" t="n">
        <v>85</v>
      </c>
      <c r="H2465" t="inlineStr">
        <is>
          <t>customer_payment</t>
        </is>
      </c>
      <c r="I2465" t="inlineStr"/>
      <c r="J2465" t="inlineStr">
        <is>
          <t>G00047</t>
        </is>
      </c>
      <c r="K2465" t="str">
        <f>INDEX('Match Groups'!$D$5:$D$1326,MATCH(J2465,'Match Groups'!$A$5:$A$1326,0))</f>
        <v>STRIPE-FEE</v>
      </c>
    </row>
    <row r="2466">
      <c r="A2466" t="inlineStr">
        <is>
          <t>JI-00893</t>
        </is>
      </c>
      <c r="B2466" t="inlineStr">
        <is>
          <t>OPS</t>
        </is>
      </c>
      <c r="C2466" s="5" t="n">
        <v>46248</v>
      </c>
      <c r="D2466" t="inlineStr">
        <is>
          <t>Clearpath NDIS Plans</t>
        </is>
      </c>
      <c r="E2466" t="inlineStr">
        <is>
          <t>INV/2026/02467</t>
        </is>
      </c>
      <c r="F2466" t="inlineStr">
        <is>
          <t>Customer payment INV/2026/02467</t>
        </is>
      </c>
      <c r="G2466" s="9" t="n">
        <v>446.18</v>
      </c>
      <c r="H2466" t="inlineStr">
        <is>
          <t>customer_payment</t>
        </is>
      </c>
      <c r="I2466" t="inlineStr"/>
      <c r="J2466" t="inlineStr">
        <is>
          <t>G00299</t>
        </is>
      </c>
      <c r="K2466" t="str">
        <f>INDEX('Match Groups'!$D$5:$D$1326,MATCH(J2466,'Match Groups'!$A$5:$A$1326,0))</f>
        <v>MATCH</v>
      </c>
    </row>
    <row r="2467">
      <c r="A2467" t="inlineStr">
        <is>
          <t>JI-00894</t>
        </is>
      </c>
      <c r="B2467" t="inlineStr">
        <is>
          <t>OPS</t>
        </is>
      </c>
      <c r="C2467" s="5" t="n">
        <v>46248</v>
      </c>
      <c r="D2467" t="inlineStr">
        <is>
          <t>Clearpath NDIS Plans</t>
        </is>
      </c>
      <c r="E2467" t="inlineStr">
        <is>
          <t>INV/2026/02492</t>
        </is>
      </c>
      <c r="F2467" t="inlineStr">
        <is>
          <t>Customer payment INV/2026/02492</t>
        </is>
      </c>
      <c r="G2467" s="9" t="n">
        <v>145.49</v>
      </c>
      <c r="H2467" t="inlineStr">
        <is>
          <t>customer_payment</t>
        </is>
      </c>
      <c r="I2467" t="inlineStr"/>
      <c r="J2467" t="inlineStr">
        <is>
          <t>G00299</t>
        </is>
      </c>
      <c r="K2467" t="str">
        <f>INDEX('Match Groups'!$D$5:$D$1326,MATCH(J2467,'Match Groups'!$A$5:$A$1326,0))</f>
        <v>MATCH</v>
      </c>
    </row>
    <row r="2468">
      <c r="A2468" t="inlineStr">
        <is>
          <t>JI-00895</t>
        </is>
      </c>
      <c r="B2468" t="inlineStr">
        <is>
          <t>OPS</t>
        </is>
      </c>
      <c r="C2468" s="5" t="n">
        <v>46248</v>
      </c>
      <c r="D2468" t="inlineStr">
        <is>
          <t>Clearpath NDIS Plans</t>
        </is>
      </c>
      <c r="E2468" t="inlineStr">
        <is>
          <t>INV/2026/02515</t>
        </is>
      </c>
      <c r="F2468" t="inlineStr">
        <is>
          <t>Customer payment INV/2026/02515</t>
        </is>
      </c>
      <c r="G2468" s="9" t="n">
        <v>242.49</v>
      </c>
      <c r="H2468" t="inlineStr">
        <is>
          <t>customer_payment</t>
        </is>
      </c>
      <c r="I2468" t="inlineStr"/>
      <c r="J2468" t="inlineStr">
        <is>
          <t>G00299</t>
        </is>
      </c>
      <c r="K2468" t="str">
        <f>INDEX('Match Groups'!$D$5:$D$1326,MATCH(J2468,'Match Groups'!$A$5:$A$1326,0))</f>
        <v>MATCH</v>
      </c>
    </row>
    <row r="2469">
      <c r="A2469" t="inlineStr">
        <is>
          <t>JI-00896</t>
        </is>
      </c>
      <c r="B2469" t="inlineStr">
        <is>
          <t>OPS</t>
        </is>
      </c>
      <c r="C2469" s="5" t="n">
        <v>46248</v>
      </c>
      <c r="D2469" t="inlineStr">
        <is>
          <t>Banksia Plan Co</t>
        </is>
      </c>
      <c r="E2469" t="inlineStr">
        <is>
          <t>INV/2026/02590</t>
        </is>
      </c>
      <c r="F2469" t="inlineStr">
        <is>
          <t>Customer payment INV/2026/02590</t>
        </is>
      </c>
      <c r="G2469" s="9" t="n">
        <v>193.99</v>
      </c>
      <c r="H2469" t="inlineStr">
        <is>
          <t>customer_payment</t>
        </is>
      </c>
      <c r="I2469" t="inlineStr"/>
      <c r="J2469" t="inlineStr">
        <is>
          <t>G00300</t>
        </is>
      </c>
      <c r="K2469" t="str">
        <f>INDEX('Match Groups'!$D$5:$D$1326,MATCH(J2469,'Match Groups'!$A$5:$A$1326,0))</f>
        <v>MATCH</v>
      </c>
    </row>
    <row r="2470">
      <c r="A2470" t="inlineStr">
        <is>
          <t>JI-00897</t>
        </is>
      </c>
      <c r="B2470" t="inlineStr">
        <is>
          <t>OPS</t>
        </is>
      </c>
      <c r="C2470" s="5" t="n">
        <v>46248</v>
      </c>
      <c r="D2470" t="inlineStr">
        <is>
          <t>Ironbark Plan Management</t>
        </is>
      </c>
      <c r="E2470" t="inlineStr">
        <is>
          <t>INV/2026/02427</t>
        </is>
      </c>
      <c r="F2470" t="inlineStr">
        <is>
          <t>Customer payment INV/2026/02427</t>
        </is>
      </c>
      <c r="G2470" s="9" t="n">
        <v>193.99</v>
      </c>
      <c r="H2470" t="inlineStr">
        <is>
          <t>customer_payment</t>
        </is>
      </c>
      <c r="I2470" t="inlineStr"/>
      <c r="J2470" t="inlineStr">
        <is>
          <t>G00301</t>
        </is>
      </c>
      <c r="K2470" t="str">
        <f>INDEX('Match Groups'!$D$5:$D$1326,MATCH(J2470,'Match Groups'!$A$5:$A$1326,0))</f>
        <v>MATCH</v>
      </c>
    </row>
    <row r="2471">
      <c r="A2471" t="inlineStr">
        <is>
          <t>JI-00898</t>
        </is>
      </c>
      <c r="B2471" t="inlineStr">
        <is>
          <t>OPS</t>
        </is>
      </c>
      <c r="C2471" s="5" t="n">
        <v>46248</v>
      </c>
      <c r="D2471" t="inlineStr">
        <is>
          <t>Ironbark Plan Management</t>
        </is>
      </c>
      <c r="E2471" t="inlineStr">
        <is>
          <t>INV/2026/02448</t>
        </is>
      </c>
      <c r="F2471" t="inlineStr">
        <is>
          <t>Customer payment INV/2026/02448</t>
        </is>
      </c>
      <c r="G2471" s="9" t="n">
        <v>96.98999999999999</v>
      </c>
      <c r="H2471" t="inlineStr">
        <is>
          <t>customer_payment</t>
        </is>
      </c>
      <c r="I2471" t="inlineStr"/>
      <c r="J2471" t="inlineStr">
        <is>
          <t>G00301</t>
        </is>
      </c>
      <c r="K2471" t="str">
        <f>INDEX('Match Groups'!$D$5:$D$1326,MATCH(J2471,'Match Groups'!$A$5:$A$1326,0))</f>
        <v>MATCH</v>
      </c>
    </row>
    <row r="2472">
      <c r="A2472" t="inlineStr">
        <is>
          <t>JI-00899</t>
        </is>
      </c>
      <c r="B2472" t="inlineStr">
        <is>
          <t>OPS</t>
        </is>
      </c>
      <c r="C2472" s="5" t="n">
        <v>46248</v>
      </c>
      <c r="D2472" t="inlineStr">
        <is>
          <t>Kookaburra Plan Support</t>
        </is>
      </c>
      <c r="E2472" t="inlineStr">
        <is>
          <t>INV/2026/02473</t>
        </is>
      </c>
      <c r="F2472" t="inlineStr">
        <is>
          <t>Customer payment INV/2026/02473</t>
        </is>
      </c>
      <c r="G2472" s="9" t="n">
        <v>193.99</v>
      </c>
      <c r="H2472" t="inlineStr">
        <is>
          <t>customer_payment</t>
        </is>
      </c>
      <c r="I2472" t="inlineStr"/>
      <c r="J2472" t="inlineStr">
        <is>
          <t>G00302</t>
        </is>
      </c>
      <c r="K2472" t="str">
        <f>INDEX('Match Groups'!$D$5:$D$1326,MATCH(J2472,'Match Groups'!$A$5:$A$1326,0))</f>
        <v>MATCH</v>
      </c>
    </row>
    <row r="2473">
      <c r="A2473" t="inlineStr">
        <is>
          <t>JI-00900</t>
        </is>
      </c>
      <c r="B2473" t="inlineStr">
        <is>
          <t>OPS</t>
        </is>
      </c>
      <c r="C2473" s="5" t="n">
        <v>46248</v>
      </c>
      <c r="D2473" t="inlineStr">
        <is>
          <t>Kookaburra Plan Support</t>
        </is>
      </c>
      <c r="E2473" t="inlineStr">
        <is>
          <t>INV/2026/02546</t>
        </is>
      </c>
      <c r="F2473" t="inlineStr">
        <is>
          <t>Customer payment INV/2026/02546</t>
        </is>
      </c>
      <c r="G2473" s="9" t="n">
        <v>387.98</v>
      </c>
      <c r="H2473" t="inlineStr">
        <is>
          <t>customer_payment</t>
        </is>
      </c>
      <c r="I2473" t="inlineStr"/>
      <c r="J2473" t="inlineStr">
        <is>
          <t>G00302</t>
        </is>
      </c>
      <c r="K2473" t="str">
        <f>INDEX('Match Groups'!$D$5:$D$1326,MATCH(J2473,'Match Groups'!$A$5:$A$1326,0))</f>
        <v>MATCH</v>
      </c>
    </row>
    <row r="2474">
      <c r="A2474" t="inlineStr">
        <is>
          <t>JI-00901</t>
        </is>
      </c>
      <c r="B2474" t="inlineStr">
        <is>
          <t>OPS</t>
        </is>
      </c>
      <c r="C2474" s="5" t="n">
        <v>46248</v>
      </c>
      <c r="D2474" t="inlineStr">
        <is>
          <t>Kookaburra Plan Support</t>
        </is>
      </c>
      <c r="E2474" t="inlineStr">
        <is>
          <t>INV/2026/02547</t>
        </is>
      </c>
      <c r="F2474" t="inlineStr">
        <is>
          <t>Customer payment INV/2026/02547</t>
        </is>
      </c>
      <c r="G2474" s="9" t="n">
        <v>223.99</v>
      </c>
      <c r="H2474" t="inlineStr">
        <is>
          <t>customer_payment</t>
        </is>
      </c>
      <c r="I2474" t="inlineStr"/>
      <c r="J2474" t="inlineStr">
        <is>
          <t>G00302</t>
        </is>
      </c>
      <c r="K2474" t="str">
        <f>INDEX('Match Groups'!$D$5:$D$1326,MATCH(J2474,'Match Groups'!$A$5:$A$1326,0))</f>
        <v>MATCH</v>
      </c>
    </row>
    <row r="2475">
      <c r="A2475" t="inlineStr">
        <is>
          <t>JI-01621</t>
        </is>
      </c>
      <c r="B2475" t="inlineStr">
        <is>
          <t>OPS</t>
        </is>
      </c>
      <c r="C2475" s="5" t="n">
        <v>46248</v>
      </c>
      <c r="D2475" t="inlineStr">
        <is>
          <t>Meridian Health Cover</t>
        </is>
      </c>
      <c r="E2475" t="inlineStr">
        <is>
          <t>INV/2026/02440</t>
        </is>
      </c>
      <c r="F2475" t="inlineStr">
        <is>
          <t>Customer payment INV/2026/02440</t>
        </is>
      </c>
      <c r="G2475" s="9" t="n">
        <v>88</v>
      </c>
      <c r="H2475" t="inlineStr">
        <is>
          <t>customer_payment</t>
        </is>
      </c>
      <c r="I2475" t="inlineStr"/>
      <c r="J2475" t="inlineStr">
        <is>
          <t>G01000</t>
        </is>
      </c>
      <c r="K2475" t="str">
        <f>INDEX('Match Groups'!$D$5:$D$1326,MATCH(J2475,'Match Groups'!$A$5:$A$1326,0))</f>
        <v>MATCH</v>
      </c>
    </row>
    <row r="2476">
      <c r="A2476" t="inlineStr">
        <is>
          <t>JI-01623</t>
        </is>
      </c>
      <c r="B2476" t="inlineStr">
        <is>
          <t>OPS</t>
        </is>
      </c>
      <c r="C2476" s="5" t="n">
        <v>46248</v>
      </c>
      <c r="D2476" t="inlineStr">
        <is>
          <t>Meridian Health Cover</t>
        </is>
      </c>
      <c r="E2476" t="inlineStr">
        <is>
          <t>INV/2026/02510</t>
        </is>
      </c>
      <c r="F2476" t="inlineStr">
        <is>
          <t>Customer payment INV/2026/02510</t>
        </is>
      </c>
      <c r="G2476" s="9" t="n">
        <v>412.5</v>
      </c>
      <c r="H2476" t="inlineStr">
        <is>
          <t>customer_payment</t>
        </is>
      </c>
      <c r="I2476" t="inlineStr"/>
      <c r="J2476" t="inlineStr">
        <is>
          <t>G01007</t>
        </is>
      </c>
      <c r="K2476" t="str">
        <f>INDEX('Match Groups'!$D$5:$D$1326,MATCH(J2476,'Match Groups'!$A$5:$A$1326,0))</f>
        <v>MATCH</v>
      </c>
    </row>
    <row r="2477">
      <c r="A2477" t="inlineStr">
        <is>
          <t>JI-02744</t>
        </is>
      </c>
      <c r="B2477" t="inlineStr">
        <is>
          <t>OPS</t>
        </is>
      </c>
      <c r="C2477" s="5" t="n">
        <v>46248</v>
      </c>
      <c r="D2477" t="inlineStr">
        <is>
          <t>Stripe patient 89324</t>
        </is>
      </c>
      <c r="E2477" t="inlineStr">
        <is>
          <t>INV/2026/04589</t>
        </is>
      </c>
      <c r="F2477" t="inlineStr">
        <is>
          <t>Customer payment INV/2026/04589</t>
        </is>
      </c>
      <c r="G2477" s="9" t="n">
        <v>120</v>
      </c>
      <c r="H2477" t="inlineStr">
        <is>
          <t>customer_payment</t>
        </is>
      </c>
      <c r="I2477" t="inlineStr"/>
      <c r="J2477" t="inlineStr">
        <is>
          <t>G00048</t>
        </is>
      </c>
      <c r="K2477" t="str">
        <f>INDEX('Match Groups'!$D$5:$D$1326,MATCH(J2477,'Match Groups'!$A$5:$A$1326,0))</f>
        <v>STRIPE-FEE</v>
      </c>
    </row>
    <row r="2478">
      <c r="A2478" t="inlineStr">
        <is>
          <t>JI-02745</t>
        </is>
      </c>
      <c r="B2478" t="inlineStr">
        <is>
          <t>OPS</t>
        </is>
      </c>
      <c r="C2478" s="5" t="n">
        <v>46248</v>
      </c>
      <c r="D2478" t="inlineStr">
        <is>
          <t>Stripe patient 29467</t>
        </is>
      </c>
      <c r="E2478" t="inlineStr">
        <is>
          <t>INV/2026/04590</t>
        </is>
      </c>
      <c r="F2478" t="inlineStr">
        <is>
          <t>Customer payment INV/2026/04590</t>
        </is>
      </c>
      <c r="G2478" s="9" t="n">
        <v>85</v>
      </c>
      <c r="H2478" t="inlineStr">
        <is>
          <t>customer_payment</t>
        </is>
      </c>
      <c r="I2478" t="inlineStr"/>
      <c r="J2478" t="inlineStr">
        <is>
          <t>G00048</t>
        </is>
      </c>
      <c r="K2478" t="str">
        <f>INDEX('Match Groups'!$D$5:$D$1326,MATCH(J2478,'Match Groups'!$A$5:$A$1326,0))</f>
        <v>STRIPE-FEE</v>
      </c>
    </row>
    <row r="2479">
      <c r="A2479" t="inlineStr">
        <is>
          <t>JI-02746</t>
        </is>
      </c>
      <c r="B2479" t="inlineStr">
        <is>
          <t>OPS</t>
        </is>
      </c>
      <c r="C2479" s="5" t="n">
        <v>46248</v>
      </c>
      <c r="D2479" t="inlineStr">
        <is>
          <t>Stripe patient 61535</t>
        </is>
      </c>
      <c r="E2479" t="inlineStr">
        <is>
          <t>INV/2026/04591</t>
        </is>
      </c>
      <c r="F2479" t="inlineStr">
        <is>
          <t>Customer payment INV/2026/04591</t>
        </is>
      </c>
      <c r="G2479" s="9" t="n">
        <v>110</v>
      </c>
      <c r="H2479" t="inlineStr">
        <is>
          <t>customer_payment</t>
        </is>
      </c>
      <c r="I2479" t="inlineStr"/>
      <c r="J2479" t="inlineStr">
        <is>
          <t>G00048</t>
        </is>
      </c>
      <c r="K2479" t="str">
        <f>INDEX('Match Groups'!$D$5:$D$1326,MATCH(J2479,'Match Groups'!$A$5:$A$1326,0))</f>
        <v>STRIPE-FEE</v>
      </c>
    </row>
    <row r="2480">
      <c r="A2480" t="inlineStr">
        <is>
          <t>JI-02747</t>
        </is>
      </c>
      <c r="B2480" t="inlineStr">
        <is>
          <t>OPS</t>
        </is>
      </c>
      <c r="C2480" s="5" t="n">
        <v>46248</v>
      </c>
      <c r="D2480" t="inlineStr">
        <is>
          <t>Stripe patient 50351</t>
        </is>
      </c>
      <c r="E2480" t="inlineStr">
        <is>
          <t>INV/2026/04592</t>
        </is>
      </c>
      <c r="F2480" t="inlineStr">
        <is>
          <t>Customer payment INV/2026/04592</t>
        </is>
      </c>
      <c r="G2480" s="9" t="n">
        <v>110</v>
      </c>
      <c r="H2480" t="inlineStr">
        <is>
          <t>customer_payment</t>
        </is>
      </c>
      <c r="I2480" t="inlineStr"/>
      <c r="J2480" t="inlineStr">
        <is>
          <t>G00048</t>
        </is>
      </c>
      <c r="K2480" t="str">
        <f>INDEX('Match Groups'!$D$5:$D$1326,MATCH(J2480,'Match Groups'!$A$5:$A$1326,0))</f>
        <v>STRIPE-FEE</v>
      </c>
    </row>
    <row r="2481">
      <c r="A2481" t="inlineStr">
        <is>
          <t>JI-02748</t>
        </is>
      </c>
      <c r="B2481" t="inlineStr">
        <is>
          <t>OPS</t>
        </is>
      </c>
      <c r="C2481" s="5" t="n">
        <v>46248</v>
      </c>
      <c r="D2481" t="inlineStr">
        <is>
          <t>Stripe patient 90657</t>
        </is>
      </c>
      <c r="E2481" t="inlineStr">
        <is>
          <t>INV/2026/04593</t>
        </is>
      </c>
      <c r="F2481" t="inlineStr">
        <is>
          <t>Customer payment INV/2026/04593</t>
        </is>
      </c>
      <c r="G2481" s="9" t="n">
        <v>85</v>
      </c>
      <c r="H2481" t="inlineStr">
        <is>
          <t>customer_payment</t>
        </is>
      </c>
      <c r="I2481" t="inlineStr"/>
      <c r="J2481" t="inlineStr">
        <is>
          <t>G00048</t>
        </is>
      </c>
      <c r="K2481" t="str">
        <f>INDEX('Match Groups'!$D$5:$D$1326,MATCH(J2481,'Match Groups'!$A$5:$A$1326,0))</f>
        <v>STRIPE-FEE</v>
      </c>
    </row>
    <row r="2482">
      <c r="A2482" t="inlineStr">
        <is>
          <t>JI-02749</t>
        </is>
      </c>
      <c r="B2482" t="inlineStr">
        <is>
          <t>OPS</t>
        </is>
      </c>
      <c r="C2482" s="5" t="n">
        <v>46248</v>
      </c>
      <c r="D2482" t="inlineStr">
        <is>
          <t>Stripe patient 91365</t>
        </is>
      </c>
      <c r="E2482" t="inlineStr">
        <is>
          <t>INV/2026/04594</t>
        </is>
      </c>
      <c r="F2482" t="inlineStr">
        <is>
          <t>Customer payment INV/2026/04594</t>
        </is>
      </c>
      <c r="G2482" s="9" t="n">
        <v>65</v>
      </c>
      <c r="H2482" t="inlineStr">
        <is>
          <t>customer_payment</t>
        </is>
      </c>
      <c r="I2482" t="inlineStr"/>
      <c r="J2482" t="inlineStr">
        <is>
          <t>G00048</t>
        </is>
      </c>
      <c r="K2482" t="str">
        <f>INDEX('Match Groups'!$D$5:$D$1326,MATCH(J2482,'Match Groups'!$A$5:$A$1326,0))</f>
        <v>STRIPE-FEE</v>
      </c>
    </row>
    <row r="2483">
      <c r="A2483" t="inlineStr">
        <is>
          <t>JI-02750</t>
        </is>
      </c>
      <c r="B2483" t="inlineStr">
        <is>
          <t>OPS</t>
        </is>
      </c>
      <c r="C2483" s="5" t="n">
        <v>46248</v>
      </c>
      <c r="D2483" t="inlineStr">
        <is>
          <t>Stripe patient 13899</t>
        </is>
      </c>
      <c r="E2483" t="inlineStr">
        <is>
          <t>INV/2026/04595</t>
        </is>
      </c>
      <c r="F2483" t="inlineStr">
        <is>
          <t>Customer payment INV/2026/04595</t>
        </is>
      </c>
      <c r="G2483" s="9" t="n">
        <v>95</v>
      </c>
      <c r="H2483" t="inlineStr">
        <is>
          <t>customer_payment</t>
        </is>
      </c>
      <c r="I2483" t="inlineStr"/>
      <c r="J2483" t="inlineStr">
        <is>
          <t>G00048</t>
        </is>
      </c>
      <c r="K2483" t="str">
        <f>INDEX('Match Groups'!$D$5:$D$1326,MATCH(J2483,'Match Groups'!$A$5:$A$1326,0))</f>
        <v>STRIPE-FEE</v>
      </c>
    </row>
    <row r="2484">
      <c r="A2484" t="inlineStr">
        <is>
          <t>JI-02751</t>
        </is>
      </c>
      <c r="B2484" t="inlineStr">
        <is>
          <t>OPS</t>
        </is>
      </c>
      <c r="C2484" s="5" t="n">
        <v>46248</v>
      </c>
      <c r="D2484" t="inlineStr">
        <is>
          <t>Stripe patient 93102</t>
        </is>
      </c>
      <c r="E2484" t="inlineStr">
        <is>
          <t>INV/2026/04596</t>
        </is>
      </c>
      <c r="F2484" t="inlineStr">
        <is>
          <t>Customer payment INV/2026/04596</t>
        </is>
      </c>
      <c r="G2484" s="9" t="n">
        <v>135</v>
      </c>
      <c r="H2484" t="inlineStr">
        <is>
          <t>customer_payment</t>
        </is>
      </c>
      <c r="I2484" t="inlineStr"/>
      <c r="J2484" t="inlineStr">
        <is>
          <t>G00048</t>
        </is>
      </c>
      <c r="K2484" t="str">
        <f>INDEX('Match Groups'!$D$5:$D$1326,MATCH(J2484,'Match Groups'!$A$5:$A$1326,0))</f>
        <v>STRIPE-FEE</v>
      </c>
    </row>
    <row r="2485">
      <c r="A2485" t="inlineStr">
        <is>
          <t>JI-02752</t>
        </is>
      </c>
      <c r="B2485" t="inlineStr">
        <is>
          <t>OPS</t>
        </is>
      </c>
      <c r="C2485" s="5" t="n">
        <v>46248</v>
      </c>
      <c r="D2485" t="inlineStr">
        <is>
          <t>Stripe patient 72984</t>
        </is>
      </c>
      <c r="E2485" t="inlineStr">
        <is>
          <t>INV/2026/04597</t>
        </is>
      </c>
      <c r="F2485" t="inlineStr">
        <is>
          <t>Customer payment INV/2026/04597</t>
        </is>
      </c>
      <c r="G2485" s="9" t="n">
        <v>120</v>
      </c>
      <c r="H2485" t="inlineStr">
        <is>
          <t>customer_payment</t>
        </is>
      </c>
      <c r="I2485" t="inlineStr"/>
      <c r="J2485" t="inlineStr">
        <is>
          <t>G00048</t>
        </is>
      </c>
      <c r="K2485" t="str">
        <f>INDEX('Match Groups'!$D$5:$D$1326,MATCH(J2485,'Match Groups'!$A$5:$A$1326,0))</f>
        <v>STRIPE-FEE</v>
      </c>
    </row>
    <row r="2486">
      <c r="A2486" t="inlineStr">
        <is>
          <t>JI-02753</t>
        </is>
      </c>
      <c r="B2486" t="inlineStr">
        <is>
          <t>OPS</t>
        </is>
      </c>
      <c r="C2486" s="5" t="n">
        <v>46248</v>
      </c>
      <c r="D2486" t="inlineStr">
        <is>
          <t>Stripe patient 17406</t>
        </is>
      </c>
      <c r="E2486" t="inlineStr">
        <is>
          <t>INV/2026/04598</t>
        </is>
      </c>
      <c r="F2486" t="inlineStr">
        <is>
          <t>Customer payment INV/2026/04598</t>
        </is>
      </c>
      <c r="G2486" s="9" t="n">
        <v>135</v>
      </c>
      <c r="H2486" t="inlineStr">
        <is>
          <t>customer_payment</t>
        </is>
      </c>
      <c r="I2486" t="inlineStr"/>
      <c r="J2486" t="inlineStr">
        <is>
          <t>G00048</t>
        </is>
      </c>
      <c r="K2486" t="str">
        <f>INDEX('Match Groups'!$D$5:$D$1326,MATCH(J2486,'Match Groups'!$A$5:$A$1326,0))</f>
        <v>STRIPE-FEE</v>
      </c>
    </row>
    <row r="2487">
      <c r="A2487" t="inlineStr">
        <is>
          <t>JI-02754</t>
        </is>
      </c>
      <c r="B2487" t="inlineStr">
        <is>
          <t>OPS</t>
        </is>
      </c>
      <c r="C2487" s="5" t="n">
        <v>46248</v>
      </c>
      <c r="D2487" t="inlineStr">
        <is>
          <t>Stripe patient 46797</t>
        </is>
      </c>
      <c r="E2487" t="inlineStr">
        <is>
          <t>INV/2026/04599</t>
        </is>
      </c>
      <c r="F2487" t="inlineStr">
        <is>
          <t>Customer payment INV/2026/04599</t>
        </is>
      </c>
      <c r="G2487" s="9" t="n">
        <v>150</v>
      </c>
      <c r="H2487" t="inlineStr">
        <is>
          <t>customer_payment</t>
        </is>
      </c>
      <c r="I2487" t="inlineStr"/>
      <c r="J2487" t="inlineStr">
        <is>
          <t>G00048</t>
        </is>
      </c>
      <c r="K2487" t="str">
        <f>INDEX('Match Groups'!$D$5:$D$1326,MATCH(J2487,'Match Groups'!$A$5:$A$1326,0))</f>
        <v>STRIPE-FEE</v>
      </c>
    </row>
    <row r="2488">
      <c r="A2488" t="inlineStr">
        <is>
          <t>JI-02755</t>
        </is>
      </c>
      <c r="B2488" t="inlineStr">
        <is>
          <t>OPS</t>
        </is>
      </c>
      <c r="C2488" s="5" t="n">
        <v>46248</v>
      </c>
      <c r="D2488" t="inlineStr">
        <is>
          <t>Stripe patient 53799</t>
        </is>
      </c>
      <c r="E2488" t="inlineStr">
        <is>
          <t>INV/2026/04600</t>
        </is>
      </c>
      <c r="F2488" t="inlineStr">
        <is>
          <t>Customer payment INV/2026/04600</t>
        </is>
      </c>
      <c r="G2488" s="9" t="n">
        <v>110</v>
      </c>
      <c r="H2488" t="inlineStr">
        <is>
          <t>customer_payment</t>
        </is>
      </c>
      <c r="I2488" t="inlineStr"/>
      <c r="J2488" t="inlineStr">
        <is>
          <t>G00048</t>
        </is>
      </c>
      <c r="K2488" t="str">
        <f>INDEX('Match Groups'!$D$5:$D$1326,MATCH(J2488,'Match Groups'!$A$5:$A$1326,0))</f>
        <v>STRIPE-FEE</v>
      </c>
    </row>
    <row r="2489">
      <c r="A2489" t="inlineStr">
        <is>
          <t>JI-02756</t>
        </is>
      </c>
      <c r="B2489" t="inlineStr">
        <is>
          <t>OPS</t>
        </is>
      </c>
      <c r="C2489" s="5" t="n">
        <v>46248</v>
      </c>
      <c r="D2489" t="inlineStr">
        <is>
          <t>Stripe patient 75237</t>
        </is>
      </c>
      <c r="E2489" t="inlineStr">
        <is>
          <t>INV/2026/04601</t>
        </is>
      </c>
      <c r="F2489" t="inlineStr">
        <is>
          <t>Customer payment INV/2026/04601</t>
        </is>
      </c>
      <c r="G2489" s="9" t="n">
        <v>150</v>
      </c>
      <c r="H2489" t="inlineStr">
        <is>
          <t>customer_payment</t>
        </is>
      </c>
      <c r="I2489" t="inlineStr"/>
      <c r="J2489" t="inlineStr">
        <is>
          <t>G00048</t>
        </is>
      </c>
      <c r="K2489" t="str">
        <f>INDEX('Match Groups'!$D$5:$D$1326,MATCH(J2489,'Match Groups'!$A$5:$A$1326,0))</f>
        <v>STRIPE-FEE</v>
      </c>
    </row>
    <row r="2490">
      <c r="A2490" t="inlineStr">
        <is>
          <t>JI-02757</t>
        </is>
      </c>
      <c r="B2490" t="inlineStr">
        <is>
          <t>OPS</t>
        </is>
      </c>
      <c r="C2490" s="5" t="n">
        <v>46248</v>
      </c>
      <c r="D2490" t="inlineStr">
        <is>
          <t>Stripe patient 42306</t>
        </is>
      </c>
      <c r="E2490" t="inlineStr">
        <is>
          <t>INV/2026/04602</t>
        </is>
      </c>
      <c r="F2490" t="inlineStr">
        <is>
          <t>Customer payment INV/2026/04602</t>
        </is>
      </c>
      <c r="G2490" s="9" t="n">
        <v>95</v>
      </c>
      <c r="H2490" t="inlineStr">
        <is>
          <t>customer_payment</t>
        </is>
      </c>
      <c r="I2490" t="inlineStr"/>
      <c r="J2490" t="inlineStr">
        <is>
          <t>G00048</t>
        </is>
      </c>
      <c r="K2490" t="str">
        <f>INDEX('Match Groups'!$D$5:$D$1326,MATCH(J2490,'Match Groups'!$A$5:$A$1326,0))</f>
        <v>STRIPE-FEE</v>
      </c>
    </row>
    <row r="2491">
      <c r="A2491" t="inlineStr">
        <is>
          <t>JI-02758</t>
        </is>
      </c>
      <c r="B2491" t="inlineStr">
        <is>
          <t>OPS</t>
        </is>
      </c>
      <c r="C2491" s="5" t="n">
        <v>46248</v>
      </c>
      <c r="D2491" t="inlineStr">
        <is>
          <t>Stripe patient 98255</t>
        </is>
      </c>
      <c r="E2491" t="inlineStr">
        <is>
          <t>INV/2026/04603</t>
        </is>
      </c>
      <c r="F2491" t="inlineStr">
        <is>
          <t>Customer payment INV/2026/04603</t>
        </is>
      </c>
      <c r="G2491" s="9" t="n">
        <v>85</v>
      </c>
      <c r="H2491" t="inlineStr">
        <is>
          <t>customer_payment</t>
        </is>
      </c>
      <c r="I2491" t="inlineStr"/>
      <c r="J2491" t="inlineStr">
        <is>
          <t>G00048</t>
        </is>
      </c>
      <c r="K2491" t="str">
        <f>INDEX('Match Groups'!$D$5:$D$1326,MATCH(J2491,'Match Groups'!$A$5:$A$1326,0))</f>
        <v>STRIPE-FEE</v>
      </c>
    </row>
    <row r="2492">
      <c r="A2492" t="inlineStr">
        <is>
          <t>JI-02759</t>
        </is>
      </c>
      <c r="B2492" t="inlineStr">
        <is>
          <t>OPS</t>
        </is>
      </c>
      <c r="C2492" s="5" t="n">
        <v>46248</v>
      </c>
      <c r="D2492" t="inlineStr">
        <is>
          <t>Stripe patient 97071</t>
        </is>
      </c>
      <c r="E2492" t="inlineStr">
        <is>
          <t>INV/2026/04604</t>
        </is>
      </c>
      <c r="F2492" t="inlineStr">
        <is>
          <t>Customer payment INV/2026/04604</t>
        </is>
      </c>
      <c r="G2492" s="9" t="n">
        <v>180</v>
      </c>
      <c r="H2492" t="inlineStr">
        <is>
          <t>customer_payment</t>
        </is>
      </c>
      <c r="I2492" t="inlineStr"/>
      <c r="J2492" t="inlineStr">
        <is>
          <t>G00048</t>
        </is>
      </c>
      <c r="K2492" t="str">
        <f>INDEX('Match Groups'!$D$5:$D$1326,MATCH(J2492,'Match Groups'!$A$5:$A$1326,0))</f>
        <v>STRIPE-FEE</v>
      </c>
    </row>
    <row r="2493">
      <c r="A2493" t="inlineStr">
        <is>
          <t>JI-02760</t>
        </is>
      </c>
      <c r="B2493" t="inlineStr">
        <is>
          <t>OPS</t>
        </is>
      </c>
      <c r="C2493" s="5" t="n">
        <v>46248</v>
      </c>
      <c r="D2493" t="inlineStr">
        <is>
          <t>Stripe patient 52282</t>
        </is>
      </c>
      <c r="E2493" t="inlineStr">
        <is>
          <t>INV/2026/04605</t>
        </is>
      </c>
      <c r="F2493" t="inlineStr">
        <is>
          <t>Customer payment INV/2026/04605</t>
        </is>
      </c>
      <c r="G2493" s="9" t="n">
        <v>180</v>
      </c>
      <c r="H2493" t="inlineStr">
        <is>
          <t>customer_payment</t>
        </is>
      </c>
      <c r="I2493" t="inlineStr"/>
      <c r="J2493" t="inlineStr">
        <is>
          <t>G00048</t>
        </is>
      </c>
      <c r="K2493" t="str">
        <f>INDEX('Match Groups'!$D$5:$D$1326,MATCH(J2493,'Match Groups'!$A$5:$A$1326,0))</f>
        <v>STRIPE-FEE</v>
      </c>
    </row>
    <row r="2494">
      <c r="A2494" t="inlineStr">
        <is>
          <t>JI-02761</t>
        </is>
      </c>
      <c r="B2494" t="inlineStr">
        <is>
          <t>OPS</t>
        </is>
      </c>
      <c r="C2494" s="5" t="n">
        <v>46248</v>
      </c>
      <c r="D2494" t="inlineStr">
        <is>
          <t>Stripe patient 45353</t>
        </is>
      </c>
      <c r="E2494" t="inlineStr">
        <is>
          <t>INV/2026/04606</t>
        </is>
      </c>
      <c r="F2494" t="inlineStr">
        <is>
          <t>Customer payment INV/2026/04606</t>
        </is>
      </c>
      <c r="G2494" s="9" t="n">
        <v>220</v>
      </c>
      <c r="H2494" t="inlineStr">
        <is>
          <t>customer_payment</t>
        </is>
      </c>
      <c r="I2494" t="inlineStr"/>
      <c r="J2494" t="inlineStr">
        <is>
          <t>G00048</t>
        </is>
      </c>
      <c r="K2494" t="str">
        <f>INDEX('Match Groups'!$D$5:$D$1326,MATCH(J2494,'Match Groups'!$A$5:$A$1326,0))</f>
        <v>STRIPE-FEE</v>
      </c>
    </row>
    <row r="2495">
      <c r="A2495" t="inlineStr">
        <is>
          <t>JI-02762</t>
        </is>
      </c>
      <c r="B2495" t="inlineStr">
        <is>
          <t>OPS</t>
        </is>
      </c>
      <c r="C2495" s="5" t="n">
        <v>46248</v>
      </c>
      <c r="D2495" t="inlineStr">
        <is>
          <t>Stripe patient 56755</t>
        </is>
      </c>
      <c r="E2495" t="inlineStr">
        <is>
          <t>INV/2026/04607</t>
        </is>
      </c>
      <c r="F2495" t="inlineStr">
        <is>
          <t>Customer payment INV/2026/04607</t>
        </is>
      </c>
      <c r="G2495" s="9" t="n">
        <v>85</v>
      </c>
      <c r="H2495" t="inlineStr">
        <is>
          <t>customer_payment</t>
        </is>
      </c>
      <c r="I2495" t="inlineStr"/>
      <c r="J2495" t="inlineStr">
        <is>
          <t>G00048</t>
        </is>
      </c>
      <c r="K2495" t="str">
        <f>INDEX('Match Groups'!$D$5:$D$1326,MATCH(J2495,'Match Groups'!$A$5:$A$1326,0))</f>
        <v>STRIPE-FEE</v>
      </c>
    </row>
    <row r="2496">
      <c r="A2496" t="inlineStr">
        <is>
          <t>JI-02763</t>
        </is>
      </c>
      <c r="B2496" t="inlineStr">
        <is>
          <t>OPS</t>
        </is>
      </c>
      <c r="C2496" s="5" t="n">
        <v>46248</v>
      </c>
      <c r="D2496" t="inlineStr">
        <is>
          <t>Stripe patient 82233</t>
        </is>
      </c>
      <c r="E2496" t="inlineStr">
        <is>
          <t>INV/2026/04608</t>
        </is>
      </c>
      <c r="F2496" t="inlineStr">
        <is>
          <t>Customer payment INV/2026/04608</t>
        </is>
      </c>
      <c r="G2496" s="9" t="n">
        <v>220</v>
      </c>
      <c r="H2496" t="inlineStr">
        <is>
          <t>customer_payment</t>
        </is>
      </c>
      <c r="I2496" t="inlineStr"/>
      <c r="J2496" t="inlineStr">
        <is>
          <t>G00048</t>
        </is>
      </c>
      <c r="K2496" t="str">
        <f>INDEX('Match Groups'!$D$5:$D$1326,MATCH(J2496,'Match Groups'!$A$5:$A$1326,0))</f>
        <v>STRIPE-FEE</v>
      </c>
    </row>
    <row r="2497">
      <c r="A2497" t="inlineStr">
        <is>
          <t>JI-02764</t>
        </is>
      </c>
      <c r="B2497" t="inlineStr">
        <is>
          <t>OPS</t>
        </is>
      </c>
      <c r="C2497" s="5" t="n">
        <v>46248</v>
      </c>
      <c r="D2497" t="inlineStr">
        <is>
          <t>Stripe patient 43896</t>
        </is>
      </c>
      <c r="E2497" t="inlineStr">
        <is>
          <t>INV/2026/04609</t>
        </is>
      </c>
      <c r="F2497" t="inlineStr">
        <is>
          <t>Customer payment INV/2026/04609</t>
        </is>
      </c>
      <c r="G2497" s="9" t="n">
        <v>220</v>
      </c>
      <c r="H2497" t="inlineStr">
        <is>
          <t>customer_payment</t>
        </is>
      </c>
      <c r="I2497" t="inlineStr"/>
      <c r="J2497" t="inlineStr">
        <is>
          <t>G00048</t>
        </is>
      </c>
      <c r="K2497" t="str">
        <f>INDEX('Match Groups'!$D$5:$D$1326,MATCH(J2497,'Match Groups'!$A$5:$A$1326,0))</f>
        <v>STRIPE-FEE</v>
      </c>
    </row>
    <row r="2498">
      <c r="A2498" t="inlineStr">
        <is>
          <t>JI-02765</t>
        </is>
      </c>
      <c r="B2498" t="inlineStr">
        <is>
          <t>OPS</t>
        </is>
      </c>
      <c r="C2498" s="5" t="n">
        <v>46248</v>
      </c>
      <c r="D2498" t="inlineStr">
        <is>
          <t>Stripe patient 14561</t>
        </is>
      </c>
      <c r="E2498" t="inlineStr">
        <is>
          <t>INV/2026/04610</t>
        </is>
      </c>
      <c r="F2498" t="inlineStr">
        <is>
          <t>Customer payment INV/2026/04610</t>
        </is>
      </c>
      <c r="G2498" s="9" t="n">
        <v>110</v>
      </c>
      <c r="H2498" t="inlineStr">
        <is>
          <t>customer_payment</t>
        </is>
      </c>
      <c r="I2498" t="inlineStr"/>
      <c r="J2498" t="inlineStr">
        <is>
          <t>G00048</t>
        </is>
      </c>
      <c r="K2498" t="str">
        <f>INDEX('Match Groups'!$D$5:$D$1326,MATCH(J2498,'Match Groups'!$A$5:$A$1326,0))</f>
        <v>STRIPE-FEE</v>
      </c>
    </row>
    <row r="2499">
      <c r="A2499" t="inlineStr">
        <is>
          <t>JI-02766</t>
        </is>
      </c>
      <c r="B2499" t="inlineStr">
        <is>
          <t>OPS</t>
        </is>
      </c>
      <c r="C2499" s="5" t="n">
        <v>46248</v>
      </c>
      <c r="D2499" t="inlineStr">
        <is>
          <t>Stripe patient 79755</t>
        </is>
      </c>
      <c r="E2499" t="inlineStr">
        <is>
          <t>INV/2026/04611</t>
        </is>
      </c>
      <c r="F2499" t="inlineStr">
        <is>
          <t>Customer payment INV/2026/04611</t>
        </is>
      </c>
      <c r="G2499" s="9" t="n">
        <v>95</v>
      </c>
      <c r="H2499" t="inlineStr">
        <is>
          <t>customer_payment</t>
        </is>
      </c>
      <c r="I2499" t="inlineStr"/>
      <c r="J2499" t="inlineStr">
        <is>
          <t>G00048</t>
        </is>
      </c>
      <c r="K2499" t="str">
        <f>INDEX('Match Groups'!$D$5:$D$1326,MATCH(J2499,'Match Groups'!$A$5:$A$1326,0))</f>
        <v>STRIPE-FEE</v>
      </c>
    </row>
    <row r="2500">
      <c r="A2500" t="inlineStr">
        <is>
          <t>JI-02767</t>
        </is>
      </c>
      <c r="B2500" t="inlineStr">
        <is>
          <t>OPS</t>
        </is>
      </c>
      <c r="C2500" s="5" t="n">
        <v>46248</v>
      </c>
      <c r="D2500" t="inlineStr">
        <is>
          <t>Stripe patient 57333</t>
        </is>
      </c>
      <c r="E2500" t="inlineStr">
        <is>
          <t>INV/2026/04612</t>
        </is>
      </c>
      <c r="F2500" t="inlineStr">
        <is>
          <t>Customer payment INV/2026/04612</t>
        </is>
      </c>
      <c r="G2500" s="9" t="n">
        <v>180</v>
      </c>
      <c r="H2500" t="inlineStr">
        <is>
          <t>customer_payment</t>
        </is>
      </c>
      <c r="I2500" t="inlineStr"/>
      <c r="J2500" t="inlineStr">
        <is>
          <t>G00048</t>
        </is>
      </c>
      <c r="K2500" t="str">
        <f>INDEX('Match Groups'!$D$5:$D$1326,MATCH(J2500,'Match Groups'!$A$5:$A$1326,0))</f>
        <v>STRIPE-FEE</v>
      </c>
    </row>
    <row r="2501">
      <c r="A2501" t="inlineStr">
        <is>
          <t>JI-02768</t>
        </is>
      </c>
      <c r="B2501" t="inlineStr">
        <is>
          <t>OPS</t>
        </is>
      </c>
      <c r="C2501" s="5" t="n">
        <v>46248</v>
      </c>
      <c r="D2501" t="inlineStr">
        <is>
          <t>Stripe patient 38199</t>
        </is>
      </c>
      <c r="E2501" t="inlineStr">
        <is>
          <t>INV/2026/04613</t>
        </is>
      </c>
      <c r="F2501" t="inlineStr">
        <is>
          <t>Customer payment INV/2026/04613</t>
        </is>
      </c>
      <c r="G2501" s="9" t="n">
        <v>135</v>
      </c>
      <c r="H2501" t="inlineStr">
        <is>
          <t>customer_payment</t>
        </is>
      </c>
      <c r="I2501" t="inlineStr"/>
      <c r="J2501" t="inlineStr">
        <is>
          <t>G00048</t>
        </is>
      </c>
      <c r="K2501" t="str">
        <f>INDEX('Match Groups'!$D$5:$D$1326,MATCH(J2501,'Match Groups'!$A$5:$A$1326,0))</f>
        <v>STRIPE-FEE</v>
      </c>
    </row>
    <row r="2502">
      <c r="A2502" t="inlineStr">
        <is>
          <t>JI-02769</t>
        </is>
      </c>
      <c r="B2502" t="inlineStr">
        <is>
          <t>OPS</t>
        </is>
      </c>
      <c r="C2502" s="5" t="n">
        <v>46248</v>
      </c>
      <c r="D2502" t="inlineStr">
        <is>
          <t>Stripe patient 63413</t>
        </is>
      </c>
      <c r="E2502" t="inlineStr">
        <is>
          <t>INV/2026/04614</t>
        </is>
      </c>
      <c r="F2502" t="inlineStr">
        <is>
          <t>Customer payment INV/2026/04614</t>
        </is>
      </c>
      <c r="G2502" s="9" t="n">
        <v>220</v>
      </c>
      <c r="H2502" t="inlineStr">
        <is>
          <t>customer_payment</t>
        </is>
      </c>
      <c r="I2502" t="inlineStr"/>
      <c r="J2502" t="inlineStr">
        <is>
          <t>G00048</t>
        </is>
      </c>
      <c r="K2502" t="str">
        <f>INDEX('Match Groups'!$D$5:$D$1326,MATCH(J2502,'Match Groups'!$A$5:$A$1326,0))</f>
        <v>STRIPE-FEE</v>
      </c>
    </row>
    <row r="2503">
      <c r="A2503" t="inlineStr">
        <is>
          <t>JI-02770</t>
        </is>
      </c>
      <c r="B2503" t="inlineStr">
        <is>
          <t>OPS</t>
        </is>
      </c>
      <c r="C2503" s="5" t="n">
        <v>46248</v>
      </c>
      <c r="D2503" t="inlineStr">
        <is>
          <t>Stripe patient 57432</t>
        </is>
      </c>
      <c r="E2503" t="inlineStr">
        <is>
          <t>INV/2026/04615</t>
        </is>
      </c>
      <c r="F2503" t="inlineStr">
        <is>
          <t>Customer payment INV/2026/04615</t>
        </is>
      </c>
      <c r="G2503" s="9" t="n">
        <v>220</v>
      </c>
      <c r="H2503" t="inlineStr">
        <is>
          <t>customer_payment</t>
        </is>
      </c>
      <c r="I2503" t="inlineStr"/>
      <c r="J2503" t="inlineStr">
        <is>
          <t>G00048</t>
        </is>
      </c>
      <c r="K2503" t="str">
        <f>INDEX('Match Groups'!$D$5:$D$1326,MATCH(J2503,'Match Groups'!$A$5:$A$1326,0))</f>
        <v>STRIPE-FEE</v>
      </c>
    </row>
    <row r="2504">
      <c r="A2504" t="inlineStr">
        <is>
          <t>JI-02771</t>
        </is>
      </c>
      <c r="B2504" t="inlineStr">
        <is>
          <t>OPS</t>
        </is>
      </c>
      <c r="C2504" s="5" t="n">
        <v>46248</v>
      </c>
      <c r="D2504" t="inlineStr">
        <is>
          <t>Stripe patient 45989</t>
        </is>
      </c>
      <c r="E2504" t="inlineStr">
        <is>
          <t>INV/2026/04616</t>
        </is>
      </c>
      <c r="F2504" t="inlineStr">
        <is>
          <t>Customer payment INV/2026/04616</t>
        </is>
      </c>
      <c r="G2504" s="9" t="n">
        <v>220</v>
      </c>
      <c r="H2504" t="inlineStr">
        <is>
          <t>customer_payment</t>
        </is>
      </c>
      <c r="I2504" t="inlineStr"/>
      <c r="J2504" t="inlineStr">
        <is>
          <t>G00048</t>
        </is>
      </c>
      <c r="K2504" t="str">
        <f>INDEX('Match Groups'!$D$5:$D$1326,MATCH(J2504,'Match Groups'!$A$5:$A$1326,0))</f>
        <v>STRIPE-FEE</v>
      </c>
    </row>
    <row r="2505">
      <c r="A2505" t="inlineStr">
        <is>
          <t>JI-02772</t>
        </is>
      </c>
      <c r="B2505" t="inlineStr">
        <is>
          <t>OPS</t>
        </is>
      </c>
      <c r="C2505" s="5" t="n">
        <v>46248</v>
      </c>
      <c r="D2505" t="inlineStr">
        <is>
          <t>Stripe patient 42525</t>
        </is>
      </c>
      <c r="E2505" t="inlineStr">
        <is>
          <t>INV/2026/04617</t>
        </is>
      </c>
      <c r="F2505" t="inlineStr">
        <is>
          <t>Customer payment INV/2026/04617</t>
        </is>
      </c>
      <c r="G2505" s="9" t="n">
        <v>150</v>
      </c>
      <c r="H2505" t="inlineStr">
        <is>
          <t>customer_payment</t>
        </is>
      </c>
      <c r="I2505" t="inlineStr"/>
      <c r="J2505" t="inlineStr">
        <is>
          <t>G00048</t>
        </is>
      </c>
      <c r="K2505" t="str">
        <f>INDEX('Match Groups'!$D$5:$D$1326,MATCH(J2505,'Match Groups'!$A$5:$A$1326,0))</f>
        <v>STRIPE-FEE</v>
      </c>
    </row>
    <row r="2506">
      <c r="A2506" t="inlineStr">
        <is>
          <t>JI-02773</t>
        </is>
      </c>
      <c r="B2506" t="inlineStr">
        <is>
          <t>OPS</t>
        </is>
      </c>
      <c r="C2506" s="5" t="n">
        <v>46248</v>
      </c>
      <c r="D2506" t="inlineStr">
        <is>
          <t>Stripe patient 14754</t>
        </is>
      </c>
      <c r="E2506" t="inlineStr">
        <is>
          <t>INV/2026/04618</t>
        </is>
      </c>
      <c r="F2506" t="inlineStr">
        <is>
          <t>Customer payment INV/2026/04618</t>
        </is>
      </c>
      <c r="G2506" s="9" t="n">
        <v>180</v>
      </c>
      <c r="H2506" t="inlineStr">
        <is>
          <t>customer_payment</t>
        </is>
      </c>
      <c r="I2506" t="inlineStr"/>
      <c r="J2506" t="inlineStr">
        <is>
          <t>G00048</t>
        </is>
      </c>
      <c r="K2506" t="str">
        <f>INDEX('Match Groups'!$D$5:$D$1326,MATCH(J2506,'Match Groups'!$A$5:$A$1326,0))</f>
        <v>STRIPE-FEE</v>
      </c>
    </row>
    <row r="2507">
      <c r="A2507" t="inlineStr">
        <is>
          <t>JI-02774</t>
        </is>
      </c>
      <c r="B2507" t="inlineStr">
        <is>
          <t>OPS</t>
        </is>
      </c>
      <c r="C2507" s="5" t="n">
        <v>46248</v>
      </c>
      <c r="D2507" t="inlineStr">
        <is>
          <t>Stripe patient 94313</t>
        </is>
      </c>
      <c r="E2507" t="inlineStr">
        <is>
          <t>INV/2026/04619</t>
        </is>
      </c>
      <c r="F2507" t="inlineStr">
        <is>
          <t>Customer payment INV/2026/04619</t>
        </is>
      </c>
      <c r="G2507" s="9" t="n">
        <v>135</v>
      </c>
      <c r="H2507" t="inlineStr">
        <is>
          <t>customer_payment</t>
        </is>
      </c>
      <c r="I2507" t="inlineStr"/>
      <c r="J2507" t="inlineStr">
        <is>
          <t>G00048</t>
        </is>
      </c>
      <c r="K2507" t="str">
        <f>INDEX('Match Groups'!$D$5:$D$1326,MATCH(J2507,'Match Groups'!$A$5:$A$1326,0))</f>
        <v>STRIPE-FEE</v>
      </c>
    </row>
    <row r="2508">
      <c r="A2508" t="inlineStr">
        <is>
          <t>JI-02775</t>
        </is>
      </c>
      <c r="B2508" t="inlineStr">
        <is>
          <t>OPS</t>
        </is>
      </c>
      <c r="C2508" s="5" t="n">
        <v>46248</v>
      </c>
      <c r="D2508" t="inlineStr">
        <is>
          <t>Stripe patient 25301</t>
        </is>
      </c>
      <c r="E2508" t="inlineStr">
        <is>
          <t>INV/2026/04620</t>
        </is>
      </c>
      <c r="F2508" t="inlineStr">
        <is>
          <t>Customer payment INV/2026/04620</t>
        </is>
      </c>
      <c r="G2508" s="9" t="n">
        <v>95</v>
      </c>
      <c r="H2508" t="inlineStr">
        <is>
          <t>customer_payment</t>
        </is>
      </c>
      <c r="I2508" t="inlineStr"/>
      <c r="J2508" t="inlineStr">
        <is>
          <t>G00048</t>
        </is>
      </c>
      <c r="K2508" t="str">
        <f>INDEX('Match Groups'!$D$5:$D$1326,MATCH(J2508,'Match Groups'!$A$5:$A$1326,0))</f>
        <v>STRIPE-FEE</v>
      </c>
    </row>
    <row r="2509">
      <c r="A2509" t="inlineStr">
        <is>
          <t>JI-02776</t>
        </is>
      </c>
      <c r="B2509" t="inlineStr">
        <is>
          <t>OPS</t>
        </is>
      </c>
      <c r="C2509" s="5" t="n">
        <v>46248</v>
      </c>
      <c r="D2509" t="inlineStr">
        <is>
          <t>Stripe patient 51344</t>
        </is>
      </c>
      <c r="E2509" t="inlineStr">
        <is>
          <t>INV/2026/04621</t>
        </is>
      </c>
      <c r="F2509" t="inlineStr">
        <is>
          <t>Customer payment INV/2026/04621</t>
        </is>
      </c>
      <c r="G2509" s="9" t="n">
        <v>150</v>
      </c>
      <c r="H2509" t="inlineStr">
        <is>
          <t>customer_payment</t>
        </is>
      </c>
      <c r="I2509" t="inlineStr"/>
      <c r="J2509" t="inlineStr">
        <is>
          <t>G00048</t>
        </is>
      </c>
      <c r="K2509" t="str">
        <f>INDEX('Match Groups'!$D$5:$D$1326,MATCH(J2509,'Match Groups'!$A$5:$A$1326,0))</f>
        <v>STRIPE-FEE</v>
      </c>
    </row>
    <row r="2510">
      <c r="A2510" t="inlineStr">
        <is>
          <t>JI-01545</t>
        </is>
      </c>
      <c r="B2510" t="inlineStr">
        <is>
          <t>OPS</t>
        </is>
      </c>
      <c r="C2510" s="5" t="n">
        <v>46249</v>
      </c>
      <c r="D2510" t="inlineStr">
        <is>
          <t>Harbour Mutual Health</t>
        </is>
      </c>
      <c r="E2510" t="inlineStr">
        <is>
          <t>INV/2026/02416</t>
        </is>
      </c>
      <c r="F2510" t="inlineStr">
        <is>
          <t>Customer payment INV/2026/02416</t>
        </is>
      </c>
      <c r="G2510" s="9" t="n">
        <v>132</v>
      </c>
      <c r="H2510" t="inlineStr">
        <is>
          <t>customer_payment</t>
        </is>
      </c>
      <c r="I2510" t="inlineStr"/>
      <c r="J2510" t="inlineStr">
        <is>
          <t>G01006</t>
        </is>
      </c>
      <c r="K2510" t="str">
        <f>INDEX('Match Groups'!$D$5:$D$1326,MATCH(J2510,'Match Groups'!$A$5:$A$1326,0))</f>
        <v>MATCH</v>
      </c>
    </row>
    <row r="2511">
      <c r="A2511" t="inlineStr">
        <is>
          <t>JI-02777</t>
        </is>
      </c>
      <c r="B2511" t="inlineStr">
        <is>
          <t>OPS</t>
        </is>
      </c>
      <c r="C2511" s="5" t="n">
        <v>46249</v>
      </c>
      <c r="D2511" t="inlineStr">
        <is>
          <t>Stripe patient 90285</t>
        </is>
      </c>
      <c r="E2511" t="inlineStr">
        <is>
          <t>INV/2026/04622</t>
        </is>
      </c>
      <c r="F2511" t="inlineStr">
        <is>
          <t>Customer payment INV/2026/04622</t>
        </is>
      </c>
      <c r="G2511" s="9" t="n">
        <v>120</v>
      </c>
      <c r="H2511" t="inlineStr">
        <is>
          <t>customer_payment</t>
        </is>
      </c>
      <c r="I2511" t="inlineStr"/>
      <c r="J2511" t="inlineStr">
        <is>
          <t>G00048</t>
        </is>
      </c>
      <c r="K2511" t="str">
        <f>INDEX('Match Groups'!$D$5:$D$1326,MATCH(J2511,'Match Groups'!$A$5:$A$1326,0))</f>
        <v>STRIPE-FEE</v>
      </c>
    </row>
    <row r="2512">
      <c r="A2512" t="inlineStr">
        <is>
          <t>JI-02778</t>
        </is>
      </c>
      <c r="B2512" t="inlineStr">
        <is>
          <t>OPS</t>
        </is>
      </c>
      <c r="C2512" s="5" t="n">
        <v>46249</v>
      </c>
      <c r="D2512" t="inlineStr">
        <is>
          <t>Stripe patient 59769</t>
        </is>
      </c>
      <c r="E2512" t="inlineStr">
        <is>
          <t>INV/2026/04623</t>
        </is>
      </c>
      <c r="F2512" t="inlineStr">
        <is>
          <t>Customer payment INV/2026/04623</t>
        </is>
      </c>
      <c r="G2512" s="9" t="n">
        <v>65</v>
      </c>
      <c r="H2512" t="inlineStr">
        <is>
          <t>customer_payment</t>
        </is>
      </c>
      <c r="I2512" t="inlineStr"/>
      <c r="J2512" t="inlineStr">
        <is>
          <t>G00048</t>
        </is>
      </c>
      <c r="K2512" t="str">
        <f>INDEX('Match Groups'!$D$5:$D$1326,MATCH(J2512,'Match Groups'!$A$5:$A$1326,0))</f>
        <v>STRIPE-FEE</v>
      </c>
    </row>
    <row r="2513">
      <c r="A2513" t="inlineStr">
        <is>
          <t>JI-02779</t>
        </is>
      </c>
      <c r="B2513" t="inlineStr">
        <is>
          <t>OPS</t>
        </is>
      </c>
      <c r="C2513" s="5" t="n">
        <v>46249</v>
      </c>
      <c r="D2513" t="inlineStr">
        <is>
          <t>Stripe patient 40717</t>
        </is>
      </c>
      <c r="E2513" t="inlineStr">
        <is>
          <t>INV/2026/04624</t>
        </is>
      </c>
      <c r="F2513" t="inlineStr">
        <is>
          <t>Customer payment INV/2026/04624</t>
        </is>
      </c>
      <c r="G2513" s="9" t="n">
        <v>180</v>
      </c>
      <c r="H2513" t="inlineStr">
        <is>
          <t>customer_payment</t>
        </is>
      </c>
      <c r="I2513" t="inlineStr"/>
      <c r="J2513" t="inlineStr">
        <is>
          <t>G00048</t>
        </is>
      </c>
      <c r="K2513" t="str">
        <f>INDEX('Match Groups'!$D$5:$D$1326,MATCH(J2513,'Match Groups'!$A$5:$A$1326,0))</f>
        <v>STRIPE-FEE</v>
      </c>
    </row>
    <row r="2514">
      <c r="A2514" t="inlineStr">
        <is>
          <t>JI-02780</t>
        </is>
      </c>
      <c r="B2514" t="inlineStr">
        <is>
          <t>OPS</t>
        </is>
      </c>
      <c r="C2514" s="5" t="n">
        <v>46249</v>
      </c>
      <c r="D2514" t="inlineStr">
        <is>
          <t>Stripe patient 94927</t>
        </is>
      </c>
      <c r="E2514" t="inlineStr">
        <is>
          <t>INV/2026/04625</t>
        </is>
      </c>
      <c r="F2514" t="inlineStr">
        <is>
          <t>Customer payment INV/2026/04625</t>
        </is>
      </c>
      <c r="G2514" s="9" t="n">
        <v>120</v>
      </c>
      <c r="H2514" t="inlineStr">
        <is>
          <t>customer_payment</t>
        </is>
      </c>
      <c r="I2514" t="inlineStr"/>
      <c r="J2514" t="inlineStr">
        <is>
          <t>G00048</t>
        </is>
      </c>
      <c r="K2514" t="str">
        <f>INDEX('Match Groups'!$D$5:$D$1326,MATCH(J2514,'Match Groups'!$A$5:$A$1326,0))</f>
        <v>STRIPE-FEE</v>
      </c>
    </row>
    <row r="2515">
      <c r="A2515" t="inlineStr">
        <is>
          <t>JI-02781</t>
        </is>
      </c>
      <c r="B2515" t="inlineStr">
        <is>
          <t>OPS</t>
        </is>
      </c>
      <c r="C2515" s="5" t="n">
        <v>46249</v>
      </c>
      <c r="D2515" t="inlineStr">
        <is>
          <t>Stripe patient 14603</t>
        </is>
      </c>
      <c r="E2515" t="inlineStr">
        <is>
          <t>INV/2026/04626</t>
        </is>
      </c>
      <c r="F2515" t="inlineStr">
        <is>
          <t>Customer payment INV/2026/04626</t>
        </is>
      </c>
      <c r="G2515" s="9" t="n">
        <v>65</v>
      </c>
      <c r="H2515" t="inlineStr">
        <is>
          <t>customer_payment</t>
        </is>
      </c>
      <c r="I2515" t="inlineStr"/>
      <c r="J2515" t="inlineStr">
        <is>
          <t>G00048</t>
        </is>
      </c>
      <c r="K2515" t="str">
        <f>INDEX('Match Groups'!$D$5:$D$1326,MATCH(J2515,'Match Groups'!$A$5:$A$1326,0))</f>
        <v>STRIPE-FEE</v>
      </c>
    </row>
    <row r="2516">
      <c r="A2516" t="inlineStr">
        <is>
          <t>JI-02782</t>
        </is>
      </c>
      <c r="B2516" t="inlineStr">
        <is>
          <t>OPS</t>
        </is>
      </c>
      <c r="C2516" s="5" t="n">
        <v>46249</v>
      </c>
      <c r="D2516" t="inlineStr">
        <is>
          <t>Stripe patient 31739</t>
        </is>
      </c>
      <c r="E2516" t="inlineStr">
        <is>
          <t>INV/2026/04627</t>
        </is>
      </c>
      <c r="F2516" t="inlineStr">
        <is>
          <t>Customer payment INV/2026/04627</t>
        </is>
      </c>
      <c r="G2516" s="9" t="n">
        <v>95</v>
      </c>
      <c r="H2516" t="inlineStr">
        <is>
          <t>customer_payment</t>
        </is>
      </c>
      <c r="I2516" t="inlineStr"/>
      <c r="J2516" t="inlineStr">
        <is>
          <t>G00048</t>
        </is>
      </c>
      <c r="K2516" t="str">
        <f>INDEX('Match Groups'!$D$5:$D$1326,MATCH(J2516,'Match Groups'!$A$5:$A$1326,0))</f>
        <v>STRIPE-FEE</v>
      </c>
    </row>
    <row r="2517">
      <c r="A2517" t="inlineStr">
        <is>
          <t>JI-00924</t>
        </is>
      </c>
      <c r="B2517" t="inlineStr">
        <is>
          <t>OPS</t>
        </is>
      </c>
      <c r="C2517" s="5" t="n">
        <v>46250</v>
      </c>
      <c r="D2517" t="inlineStr">
        <is>
          <t>Acacia Plan Partners</t>
        </is>
      </c>
      <c r="E2517" t="inlineStr">
        <is>
          <t>INV/2026/02557</t>
        </is>
      </c>
      <c r="F2517" t="inlineStr">
        <is>
          <t>Customer payment INV/2026/02557</t>
        </is>
      </c>
      <c r="G2517" s="9" t="n">
        <v>242.49</v>
      </c>
      <c r="H2517" t="inlineStr">
        <is>
          <t>customer_payment</t>
        </is>
      </c>
      <c r="I2517" t="inlineStr"/>
      <c r="J2517" t="inlineStr">
        <is>
          <t>G00309</t>
        </is>
      </c>
      <c r="K2517" t="str">
        <f>INDEX('Match Groups'!$D$5:$D$1326,MATCH(J2517,'Match Groups'!$A$5:$A$1326,0))</f>
        <v>MATCH</v>
      </c>
    </row>
    <row r="2518">
      <c r="A2518" t="inlineStr">
        <is>
          <t>JI-00925</t>
        </is>
      </c>
      <c r="B2518" t="inlineStr">
        <is>
          <t>OPS</t>
        </is>
      </c>
      <c r="C2518" s="5" t="n">
        <v>46250</v>
      </c>
      <c r="D2518" t="inlineStr">
        <is>
          <t>Acacia Plan Partners</t>
        </is>
      </c>
      <c r="E2518" t="inlineStr">
        <is>
          <t>INV/2026/02679</t>
        </is>
      </c>
      <c r="F2518" t="inlineStr">
        <is>
          <t>Customer payment INV/2026/02679</t>
        </is>
      </c>
      <c r="G2518" s="9" t="n">
        <v>145.49</v>
      </c>
      <c r="H2518" t="inlineStr">
        <is>
          <t>customer_payment</t>
        </is>
      </c>
      <c r="I2518" t="inlineStr"/>
      <c r="J2518" t="inlineStr">
        <is>
          <t>G00309</t>
        </is>
      </c>
      <c r="K2518" t="str">
        <f>INDEX('Match Groups'!$D$5:$D$1326,MATCH(J2518,'Match Groups'!$A$5:$A$1326,0))</f>
        <v>MATCH</v>
      </c>
    </row>
    <row r="2519">
      <c r="A2519" t="inlineStr">
        <is>
          <t>JI-00909</t>
        </is>
      </c>
      <c r="B2519" t="inlineStr">
        <is>
          <t>OPS</t>
        </is>
      </c>
      <c r="C2519" s="5" t="n">
        <v>46251</v>
      </c>
      <c r="D2519" t="inlineStr">
        <is>
          <t>Riverbend Plan Partners</t>
        </is>
      </c>
      <c r="E2519" t="inlineStr">
        <is>
          <t>INV/2026/02563</t>
        </is>
      </c>
      <c r="F2519" t="inlineStr">
        <is>
          <t>Customer payment INV/2026/02563</t>
        </is>
      </c>
      <c r="G2519" s="9" t="n">
        <v>242.49</v>
      </c>
      <c r="H2519" t="inlineStr">
        <is>
          <t>customer_payment</t>
        </is>
      </c>
      <c r="I2519" t="inlineStr"/>
      <c r="J2519" t="inlineStr">
        <is>
          <t>G00305</t>
        </is>
      </c>
      <c r="K2519" t="str">
        <f>INDEX('Match Groups'!$D$5:$D$1326,MATCH(J2519,'Match Groups'!$A$5:$A$1326,0))</f>
        <v>MATCH</v>
      </c>
    </row>
    <row r="2520">
      <c r="A2520" t="inlineStr">
        <is>
          <t>JI-00910</t>
        </is>
      </c>
      <c r="B2520" t="inlineStr">
        <is>
          <t>OPS</t>
        </is>
      </c>
      <c r="C2520" s="5" t="n">
        <v>46251</v>
      </c>
      <c r="D2520" t="inlineStr">
        <is>
          <t>Riverbend Plan Partners</t>
        </is>
      </c>
      <c r="E2520" t="inlineStr">
        <is>
          <t>INV/2026/02564</t>
        </is>
      </c>
      <c r="F2520" t="inlineStr">
        <is>
          <t>Customer payment INV/2026/02564</t>
        </is>
      </c>
      <c r="G2520" s="9" t="n">
        <v>387.98</v>
      </c>
      <c r="H2520" t="inlineStr">
        <is>
          <t>customer_payment</t>
        </is>
      </c>
      <c r="I2520" t="inlineStr"/>
      <c r="J2520" t="inlineStr">
        <is>
          <t>G00305</t>
        </is>
      </c>
      <c r="K2520" t="str">
        <f>INDEX('Match Groups'!$D$5:$D$1326,MATCH(J2520,'Match Groups'!$A$5:$A$1326,0))</f>
        <v>MATCH</v>
      </c>
    </row>
    <row r="2521">
      <c r="A2521" t="inlineStr">
        <is>
          <t>JI-00911</t>
        </is>
      </c>
      <c r="B2521" t="inlineStr">
        <is>
          <t>OPS</t>
        </is>
      </c>
      <c r="C2521" s="5" t="n">
        <v>46251</v>
      </c>
      <c r="D2521" t="inlineStr">
        <is>
          <t>Riverbend Plan Partners</t>
        </is>
      </c>
      <c r="E2521" t="inlineStr">
        <is>
          <t>INV/2026/02581</t>
        </is>
      </c>
      <c r="F2521" t="inlineStr">
        <is>
          <t>Customer payment INV/2026/02581</t>
        </is>
      </c>
      <c r="G2521" s="9" t="n">
        <v>203.69</v>
      </c>
      <c r="H2521" t="inlineStr">
        <is>
          <t>customer_payment</t>
        </is>
      </c>
      <c r="I2521" t="inlineStr"/>
      <c r="J2521" t="inlineStr">
        <is>
          <t>G00305</t>
        </is>
      </c>
      <c r="K2521" t="str">
        <f>INDEX('Match Groups'!$D$5:$D$1326,MATCH(J2521,'Match Groups'!$A$5:$A$1326,0))</f>
        <v>MATCH</v>
      </c>
    </row>
    <row r="2522">
      <c r="A2522" t="inlineStr">
        <is>
          <t>JI-00912</t>
        </is>
      </c>
      <c r="B2522" t="inlineStr">
        <is>
          <t>OPS</t>
        </is>
      </c>
      <c r="C2522" s="5" t="n">
        <v>46251</v>
      </c>
      <c r="D2522" t="inlineStr">
        <is>
          <t>Southern Cross Plan Mgmt</t>
        </is>
      </c>
      <c r="E2522" t="inlineStr">
        <is>
          <t>INV/2026/01833</t>
        </is>
      </c>
      <c r="F2522" t="inlineStr">
        <is>
          <t>Customer payment INV/2026/01833</t>
        </is>
      </c>
      <c r="G2522" s="9" t="n">
        <v>96.98999999999999</v>
      </c>
      <c r="H2522" t="inlineStr">
        <is>
          <t>customer_payment</t>
        </is>
      </c>
      <c r="I2522" t="inlineStr"/>
      <c r="J2522" t="inlineStr">
        <is>
          <t>G00307</t>
        </is>
      </c>
      <c r="K2522" t="str">
        <f>INDEX('Match Groups'!$D$5:$D$1326,MATCH(J2522,'Match Groups'!$A$5:$A$1326,0))</f>
        <v>MATCH</v>
      </c>
    </row>
    <row r="2523">
      <c r="A2523" t="inlineStr">
        <is>
          <t>JI-00913</t>
        </is>
      </c>
      <c r="B2523" t="inlineStr">
        <is>
          <t>OPS</t>
        </is>
      </c>
      <c r="C2523" s="5" t="n">
        <v>46251</v>
      </c>
      <c r="D2523" t="inlineStr">
        <is>
          <t>Southern Cross Plan Mgmt</t>
        </is>
      </c>
      <c r="E2523" t="inlineStr">
        <is>
          <t>INV/2026/01856</t>
        </is>
      </c>
      <c r="F2523" t="inlineStr">
        <is>
          <t>Customer payment INV/2026/01856</t>
        </is>
      </c>
      <c r="G2523" s="9" t="n">
        <v>242.49</v>
      </c>
      <c r="H2523" t="inlineStr">
        <is>
          <t>customer_payment</t>
        </is>
      </c>
      <c r="I2523" t="inlineStr"/>
      <c r="J2523" t="inlineStr">
        <is>
          <t>G00307</t>
        </is>
      </c>
      <c r="K2523" t="str">
        <f>INDEX('Match Groups'!$D$5:$D$1326,MATCH(J2523,'Match Groups'!$A$5:$A$1326,0))</f>
        <v>MATCH</v>
      </c>
    </row>
    <row r="2524">
      <c r="A2524" t="inlineStr">
        <is>
          <t>JI-00914</t>
        </is>
      </c>
      <c r="B2524" t="inlineStr">
        <is>
          <t>OPS</t>
        </is>
      </c>
      <c r="C2524" s="5" t="n">
        <v>46251</v>
      </c>
      <c r="D2524" t="inlineStr">
        <is>
          <t>Southern Cross Plan Mgmt</t>
        </is>
      </c>
      <c r="E2524" t="inlineStr">
        <is>
          <t>INV/2026/01857</t>
        </is>
      </c>
      <c r="F2524" t="inlineStr">
        <is>
          <t>Customer payment INV/2026/01857</t>
        </is>
      </c>
      <c r="G2524" s="9" t="n">
        <v>387.98</v>
      </c>
      <c r="H2524" t="inlineStr">
        <is>
          <t>customer_payment</t>
        </is>
      </c>
      <c r="I2524" t="inlineStr"/>
      <c r="J2524" t="inlineStr">
        <is>
          <t>G00307</t>
        </is>
      </c>
      <c r="K2524" t="str">
        <f>INDEX('Match Groups'!$D$5:$D$1326,MATCH(J2524,'Match Groups'!$A$5:$A$1326,0))</f>
        <v>MATCH</v>
      </c>
    </row>
    <row r="2525">
      <c r="A2525" t="inlineStr">
        <is>
          <t>JI-00915</t>
        </is>
      </c>
      <c r="B2525" t="inlineStr">
        <is>
          <t>OPS</t>
        </is>
      </c>
      <c r="C2525" s="5" t="n">
        <v>46251</v>
      </c>
      <c r="D2525" t="inlineStr">
        <is>
          <t>Southern Cross Plan Mgmt</t>
        </is>
      </c>
      <c r="E2525" t="inlineStr">
        <is>
          <t>INV/2026/01858</t>
        </is>
      </c>
      <c r="F2525" t="inlineStr">
        <is>
          <t>Customer payment INV/2026/01858</t>
        </is>
      </c>
      <c r="G2525" s="9" t="n">
        <v>203.69</v>
      </c>
      <c r="H2525" t="inlineStr">
        <is>
          <t>customer_payment</t>
        </is>
      </c>
      <c r="I2525" t="inlineStr"/>
      <c r="J2525" t="inlineStr">
        <is>
          <t>G00307</t>
        </is>
      </c>
      <c r="K2525" t="str">
        <f>INDEX('Match Groups'!$D$5:$D$1326,MATCH(J2525,'Match Groups'!$A$5:$A$1326,0))</f>
        <v>MATCH</v>
      </c>
    </row>
    <row r="2526">
      <c r="A2526" t="inlineStr">
        <is>
          <t>JI-00916</t>
        </is>
      </c>
      <c r="B2526" t="inlineStr">
        <is>
          <t>OPS</t>
        </is>
      </c>
      <c r="C2526" s="5" t="n">
        <v>46251</v>
      </c>
      <c r="D2526" t="inlineStr">
        <is>
          <t>Southern Cross Plan Mgmt</t>
        </is>
      </c>
      <c r="E2526" t="inlineStr">
        <is>
          <t>INV/2026/01888</t>
        </is>
      </c>
      <c r="F2526" t="inlineStr">
        <is>
          <t>Customer payment INV/2026/01888</t>
        </is>
      </c>
      <c r="G2526" s="9" t="n">
        <v>320.98</v>
      </c>
      <c r="H2526" t="inlineStr">
        <is>
          <t>customer_payment</t>
        </is>
      </c>
      <c r="I2526" t="inlineStr"/>
      <c r="J2526" t="inlineStr">
        <is>
          <t>G00307</t>
        </is>
      </c>
      <c r="K2526" t="str">
        <f>INDEX('Match Groups'!$D$5:$D$1326,MATCH(J2526,'Match Groups'!$A$5:$A$1326,0))</f>
        <v>MATCH</v>
      </c>
    </row>
    <row r="2527">
      <c r="A2527" t="inlineStr">
        <is>
          <t>JI-00917</t>
        </is>
      </c>
      <c r="B2527" t="inlineStr">
        <is>
          <t>OPS</t>
        </is>
      </c>
      <c r="C2527" s="5" t="n">
        <v>46251</v>
      </c>
      <c r="D2527" t="inlineStr">
        <is>
          <t>Southern Cross Plan Mgmt</t>
        </is>
      </c>
      <c r="E2527" t="inlineStr">
        <is>
          <t>INV/2026/01908</t>
        </is>
      </c>
      <c r="F2527" t="inlineStr">
        <is>
          <t>Customer payment INV/2026/01908</t>
        </is>
      </c>
      <c r="G2527" s="9" t="n">
        <v>446.18</v>
      </c>
      <c r="H2527" t="inlineStr">
        <is>
          <t>customer_payment</t>
        </is>
      </c>
      <c r="I2527" t="inlineStr"/>
      <c r="J2527" t="inlineStr">
        <is>
          <t>G00307</t>
        </is>
      </c>
      <c r="K2527" t="str">
        <f>INDEX('Match Groups'!$D$5:$D$1326,MATCH(J2527,'Match Groups'!$A$5:$A$1326,0))</f>
        <v>MATCH</v>
      </c>
    </row>
    <row r="2528">
      <c r="A2528" t="inlineStr">
        <is>
          <t>JI-00918</t>
        </is>
      </c>
      <c r="B2528" t="inlineStr">
        <is>
          <t>OPS</t>
        </is>
      </c>
      <c r="C2528" s="5" t="n">
        <v>46251</v>
      </c>
      <c r="D2528" t="inlineStr">
        <is>
          <t>Tallowwood Plans</t>
        </is>
      </c>
      <c r="E2528" t="inlineStr">
        <is>
          <t>INV/2026/02574</t>
        </is>
      </c>
      <c r="F2528" t="inlineStr">
        <is>
          <t>Customer payment INV/2026/02574</t>
        </is>
      </c>
      <c r="G2528" s="9" t="n">
        <v>145.49</v>
      </c>
      <c r="H2528" t="inlineStr">
        <is>
          <t>customer_payment</t>
        </is>
      </c>
      <c r="I2528" t="inlineStr"/>
      <c r="J2528" t="inlineStr">
        <is>
          <t>G00308</t>
        </is>
      </c>
      <c r="K2528" t="str">
        <f>INDEX('Match Groups'!$D$5:$D$1326,MATCH(J2528,'Match Groups'!$A$5:$A$1326,0))</f>
        <v>MATCH</v>
      </c>
    </row>
    <row r="2529">
      <c r="A2529" t="inlineStr">
        <is>
          <t>JI-00919</t>
        </is>
      </c>
      <c r="B2529" t="inlineStr">
        <is>
          <t>OPS</t>
        </is>
      </c>
      <c r="C2529" s="5" t="n">
        <v>46251</v>
      </c>
      <c r="D2529" t="inlineStr">
        <is>
          <t>Tallowwood Plans</t>
        </is>
      </c>
      <c r="E2529" t="inlineStr">
        <is>
          <t>INV/2026/02575</t>
        </is>
      </c>
      <c r="F2529" t="inlineStr">
        <is>
          <t>Customer payment INV/2026/02575</t>
        </is>
      </c>
      <c r="G2529" s="9" t="n">
        <v>193.99</v>
      </c>
      <c r="H2529" t="inlineStr">
        <is>
          <t>customer_payment</t>
        </is>
      </c>
      <c r="I2529" t="inlineStr"/>
      <c r="J2529" t="inlineStr">
        <is>
          <t>G00308</t>
        </is>
      </c>
      <c r="K2529" t="str">
        <f>INDEX('Match Groups'!$D$5:$D$1326,MATCH(J2529,'Match Groups'!$A$5:$A$1326,0))</f>
        <v>MATCH</v>
      </c>
    </row>
    <row r="2530">
      <c r="A2530" t="inlineStr">
        <is>
          <t>JI-00920</t>
        </is>
      </c>
      <c r="B2530" t="inlineStr">
        <is>
          <t>OPS</t>
        </is>
      </c>
      <c r="C2530" s="5" t="n">
        <v>46251</v>
      </c>
      <c r="D2530" t="inlineStr">
        <is>
          <t>Tallowwood Plans</t>
        </is>
      </c>
      <c r="E2530" t="inlineStr">
        <is>
          <t>INV/2026/02602</t>
        </is>
      </c>
      <c r="F2530" t="inlineStr">
        <is>
          <t>Customer payment INV/2026/02602</t>
        </is>
      </c>
      <c r="G2530" s="9" t="n">
        <v>242.49</v>
      </c>
      <c r="H2530" t="inlineStr">
        <is>
          <t>customer_payment</t>
        </is>
      </c>
      <c r="I2530" t="inlineStr"/>
      <c r="J2530" t="inlineStr">
        <is>
          <t>G00308</t>
        </is>
      </c>
      <c r="K2530" t="str">
        <f>INDEX('Match Groups'!$D$5:$D$1326,MATCH(J2530,'Match Groups'!$A$5:$A$1326,0))</f>
        <v>MATCH</v>
      </c>
    </row>
    <row r="2531">
      <c r="A2531" t="inlineStr">
        <is>
          <t>JI-00921</t>
        </is>
      </c>
      <c r="B2531" t="inlineStr">
        <is>
          <t>OPS</t>
        </is>
      </c>
      <c r="C2531" s="5" t="n">
        <v>46251</v>
      </c>
      <c r="D2531" t="inlineStr">
        <is>
          <t>Tallowwood Plans</t>
        </is>
      </c>
      <c r="E2531" t="inlineStr">
        <is>
          <t>INV/2026/02603</t>
        </is>
      </c>
      <c r="F2531" t="inlineStr">
        <is>
          <t>Customer payment INV/2026/02603</t>
        </is>
      </c>
      <c r="G2531" s="9" t="n">
        <v>145.49</v>
      </c>
      <c r="H2531" t="inlineStr">
        <is>
          <t>customer_payment</t>
        </is>
      </c>
      <c r="I2531" t="inlineStr"/>
      <c r="J2531" t="inlineStr">
        <is>
          <t>G00308</t>
        </is>
      </c>
      <c r="K2531" t="str">
        <f>INDEX('Match Groups'!$D$5:$D$1326,MATCH(J2531,'Match Groups'!$A$5:$A$1326,0))</f>
        <v>MATCH</v>
      </c>
    </row>
    <row r="2532">
      <c r="A2532" t="inlineStr">
        <is>
          <t>JI-00922</t>
        </is>
      </c>
      <c r="B2532" t="inlineStr">
        <is>
          <t>OPS</t>
        </is>
      </c>
      <c r="C2532" s="5" t="n">
        <v>46251</v>
      </c>
      <c r="D2532" t="inlineStr">
        <is>
          <t>Tallowwood Plans</t>
        </is>
      </c>
      <c r="E2532" t="inlineStr">
        <is>
          <t>INV/2026/02604</t>
        </is>
      </c>
      <c r="F2532" t="inlineStr">
        <is>
          <t>Customer payment INV/2026/02604</t>
        </is>
      </c>
      <c r="G2532" s="9" t="n">
        <v>203.69</v>
      </c>
      <c r="H2532" t="inlineStr">
        <is>
          <t>customer_payment</t>
        </is>
      </c>
      <c r="I2532" t="inlineStr"/>
      <c r="J2532" t="inlineStr">
        <is>
          <t>G00308</t>
        </is>
      </c>
      <c r="K2532" t="str">
        <f>INDEX('Match Groups'!$D$5:$D$1326,MATCH(J2532,'Match Groups'!$A$5:$A$1326,0))</f>
        <v>MATCH</v>
      </c>
    </row>
    <row r="2533">
      <c r="A2533" t="inlineStr">
        <is>
          <t>JI-00923</t>
        </is>
      </c>
      <c r="B2533" t="inlineStr">
        <is>
          <t>OPS</t>
        </is>
      </c>
      <c r="C2533" s="5" t="n">
        <v>46251</v>
      </c>
      <c r="D2533" t="inlineStr">
        <is>
          <t>Tallowwood Plans</t>
        </is>
      </c>
      <c r="E2533" t="inlineStr">
        <is>
          <t>INV/2026/02627</t>
        </is>
      </c>
      <c r="F2533" t="inlineStr">
        <is>
          <t>Customer payment INV/2026/02627</t>
        </is>
      </c>
      <c r="G2533" s="9" t="n">
        <v>290.98</v>
      </c>
      <c r="H2533" t="inlineStr">
        <is>
          <t>customer_payment</t>
        </is>
      </c>
      <c r="I2533" t="inlineStr"/>
      <c r="J2533" t="inlineStr">
        <is>
          <t>G00308</t>
        </is>
      </c>
      <c r="K2533" t="str">
        <f>INDEX('Match Groups'!$D$5:$D$1326,MATCH(J2533,'Match Groups'!$A$5:$A$1326,0))</f>
        <v>MATCH</v>
      </c>
    </row>
    <row r="2534">
      <c r="A2534" t="inlineStr">
        <is>
          <t>JI-01771</t>
        </is>
      </c>
      <c r="B2534" t="inlineStr">
        <is>
          <t>OPS</t>
        </is>
      </c>
      <c r="C2534" s="5" t="n">
        <v>46251</v>
      </c>
      <c r="D2534" t="inlineStr">
        <is>
          <t>Stanhope Trucking</t>
        </is>
      </c>
      <c r="E2534" t="inlineStr">
        <is>
          <t>INV/2026/03512</t>
        </is>
      </c>
      <c r="F2534" t="inlineStr">
        <is>
          <t>Customer payment INV/2026/03512</t>
        </is>
      </c>
      <c r="G2534" s="9" t="n">
        <v>3465</v>
      </c>
      <c r="H2534" t="inlineStr">
        <is>
          <t>customer_payment</t>
        </is>
      </c>
      <c r="I2534" t="inlineStr"/>
      <c r="J2534" t="inlineStr">
        <is>
          <t>G01008</t>
        </is>
      </c>
      <c r="K2534" t="str">
        <f>INDEX('Match Groups'!$D$5:$D$1326,MATCH(J2534,'Match Groups'!$A$5:$A$1326,0))</f>
        <v>MATCH</v>
      </c>
    </row>
    <row r="2535">
      <c r="A2535" t="inlineStr">
        <is>
          <t>JI-02783</t>
        </is>
      </c>
      <c r="B2535" t="inlineStr">
        <is>
          <t>OPS</t>
        </is>
      </c>
      <c r="C2535" s="5" t="n">
        <v>46251</v>
      </c>
      <c r="D2535" t="inlineStr">
        <is>
          <t>Stripe patient 97045</t>
        </is>
      </c>
      <c r="E2535" t="inlineStr">
        <is>
          <t>INV/2026/04628</t>
        </is>
      </c>
      <c r="F2535" t="inlineStr">
        <is>
          <t>Customer payment INV/2026/04628</t>
        </is>
      </c>
      <c r="G2535" s="9" t="n">
        <v>120</v>
      </c>
      <c r="H2535" t="inlineStr">
        <is>
          <t>customer_payment</t>
        </is>
      </c>
      <c r="I2535" t="inlineStr"/>
      <c r="J2535" t="inlineStr">
        <is>
          <t>G00049</t>
        </is>
      </c>
      <c r="K2535" t="str">
        <f>INDEX('Match Groups'!$D$5:$D$1326,MATCH(J2535,'Match Groups'!$A$5:$A$1326,0))</f>
        <v>STRIPE-FEE</v>
      </c>
    </row>
    <row r="2536">
      <c r="A2536" t="inlineStr">
        <is>
          <t>JI-02784</t>
        </is>
      </c>
      <c r="B2536" t="inlineStr">
        <is>
          <t>OPS</t>
        </is>
      </c>
      <c r="C2536" s="5" t="n">
        <v>46251</v>
      </c>
      <c r="D2536" t="inlineStr">
        <is>
          <t>Stripe patient 68494</t>
        </is>
      </c>
      <c r="E2536" t="inlineStr">
        <is>
          <t>INV/2026/04629</t>
        </is>
      </c>
      <c r="F2536" t="inlineStr">
        <is>
          <t>Customer payment INV/2026/04629</t>
        </is>
      </c>
      <c r="G2536" s="9" t="n">
        <v>220</v>
      </c>
      <c r="H2536" t="inlineStr">
        <is>
          <t>customer_payment</t>
        </is>
      </c>
      <c r="I2536" t="inlineStr"/>
      <c r="J2536" t="inlineStr">
        <is>
          <t>G00049</t>
        </is>
      </c>
      <c r="K2536" t="str">
        <f>INDEX('Match Groups'!$D$5:$D$1326,MATCH(J2536,'Match Groups'!$A$5:$A$1326,0))</f>
        <v>STRIPE-FEE</v>
      </c>
    </row>
    <row r="2537">
      <c r="A2537" t="inlineStr">
        <is>
          <t>JI-02785</t>
        </is>
      </c>
      <c r="B2537" t="inlineStr">
        <is>
          <t>OPS</t>
        </is>
      </c>
      <c r="C2537" s="5" t="n">
        <v>46251</v>
      </c>
      <c r="D2537" t="inlineStr">
        <is>
          <t>Stripe patient 44371</t>
        </is>
      </c>
      <c r="E2537" t="inlineStr">
        <is>
          <t>INV/2026/04630</t>
        </is>
      </c>
      <c r="F2537" t="inlineStr">
        <is>
          <t>Customer payment INV/2026/04630</t>
        </is>
      </c>
      <c r="G2537" s="9" t="n">
        <v>135</v>
      </c>
      <c r="H2537" t="inlineStr">
        <is>
          <t>customer_payment</t>
        </is>
      </c>
      <c r="I2537" t="inlineStr"/>
      <c r="J2537" t="inlineStr">
        <is>
          <t>G00049</t>
        </is>
      </c>
      <c r="K2537" t="str">
        <f>INDEX('Match Groups'!$D$5:$D$1326,MATCH(J2537,'Match Groups'!$A$5:$A$1326,0))</f>
        <v>STRIPE-FEE</v>
      </c>
    </row>
    <row r="2538">
      <c r="A2538" t="inlineStr">
        <is>
          <t>JI-02786</t>
        </is>
      </c>
      <c r="B2538" t="inlineStr">
        <is>
          <t>OPS</t>
        </is>
      </c>
      <c r="C2538" s="5" t="n">
        <v>46251</v>
      </c>
      <c r="D2538" t="inlineStr">
        <is>
          <t>Stripe patient 98454</t>
        </is>
      </c>
      <c r="E2538" t="inlineStr">
        <is>
          <t>INV/2026/04631</t>
        </is>
      </c>
      <c r="F2538" t="inlineStr">
        <is>
          <t>Customer payment INV/2026/04631</t>
        </is>
      </c>
      <c r="G2538" s="9" t="n">
        <v>135</v>
      </c>
      <c r="H2538" t="inlineStr">
        <is>
          <t>customer_payment</t>
        </is>
      </c>
      <c r="I2538" t="inlineStr"/>
      <c r="J2538" t="inlineStr">
        <is>
          <t>G00049</t>
        </is>
      </c>
      <c r="K2538" t="str">
        <f>INDEX('Match Groups'!$D$5:$D$1326,MATCH(J2538,'Match Groups'!$A$5:$A$1326,0))</f>
        <v>STRIPE-FEE</v>
      </c>
    </row>
    <row r="2539">
      <c r="A2539" t="inlineStr">
        <is>
          <t>JI-02787</t>
        </is>
      </c>
      <c r="B2539" t="inlineStr">
        <is>
          <t>OPS</t>
        </is>
      </c>
      <c r="C2539" s="5" t="n">
        <v>46251</v>
      </c>
      <c r="D2539" t="inlineStr">
        <is>
          <t>Stripe patient 96497</t>
        </is>
      </c>
      <c r="E2539" t="inlineStr">
        <is>
          <t>INV/2026/04632</t>
        </is>
      </c>
      <c r="F2539" t="inlineStr">
        <is>
          <t>Customer payment INV/2026/04632</t>
        </is>
      </c>
      <c r="G2539" s="9" t="n">
        <v>220</v>
      </c>
      <c r="H2539" t="inlineStr">
        <is>
          <t>customer_payment</t>
        </is>
      </c>
      <c r="I2539" t="inlineStr"/>
      <c r="J2539" t="inlineStr">
        <is>
          <t>G00049</t>
        </is>
      </c>
      <c r="K2539" t="str">
        <f>INDEX('Match Groups'!$D$5:$D$1326,MATCH(J2539,'Match Groups'!$A$5:$A$1326,0))</f>
        <v>STRIPE-FEE</v>
      </c>
    </row>
    <row r="2540">
      <c r="A2540" t="inlineStr">
        <is>
          <t>JI-02788</t>
        </is>
      </c>
      <c r="B2540" t="inlineStr">
        <is>
          <t>OPS</t>
        </is>
      </c>
      <c r="C2540" s="5" t="n">
        <v>46251</v>
      </c>
      <c r="D2540" t="inlineStr">
        <is>
          <t>Stripe patient 76046</t>
        </is>
      </c>
      <c r="E2540" t="inlineStr">
        <is>
          <t>INV/2026/04633</t>
        </is>
      </c>
      <c r="F2540" t="inlineStr">
        <is>
          <t>Customer payment INV/2026/04633</t>
        </is>
      </c>
      <c r="G2540" s="9" t="n">
        <v>95</v>
      </c>
      <c r="H2540" t="inlineStr">
        <is>
          <t>customer_payment</t>
        </is>
      </c>
      <c r="I2540" t="inlineStr"/>
      <c r="J2540" t="inlineStr">
        <is>
          <t>G00049</t>
        </is>
      </c>
      <c r="K2540" t="str">
        <f>INDEX('Match Groups'!$D$5:$D$1326,MATCH(J2540,'Match Groups'!$A$5:$A$1326,0))</f>
        <v>STRIPE-FEE</v>
      </c>
    </row>
    <row r="2541">
      <c r="A2541" t="inlineStr">
        <is>
          <t>JI-02789</t>
        </is>
      </c>
      <c r="B2541" t="inlineStr">
        <is>
          <t>OPS</t>
        </is>
      </c>
      <c r="C2541" s="5" t="n">
        <v>46251</v>
      </c>
      <c r="D2541" t="inlineStr">
        <is>
          <t>Stripe patient 78047</t>
        </is>
      </c>
      <c r="E2541" t="inlineStr">
        <is>
          <t>INV/2026/04634</t>
        </is>
      </c>
      <c r="F2541" t="inlineStr">
        <is>
          <t>Customer payment INV/2026/04634</t>
        </is>
      </c>
      <c r="G2541" s="9" t="n">
        <v>180</v>
      </c>
      <c r="H2541" t="inlineStr">
        <is>
          <t>customer_payment</t>
        </is>
      </c>
      <c r="I2541" t="inlineStr"/>
      <c r="J2541" t="inlineStr">
        <is>
          <t>G00049</t>
        </is>
      </c>
      <c r="K2541" t="str">
        <f>INDEX('Match Groups'!$D$5:$D$1326,MATCH(J2541,'Match Groups'!$A$5:$A$1326,0))</f>
        <v>STRIPE-FEE</v>
      </c>
    </row>
    <row r="2542">
      <c r="A2542" t="inlineStr">
        <is>
          <t>JI-02790</t>
        </is>
      </c>
      <c r="B2542" t="inlineStr">
        <is>
          <t>OPS</t>
        </is>
      </c>
      <c r="C2542" s="5" t="n">
        <v>46251</v>
      </c>
      <c r="D2542" t="inlineStr">
        <is>
          <t>Stripe patient 69560</t>
        </is>
      </c>
      <c r="E2542" t="inlineStr">
        <is>
          <t>INV/2026/04635</t>
        </is>
      </c>
      <c r="F2542" t="inlineStr">
        <is>
          <t>Customer payment INV/2026/04635</t>
        </is>
      </c>
      <c r="G2542" s="9" t="n">
        <v>85</v>
      </c>
      <c r="H2542" t="inlineStr">
        <is>
          <t>customer_payment</t>
        </is>
      </c>
      <c r="I2542" t="inlineStr"/>
      <c r="J2542" t="inlineStr">
        <is>
          <t>G00049</t>
        </is>
      </c>
      <c r="K2542" t="str">
        <f>INDEX('Match Groups'!$D$5:$D$1326,MATCH(J2542,'Match Groups'!$A$5:$A$1326,0))</f>
        <v>STRIPE-FEE</v>
      </c>
    </row>
    <row r="2543">
      <c r="A2543" t="inlineStr">
        <is>
          <t>JI-02791</t>
        </is>
      </c>
      <c r="B2543" t="inlineStr">
        <is>
          <t>OPS</t>
        </is>
      </c>
      <c r="C2543" s="5" t="n">
        <v>46251</v>
      </c>
      <c r="D2543" t="inlineStr">
        <is>
          <t>Stripe patient 20240</t>
        </is>
      </c>
      <c r="E2543" t="inlineStr">
        <is>
          <t>INV/2026/04636</t>
        </is>
      </c>
      <c r="F2543" t="inlineStr">
        <is>
          <t>Customer payment INV/2026/04636</t>
        </is>
      </c>
      <c r="G2543" s="9" t="n">
        <v>120</v>
      </c>
      <c r="H2543" t="inlineStr">
        <is>
          <t>customer_payment</t>
        </is>
      </c>
      <c r="I2543" t="inlineStr"/>
      <c r="J2543" t="inlineStr">
        <is>
          <t>G00049</t>
        </is>
      </c>
      <c r="K2543" t="str">
        <f>INDEX('Match Groups'!$D$5:$D$1326,MATCH(J2543,'Match Groups'!$A$5:$A$1326,0))</f>
        <v>STRIPE-FEE</v>
      </c>
    </row>
    <row r="2544">
      <c r="A2544" t="inlineStr">
        <is>
          <t>JI-02792</t>
        </is>
      </c>
      <c r="B2544" t="inlineStr">
        <is>
          <t>OPS</t>
        </is>
      </c>
      <c r="C2544" s="5" t="n">
        <v>46251</v>
      </c>
      <c r="D2544" t="inlineStr">
        <is>
          <t>Stripe patient 40074</t>
        </is>
      </c>
      <c r="E2544" t="inlineStr">
        <is>
          <t>INV/2026/04637</t>
        </is>
      </c>
      <c r="F2544" t="inlineStr">
        <is>
          <t>Customer payment INV/2026/04637</t>
        </is>
      </c>
      <c r="G2544" s="9" t="n">
        <v>65</v>
      </c>
      <c r="H2544" t="inlineStr">
        <is>
          <t>customer_payment</t>
        </is>
      </c>
      <c r="I2544" t="inlineStr"/>
      <c r="J2544" t="inlineStr">
        <is>
          <t>G00049</t>
        </is>
      </c>
      <c r="K2544" t="str">
        <f>INDEX('Match Groups'!$D$5:$D$1326,MATCH(J2544,'Match Groups'!$A$5:$A$1326,0))</f>
        <v>STRIPE-FEE</v>
      </c>
    </row>
    <row r="2545">
      <c r="A2545" t="inlineStr">
        <is>
          <t>JI-02793</t>
        </is>
      </c>
      <c r="B2545" t="inlineStr">
        <is>
          <t>OPS</t>
        </is>
      </c>
      <c r="C2545" s="5" t="n">
        <v>46251</v>
      </c>
      <c r="D2545" t="inlineStr">
        <is>
          <t>Stripe patient 42001</t>
        </is>
      </c>
      <c r="E2545" t="inlineStr">
        <is>
          <t>INV/2026/04638</t>
        </is>
      </c>
      <c r="F2545" t="inlineStr">
        <is>
          <t>Customer payment INV/2026/04638</t>
        </is>
      </c>
      <c r="G2545" s="9" t="n">
        <v>135</v>
      </c>
      <c r="H2545" t="inlineStr">
        <is>
          <t>customer_payment</t>
        </is>
      </c>
      <c r="I2545" t="inlineStr"/>
      <c r="J2545" t="inlineStr">
        <is>
          <t>G00049</t>
        </is>
      </c>
      <c r="K2545" t="str">
        <f>INDEX('Match Groups'!$D$5:$D$1326,MATCH(J2545,'Match Groups'!$A$5:$A$1326,0))</f>
        <v>STRIPE-FEE</v>
      </c>
    </row>
    <row r="2546">
      <c r="A2546" t="inlineStr">
        <is>
          <t>JI-02794</t>
        </is>
      </c>
      <c r="B2546" t="inlineStr">
        <is>
          <t>OPS</t>
        </is>
      </c>
      <c r="C2546" s="5" t="n">
        <v>46251</v>
      </c>
      <c r="D2546" t="inlineStr">
        <is>
          <t>Stripe patient 30362</t>
        </is>
      </c>
      <c r="E2546" t="inlineStr">
        <is>
          <t>INV/2026/04639</t>
        </is>
      </c>
      <c r="F2546" t="inlineStr">
        <is>
          <t>Customer payment INV/2026/04639</t>
        </is>
      </c>
      <c r="G2546" s="9" t="n">
        <v>120</v>
      </c>
      <c r="H2546" t="inlineStr">
        <is>
          <t>customer_payment</t>
        </is>
      </c>
      <c r="I2546" t="inlineStr"/>
      <c r="J2546" t="inlineStr">
        <is>
          <t>G00049</t>
        </is>
      </c>
      <c r="K2546" t="str">
        <f>INDEX('Match Groups'!$D$5:$D$1326,MATCH(J2546,'Match Groups'!$A$5:$A$1326,0))</f>
        <v>STRIPE-FEE</v>
      </c>
    </row>
    <row r="2547">
      <c r="A2547" t="inlineStr">
        <is>
          <t>JI-02795</t>
        </is>
      </c>
      <c r="B2547" t="inlineStr">
        <is>
          <t>OPS</t>
        </is>
      </c>
      <c r="C2547" s="5" t="n">
        <v>46251</v>
      </c>
      <c r="D2547" t="inlineStr">
        <is>
          <t>Stripe patient 70240</t>
        </is>
      </c>
      <c r="E2547" t="inlineStr">
        <is>
          <t>INV/2026/04640</t>
        </is>
      </c>
      <c r="F2547" t="inlineStr">
        <is>
          <t>Customer payment INV/2026/04640</t>
        </is>
      </c>
      <c r="G2547" s="9" t="n">
        <v>85</v>
      </c>
      <c r="H2547" t="inlineStr">
        <is>
          <t>customer_payment</t>
        </is>
      </c>
      <c r="I2547" t="inlineStr"/>
      <c r="J2547" t="inlineStr">
        <is>
          <t>G00049</t>
        </is>
      </c>
      <c r="K2547" t="str">
        <f>INDEX('Match Groups'!$D$5:$D$1326,MATCH(J2547,'Match Groups'!$A$5:$A$1326,0))</f>
        <v>STRIPE-FEE</v>
      </c>
    </row>
    <row r="2548">
      <c r="A2548" t="inlineStr">
        <is>
          <t>JI-02796</t>
        </is>
      </c>
      <c r="B2548" t="inlineStr">
        <is>
          <t>OPS</t>
        </is>
      </c>
      <c r="C2548" s="5" t="n">
        <v>46251</v>
      </c>
      <c r="D2548" t="inlineStr">
        <is>
          <t>Stripe patient 21219</t>
        </is>
      </c>
      <c r="E2548" t="inlineStr">
        <is>
          <t>INV/2026/04641</t>
        </is>
      </c>
      <c r="F2548" t="inlineStr">
        <is>
          <t>Customer payment INV/2026/04641</t>
        </is>
      </c>
      <c r="G2548" s="9" t="n">
        <v>95</v>
      </c>
      <c r="H2548" t="inlineStr">
        <is>
          <t>customer_payment</t>
        </is>
      </c>
      <c r="I2548" t="inlineStr"/>
      <c r="J2548" t="inlineStr">
        <is>
          <t>G00049</t>
        </is>
      </c>
      <c r="K2548" t="str">
        <f>INDEX('Match Groups'!$D$5:$D$1326,MATCH(J2548,'Match Groups'!$A$5:$A$1326,0))</f>
        <v>STRIPE-FEE</v>
      </c>
    </row>
    <row r="2549">
      <c r="A2549" t="inlineStr">
        <is>
          <t>JI-02797</t>
        </is>
      </c>
      <c r="B2549" t="inlineStr">
        <is>
          <t>OPS</t>
        </is>
      </c>
      <c r="C2549" s="5" t="n">
        <v>46251</v>
      </c>
      <c r="D2549" t="inlineStr">
        <is>
          <t>Stripe patient 48463</t>
        </is>
      </c>
      <c r="E2549" t="inlineStr">
        <is>
          <t>INV/2026/04642</t>
        </is>
      </c>
      <c r="F2549" t="inlineStr">
        <is>
          <t>Customer payment INV/2026/04642</t>
        </is>
      </c>
      <c r="G2549" s="9" t="n">
        <v>150</v>
      </c>
      <c r="H2549" t="inlineStr">
        <is>
          <t>customer_payment</t>
        </is>
      </c>
      <c r="I2549" t="inlineStr"/>
      <c r="J2549" t="inlineStr">
        <is>
          <t>G00049</t>
        </is>
      </c>
      <c r="K2549" t="str">
        <f>INDEX('Match Groups'!$D$5:$D$1326,MATCH(J2549,'Match Groups'!$A$5:$A$1326,0))</f>
        <v>STRIPE-FEE</v>
      </c>
    </row>
    <row r="2550">
      <c r="A2550" t="inlineStr">
        <is>
          <t>JI-02798</t>
        </is>
      </c>
      <c r="B2550" t="inlineStr">
        <is>
          <t>OPS</t>
        </is>
      </c>
      <c r="C2550" s="5" t="n">
        <v>46251</v>
      </c>
      <c r="D2550" t="inlineStr">
        <is>
          <t>Stripe patient 34272</t>
        </is>
      </c>
      <c r="E2550" t="inlineStr">
        <is>
          <t>INV/2026/04643</t>
        </is>
      </c>
      <c r="F2550" t="inlineStr">
        <is>
          <t>Customer payment INV/2026/04643</t>
        </is>
      </c>
      <c r="G2550" s="9" t="n">
        <v>135</v>
      </c>
      <c r="H2550" t="inlineStr">
        <is>
          <t>customer_payment</t>
        </is>
      </c>
      <c r="I2550" t="inlineStr"/>
      <c r="J2550" t="inlineStr">
        <is>
          <t>G00049</t>
        </is>
      </c>
      <c r="K2550" t="str">
        <f>INDEX('Match Groups'!$D$5:$D$1326,MATCH(J2550,'Match Groups'!$A$5:$A$1326,0))</f>
        <v>STRIPE-FEE</v>
      </c>
    </row>
    <row r="2551">
      <c r="A2551" t="inlineStr">
        <is>
          <t>JI-02799</t>
        </is>
      </c>
      <c r="B2551" t="inlineStr">
        <is>
          <t>OPS</t>
        </is>
      </c>
      <c r="C2551" s="5" t="n">
        <v>46251</v>
      </c>
      <c r="D2551" t="inlineStr">
        <is>
          <t>Stripe patient 17118</t>
        </is>
      </c>
      <c r="E2551" t="inlineStr">
        <is>
          <t>INV/2026/04644</t>
        </is>
      </c>
      <c r="F2551" t="inlineStr">
        <is>
          <t>Customer payment INV/2026/04644</t>
        </is>
      </c>
      <c r="G2551" s="9" t="n">
        <v>85</v>
      </c>
      <c r="H2551" t="inlineStr">
        <is>
          <t>customer_payment</t>
        </is>
      </c>
      <c r="I2551" t="inlineStr"/>
      <c r="J2551" t="inlineStr">
        <is>
          <t>G00049</t>
        </is>
      </c>
      <c r="K2551" t="str">
        <f>INDEX('Match Groups'!$D$5:$D$1326,MATCH(J2551,'Match Groups'!$A$5:$A$1326,0))</f>
        <v>STRIPE-FEE</v>
      </c>
    </row>
    <row r="2552">
      <c r="A2552" t="inlineStr">
        <is>
          <t>JI-02800</t>
        </is>
      </c>
      <c r="B2552" t="inlineStr">
        <is>
          <t>OPS</t>
        </is>
      </c>
      <c r="C2552" s="5" t="n">
        <v>46251</v>
      </c>
      <c r="D2552" t="inlineStr">
        <is>
          <t>Stripe patient 74872</t>
        </is>
      </c>
      <c r="E2552" t="inlineStr">
        <is>
          <t>INV/2026/04645</t>
        </is>
      </c>
      <c r="F2552" t="inlineStr">
        <is>
          <t>Customer payment INV/2026/04645</t>
        </is>
      </c>
      <c r="G2552" s="9" t="n">
        <v>135</v>
      </c>
      <c r="H2552" t="inlineStr">
        <is>
          <t>customer_payment</t>
        </is>
      </c>
      <c r="I2552" t="inlineStr"/>
      <c r="J2552" t="inlineStr">
        <is>
          <t>G00049</t>
        </is>
      </c>
      <c r="K2552" t="str">
        <f>INDEX('Match Groups'!$D$5:$D$1326,MATCH(J2552,'Match Groups'!$A$5:$A$1326,0))</f>
        <v>STRIPE-FEE</v>
      </c>
    </row>
    <row r="2553">
      <c r="A2553" t="inlineStr">
        <is>
          <t>JI-02801</t>
        </is>
      </c>
      <c r="B2553" t="inlineStr">
        <is>
          <t>OPS</t>
        </is>
      </c>
      <c r="C2553" s="5" t="n">
        <v>46251</v>
      </c>
      <c r="D2553" t="inlineStr">
        <is>
          <t>Stripe patient 18157</t>
        </is>
      </c>
      <c r="E2553" t="inlineStr">
        <is>
          <t>INV/2026/04646</t>
        </is>
      </c>
      <c r="F2553" t="inlineStr">
        <is>
          <t>Customer payment INV/2026/04646</t>
        </is>
      </c>
      <c r="G2553" s="9" t="n">
        <v>120</v>
      </c>
      <c r="H2553" t="inlineStr">
        <is>
          <t>customer_payment</t>
        </is>
      </c>
      <c r="I2553" t="inlineStr"/>
      <c r="J2553" t="inlineStr">
        <is>
          <t>G00049</t>
        </is>
      </c>
      <c r="K2553" t="str">
        <f>INDEX('Match Groups'!$D$5:$D$1326,MATCH(J2553,'Match Groups'!$A$5:$A$1326,0))</f>
        <v>STRIPE-FEE</v>
      </c>
    </row>
    <row r="2554">
      <c r="A2554" t="inlineStr">
        <is>
          <t>JI-02802</t>
        </is>
      </c>
      <c r="B2554" t="inlineStr">
        <is>
          <t>OPS</t>
        </is>
      </c>
      <c r="C2554" s="5" t="n">
        <v>46251</v>
      </c>
      <c r="D2554" t="inlineStr">
        <is>
          <t>Stripe patient 23516</t>
        </is>
      </c>
      <c r="E2554" t="inlineStr">
        <is>
          <t>INV/2026/04647</t>
        </is>
      </c>
      <c r="F2554" t="inlineStr">
        <is>
          <t>Customer payment INV/2026/04647</t>
        </is>
      </c>
      <c r="G2554" s="9" t="n">
        <v>220</v>
      </c>
      <c r="H2554" t="inlineStr">
        <is>
          <t>customer_payment</t>
        </is>
      </c>
      <c r="I2554" t="inlineStr"/>
      <c r="J2554" t="inlineStr">
        <is>
          <t>G00049</t>
        </is>
      </c>
      <c r="K2554" t="str">
        <f>INDEX('Match Groups'!$D$5:$D$1326,MATCH(J2554,'Match Groups'!$A$5:$A$1326,0))</f>
        <v>STRIPE-FEE</v>
      </c>
    </row>
    <row r="2555">
      <c r="A2555" t="inlineStr">
        <is>
          <t>JI-02803</t>
        </is>
      </c>
      <c r="B2555" t="inlineStr">
        <is>
          <t>OPS</t>
        </is>
      </c>
      <c r="C2555" s="5" t="n">
        <v>46251</v>
      </c>
      <c r="D2555" t="inlineStr">
        <is>
          <t>Stripe patient 87368</t>
        </is>
      </c>
      <c r="E2555" t="inlineStr">
        <is>
          <t>INV/2026/04648</t>
        </is>
      </c>
      <c r="F2555" t="inlineStr">
        <is>
          <t>Customer payment INV/2026/04648</t>
        </is>
      </c>
      <c r="G2555" s="9" t="n">
        <v>220</v>
      </c>
      <c r="H2555" t="inlineStr">
        <is>
          <t>customer_payment</t>
        </is>
      </c>
      <c r="I2555" t="inlineStr"/>
      <c r="J2555" t="inlineStr">
        <is>
          <t>G00049</t>
        </is>
      </c>
      <c r="K2555" t="str">
        <f>INDEX('Match Groups'!$D$5:$D$1326,MATCH(J2555,'Match Groups'!$A$5:$A$1326,0))</f>
        <v>STRIPE-FEE</v>
      </c>
    </row>
    <row r="2556">
      <c r="A2556" t="inlineStr">
        <is>
          <t>JI-02804</t>
        </is>
      </c>
      <c r="B2556" t="inlineStr">
        <is>
          <t>OPS</t>
        </is>
      </c>
      <c r="C2556" s="5" t="n">
        <v>46251</v>
      </c>
      <c r="D2556" t="inlineStr">
        <is>
          <t>Stripe patient 29930</t>
        </is>
      </c>
      <c r="E2556" t="inlineStr">
        <is>
          <t>INV/2026/04649</t>
        </is>
      </c>
      <c r="F2556" t="inlineStr">
        <is>
          <t>Customer payment INV/2026/04649</t>
        </is>
      </c>
      <c r="G2556" s="9" t="n">
        <v>135</v>
      </c>
      <c r="H2556" t="inlineStr">
        <is>
          <t>customer_payment</t>
        </is>
      </c>
      <c r="I2556" t="inlineStr"/>
      <c r="J2556" t="inlineStr">
        <is>
          <t>G00049</t>
        </is>
      </c>
      <c r="K2556" t="str">
        <f>INDEX('Match Groups'!$D$5:$D$1326,MATCH(J2556,'Match Groups'!$A$5:$A$1326,0))</f>
        <v>STRIPE-FEE</v>
      </c>
    </row>
    <row r="2557">
      <c r="A2557" t="inlineStr">
        <is>
          <t>JI-02805</t>
        </is>
      </c>
      <c r="B2557" t="inlineStr">
        <is>
          <t>OPS</t>
        </is>
      </c>
      <c r="C2557" s="5" t="n">
        <v>46251</v>
      </c>
      <c r="D2557" t="inlineStr">
        <is>
          <t>Stripe patient 60308</t>
        </is>
      </c>
      <c r="E2557" t="inlineStr">
        <is>
          <t>INV/2026/04650</t>
        </is>
      </c>
      <c r="F2557" t="inlineStr">
        <is>
          <t>Customer payment INV/2026/04650</t>
        </is>
      </c>
      <c r="G2557" s="9" t="n">
        <v>120</v>
      </c>
      <c r="H2557" t="inlineStr">
        <is>
          <t>customer_payment</t>
        </is>
      </c>
      <c r="I2557" t="inlineStr"/>
      <c r="J2557" t="inlineStr">
        <is>
          <t>G00049</t>
        </is>
      </c>
      <c r="K2557" t="str">
        <f>INDEX('Match Groups'!$D$5:$D$1326,MATCH(J2557,'Match Groups'!$A$5:$A$1326,0))</f>
        <v>STRIPE-FEE</v>
      </c>
    </row>
    <row r="2558">
      <c r="A2558" t="inlineStr">
        <is>
          <t>JI-04295</t>
        </is>
      </c>
      <c r="B2558" t="inlineStr">
        <is>
          <t>OPS</t>
        </is>
      </c>
      <c r="C2558" s="5" t="n">
        <v>46251</v>
      </c>
      <c r="D2558" t="inlineStr">
        <is>
          <t>Internal transfer</t>
        </is>
      </c>
      <c r="E2558" t="inlineStr">
        <is>
          <t>SWEEP 1708</t>
        </is>
      </c>
      <c r="F2558" t="inlineStr">
        <is>
          <t>Sweep from merchant account</t>
        </is>
      </c>
      <c r="G2558" s="9" t="n">
        <v>30000</v>
      </c>
      <c r="H2558" t="inlineStr">
        <is>
          <t>transfer</t>
        </is>
      </c>
      <c r="I2558" t="inlineStr"/>
      <c r="J2558" t="inlineStr">
        <is>
          <t>G00528</t>
        </is>
      </c>
      <c r="K2558" t="str">
        <f>INDEX('Match Groups'!$D$5:$D$1326,MATCH(J2558,'Match Groups'!$A$5:$A$1326,0))</f>
        <v>MATCH</v>
      </c>
    </row>
    <row r="2559">
      <c r="A2559" t="inlineStr">
        <is>
          <t>JI-00926</t>
        </is>
      </c>
      <c r="B2559" t="inlineStr">
        <is>
          <t>OPS</t>
        </is>
      </c>
      <c r="C2559" s="5" t="n">
        <v>46252</v>
      </c>
      <c r="D2559" t="inlineStr">
        <is>
          <t>Wattle Plan Services</t>
        </is>
      </c>
      <c r="E2559" t="inlineStr">
        <is>
          <t>INV/2026/02542</t>
        </is>
      </c>
      <c r="F2559" t="inlineStr">
        <is>
          <t>Customer payment INV/2026/02542</t>
        </is>
      </c>
      <c r="G2559" s="9" t="n">
        <v>96.98999999999999</v>
      </c>
      <c r="H2559" t="inlineStr">
        <is>
          <t>customer_payment</t>
        </is>
      </c>
      <c r="I2559" t="inlineStr"/>
      <c r="J2559" t="inlineStr">
        <is>
          <t>G00310</t>
        </is>
      </c>
      <c r="K2559" t="str">
        <f>INDEX('Match Groups'!$D$5:$D$1326,MATCH(J2559,'Match Groups'!$A$5:$A$1326,0))</f>
        <v>MATCH</v>
      </c>
    </row>
    <row r="2560">
      <c r="A2560" t="inlineStr">
        <is>
          <t>JI-00927</t>
        </is>
      </c>
      <c r="B2560" t="inlineStr">
        <is>
          <t>OPS</t>
        </is>
      </c>
      <c r="C2560" s="5" t="n">
        <v>46252</v>
      </c>
      <c r="D2560" t="inlineStr">
        <is>
          <t>Wattle Plan Services</t>
        </is>
      </c>
      <c r="E2560" t="inlineStr">
        <is>
          <t>INV/2026/02587</t>
        </is>
      </c>
      <c r="F2560" t="inlineStr">
        <is>
          <t>Customer payment INV/2026/02587</t>
        </is>
      </c>
      <c r="G2560" s="9" t="n">
        <v>126.99</v>
      </c>
      <c r="H2560" t="inlineStr">
        <is>
          <t>customer_payment</t>
        </is>
      </c>
      <c r="I2560" t="inlineStr"/>
      <c r="J2560" t="inlineStr">
        <is>
          <t>G00310</t>
        </is>
      </c>
      <c r="K2560" t="str">
        <f>INDEX('Match Groups'!$D$5:$D$1326,MATCH(J2560,'Match Groups'!$A$5:$A$1326,0))</f>
        <v>MATCH</v>
      </c>
    </row>
    <row r="2561">
      <c r="A2561" t="inlineStr">
        <is>
          <t>JI-00928</t>
        </is>
      </c>
      <c r="B2561" t="inlineStr">
        <is>
          <t>OPS</t>
        </is>
      </c>
      <c r="C2561" s="5" t="n">
        <v>46252</v>
      </c>
      <c r="D2561" t="inlineStr">
        <is>
          <t>Wattle Plan Services</t>
        </is>
      </c>
      <c r="E2561" t="inlineStr">
        <is>
          <t>INV/2026/02588</t>
        </is>
      </c>
      <c r="F2561" t="inlineStr">
        <is>
          <t>Customer payment INV/2026/02588</t>
        </is>
      </c>
      <c r="G2561" s="9" t="n">
        <v>203.69</v>
      </c>
      <c r="H2561" t="inlineStr">
        <is>
          <t>customer_payment</t>
        </is>
      </c>
      <c r="I2561" t="inlineStr"/>
      <c r="J2561" t="inlineStr">
        <is>
          <t>G00310</t>
        </is>
      </c>
      <c r="K2561" t="str">
        <f>INDEX('Match Groups'!$D$5:$D$1326,MATCH(J2561,'Match Groups'!$A$5:$A$1326,0))</f>
        <v>MATCH</v>
      </c>
    </row>
    <row r="2562">
      <c r="A2562" t="inlineStr">
        <is>
          <t>JI-00929</t>
        </is>
      </c>
      <c r="B2562" t="inlineStr">
        <is>
          <t>OPS</t>
        </is>
      </c>
      <c r="C2562" s="5" t="n">
        <v>46252</v>
      </c>
      <c r="D2562" t="inlineStr">
        <is>
          <t>Wattle Plan Services</t>
        </is>
      </c>
      <c r="E2562" t="inlineStr">
        <is>
          <t>INV/2026/02612</t>
        </is>
      </c>
      <c r="F2562" t="inlineStr">
        <is>
          <t>Customer payment INV/2026/02612</t>
        </is>
      </c>
      <c r="G2562" s="9" t="n">
        <v>417.98</v>
      </c>
      <c r="H2562" t="inlineStr">
        <is>
          <t>customer_payment</t>
        </is>
      </c>
      <c r="I2562" t="inlineStr"/>
      <c r="J2562" t="inlineStr">
        <is>
          <t>G00310</t>
        </is>
      </c>
      <c r="K2562" t="str">
        <f>INDEX('Match Groups'!$D$5:$D$1326,MATCH(J2562,'Match Groups'!$A$5:$A$1326,0))</f>
        <v>MATCH</v>
      </c>
    </row>
    <row r="2563">
      <c r="A2563" t="inlineStr">
        <is>
          <t>JI-00930</t>
        </is>
      </c>
      <c r="B2563" t="inlineStr">
        <is>
          <t>OPS</t>
        </is>
      </c>
      <c r="C2563" s="5" t="n">
        <v>46252</v>
      </c>
      <c r="D2563" t="inlineStr">
        <is>
          <t>Wattle Plan Services</t>
        </is>
      </c>
      <c r="E2563" t="inlineStr">
        <is>
          <t>INV/2026/02613</t>
        </is>
      </c>
      <c r="F2563" t="inlineStr">
        <is>
          <t>Customer payment INV/2026/02613</t>
        </is>
      </c>
      <c r="G2563" s="9" t="n">
        <v>126.99</v>
      </c>
      <c r="H2563" t="inlineStr">
        <is>
          <t>customer_payment</t>
        </is>
      </c>
      <c r="I2563" t="inlineStr"/>
      <c r="J2563" t="inlineStr">
        <is>
          <t>G00310</t>
        </is>
      </c>
      <c r="K2563" t="str">
        <f>INDEX('Match Groups'!$D$5:$D$1326,MATCH(J2563,'Match Groups'!$A$5:$A$1326,0))</f>
        <v>MATCH</v>
      </c>
    </row>
    <row r="2564">
      <c r="A2564" t="inlineStr">
        <is>
          <t>JI-00931</t>
        </is>
      </c>
      <c r="B2564" t="inlineStr">
        <is>
          <t>OPS</t>
        </is>
      </c>
      <c r="C2564" s="5" t="n">
        <v>46252</v>
      </c>
      <c r="D2564" t="inlineStr">
        <is>
          <t>Wattle Plan Services</t>
        </is>
      </c>
      <c r="E2564" t="inlineStr">
        <is>
          <t>INV/2026/02614</t>
        </is>
      </c>
      <c r="F2564" t="inlineStr">
        <is>
          <t>Customer payment INV/2026/02614</t>
        </is>
      </c>
      <c r="G2564" s="9" t="n">
        <v>446.18</v>
      </c>
      <c r="H2564" t="inlineStr">
        <is>
          <t>customer_payment</t>
        </is>
      </c>
      <c r="I2564" t="inlineStr"/>
      <c r="J2564" t="inlineStr">
        <is>
          <t>G00310</t>
        </is>
      </c>
      <c r="K2564" t="str">
        <f>INDEX('Match Groups'!$D$5:$D$1326,MATCH(J2564,'Match Groups'!$A$5:$A$1326,0))</f>
        <v>MATCH</v>
      </c>
    </row>
    <row r="2565">
      <c r="A2565" t="inlineStr">
        <is>
          <t>JI-00932</t>
        </is>
      </c>
      <c r="B2565" t="inlineStr">
        <is>
          <t>OPS</t>
        </is>
      </c>
      <c r="C2565" s="5" t="n">
        <v>46252</v>
      </c>
      <c r="D2565" t="inlineStr">
        <is>
          <t>Wattle Plan Services</t>
        </is>
      </c>
      <c r="E2565" t="inlineStr">
        <is>
          <t>INV/2026/02635</t>
        </is>
      </c>
      <c r="F2565" t="inlineStr">
        <is>
          <t>Customer payment INV/2026/02635</t>
        </is>
      </c>
      <c r="G2565" s="9" t="n">
        <v>193.99</v>
      </c>
      <c r="H2565" t="inlineStr">
        <is>
          <t>customer_payment</t>
        </is>
      </c>
      <c r="I2565" t="inlineStr"/>
      <c r="J2565" t="inlineStr">
        <is>
          <t>G00310</t>
        </is>
      </c>
      <c r="K2565" t="str">
        <f>INDEX('Match Groups'!$D$5:$D$1326,MATCH(J2565,'Match Groups'!$A$5:$A$1326,0))</f>
        <v>MATCH</v>
      </c>
    </row>
    <row r="2566">
      <c r="A2566" t="inlineStr">
        <is>
          <t>JI-00933</t>
        </is>
      </c>
      <c r="B2566" t="inlineStr">
        <is>
          <t>OPS</t>
        </is>
      </c>
      <c r="C2566" s="5" t="n">
        <v>46252</v>
      </c>
      <c r="D2566" t="inlineStr">
        <is>
          <t>Saltbush Plan Managers</t>
        </is>
      </c>
      <c r="E2566" t="inlineStr">
        <is>
          <t>INV/2026/02499</t>
        </is>
      </c>
      <c r="F2566" t="inlineStr">
        <is>
          <t>Customer payment INV/2026/02499</t>
        </is>
      </c>
      <c r="G2566" s="9" t="n">
        <v>290.98</v>
      </c>
      <c r="H2566" t="inlineStr">
        <is>
          <t>customer_payment</t>
        </is>
      </c>
      <c r="I2566" t="inlineStr"/>
      <c r="J2566" t="inlineStr">
        <is>
          <t>G00311</t>
        </is>
      </c>
      <c r="K2566" t="str">
        <f>INDEX('Match Groups'!$D$5:$D$1326,MATCH(J2566,'Match Groups'!$A$5:$A$1326,0))</f>
        <v>MATCH</v>
      </c>
    </row>
    <row r="2567">
      <c r="A2567" t="inlineStr">
        <is>
          <t>JI-00934</t>
        </is>
      </c>
      <c r="B2567" t="inlineStr">
        <is>
          <t>OPS</t>
        </is>
      </c>
      <c r="C2567" s="5" t="n">
        <v>46252</v>
      </c>
      <c r="D2567" t="inlineStr">
        <is>
          <t>Saltbush Plan Managers</t>
        </is>
      </c>
      <c r="E2567" t="inlineStr">
        <is>
          <t>INV/2026/02500</t>
        </is>
      </c>
      <c r="F2567" t="inlineStr">
        <is>
          <t>Customer payment INV/2026/02500</t>
        </is>
      </c>
      <c r="G2567" s="9" t="n">
        <v>417.98</v>
      </c>
      <c r="H2567" t="inlineStr">
        <is>
          <t>customer_payment</t>
        </is>
      </c>
      <c r="I2567" t="inlineStr"/>
      <c r="J2567" t="inlineStr">
        <is>
          <t>G00311</t>
        </is>
      </c>
      <c r="K2567" t="str">
        <f>INDEX('Match Groups'!$D$5:$D$1326,MATCH(J2567,'Match Groups'!$A$5:$A$1326,0))</f>
        <v>MATCH</v>
      </c>
    </row>
    <row r="2568">
      <c r="A2568" t="inlineStr">
        <is>
          <t>JI-00935</t>
        </is>
      </c>
      <c r="B2568" t="inlineStr">
        <is>
          <t>OPS</t>
        </is>
      </c>
      <c r="C2568" s="5" t="n">
        <v>46252</v>
      </c>
      <c r="D2568" t="inlineStr">
        <is>
          <t>Saltbush Plan Managers</t>
        </is>
      </c>
      <c r="E2568" t="inlineStr">
        <is>
          <t>INV/2026/02501</t>
        </is>
      </c>
      <c r="F2568" t="inlineStr">
        <is>
          <t>Customer payment INV/2026/02501</t>
        </is>
      </c>
      <c r="G2568" s="9" t="n">
        <v>96.98999999999999</v>
      </c>
      <c r="H2568" t="inlineStr">
        <is>
          <t>customer_payment</t>
        </is>
      </c>
      <c r="I2568" t="inlineStr"/>
      <c r="J2568" t="inlineStr">
        <is>
          <t>G00311</t>
        </is>
      </c>
      <c r="K2568" t="str">
        <f>INDEX('Match Groups'!$D$5:$D$1326,MATCH(J2568,'Match Groups'!$A$5:$A$1326,0))</f>
        <v>MATCH</v>
      </c>
    </row>
    <row r="2569">
      <c r="A2569" t="inlineStr">
        <is>
          <t>JI-00936</t>
        </is>
      </c>
      <c r="B2569" t="inlineStr">
        <is>
          <t>OPS</t>
        </is>
      </c>
      <c r="C2569" s="5" t="n">
        <v>46252</v>
      </c>
      <c r="D2569" t="inlineStr">
        <is>
          <t>Saltbush Plan Managers</t>
        </is>
      </c>
      <c r="E2569" t="inlineStr">
        <is>
          <t>INV/2026/02549</t>
        </is>
      </c>
      <c r="F2569" t="inlineStr">
        <is>
          <t>Customer payment INV/2026/02549</t>
        </is>
      </c>
      <c r="G2569" s="9" t="n">
        <v>387.98</v>
      </c>
      <c r="H2569" t="inlineStr">
        <is>
          <t>customer_payment</t>
        </is>
      </c>
      <c r="I2569" t="inlineStr"/>
      <c r="J2569" t="inlineStr">
        <is>
          <t>G00311</t>
        </is>
      </c>
      <c r="K2569" t="str">
        <f>INDEX('Match Groups'!$D$5:$D$1326,MATCH(J2569,'Match Groups'!$A$5:$A$1326,0))</f>
        <v>MATCH</v>
      </c>
    </row>
    <row r="2570">
      <c r="A2570" t="inlineStr">
        <is>
          <t>JI-00937</t>
        </is>
      </c>
      <c r="B2570" t="inlineStr">
        <is>
          <t>OPS</t>
        </is>
      </c>
      <c r="C2570" s="5" t="n">
        <v>46252</v>
      </c>
      <c r="D2570" t="inlineStr">
        <is>
          <t>Saltbush Plan Managers</t>
        </is>
      </c>
      <c r="E2570" t="inlineStr">
        <is>
          <t>INV/2026/02550</t>
        </is>
      </c>
      <c r="F2570" t="inlineStr">
        <is>
          <t>Customer payment INV/2026/02550</t>
        </is>
      </c>
      <c r="G2570" s="9" t="n">
        <v>242.49</v>
      </c>
      <c r="H2570" t="inlineStr">
        <is>
          <t>customer_payment</t>
        </is>
      </c>
      <c r="I2570" t="inlineStr"/>
      <c r="J2570" t="inlineStr">
        <is>
          <t>G00311</t>
        </is>
      </c>
      <c r="K2570" t="str">
        <f>INDEX('Match Groups'!$D$5:$D$1326,MATCH(J2570,'Match Groups'!$A$5:$A$1326,0))</f>
        <v>MATCH</v>
      </c>
    </row>
    <row r="2571">
      <c r="A2571" t="inlineStr">
        <is>
          <t>JI-00938</t>
        </is>
      </c>
      <c r="B2571" t="inlineStr">
        <is>
          <t>OPS</t>
        </is>
      </c>
      <c r="C2571" s="5" t="n">
        <v>46252</v>
      </c>
      <c r="D2571" t="inlineStr">
        <is>
          <t>Saltbush Plan Managers</t>
        </is>
      </c>
      <c r="E2571" t="inlineStr">
        <is>
          <t>INV/2026/02568</t>
        </is>
      </c>
      <c r="F2571" t="inlineStr">
        <is>
          <t>Customer payment INV/2026/02568</t>
        </is>
      </c>
      <c r="G2571" s="9" t="n">
        <v>349.18</v>
      </c>
      <c r="H2571" t="inlineStr">
        <is>
          <t>customer_payment</t>
        </is>
      </c>
      <c r="I2571" t="inlineStr"/>
      <c r="J2571" t="inlineStr">
        <is>
          <t>G00311</t>
        </is>
      </c>
      <c r="K2571" t="str">
        <f>INDEX('Match Groups'!$D$5:$D$1326,MATCH(J2571,'Match Groups'!$A$5:$A$1326,0))</f>
        <v>MATCH</v>
      </c>
    </row>
    <row r="2572">
      <c r="A2572" t="inlineStr">
        <is>
          <t>JI-00939</t>
        </is>
      </c>
      <c r="B2572" t="inlineStr">
        <is>
          <t>OPS</t>
        </is>
      </c>
      <c r="C2572" s="5" t="n">
        <v>46252</v>
      </c>
      <c r="D2572" t="inlineStr">
        <is>
          <t>Saltbush Plan Managers</t>
        </is>
      </c>
      <c r="E2572" t="inlineStr">
        <is>
          <t>INV/2026/02595</t>
        </is>
      </c>
      <c r="F2572" t="inlineStr">
        <is>
          <t>Customer payment INV/2026/02595</t>
        </is>
      </c>
      <c r="G2572" s="9" t="n">
        <v>417.98</v>
      </c>
      <c r="H2572" t="inlineStr">
        <is>
          <t>customer_payment</t>
        </is>
      </c>
      <c r="I2572" t="inlineStr"/>
      <c r="J2572" t="inlineStr">
        <is>
          <t>G00311</t>
        </is>
      </c>
      <c r="K2572" t="str">
        <f>INDEX('Match Groups'!$D$5:$D$1326,MATCH(J2572,'Match Groups'!$A$5:$A$1326,0))</f>
        <v>MATCH</v>
      </c>
    </row>
    <row r="2573">
      <c r="A2573" t="inlineStr">
        <is>
          <t>JI-00940</t>
        </is>
      </c>
      <c r="B2573" t="inlineStr">
        <is>
          <t>OPS</t>
        </is>
      </c>
      <c r="C2573" s="5" t="n">
        <v>46252</v>
      </c>
      <c r="D2573" t="inlineStr">
        <is>
          <t>Saltbush Plan Managers</t>
        </is>
      </c>
      <c r="E2573" t="inlineStr">
        <is>
          <t>INV/2026/02620</t>
        </is>
      </c>
      <c r="F2573" t="inlineStr">
        <is>
          <t>Customer payment INV/2026/02620</t>
        </is>
      </c>
      <c r="G2573" s="9" t="n">
        <v>387.98</v>
      </c>
      <c r="H2573" t="inlineStr">
        <is>
          <t>customer_payment</t>
        </is>
      </c>
      <c r="I2573" t="inlineStr"/>
      <c r="J2573" t="inlineStr">
        <is>
          <t>G00311</t>
        </is>
      </c>
      <c r="K2573" t="str">
        <f>INDEX('Match Groups'!$D$5:$D$1326,MATCH(J2573,'Match Groups'!$A$5:$A$1326,0))</f>
        <v>MATCH</v>
      </c>
    </row>
    <row r="2574">
      <c r="A2574" t="inlineStr">
        <is>
          <t>JI-00941</t>
        </is>
      </c>
      <c r="B2574" t="inlineStr">
        <is>
          <t>OPS</t>
        </is>
      </c>
      <c r="C2574" s="5" t="n">
        <v>46252</v>
      </c>
      <c r="D2574" t="inlineStr">
        <is>
          <t>Lyrebird Plan Management</t>
        </is>
      </c>
      <c r="E2574" t="inlineStr">
        <is>
          <t>INV/2026/02573</t>
        </is>
      </c>
      <c r="F2574" t="inlineStr">
        <is>
          <t>Customer payment INV/2026/02573</t>
        </is>
      </c>
      <c r="G2574" s="9" t="n">
        <v>242.49</v>
      </c>
      <c r="H2574" t="inlineStr">
        <is>
          <t>customer_payment</t>
        </is>
      </c>
      <c r="I2574" t="inlineStr"/>
      <c r="J2574" t="inlineStr">
        <is>
          <t>G00313</t>
        </is>
      </c>
      <c r="K2574" t="str">
        <f>INDEX('Match Groups'!$D$5:$D$1326,MATCH(J2574,'Match Groups'!$A$5:$A$1326,0))</f>
        <v>MATCH</v>
      </c>
    </row>
    <row r="2575">
      <c r="A2575" t="inlineStr">
        <is>
          <t>JI-00942</t>
        </is>
      </c>
      <c r="B2575" t="inlineStr">
        <is>
          <t>OPS</t>
        </is>
      </c>
      <c r="C2575" s="5" t="n">
        <v>46252</v>
      </c>
      <c r="D2575" t="inlineStr">
        <is>
          <t>Lyrebird Plan Management</t>
        </is>
      </c>
      <c r="E2575" t="inlineStr">
        <is>
          <t>INV/2026/02601</t>
        </is>
      </c>
      <c r="F2575" t="inlineStr">
        <is>
          <t>Customer payment INV/2026/02601</t>
        </is>
      </c>
      <c r="G2575" s="9" t="n">
        <v>242.49</v>
      </c>
      <c r="H2575" t="inlineStr">
        <is>
          <t>customer_payment</t>
        </is>
      </c>
      <c r="I2575" t="inlineStr"/>
      <c r="J2575" t="inlineStr">
        <is>
          <t>G00313</t>
        </is>
      </c>
      <c r="K2575" t="str">
        <f>INDEX('Match Groups'!$D$5:$D$1326,MATCH(J2575,'Match Groups'!$A$5:$A$1326,0))</f>
        <v>MATCH</v>
      </c>
    </row>
    <row r="2576">
      <c r="A2576" t="inlineStr">
        <is>
          <t>JI-00943</t>
        </is>
      </c>
      <c r="B2576" t="inlineStr">
        <is>
          <t>OPS</t>
        </is>
      </c>
      <c r="C2576" s="5" t="n">
        <v>46252</v>
      </c>
      <c r="D2576" t="inlineStr">
        <is>
          <t>Lyrebird Plan Management</t>
        </is>
      </c>
      <c r="E2576" t="inlineStr">
        <is>
          <t>INV/2026/02626</t>
        </is>
      </c>
      <c r="F2576" t="inlineStr">
        <is>
          <t>Customer payment INV/2026/02626</t>
        </is>
      </c>
      <c r="G2576" s="9" t="n">
        <v>203.69</v>
      </c>
      <c r="H2576" t="inlineStr">
        <is>
          <t>customer_payment</t>
        </is>
      </c>
      <c r="I2576" t="inlineStr"/>
      <c r="J2576" t="inlineStr">
        <is>
          <t>G00313</t>
        </is>
      </c>
      <c r="K2576" t="str">
        <f>INDEX('Match Groups'!$D$5:$D$1326,MATCH(J2576,'Match Groups'!$A$5:$A$1326,0))</f>
        <v>MATCH</v>
      </c>
    </row>
    <row r="2577">
      <c r="A2577" t="inlineStr">
        <is>
          <t>JI-00944</t>
        </is>
      </c>
      <c r="B2577" t="inlineStr">
        <is>
          <t>OPS</t>
        </is>
      </c>
      <c r="C2577" s="5" t="n">
        <v>46252</v>
      </c>
      <c r="D2577" t="inlineStr">
        <is>
          <t>Lyrebird Plan Management</t>
        </is>
      </c>
      <c r="E2577" t="inlineStr">
        <is>
          <t>INV/2026/02645</t>
        </is>
      </c>
      <c r="F2577" t="inlineStr">
        <is>
          <t>Customer payment INV/2026/02645</t>
        </is>
      </c>
      <c r="G2577" s="9" t="n">
        <v>126.99</v>
      </c>
      <c r="H2577" t="inlineStr">
        <is>
          <t>customer_payment</t>
        </is>
      </c>
      <c r="I2577" t="inlineStr"/>
      <c r="J2577" t="inlineStr">
        <is>
          <t>G00313</t>
        </is>
      </c>
      <c r="K2577" t="str">
        <f>INDEX('Match Groups'!$D$5:$D$1326,MATCH(J2577,'Match Groups'!$A$5:$A$1326,0))</f>
        <v>MATCH</v>
      </c>
    </row>
    <row r="2578">
      <c r="A2578" t="inlineStr">
        <is>
          <t>JI-00945</t>
        </is>
      </c>
      <c r="B2578" t="inlineStr">
        <is>
          <t>OPS</t>
        </is>
      </c>
      <c r="C2578" s="5" t="n">
        <v>46252</v>
      </c>
      <c r="D2578" t="inlineStr">
        <is>
          <t>Lyrebird Plan Management</t>
        </is>
      </c>
      <c r="E2578" t="inlineStr">
        <is>
          <t>INV/2026/02646</t>
        </is>
      </c>
      <c r="F2578" t="inlineStr">
        <is>
          <t>Customer payment INV/2026/02646</t>
        </is>
      </c>
      <c r="G2578" s="9" t="n">
        <v>320.98</v>
      </c>
      <c r="H2578" t="inlineStr">
        <is>
          <t>customer_payment</t>
        </is>
      </c>
      <c r="I2578" t="inlineStr"/>
      <c r="J2578" t="inlineStr">
        <is>
          <t>G00313</t>
        </is>
      </c>
      <c r="K2578" t="str">
        <f>INDEX('Match Groups'!$D$5:$D$1326,MATCH(J2578,'Match Groups'!$A$5:$A$1326,0))</f>
        <v>MATCH</v>
      </c>
    </row>
    <row r="2579">
      <c r="A2579" t="inlineStr">
        <is>
          <t>JI-00946</t>
        </is>
      </c>
      <c r="B2579" t="inlineStr">
        <is>
          <t>OPS</t>
        </is>
      </c>
      <c r="C2579" s="5" t="n">
        <v>46252</v>
      </c>
      <c r="D2579" t="inlineStr">
        <is>
          <t>Tallowwood Plans</t>
        </is>
      </c>
      <c r="E2579" t="inlineStr">
        <is>
          <t>INV/2026/02628</t>
        </is>
      </c>
      <c r="F2579" t="inlineStr">
        <is>
          <t>Customer payment INV/2026/02628</t>
        </is>
      </c>
      <c r="G2579" s="9" t="n">
        <v>145.49</v>
      </c>
      <c r="H2579" t="inlineStr">
        <is>
          <t>customer_payment</t>
        </is>
      </c>
      <c r="I2579" t="inlineStr"/>
      <c r="J2579" t="inlineStr">
        <is>
          <t>G00314</t>
        </is>
      </c>
      <c r="K2579" t="str">
        <f>INDEX('Match Groups'!$D$5:$D$1326,MATCH(J2579,'Match Groups'!$A$5:$A$1326,0))</f>
        <v>MATCH</v>
      </c>
    </row>
    <row r="2580">
      <c r="A2580" t="inlineStr">
        <is>
          <t>JI-00947</t>
        </is>
      </c>
      <c r="B2580" t="inlineStr">
        <is>
          <t>OPS</t>
        </is>
      </c>
      <c r="C2580" s="5" t="n">
        <v>46252</v>
      </c>
      <c r="D2580" t="inlineStr">
        <is>
          <t>Tallowwood Plans</t>
        </is>
      </c>
      <c r="E2580" t="inlineStr">
        <is>
          <t>INV/2026/02629</t>
        </is>
      </c>
      <c r="F2580" t="inlineStr">
        <is>
          <t>Customer payment INV/2026/02629</t>
        </is>
      </c>
      <c r="G2580" s="9" t="n">
        <v>290.98</v>
      </c>
      <c r="H2580" t="inlineStr">
        <is>
          <t>customer_payment</t>
        </is>
      </c>
      <c r="I2580" t="inlineStr"/>
      <c r="J2580" t="inlineStr">
        <is>
          <t>G00314</t>
        </is>
      </c>
      <c r="K2580" t="str">
        <f>INDEX('Match Groups'!$D$5:$D$1326,MATCH(J2580,'Match Groups'!$A$5:$A$1326,0))</f>
        <v>MATCH</v>
      </c>
    </row>
    <row r="2581">
      <c r="A2581" t="inlineStr">
        <is>
          <t>JI-00948</t>
        </is>
      </c>
      <c r="B2581" t="inlineStr">
        <is>
          <t>OPS</t>
        </is>
      </c>
      <c r="C2581" s="5" t="n">
        <v>46252</v>
      </c>
      <c r="D2581" t="inlineStr">
        <is>
          <t>Tallowwood Plans</t>
        </is>
      </c>
      <c r="E2581" t="inlineStr">
        <is>
          <t>INV/2026/02647</t>
        </is>
      </c>
      <c r="F2581" t="inlineStr">
        <is>
          <t>Customer payment INV/2026/02647</t>
        </is>
      </c>
      <c r="G2581" s="9" t="n">
        <v>193.99</v>
      </c>
      <c r="H2581" t="inlineStr">
        <is>
          <t>customer_payment</t>
        </is>
      </c>
      <c r="I2581" t="inlineStr"/>
      <c r="J2581" t="inlineStr">
        <is>
          <t>G00314</t>
        </is>
      </c>
      <c r="K2581" t="str">
        <f>INDEX('Match Groups'!$D$5:$D$1326,MATCH(J2581,'Match Groups'!$A$5:$A$1326,0))</f>
        <v>MATCH</v>
      </c>
    </row>
    <row r="2582">
      <c r="A2582" t="inlineStr">
        <is>
          <t>JI-00949</t>
        </is>
      </c>
      <c r="B2582" t="inlineStr">
        <is>
          <t>OPS</t>
        </is>
      </c>
      <c r="C2582" s="5" t="n">
        <v>46252</v>
      </c>
      <c r="D2582" t="inlineStr">
        <is>
          <t>Tallowwood Plans</t>
        </is>
      </c>
      <c r="E2582" t="inlineStr">
        <is>
          <t>INV/2026/02648</t>
        </is>
      </c>
      <c r="F2582" t="inlineStr">
        <is>
          <t>Customer payment INV/2026/02648</t>
        </is>
      </c>
      <c r="G2582" s="9" t="n">
        <v>193.99</v>
      </c>
      <c r="H2582" t="inlineStr">
        <is>
          <t>customer_payment</t>
        </is>
      </c>
      <c r="I2582" t="inlineStr"/>
      <c r="J2582" t="inlineStr">
        <is>
          <t>G00314</t>
        </is>
      </c>
      <c r="K2582" t="str">
        <f>INDEX('Match Groups'!$D$5:$D$1326,MATCH(J2582,'Match Groups'!$A$5:$A$1326,0))</f>
        <v>MATCH</v>
      </c>
    </row>
    <row r="2583">
      <c r="A2583" t="inlineStr">
        <is>
          <t>JI-00950</t>
        </is>
      </c>
      <c r="B2583" t="inlineStr">
        <is>
          <t>OPS</t>
        </is>
      </c>
      <c r="C2583" s="5" t="n">
        <v>46252</v>
      </c>
      <c r="D2583" t="inlineStr">
        <is>
          <t>Tallowwood Plans</t>
        </is>
      </c>
      <c r="E2583" t="inlineStr">
        <is>
          <t>INV/2026/02649</t>
        </is>
      </c>
      <c r="F2583" t="inlineStr">
        <is>
          <t>Customer payment INV/2026/02649</t>
        </is>
      </c>
      <c r="G2583" s="9" t="n">
        <v>145.49</v>
      </c>
      <c r="H2583" t="inlineStr">
        <is>
          <t>customer_payment</t>
        </is>
      </c>
      <c r="I2583" t="inlineStr"/>
      <c r="J2583" t="inlineStr">
        <is>
          <t>G00314</t>
        </is>
      </c>
      <c r="K2583" t="str">
        <f>INDEX('Match Groups'!$D$5:$D$1326,MATCH(J2583,'Match Groups'!$A$5:$A$1326,0))</f>
        <v>MATCH</v>
      </c>
    </row>
    <row r="2584">
      <c r="A2584" t="inlineStr">
        <is>
          <t>JI-00951</t>
        </is>
      </c>
      <c r="B2584" t="inlineStr">
        <is>
          <t>OPS</t>
        </is>
      </c>
      <c r="C2584" s="5" t="n">
        <v>46252</v>
      </c>
      <c r="D2584" t="inlineStr">
        <is>
          <t>Tallowwood Plans</t>
        </is>
      </c>
      <c r="E2584" t="inlineStr">
        <is>
          <t>INV/2026/02678</t>
        </is>
      </c>
      <c r="F2584" t="inlineStr">
        <is>
          <t>Customer payment INV/2026/02678</t>
        </is>
      </c>
      <c r="G2584" s="9" t="n">
        <v>145.49</v>
      </c>
      <c r="H2584" t="inlineStr">
        <is>
          <t>customer_payment</t>
        </is>
      </c>
      <c r="I2584" t="inlineStr"/>
      <c r="J2584" t="inlineStr">
        <is>
          <t>G00314</t>
        </is>
      </c>
      <c r="K2584" t="str">
        <f>INDEX('Match Groups'!$D$5:$D$1326,MATCH(J2584,'Match Groups'!$A$5:$A$1326,0))</f>
        <v>MATCH</v>
      </c>
    </row>
    <row r="2585">
      <c r="A2585" t="inlineStr">
        <is>
          <t>JI-00952</t>
        </is>
      </c>
      <c r="B2585" t="inlineStr">
        <is>
          <t>OPS</t>
        </is>
      </c>
      <c r="C2585" s="5" t="n">
        <v>46252</v>
      </c>
      <c r="D2585" t="inlineStr">
        <is>
          <t>Acacia Plan Partners</t>
        </is>
      </c>
      <c r="E2585" t="inlineStr">
        <is>
          <t>INV/2026/02576</t>
        </is>
      </c>
      <c r="F2585" t="inlineStr">
        <is>
          <t>Customer payment INV/2026/02576</t>
        </is>
      </c>
      <c r="G2585" s="9" t="n">
        <v>145.49</v>
      </c>
      <c r="H2585" t="inlineStr">
        <is>
          <t>customer_payment</t>
        </is>
      </c>
      <c r="I2585" t="inlineStr"/>
      <c r="J2585" t="inlineStr">
        <is>
          <t>G00315</t>
        </is>
      </c>
      <c r="K2585" t="str">
        <f>INDEX('Match Groups'!$D$5:$D$1326,MATCH(J2585,'Match Groups'!$A$5:$A$1326,0))</f>
        <v>MATCH</v>
      </c>
    </row>
    <row r="2586">
      <c r="A2586" t="inlineStr">
        <is>
          <t>JI-00953</t>
        </is>
      </c>
      <c r="B2586" t="inlineStr">
        <is>
          <t>OPS</t>
        </is>
      </c>
      <c r="C2586" s="5" t="n">
        <v>46252</v>
      </c>
      <c r="D2586" t="inlineStr">
        <is>
          <t>Acacia Plan Partners</t>
        </is>
      </c>
      <c r="E2586" t="inlineStr">
        <is>
          <t>INV/2026/02606</t>
        </is>
      </c>
      <c r="F2586" t="inlineStr">
        <is>
          <t>Customer payment INV/2026/02606</t>
        </is>
      </c>
      <c r="G2586" s="9" t="n">
        <v>446.18</v>
      </c>
      <c r="H2586" t="inlineStr">
        <is>
          <t>customer_payment</t>
        </is>
      </c>
      <c r="I2586" t="inlineStr"/>
      <c r="J2586" t="inlineStr">
        <is>
          <t>G00315</t>
        </is>
      </c>
      <c r="K2586" t="str">
        <f>INDEX('Match Groups'!$D$5:$D$1326,MATCH(J2586,'Match Groups'!$A$5:$A$1326,0))</f>
        <v>MATCH</v>
      </c>
    </row>
    <row r="2587">
      <c r="A2587" t="inlineStr">
        <is>
          <t>JI-00954</t>
        </is>
      </c>
      <c r="B2587" t="inlineStr">
        <is>
          <t>OPS</t>
        </is>
      </c>
      <c r="C2587" s="5" t="n">
        <v>46252</v>
      </c>
      <c r="D2587" t="inlineStr">
        <is>
          <t>Acacia Plan Partners</t>
        </is>
      </c>
      <c r="E2587" t="inlineStr">
        <is>
          <t>INV/2026/02650</t>
        </is>
      </c>
      <c r="F2587" t="inlineStr">
        <is>
          <t>Customer payment INV/2026/02650</t>
        </is>
      </c>
      <c r="G2587" s="9" t="n">
        <v>145.49</v>
      </c>
      <c r="H2587" t="inlineStr">
        <is>
          <t>customer_payment</t>
        </is>
      </c>
      <c r="I2587" t="inlineStr"/>
      <c r="J2587" t="inlineStr">
        <is>
          <t>G00315</t>
        </is>
      </c>
      <c r="K2587" t="str">
        <f>INDEX('Match Groups'!$D$5:$D$1326,MATCH(J2587,'Match Groups'!$A$5:$A$1326,0))</f>
        <v>MATCH</v>
      </c>
    </row>
    <row r="2588">
      <c r="A2588" t="inlineStr">
        <is>
          <t>JI-00980</t>
        </is>
      </c>
      <c r="B2588" t="inlineStr">
        <is>
          <t>OPS</t>
        </is>
      </c>
      <c r="C2588" s="5" t="n">
        <v>46252</v>
      </c>
      <c r="D2588" t="inlineStr">
        <is>
          <t>Mallee Plan Services</t>
        </is>
      </c>
      <c r="E2588" t="inlineStr">
        <is>
          <t>INV/2026/02577</t>
        </is>
      </c>
      <c r="F2588" t="inlineStr">
        <is>
          <t>Customer payment INV/2026/02577</t>
        </is>
      </c>
      <c r="G2588" s="9" t="n">
        <v>446.18</v>
      </c>
      <c r="H2588" t="inlineStr">
        <is>
          <t>customer_payment</t>
        </is>
      </c>
      <c r="I2588" t="inlineStr"/>
      <c r="J2588" t="inlineStr">
        <is>
          <t>G00321</t>
        </is>
      </c>
      <c r="K2588" t="str">
        <f>INDEX('Match Groups'!$D$5:$D$1326,MATCH(J2588,'Match Groups'!$A$5:$A$1326,0))</f>
        <v>MATCH</v>
      </c>
    </row>
    <row r="2589">
      <c r="A2589" t="inlineStr">
        <is>
          <t>JI-00981</t>
        </is>
      </c>
      <c r="B2589" t="inlineStr">
        <is>
          <t>OPS</t>
        </is>
      </c>
      <c r="C2589" s="5" t="n">
        <v>46252</v>
      </c>
      <c r="D2589" t="inlineStr">
        <is>
          <t>Mallee Plan Services</t>
        </is>
      </c>
      <c r="E2589" t="inlineStr">
        <is>
          <t>INV/2026/02578</t>
        </is>
      </c>
      <c r="F2589" t="inlineStr">
        <is>
          <t>Customer payment INV/2026/02578</t>
        </is>
      </c>
      <c r="G2589" s="9" t="n">
        <v>175.49</v>
      </c>
      <c r="H2589" t="inlineStr">
        <is>
          <t>customer_payment</t>
        </is>
      </c>
      <c r="I2589" t="inlineStr"/>
      <c r="J2589" t="inlineStr">
        <is>
          <t>G00321</t>
        </is>
      </c>
      <c r="K2589" t="str">
        <f>INDEX('Match Groups'!$D$5:$D$1326,MATCH(J2589,'Match Groups'!$A$5:$A$1326,0))</f>
        <v>MATCH</v>
      </c>
    </row>
    <row r="2590">
      <c r="A2590" t="inlineStr">
        <is>
          <t>JI-00982</t>
        </is>
      </c>
      <c r="B2590" t="inlineStr">
        <is>
          <t>OPS</t>
        </is>
      </c>
      <c r="C2590" s="5" t="n">
        <v>46252</v>
      </c>
      <c r="D2590" t="inlineStr">
        <is>
          <t>Mallee Plan Services</t>
        </is>
      </c>
      <c r="E2590" t="inlineStr">
        <is>
          <t>INV/2026/02579</t>
        </is>
      </c>
      <c r="F2590" t="inlineStr">
        <is>
          <t>Customer payment INV/2026/02579</t>
        </is>
      </c>
      <c r="G2590" s="9" t="n">
        <v>242.49</v>
      </c>
      <c r="H2590" t="inlineStr">
        <is>
          <t>customer_payment</t>
        </is>
      </c>
      <c r="I2590" t="inlineStr"/>
      <c r="J2590" t="inlineStr">
        <is>
          <t>G00321</t>
        </is>
      </c>
      <c r="K2590" t="str">
        <f>INDEX('Match Groups'!$D$5:$D$1326,MATCH(J2590,'Match Groups'!$A$5:$A$1326,0))</f>
        <v>MATCH</v>
      </c>
    </row>
    <row r="2591">
      <c r="A2591" t="inlineStr">
        <is>
          <t>JI-00983</t>
        </is>
      </c>
      <c r="B2591" t="inlineStr">
        <is>
          <t>OPS</t>
        </is>
      </c>
      <c r="C2591" s="5" t="n">
        <v>46252</v>
      </c>
      <c r="D2591" t="inlineStr">
        <is>
          <t>Mallee Plan Services</t>
        </is>
      </c>
      <c r="E2591" t="inlineStr">
        <is>
          <t>INV/2026/02608</t>
        </is>
      </c>
      <c r="F2591" t="inlineStr">
        <is>
          <t>Customer payment INV/2026/02608</t>
        </is>
      </c>
      <c r="G2591" s="9" t="n">
        <v>387.98</v>
      </c>
      <c r="H2591" t="inlineStr">
        <is>
          <t>customer_payment</t>
        </is>
      </c>
      <c r="I2591" t="inlineStr"/>
      <c r="J2591" t="inlineStr">
        <is>
          <t>G00321</t>
        </is>
      </c>
      <c r="K2591" t="str">
        <f>INDEX('Match Groups'!$D$5:$D$1326,MATCH(J2591,'Match Groups'!$A$5:$A$1326,0))</f>
        <v>MATCH</v>
      </c>
    </row>
    <row r="2592">
      <c r="A2592" t="inlineStr">
        <is>
          <t>JI-01638</t>
        </is>
      </c>
      <c r="B2592" t="inlineStr">
        <is>
          <t>OPS</t>
        </is>
      </c>
      <c r="C2592" s="5" t="n">
        <v>46252</v>
      </c>
      <c r="D2592" t="inlineStr">
        <is>
          <t>Northline Injury Claims</t>
        </is>
      </c>
      <c r="E2592" t="inlineStr">
        <is>
          <t>INV/2026/02534</t>
        </is>
      </c>
      <c r="F2592" t="inlineStr">
        <is>
          <t>Customer payment INV/2026/02534</t>
        </is>
      </c>
      <c r="G2592" s="9" t="n">
        <v>88</v>
      </c>
      <c r="H2592" t="inlineStr">
        <is>
          <t>customer_payment</t>
        </is>
      </c>
      <c r="I2592" t="inlineStr"/>
      <c r="J2592" t="inlineStr">
        <is>
          <t>G01009</t>
        </is>
      </c>
      <c r="K2592" t="str">
        <f>INDEX('Match Groups'!$D$5:$D$1326,MATCH(J2592,'Match Groups'!$A$5:$A$1326,0))</f>
        <v>MATCH</v>
      </c>
    </row>
    <row r="2593">
      <c r="A2593" t="inlineStr">
        <is>
          <t>JI-01668</t>
        </is>
      </c>
      <c r="B2593" t="inlineStr">
        <is>
          <t>OPS</t>
        </is>
      </c>
      <c r="C2593" s="5" t="n">
        <v>46252</v>
      </c>
      <c r="D2593" t="inlineStr">
        <is>
          <t>Ostrander Manufacturing</t>
        </is>
      </c>
      <c r="E2593" t="inlineStr">
        <is>
          <t>INV/2026/03472</t>
        </is>
      </c>
      <c r="F2593" t="inlineStr">
        <is>
          <t>Customer payment INV/2026/03472</t>
        </is>
      </c>
      <c r="G2593" s="9" t="n">
        <v>6902.5</v>
      </c>
      <c r="H2593" t="inlineStr">
        <is>
          <t>customer_payment</t>
        </is>
      </c>
      <c r="I2593" t="inlineStr"/>
      <c r="J2593" t="inlineStr">
        <is>
          <t>G01010</t>
        </is>
      </c>
      <c r="K2593" t="str">
        <f>INDEX('Match Groups'!$D$5:$D$1326,MATCH(J2593,'Match Groups'!$A$5:$A$1326,0))</f>
        <v>MATCH</v>
      </c>
    </row>
    <row r="2594">
      <c r="A2594" t="inlineStr">
        <is>
          <t>JI-01685</t>
        </is>
      </c>
      <c r="B2594" t="inlineStr">
        <is>
          <t>OPS</t>
        </is>
      </c>
      <c r="C2594" s="5" t="n">
        <v>46252</v>
      </c>
      <c r="D2594" t="inlineStr">
        <is>
          <t>Quillon Engineering</t>
        </is>
      </c>
      <c r="E2594" t="inlineStr">
        <is>
          <t>INV/2026/03477</t>
        </is>
      </c>
      <c r="F2594" t="inlineStr">
        <is>
          <t>Customer payment INV/2026/03477</t>
        </is>
      </c>
      <c r="G2594" s="9" t="n">
        <v>6971.25</v>
      </c>
      <c r="H2594" t="inlineStr">
        <is>
          <t>customer_payment</t>
        </is>
      </c>
      <c r="I2594" t="inlineStr"/>
      <c r="J2594" t="inlineStr">
        <is>
          <t>G01011</t>
        </is>
      </c>
      <c r="K2594" t="str">
        <f>INDEX('Match Groups'!$D$5:$D$1326,MATCH(J2594,'Match Groups'!$A$5:$A$1326,0))</f>
        <v>MATCH</v>
      </c>
    </row>
    <row r="2595">
      <c r="A2595" t="inlineStr">
        <is>
          <t>JI-02806</t>
        </is>
      </c>
      <c r="B2595" t="inlineStr">
        <is>
          <t>OPS</t>
        </is>
      </c>
      <c r="C2595" s="5" t="n">
        <v>46252</v>
      </c>
      <c r="D2595" t="inlineStr">
        <is>
          <t>Stripe patient 47650</t>
        </is>
      </c>
      <c r="E2595" t="inlineStr">
        <is>
          <t>INV/2026/04651</t>
        </is>
      </c>
      <c r="F2595" t="inlineStr">
        <is>
          <t>Customer payment INV/2026/04651</t>
        </is>
      </c>
      <c r="G2595" s="9" t="n">
        <v>110</v>
      </c>
      <c r="H2595" t="inlineStr">
        <is>
          <t>customer_payment</t>
        </is>
      </c>
      <c r="I2595" t="inlineStr"/>
      <c r="J2595" t="inlineStr">
        <is>
          <t>G00050</t>
        </is>
      </c>
      <c r="K2595" t="str">
        <f>INDEX('Match Groups'!$D$5:$D$1326,MATCH(J2595,'Match Groups'!$A$5:$A$1326,0))</f>
        <v>STRIPE-FEE</v>
      </c>
    </row>
    <row r="2596">
      <c r="A2596" t="inlineStr">
        <is>
          <t>JI-02807</t>
        </is>
      </c>
      <c r="B2596" t="inlineStr">
        <is>
          <t>OPS</t>
        </is>
      </c>
      <c r="C2596" s="5" t="n">
        <v>46252</v>
      </c>
      <c r="D2596" t="inlineStr">
        <is>
          <t>Stripe patient 32642</t>
        </is>
      </c>
      <c r="E2596" t="inlineStr">
        <is>
          <t>INV/2026/04652</t>
        </is>
      </c>
      <c r="F2596" t="inlineStr">
        <is>
          <t>Customer payment INV/2026/04652</t>
        </is>
      </c>
      <c r="G2596" s="9" t="n">
        <v>220</v>
      </c>
      <c r="H2596" t="inlineStr">
        <is>
          <t>customer_payment</t>
        </is>
      </c>
      <c r="I2596" t="inlineStr"/>
      <c r="J2596" t="inlineStr">
        <is>
          <t>G00050</t>
        </is>
      </c>
      <c r="K2596" t="str">
        <f>INDEX('Match Groups'!$D$5:$D$1326,MATCH(J2596,'Match Groups'!$A$5:$A$1326,0))</f>
        <v>STRIPE-FEE</v>
      </c>
    </row>
    <row r="2597">
      <c r="A2597" t="inlineStr">
        <is>
          <t>JI-02808</t>
        </is>
      </c>
      <c r="B2597" t="inlineStr">
        <is>
          <t>OPS</t>
        </is>
      </c>
      <c r="C2597" s="5" t="n">
        <v>46252</v>
      </c>
      <c r="D2597" t="inlineStr">
        <is>
          <t>Stripe patient 75203</t>
        </is>
      </c>
      <c r="E2597" t="inlineStr">
        <is>
          <t>INV/2026/04653</t>
        </is>
      </c>
      <c r="F2597" t="inlineStr">
        <is>
          <t>Customer payment INV/2026/04653</t>
        </is>
      </c>
      <c r="G2597" s="9" t="n">
        <v>180</v>
      </c>
      <c r="H2597" t="inlineStr">
        <is>
          <t>customer_payment</t>
        </is>
      </c>
      <c r="I2597" t="inlineStr"/>
      <c r="J2597" t="inlineStr">
        <is>
          <t>G00050</t>
        </is>
      </c>
      <c r="K2597" t="str">
        <f>INDEX('Match Groups'!$D$5:$D$1326,MATCH(J2597,'Match Groups'!$A$5:$A$1326,0))</f>
        <v>STRIPE-FEE</v>
      </c>
    </row>
    <row r="2598">
      <c r="A2598" t="inlineStr">
        <is>
          <t>JI-02809</t>
        </is>
      </c>
      <c r="B2598" t="inlineStr">
        <is>
          <t>OPS</t>
        </is>
      </c>
      <c r="C2598" s="5" t="n">
        <v>46252</v>
      </c>
      <c r="D2598" t="inlineStr">
        <is>
          <t>Stripe patient 29136</t>
        </is>
      </c>
      <c r="E2598" t="inlineStr">
        <is>
          <t>INV/2026/04654</t>
        </is>
      </c>
      <c r="F2598" t="inlineStr">
        <is>
          <t>Customer payment INV/2026/04654</t>
        </is>
      </c>
      <c r="G2598" s="9" t="n">
        <v>220</v>
      </c>
      <c r="H2598" t="inlineStr">
        <is>
          <t>customer_payment</t>
        </is>
      </c>
      <c r="I2598" t="inlineStr"/>
      <c r="J2598" t="inlineStr">
        <is>
          <t>G00050</t>
        </is>
      </c>
      <c r="K2598" t="str">
        <f>INDEX('Match Groups'!$D$5:$D$1326,MATCH(J2598,'Match Groups'!$A$5:$A$1326,0))</f>
        <v>STRIPE-FEE</v>
      </c>
    </row>
    <row r="2599">
      <c r="A2599" t="inlineStr">
        <is>
          <t>JI-02810</t>
        </is>
      </c>
      <c r="B2599" t="inlineStr">
        <is>
          <t>OPS</t>
        </is>
      </c>
      <c r="C2599" s="5" t="n">
        <v>46252</v>
      </c>
      <c r="D2599" t="inlineStr">
        <is>
          <t>Stripe patient 77127</t>
        </is>
      </c>
      <c r="E2599" t="inlineStr">
        <is>
          <t>INV/2026/04655</t>
        </is>
      </c>
      <c r="F2599" t="inlineStr">
        <is>
          <t>Customer payment INV/2026/04655</t>
        </is>
      </c>
      <c r="G2599" s="9" t="n">
        <v>180</v>
      </c>
      <c r="H2599" t="inlineStr">
        <is>
          <t>customer_payment</t>
        </is>
      </c>
      <c r="I2599" t="inlineStr"/>
      <c r="J2599" t="inlineStr">
        <is>
          <t>G00050</t>
        </is>
      </c>
      <c r="K2599" t="str">
        <f>INDEX('Match Groups'!$D$5:$D$1326,MATCH(J2599,'Match Groups'!$A$5:$A$1326,0))</f>
        <v>STRIPE-FEE</v>
      </c>
    </row>
    <row r="2600">
      <c r="A2600" t="inlineStr">
        <is>
          <t>JI-02811</t>
        </is>
      </c>
      <c r="B2600" t="inlineStr">
        <is>
          <t>OPS</t>
        </is>
      </c>
      <c r="C2600" s="5" t="n">
        <v>46252</v>
      </c>
      <c r="D2600" t="inlineStr">
        <is>
          <t>Stripe patient 43352</t>
        </is>
      </c>
      <c r="E2600" t="inlineStr">
        <is>
          <t>INV/2026/04656</t>
        </is>
      </c>
      <c r="F2600" t="inlineStr">
        <is>
          <t>Customer payment INV/2026/04656</t>
        </is>
      </c>
      <c r="G2600" s="9" t="n">
        <v>95</v>
      </c>
      <c r="H2600" t="inlineStr">
        <is>
          <t>customer_payment</t>
        </is>
      </c>
      <c r="I2600" t="inlineStr"/>
      <c r="J2600" t="inlineStr">
        <is>
          <t>G00050</t>
        </is>
      </c>
      <c r="K2600" t="str">
        <f>INDEX('Match Groups'!$D$5:$D$1326,MATCH(J2600,'Match Groups'!$A$5:$A$1326,0))</f>
        <v>STRIPE-FEE</v>
      </c>
    </row>
    <row r="2601">
      <c r="A2601" t="inlineStr">
        <is>
          <t>JI-02812</t>
        </is>
      </c>
      <c r="B2601" t="inlineStr">
        <is>
          <t>OPS</t>
        </is>
      </c>
      <c r="C2601" s="5" t="n">
        <v>46252</v>
      </c>
      <c r="D2601" t="inlineStr">
        <is>
          <t>Stripe patient 41343</t>
        </is>
      </c>
      <c r="E2601" t="inlineStr">
        <is>
          <t>INV/2026/04657</t>
        </is>
      </c>
      <c r="F2601" t="inlineStr">
        <is>
          <t>Customer payment INV/2026/04657</t>
        </is>
      </c>
      <c r="G2601" s="9" t="n">
        <v>120</v>
      </c>
      <c r="H2601" t="inlineStr">
        <is>
          <t>customer_payment</t>
        </is>
      </c>
      <c r="I2601" t="inlineStr"/>
      <c r="J2601" t="inlineStr">
        <is>
          <t>G00050</t>
        </is>
      </c>
      <c r="K2601" t="str">
        <f>INDEX('Match Groups'!$D$5:$D$1326,MATCH(J2601,'Match Groups'!$A$5:$A$1326,0))</f>
        <v>STRIPE-FEE</v>
      </c>
    </row>
    <row r="2602">
      <c r="A2602" t="inlineStr">
        <is>
          <t>JI-02813</t>
        </is>
      </c>
      <c r="B2602" t="inlineStr">
        <is>
          <t>OPS</t>
        </is>
      </c>
      <c r="C2602" s="5" t="n">
        <v>46252</v>
      </c>
      <c r="D2602" t="inlineStr">
        <is>
          <t>Stripe patient 68578</t>
        </is>
      </c>
      <c r="E2602" t="inlineStr">
        <is>
          <t>INV/2026/04658</t>
        </is>
      </c>
      <c r="F2602" t="inlineStr">
        <is>
          <t>Customer payment INV/2026/04658</t>
        </is>
      </c>
      <c r="G2602" s="9" t="n">
        <v>150</v>
      </c>
      <c r="H2602" t="inlineStr">
        <is>
          <t>customer_payment</t>
        </is>
      </c>
      <c r="I2602" t="inlineStr"/>
      <c r="J2602" t="inlineStr">
        <is>
          <t>G00050</t>
        </is>
      </c>
      <c r="K2602" t="str">
        <f>INDEX('Match Groups'!$D$5:$D$1326,MATCH(J2602,'Match Groups'!$A$5:$A$1326,0))</f>
        <v>STRIPE-FEE</v>
      </c>
    </row>
    <row r="2603">
      <c r="A2603" t="inlineStr">
        <is>
          <t>JI-02814</t>
        </is>
      </c>
      <c r="B2603" t="inlineStr">
        <is>
          <t>OPS</t>
        </is>
      </c>
      <c r="C2603" s="5" t="n">
        <v>46252</v>
      </c>
      <c r="D2603" t="inlineStr">
        <is>
          <t>Stripe patient 94421</t>
        </is>
      </c>
      <c r="E2603" t="inlineStr">
        <is>
          <t>INV/2026/04659</t>
        </is>
      </c>
      <c r="F2603" t="inlineStr">
        <is>
          <t>Customer payment INV/2026/04659</t>
        </is>
      </c>
      <c r="G2603" s="9" t="n">
        <v>120</v>
      </c>
      <c r="H2603" t="inlineStr">
        <is>
          <t>customer_payment</t>
        </is>
      </c>
      <c r="I2603" t="inlineStr"/>
      <c r="J2603" t="inlineStr">
        <is>
          <t>G00050</t>
        </is>
      </c>
      <c r="K2603" t="str">
        <f>INDEX('Match Groups'!$D$5:$D$1326,MATCH(J2603,'Match Groups'!$A$5:$A$1326,0))</f>
        <v>STRIPE-FEE</v>
      </c>
    </row>
    <row r="2604">
      <c r="A2604" t="inlineStr">
        <is>
          <t>JI-02815</t>
        </is>
      </c>
      <c r="B2604" t="inlineStr">
        <is>
          <t>OPS</t>
        </is>
      </c>
      <c r="C2604" s="5" t="n">
        <v>46252</v>
      </c>
      <c r="D2604" t="inlineStr">
        <is>
          <t>Stripe patient 98953</t>
        </is>
      </c>
      <c r="E2604" t="inlineStr">
        <is>
          <t>INV/2026/04660</t>
        </is>
      </c>
      <c r="F2604" t="inlineStr">
        <is>
          <t>Customer payment INV/2026/04660</t>
        </is>
      </c>
      <c r="G2604" s="9" t="n">
        <v>120</v>
      </c>
      <c r="H2604" t="inlineStr">
        <is>
          <t>customer_payment</t>
        </is>
      </c>
      <c r="I2604" t="inlineStr"/>
      <c r="J2604" t="inlineStr">
        <is>
          <t>G00050</t>
        </is>
      </c>
      <c r="K2604" t="str">
        <f>INDEX('Match Groups'!$D$5:$D$1326,MATCH(J2604,'Match Groups'!$A$5:$A$1326,0))</f>
        <v>STRIPE-FEE</v>
      </c>
    </row>
    <row r="2605">
      <c r="A2605" t="inlineStr">
        <is>
          <t>JI-02816</t>
        </is>
      </c>
      <c r="B2605" t="inlineStr">
        <is>
          <t>OPS</t>
        </is>
      </c>
      <c r="C2605" s="5" t="n">
        <v>46252</v>
      </c>
      <c r="D2605" t="inlineStr">
        <is>
          <t>Stripe patient 50431</t>
        </is>
      </c>
      <c r="E2605" t="inlineStr">
        <is>
          <t>INV/2026/04661</t>
        </is>
      </c>
      <c r="F2605" t="inlineStr">
        <is>
          <t>Customer payment INV/2026/04661</t>
        </is>
      </c>
      <c r="G2605" s="9" t="n">
        <v>95</v>
      </c>
      <c r="H2605" t="inlineStr">
        <is>
          <t>customer_payment</t>
        </is>
      </c>
      <c r="I2605" t="inlineStr"/>
      <c r="J2605" t="inlineStr">
        <is>
          <t>G00050</t>
        </is>
      </c>
      <c r="K2605" t="str">
        <f>INDEX('Match Groups'!$D$5:$D$1326,MATCH(J2605,'Match Groups'!$A$5:$A$1326,0))</f>
        <v>STRIPE-FEE</v>
      </c>
    </row>
    <row r="2606">
      <c r="A2606" t="inlineStr">
        <is>
          <t>JI-02817</t>
        </is>
      </c>
      <c r="B2606" t="inlineStr">
        <is>
          <t>OPS</t>
        </is>
      </c>
      <c r="C2606" s="5" t="n">
        <v>46252</v>
      </c>
      <c r="D2606" t="inlineStr">
        <is>
          <t>Stripe patient 42344</t>
        </is>
      </c>
      <c r="E2606" t="inlineStr">
        <is>
          <t>INV/2026/04662</t>
        </is>
      </c>
      <c r="F2606" t="inlineStr">
        <is>
          <t>Customer payment INV/2026/04662</t>
        </is>
      </c>
      <c r="G2606" s="9" t="n">
        <v>85</v>
      </c>
      <c r="H2606" t="inlineStr">
        <is>
          <t>customer_payment</t>
        </is>
      </c>
      <c r="I2606" t="inlineStr"/>
      <c r="J2606" t="inlineStr">
        <is>
          <t>G00050</t>
        </is>
      </c>
      <c r="K2606" t="str">
        <f>INDEX('Match Groups'!$D$5:$D$1326,MATCH(J2606,'Match Groups'!$A$5:$A$1326,0))</f>
        <v>STRIPE-FEE</v>
      </c>
    </row>
    <row r="2607">
      <c r="A2607" t="inlineStr">
        <is>
          <t>JI-02818</t>
        </is>
      </c>
      <c r="B2607" t="inlineStr">
        <is>
          <t>OPS</t>
        </is>
      </c>
      <c r="C2607" s="5" t="n">
        <v>46252</v>
      </c>
      <c r="D2607" t="inlineStr">
        <is>
          <t>Stripe patient 36685</t>
        </is>
      </c>
      <c r="E2607" t="inlineStr">
        <is>
          <t>INV/2026/04663</t>
        </is>
      </c>
      <c r="F2607" t="inlineStr">
        <is>
          <t>Customer payment INV/2026/04663</t>
        </is>
      </c>
      <c r="G2607" s="9" t="n">
        <v>220</v>
      </c>
      <c r="H2607" t="inlineStr">
        <is>
          <t>customer_payment</t>
        </is>
      </c>
      <c r="I2607" t="inlineStr"/>
      <c r="J2607" t="inlineStr">
        <is>
          <t>G00050</t>
        </is>
      </c>
      <c r="K2607" t="str">
        <f>INDEX('Match Groups'!$D$5:$D$1326,MATCH(J2607,'Match Groups'!$A$5:$A$1326,0))</f>
        <v>STRIPE-FEE</v>
      </c>
    </row>
    <row r="2608">
      <c r="A2608" t="inlineStr">
        <is>
          <t>JI-02819</t>
        </is>
      </c>
      <c r="B2608" t="inlineStr">
        <is>
          <t>OPS</t>
        </is>
      </c>
      <c r="C2608" s="5" t="n">
        <v>46252</v>
      </c>
      <c r="D2608" t="inlineStr">
        <is>
          <t>Stripe patient 13573</t>
        </is>
      </c>
      <c r="E2608" t="inlineStr">
        <is>
          <t>INV/2026/04664</t>
        </is>
      </c>
      <c r="F2608" t="inlineStr">
        <is>
          <t>Customer payment INV/2026/04664</t>
        </is>
      </c>
      <c r="G2608" s="9" t="n">
        <v>85</v>
      </c>
      <c r="H2608" t="inlineStr">
        <is>
          <t>customer_payment</t>
        </is>
      </c>
      <c r="I2608" t="inlineStr"/>
      <c r="J2608" t="inlineStr">
        <is>
          <t>G00050</t>
        </is>
      </c>
      <c r="K2608" t="str">
        <f>INDEX('Match Groups'!$D$5:$D$1326,MATCH(J2608,'Match Groups'!$A$5:$A$1326,0))</f>
        <v>STRIPE-FEE</v>
      </c>
    </row>
    <row r="2609">
      <c r="A2609" t="inlineStr">
        <is>
          <t>JI-02820</t>
        </is>
      </c>
      <c r="B2609" t="inlineStr">
        <is>
          <t>OPS</t>
        </is>
      </c>
      <c r="C2609" s="5" t="n">
        <v>46252</v>
      </c>
      <c r="D2609" t="inlineStr">
        <is>
          <t>Stripe patient 46218</t>
        </is>
      </c>
      <c r="E2609" t="inlineStr">
        <is>
          <t>INV/2026/04665</t>
        </is>
      </c>
      <c r="F2609" t="inlineStr">
        <is>
          <t>Customer payment INV/2026/04665</t>
        </is>
      </c>
      <c r="G2609" s="9" t="n">
        <v>110</v>
      </c>
      <c r="H2609" t="inlineStr">
        <is>
          <t>customer_payment</t>
        </is>
      </c>
      <c r="I2609" t="inlineStr"/>
      <c r="J2609" t="inlineStr">
        <is>
          <t>G00050</t>
        </is>
      </c>
      <c r="K2609" t="str">
        <f>INDEX('Match Groups'!$D$5:$D$1326,MATCH(J2609,'Match Groups'!$A$5:$A$1326,0))</f>
        <v>STRIPE-FEE</v>
      </c>
    </row>
    <row r="2610">
      <c r="A2610" t="inlineStr">
        <is>
          <t>JI-02821</t>
        </is>
      </c>
      <c r="B2610" t="inlineStr">
        <is>
          <t>OPS</t>
        </is>
      </c>
      <c r="C2610" s="5" t="n">
        <v>46252</v>
      </c>
      <c r="D2610" t="inlineStr">
        <is>
          <t>Stripe patient 35506</t>
        </is>
      </c>
      <c r="E2610" t="inlineStr">
        <is>
          <t>INV/2026/04666</t>
        </is>
      </c>
      <c r="F2610" t="inlineStr">
        <is>
          <t>Customer payment INV/2026/04666</t>
        </is>
      </c>
      <c r="G2610" s="9" t="n">
        <v>95</v>
      </c>
      <c r="H2610" t="inlineStr">
        <is>
          <t>customer_payment</t>
        </is>
      </c>
      <c r="I2610" t="inlineStr"/>
      <c r="J2610" t="inlineStr">
        <is>
          <t>G00050</t>
        </is>
      </c>
      <c r="K2610" t="str">
        <f>INDEX('Match Groups'!$D$5:$D$1326,MATCH(J2610,'Match Groups'!$A$5:$A$1326,0))</f>
        <v>STRIPE-FEE</v>
      </c>
    </row>
    <row r="2611">
      <c r="A2611" t="inlineStr">
        <is>
          <t>JI-02822</t>
        </is>
      </c>
      <c r="B2611" t="inlineStr">
        <is>
          <t>OPS</t>
        </is>
      </c>
      <c r="C2611" s="5" t="n">
        <v>46252</v>
      </c>
      <c r="D2611" t="inlineStr">
        <is>
          <t>Stripe patient 97523</t>
        </is>
      </c>
      <c r="E2611" t="inlineStr">
        <is>
          <t>INV/2026/04667</t>
        </is>
      </c>
      <c r="F2611" t="inlineStr">
        <is>
          <t>Customer payment INV/2026/04667</t>
        </is>
      </c>
      <c r="G2611" s="9" t="n">
        <v>65</v>
      </c>
      <c r="H2611" t="inlineStr">
        <is>
          <t>customer_payment</t>
        </is>
      </c>
      <c r="I2611" t="inlineStr"/>
      <c r="J2611" t="inlineStr">
        <is>
          <t>G00050</t>
        </is>
      </c>
      <c r="K2611" t="str">
        <f>INDEX('Match Groups'!$D$5:$D$1326,MATCH(J2611,'Match Groups'!$A$5:$A$1326,0))</f>
        <v>STRIPE-FEE</v>
      </c>
    </row>
    <row r="2612">
      <c r="A2612" t="inlineStr">
        <is>
          <t>JI-02823</t>
        </is>
      </c>
      <c r="B2612" t="inlineStr">
        <is>
          <t>OPS</t>
        </is>
      </c>
      <c r="C2612" s="5" t="n">
        <v>46252</v>
      </c>
      <c r="D2612" t="inlineStr">
        <is>
          <t>Stripe patient 75589</t>
        </is>
      </c>
      <c r="E2612" t="inlineStr">
        <is>
          <t>INV/2026/04668</t>
        </is>
      </c>
      <c r="F2612" t="inlineStr">
        <is>
          <t>Customer payment INV/2026/04668</t>
        </is>
      </c>
      <c r="G2612" s="9" t="n">
        <v>110</v>
      </c>
      <c r="H2612" t="inlineStr">
        <is>
          <t>customer_payment</t>
        </is>
      </c>
      <c r="I2612" t="inlineStr"/>
      <c r="J2612" t="inlineStr">
        <is>
          <t>G00050</t>
        </is>
      </c>
      <c r="K2612" t="str">
        <f>INDEX('Match Groups'!$D$5:$D$1326,MATCH(J2612,'Match Groups'!$A$5:$A$1326,0))</f>
        <v>STRIPE-FEE</v>
      </c>
    </row>
    <row r="2613">
      <c r="A2613" t="inlineStr">
        <is>
          <t>JI-02824</t>
        </is>
      </c>
      <c r="B2613" t="inlineStr">
        <is>
          <t>OPS</t>
        </is>
      </c>
      <c r="C2613" s="5" t="n">
        <v>46252</v>
      </c>
      <c r="D2613" t="inlineStr">
        <is>
          <t>Stripe patient 45208</t>
        </is>
      </c>
      <c r="E2613" t="inlineStr">
        <is>
          <t>INV/2026/04669</t>
        </is>
      </c>
      <c r="F2613" t="inlineStr">
        <is>
          <t>Customer payment INV/2026/04669</t>
        </is>
      </c>
      <c r="G2613" s="9" t="n">
        <v>95</v>
      </c>
      <c r="H2613" t="inlineStr">
        <is>
          <t>customer_payment</t>
        </is>
      </c>
      <c r="I2613" t="inlineStr"/>
      <c r="J2613" t="inlineStr">
        <is>
          <t>G00050</t>
        </is>
      </c>
      <c r="K2613" t="str">
        <f>INDEX('Match Groups'!$D$5:$D$1326,MATCH(J2613,'Match Groups'!$A$5:$A$1326,0))</f>
        <v>STRIPE-FEE</v>
      </c>
    </row>
    <row r="2614">
      <c r="A2614" t="inlineStr">
        <is>
          <t>JI-02825</t>
        </is>
      </c>
      <c r="B2614" t="inlineStr">
        <is>
          <t>OPS</t>
        </is>
      </c>
      <c r="C2614" s="5" t="n">
        <v>46252</v>
      </c>
      <c r="D2614" t="inlineStr">
        <is>
          <t>Stripe patient 47347</t>
        </is>
      </c>
      <c r="E2614" t="inlineStr">
        <is>
          <t>INV/2026/04670</t>
        </is>
      </c>
      <c r="F2614" t="inlineStr">
        <is>
          <t>Customer payment INV/2026/04670</t>
        </is>
      </c>
      <c r="G2614" s="9" t="n">
        <v>180</v>
      </c>
      <c r="H2614" t="inlineStr">
        <is>
          <t>customer_payment</t>
        </is>
      </c>
      <c r="I2614" t="inlineStr"/>
      <c r="J2614" t="inlineStr">
        <is>
          <t>G00050</t>
        </is>
      </c>
      <c r="K2614" t="str">
        <f>INDEX('Match Groups'!$D$5:$D$1326,MATCH(J2614,'Match Groups'!$A$5:$A$1326,0))</f>
        <v>STRIPE-FEE</v>
      </c>
    </row>
    <row r="2615">
      <c r="A2615" t="inlineStr">
        <is>
          <t>JI-02826</t>
        </is>
      </c>
      <c r="B2615" t="inlineStr">
        <is>
          <t>OPS</t>
        </is>
      </c>
      <c r="C2615" s="5" t="n">
        <v>46252</v>
      </c>
      <c r="D2615" t="inlineStr">
        <is>
          <t>Stripe patient 77101</t>
        </is>
      </c>
      <c r="E2615" t="inlineStr">
        <is>
          <t>INV/2026/04671</t>
        </is>
      </c>
      <c r="F2615" t="inlineStr">
        <is>
          <t>Customer payment INV/2026/04671</t>
        </is>
      </c>
      <c r="G2615" s="9" t="n">
        <v>65</v>
      </c>
      <c r="H2615" t="inlineStr">
        <is>
          <t>customer_payment</t>
        </is>
      </c>
      <c r="I2615" t="inlineStr"/>
      <c r="J2615" t="inlineStr">
        <is>
          <t>G00050</t>
        </is>
      </c>
      <c r="K2615" t="str">
        <f>INDEX('Match Groups'!$D$5:$D$1326,MATCH(J2615,'Match Groups'!$A$5:$A$1326,0))</f>
        <v>STRIPE-FEE</v>
      </c>
    </row>
    <row r="2616">
      <c r="A2616" t="inlineStr">
        <is>
          <t>JI-02827</t>
        </is>
      </c>
      <c r="B2616" t="inlineStr">
        <is>
          <t>OPS</t>
        </is>
      </c>
      <c r="C2616" s="5" t="n">
        <v>46252</v>
      </c>
      <c r="D2616" t="inlineStr">
        <is>
          <t>Stripe patient 65626</t>
        </is>
      </c>
      <c r="E2616" t="inlineStr">
        <is>
          <t>INV/2026/04672</t>
        </is>
      </c>
      <c r="F2616" t="inlineStr">
        <is>
          <t>Customer payment INV/2026/04672</t>
        </is>
      </c>
      <c r="G2616" s="9" t="n">
        <v>110</v>
      </c>
      <c r="H2616" t="inlineStr">
        <is>
          <t>customer_payment</t>
        </is>
      </c>
      <c r="I2616" t="inlineStr"/>
      <c r="J2616" t="inlineStr">
        <is>
          <t>G00050</t>
        </is>
      </c>
      <c r="K2616" t="str">
        <f>INDEX('Match Groups'!$D$5:$D$1326,MATCH(J2616,'Match Groups'!$A$5:$A$1326,0))</f>
        <v>STRIPE-FEE</v>
      </c>
    </row>
    <row r="2617">
      <c r="A2617" t="inlineStr">
        <is>
          <t>JI-02828</t>
        </is>
      </c>
      <c r="B2617" t="inlineStr">
        <is>
          <t>OPS</t>
        </is>
      </c>
      <c r="C2617" s="5" t="n">
        <v>46252</v>
      </c>
      <c r="D2617" t="inlineStr">
        <is>
          <t>Stripe patient 46002</t>
        </is>
      </c>
      <c r="E2617" t="inlineStr">
        <is>
          <t>INV/2026/04673</t>
        </is>
      </c>
      <c r="F2617" t="inlineStr">
        <is>
          <t>Customer payment INV/2026/04673</t>
        </is>
      </c>
      <c r="G2617" s="9" t="n">
        <v>95</v>
      </c>
      <c r="H2617" t="inlineStr">
        <is>
          <t>customer_payment</t>
        </is>
      </c>
      <c r="I2617" t="inlineStr"/>
      <c r="J2617" t="inlineStr">
        <is>
          <t>G00050</t>
        </is>
      </c>
      <c r="K2617" t="str">
        <f>INDEX('Match Groups'!$D$5:$D$1326,MATCH(J2617,'Match Groups'!$A$5:$A$1326,0))</f>
        <v>STRIPE-FEE</v>
      </c>
    </row>
    <row r="2618">
      <c r="A2618" t="inlineStr">
        <is>
          <t>JI-02829</t>
        </is>
      </c>
      <c r="B2618" t="inlineStr">
        <is>
          <t>OPS</t>
        </is>
      </c>
      <c r="C2618" s="5" t="n">
        <v>46252</v>
      </c>
      <c r="D2618" t="inlineStr">
        <is>
          <t>Stripe patient 95548</t>
        </is>
      </c>
      <c r="E2618" t="inlineStr">
        <is>
          <t>INV/2026/04674</t>
        </is>
      </c>
      <c r="F2618" t="inlineStr">
        <is>
          <t>Customer payment INV/2026/04674</t>
        </is>
      </c>
      <c r="G2618" s="9" t="n">
        <v>110</v>
      </c>
      <c r="H2618" t="inlineStr">
        <is>
          <t>customer_payment</t>
        </is>
      </c>
      <c r="I2618" t="inlineStr"/>
      <c r="J2618" t="inlineStr">
        <is>
          <t>G00050</t>
        </is>
      </c>
      <c r="K2618" t="str">
        <f>INDEX('Match Groups'!$D$5:$D$1326,MATCH(J2618,'Match Groups'!$A$5:$A$1326,0))</f>
        <v>STRIPE-FEE</v>
      </c>
    </row>
    <row r="2619">
      <c r="A2619" t="inlineStr">
        <is>
          <t>JI-02830</t>
        </is>
      </c>
      <c r="B2619" t="inlineStr">
        <is>
          <t>OPS</t>
        </is>
      </c>
      <c r="C2619" s="5" t="n">
        <v>46252</v>
      </c>
      <c r="D2619" t="inlineStr">
        <is>
          <t>Stripe patient 81668</t>
        </is>
      </c>
      <c r="E2619" t="inlineStr">
        <is>
          <t>INV/2026/04675</t>
        </is>
      </c>
      <c r="F2619" t="inlineStr">
        <is>
          <t>Customer payment INV/2026/04675</t>
        </is>
      </c>
      <c r="G2619" s="9" t="n">
        <v>180</v>
      </c>
      <c r="H2619" t="inlineStr">
        <is>
          <t>customer_payment</t>
        </is>
      </c>
      <c r="I2619" t="inlineStr"/>
      <c r="J2619" t="inlineStr">
        <is>
          <t>G00050</t>
        </is>
      </c>
      <c r="K2619" t="str">
        <f>INDEX('Match Groups'!$D$5:$D$1326,MATCH(J2619,'Match Groups'!$A$5:$A$1326,0))</f>
        <v>STRIPE-FEE</v>
      </c>
    </row>
    <row r="2620">
      <c r="A2620" t="inlineStr">
        <is>
          <t>JI-02831</t>
        </is>
      </c>
      <c r="B2620" t="inlineStr">
        <is>
          <t>OPS</t>
        </is>
      </c>
      <c r="C2620" s="5" t="n">
        <v>46252</v>
      </c>
      <c r="D2620" t="inlineStr">
        <is>
          <t>Stripe patient 42145</t>
        </is>
      </c>
      <c r="E2620" t="inlineStr">
        <is>
          <t>INV/2026/04676</t>
        </is>
      </c>
      <c r="F2620" t="inlineStr">
        <is>
          <t>Customer payment INV/2026/04676</t>
        </is>
      </c>
      <c r="G2620" s="9" t="n">
        <v>120</v>
      </c>
      <c r="H2620" t="inlineStr">
        <is>
          <t>customer_payment</t>
        </is>
      </c>
      <c r="I2620" t="inlineStr"/>
      <c r="J2620" t="inlineStr">
        <is>
          <t>G00050</t>
        </is>
      </c>
      <c r="K2620" t="str">
        <f>INDEX('Match Groups'!$D$5:$D$1326,MATCH(J2620,'Match Groups'!$A$5:$A$1326,0))</f>
        <v>STRIPE-FEE</v>
      </c>
    </row>
    <row r="2621">
      <c r="A2621" t="inlineStr">
        <is>
          <t>JI-02832</t>
        </is>
      </c>
      <c r="B2621" t="inlineStr">
        <is>
          <t>OPS</t>
        </is>
      </c>
      <c r="C2621" s="5" t="n">
        <v>46252</v>
      </c>
      <c r="D2621" t="inlineStr">
        <is>
          <t>Stripe patient 81703</t>
        </is>
      </c>
      <c r="E2621" t="inlineStr">
        <is>
          <t>INV/2026/04677</t>
        </is>
      </c>
      <c r="F2621" t="inlineStr">
        <is>
          <t>Customer payment INV/2026/04677</t>
        </is>
      </c>
      <c r="G2621" s="9" t="n">
        <v>120</v>
      </c>
      <c r="H2621" t="inlineStr">
        <is>
          <t>customer_payment</t>
        </is>
      </c>
      <c r="I2621" t="inlineStr"/>
      <c r="J2621" t="inlineStr">
        <is>
          <t>G00050</t>
        </is>
      </c>
      <c r="K2621" t="str">
        <f>INDEX('Match Groups'!$D$5:$D$1326,MATCH(J2621,'Match Groups'!$A$5:$A$1326,0))</f>
        <v>STRIPE-FEE</v>
      </c>
    </row>
    <row r="2622">
      <c r="A2622" t="inlineStr">
        <is>
          <t>JI-02833</t>
        </is>
      </c>
      <c r="B2622" t="inlineStr">
        <is>
          <t>OPS</t>
        </is>
      </c>
      <c r="C2622" s="5" t="n">
        <v>46252</v>
      </c>
      <c r="D2622" t="inlineStr">
        <is>
          <t>Stripe patient 53946</t>
        </is>
      </c>
      <c r="E2622" t="inlineStr">
        <is>
          <t>INV/2026/04678</t>
        </is>
      </c>
      <c r="F2622" t="inlineStr">
        <is>
          <t>Customer payment INV/2026/04678</t>
        </is>
      </c>
      <c r="G2622" s="9" t="n">
        <v>65</v>
      </c>
      <c r="H2622" t="inlineStr">
        <is>
          <t>customer_payment</t>
        </is>
      </c>
      <c r="I2622" t="inlineStr"/>
      <c r="J2622" t="inlineStr">
        <is>
          <t>G00050</t>
        </is>
      </c>
      <c r="K2622" t="str">
        <f>INDEX('Match Groups'!$D$5:$D$1326,MATCH(J2622,'Match Groups'!$A$5:$A$1326,0))</f>
        <v>STRIPE-FEE</v>
      </c>
    </row>
    <row r="2623">
      <c r="A2623" t="inlineStr">
        <is>
          <t>JI-02834</t>
        </is>
      </c>
      <c r="B2623" t="inlineStr">
        <is>
          <t>OPS</t>
        </is>
      </c>
      <c r="C2623" s="5" t="n">
        <v>46252</v>
      </c>
      <c r="D2623" t="inlineStr">
        <is>
          <t>Stripe patient 44340</t>
        </is>
      </c>
      <c r="E2623" t="inlineStr">
        <is>
          <t>INV/2026/04679</t>
        </is>
      </c>
      <c r="F2623" t="inlineStr">
        <is>
          <t>Customer payment INV/2026/04679</t>
        </is>
      </c>
      <c r="G2623" s="9" t="n">
        <v>180</v>
      </c>
      <c r="H2623" t="inlineStr">
        <is>
          <t>customer_payment</t>
        </is>
      </c>
      <c r="I2623" t="inlineStr"/>
      <c r="J2623" t="inlineStr">
        <is>
          <t>G00050</t>
        </is>
      </c>
      <c r="K2623" t="str">
        <f>INDEX('Match Groups'!$D$5:$D$1326,MATCH(J2623,'Match Groups'!$A$5:$A$1326,0))</f>
        <v>STRIPE-FEE</v>
      </c>
    </row>
    <row r="2624">
      <c r="A2624" t="inlineStr">
        <is>
          <t>JI-02835</t>
        </is>
      </c>
      <c r="B2624" t="inlineStr">
        <is>
          <t>OPS</t>
        </is>
      </c>
      <c r="C2624" s="5" t="n">
        <v>46252</v>
      </c>
      <c r="D2624" t="inlineStr">
        <is>
          <t>Stripe patient 34013</t>
        </is>
      </c>
      <c r="E2624" t="inlineStr">
        <is>
          <t>INV/2026/04680</t>
        </is>
      </c>
      <c r="F2624" t="inlineStr">
        <is>
          <t>Customer payment INV/2026/04680</t>
        </is>
      </c>
      <c r="G2624" s="9" t="n">
        <v>85</v>
      </c>
      <c r="H2624" t="inlineStr">
        <is>
          <t>customer_payment</t>
        </is>
      </c>
      <c r="I2624" t="inlineStr"/>
      <c r="J2624" t="inlineStr">
        <is>
          <t>G00050</t>
        </is>
      </c>
      <c r="K2624" t="str">
        <f>INDEX('Match Groups'!$D$5:$D$1326,MATCH(J2624,'Match Groups'!$A$5:$A$1326,0))</f>
        <v>STRIPE-FEE</v>
      </c>
    </row>
    <row r="2625">
      <c r="A2625" t="inlineStr">
        <is>
          <t>JI-02836</t>
        </is>
      </c>
      <c r="B2625" t="inlineStr">
        <is>
          <t>OPS</t>
        </is>
      </c>
      <c r="C2625" s="5" t="n">
        <v>46252</v>
      </c>
      <c r="D2625" t="inlineStr">
        <is>
          <t>Stripe patient 18296</t>
        </is>
      </c>
      <c r="E2625" t="inlineStr">
        <is>
          <t>INV/2026/04681</t>
        </is>
      </c>
      <c r="F2625" t="inlineStr">
        <is>
          <t>Customer payment INV/2026/04681</t>
        </is>
      </c>
      <c r="G2625" s="9" t="n">
        <v>220</v>
      </c>
      <c r="H2625" t="inlineStr">
        <is>
          <t>customer_payment</t>
        </is>
      </c>
      <c r="I2625" t="inlineStr"/>
      <c r="J2625" t="inlineStr">
        <is>
          <t>G00050</t>
        </is>
      </c>
      <c r="K2625" t="str">
        <f>INDEX('Match Groups'!$D$5:$D$1326,MATCH(J2625,'Match Groups'!$A$5:$A$1326,0))</f>
        <v>STRIPE-FEE</v>
      </c>
    </row>
    <row r="2626">
      <c r="A2626" t="inlineStr">
        <is>
          <t>JI-03926</t>
        </is>
      </c>
      <c r="B2626" t="inlineStr">
        <is>
          <t>OPS</t>
        </is>
      </c>
      <c r="C2626" s="5" t="n">
        <v>46252</v>
      </c>
      <c r="D2626" t="inlineStr">
        <is>
          <t>Bayside Cleaning Co</t>
        </is>
      </c>
      <c r="E2626" t="inlineStr">
        <is>
          <t>CHQ 000408</t>
        </is>
      </c>
      <c r="F2626" t="inlineStr">
        <is>
          <t>Cheque 000408 Bayside Cleaning Co</t>
        </is>
      </c>
      <c r="G2626" s="9" t="n">
        <v>-132</v>
      </c>
      <c r="H2626" t="inlineStr">
        <is>
          <t>supplier_payment</t>
        </is>
      </c>
      <c r="I2626" t="inlineStr"/>
      <c r="J2626" t="inlineStr">
        <is>
          <t>G00535</t>
        </is>
      </c>
      <c r="K2626" t="str">
        <f>INDEX('Match Groups'!$D$5:$D$1326,MATCH(J2626,'Match Groups'!$A$5:$A$1326,0))</f>
        <v>MATCH</v>
      </c>
    </row>
    <row r="2627">
      <c r="A2627" t="inlineStr">
        <is>
          <t>JI-00955</t>
        </is>
      </c>
      <c r="B2627" t="inlineStr">
        <is>
          <t>OPS</t>
        </is>
      </c>
      <c r="C2627" s="5" t="n">
        <v>46253</v>
      </c>
      <c r="D2627" t="inlineStr">
        <is>
          <t>Bluegum Plan Management</t>
        </is>
      </c>
      <c r="E2627" t="inlineStr">
        <is>
          <t>INV/2026/02561</t>
        </is>
      </c>
      <c r="F2627" t="inlineStr">
        <is>
          <t>Customer payment INV/2026/02561</t>
        </is>
      </c>
      <c r="G2627" s="9" t="n">
        <v>96.98999999999999</v>
      </c>
      <c r="H2627" t="inlineStr">
        <is>
          <t>customer_payment</t>
        </is>
      </c>
      <c r="I2627" t="inlineStr"/>
      <c r="J2627" t="inlineStr">
        <is>
          <t>G00316</t>
        </is>
      </c>
      <c r="K2627" t="str">
        <f>INDEX('Match Groups'!$D$5:$D$1326,MATCH(J2627,'Match Groups'!$A$5:$A$1326,0))</f>
        <v>MATCH</v>
      </c>
    </row>
    <row r="2628">
      <c r="A2628" t="inlineStr">
        <is>
          <t>JI-00956</t>
        </is>
      </c>
      <c r="B2628" t="inlineStr">
        <is>
          <t>OPS</t>
        </is>
      </c>
      <c r="C2628" s="5" t="n">
        <v>46253</v>
      </c>
      <c r="D2628" t="inlineStr">
        <is>
          <t>Bluegum Plan Management</t>
        </is>
      </c>
      <c r="E2628" t="inlineStr">
        <is>
          <t>INV/2026/02562</t>
        </is>
      </c>
      <c r="F2628" t="inlineStr">
        <is>
          <t>Customer payment INV/2026/02562</t>
        </is>
      </c>
      <c r="G2628" s="9" t="n">
        <v>193.99</v>
      </c>
      <c r="H2628" t="inlineStr">
        <is>
          <t>customer_payment</t>
        </is>
      </c>
      <c r="I2628" t="inlineStr"/>
      <c r="J2628" t="inlineStr">
        <is>
          <t>G00316</t>
        </is>
      </c>
      <c r="K2628" t="str">
        <f>INDEX('Match Groups'!$D$5:$D$1326,MATCH(J2628,'Match Groups'!$A$5:$A$1326,0))</f>
        <v>MATCH</v>
      </c>
    </row>
    <row r="2629">
      <c r="A2629" t="inlineStr">
        <is>
          <t>JI-00957</t>
        </is>
      </c>
      <c r="B2629" t="inlineStr">
        <is>
          <t>OPS</t>
        </is>
      </c>
      <c r="C2629" s="5" t="n">
        <v>46253</v>
      </c>
      <c r="D2629" t="inlineStr">
        <is>
          <t>Bluegum Plan Management</t>
        </is>
      </c>
      <c r="E2629" t="inlineStr">
        <is>
          <t>INV/2026/02611</t>
        </is>
      </c>
      <c r="F2629" t="inlineStr">
        <is>
          <t>Customer payment INV/2026/02611</t>
        </is>
      </c>
      <c r="G2629" s="9" t="n">
        <v>417.98</v>
      </c>
      <c r="H2629" t="inlineStr">
        <is>
          <t>customer_payment</t>
        </is>
      </c>
      <c r="I2629" t="inlineStr"/>
      <c r="J2629" t="inlineStr">
        <is>
          <t>G00316</t>
        </is>
      </c>
      <c r="K2629" t="str">
        <f>INDEX('Match Groups'!$D$5:$D$1326,MATCH(J2629,'Match Groups'!$A$5:$A$1326,0))</f>
        <v>MATCH</v>
      </c>
    </row>
    <row r="2630">
      <c r="A2630" t="inlineStr">
        <is>
          <t>JI-00958</t>
        </is>
      </c>
      <c r="B2630" t="inlineStr">
        <is>
          <t>OPS</t>
        </is>
      </c>
      <c r="C2630" s="5" t="n">
        <v>46253</v>
      </c>
      <c r="D2630" t="inlineStr">
        <is>
          <t>Bluegum Plan Management</t>
        </is>
      </c>
      <c r="E2630" t="inlineStr">
        <is>
          <t>INV/2026/02658</t>
        </is>
      </c>
      <c r="F2630" t="inlineStr">
        <is>
          <t>Customer payment INV/2026/02658</t>
        </is>
      </c>
      <c r="G2630" s="9" t="n">
        <v>96.98999999999999</v>
      </c>
      <c r="H2630" t="inlineStr">
        <is>
          <t>customer_payment</t>
        </is>
      </c>
      <c r="I2630" t="inlineStr"/>
      <c r="J2630" t="inlineStr">
        <is>
          <t>G00316</t>
        </is>
      </c>
      <c r="K2630" t="str">
        <f>INDEX('Match Groups'!$D$5:$D$1326,MATCH(J2630,'Match Groups'!$A$5:$A$1326,0))</f>
        <v>MATCH</v>
      </c>
    </row>
    <row r="2631">
      <c r="A2631" t="inlineStr">
        <is>
          <t>JI-00959</t>
        </is>
      </c>
      <c r="B2631" t="inlineStr">
        <is>
          <t>OPS</t>
        </is>
      </c>
      <c r="C2631" s="5" t="n">
        <v>46253</v>
      </c>
      <c r="D2631" t="inlineStr">
        <is>
          <t>Riverbend Plan Partners</t>
        </is>
      </c>
      <c r="E2631" t="inlineStr">
        <is>
          <t>INV/2026/02582</t>
        </is>
      </c>
      <c r="F2631" t="inlineStr">
        <is>
          <t>Customer payment INV/2026/02582</t>
        </is>
      </c>
      <c r="G2631" s="9" t="n">
        <v>387.98</v>
      </c>
      <c r="H2631" t="inlineStr">
        <is>
          <t>customer_payment</t>
        </is>
      </c>
      <c r="I2631" t="inlineStr"/>
      <c r="J2631" t="inlineStr">
        <is>
          <t>G00317</t>
        </is>
      </c>
      <c r="K2631" t="str">
        <f>INDEX('Match Groups'!$D$5:$D$1326,MATCH(J2631,'Match Groups'!$A$5:$A$1326,0))</f>
        <v>MATCH</v>
      </c>
    </row>
    <row r="2632">
      <c r="A2632" t="inlineStr">
        <is>
          <t>JI-00960</t>
        </is>
      </c>
      <c r="B2632" t="inlineStr">
        <is>
          <t>OPS</t>
        </is>
      </c>
      <c r="C2632" s="5" t="n">
        <v>46253</v>
      </c>
      <c r="D2632" t="inlineStr">
        <is>
          <t>Riverbend Plan Partners</t>
        </is>
      </c>
      <c r="E2632" t="inlineStr">
        <is>
          <t>INV/2026/02660</t>
        </is>
      </c>
      <c r="F2632" t="inlineStr">
        <is>
          <t>Customer payment INV/2026/02660</t>
        </is>
      </c>
      <c r="G2632" s="9" t="n">
        <v>145.49</v>
      </c>
      <c r="H2632" t="inlineStr">
        <is>
          <t>customer_payment</t>
        </is>
      </c>
      <c r="I2632" t="inlineStr"/>
      <c r="J2632" t="inlineStr">
        <is>
          <t>G00317</t>
        </is>
      </c>
      <c r="K2632" t="str">
        <f>INDEX('Match Groups'!$D$5:$D$1326,MATCH(J2632,'Match Groups'!$A$5:$A$1326,0))</f>
        <v>MATCH</v>
      </c>
    </row>
    <row r="2633">
      <c r="A2633" t="inlineStr">
        <is>
          <t>JI-00961</t>
        </is>
      </c>
      <c r="B2633" t="inlineStr">
        <is>
          <t>OPS</t>
        </is>
      </c>
      <c r="C2633" s="5" t="n">
        <v>46253</v>
      </c>
      <c r="D2633" t="inlineStr">
        <is>
          <t>Riverbend Plan Partners</t>
        </is>
      </c>
      <c r="E2633" t="inlineStr">
        <is>
          <t>INV/2026/02661</t>
        </is>
      </c>
      <c r="F2633" t="inlineStr">
        <is>
          <t>Customer payment INV/2026/02661</t>
        </is>
      </c>
      <c r="G2633" s="9" t="n">
        <v>446.18</v>
      </c>
      <c r="H2633" t="inlineStr">
        <is>
          <t>customer_payment</t>
        </is>
      </c>
      <c r="I2633" t="inlineStr"/>
      <c r="J2633" t="inlineStr">
        <is>
          <t>G00317</t>
        </is>
      </c>
      <c r="K2633" t="str">
        <f>INDEX('Match Groups'!$D$5:$D$1326,MATCH(J2633,'Match Groups'!$A$5:$A$1326,0))</f>
        <v>MATCH</v>
      </c>
    </row>
    <row r="2634">
      <c r="A2634" t="inlineStr">
        <is>
          <t>JI-00962</t>
        </is>
      </c>
      <c r="B2634" t="inlineStr">
        <is>
          <t>OPS</t>
        </is>
      </c>
      <c r="C2634" s="5" t="n">
        <v>46253</v>
      </c>
      <c r="D2634" t="inlineStr">
        <is>
          <t>Banksia Plan Co</t>
        </is>
      </c>
      <c r="E2634" t="inlineStr">
        <is>
          <t>INV/2026/02566</t>
        </is>
      </c>
      <c r="F2634" t="inlineStr">
        <is>
          <t>Customer payment INV/2026/02566</t>
        </is>
      </c>
      <c r="G2634" s="9" t="n">
        <v>175.49</v>
      </c>
      <c r="H2634" t="inlineStr">
        <is>
          <t>customer_payment</t>
        </is>
      </c>
      <c r="I2634" t="inlineStr"/>
      <c r="J2634" t="inlineStr">
        <is>
          <t>G00318</t>
        </is>
      </c>
      <c r="K2634" t="str">
        <f>INDEX('Match Groups'!$D$5:$D$1326,MATCH(J2634,'Match Groups'!$A$5:$A$1326,0))</f>
        <v>MATCH</v>
      </c>
    </row>
    <row r="2635">
      <c r="A2635" t="inlineStr">
        <is>
          <t>JI-00963</t>
        </is>
      </c>
      <c r="B2635" t="inlineStr">
        <is>
          <t>OPS</t>
        </is>
      </c>
      <c r="C2635" s="5" t="n">
        <v>46253</v>
      </c>
      <c r="D2635" t="inlineStr">
        <is>
          <t>Banksia Plan Co</t>
        </is>
      </c>
      <c r="E2635" t="inlineStr">
        <is>
          <t>INV/2026/02589</t>
        </is>
      </c>
      <c r="F2635" t="inlineStr">
        <is>
          <t>Customer payment INV/2026/02589</t>
        </is>
      </c>
      <c r="G2635" s="9" t="n">
        <v>387.98</v>
      </c>
      <c r="H2635" t="inlineStr">
        <is>
          <t>customer_payment</t>
        </is>
      </c>
      <c r="I2635" t="inlineStr"/>
      <c r="J2635" t="inlineStr">
        <is>
          <t>G00318</t>
        </is>
      </c>
      <c r="K2635" t="str">
        <f>INDEX('Match Groups'!$D$5:$D$1326,MATCH(J2635,'Match Groups'!$A$5:$A$1326,0))</f>
        <v>MATCH</v>
      </c>
    </row>
    <row r="2636">
      <c r="A2636" t="inlineStr">
        <is>
          <t>JI-00964</t>
        </is>
      </c>
      <c r="B2636" t="inlineStr">
        <is>
          <t>OPS</t>
        </is>
      </c>
      <c r="C2636" s="5" t="n">
        <v>46253</v>
      </c>
      <c r="D2636" t="inlineStr">
        <is>
          <t>Banksia Plan Co</t>
        </is>
      </c>
      <c r="E2636" t="inlineStr">
        <is>
          <t>INV/2026/02615</t>
        </is>
      </c>
      <c r="F2636" t="inlineStr">
        <is>
          <t>Customer payment INV/2026/02615</t>
        </is>
      </c>
      <c r="G2636" s="9" t="n">
        <v>193.99</v>
      </c>
      <c r="H2636" t="inlineStr">
        <is>
          <t>customer_payment</t>
        </is>
      </c>
      <c r="I2636" t="inlineStr"/>
      <c r="J2636" t="inlineStr">
        <is>
          <t>G00318</t>
        </is>
      </c>
      <c r="K2636" t="str">
        <f>INDEX('Match Groups'!$D$5:$D$1326,MATCH(J2636,'Match Groups'!$A$5:$A$1326,0))</f>
        <v>MATCH</v>
      </c>
    </row>
    <row r="2637">
      <c r="A2637" t="inlineStr">
        <is>
          <t>JI-00965</t>
        </is>
      </c>
      <c r="B2637" t="inlineStr">
        <is>
          <t>OPS</t>
        </is>
      </c>
      <c r="C2637" s="5" t="n">
        <v>46253</v>
      </c>
      <c r="D2637" t="inlineStr">
        <is>
          <t>Banksia Plan Co</t>
        </is>
      </c>
      <c r="E2637" t="inlineStr">
        <is>
          <t>INV/2026/02616</t>
        </is>
      </c>
      <c r="F2637" t="inlineStr">
        <is>
          <t>Customer payment INV/2026/02616</t>
        </is>
      </c>
      <c r="G2637" s="9" t="n">
        <v>145.49</v>
      </c>
      <c r="H2637" t="inlineStr">
        <is>
          <t>customer_payment</t>
        </is>
      </c>
      <c r="I2637" t="inlineStr"/>
      <c r="J2637" t="inlineStr">
        <is>
          <t>G00318</t>
        </is>
      </c>
      <c r="K2637" t="str">
        <f>INDEX('Match Groups'!$D$5:$D$1326,MATCH(J2637,'Match Groups'!$A$5:$A$1326,0))</f>
        <v>MATCH</v>
      </c>
    </row>
    <row r="2638">
      <c r="A2638" t="inlineStr">
        <is>
          <t>JI-00966</t>
        </is>
      </c>
      <c r="B2638" t="inlineStr">
        <is>
          <t>OPS</t>
        </is>
      </c>
      <c r="C2638" s="5" t="n">
        <v>46253</v>
      </c>
      <c r="D2638" t="inlineStr">
        <is>
          <t>Banksia Plan Co</t>
        </is>
      </c>
      <c r="E2638" t="inlineStr">
        <is>
          <t>INV/2026/02638</t>
        </is>
      </c>
      <c r="F2638" t="inlineStr">
        <is>
          <t>Customer payment INV/2026/02638</t>
        </is>
      </c>
      <c r="G2638" s="9" t="n">
        <v>290.98</v>
      </c>
      <c r="H2638" t="inlineStr">
        <is>
          <t>customer_payment</t>
        </is>
      </c>
      <c r="I2638" t="inlineStr"/>
      <c r="J2638" t="inlineStr">
        <is>
          <t>G00318</t>
        </is>
      </c>
      <c r="K2638" t="str">
        <f>INDEX('Match Groups'!$D$5:$D$1326,MATCH(J2638,'Match Groups'!$A$5:$A$1326,0))</f>
        <v>MATCH</v>
      </c>
    </row>
    <row r="2639">
      <c r="A2639" t="inlineStr">
        <is>
          <t>JI-00967</t>
        </is>
      </c>
      <c r="B2639" t="inlineStr">
        <is>
          <t>OPS</t>
        </is>
      </c>
      <c r="C2639" s="5" t="n">
        <v>46253</v>
      </c>
      <c r="D2639" t="inlineStr">
        <is>
          <t>Banksia Plan Co</t>
        </is>
      </c>
      <c r="E2639" t="inlineStr">
        <is>
          <t>INV/2026/02667</t>
        </is>
      </c>
      <c r="F2639" t="inlineStr">
        <is>
          <t>Customer payment INV/2026/02667</t>
        </is>
      </c>
      <c r="G2639" s="9" t="n">
        <v>242.49</v>
      </c>
      <c r="H2639" t="inlineStr">
        <is>
          <t>customer_payment</t>
        </is>
      </c>
      <c r="I2639" t="inlineStr"/>
      <c r="J2639" t="inlineStr">
        <is>
          <t>G00318</t>
        </is>
      </c>
      <c r="K2639" t="str">
        <f>INDEX('Match Groups'!$D$5:$D$1326,MATCH(J2639,'Match Groups'!$A$5:$A$1326,0))</f>
        <v>MATCH</v>
      </c>
    </row>
    <row r="2640">
      <c r="A2640" t="inlineStr">
        <is>
          <t>JI-00968</t>
        </is>
      </c>
      <c r="B2640" t="inlineStr">
        <is>
          <t>OPS</t>
        </is>
      </c>
      <c r="C2640" s="5" t="n">
        <v>46253</v>
      </c>
      <c r="D2640" t="inlineStr">
        <is>
          <t>Banksia Plan Co</t>
        </is>
      </c>
      <c r="E2640" t="inlineStr">
        <is>
          <t>INV/2026/02668</t>
        </is>
      </c>
      <c r="F2640" t="inlineStr">
        <is>
          <t>Customer payment INV/2026/02668</t>
        </is>
      </c>
      <c r="G2640" s="9" t="n">
        <v>155.19</v>
      </c>
      <c r="H2640" t="inlineStr">
        <is>
          <t>customer_payment</t>
        </is>
      </c>
      <c r="I2640" t="inlineStr"/>
      <c r="J2640" t="inlineStr">
        <is>
          <t>G00318</t>
        </is>
      </c>
      <c r="K2640" t="str">
        <f>INDEX('Match Groups'!$D$5:$D$1326,MATCH(J2640,'Match Groups'!$A$5:$A$1326,0))</f>
        <v>MATCH</v>
      </c>
    </row>
    <row r="2641">
      <c r="A2641" t="inlineStr">
        <is>
          <t>JI-00969</t>
        </is>
      </c>
      <c r="B2641" t="inlineStr">
        <is>
          <t>OPS</t>
        </is>
      </c>
      <c r="C2641" s="5" t="n">
        <v>46253</v>
      </c>
      <c r="D2641" t="inlineStr">
        <is>
          <t>Banksia Plan Co</t>
        </is>
      </c>
      <c r="E2641" t="inlineStr">
        <is>
          <t>INV/2026/02669</t>
        </is>
      </c>
      <c r="F2641" t="inlineStr">
        <is>
          <t>Customer payment INV/2026/02669</t>
        </is>
      </c>
      <c r="G2641" s="9" t="n">
        <v>126.99</v>
      </c>
      <c r="H2641" t="inlineStr">
        <is>
          <t>customer_payment</t>
        </is>
      </c>
      <c r="I2641" t="inlineStr"/>
      <c r="J2641" t="inlineStr">
        <is>
          <t>G00318</t>
        </is>
      </c>
      <c r="K2641" t="str">
        <f>INDEX('Match Groups'!$D$5:$D$1326,MATCH(J2641,'Match Groups'!$A$5:$A$1326,0))</f>
        <v>MATCH</v>
      </c>
    </row>
    <row r="2642">
      <c r="A2642" t="inlineStr">
        <is>
          <t>JI-00970</t>
        </is>
      </c>
      <c r="B2642" t="inlineStr">
        <is>
          <t>OPS</t>
        </is>
      </c>
      <c r="C2642" s="5" t="n">
        <v>46253</v>
      </c>
      <c r="D2642" t="inlineStr">
        <is>
          <t>Kookaburra Plan Support</t>
        </is>
      </c>
      <c r="E2642" t="inlineStr">
        <is>
          <t>INV/2026/02548</t>
        </is>
      </c>
      <c r="F2642" t="inlineStr">
        <is>
          <t>Customer payment INV/2026/02548</t>
        </is>
      </c>
      <c r="G2642" s="9" t="n">
        <v>252.19</v>
      </c>
      <c r="H2642" t="inlineStr">
        <is>
          <t>customer_payment</t>
        </is>
      </c>
      <c r="I2642" t="inlineStr"/>
      <c r="J2642" t="inlineStr">
        <is>
          <t>G00319</t>
        </is>
      </c>
      <c r="K2642" t="str">
        <f>INDEX('Match Groups'!$D$5:$D$1326,MATCH(J2642,'Match Groups'!$A$5:$A$1326,0))</f>
        <v>MATCH</v>
      </c>
    </row>
    <row r="2643">
      <c r="A2643" t="inlineStr">
        <is>
          <t>JI-00971</t>
        </is>
      </c>
      <c r="B2643" t="inlineStr">
        <is>
          <t>OPS</t>
        </is>
      </c>
      <c r="C2643" s="5" t="n">
        <v>46253</v>
      </c>
      <c r="D2643" t="inlineStr">
        <is>
          <t>Kookaburra Plan Support</t>
        </is>
      </c>
      <c r="E2643" t="inlineStr">
        <is>
          <t>INV/2026/02567</t>
        </is>
      </c>
      <c r="F2643" t="inlineStr">
        <is>
          <t>Customer payment INV/2026/02567</t>
        </is>
      </c>
      <c r="G2643" s="9" t="n">
        <v>145.49</v>
      </c>
      <c r="H2643" t="inlineStr">
        <is>
          <t>customer_payment</t>
        </is>
      </c>
      <c r="I2643" t="inlineStr"/>
      <c r="J2643" t="inlineStr">
        <is>
          <t>G00319</t>
        </is>
      </c>
      <c r="K2643" t="str">
        <f>INDEX('Match Groups'!$D$5:$D$1326,MATCH(J2643,'Match Groups'!$A$5:$A$1326,0))</f>
        <v>MATCH</v>
      </c>
    </row>
    <row r="2644">
      <c r="A2644" t="inlineStr">
        <is>
          <t>JI-00972</t>
        </is>
      </c>
      <c r="B2644" t="inlineStr">
        <is>
          <t>OPS</t>
        </is>
      </c>
      <c r="C2644" s="5" t="n">
        <v>46253</v>
      </c>
      <c r="D2644" t="inlineStr">
        <is>
          <t>Kookaburra Plan Support</t>
        </is>
      </c>
      <c r="E2644" t="inlineStr">
        <is>
          <t>INV/2026/02593</t>
        </is>
      </c>
      <c r="F2644" t="inlineStr">
        <is>
          <t>Customer payment INV/2026/02593</t>
        </is>
      </c>
      <c r="G2644" s="9" t="n">
        <v>175.49</v>
      </c>
      <c r="H2644" t="inlineStr">
        <is>
          <t>customer_payment</t>
        </is>
      </c>
      <c r="I2644" t="inlineStr"/>
      <c r="J2644" t="inlineStr">
        <is>
          <t>G00319</t>
        </is>
      </c>
      <c r="K2644" t="str">
        <f>INDEX('Match Groups'!$D$5:$D$1326,MATCH(J2644,'Match Groups'!$A$5:$A$1326,0))</f>
        <v>MATCH</v>
      </c>
    </row>
    <row r="2645">
      <c r="A2645" t="inlineStr">
        <is>
          <t>JI-00973</t>
        </is>
      </c>
      <c r="B2645" t="inlineStr">
        <is>
          <t>OPS</t>
        </is>
      </c>
      <c r="C2645" s="5" t="n">
        <v>46253</v>
      </c>
      <c r="D2645" t="inlineStr">
        <is>
          <t>Redgum Plan Admin</t>
        </is>
      </c>
      <c r="E2645" t="inlineStr">
        <is>
          <t>INV/2026/02570</t>
        </is>
      </c>
      <c r="F2645" t="inlineStr">
        <is>
          <t>Customer payment INV/2026/02570</t>
        </is>
      </c>
      <c r="G2645" s="9" t="n">
        <v>96.98999999999999</v>
      </c>
      <c r="H2645" t="inlineStr">
        <is>
          <t>customer_payment</t>
        </is>
      </c>
      <c r="I2645" t="inlineStr"/>
      <c r="J2645" t="inlineStr">
        <is>
          <t>G00320</t>
        </is>
      </c>
      <c r="K2645" t="str">
        <f>INDEX('Match Groups'!$D$5:$D$1326,MATCH(J2645,'Match Groups'!$A$5:$A$1326,0))</f>
        <v>MATCH</v>
      </c>
    </row>
    <row r="2646">
      <c r="A2646" t="inlineStr">
        <is>
          <t>JI-00974</t>
        </is>
      </c>
      <c r="B2646" t="inlineStr">
        <is>
          <t>OPS</t>
        </is>
      </c>
      <c r="C2646" s="5" t="n">
        <v>46253</v>
      </c>
      <c r="D2646" t="inlineStr">
        <is>
          <t>Redgum Plan Admin</t>
        </is>
      </c>
      <c r="E2646" t="inlineStr">
        <is>
          <t>INV/2026/02596</t>
        </is>
      </c>
      <c r="F2646" t="inlineStr">
        <is>
          <t>Customer payment INV/2026/02596</t>
        </is>
      </c>
      <c r="G2646" s="9" t="n">
        <v>242.49</v>
      </c>
      <c r="H2646" t="inlineStr">
        <is>
          <t>customer_payment</t>
        </is>
      </c>
      <c r="I2646" t="inlineStr"/>
      <c r="J2646" t="inlineStr">
        <is>
          <t>G00320</t>
        </is>
      </c>
      <c r="K2646" t="str">
        <f>INDEX('Match Groups'!$D$5:$D$1326,MATCH(J2646,'Match Groups'!$A$5:$A$1326,0))</f>
        <v>MATCH</v>
      </c>
    </row>
    <row r="2647">
      <c r="A2647" t="inlineStr">
        <is>
          <t>JI-00975</t>
        </is>
      </c>
      <c r="B2647" t="inlineStr">
        <is>
          <t>OPS</t>
        </is>
      </c>
      <c r="C2647" s="5" t="n">
        <v>46253</v>
      </c>
      <c r="D2647" t="inlineStr">
        <is>
          <t>Redgum Plan Admin</t>
        </is>
      </c>
      <c r="E2647" t="inlineStr">
        <is>
          <t>INV/2026/02597</t>
        </is>
      </c>
      <c r="F2647" t="inlineStr">
        <is>
          <t>Customer payment INV/2026/02597</t>
        </is>
      </c>
      <c r="G2647" s="9" t="n">
        <v>193.99</v>
      </c>
      <c r="H2647" t="inlineStr">
        <is>
          <t>customer_payment</t>
        </is>
      </c>
      <c r="I2647" t="inlineStr"/>
      <c r="J2647" t="inlineStr">
        <is>
          <t>G00320</t>
        </is>
      </c>
      <c r="K2647" t="str">
        <f>INDEX('Match Groups'!$D$5:$D$1326,MATCH(J2647,'Match Groups'!$A$5:$A$1326,0))</f>
        <v>MATCH</v>
      </c>
    </row>
    <row r="2648">
      <c r="A2648" t="inlineStr">
        <is>
          <t>JI-00976</t>
        </is>
      </c>
      <c r="B2648" t="inlineStr">
        <is>
          <t>OPS</t>
        </is>
      </c>
      <c r="C2648" s="5" t="n">
        <v>46253</v>
      </c>
      <c r="D2648" t="inlineStr">
        <is>
          <t>Redgum Plan Admin</t>
        </is>
      </c>
      <c r="E2648" t="inlineStr">
        <is>
          <t>INV/2026/02621</t>
        </is>
      </c>
      <c r="F2648" t="inlineStr">
        <is>
          <t>Customer payment INV/2026/02621</t>
        </is>
      </c>
      <c r="G2648" s="9" t="n">
        <v>387.98</v>
      </c>
      <c r="H2648" t="inlineStr">
        <is>
          <t>customer_payment</t>
        </is>
      </c>
      <c r="I2648" t="inlineStr"/>
      <c r="J2648" t="inlineStr">
        <is>
          <t>G00320</t>
        </is>
      </c>
      <c r="K2648" t="str">
        <f>INDEX('Match Groups'!$D$5:$D$1326,MATCH(J2648,'Match Groups'!$A$5:$A$1326,0))</f>
        <v>MATCH</v>
      </c>
    </row>
    <row r="2649">
      <c r="A2649" t="inlineStr">
        <is>
          <t>JI-00977</t>
        </is>
      </c>
      <c r="B2649" t="inlineStr">
        <is>
          <t>OPS</t>
        </is>
      </c>
      <c r="C2649" s="5" t="n">
        <v>46253</v>
      </c>
      <c r="D2649" t="inlineStr">
        <is>
          <t>Redgum Plan Admin</t>
        </is>
      </c>
      <c r="E2649" t="inlineStr">
        <is>
          <t>INV/2026/02622</t>
        </is>
      </c>
      <c r="F2649" t="inlineStr">
        <is>
          <t>Customer payment INV/2026/02622</t>
        </is>
      </c>
      <c r="G2649" s="9" t="n">
        <v>252.19</v>
      </c>
      <c r="H2649" t="inlineStr">
        <is>
          <t>customer_payment</t>
        </is>
      </c>
      <c r="I2649" t="inlineStr"/>
      <c r="J2649" t="inlineStr">
        <is>
          <t>G00320</t>
        </is>
      </c>
      <c r="K2649" t="str">
        <f>INDEX('Match Groups'!$D$5:$D$1326,MATCH(J2649,'Match Groups'!$A$5:$A$1326,0))</f>
        <v>MATCH</v>
      </c>
    </row>
    <row r="2650">
      <c r="A2650" t="inlineStr">
        <is>
          <t>JI-00978</t>
        </is>
      </c>
      <c r="B2650" t="inlineStr">
        <is>
          <t>OPS</t>
        </is>
      </c>
      <c r="C2650" s="5" t="n">
        <v>46253</v>
      </c>
      <c r="D2650" t="inlineStr">
        <is>
          <t>Redgum Plan Admin</t>
        </is>
      </c>
      <c r="E2650" t="inlineStr">
        <is>
          <t>INV/2026/02674</t>
        </is>
      </c>
      <c r="F2650" t="inlineStr">
        <is>
          <t>Customer payment INV/2026/02674</t>
        </is>
      </c>
      <c r="G2650" s="9" t="n">
        <v>193.99</v>
      </c>
      <c r="H2650" t="inlineStr">
        <is>
          <t>customer_payment</t>
        </is>
      </c>
      <c r="I2650" t="inlineStr"/>
      <c r="J2650" t="inlineStr">
        <is>
          <t>G00320</t>
        </is>
      </c>
      <c r="K2650" t="str">
        <f>INDEX('Match Groups'!$D$5:$D$1326,MATCH(J2650,'Match Groups'!$A$5:$A$1326,0))</f>
        <v>MATCH</v>
      </c>
    </row>
    <row r="2651">
      <c r="A2651" t="inlineStr">
        <is>
          <t>JI-00979</t>
        </is>
      </c>
      <c r="B2651" t="inlineStr">
        <is>
          <t>OPS</t>
        </is>
      </c>
      <c r="C2651" s="5" t="n">
        <v>46253</v>
      </c>
      <c r="D2651" t="inlineStr">
        <is>
          <t>Redgum Plan Admin</t>
        </is>
      </c>
      <c r="E2651" t="inlineStr">
        <is>
          <t>INV/2026/02675</t>
        </is>
      </c>
      <c r="F2651" t="inlineStr">
        <is>
          <t>Customer payment INV/2026/02675</t>
        </is>
      </c>
      <c r="G2651" s="9" t="n">
        <v>387.98</v>
      </c>
      <c r="H2651" t="inlineStr">
        <is>
          <t>customer_payment</t>
        </is>
      </c>
      <c r="I2651" t="inlineStr"/>
      <c r="J2651" t="inlineStr">
        <is>
          <t>G00320</t>
        </is>
      </c>
      <c r="K2651" t="str">
        <f>INDEX('Match Groups'!$D$5:$D$1326,MATCH(J2651,'Match Groups'!$A$5:$A$1326,0))</f>
        <v>MATCH</v>
      </c>
    </row>
    <row r="2652">
      <c r="A2652" t="inlineStr">
        <is>
          <t>JI-01684</t>
        </is>
      </c>
      <c r="B2652" t="inlineStr">
        <is>
          <t>OPS</t>
        </is>
      </c>
      <c r="C2652" s="5" t="n">
        <v>46253</v>
      </c>
      <c r="D2652" t="inlineStr">
        <is>
          <t>Quillon Engineering</t>
        </is>
      </c>
      <c r="E2652" t="inlineStr">
        <is>
          <t>INV/2026/03478</t>
        </is>
      </c>
      <c r="F2652" t="inlineStr">
        <is>
          <t>Customer payment INV/2026/03478</t>
        </is>
      </c>
      <c r="G2652" s="9" t="n">
        <v>2186.25</v>
      </c>
      <c r="H2652" t="inlineStr">
        <is>
          <t>customer_payment</t>
        </is>
      </c>
      <c r="I2652" t="inlineStr"/>
      <c r="J2652" t="inlineStr">
        <is>
          <t>G01013</t>
        </is>
      </c>
      <c r="K2652" t="str">
        <f>INDEX('Match Groups'!$D$5:$D$1326,MATCH(J2652,'Match Groups'!$A$5:$A$1326,0))</f>
        <v>MATCH</v>
      </c>
    </row>
    <row r="2653">
      <c r="A2653" t="inlineStr">
        <is>
          <t>JI-02837</t>
        </is>
      </c>
      <c r="B2653" t="inlineStr">
        <is>
          <t>OPS</t>
        </is>
      </c>
      <c r="C2653" s="5" t="n">
        <v>46253</v>
      </c>
      <c r="D2653" t="inlineStr">
        <is>
          <t>Stripe patient 49291</t>
        </is>
      </c>
      <c r="E2653" t="inlineStr">
        <is>
          <t>INV/2026/04682</t>
        </is>
      </c>
      <c r="F2653" t="inlineStr">
        <is>
          <t>Customer payment INV/2026/04682</t>
        </is>
      </c>
      <c r="G2653" s="9" t="n">
        <v>95</v>
      </c>
      <c r="H2653" t="inlineStr">
        <is>
          <t>customer_payment</t>
        </is>
      </c>
      <c r="I2653" t="inlineStr"/>
      <c r="J2653" t="inlineStr">
        <is>
          <t>G00051</t>
        </is>
      </c>
      <c r="K2653" t="str">
        <f>INDEX('Match Groups'!$D$5:$D$1326,MATCH(J2653,'Match Groups'!$A$5:$A$1326,0))</f>
        <v>STRIPE-FEE</v>
      </c>
    </row>
    <row r="2654">
      <c r="A2654" t="inlineStr">
        <is>
          <t>JI-02838</t>
        </is>
      </c>
      <c r="B2654" t="inlineStr">
        <is>
          <t>OPS</t>
        </is>
      </c>
      <c r="C2654" s="5" t="n">
        <v>46253</v>
      </c>
      <c r="D2654" t="inlineStr">
        <is>
          <t>Stripe patient 65775</t>
        </is>
      </c>
      <c r="E2654" t="inlineStr">
        <is>
          <t>INV/2026/04683</t>
        </is>
      </c>
      <c r="F2654" t="inlineStr">
        <is>
          <t>Customer payment INV/2026/04683</t>
        </is>
      </c>
      <c r="G2654" s="9" t="n">
        <v>95</v>
      </c>
      <c r="H2654" t="inlineStr">
        <is>
          <t>customer_payment</t>
        </is>
      </c>
      <c r="I2654" t="inlineStr"/>
      <c r="J2654" t="inlineStr">
        <is>
          <t>G00051</t>
        </is>
      </c>
      <c r="K2654" t="str">
        <f>INDEX('Match Groups'!$D$5:$D$1326,MATCH(J2654,'Match Groups'!$A$5:$A$1326,0))</f>
        <v>STRIPE-FEE</v>
      </c>
    </row>
    <row r="2655">
      <c r="A2655" t="inlineStr">
        <is>
          <t>JI-02839</t>
        </is>
      </c>
      <c r="B2655" t="inlineStr">
        <is>
          <t>OPS</t>
        </is>
      </c>
      <c r="C2655" s="5" t="n">
        <v>46253</v>
      </c>
      <c r="D2655" t="inlineStr">
        <is>
          <t>Stripe patient 51903</t>
        </is>
      </c>
      <c r="E2655" t="inlineStr">
        <is>
          <t>INV/2026/04684</t>
        </is>
      </c>
      <c r="F2655" t="inlineStr">
        <is>
          <t>Customer payment INV/2026/04684</t>
        </is>
      </c>
      <c r="G2655" s="9" t="n">
        <v>110</v>
      </c>
      <c r="H2655" t="inlineStr">
        <is>
          <t>customer_payment</t>
        </is>
      </c>
      <c r="I2655" t="inlineStr"/>
      <c r="J2655" t="inlineStr">
        <is>
          <t>G00051</t>
        </is>
      </c>
      <c r="K2655" t="str">
        <f>INDEX('Match Groups'!$D$5:$D$1326,MATCH(J2655,'Match Groups'!$A$5:$A$1326,0))</f>
        <v>STRIPE-FEE</v>
      </c>
    </row>
    <row r="2656">
      <c r="A2656" t="inlineStr">
        <is>
          <t>JI-02840</t>
        </is>
      </c>
      <c r="B2656" t="inlineStr">
        <is>
          <t>OPS</t>
        </is>
      </c>
      <c r="C2656" s="5" t="n">
        <v>46253</v>
      </c>
      <c r="D2656" t="inlineStr">
        <is>
          <t>Stripe patient 13922</t>
        </is>
      </c>
      <c r="E2656" t="inlineStr">
        <is>
          <t>INV/2026/04685</t>
        </is>
      </c>
      <c r="F2656" t="inlineStr">
        <is>
          <t>Customer payment INV/2026/04685</t>
        </is>
      </c>
      <c r="G2656" s="9" t="n">
        <v>110</v>
      </c>
      <c r="H2656" t="inlineStr">
        <is>
          <t>customer_payment</t>
        </is>
      </c>
      <c r="I2656" t="inlineStr"/>
      <c r="J2656" t="inlineStr">
        <is>
          <t>G00051</t>
        </is>
      </c>
      <c r="K2656" t="str">
        <f>INDEX('Match Groups'!$D$5:$D$1326,MATCH(J2656,'Match Groups'!$A$5:$A$1326,0))</f>
        <v>STRIPE-FEE</v>
      </c>
    </row>
    <row r="2657">
      <c r="A2657" t="inlineStr">
        <is>
          <t>JI-02841</t>
        </is>
      </c>
      <c r="B2657" t="inlineStr">
        <is>
          <t>OPS</t>
        </is>
      </c>
      <c r="C2657" s="5" t="n">
        <v>46253</v>
      </c>
      <c r="D2657" t="inlineStr">
        <is>
          <t>Stripe patient 72794</t>
        </is>
      </c>
      <c r="E2657" t="inlineStr">
        <is>
          <t>INV/2026/04686</t>
        </is>
      </c>
      <c r="F2657" t="inlineStr">
        <is>
          <t>Customer payment INV/2026/04686</t>
        </is>
      </c>
      <c r="G2657" s="9" t="n">
        <v>110</v>
      </c>
      <c r="H2657" t="inlineStr">
        <is>
          <t>customer_payment</t>
        </is>
      </c>
      <c r="I2657" t="inlineStr"/>
      <c r="J2657" t="inlineStr">
        <is>
          <t>G00051</t>
        </is>
      </c>
      <c r="K2657" t="str">
        <f>INDEX('Match Groups'!$D$5:$D$1326,MATCH(J2657,'Match Groups'!$A$5:$A$1326,0))</f>
        <v>STRIPE-FEE</v>
      </c>
    </row>
    <row r="2658">
      <c r="A2658" t="inlineStr">
        <is>
          <t>JI-02842</t>
        </is>
      </c>
      <c r="B2658" t="inlineStr">
        <is>
          <t>OPS</t>
        </is>
      </c>
      <c r="C2658" s="5" t="n">
        <v>46253</v>
      </c>
      <c r="D2658" t="inlineStr">
        <is>
          <t>Stripe patient 21193</t>
        </is>
      </c>
      <c r="E2658" t="inlineStr">
        <is>
          <t>INV/2026/04687</t>
        </is>
      </c>
      <c r="F2658" t="inlineStr">
        <is>
          <t>Customer payment INV/2026/04687</t>
        </is>
      </c>
      <c r="G2658" s="9" t="n">
        <v>65</v>
      </c>
      <c r="H2658" t="inlineStr">
        <is>
          <t>customer_payment</t>
        </is>
      </c>
      <c r="I2658" t="inlineStr"/>
      <c r="J2658" t="inlineStr">
        <is>
          <t>G00051</t>
        </is>
      </c>
      <c r="K2658" t="str">
        <f>INDEX('Match Groups'!$D$5:$D$1326,MATCH(J2658,'Match Groups'!$A$5:$A$1326,0))</f>
        <v>STRIPE-FEE</v>
      </c>
    </row>
    <row r="2659">
      <c r="A2659" t="inlineStr">
        <is>
          <t>JI-02843</t>
        </is>
      </c>
      <c r="B2659" t="inlineStr">
        <is>
          <t>OPS</t>
        </is>
      </c>
      <c r="C2659" s="5" t="n">
        <v>46253</v>
      </c>
      <c r="D2659" t="inlineStr">
        <is>
          <t>Stripe patient 77061</t>
        </is>
      </c>
      <c r="E2659" t="inlineStr">
        <is>
          <t>INV/2026/04688</t>
        </is>
      </c>
      <c r="F2659" t="inlineStr">
        <is>
          <t>Customer payment INV/2026/04688</t>
        </is>
      </c>
      <c r="G2659" s="9" t="n">
        <v>85</v>
      </c>
      <c r="H2659" t="inlineStr">
        <is>
          <t>customer_payment</t>
        </is>
      </c>
      <c r="I2659" t="inlineStr"/>
      <c r="J2659" t="inlineStr">
        <is>
          <t>G00051</t>
        </is>
      </c>
      <c r="K2659" t="str">
        <f>INDEX('Match Groups'!$D$5:$D$1326,MATCH(J2659,'Match Groups'!$A$5:$A$1326,0))</f>
        <v>STRIPE-FEE</v>
      </c>
    </row>
    <row r="2660">
      <c r="A2660" t="inlineStr">
        <is>
          <t>JI-02844</t>
        </is>
      </c>
      <c r="B2660" t="inlineStr">
        <is>
          <t>OPS</t>
        </is>
      </c>
      <c r="C2660" s="5" t="n">
        <v>46253</v>
      </c>
      <c r="D2660" t="inlineStr">
        <is>
          <t>Stripe patient 40662</t>
        </is>
      </c>
      <c r="E2660" t="inlineStr">
        <is>
          <t>INV/2026/04689</t>
        </is>
      </c>
      <c r="F2660" t="inlineStr">
        <is>
          <t>Customer payment INV/2026/04689</t>
        </is>
      </c>
      <c r="G2660" s="9" t="n">
        <v>150</v>
      </c>
      <c r="H2660" t="inlineStr">
        <is>
          <t>customer_payment</t>
        </is>
      </c>
      <c r="I2660" t="inlineStr"/>
      <c r="J2660" t="inlineStr">
        <is>
          <t>G00051</t>
        </is>
      </c>
      <c r="K2660" t="str">
        <f>INDEX('Match Groups'!$D$5:$D$1326,MATCH(J2660,'Match Groups'!$A$5:$A$1326,0))</f>
        <v>STRIPE-FEE</v>
      </c>
    </row>
    <row r="2661">
      <c r="A2661" t="inlineStr">
        <is>
          <t>JI-02845</t>
        </is>
      </c>
      <c r="B2661" t="inlineStr">
        <is>
          <t>OPS</t>
        </is>
      </c>
      <c r="C2661" s="5" t="n">
        <v>46253</v>
      </c>
      <c r="D2661" t="inlineStr">
        <is>
          <t>Stripe patient 18220</t>
        </is>
      </c>
      <c r="E2661" t="inlineStr">
        <is>
          <t>INV/2026/04690</t>
        </is>
      </c>
      <c r="F2661" t="inlineStr">
        <is>
          <t>Customer payment INV/2026/04690</t>
        </is>
      </c>
      <c r="G2661" s="9" t="n">
        <v>135</v>
      </c>
      <c r="H2661" t="inlineStr">
        <is>
          <t>customer_payment</t>
        </is>
      </c>
      <c r="I2661" t="inlineStr"/>
      <c r="J2661" t="inlineStr">
        <is>
          <t>G00051</t>
        </is>
      </c>
      <c r="K2661" t="str">
        <f>INDEX('Match Groups'!$D$5:$D$1326,MATCH(J2661,'Match Groups'!$A$5:$A$1326,0))</f>
        <v>STRIPE-FEE</v>
      </c>
    </row>
    <row r="2662">
      <c r="A2662" t="inlineStr">
        <is>
          <t>JI-02846</t>
        </is>
      </c>
      <c r="B2662" t="inlineStr">
        <is>
          <t>OPS</t>
        </is>
      </c>
      <c r="C2662" s="5" t="n">
        <v>46253</v>
      </c>
      <c r="D2662" t="inlineStr">
        <is>
          <t>Stripe patient 50292</t>
        </is>
      </c>
      <c r="E2662" t="inlineStr">
        <is>
          <t>INV/2026/04691</t>
        </is>
      </c>
      <c r="F2662" t="inlineStr">
        <is>
          <t>Customer payment INV/2026/04691</t>
        </is>
      </c>
      <c r="G2662" s="9" t="n">
        <v>65</v>
      </c>
      <c r="H2662" t="inlineStr">
        <is>
          <t>customer_payment</t>
        </is>
      </c>
      <c r="I2662" t="inlineStr"/>
      <c r="J2662" t="inlineStr">
        <is>
          <t>G00051</t>
        </is>
      </c>
      <c r="K2662" t="str">
        <f>INDEX('Match Groups'!$D$5:$D$1326,MATCH(J2662,'Match Groups'!$A$5:$A$1326,0))</f>
        <v>STRIPE-FEE</v>
      </c>
    </row>
    <row r="2663">
      <c r="A2663" t="inlineStr">
        <is>
          <t>JI-02847</t>
        </is>
      </c>
      <c r="B2663" t="inlineStr">
        <is>
          <t>OPS</t>
        </is>
      </c>
      <c r="C2663" s="5" t="n">
        <v>46253</v>
      </c>
      <c r="D2663" t="inlineStr">
        <is>
          <t>Stripe patient 21027</t>
        </is>
      </c>
      <c r="E2663" t="inlineStr">
        <is>
          <t>INV/2026/04692</t>
        </is>
      </c>
      <c r="F2663" t="inlineStr">
        <is>
          <t>Customer payment INV/2026/04692</t>
        </is>
      </c>
      <c r="G2663" s="9" t="n">
        <v>95</v>
      </c>
      <c r="H2663" t="inlineStr">
        <is>
          <t>customer_payment</t>
        </is>
      </c>
      <c r="I2663" t="inlineStr"/>
      <c r="J2663" t="inlineStr">
        <is>
          <t>G00051</t>
        </is>
      </c>
      <c r="K2663" t="str">
        <f>INDEX('Match Groups'!$D$5:$D$1326,MATCH(J2663,'Match Groups'!$A$5:$A$1326,0))</f>
        <v>STRIPE-FEE</v>
      </c>
    </row>
    <row r="2664">
      <c r="A2664" t="inlineStr">
        <is>
          <t>JI-02848</t>
        </is>
      </c>
      <c r="B2664" t="inlineStr">
        <is>
          <t>OPS</t>
        </is>
      </c>
      <c r="C2664" s="5" t="n">
        <v>46253</v>
      </c>
      <c r="D2664" t="inlineStr">
        <is>
          <t>Stripe patient 46879</t>
        </is>
      </c>
      <c r="E2664" t="inlineStr">
        <is>
          <t>INV/2026/04693</t>
        </is>
      </c>
      <c r="F2664" t="inlineStr">
        <is>
          <t>Customer payment INV/2026/04693</t>
        </is>
      </c>
      <c r="G2664" s="9" t="n">
        <v>85</v>
      </c>
      <c r="H2664" t="inlineStr">
        <is>
          <t>customer_payment</t>
        </is>
      </c>
      <c r="I2664" t="inlineStr"/>
      <c r="J2664" t="inlineStr">
        <is>
          <t>G00051</t>
        </is>
      </c>
      <c r="K2664" t="str">
        <f>INDEX('Match Groups'!$D$5:$D$1326,MATCH(J2664,'Match Groups'!$A$5:$A$1326,0))</f>
        <v>STRIPE-FEE</v>
      </c>
    </row>
    <row r="2665">
      <c r="A2665" t="inlineStr">
        <is>
          <t>JI-02849</t>
        </is>
      </c>
      <c r="B2665" t="inlineStr">
        <is>
          <t>OPS</t>
        </is>
      </c>
      <c r="C2665" s="5" t="n">
        <v>46253</v>
      </c>
      <c r="D2665" t="inlineStr">
        <is>
          <t>Stripe patient 90873</t>
        </is>
      </c>
      <c r="E2665" t="inlineStr">
        <is>
          <t>INV/2026/04694</t>
        </is>
      </c>
      <c r="F2665" t="inlineStr">
        <is>
          <t>Customer payment INV/2026/04694</t>
        </is>
      </c>
      <c r="G2665" s="9" t="n">
        <v>220</v>
      </c>
      <c r="H2665" t="inlineStr">
        <is>
          <t>customer_payment</t>
        </is>
      </c>
      <c r="I2665" t="inlineStr"/>
      <c r="J2665" t="inlineStr">
        <is>
          <t>G00051</t>
        </is>
      </c>
      <c r="K2665" t="str">
        <f>INDEX('Match Groups'!$D$5:$D$1326,MATCH(J2665,'Match Groups'!$A$5:$A$1326,0))</f>
        <v>STRIPE-FEE</v>
      </c>
    </row>
    <row r="2666">
      <c r="A2666" t="inlineStr">
        <is>
          <t>JI-02850</t>
        </is>
      </c>
      <c r="B2666" t="inlineStr">
        <is>
          <t>OPS</t>
        </is>
      </c>
      <c r="C2666" s="5" t="n">
        <v>46253</v>
      </c>
      <c r="D2666" t="inlineStr">
        <is>
          <t>Stripe patient 35087</t>
        </is>
      </c>
      <c r="E2666" t="inlineStr">
        <is>
          <t>INV/2026/04695</t>
        </is>
      </c>
      <c r="F2666" t="inlineStr">
        <is>
          <t>Customer payment INV/2026/04695</t>
        </is>
      </c>
      <c r="G2666" s="9" t="n">
        <v>220</v>
      </c>
      <c r="H2666" t="inlineStr">
        <is>
          <t>customer_payment</t>
        </is>
      </c>
      <c r="I2666" t="inlineStr"/>
      <c r="J2666" t="inlineStr">
        <is>
          <t>G00051</t>
        </is>
      </c>
      <c r="K2666" t="str">
        <f>INDEX('Match Groups'!$D$5:$D$1326,MATCH(J2666,'Match Groups'!$A$5:$A$1326,0))</f>
        <v>STRIPE-FEE</v>
      </c>
    </row>
    <row r="2667">
      <c r="A2667" t="inlineStr">
        <is>
          <t>JI-02851</t>
        </is>
      </c>
      <c r="B2667" t="inlineStr">
        <is>
          <t>OPS</t>
        </is>
      </c>
      <c r="C2667" s="5" t="n">
        <v>46253</v>
      </c>
      <c r="D2667" t="inlineStr">
        <is>
          <t>Stripe patient 28716</t>
        </is>
      </c>
      <c r="E2667" t="inlineStr">
        <is>
          <t>INV/2026/04696</t>
        </is>
      </c>
      <c r="F2667" t="inlineStr">
        <is>
          <t>Customer payment INV/2026/04696</t>
        </is>
      </c>
      <c r="G2667" s="9" t="n">
        <v>85</v>
      </c>
      <c r="H2667" t="inlineStr">
        <is>
          <t>customer_payment</t>
        </is>
      </c>
      <c r="I2667" t="inlineStr"/>
      <c r="J2667" t="inlineStr">
        <is>
          <t>G00051</t>
        </is>
      </c>
      <c r="K2667" t="str">
        <f>INDEX('Match Groups'!$D$5:$D$1326,MATCH(J2667,'Match Groups'!$A$5:$A$1326,0))</f>
        <v>STRIPE-FEE</v>
      </c>
    </row>
    <row r="2668">
      <c r="A2668" t="inlineStr">
        <is>
          <t>JI-02852</t>
        </is>
      </c>
      <c r="B2668" t="inlineStr">
        <is>
          <t>OPS</t>
        </is>
      </c>
      <c r="C2668" s="5" t="n">
        <v>46253</v>
      </c>
      <c r="D2668" t="inlineStr">
        <is>
          <t>Stripe patient 26403</t>
        </is>
      </c>
      <c r="E2668" t="inlineStr">
        <is>
          <t>INV/2026/04697</t>
        </is>
      </c>
      <c r="F2668" t="inlineStr">
        <is>
          <t>Customer payment INV/2026/04697</t>
        </is>
      </c>
      <c r="G2668" s="9" t="n">
        <v>110</v>
      </c>
      <c r="H2668" t="inlineStr">
        <is>
          <t>customer_payment</t>
        </is>
      </c>
      <c r="I2668" t="inlineStr"/>
      <c r="J2668" t="inlineStr">
        <is>
          <t>G00051</t>
        </is>
      </c>
      <c r="K2668" t="str">
        <f>INDEX('Match Groups'!$D$5:$D$1326,MATCH(J2668,'Match Groups'!$A$5:$A$1326,0))</f>
        <v>STRIPE-FEE</v>
      </c>
    </row>
    <row r="2669">
      <c r="A2669" t="inlineStr">
        <is>
          <t>JI-02853</t>
        </is>
      </c>
      <c r="B2669" t="inlineStr">
        <is>
          <t>OPS</t>
        </is>
      </c>
      <c r="C2669" s="5" t="n">
        <v>46253</v>
      </c>
      <c r="D2669" t="inlineStr">
        <is>
          <t>Stripe patient 42178</t>
        </is>
      </c>
      <c r="E2669" t="inlineStr">
        <is>
          <t>INV/2026/04698</t>
        </is>
      </c>
      <c r="F2669" t="inlineStr">
        <is>
          <t>Customer payment INV/2026/04698</t>
        </is>
      </c>
      <c r="G2669" s="9" t="n">
        <v>150</v>
      </c>
      <c r="H2669" t="inlineStr">
        <is>
          <t>customer_payment</t>
        </is>
      </c>
      <c r="I2669" t="inlineStr"/>
      <c r="J2669" t="inlineStr">
        <is>
          <t>G00051</t>
        </is>
      </c>
      <c r="K2669" t="str">
        <f>INDEX('Match Groups'!$D$5:$D$1326,MATCH(J2669,'Match Groups'!$A$5:$A$1326,0))</f>
        <v>STRIPE-FEE</v>
      </c>
    </row>
    <row r="2670">
      <c r="A2670" t="inlineStr">
        <is>
          <t>JI-02854</t>
        </is>
      </c>
      <c r="B2670" t="inlineStr">
        <is>
          <t>OPS</t>
        </is>
      </c>
      <c r="C2670" s="5" t="n">
        <v>46253</v>
      </c>
      <c r="D2670" t="inlineStr">
        <is>
          <t>Stripe patient 10129</t>
        </is>
      </c>
      <c r="E2670" t="inlineStr">
        <is>
          <t>INV/2026/04699</t>
        </is>
      </c>
      <c r="F2670" t="inlineStr">
        <is>
          <t>Customer payment INV/2026/04699</t>
        </is>
      </c>
      <c r="G2670" s="9" t="n">
        <v>180</v>
      </c>
      <c r="H2670" t="inlineStr">
        <is>
          <t>customer_payment</t>
        </is>
      </c>
      <c r="I2670" t="inlineStr"/>
      <c r="J2670" t="inlineStr">
        <is>
          <t>G00051</t>
        </is>
      </c>
      <c r="K2670" t="str">
        <f>INDEX('Match Groups'!$D$5:$D$1326,MATCH(J2670,'Match Groups'!$A$5:$A$1326,0))</f>
        <v>STRIPE-FEE</v>
      </c>
    </row>
    <row r="2671">
      <c r="A2671" t="inlineStr">
        <is>
          <t>JI-02855</t>
        </is>
      </c>
      <c r="B2671" t="inlineStr">
        <is>
          <t>OPS</t>
        </is>
      </c>
      <c r="C2671" s="5" t="n">
        <v>46253</v>
      </c>
      <c r="D2671" t="inlineStr">
        <is>
          <t>Stripe patient 49331</t>
        </is>
      </c>
      <c r="E2671" t="inlineStr">
        <is>
          <t>INV/2026/04700</t>
        </is>
      </c>
      <c r="F2671" t="inlineStr">
        <is>
          <t>Customer payment INV/2026/04700</t>
        </is>
      </c>
      <c r="G2671" s="9" t="n">
        <v>95</v>
      </c>
      <c r="H2671" t="inlineStr">
        <is>
          <t>customer_payment</t>
        </is>
      </c>
      <c r="I2671" t="inlineStr"/>
      <c r="J2671" t="inlineStr">
        <is>
          <t>G00051</t>
        </is>
      </c>
      <c r="K2671" t="str">
        <f>INDEX('Match Groups'!$D$5:$D$1326,MATCH(J2671,'Match Groups'!$A$5:$A$1326,0))</f>
        <v>STRIPE-FEE</v>
      </c>
    </row>
    <row r="2672">
      <c r="A2672" t="inlineStr">
        <is>
          <t>JI-02856</t>
        </is>
      </c>
      <c r="B2672" t="inlineStr">
        <is>
          <t>OPS</t>
        </is>
      </c>
      <c r="C2672" s="5" t="n">
        <v>46253</v>
      </c>
      <c r="D2672" t="inlineStr">
        <is>
          <t>Stripe patient 84993</t>
        </is>
      </c>
      <c r="E2672" t="inlineStr">
        <is>
          <t>INV/2026/04701</t>
        </is>
      </c>
      <c r="F2672" t="inlineStr">
        <is>
          <t>Customer payment INV/2026/04701</t>
        </is>
      </c>
      <c r="G2672" s="9" t="n">
        <v>220</v>
      </c>
      <c r="H2672" t="inlineStr">
        <is>
          <t>customer_payment</t>
        </is>
      </c>
      <c r="I2672" t="inlineStr"/>
      <c r="J2672" t="inlineStr">
        <is>
          <t>G00051</t>
        </is>
      </c>
      <c r="K2672" t="str">
        <f>INDEX('Match Groups'!$D$5:$D$1326,MATCH(J2672,'Match Groups'!$A$5:$A$1326,0))</f>
        <v>STRIPE-FEE</v>
      </c>
    </row>
    <row r="2673">
      <c r="A2673" t="inlineStr">
        <is>
          <t>JI-02857</t>
        </is>
      </c>
      <c r="B2673" t="inlineStr">
        <is>
          <t>OPS</t>
        </is>
      </c>
      <c r="C2673" s="5" t="n">
        <v>46253</v>
      </c>
      <c r="D2673" t="inlineStr">
        <is>
          <t>Stripe patient 76508</t>
        </is>
      </c>
      <c r="E2673" t="inlineStr">
        <is>
          <t>INV/2026/04702</t>
        </is>
      </c>
      <c r="F2673" t="inlineStr">
        <is>
          <t>Customer payment INV/2026/04702</t>
        </is>
      </c>
      <c r="G2673" s="9" t="n">
        <v>65</v>
      </c>
      <c r="H2673" t="inlineStr">
        <is>
          <t>customer_payment</t>
        </is>
      </c>
      <c r="I2673" t="inlineStr"/>
      <c r="J2673" t="inlineStr">
        <is>
          <t>G00051</t>
        </is>
      </c>
      <c r="K2673" t="str">
        <f>INDEX('Match Groups'!$D$5:$D$1326,MATCH(J2673,'Match Groups'!$A$5:$A$1326,0))</f>
        <v>STRIPE-FEE</v>
      </c>
    </row>
    <row r="2674">
      <c r="A2674" t="inlineStr">
        <is>
          <t>JI-02858</t>
        </is>
      </c>
      <c r="B2674" t="inlineStr">
        <is>
          <t>OPS</t>
        </is>
      </c>
      <c r="C2674" s="5" t="n">
        <v>46253</v>
      </c>
      <c r="D2674" t="inlineStr">
        <is>
          <t>Stripe patient 71155</t>
        </is>
      </c>
      <c r="E2674" t="inlineStr">
        <is>
          <t>INV/2026/04703</t>
        </is>
      </c>
      <c r="F2674" t="inlineStr">
        <is>
          <t>Customer payment INV/2026/04703</t>
        </is>
      </c>
      <c r="G2674" s="9" t="n">
        <v>95</v>
      </c>
      <c r="H2674" t="inlineStr">
        <is>
          <t>customer_payment</t>
        </is>
      </c>
      <c r="I2674" t="inlineStr"/>
      <c r="J2674" t="inlineStr">
        <is>
          <t>G00051</t>
        </is>
      </c>
      <c r="K2674" t="str">
        <f>INDEX('Match Groups'!$D$5:$D$1326,MATCH(J2674,'Match Groups'!$A$5:$A$1326,0))</f>
        <v>STRIPE-FEE</v>
      </c>
    </row>
    <row r="2675">
      <c r="A2675" t="inlineStr">
        <is>
          <t>JI-02859</t>
        </is>
      </c>
      <c r="B2675" t="inlineStr">
        <is>
          <t>OPS</t>
        </is>
      </c>
      <c r="C2675" s="5" t="n">
        <v>46253</v>
      </c>
      <c r="D2675" t="inlineStr">
        <is>
          <t>Stripe patient 96827</t>
        </is>
      </c>
      <c r="E2675" t="inlineStr">
        <is>
          <t>INV/2026/04704</t>
        </is>
      </c>
      <c r="F2675" t="inlineStr">
        <is>
          <t>Customer payment INV/2026/04704</t>
        </is>
      </c>
      <c r="G2675" s="9" t="n">
        <v>220</v>
      </c>
      <c r="H2675" t="inlineStr">
        <is>
          <t>customer_payment</t>
        </is>
      </c>
      <c r="I2675" t="inlineStr"/>
      <c r="J2675" t="inlineStr">
        <is>
          <t>G00051</t>
        </is>
      </c>
      <c r="K2675" t="str">
        <f>INDEX('Match Groups'!$D$5:$D$1326,MATCH(J2675,'Match Groups'!$A$5:$A$1326,0))</f>
        <v>STRIPE-FEE</v>
      </c>
    </row>
    <row r="2676">
      <c r="A2676" t="inlineStr">
        <is>
          <t>JI-02860</t>
        </is>
      </c>
      <c r="B2676" t="inlineStr">
        <is>
          <t>OPS</t>
        </is>
      </c>
      <c r="C2676" s="5" t="n">
        <v>46253</v>
      </c>
      <c r="D2676" t="inlineStr">
        <is>
          <t>Stripe patient 22867</t>
        </is>
      </c>
      <c r="E2676" t="inlineStr">
        <is>
          <t>INV/2026/04705</t>
        </is>
      </c>
      <c r="F2676" t="inlineStr">
        <is>
          <t>Customer payment INV/2026/04705</t>
        </is>
      </c>
      <c r="G2676" s="9" t="n">
        <v>135</v>
      </c>
      <c r="H2676" t="inlineStr">
        <is>
          <t>customer_payment</t>
        </is>
      </c>
      <c r="I2676" t="inlineStr"/>
      <c r="J2676" t="inlineStr">
        <is>
          <t>G00051</t>
        </is>
      </c>
      <c r="K2676" t="str">
        <f>INDEX('Match Groups'!$D$5:$D$1326,MATCH(J2676,'Match Groups'!$A$5:$A$1326,0))</f>
        <v>STRIPE-FEE</v>
      </c>
    </row>
    <row r="2677">
      <c r="A2677" t="inlineStr">
        <is>
          <t>JI-02861</t>
        </is>
      </c>
      <c r="B2677" t="inlineStr">
        <is>
          <t>OPS</t>
        </is>
      </c>
      <c r="C2677" s="5" t="n">
        <v>46253</v>
      </c>
      <c r="D2677" t="inlineStr">
        <is>
          <t>Stripe patient 91940</t>
        </is>
      </c>
      <c r="E2677" t="inlineStr">
        <is>
          <t>INV/2026/04706</t>
        </is>
      </c>
      <c r="F2677" t="inlineStr">
        <is>
          <t>Customer payment INV/2026/04706</t>
        </is>
      </c>
      <c r="G2677" s="9" t="n">
        <v>180</v>
      </c>
      <c r="H2677" t="inlineStr">
        <is>
          <t>customer_payment</t>
        </is>
      </c>
      <c r="I2677" t="inlineStr"/>
      <c r="J2677" t="inlineStr">
        <is>
          <t>G00051</t>
        </is>
      </c>
      <c r="K2677" t="str">
        <f>INDEX('Match Groups'!$D$5:$D$1326,MATCH(J2677,'Match Groups'!$A$5:$A$1326,0))</f>
        <v>STRIPE-FEE</v>
      </c>
    </row>
    <row r="2678">
      <c r="A2678" t="inlineStr">
        <is>
          <t>JI-02862</t>
        </is>
      </c>
      <c r="B2678" t="inlineStr">
        <is>
          <t>OPS</t>
        </is>
      </c>
      <c r="C2678" s="5" t="n">
        <v>46253</v>
      </c>
      <c r="D2678" t="inlineStr">
        <is>
          <t>Stripe patient 65876</t>
        </is>
      </c>
      <c r="E2678" t="inlineStr">
        <is>
          <t>INV/2026/04707</t>
        </is>
      </c>
      <c r="F2678" t="inlineStr">
        <is>
          <t>Customer payment INV/2026/04707</t>
        </is>
      </c>
      <c r="G2678" s="9" t="n">
        <v>95</v>
      </c>
      <c r="H2678" t="inlineStr">
        <is>
          <t>customer_payment</t>
        </is>
      </c>
      <c r="I2678" t="inlineStr"/>
      <c r="J2678" t="inlineStr">
        <is>
          <t>G00051</t>
        </is>
      </c>
      <c r="K2678" t="str">
        <f>INDEX('Match Groups'!$D$5:$D$1326,MATCH(J2678,'Match Groups'!$A$5:$A$1326,0))</f>
        <v>STRIPE-FEE</v>
      </c>
    </row>
    <row r="2679">
      <c r="A2679" t="inlineStr">
        <is>
          <t>JI-02863</t>
        </is>
      </c>
      <c r="B2679" t="inlineStr">
        <is>
          <t>OPS</t>
        </is>
      </c>
      <c r="C2679" s="5" t="n">
        <v>46253</v>
      </c>
      <c r="D2679" t="inlineStr">
        <is>
          <t>Stripe patient 47944</t>
        </is>
      </c>
      <c r="E2679" t="inlineStr">
        <is>
          <t>INV/2026/04708</t>
        </is>
      </c>
      <c r="F2679" t="inlineStr">
        <is>
          <t>Customer payment INV/2026/04708</t>
        </is>
      </c>
      <c r="G2679" s="9" t="n">
        <v>220</v>
      </c>
      <c r="H2679" t="inlineStr">
        <is>
          <t>customer_payment</t>
        </is>
      </c>
      <c r="I2679" t="inlineStr"/>
      <c r="J2679" t="inlineStr">
        <is>
          <t>G00051</t>
        </is>
      </c>
      <c r="K2679" t="str">
        <f>INDEX('Match Groups'!$D$5:$D$1326,MATCH(J2679,'Match Groups'!$A$5:$A$1326,0))</f>
        <v>STRIPE-FEE</v>
      </c>
    </row>
    <row r="2680">
      <c r="A2680" t="inlineStr">
        <is>
          <t>JI-02864</t>
        </is>
      </c>
      <c r="B2680" t="inlineStr">
        <is>
          <t>OPS</t>
        </is>
      </c>
      <c r="C2680" s="5" t="n">
        <v>46253</v>
      </c>
      <c r="D2680" t="inlineStr">
        <is>
          <t>Stripe patient 46258</t>
        </is>
      </c>
      <c r="E2680" t="inlineStr">
        <is>
          <t>INV/2026/04709</t>
        </is>
      </c>
      <c r="F2680" t="inlineStr">
        <is>
          <t>Customer payment INV/2026/04709</t>
        </is>
      </c>
      <c r="G2680" s="9" t="n">
        <v>85</v>
      </c>
      <c r="H2680" t="inlineStr">
        <is>
          <t>customer_payment</t>
        </is>
      </c>
      <c r="I2680" t="inlineStr"/>
      <c r="J2680" t="inlineStr">
        <is>
          <t>G00051</t>
        </is>
      </c>
      <c r="K2680" t="str">
        <f>INDEX('Match Groups'!$D$5:$D$1326,MATCH(J2680,'Match Groups'!$A$5:$A$1326,0))</f>
        <v>STRIPE-FEE</v>
      </c>
    </row>
    <row r="2681">
      <c r="A2681" t="inlineStr">
        <is>
          <t>JI-02865</t>
        </is>
      </c>
      <c r="B2681" t="inlineStr">
        <is>
          <t>OPS</t>
        </is>
      </c>
      <c r="C2681" s="5" t="n">
        <v>46253</v>
      </c>
      <c r="D2681" t="inlineStr">
        <is>
          <t>Stripe patient 98449</t>
        </is>
      </c>
      <c r="E2681" t="inlineStr">
        <is>
          <t>INV/2026/04710</t>
        </is>
      </c>
      <c r="F2681" t="inlineStr">
        <is>
          <t>Customer payment INV/2026/04710</t>
        </is>
      </c>
      <c r="G2681" s="9" t="n">
        <v>95</v>
      </c>
      <c r="H2681" t="inlineStr">
        <is>
          <t>customer_payment</t>
        </is>
      </c>
      <c r="I2681" t="inlineStr"/>
      <c r="J2681" t="inlineStr">
        <is>
          <t>G00051</t>
        </is>
      </c>
      <c r="K2681" t="str">
        <f>INDEX('Match Groups'!$D$5:$D$1326,MATCH(J2681,'Match Groups'!$A$5:$A$1326,0))</f>
        <v>STRIPE-FEE</v>
      </c>
    </row>
    <row r="2682">
      <c r="A2682" t="inlineStr">
        <is>
          <t>JI-02866</t>
        </is>
      </c>
      <c r="B2682" t="inlineStr">
        <is>
          <t>OPS</t>
        </is>
      </c>
      <c r="C2682" s="5" t="n">
        <v>46253</v>
      </c>
      <c r="D2682" t="inlineStr">
        <is>
          <t>Stripe patient 76666</t>
        </is>
      </c>
      <c r="E2682" t="inlineStr">
        <is>
          <t>INV/2026/04711</t>
        </is>
      </c>
      <c r="F2682" t="inlineStr">
        <is>
          <t>Customer payment INV/2026/04711</t>
        </is>
      </c>
      <c r="G2682" s="9" t="n">
        <v>85</v>
      </c>
      <c r="H2682" t="inlineStr">
        <is>
          <t>customer_payment</t>
        </is>
      </c>
      <c r="I2682" t="inlineStr"/>
      <c r="J2682" t="inlineStr">
        <is>
          <t>G00051</t>
        </is>
      </c>
      <c r="K2682" t="str">
        <f>INDEX('Match Groups'!$D$5:$D$1326,MATCH(J2682,'Match Groups'!$A$5:$A$1326,0))</f>
        <v>STRIPE-FEE</v>
      </c>
    </row>
    <row r="2683">
      <c r="A2683" t="inlineStr">
        <is>
          <t>JI-02867</t>
        </is>
      </c>
      <c r="B2683" t="inlineStr">
        <is>
          <t>OPS</t>
        </is>
      </c>
      <c r="C2683" s="5" t="n">
        <v>46253</v>
      </c>
      <c r="D2683" t="inlineStr">
        <is>
          <t>Stripe patient 27390</t>
        </is>
      </c>
      <c r="E2683" t="inlineStr">
        <is>
          <t>INV/2026/04712</t>
        </is>
      </c>
      <c r="F2683" t="inlineStr">
        <is>
          <t>Customer payment INV/2026/04712</t>
        </is>
      </c>
      <c r="G2683" s="9" t="n">
        <v>150</v>
      </c>
      <c r="H2683" t="inlineStr">
        <is>
          <t>customer_payment</t>
        </is>
      </c>
      <c r="I2683" t="inlineStr"/>
      <c r="J2683" t="inlineStr">
        <is>
          <t>G00051</t>
        </is>
      </c>
      <c r="K2683" t="str">
        <f>INDEX('Match Groups'!$D$5:$D$1326,MATCH(J2683,'Match Groups'!$A$5:$A$1326,0))</f>
        <v>STRIPE-FEE</v>
      </c>
    </row>
    <row r="2684">
      <c r="A2684" t="inlineStr">
        <is>
          <t>JI-02868</t>
        </is>
      </c>
      <c r="B2684" t="inlineStr">
        <is>
          <t>OPS</t>
        </is>
      </c>
      <c r="C2684" s="5" t="n">
        <v>46253</v>
      </c>
      <c r="D2684" t="inlineStr">
        <is>
          <t>Stripe patient 33987</t>
        </is>
      </c>
      <c r="E2684" t="inlineStr">
        <is>
          <t>INV/2026/04713</t>
        </is>
      </c>
      <c r="F2684" t="inlineStr">
        <is>
          <t>Customer payment INV/2026/04713</t>
        </is>
      </c>
      <c r="G2684" s="9" t="n">
        <v>85</v>
      </c>
      <c r="H2684" t="inlineStr">
        <is>
          <t>customer_payment</t>
        </is>
      </c>
      <c r="I2684" t="inlineStr"/>
      <c r="J2684" t="inlineStr">
        <is>
          <t>G00051</t>
        </is>
      </c>
      <c r="K2684" t="str">
        <f>INDEX('Match Groups'!$D$5:$D$1326,MATCH(J2684,'Match Groups'!$A$5:$A$1326,0))</f>
        <v>STRIPE-FEE</v>
      </c>
    </row>
    <row r="2685">
      <c r="A2685" t="inlineStr">
        <is>
          <t>JI-02869</t>
        </is>
      </c>
      <c r="B2685" t="inlineStr">
        <is>
          <t>OPS</t>
        </is>
      </c>
      <c r="C2685" s="5" t="n">
        <v>46253</v>
      </c>
      <c r="D2685" t="inlineStr">
        <is>
          <t>Stripe patient 53539</t>
        </is>
      </c>
      <c r="E2685" t="inlineStr">
        <is>
          <t>INV/2026/04714</t>
        </is>
      </c>
      <c r="F2685" t="inlineStr">
        <is>
          <t>Customer payment INV/2026/04714</t>
        </is>
      </c>
      <c r="G2685" s="9" t="n">
        <v>150</v>
      </c>
      <c r="H2685" t="inlineStr">
        <is>
          <t>customer_payment</t>
        </is>
      </c>
      <c r="I2685" t="inlineStr"/>
      <c r="J2685" t="inlineStr">
        <is>
          <t>G00051</t>
        </is>
      </c>
      <c r="K2685" t="str">
        <f>INDEX('Match Groups'!$D$5:$D$1326,MATCH(J2685,'Match Groups'!$A$5:$A$1326,0))</f>
        <v>STRIPE-FEE</v>
      </c>
    </row>
    <row r="2686">
      <c r="A2686" t="inlineStr">
        <is>
          <t>JI-02870</t>
        </is>
      </c>
      <c r="B2686" t="inlineStr">
        <is>
          <t>OPS</t>
        </is>
      </c>
      <c r="C2686" s="5" t="n">
        <v>46253</v>
      </c>
      <c r="D2686" t="inlineStr">
        <is>
          <t>Stripe patient 29629</t>
        </is>
      </c>
      <c r="E2686" t="inlineStr">
        <is>
          <t>INV/2026/04715</t>
        </is>
      </c>
      <c r="F2686" t="inlineStr">
        <is>
          <t>Customer payment INV/2026/04715</t>
        </is>
      </c>
      <c r="G2686" s="9" t="n">
        <v>220</v>
      </c>
      <c r="H2686" t="inlineStr">
        <is>
          <t>customer_payment</t>
        </is>
      </c>
      <c r="I2686" t="inlineStr"/>
      <c r="J2686" t="inlineStr">
        <is>
          <t>G00051</t>
        </is>
      </c>
      <c r="K2686" t="str">
        <f>INDEX('Match Groups'!$D$5:$D$1326,MATCH(J2686,'Match Groups'!$A$5:$A$1326,0))</f>
        <v>STRIPE-FEE</v>
      </c>
    </row>
    <row r="2687">
      <c r="A2687" t="inlineStr">
        <is>
          <t>JI-03816</t>
        </is>
      </c>
      <c r="B2687" t="inlineStr">
        <is>
          <t>OPS</t>
        </is>
      </c>
      <c r="C2687" s="5" t="n">
        <v>46253</v>
      </c>
      <c r="D2687" t="inlineStr">
        <is>
          <t>Clinicare Linen Service</t>
        </is>
      </c>
      <c r="E2687" t="inlineStr">
        <is>
          <t>BILL/2026/0918</t>
        </is>
      </c>
      <c r="F2687" t="inlineStr">
        <is>
          <t>Vendor payment BILL/2026/0918 (BATCH/2026/0418)</t>
        </is>
      </c>
      <c r="G2687" s="9" t="n">
        <v>-880</v>
      </c>
      <c r="H2687" t="inlineStr">
        <is>
          <t>supplier_payment</t>
        </is>
      </c>
      <c r="I2687" t="inlineStr">
        <is>
          <t>BATCH/2026/0418</t>
        </is>
      </c>
      <c r="J2687" t="inlineStr">
        <is>
          <t>G00529</t>
        </is>
      </c>
      <c r="K2687" t="str">
        <f>INDEX('Match Groups'!$D$5:$D$1326,MATCH(J2687,'Match Groups'!$A$5:$A$1326,0))</f>
        <v>MATCH</v>
      </c>
    </row>
    <row r="2688">
      <c r="A2688" t="inlineStr">
        <is>
          <t>JI-03817</t>
        </is>
      </c>
      <c r="B2688" t="inlineStr">
        <is>
          <t>OPS</t>
        </is>
      </c>
      <c r="C2688" s="5" t="n">
        <v>46253</v>
      </c>
      <c r="D2688" t="inlineStr">
        <is>
          <t>Metro Waste Removal</t>
        </is>
      </c>
      <c r="E2688" t="inlineStr">
        <is>
          <t>BILL/2026/0913</t>
        </is>
      </c>
      <c r="F2688" t="inlineStr">
        <is>
          <t>Vendor payment BILL/2026/0913 (BATCH/2026/0418)</t>
        </is>
      </c>
      <c r="G2688" s="9" t="n">
        <v>-242</v>
      </c>
      <c r="H2688" t="inlineStr">
        <is>
          <t>supplier_payment</t>
        </is>
      </c>
      <c r="I2688" t="inlineStr">
        <is>
          <t>BATCH/2026/0418</t>
        </is>
      </c>
      <c r="J2688" t="inlineStr">
        <is>
          <t>G00529</t>
        </is>
      </c>
      <c r="K2688" t="str">
        <f>INDEX('Match Groups'!$D$5:$D$1326,MATCH(J2688,'Match Groups'!$A$5:$A$1326,0))</f>
        <v>MATCH</v>
      </c>
    </row>
    <row r="2689">
      <c r="A2689" t="inlineStr">
        <is>
          <t>JI-03818</t>
        </is>
      </c>
      <c r="B2689" t="inlineStr">
        <is>
          <t>OPS</t>
        </is>
      </c>
      <c r="C2689" s="5" t="n">
        <v>46253</v>
      </c>
      <c r="D2689" t="inlineStr">
        <is>
          <t>Brightline Signage</t>
        </is>
      </c>
      <c r="E2689" t="inlineStr">
        <is>
          <t>BILL/2026/0915</t>
        </is>
      </c>
      <c r="F2689" t="inlineStr">
        <is>
          <t>Vendor payment BILL/2026/0915 (BATCH/2026/0418)</t>
        </is>
      </c>
      <c r="G2689" s="9" t="n">
        <v>-165</v>
      </c>
      <c r="H2689" t="inlineStr">
        <is>
          <t>supplier_payment</t>
        </is>
      </c>
      <c r="I2689" t="inlineStr">
        <is>
          <t>BATCH/2026/0418</t>
        </is>
      </c>
      <c r="J2689" t="inlineStr">
        <is>
          <t>G00529</t>
        </is>
      </c>
      <c r="K2689" t="str">
        <f>INDEX('Match Groups'!$D$5:$D$1326,MATCH(J2689,'Match Groups'!$A$5:$A$1326,0))</f>
        <v>MATCH</v>
      </c>
    </row>
    <row r="2690">
      <c r="A2690" t="inlineStr">
        <is>
          <t>JI-03819</t>
        </is>
      </c>
      <c r="B2690" t="inlineStr">
        <is>
          <t>OPS</t>
        </is>
      </c>
      <c r="C2690" s="5" t="n">
        <v>46253</v>
      </c>
      <c r="D2690" t="inlineStr">
        <is>
          <t>Practice Fitout Joinery</t>
        </is>
      </c>
      <c r="E2690" t="inlineStr">
        <is>
          <t>BILL/2026/0912</t>
        </is>
      </c>
      <c r="F2690" t="inlineStr">
        <is>
          <t>Vendor payment BILL/2026/0912 (BATCH/2026/0418)</t>
        </is>
      </c>
      <c r="G2690" s="9" t="n">
        <v>-1650</v>
      </c>
      <c r="H2690" t="inlineStr">
        <is>
          <t>supplier_payment</t>
        </is>
      </c>
      <c r="I2690" t="inlineStr">
        <is>
          <t>BATCH/2026/0418</t>
        </is>
      </c>
      <c r="J2690" t="inlineStr">
        <is>
          <t>G00529</t>
        </is>
      </c>
      <c r="K2690" t="str">
        <f>INDEX('Match Groups'!$D$5:$D$1326,MATCH(J2690,'Match Groups'!$A$5:$A$1326,0))</f>
        <v>MATCH</v>
      </c>
    </row>
    <row r="2691">
      <c r="A2691" t="inlineStr">
        <is>
          <t>JI-03820</t>
        </is>
      </c>
      <c r="B2691" t="inlineStr">
        <is>
          <t>OPS</t>
        </is>
      </c>
      <c r="C2691" s="5" t="n">
        <v>46253</v>
      </c>
      <c r="D2691" t="inlineStr">
        <is>
          <t>Northern Pest Control</t>
        </is>
      </c>
      <c r="E2691" t="inlineStr">
        <is>
          <t>BILL/2026/0914</t>
        </is>
      </c>
      <c r="F2691" t="inlineStr">
        <is>
          <t>Vendor payment BILL/2026/0914 (BATCH/2026/0418)</t>
        </is>
      </c>
      <c r="G2691" s="9" t="n">
        <v>-278.3</v>
      </c>
      <c r="H2691" t="inlineStr">
        <is>
          <t>supplier_payment</t>
        </is>
      </c>
      <c r="I2691" t="inlineStr">
        <is>
          <t>BATCH/2026/0418</t>
        </is>
      </c>
      <c r="J2691" t="inlineStr">
        <is>
          <t>G00529</t>
        </is>
      </c>
      <c r="K2691" t="str">
        <f>INDEX('Match Groups'!$D$5:$D$1326,MATCH(J2691,'Match Groups'!$A$5:$A$1326,0))</f>
        <v>MATCH</v>
      </c>
    </row>
    <row r="2692">
      <c r="A2692" t="inlineStr">
        <is>
          <t>JI-03821</t>
        </is>
      </c>
      <c r="B2692" t="inlineStr">
        <is>
          <t>OPS</t>
        </is>
      </c>
      <c r="C2692" s="5" t="n">
        <v>46253</v>
      </c>
      <c r="D2692" t="inlineStr">
        <is>
          <t>Locum Physio Agency</t>
        </is>
      </c>
      <c r="E2692" t="inlineStr">
        <is>
          <t>BILL/2026/0909</t>
        </is>
      </c>
      <c r="F2692" t="inlineStr">
        <is>
          <t>Vendor payment BILL/2026/0909 (BATCH/2026/0418)</t>
        </is>
      </c>
      <c r="G2692" s="9" t="n">
        <v>-278.3</v>
      </c>
      <c r="H2692" t="inlineStr">
        <is>
          <t>supplier_payment</t>
        </is>
      </c>
      <c r="I2692" t="inlineStr">
        <is>
          <t>BATCH/2026/0418</t>
        </is>
      </c>
      <c r="J2692" t="inlineStr">
        <is>
          <t>G00529</t>
        </is>
      </c>
      <c r="K2692" t="str">
        <f>INDEX('Match Groups'!$D$5:$D$1326,MATCH(J2692,'Match Groups'!$A$5:$A$1326,0))</f>
        <v>MATCH</v>
      </c>
    </row>
    <row r="2693">
      <c r="A2693" t="inlineStr">
        <is>
          <t>JI-03822</t>
        </is>
      </c>
      <c r="B2693" t="inlineStr">
        <is>
          <t>OPS</t>
        </is>
      </c>
      <c r="C2693" s="5" t="n">
        <v>46253</v>
      </c>
      <c r="D2693" t="inlineStr">
        <is>
          <t>Locum Physio Agency</t>
        </is>
      </c>
      <c r="E2693" t="inlineStr">
        <is>
          <t>BILL/2026/0917</t>
        </is>
      </c>
      <c r="F2693" t="inlineStr">
        <is>
          <t>Vendor payment BILL/2026/0917 (BATCH/2026/0418)</t>
        </is>
      </c>
      <c r="G2693" s="9" t="n">
        <v>-672.1</v>
      </c>
      <c r="H2693" t="inlineStr">
        <is>
          <t>supplier_payment</t>
        </is>
      </c>
      <c r="I2693" t="inlineStr">
        <is>
          <t>BATCH/2026/0418</t>
        </is>
      </c>
      <c r="J2693" t="inlineStr">
        <is>
          <t>G00529</t>
        </is>
      </c>
      <c r="K2693" t="str">
        <f>INDEX('Match Groups'!$D$5:$D$1326,MATCH(J2693,'Match Groups'!$A$5:$A$1326,0))</f>
        <v>MATCH</v>
      </c>
    </row>
    <row r="2694">
      <c r="A2694" t="inlineStr">
        <is>
          <t>JI-03823</t>
        </is>
      </c>
      <c r="B2694" t="inlineStr">
        <is>
          <t>OPS</t>
        </is>
      </c>
      <c r="C2694" s="5" t="n">
        <v>46253</v>
      </c>
      <c r="D2694" t="inlineStr">
        <is>
          <t>Ergo Furniture Co</t>
        </is>
      </c>
      <c r="E2694" t="inlineStr">
        <is>
          <t>BILL/2026/0916</t>
        </is>
      </c>
      <c r="F2694" t="inlineStr">
        <is>
          <t>Vendor payment BILL/2026/0916 (BATCH/2026/0418)</t>
        </is>
      </c>
      <c r="G2694" s="9" t="n">
        <v>-1686.3</v>
      </c>
      <c r="H2694" t="inlineStr">
        <is>
          <t>supplier_payment</t>
        </is>
      </c>
      <c r="I2694" t="inlineStr">
        <is>
          <t>BATCH/2026/0418</t>
        </is>
      </c>
      <c r="J2694" t="inlineStr">
        <is>
          <t>G00529</t>
        </is>
      </c>
      <c r="K2694" t="str">
        <f>INDEX('Match Groups'!$D$5:$D$1326,MATCH(J2694,'Match Groups'!$A$5:$A$1326,0))</f>
        <v>MATCH</v>
      </c>
    </row>
    <row r="2695">
      <c r="A2695" t="inlineStr">
        <is>
          <t>JI-03824</t>
        </is>
      </c>
      <c r="B2695" t="inlineStr">
        <is>
          <t>OPS</t>
        </is>
      </c>
      <c r="C2695" s="5" t="n">
        <v>46253</v>
      </c>
      <c r="D2695" t="inlineStr">
        <is>
          <t>Strategic HR Partners</t>
        </is>
      </c>
      <c r="E2695" t="inlineStr">
        <is>
          <t>BILL/2026/0911</t>
        </is>
      </c>
      <c r="F2695" t="inlineStr">
        <is>
          <t>Vendor payment BILL/2026/0911 (BATCH/2026/0418)</t>
        </is>
      </c>
      <c r="G2695" s="9" t="n">
        <v>-2432.1</v>
      </c>
      <c r="H2695" t="inlineStr">
        <is>
          <t>supplier_payment</t>
        </is>
      </c>
      <c r="I2695" t="inlineStr">
        <is>
          <t>BATCH/2026/0418</t>
        </is>
      </c>
      <c r="J2695" t="inlineStr">
        <is>
          <t>G00529</t>
        </is>
      </c>
      <c r="K2695" t="str">
        <f>INDEX('Match Groups'!$D$5:$D$1326,MATCH(J2695,'Match Groups'!$A$5:$A$1326,0))</f>
        <v>MATCH</v>
      </c>
    </row>
    <row r="2696">
      <c r="A2696" t="inlineStr">
        <is>
          <t>JI-03825</t>
        </is>
      </c>
      <c r="B2696" t="inlineStr">
        <is>
          <t>OPS</t>
        </is>
      </c>
      <c r="C2696" s="5" t="n">
        <v>46253</v>
      </c>
      <c r="D2696" t="inlineStr">
        <is>
          <t>Fibrewire Networks</t>
        </is>
      </c>
      <c r="E2696" t="inlineStr">
        <is>
          <t>BILL/2026/0910</t>
        </is>
      </c>
      <c r="F2696" t="inlineStr">
        <is>
          <t>Vendor payment BILL/2026/0910 (BATCH/2026/0418)</t>
        </is>
      </c>
      <c r="G2696" s="9" t="n">
        <v>-242</v>
      </c>
      <c r="H2696" t="inlineStr">
        <is>
          <t>supplier_payment</t>
        </is>
      </c>
      <c r="I2696" t="inlineStr">
        <is>
          <t>BATCH/2026/0418</t>
        </is>
      </c>
      <c r="J2696" t="inlineStr">
        <is>
          <t>G00529</t>
        </is>
      </c>
      <c r="K2696" t="str">
        <f>INDEX('Match Groups'!$D$5:$D$1326,MATCH(J2696,'Match Groups'!$A$5:$A$1326,0))</f>
        <v>MATCH</v>
      </c>
    </row>
    <row r="2697">
      <c r="A2697" t="inlineStr">
        <is>
          <t>JI-03908</t>
        </is>
      </c>
      <c r="B2697" t="inlineStr">
        <is>
          <t>OPS</t>
        </is>
      </c>
      <c r="C2697" s="5" t="n">
        <v>46253</v>
      </c>
      <c r="D2697" t="inlineStr">
        <is>
          <t>Fleetwise Vehicle Leasing</t>
        </is>
      </c>
      <c r="E2697" t="inlineStr">
        <is>
          <t>BILL/2026/1014</t>
        </is>
      </c>
      <c r="F2697" t="inlineStr">
        <is>
          <t>Vendor payment BILL/2026/1014</t>
        </is>
      </c>
      <c r="G2697" s="9" t="n">
        <v>-3184.62</v>
      </c>
      <c r="H2697" t="inlineStr">
        <is>
          <t>supplier_payment</t>
        </is>
      </c>
      <c r="I2697" t="inlineStr"/>
      <c r="J2697" t="inlineStr">
        <is>
          <t>G01143</t>
        </is>
      </c>
      <c r="K2697" t="str">
        <f>INDEX('Match Groups'!$D$5:$D$1326,MATCH(J2697,'Match Groups'!$A$5:$A$1326,0))</f>
        <v>MATCH</v>
      </c>
    </row>
    <row r="2698">
      <c r="A2698" t="inlineStr">
        <is>
          <t>JI-00984</t>
        </is>
      </c>
      <c r="B2698" t="inlineStr">
        <is>
          <t>OPS</t>
        </is>
      </c>
      <c r="C2698" s="5" t="n">
        <v>46254</v>
      </c>
      <c r="D2698" t="inlineStr">
        <is>
          <t>Riverbend Plan Partners</t>
        </is>
      </c>
      <c r="E2698" t="inlineStr">
        <is>
          <t>INV/2026/02631</t>
        </is>
      </c>
      <c r="F2698" t="inlineStr">
        <is>
          <t>Customer payment INV/2026/02631</t>
        </is>
      </c>
      <c r="G2698" s="9" t="n">
        <v>175.49</v>
      </c>
      <c r="H2698" t="inlineStr">
        <is>
          <t>customer_payment</t>
        </is>
      </c>
      <c r="I2698" t="inlineStr"/>
      <c r="J2698" t="inlineStr">
        <is>
          <t>G00322</t>
        </is>
      </c>
      <c r="K2698" t="str">
        <f>INDEX('Match Groups'!$D$5:$D$1326,MATCH(J2698,'Match Groups'!$A$5:$A$1326,0))</f>
        <v>MATCH</v>
      </c>
    </row>
    <row r="2699">
      <c r="A2699" t="inlineStr">
        <is>
          <t>JI-00985</t>
        </is>
      </c>
      <c r="B2699" t="inlineStr">
        <is>
          <t>OPS</t>
        </is>
      </c>
      <c r="C2699" s="5" t="n">
        <v>46254</v>
      </c>
      <c r="D2699" t="inlineStr">
        <is>
          <t>Riverbend Plan Partners</t>
        </is>
      </c>
      <c r="E2699" t="inlineStr">
        <is>
          <t>INV/2026/02688</t>
        </is>
      </c>
      <c r="F2699" t="inlineStr">
        <is>
          <t>Customer payment INV/2026/02688</t>
        </is>
      </c>
      <c r="G2699" s="9" t="n">
        <v>252.19</v>
      </c>
      <c r="H2699" t="inlineStr">
        <is>
          <t>customer_payment</t>
        </is>
      </c>
      <c r="I2699" t="inlineStr"/>
      <c r="J2699" t="inlineStr">
        <is>
          <t>G00322</t>
        </is>
      </c>
      <c r="K2699" t="str">
        <f>INDEX('Match Groups'!$D$5:$D$1326,MATCH(J2699,'Match Groups'!$A$5:$A$1326,0))</f>
        <v>MATCH</v>
      </c>
    </row>
    <row r="2700">
      <c r="A2700" t="inlineStr">
        <is>
          <t>JI-00986</t>
        </is>
      </c>
      <c r="B2700" t="inlineStr">
        <is>
          <t>OPS</t>
        </is>
      </c>
      <c r="C2700" s="5" t="n">
        <v>46254</v>
      </c>
      <c r="D2700" t="inlineStr">
        <is>
          <t>Ironbark Plan Management</t>
        </is>
      </c>
      <c r="E2700" t="inlineStr">
        <is>
          <t>INV/2026/02520</t>
        </is>
      </c>
      <c r="F2700" t="inlineStr">
        <is>
          <t>Customer payment INV/2026/02520</t>
        </is>
      </c>
      <c r="G2700" s="9" t="n">
        <v>203.69</v>
      </c>
      <c r="H2700" t="inlineStr">
        <is>
          <t>customer_payment</t>
        </is>
      </c>
      <c r="I2700" t="inlineStr"/>
      <c r="J2700" t="inlineStr">
        <is>
          <t>G00323</t>
        </is>
      </c>
      <c r="K2700" t="str">
        <f>INDEX('Match Groups'!$D$5:$D$1326,MATCH(J2700,'Match Groups'!$A$5:$A$1326,0))</f>
        <v>MATCH</v>
      </c>
    </row>
    <row r="2701">
      <c r="A2701" t="inlineStr">
        <is>
          <t>JI-00987</t>
        </is>
      </c>
      <c r="B2701" t="inlineStr">
        <is>
          <t>OPS</t>
        </is>
      </c>
      <c r="C2701" s="5" t="n">
        <v>46254</v>
      </c>
      <c r="D2701" t="inlineStr">
        <is>
          <t>Ironbark Plan Management</t>
        </is>
      </c>
      <c r="E2701" t="inlineStr">
        <is>
          <t>INV/2026/02521</t>
        </is>
      </c>
      <c r="F2701" t="inlineStr">
        <is>
          <t>Customer payment INV/2026/02521</t>
        </is>
      </c>
      <c r="G2701" s="9" t="n">
        <v>223.99</v>
      </c>
      <c r="H2701" t="inlineStr">
        <is>
          <t>customer_payment</t>
        </is>
      </c>
      <c r="I2701" t="inlineStr"/>
      <c r="J2701" t="inlineStr">
        <is>
          <t>G00323</t>
        </is>
      </c>
      <c r="K2701" t="str">
        <f>INDEX('Match Groups'!$D$5:$D$1326,MATCH(J2701,'Match Groups'!$A$5:$A$1326,0))</f>
        <v>MATCH</v>
      </c>
    </row>
    <row r="2702">
      <c r="A2702" t="inlineStr">
        <is>
          <t>JI-00988</t>
        </is>
      </c>
      <c r="B2702" t="inlineStr">
        <is>
          <t>OPS</t>
        </is>
      </c>
      <c r="C2702" s="5" t="n">
        <v>46254</v>
      </c>
      <c r="D2702" t="inlineStr">
        <is>
          <t>Ironbark Plan Management</t>
        </is>
      </c>
      <c r="E2702" t="inlineStr">
        <is>
          <t>INV/2026/02545</t>
        </is>
      </c>
      <c r="F2702" t="inlineStr">
        <is>
          <t>Customer payment INV/2026/02545</t>
        </is>
      </c>
      <c r="G2702" s="9" t="n">
        <v>300.69</v>
      </c>
      <c r="H2702" t="inlineStr">
        <is>
          <t>customer_payment</t>
        </is>
      </c>
      <c r="I2702" t="inlineStr"/>
      <c r="J2702" t="inlineStr">
        <is>
          <t>G00323</t>
        </is>
      </c>
      <c r="K2702" t="str">
        <f>INDEX('Match Groups'!$D$5:$D$1326,MATCH(J2702,'Match Groups'!$A$5:$A$1326,0))</f>
        <v>MATCH</v>
      </c>
    </row>
    <row r="2703">
      <c r="A2703" t="inlineStr">
        <is>
          <t>JI-00989</t>
        </is>
      </c>
      <c r="B2703" t="inlineStr">
        <is>
          <t>OPS</t>
        </is>
      </c>
      <c r="C2703" s="5" t="n">
        <v>46254</v>
      </c>
      <c r="D2703" t="inlineStr">
        <is>
          <t>Ironbark Plan Management</t>
        </is>
      </c>
      <c r="E2703" t="inlineStr">
        <is>
          <t>INV/2026/02591</t>
        </is>
      </c>
      <c r="F2703" t="inlineStr">
        <is>
          <t>Customer payment INV/2026/02591</t>
        </is>
      </c>
      <c r="G2703" s="9" t="n">
        <v>193.99</v>
      </c>
      <c r="H2703" t="inlineStr">
        <is>
          <t>customer_payment</t>
        </is>
      </c>
      <c r="I2703" t="inlineStr"/>
      <c r="J2703" t="inlineStr">
        <is>
          <t>G00323</t>
        </is>
      </c>
      <c r="K2703" t="str">
        <f>INDEX('Match Groups'!$D$5:$D$1326,MATCH(J2703,'Match Groups'!$A$5:$A$1326,0))</f>
        <v>MATCH</v>
      </c>
    </row>
    <row r="2704">
      <c r="A2704" t="inlineStr">
        <is>
          <t>JI-00990</t>
        </is>
      </c>
      <c r="B2704" t="inlineStr">
        <is>
          <t>OPS</t>
        </is>
      </c>
      <c r="C2704" s="5" t="n">
        <v>46254</v>
      </c>
      <c r="D2704" t="inlineStr">
        <is>
          <t>Ironbark Plan Management</t>
        </is>
      </c>
      <c r="E2704" t="inlineStr">
        <is>
          <t>INV/2026/02592</t>
        </is>
      </c>
      <c r="F2704" t="inlineStr">
        <is>
          <t>Customer payment INV/2026/02592</t>
        </is>
      </c>
      <c r="G2704" s="9" t="n">
        <v>96.98999999999999</v>
      </c>
      <c r="H2704" t="inlineStr">
        <is>
          <t>customer_payment</t>
        </is>
      </c>
      <c r="I2704" t="inlineStr"/>
      <c r="J2704" t="inlineStr">
        <is>
          <t>G00323</t>
        </is>
      </c>
      <c r="K2704" t="str">
        <f>INDEX('Match Groups'!$D$5:$D$1326,MATCH(J2704,'Match Groups'!$A$5:$A$1326,0))</f>
        <v>MATCH</v>
      </c>
    </row>
    <row r="2705">
      <c r="A2705" t="inlineStr">
        <is>
          <t>JI-00991</t>
        </is>
      </c>
      <c r="B2705" t="inlineStr">
        <is>
          <t>OPS</t>
        </is>
      </c>
      <c r="C2705" s="5" t="n">
        <v>46254</v>
      </c>
      <c r="D2705" t="inlineStr">
        <is>
          <t>Ironbark Plan Management</t>
        </is>
      </c>
      <c r="E2705" t="inlineStr">
        <is>
          <t>INV/2026/02640</t>
        </is>
      </c>
      <c r="F2705" t="inlineStr">
        <is>
          <t>Customer payment INV/2026/02640</t>
        </is>
      </c>
      <c r="G2705" s="9" t="n">
        <v>417.98</v>
      </c>
      <c r="H2705" t="inlineStr">
        <is>
          <t>customer_payment</t>
        </is>
      </c>
      <c r="I2705" t="inlineStr"/>
      <c r="J2705" t="inlineStr">
        <is>
          <t>G00323</t>
        </is>
      </c>
      <c r="K2705" t="str">
        <f>INDEX('Match Groups'!$D$5:$D$1326,MATCH(J2705,'Match Groups'!$A$5:$A$1326,0))</f>
        <v>MATCH</v>
      </c>
    </row>
    <row r="2706">
      <c r="A2706" t="inlineStr">
        <is>
          <t>JI-00992</t>
        </is>
      </c>
      <c r="B2706" t="inlineStr">
        <is>
          <t>OPS</t>
        </is>
      </c>
      <c r="C2706" s="5" t="n">
        <v>46254</v>
      </c>
      <c r="D2706" t="inlineStr">
        <is>
          <t>Ironbark Plan Management</t>
        </is>
      </c>
      <c r="E2706" t="inlineStr">
        <is>
          <t>INV/2026/02671</t>
        </is>
      </c>
      <c r="F2706" t="inlineStr">
        <is>
          <t>Customer payment INV/2026/02671</t>
        </is>
      </c>
      <c r="G2706" s="9" t="n">
        <v>145.49</v>
      </c>
      <c r="H2706" t="inlineStr">
        <is>
          <t>customer_payment</t>
        </is>
      </c>
      <c r="I2706" t="inlineStr"/>
      <c r="J2706" t="inlineStr">
        <is>
          <t>G00323</t>
        </is>
      </c>
      <c r="K2706" t="str">
        <f>INDEX('Match Groups'!$D$5:$D$1326,MATCH(J2706,'Match Groups'!$A$5:$A$1326,0))</f>
        <v>MATCH</v>
      </c>
    </row>
    <row r="2707">
      <c r="A2707" t="inlineStr">
        <is>
          <t>JI-00993</t>
        </is>
      </c>
      <c r="B2707" t="inlineStr">
        <is>
          <t>OPS</t>
        </is>
      </c>
      <c r="C2707" s="5" t="n">
        <v>46254</v>
      </c>
      <c r="D2707" t="inlineStr">
        <is>
          <t>Kookaburra Plan Support</t>
        </is>
      </c>
      <c r="E2707" t="inlineStr">
        <is>
          <t>INV/2026/02594</t>
        </is>
      </c>
      <c r="F2707" t="inlineStr">
        <is>
          <t>Customer payment INV/2026/02594</t>
        </is>
      </c>
      <c r="G2707" s="9" t="n">
        <v>349.18</v>
      </c>
      <c r="H2707" t="inlineStr">
        <is>
          <t>customer_payment</t>
        </is>
      </c>
      <c r="I2707" t="inlineStr"/>
      <c r="J2707" t="inlineStr">
        <is>
          <t>G00324</t>
        </is>
      </c>
      <c r="K2707" t="str">
        <f>INDEX('Match Groups'!$D$5:$D$1326,MATCH(J2707,'Match Groups'!$A$5:$A$1326,0))</f>
        <v>MATCH</v>
      </c>
    </row>
    <row r="2708">
      <c r="A2708" t="inlineStr">
        <is>
          <t>JI-00994</t>
        </is>
      </c>
      <c r="B2708" t="inlineStr">
        <is>
          <t>OPS</t>
        </is>
      </c>
      <c r="C2708" s="5" t="n">
        <v>46254</v>
      </c>
      <c r="D2708" t="inlineStr">
        <is>
          <t>Kookaburra Plan Support</t>
        </is>
      </c>
      <c r="E2708" t="inlineStr">
        <is>
          <t>INV/2026/02617</t>
        </is>
      </c>
      <c r="F2708" t="inlineStr">
        <is>
          <t>Customer payment INV/2026/02617</t>
        </is>
      </c>
      <c r="G2708" s="9" t="n">
        <v>417.98</v>
      </c>
      <c r="H2708" t="inlineStr">
        <is>
          <t>customer_payment</t>
        </is>
      </c>
      <c r="I2708" t="inlineStr"/>
      <c r="J2708" t="inlineStr">
        <is>
          <t>G00324</t>
        </is>
      </c>
      <c r="K2708" t="str">
        <f>INDEX('Match Groups'!$D$5:$D$1326,MATCH(J2708,'Match Groups'!$A$5:$A$1326,0))</f>
        <v>MATCH</v>
      </c>
    </row>
    <row r="2709">
      <c r="A2709" t="inlineStr">
        <is>
          <t>JI-00995</t>
        </is>
      </c>
      <c r="B2709" t="inlineStr">
        <is>
          <t>OPS</t>
        </is>
      </c>
      <c r="C2709" s="5" t="n">
        <v>46254</v>
      </c>
      <c r="D2709" t="inlineStr">
        <is>
          <t>Kookaburra Plan Support</t>
        </is>
      </c>
      <c r="E2709" t="inlineStr">
        <is>
          <t>INV/2026/02618</t>
        </is>
      </c>
      <c r="F2709" t="inlineStr">
        <is>
          <t>Customer payment INV/2026/02618</t>
        </is>
      </c>
      <c r="G2709" s="9" t="n">
        <v>96.98999999999999</v>
      </c>
      <c r="H2709" t="inlineStr">
        <is>
          <t>customer_payment</t>
        </is>
      </c>
      <c r="I2709" t="inlineStr"/>
      <c r="J2709" t="inlineStr">
        <is>
          <t>G00324</t>
        </is>
      </c>
      <c r="K2709" t="str">
        <f>INDEX('Match Groups'!$D$5:$D$1326,MATCH(J2709,'Match Groups'!$A$5:$A$1326,0))</f>
        <v>MATCH</v>
      </c>
    </row>
    <row r="2710">
      <c r="A2710" t="inlineStr">
        <is>
          <t>JI-00996</t>
        </is>
      </c>
      <c r="B2710" t="inlineStr">
        <is>
          <t>OPS</t>
        </is>
      </c>
      <c r="C2710" s="5" t="n">
        <v>46254</v>
      </c>
      <c r="D2710" t="inlineStr">
        <is>
          <t>Saltbush Plan Managers</t>
        </is>
      </c>
      <c r="E2710" t="inlineStr">
        <is>
          <t>INV/2026/02619</t>
        </is>
      </c>
      <c r="F2710" t="inlineStr">
        <is>
          <t>Customer payment INV/2026/02619</t>
        </is>
      </c>
      <c r="G2710" s="9" t="n">
        <v>96.98999999999999</v>
      </c>
      <c r="H2710" t="inlineStr">
        <is>
          <t>customer_payment</t>
        </is>
      </c>
      <c r="I2710" t="inlineStr"/>
      <c r="J2710" t="inlineStr">
        <is>
          <t>G00325</t>
        </is>
      </c>
      <c r="K2710" t="str">
        <f>INDEX('Match Groups'!$D$5:$D$1326,MATCH(J2710,'Match Groups'!$A$5:$A$1326,0))</f>
        <v>MATCH</v>
      </c>
    </row>
    <row r="2711">
      <c r="A2711" t="inlineStr">
        <is>
          <t>JI-00997</t>
        </is>
      </c>
      <c r="B2711" t="inlineStr">
        <is>
          <t>OPS</t>
        </is>
      </c>
      <c r="C2711" s="5" t="n">
        <v>46254</v>
      </c>
      <c r="D2711" t="inlineStr">
        <is>
          <t>Saltbush Plan Managers</t>
        </is>
      </c>
      <c r="E2711" t="inlineStr">
        <is>
          <t>INV/2026/02643</t>
        </is>
      </c>
      <c r="F2711" t="inlineStr">
        <is>
          <t>Customer payment INV/2026/02643</t>
        </is>
      </c>
      <c r="G2711" s="9" t="n">
        <v>242.49</v>
      </c>
      <c r="H2711" t="inlineStr">
        <is>
          <t>customer_payment</t>
        </is>
      </c>
      <c r="I2711" t="inlineStr"/>
      <c r="J2711" t="inlineStr">
        <is>
          <t>G00325</t>
        </is>
      </c>
      <c r="K2711" t="str">
        <f>INDEX('Match Groups'!$D$5:$D$1326,MATCH(J2711,'Match Groups'!$A$5:$A$1326,0))</f>
        <v>MATCH</v>
      </c>
    </row>
    <row r="2712">
      <c r="A2712" t="inlineStr">
        <is>
          <t>JI-00998</t>
        </is>
      </c>
      <c r="B2712" t="inlineStr">
        <is>
          <t>OPS</t>
        </is>
      </c>
      <c r="C2712" s="5" t="n">
        <v>46254</v>
      </c>
      <c r="D2712" t="inlineStr">
        <is>
          <t>Saltbush Plan Managers</t>
        </is>
      </c>
      <c r="E2712" t="inlineStr">
        <is>
          <t>INV/2026/02672</t>
        </is>
      </c>
      <c r="F2712" t="inlineStr">
        <is>
          <t>Customer payment INV/2026/02672</t>
        </is>
      </c>
      <c r="G2712" s="9" t="n">
        <v>145.49</v>
      </c>
      <c r="H2712" t="inlineStr">
        <is>
          <t>customer_payment</t>
        </is>
      </c>
      <c r="I2712" t="inlineStr"/>
      <c r="J2712" t="inlineStr">
        <is>
          <t>G00325</t>
        </is>
      </c>
      <c r="K2712" t="str">
        <f>INDEX('Match Groups'!$D$5:$D$1326,MATCH(J2712,'Match Groups'!$A$5:$A$1326,0))</f>
        <v>MATCH</v>
      </c>
    </row>
    <row r="2713">
      <c r="A2713" t="inlineStr">
        <is>
          <t>JI-00999</t>
        </is>
      </c>
      <c r="B2713" t="inlineStr">
        <is>
          <t>OPS</t>
        </is>
      </c>
      <c r="C2713" s="5" t="n">
        <v>46254</v>
      </c>
      <c r="D2713" t="inlineStr">
        <is>
          <t>Saltbush Plan Managers</t>
        </is>
      </c>
      <c r="E2713" t="inlineStr">
        <is>
          <t>INV/2026/02697</t>
        </is>
      </c>
      <c r="F2713" t="inlineStr">
        <is>
          <t>Customer payment INV/2026/02697</t>
        </is>
      </c>
      <c r="G2713" s="9" t="n">
        <v>417.98</v>
      </c>
      <c r="H2713" t="inlineStr">
        <is>
          <t>customer_payment</t>
        </is>
      </c>
      <c r="I2713" t="inlineStr"/>
      <c r="J2713" t="inlineStr">
        <is>
          <t>G00325</t>
        </is>
      </c>
      <c r="K2713" t="str">
        <f>INDEX('Match Groups'!$D$5:$D$1326,MATCH(J2713,'Match Groups'!$A$5:$A$1326,0))</f>
        <v>MATCH</v>
      </c>
    </row>
    <row r="2714">
      <c r="A2714" t="inlineStr">
        <is>
          <t>JI-01000</t>
        </is>
      </c>
      <c r="B2714" t="inlineStr">
        <is>
          <t>OPS</t>
        </is>
      </c>
      <c r="C2714" s="5" t="n">
        <v>46254</v>
      </c>
      <c r="D2714" t="inlineStr">
        <is>
          <t>Saltbush Plan Managers</t>
        </is>
      </c>
      <c r="E2714" t="inlineStr">
        <is>
          <t>INV/2026/02698</t>
        </is>
      </c>
      <c r="F2714" t="inlineStr">
        <is>
          <t>Customer payment INV/2026/02698</t>
        </is>
      </c>
      <c r="G2714" s="9" t="n">
        <v>387.98</v>
      </c>
      <c r="H2714" t="inlineStr">
        <is>
          <t>customer_payment</t>
        </is>
      </c>
      <c r="I2714" t="inlineStr"/>
      <c r="J2714" t="inlineStr">
        <is>
          <t>G00325</t>
        </is>
      </c>
      <c r="K2714" t="str">
        <f>INDEX('Match Groups'!$D$5:$D$1326,MATCH(J2714,'Match Groups'!$A$5:$A$1326,0))</f>
        <v>MATCH</v>
      </c>
    </row>
    <row r="2715">
      <c r="A2715" t="inlineStr">
        <is>
          <t>JI-01001</t>
        </is>
      </c>
      <c r="B2715" t="inlineStr">
        <is>
          <t>OPS</t>
        </is>
      </c>
      <c r="C2715" s="5" t="n">
        <v>46254</v>
      </c>
      <c r="D2715" t="inlineStr">
        <is>
          <t>Redgum Plan Admin</t>
        </is>
      </c>
      <c r="E2715" t="inlineStr">
        <is>
          <t>INV/2026/02700</t>
        </is>
      </c>
      <c r="F2715" t="inlineStr">
        <is>
          <t>Customer payment INV/2026/02700</t>
        </is>
      </c>
      <c r="G2715" s="9" t="n">
        <v>175.49</v>
      </c>
      <c r="H2715" t="inlineStr">
        <is>
          <t>customer_payment</t>
        </is>
      </c>
      <c r="I2715" t="inlineStr"/>
      <c r="J2715" t="inlineStr">
        <is>
          <t>G00326</t>
        </is>
      </c>
      <c r="K2715" t="str">
        <f>INDEX('Match Groups'!$D$5:$D$1326,MATCH(J2715,'Match Groups'!$A$5:$A$1326,0))</f>
        <v>MATCH</v>
      </c>
    </row>
    <row r="2716">
      <c r="A2716" t="inlineStr">
        <is>
          <t>JI-01002</t>
        </is>
      </c>
      <c r="B2716" t="inlineStr">
        <is>
          <t>OPS</t>
        </is>
      </c>
      <c r="C2716" s="5" t="n">
        <v>46254</v>
      </c>
      <c r="D2716" t="inlineStr">
        <is>
          <t>Tallowwood Plans</t>
        </is>
      </c>
      <c r="E2716" t="inlineStr">
        <is>
          <t>INV/2026/02705</t>
        </is>
      </c>
      <c r="F2716" t="inlineStr">
        <is>
          <t>Customer payment INV/2026/02705</t>
        </is>
      </c>
      <c r="G2716" s="9" t="n">
        <v>387.98</v>
      </c>
      <c r="H2716" t="inlineStr">
        <is>
          <t>customer_payment</t>
        </is>
      </c>
      <c r="I2716" t="inlineStr"/>
      <c r="J2716" t="inlineStr">
        <is>
          <t>G00327</t>
        </is>
      </c>
      <c r="K2716" t="str">
        <f>INDEX('Match Groups'!$D$5:$D$1326,MATCH(J2716,'Match Groups'!$A$5:$A$1326,0))</f>
        <v>MATCH</v>
      </c>
    </row>
    <row r="2717">
      <c r="A2717" t="inlineStr">
        <is>
          <t>JI-01003</t>
        </is>
      </c>
      <c r="B2717" t="inlineStr">
        <is>
          <t>OPS</t>
        </is>
      </c>
      <c r="C2717" s="5" t="n">
        <v>46254</v>
      </c>
      <c r="D2717" t="inlineStr">
        <is>
          <t>Acacia Plan Partners</t>
        </is>
      </c>
      <c r="E2717" t="inlineStr">
        <is>
          <t>INV/2026/02605</t>
        </is>
      </c>
      <c r="F2717" t="inlineStr">
        <is>
          <t>Customer payment INV/2026/02605</t>
        </is>
      </c>
      <c r="G2717" s="9" t="n">
        <v>417.98</v>
      </c>
      <c r="H2717" t="inlineStr">
        <is>
          <t>customer_payment</t>
        </is>
      </c>
      <c r="I2717" t="inlineStr"/>
      <c r="J2717" t="inlineStr">
        <is>
          <t>G00328</t>
        </is>
      </c>
      <c r="K2717" t="str">
        <f>INDEX('Match Groups'!$D$5:$D$1326,MATCH(J2717,'Match Groups'!$A$5:$A$1326,0))</f>
        <v>MATCH</v>
      </c>
    </row>
    <row r="2718">
      <c r="A2718" t="inlineStr">
        <is>
          <t>JI-01004</t>
        </is>
      </c>
      <c r="B2718" t="inlineStr">
        <is>
          <t>OPS</t>
        </is>
      </c>
      <c r="C2718" s="5" t="n">
        <v>46254</v>
      </c>
      <c r="D2718" t="inlineStr">
        <is>
          <t>Acacia Plan Partners</t>
        </is>
      </c>
      <c r="E2718" t="inlineStr">
        <is>
          <t>INV/2026/02651</t>
        </is>
      </c>
      <c r="F2718" t="inlineStr">
        <is>
          <t>Customer payment INV/2026/02651</t>
        </is>
      </c>
      <c r="G2718" s="9" t="n">
        <v>290.98</v>
      </c>
      <c r="H2718" t="inlineStr">
        <is>
          <t>customer_payment</t>
        </is>
      </c>
      <c r="I2718" t="inlineStr"/>
      <c r="J2718" t="inlineStr">
        <is>
          <t>G00328</t>
        </is>
      </c>
      <c r="K2718" t="str">
        <f>INDEX('Match Groups'!$D$5:$D$1326,MATCH(J2718,'Match Groups'!$A$5:$A$1326,0))</f>
        <v>MATCH</v>
      </c>
    </row>
    <row r="2719">
      <c r="A2719" t="inlineStr">
        <is>
          <t>JI-01005</t>
        </is>
      </c>
      <c r="B2719" t="inlineStr">
        <is>
          <t>OPS</t>
        </is>
      </c>
      <c r="C2719" s="5" t="n">
        <v>46254</v>
      </c>
      <c r="D2719" t="inlineStr">
        <is>
          <t>Acacia Plan Partners</t>
        </is>
      </c>
      <c r="E2719" t="inlineStr">
        <is>
          <t>INV/2026/02652</t>
        </is>
      </c>
      <c r="F2719" t="inlineStr">
        <is>
          <t>Customer payment INV/2026/02652</t>
        </is>
      </c>
      <c r="G2719" s="9" t="n">
        <v>417.98</v>
      </c>
      <c r="H2719" t="inlineStr">
        <is>
          <t>customer_payment</t>
        </is>
      </c>
      <c r="I2719" t="inlineStr"/>
      <c r="J2719" t="inlineStr">
        <is>
          <t>G00328</t>
        </is>
      </c>
      <c r="K2719" t="str">
        <f>INDEX('Match Groups'!$D$5:$D$1326,MATCH(J2719,'Match Groups'!$A$5:$A$1326,0))</f>
        <v>MATCH</v>
      </c>
    </row>
    <row r="2720">
      <c r="A2720" t="inlineStr">
        <is>
          <t>JI-01006</t>
        </is>
      </c>
      <c r="B2720" t="inlineStr">
        <is>
          <t>OPS</t>
        </is>
      </c>
      <c r="C2720" s="5" t="n">
        <v>46254</v>
      </c>
      <c r="D2720" t="inlineStr">
        <is>
          <t>Acacia Plan Partners</t>
        </is>
      </c>
      <c r="E2720" t="inlineStr">
        <is>
          <t>INV/2026/02680</t>
        </is>
      </c>
      <c r="F2720" t="inlineStr">
        <is>
          <t>Customer payment INV/2026/02680</t>
        </is>
      </c>
      <c r="G2720" s="9" t="n">
        <v>203.69</v>
      </c>
      <c r="H2720" t="inlineStr">
        <is>
          <t>customer_payment</t>
        </is>
      </c>
      <c r="I2720" t="inlineStr"/>
      <c r="J2720" t="inlineStr">
        <is>
          <t>G00328</t>
        </is>
      </c>
      <c r="K2720" t="str">
        <f>INDEX('Match Groups'!$D$5:$D$1326,MATCH(J2720,'Match Groups'!$A$5:$A$1326,0))</f>
        <v>MATCH</v>
      </c>
    </row>
    <row r="2721">
      <c r="A2721" t="inlineStr">
        <is>
          <t>JI-01637</t>
        </is>
      </c>
      <c r="B2721" t="inlineStr">
        <is>
          <t>OPS</t>
        </is>
      </c>
      <c r="C2721" s="5" t="n">
        <v>46254</v>
      </c>
      <c r="D2721" t="inlineStr">
        <is>
          <t>Northline Injury Claims</t>
        </is>
      </c>
      <c r="E2721" t="inlineStr">
        <is>
          <t>INV/2026/02491</t>
        </is>
      </c>
      <c r="F2721" t="inlineStr">
        <is>
          <t>Customer payment INV/2026/02491</t>
        </is>
      </c>
      <c r="G2721" s="9" t="n">
        <v>264</v>
      </c>
      <c r="H2721" t="inlineStr">
        <is>
          <t>customer_payment</t>
        </is>
      </c>
      <c r="I2721" t="inlineStr"/>
      <c r="J2721" t="inlineStr">
        <is>
          <t>G01014</t>
        </is>
      </c>
      <c r="K2721" t="str">
        <f>INDEX('Match Groups'!$D$5:$D$1326,MATCH(J2721,'Match Groups'!$A$5:$A$1326,0))</f>
        <v>MATCH</v>
      </c>
    </row>
    <row r="2722">
      <c r="A2722" t="inlineStr">
        <is>
          <t>JI-01696</t>
        </is>
      </c>
      <c r="B2722" t="inlineStr">
        <is>
          <t>OPS</t>
        </is>
      </c>
      <c r="C2722" s="5" t="n">
        <v>46254</v>
      </c>
      <c r="D2722" t="inlineStr">
        <is>
          <t>Westmere Council Services</t>
        </is>
      </c>
      <c r="E2722" t="inlineStr">
        <is>
          <t>INV/2026/03482</t>
        </is>
      </c>
      <c r="F2722" t="inlineStr">
        <is>
          <t>Customer payment INV/2026/03482</t>
        </is>
      </c>
      <c r="G2722" s="9" t="n">
        <v>1402.5</v>
      </c>
      <c r="H2722" t="inlineStr">
        <is>
          <t>customer_payment</t>
        </is>
      </c>
      <c r="I2722" t="inlineStr"/>
      <c r="J2722" t="inlineStr">
        <is>
          <t>G01144</t>
        </is>
      </c>
      <c r="K2722" t="str">
        <f>INDEX('Match Groups'!$D$5:$D$1326,MATCH(J2722,'Match Groups'!$A$5:$A$1326,0))</f>
        <v>MATCH</v>
      </c>
    </row>
    <row r="2723">
      <c r="A2723" t="inlineStr">
        <is>
          <t>JI-02871</t>
        </is>
      </c>
      <c r="B2723" t="inlineStr">
        <is>
          <t>OPS</t>
        </is>
      </c>
      <c r="C2723" s="5" t="n">
        <v>46254</v>
      </c>
      <c r="D2723" t="inlineStr">
        <is>
          <t>Stripe patient 64483</t>
        </is>
      </c>
      <c r="E2723" t="inlineStr">
        <is>
          <t>INV/2026/04716</t>
        </is>
      </c>
      <c r="F2723" t="inlineStr">
        <is>
          <t>Customer payment INV/2026/04716</t>
        </is>
      </c>
      <c r="G2723" s="9" t="n">
        <v>85</v>
      </c>
      <c r="H2723" t="inlineStr">
        <is>
          <t>customer_payment</t>
        </is>
      </c>
      <c r="I2723" t="inlineStr"/>
      <c r="J2723" t="inlineStr">
        <is>
          <t>G00052</t>
        </is>
      </c>
      <c r="K2723" t="str">
        <f>INDEX('Match Groups'!$D$5:$D$1326,MATCH(J2723,'Match Groups'!$A$5:$A$1326,0))</f>
        <v>STRIPE-FEE</v>
      </c>
    </row>
    <row r="2724">
      <c r="A2724" t="inlineStr">
        <is>
          <t>JI-02872</t>
        </is>
      </c>
      <c r="B2724" t="inlineStr">
        <is>
          <t>OPS</t>
        </is>
      </c>
      <c r="C2724" s="5" t="n">
        <v>46254</v>
      </c>
      <c r="D2724" t="inlineStr">
        <is>
          <t>Stripe patient 68413</t>
        </is>
      </c>
      <c r="E2724" t="inlineStr">
        <is>
          <t>INV/2026/04717</t>
        </is>
      </c>
      <c r="F2724" t="inlineStr">
        <is>
          <t>Customer payment INV/2026/04717</t>
        </is>
      </c>
      <c r="G2724" s="9" t="n">
        <v>110</v>
      </c>
      <c r="H2724" t="inlineStr">
        <is>
          <t>customer_payment</t>
        </is>
      </c>
      <c r="I2724" t="inlineStr"/>
      <c r="J2724" t="inlineStr">
        <is>
          <t>G00052</t>
        </is>
      </c>
      <c r="K2724" t="str">
        <f>INDEX('Match Groups'!$D$5:$D$1326,MATCH(J2724,'Match Groups'!$A$5:$A$1326,0))</f>
        <v>STRIPE-FEE</v>
      </c>
    </row>
    <row r="2725">
      <c r="A2725" t="inlineStr">
        <is>
          <t>JI-02873</t>
        </is>
      </c>
      <c r="B2725" t="inlineStr">
        <is>
          <t>OPS</t>
        </is>
      </c>
      <c r="C2725" s="5" t="n">
        <v>46254</v>
      </c>
      <c r="D2725" t="inlineStr">
        <is>
          <t>Stripe patient 10416</t>
        </is>
      </c>
      <c r="E2725" t="inlineStr">
        <is>
          <t>INV/2026/04718</t>
        </is>
      </c>
      <c r="F2725" t="inlineStr">
        <is>
          <t>Customer payment INV/2026/04718</t>
        </is>
      </c>
      <c r="G2725" s="9" t="n">
        <v>135</v>
      </c>
      <c r="H2725" t="inlineStr">
        <is>
          <t>customer_payment</t>
        </is>
      </c>
      <c r="I2725" t="inlineStr"/>
      <c r="J2725" t="inlineStr">
        <is>
          <t>G00052</t>
        </is>
      </c>
      <c r="K2725" t="str">
        <f>INDEX('Match Groups'!$D$5:$D$1326,MATCH(J2725,'Match Groups'!$A$5:$A$1326,0))</f>
        <v>STRIPE-FEE</v>
      </c>
    </row>
    <row r="2726">
      <c r="A2726" t="inlineStr">
        <is>
          <t>JI-02874</t>
        </is>
      </c>
      <c r="B2726" t="inlineStr">
        <is>
          <t>OPS</t>
        </is>
      </c>
      <c r="C2726" s="5" t="n">
        <v>46254</v>
      </c>
      <c r="D2726" t="inlineStr">
        <is>
          <t>Stripe patient 82967</t>
        </is>
      </c>
      <c r="E2726" t="inlineStr">
        <is>
          <t>INV/2026/04719</t>
        </is>
      </c>
      <c r="F2726" t="inlineStr">
        <is>
          <t>Customer payment INV/2026/04719</t>
        </is>
      </c>
      <c r="G2726" s="9" t="n">
        <v>95</v>
      </c>
      <c r="H2726" t="inlineStr">
        <is>
          <t>customer_payment</t>
        </is>
      </c>
      <c r="I2726" t="inlineStr"/>
      <c r="J2726" t="inlineStr">
        <is>
          <t>G00052</t>
        </is>
      </c>
      <c r="K2726" t="str">
        <f>INDEX('Match Groups'!$D$5:$D$1326,MATCH(J2726,'Match Groups'!$A$5:$A$1326,0))</f>
        <v>STRIPE-FEE</v>
      </c>
    </row>
    <row r="2727">
      <c r="A2727" t="inlineStr">
        <is>
          <t>JI-02875</t>
        </is>
      </c>
      <c r="B2727" t="inlineStr">
        <is>
          <t>OPS</t>
        </is>
      </c>
      <c r="C2727" s="5" t="n">
        <v>46254</v>
      </c>
      <c r="D2727" t="inlineStr">
        <is>
          <t>Stripe patient 22419</t>
        </is>
      </c>
      <c r="E2727" t="inlineStr">
        <is>
          <t>INV/2026/04720</t>
        </is>
      </c>
      <c r="F2727" t="inlineStr">
        <is>
          <t>Customer payment INV/2026/04720</t>
        </is>
      </c>
      <c r="G2727" s="9" t="n">
        <v>110</v>
      </c>
      <c r="H2727" t="inlineStr">
        <is>
          <t>customer_payment</t>
        </is>
      </c>
      <c r="I2727" t="inlineStr"/>
      <c r="J2727" t="inlineStr">
        <is>
          <t>G00052</t>
        </is>
      </c>
      <c r="K2727" t="str">
        <f>INDEX('Match Groups'!$D$5:$D$1326,MATCH(J2727,'Match Groups'!$A$5:$A$1326,0))</f>
        <v>STRIPE-FEE</v>
      </c>
    </row>
    <row r="2728">
      <c r="A2728" t="inlineStr">
        <is>
          <t>JI-02876</t>
        </is>
      </c>
      <c r="B2728" t="inlineStr">
        <is>
          <t>OPS</t>
        </is>
      </c>
      <c r="C2728" s="5" t="n">
        <v>46254</v>
      </c>
      <c r="D2728" t="inlineStr">
        <is>
          <t>Stripe patient 80910</t>
        </is>
      </c>
      <c r="E2728" t="inlineStr">
        <is>
          <t>INV/2026/04721</t>
        </is>
      </c>
      <c r="F2728" t="inlineStr">
        <is>
          <t>Customer payment INV/2026/04721</t>
        </is>
      </c>
      <c r="G2728" s="9" t="n">
        <v>110</v>
      </c>
      <c r="H2728" t="inlineStr">
        <is>
          <t>customer_payment</t>
        </is>
      </c>
      <c r="I2728" t="inlineStr"/>
      <c r="J2728" t="inlineStr">
        <is>
          <t>G00052</t>
        </is>
      </c>
      <c r="K2728" t="str">
        <f>INDEX('Match Groups'!$D$5:$D$1326,MATCH(J2728,'Match Groups'!$A$5:$A$1326,0))</f>
        <v>STRIPE-FEE</v>
      </c>
    </row>
    <row r="2729">
      <c r="A2729" t="inlineStr">
        <is>
          <t>JI-02877</t>
        </is>
      </c>
      <c r="B2729" t="inlineStr">
        <is>
          <t>OPS</t>
        </is>
      </c>
      <c r="C2729" s="5" t="n">
        <v>46254</v>
      </c>
      <c r="D2729" t="inlineStr">
        <is>
          <t>Stripe patient 46649</t>
        </is>
      </c>
      <c r="E2729" t="inlineStr">
        <is>
          <t>INV/2026/04722</t>
        </is>
      </c>
      <c r="F2729" t="inlineStr">
        <is>
          <t>Customer payment INV/2026/04722</t>
        </is>
      </c>
      <c r="G2729" s="9" t="n">
        <v>150</v>
      </c>
      <c r="H2729" t="inlineStr">
        <is>
          <t>customer_payment</t>
        </is>
      </c>
      <c r="I2729" t="inlineStr"/>
      <c r="J2729" t="inlineStr">
        <is>
          <t>G00052</t>
        </is>
      </c>
      <c r="K2729" t="str">
        <f>INDEX('Match Groups'!$D$5:$D$1326,MATCH(J2729,'Match Groups'!$A$5:$A$1326,0))</f>
        <v>STRIPE-FEE</v>
      </c>
    </row>
    <row r="2730">
      <c r="A2730" t="inlineStr">
        <is>
          <t>JI-02878</t>
        </is>
      </c>
      <c r="B2730" t="inlineStr">
        <is>
          <t>OPS</t>
        </is>
      </c>
      <c r="C2730" s="5" t="n">
        <v>46254</v>
      </c>
      <c r="D2730" t="inlineStr">
        <is>
          <t>Stripe patient 74838</t>
        </is>
      </c>
      <c r="E2730" t="inlineStr">
        <is>
          <t>INV/2026/04723</t>
        </is>
      </c>
      <c r="F2730" t="inlineStr">
        <is>
          <t>Customer payment INV/2026/04723</t>
        </is>
      </c>
      <c r="G2730" s="9" t="n">
        <v>180</v>
      </c>
      <c r="H2730" t="inlineStr">
        <is>
          <t>customer_payment</t>
        </is>
      </c>
      <c r="I2730" t="inlineStr"/>
      <c r="J2730" t="inlineStr">
        <is>
          <t>G00052</t>
        </is>
      </c>
      <c r="K2730" t="str">
        <f>INDEX('Match Groups'!$D$5:$D$1326,MATCH(J2730,'Match Groups'!$A$5:$A$1326,0))</f>
        <v>STRIPE-FEE</v>
      </c>
    </row>
    <row r="2731">
      <c r="A2731" t="inlineStr">
        <is>
          <t>JI-02879</t>
        </is>
      </c>
      <c r="B2731" t="inlineStr">
        <is>
          <t>OPS</t>
        </is>
      </c>
      <c r="C2731" s="5" t="n">
        <v>46254</v>
      </c>
      <c r="D2731" t="inlineStr">
        <is>
          <t>Stripe patient 43229</t>
        </is>
      </c>
      <c r="E2731" t="inlineStr">
        <is>
          <t>INV/2026/04724</t>
        </is>
      </c>
      <c r="F2731" t="inlineStr">
        <is>
          <t>Customer payment INV/2026/04724</t>
        </is>
      </c>
      <c r="G2731" s="9" t="n">
        <v>150</v>
      </c>
      <c r="H2731" t="inlineStr">
        <is>
          <t>customer_payment</t>
        </is>
      </c>
      <c r="I2731" t="inlineStr"/>
      <c r="J2731" t="inlineStr">
        <is>
          <t>G00052</t>
        </is>
      </c>
      <c r="K2731" t="str">
        <f>INDEX('Match Groups'!$D$5:$D$1326,MATCH(J2731,'Match Groups'!$A$5:$A$1326,0))</f>
        <v>STRIPE-FEE</v>
      </c>
    </row>
    <row r="2732">
      <c r="A2732" t="inlineStr">
        <is>
          <t>JI-02880</t>
        </is>
      </c>
      <c r="B2732" t="inlineStr">
        <is>
          <t>OPS</t>
        </is>
      </c>
      <c r="C2732" s="5" t="n">
        <v>46254</v>
      </c>
      <c r="D2732" t="inlineStr">
        <is>
          <t>Stripe patient 36360</t>
        </is>
      </c>
      <c r="E2732" t="inlineStr">
        <is>
          <t>INV/2026/04725</t>
        </is>
      </c>
      <c r="F2732" t="inlineStr">
        <is>
          <t>Customer payment INV/2026/04725</t>
        </is>
      </c>
      <c r="G2732" s="9" t="n">
        <v>150</v>
      </c>
      <c r="H2732" t="inlineStr">
        <is>
          <t>customer_payment</t>
        </is>
      </c>
      <c r="I2732" t="inlineStr"/>
      <c r="J2732" t="inlineStr">
        <is>
          <t>G00052</t>
        </is>
      </c>
      <c r="K2732" t="str">
        <f>INDEX('Match Groups'!$D$5:$D$1326,MATCH(J2732,'Match Groups'!$A$5:$A$1326,0))</f>
        <v>STRIPE-FEE</v>
      </c>
    </row>
    <row r="2733">
      <c r="A2733" t="inlineStr">
        <is>
          <t>JI-02881</t>
        </is>
      </c>
      <c r="B2733" t="inlineStr">
        <is>
          <t>OPS</t>
        </is>
      </c>
      <c r="C2733" s="5" t="n">
        <v>46254</v>
      </c>
      <c r="D2733" t="inlineStr">
        <is>
          <t>Stripe patient 38827</t>
        </is>
      </c>
      <c r="E2733" t="inlineStr">
        <is>
          <t>INV/2026/04726</t>
        </is>
      </c>
      <c r="F2733" t="inlineStr">
        <is>
          <t>Customer payment INV/2026/04726</t>
        </is>
      </c>
      <c r="G2733" s="9" t="n">
        <v>95</v>
      </c>
      <c r="H2733" t="inlineStr">
        <is>
          <t>customer_payment</t>
        </is>
      </c>
      <c r="I2733" t="inlineStr"/>
      <c r="J2733" t="inlineStr">
        <is>
          <t>G00052</t>
        </is>
      </c>
      <c r="K2733" t="str">
        <f>INDEX('Match Groups'!$D$5:$D$1326,MATCH(J2733,'Match Groups'!$A$5:$A$1326,0))</f>
        <v>STRIPE-FEE</v>
      </c>
    </row>
    <row r="2734">
      <c r="A2734" t="inlineStr">
        <is>
          <t>JI-02882</t>
        </is>
      </c>
      <c r="B2734" t="inlineStr">
        <is>
          <t>OPS</t>
        </is>
      </c>
      <c r="C2734" s="5" t="n">
        <v>46254</v>
      </c>
      <c r="D2734" t="inlineStr">
        <is>
          <t>Stripe patient 78239</t>
        </is>
      </c>
      <c r="E2734" t="inlineStr">
        <is>
          <t>INV/2026/04727</t>
        </is>
      </c>
      <c r="F2734" t="inlineStr">
        <is>
          <t>Customer payment INV/2026/04727</t>
        </is>
      </c>
      <c r="G2734" s="9" t="n">
        <v>65</v>
      </c>
      <c r="H2734" t="inlineStr">
        <is>
          <t>customer_payment</t>
        </is>
      </c>
      <c r="I2734" t="inlineStr"/>
      <c r="J2734" t="inlineStr">
        <is>
          <t>G00052</t>
        </is>
      </c>
      <c r="K2734" t="str">
        <f>INDEX('Match Groups'!$D$5:$D$1326,MATCH(J2734,'Match Groups'!$A$5:$A$1326,0))</f>
        <v>STRIPE-FEE</v>
      </c>
    </row>
    <row r="2735">
      <c r="A2735" t="inlineStr">
        <is>
          <t>JI-02883</t>
        </is>
      </c>
      <c r="B2735" t="inlineStr">
        <is>
          <t>OPS</t>
        </is>
      </c>
      <c r="C2735" s="5" t="n">
        <v>46254</v>
      </c>
      <c r="D2735" t="inlineStr">
        <is>
          <t>Stripe patient 18360</t>
        </is>
      </c>
      <c r="E2735" t="inlineStr">
        <is>
          <t>INV/2026/04728</t>
        </is>
      </c>
      <c r="F2735" t="inlineStr">
        <is>
          <t>Customer payment INV/2026/04728</t>
        </is>
      </c>
      <c r="G2735" s="9" t="n">
        <v>180</v>
      </c>
      <c r="H2735" t="inlineStr">
        <is>
          <t>customer_payment</t>
        </is>
      </c>
      <c r="I2735" t="inlineStr"/>
      <c r="J2735" t="inlineStr">
        <is>
          <t>G00052</t>
        </is>
      </c>
      <c r="K2735" t="str">
        <f>INDEX('Match Groups'!$D$5:$D$1326,MATCH(J2735,'Match Groups'!$A$5:$A$1326,0))</f>
        <v>STRIPE-FEE</v>
      </c>
    </row>
    <row r="2736">
      <c r="A2736" t="inlineStr">
        <is>
          <t>JI-02884</t>
        </is>
      </c>
      <c r="B2736" t="inlineStr">
        <is>
          <t>OPS</t>
        </is>
      </c>
      <c r="C2736" s="5" t="n">
        <v>46254</v>
      </c>
      <c r="D2736" t="inlineStr">
        <is>
          <t>Stripe patient 84567</t>
        </is>
      </c>
      <c r="E2736" t="inlineStr">
        <is>
          <t>INV/2026/04729</t>
        </is>
      </c>
      <c r="F2736" t="inlineStr">
        <is>
          <t>Customer payment INV/2026/04729</t>
        </is>
      </c>
      <c r="G2736" s="9" t="n">
        <v>150</v>
      </c>
      <c r="H2736" t="inlineStr">
        <is>
          <t>customer_payment</t>
        </is>
      </c>
      <c r="I2736" t="inlineStr"/>
      <c r="J2736" t="inlineStr">
        <is>
          <t>G00052</t>
        </is>
      </c>
      <c r="K2736" t="str">
        <f>INDEX('Match Groups'!$D$5:$D$1326,MATCH(J2736,'Match Groups'!$A$5:$A$1326,0))</f>
        <v>STRIPE-FEE</v>
      </c>
    </row>
    <row r="2737">
      <c r="A2737" t="inlineStr">
        <is>
          <t>JI-02885</t>
        </is>
      </c>
      <c r="B2737" t="inlineStr">
        <is>
          <t>OPS</t>
        </is>
      </c>
      <c r="C2737" s="5" t="n">
        <v>46254</v>
      </c>
      <c r="D2737" t="inlineStr">
        <is>
          <t>Stripe patient 57509</t>
        </is>
      </c>
      <c r="E2737" t="inlineStr">
        <is>
          <t>INV/2026/04730</t>
        </is>
      </c>
      <c r="F2737" t="inlineStr">
        <is>
          <t>Customer payment INV/2026/04730</t>
        </is>
      </c>
      <c r="G2737" s="9" t="n">
        <v>65</v>
      </c>
      <c r="H2737" t="inlineStr">
        <is>
          <t>customer_payment</t>
        </is>
      </c>
      <c r="I2737" t="inlineStr"/>
      <c r="J2737" t="inlineStr">
        <is>
          <t>G00052</t>
        </is>
      </c>
      <c r="K2737" t="str">
        <f>INDEX('Match Groups'!$D$5:$D$1326,MATCH(J2737,'Match Groups'!$A$5:$A$1326,0))</f>
        <v>STRIPE-FEE</v>
      </c>
    </row>
    <row r="2738">
      <c r="A2738" t="inlineStr">
        <is>
          <t>JI-02886</t>
        </is>
      </c>
      <c r="B2738" t="inlineStr">
        <is>
          <t>OPS</t>
        </is>
      </c>
      <c r="C2738" s="5" t="n">
        <v>46254</v>
      </c>
      <c r="D2738" t="inlineStr">
        <is>
          <t>Stripe patient 79586</t>
        </is>
      </c>
      <c r="E2738" t="inlineStr">
        <is>
          <t>INV/2026/04731</t>
        </is>
      </c>
      <c r="F2738" t="inlineStr">
        <is>
          <t>Customer payment INV/2026/04731</t>
        </is>
      </c>
      <c r="G2738" s="9" t="n">
        <v>180</v>
      </c>
      <c r="H2738" t="inlineStr">
        <is>
          <t>customer_payment</t>
        </is>
      </c>
      <c r="I2738" t="inlineStr"/>
      <c r="J2738" t="inlineStr">
        <is>
          <t>G00052</t>
        </is>
      </c>
      <c r="K2738" t="str">
        <f>INDEX('Match Groups'!$D$5:$D$1326,MATCH(J2738,'Match Groups'!$A$5:$A$1326,0))</f>
        <v>STRIPE-FEE</v>
      </c>
    </row>
    <row r="2739">
      <c r="A2739" t="inlineStr">
        <is>
          <t>JI-02887</t>
        </is>
      </c>
      <c r="B2739" t="inlineStr">
        <is>
          <t>OPS</t>
        </is>
      </c>
      <c r="C2739" s="5" t="n">
        <v>46254</v>
      </c>
      <c r="D2739" t="inlineStr">
        <is>
          <t>Stripe patient 96964</t>
        </is>
      </c>
      <c r="E2739" t="inlineStr">
        <is>
          <t>INV/2026/04732</t>
        </is>
      </c>
      <c r="F2739" t="inlineStr">
        <is>
          <t>Customer payment INV/2026/04732</t>
        </is>
      </c>
      <c r="G2739" s="9" t="n">
        <v>85</v>
      </c>
      <c r="H2739" t="inlineStr">
        <is>
          <t>customer_payment</t>
        </is>
      </c>
      <c r="I2739" t="inlineStr"/>
      <c r="J2739" t="inlineStr">
        <is>
          <t>G00052</t>
        </is>
      </c>
      <c r="K2739" t="str">
        <f>INDEX('Match Groups'!$D$5:$D$1326,MATCH(J2739,'Match Groups'!$A$5:$A$1326,0))</f>
        <v>STRIPE-FEE</v>
      </c>
    </row>
    <row r="2740">
      <c r="A2740" t="inlineStr">
        <is>
          <t>JI-02888</t>
        </is>
      </c>
      <c r="B2740" t="inlineStr">
        <is>
          <t>OPS</t>
        </is>
      </c>
      <c r="C2740" s="5" t="n">
        <v>46254</v>
      </c>
      <c r="D2740" t="inlineStr">
        <is>
          <t>Stripe patient 84043</t>
        </is>
      </c>
      <c r="E2740" t="inlineStr">
        <is>
          <t>INV/2026/04733</t>
        </is>
      </c>
      <c r="F2740" t="inlineStr">
        <is>
          <t>Customer payment INV/2026/04733</t>
        </is>
      </c>
      <c r="G2740" s="9" t="n">
        <v>65</v>
      </c>
      <c r="H2740" t="inlineStr">
        <is>
          <t>customer_payment</t>
        </is>
      </c>
      <c r="I2740" t="inlineStr"/>
      <c r="J2740" t="inlineStr">
        <is>
          <t>G00052</t>
        </is>
      </c>
      <c r="K2740" t="str">
        <f>INDEX('Match Groups'!$D$5:$D$1326,MATCH(J2740,'Match Groups'!$A$5:$A$1326,0))</f>
        <v>STRIPE-FEE</v>
      </c>
    </row>
    <row r="2741">
      <c r="A2741" t="inlineStr">
        <is>
          <t>JI-02889</t>
        </is>
      </c>
      <c r="B2741" t="inlineStr">
        <is>
          <t>OPS</t>
        </is>
      </c>
      <c r="C2741" s="5" t="n">
        <v>46254</v>
      </c>
      <c r="D2741" t="inlineStr">
        <is>
          <t>Stripe patient 46115</t>
        </is>
      </c>
      <c r="E2741" t="inlineStr">
        <is>
          <t>INV/2026/04734</t>
        </is>
      </c>
      <c r="F2741" t="inlineStr">
        <is>
          <t>Customer payment INV/2026/04734</t>
        </is>
      </c>
      <c r="G2741" s="9" t="n">
        <v>220</v>
      </c>
      <c r="H2741" t="inlineStr">
        <is>
          <t>customer_payment</t>
        </is>
      </c>
      <c r="I2741" t="inlineStr"/>
      <c r="J2741" t="inlineStr">
        <is>
          <t>G00052</t>
        </is>
      </c>
      <c r="K2741" t="str">
        <f>INDEX('Match Groups'!$D$5:$D$1326,MATCH(J2741,'Match Groups'!$A$5:$A$1326,0))</f>
        <v>STRIPE-FEE</v>
      </c>
    </row>
    <row r="2742">
      <c r="A2742" t="inlineStr">
        <is>
          <t>JI-02890</t>
        </is>
      </c>
      <c r="B2742" t="inlineStr">
        <is>
          <t>OPS</t>
        </is>
      </c>
      <c r="C2742" s="5" t="n">
        <v>46254</v>
      </c>
      <c r="D2742" t="inlineStr">
        <is>
          <t>Stripe patient 77540</t>
        </is>
      </c>
      <c r="E2742" t="inlineStr">
        <is>
          <t>INV/2026/04735</t>
        </is>
      </c>
      <c r="F2742" t="inlineStr">
        <is>
          <t>Customer payment INV/2026/04735</t>
        </is>
      </c>
      <c r="G2742" s="9" t="n">
        <v>120</v>
      </c>
      <c r="H2742" t="inlineStr">
        <is>
          <t>customer_payment</t>
        </is>
      </c>
      <c r="I2742" t="inlineStr"/>
      <c r="J2742" t="inlineStr">
        <is>
          <t>G00052</t>
        </is>
      </c>
      <c r="K2742" t="str">
        <f>INDEX('Match Groups'!$D$5:$D$1326,MATCH(J2742,'Match Groups'!$A$5:$A$1326,0))</f>
        <v>STRIPE-FEE</v>
      </c>
    </row>
    <row r="2743">
      <c r="A2743" t="inlineStr">
        <is>
          <t>JI-02891</t>
        </is>
      </c>
      <c r="B2743" t="inlineStr">
        <is>
          <t>OPS</t>
        </is>
      </c>
      <c r="C2743" s="5" t="n">
        <v>46254</v>
      </c>
      <c r="D2743" t="inlineStr">
        <is>
          <t>Stripe patient 80971</t>
        </is>
      </c>
      <c r="E2743" t="inlineStr">
        <is>
          <t>INV/2026/04736</t>
        </is>
      </c>
      <c r="F2743" t="inlineStr">
        <is>
          <t>Customer payment INV/2026/04736</t>
        </is>
      </c>
      <c r="G2743" s="9" t="n">
        <v>180</v>
      </c>
      <c r="H2743" t="inlineStr">
        <is>
          <t>customer_payment</t>
        </is>
      </c>
      <c r="I2743" t="inlineStr"/>
      <c r="J2743" t="inlineStr">
        <is>
          <t>G00052</t>
        </is>
      </c>
      <c r="K2743" t="str">
        <f>INDEX('Match Groups'!$D$5:$D$1326,MATCH(J2743,'Match Groups'!$A$5:$A$1326,0))</f>
        <v>STRIPE-FEE</v>
      </c>
    </row>
    <row r="2744">
      <c r="A2744" t="inlineStr">
        <is>
          <t>JI-02892</t>
        </is>
      </c>
      <c r="B2744" t="inlineStr">
        <is>
          <t>OPS</t>
        </is>
      </c>
      <c r="C2744" s="5" t="n">
        <v>46254</v>
      </c>
      <c r="D2744" t="inlineStr">
        <is>
          <t>Stripe patient 85399</t>
        </is>
      </c>
      <c r="E2744" t="inlineStr">
        <is>
          <t>INV/2026/04737</t>
        </is>
      </c>
      <c r="F2744" t="inlineStr">
        <is>
          <t>Customer payment INV/2026/04737</t>
        </is>
      </c>
      <c r="G2744" s="9" t="n">
        <v>120</v>
      </c>
      <c r="H2744" t="inlineStr">
        <is>
          <t>customer_payment</t>
        </is>
      </c>
      <c r="I2744" t="inlineStr"/>
      <c r="J2744" t="inlineStr">
        <is>
          <t>G00052</t>
        </is>
      </c>
      <c r="K2744" t="str">
        <f>INDEX('Match Groups'!$D$5:$D$1326,MATCH(J2744,'Match Groups'!$A$5:$A$1326,0))</f>
        <v>STRIPE-FEE</v>
      </c>
    </row>
    <row r="2745">
      <c r="A2745" t="inlineStr">
        <is>
          <t>JI-02893</t>
        </is>
      </c>
      <c r="B2745" t="inlineStr">
        <is>
          <t>OPS</t>
        </is>
      </c>
      <c r="C2745" s="5" t="n">
        <v>46254</v>
      </c>
      <c r="D2745" t="inlineStr">
        <is>
          <t>Stripe patient 95253</t>
        </is>
      </c>
      <c r="E2745" t="inlineStr">
        <is>
          <t>INV/2026/04738</t>
        </is>
      </c>
      <c r="F2745" t="inlineStr">
        <is>
          <t>Customer payment INV/2026/04738</t>
        </is>
      </c>
      <c r="G2745" s="9" t="n">
        <v>65</v>
      </c>
      <c r="H2745" t="inlineStr">
        <is>
          <t>customer_payment</t>
        </is>
      </c>
      <c r="I2745" t="inlineStr"/>
      <c r="J2745" t="inlineStr">
        <is>
          <t>G00052</t>
        </is>
      </c>
      <c r="K2745" t="str">
        <f>INDEX('Match Groups'!$D$5:$D$1326,MATCH(J2745,'Match Groups'!$A$5:$A$1326,0))</f>
        <v>STRIPE-FEE</v>
      </c>
    </row>
    <row r="2746">
      <c r="A2746" t="inlineStr">
        <is>
          <t>JI-02894</t>
        </is>
      </c>
      <c r="B2746" t="inlineStr">
        <is>
          <t>OPS</t>
        </is>
      </c>
      <c r="C2746" s="5" t="n">
        <v>46254</v>
      </c>
      <c r="D2746" t="inlineStr">
        <is>
          <t>Stripe patient 51607</t>
        </is>
      </c>
      <c r="E2746" t="inlineStr">
        <is>
          <t>INV/2026/04739</t>
        </is>
      </c>
      <c r="F2746" t="inlineStr">
        <is>
          <t>Customer payment INV/2026/04739</t>
        </is>
      </c>
      <c r="G2746" s="9" t="n">
        <v>85</v>
      </c>
      <c r="H2746" t="inlineStr">
        <is>
          <t>customer_payment</t>
        </is>
      </c>
      <c r="I2746" t="inlineStr"/>
      <c r="J2746" t="inlineStr">
        <is>
          <t>G00052</t>
        </is>
      </c>
      <c r="K2746" t="str">
        <f>INDEX('Match Groups'!$D$5:$D$1326,MATCH(J2746,'Match Groups'!$A$5:$A$1326,0))</f>
        <v>STRIPE-FEE</v>
      </c>
    </row>
    <row r="2747">
      <c r="A2747" t="inlineStr">
        <is>
          <t>JI-02895</t>
        </is>
      </c>
      <c r="B2747" t="inlineStr">
        <is>
          <t>OPS</t>
        </is>
      </c>
      <c r="C2747" s="5" t="n">
        <v>46254</v>
      </c>
      <c r="D2747" t="inlineStr">
        <is>
          <t>Stripe patient 42562</t>
        </is>
      </c>
      <c r="E2747" t="inlineStr">
        <is>
          <t>INV/2026/04740</t>
        </is>
      </c>
      <c r="F2747" t="inlineStr">
        <is>
          <t>Customer payment INV/2026/04740</t>
        </is>
      </c>
      <c r="G2747" s="9" t="n">
        <v>110</v>
      </c>
      <c r="H2747" t="inlineStr">
        <is>
          <t>customer_payment</t>
        </is>
      </c>
      <c r="I2747" t="inlineStr"/>
      <c r="J2747" t="inlineStr">
        <is>
          <t>G00052</t>
        </is>
      </c>
      <c r="K2747" t="str">
        <f>INDEX('Match Groups'!$D$5:$D$1326,MATCH(J2747,'Match Groups'!$A$5:$A$1326,0))</f>
        <v>STRIPE-FEE</v>
      </c>
    </row>
    <row r="2748">
      <c r="A2748" t="inlineStr">
        <is>
          <t>JI-02896</t>
        </is>
      </c>
      <c r="B2748" t="inlineStr">
        <is>
          <t>OPS</t>
        </is>
      </c>
      <c r="C2748" s="5" t="n">
        <v>46254</v>
      </c>
      <c r="D2748" t="inlineStr">
        <is>
          <t>Stripe patient 74814</t>
        </is>
      </c>
      <c r="E2748" t="inlineStr">
        <is>
          <t>INV/2026/04741</t>
        </is>
      </c>
      <c r="F2748" t="inlineStr">
        <is>
          <t>Customer payment INV/2026/04741</t>
        </is>
      </c>
      <c r="G2748" s="9" t="n">
        <v>95</v>
      </c>
      <c r="H2748" t="inlineStr">
        <is>
          <t>customer_payment</t>
        </is>
      </c>
      <c r="I2748" t="inlineStr"/>
      <c r="J2748" t="inlineStr">
        <is>
          <t>G00052</t>
        </is>
      </c>
      <c r="K2748" t="str">
        <f>INDEX('Match Groups'!$D$5:$D$1326,MATCH(J2748,'Match Groups'!$A$5:$A$1326,0))</f>
        <v>STRIPE-FEE</v>
      </c>
    </row>
    <row r="2749">
      <c r="A2749" t="inlineStr">
        <is>
          <t>JI-02897</t>
        </is>
      </c>
      <c r="B2749" t="inlineStr">
        <is>
          <t>OPS</t>
        </is>
      </c>
      <c r="C2749" s="5" t="n">
        <v>46254</v>
      </c>
      <c r="D2749" t="inlineStr">
        <is>
          <t>Stripe patient 66964</t>
        </is>
      </c>
      <c r="E2749" t="inlineStr">
        <is>
          <t>INV/2026/04742</t>
        </is>
      </c>
      <c r="F2749" t="inlineStr">
        <is>
          <t>Customer payment INV/2026/04742</t>
        </is>
      </c>
      <c r="G2749" s="9" t="n">
        <v>120</v>
      </c>
      <c r="H2749" t="inlineStr">
        <is>
          <t>customer_payment</t>
        </is>
      </c>
      <c r="I2749" t="inlineStr"/>
      <c r="J2749" t="inlineStr">
        <is>
          <t>G00052</t>
        </is>
      </c>
      <c r="K2749" t="str">
        <f>INDEX('Match Groups'!$D$5:$D$1326,MATCH(J2749,'Match Groups'!$A$5:$A$1326,0))</f>
        <v>STRIPE-FEE</v>
      </c>
    </row>
    <row r="2750">
      <c r="A2750" t="inlineStr">
        <is>
          <t>JI-02898</t>
        </is>
      </c>
      <c r="B2750" t="inlineStr">
        <is>
          <t>OPS</t>
        </is>
      </c>
      <c r="C2750" s="5" t="n">
        <v>46254</v>
      </c>
      <c r="D2750" t="inlineStr">
        <is>
          <t>Stripe patient 78018</t>
        </is>
      </c>
      <c r="E2750" t="inlineStr">
        <is>
          <t>INV/2026/04743</t>
        </is>
      </c>
      <c r="F2750" t="inlineStr">
        <is>
          <t>Customer payment INV/2026/04743</t>
        </is>
      </c>
      <c r="G2750" s="9" t="n">
        <v>135</v>
      </c>
      <c r="H2750" t="inlineStr">
        <is>
          <t>customer_payment</t>
        </is>
      </c>
      <c r="I2750" t="inlineStr"/>
      <c r="J2750" t="inlineStr">
        <is>
          <t>G00052</t>
        </is>
      </c>
      <c r="K2750" t="str">
        <f>INDEX('Match Groups'!$D$5:$D$1326,MATCH(J2750,'Match Groups'!$A$5:$A$1326,0))</f>
        <v>STRIPE-FEE</v>
      </c>
    </row>
    <row r="2751">
      <c r="A2751" t="inlineStr">
        <is>
          <t>JI-02899</t>
        </is>
      </c>
      <c r="B2751" t="inlineStr">
        <is>
          <t>OPS</t>
        </is>
      </c>
      <c r="C2751" s="5" t="n">
        <v>46254</v>
      </c>
      <c r="D2751" t="inlineStr">
        <is>
          <t>Stripe patient 66957</t>
        </is>
      </c>
      <c r="E2751" t="inlineStr">
        <is>
          <t>INV/2026/04744</t>
        </is>
      </c>
      <c r="F2751" t="inlineStr">
        <is>
          <t>Customer payment INV/2026/04744</t>
        </is>
      </c>
      <c r="G2751" s="9" t="n">
        <v>220</v>
      </c>
      <c r="H2751" t="inlineStr">
        <is>
          <t>customer_payment</t>
        </is>
      </c>
      <c r="I2751" t="inlineStr"/>
      <c r="J2751" t="inlineStr">
        <is>
          <t>G00052</t>
        </is>
      </c>
      <c r="K2751" t="str">
        <f>INDEX('Match Groups'!$D$5:$D$1326,MATCH(J2751,'Match Groups'!$A$5:$A$1326,0))</f>
        <v>STRIPE-FEE</v>
      </c>
    </row>
    <row r="2752">
      <c r="A2752" t="inlineStr">
        <is>
          <t>JI-02900</t>
        </is>
      </c>
      <c r="B2752" t="inlineStr">
        <is>
          <t>OPS</t>
        </is>
      </c>
      <c r="C2752" s="5" t="n">
        <v>46254</v>
      </c>
      <c r="D2752" t="inlineStr">
        <is>
          <t>Stripe patient 33773</t>
        </is>
      </c>
      <c r="E2752" t="inlineStr">
        <is>
          <t>INV/2026/04745</t>
        </is>
      </c>
      <c r="F2752" t="inlineStr">
        <is>
          <t>Customer payment INV/2026/04745</t>
        </is>
      </c>
      <c r="G2752" s="9" t="n">
        <v>180</v>
      </c>
      <c r="H2752" t="inlineStr">
        <is>
          <t>customer_payment</t>
        </is>
      </c>
      <c r="I2752" t="inlineStr"/>
      <c r="J2752" t="inlineStr">
        <is>
          <t>G00052</t>
        </is>
      </c>
      <c r="K2752" t="str">
        <f>INDEX('Match Groups'!$D$5:$D$1326,MATCH(J2752,'Match Groups'!$A$5:$A$1326,0))</f>
        <v>STRIPE-FEE</v>
      </c>
    </row>
    <row r="2753">
      <c r="A2753" t="inlineStr">
        <is>
          <t>JI-02901</t>
        </is>
      </c>
      <c r="B2753" t="inlineStr">
        <is>
          <t>OPS</t>
        </is>
      </c>
      <c r="C2753" s="5" t="n">
        <v>46254</v>
      </c>
      <c r="D2753" t="inlineStr">
        <is>
          <t>Stripe patient 74023</t>
        </is>
      </c>
      <c r="E2753" t="inlineStr">
        <is>
          <t>INV/2026/04746</t>
        </is>
      </c>
      <c r="F2753" t="inlineStr">
        <is>
          <t>Customer payment INV/2026/04746</t>
        </is>
      </c>
      <c r="G2753" s="9" t="n">
        <v>120</v>
      </c>
      <c r="H2753" t="inlineStr">
        <is>
          <t>customer_payment</t>
        </is>
      </c>
      <c r="I2753" t="inlineStr"/>
      <c r="J2753" t="inlineStr">
        <is>
          <t>G00052</t>
        </is>
      </c>
      <c r="K2753" t="str">
        <f>INDEX('Match Groups'!$D$5:$D$1326,MATCH(J2753,'Match Groups'!$A$5:$A$1326,0))</f>
        <v>STRIPE-FEE</v>
      </c>
    </row>
    <row r="2754">
      <c r="A2754" t="inlineStr">
        <is>
          <t>JI-03909</t>
        </is>
      </c>
      <c r="B2754" t="inlineStr">
        <is>
          <t>OPS</t>
        </is>
      </c>
      <c r="C2754" s="5" t="n">
        <v>46254</v>
      </c>
      <c r="D2754" t="inlineStr">
        <is>
          <t>Medisure Professional Indemnity</t>
        </is>
      </c>
      <c r="E2754" t="inlineStr">
        <is>
          <t>BILL/2026/1015</t>
        </is>
      </c>
      <c r="F2754" t="inlineStr">
        <is>
          <t>Vendor payment BILL/2026/1015</t>
        </is>
      </c>
      <c r="G2754" s="9" t="n">
        <v>-2215.4</v>
      </c>
      <c r="H2754" t="inlineStr">
        <is>
          <t>supplier_payment</t>
        </is>
      </c>
      <c r="I2754" t="inlineStr"/>
      <c r="J2754" t="inlineStr">
        <is>
          <t>G01145</t>
        </is>
      </c>
      <c r="K2754" t="str">
        <f>INDEX('Match Groups'!$D$5:$D$1326,MATCH(J2754,'Match Groups'!$A$5:$A$1326,0))</f>
        <v>MATCH</v>
      </c>
    </row>
    <row r="2755">
      <c r="A2755" t="inlineStr">
        <is>
          <t>JI-01007</t>
        </is>
      </c>
      <c r="B2755" t="inlineStr">
        <is>
          <t>OPS</t>
        </is>
      </c>
      <c r="C2755" s="5" t="n">
        <v>46255</v>
      </c>
      <c r="D2755" t="inlineStr">
        <is>
          <t>Clearpath NDIS Plans</t>
        </is>
      </c>
      <c r="E2755" t="inlineStr">
        <is>
          <t>INV/2026/02540</t>
        </is>
      </c>
      <c r="F2755" t="inlineStr">
        <is>
          <t>Customer payment INV/2026/02540</t>
        </is>
      </c>
      <c r="G2755" s="9" t="n">
        <v>300.69</v>
      </c>
      <c r="H2755" t="inlineStr">
        <is>
          <t>customer_payment</t>
        </is>
      </c>
      <c r="I2755" t="inlineStr"/>
      <c r="J2755" t="inlineStr">
        <is>
          <t>G00329</t>
        </is>
      </c>
      <c r="K2755" t="str">
        <f>INDEX('Match Groups'!$D$5:$D$1326,MATCH(J2755,'Match Groups'!$A$5:$A$1326,0))</f>
        <v>MATCH</v>
      </c>
    </row>
    <row r="2756">
      <c r="A2756" t="inlineStr">
        <is>
          <t>JI-01008</t>
        </is>
      </c>
      <c r="B2756" t="inlineStr">
        <is>
          <t>OPS</t>
        </is>
      </c>
      <c r="C2756" s="5" t="n">
        <v>46255</v>
      </c>
      <c r="D2756" t="inlineStr">
        <is>
          <t>Clearpath NDIS Plans</t>
        </is>
      </c>
      <c r="E2756" t="inlineStr">
        <is>
          <t>INV/2026/02541</t>
        </is>
      </c>
      <c r="F2756" t="inlineStr">
        <is>
          <t>Customer payment INV/2026/02541</t>
        </is>
      </c>
      <c r="G2756" s="9" t="n">
        <v>349.18</v>
      </c>
      <c r="H2756" t="inlineStr">
        <is>
          <t>customer_payment</t>
        </is>
      </c>
      <c r="I2756" t="inlineStr"/>
      <c r="J2756" t="inlineStr">
        <is>
          <t>G00329</t>
        </is>
      </c>
      <c r="K2756" t="str">
        <f>INDEX('Match Groups'!$D$5:$D$1326,MATCH(J2756,'Match Groups'!$A$5:$A$1326,0))</f>
        <v>MATCH</v>
      </c>
    </row>
    <row r="2757">
      <c r="A2757" t="inlineStr">
        <is>
          <t>JI-01009</t>
        </is>
      </c>
      <c r="B2757" t="inlineStr">
        <is>
          <t>OPS</t>
        </is>
      </c>
      <c r="C2757" s="5" t="n">
        <v>46255</v>
      </c>
      <c r="D2757" t="inlineStr">
        <is>
          <t>Clearpath NDIS Plans</t>
        </is>
      </c>
      <c r="E2757" t="inlineStr">
        <is>
          <t>INV/2026/02565</t>
        </is>
      </c>
      <c r="F2757" t="inlineStr">
        <is>
          <t>Customer payment INV/2026/02565</t>
        </is>
      </c>
      <c r="G2757" s="9" t="n">
        <v>349.18</v>
      </c>
      <c r="H2757" t="inlineStr">
        <is>
          <t>customer_payment</t>
        </is>
      </c>
      <c r="I2757" t="inlineStr"/>
      <c r="J2757" t="inlineStr">
        <is>
          <t>G00329</t>
        </is>
      </c>
      <c r="K2757" t="str">
        <f>INDEX('Match Groups'!$D$5:$D$1326,MATCH(J2757,'Match Groups'!$A$5:$A$1326,0))</f>
        <v>MATCH</v>
      </c>
    </row>
    <row r="2758">
      <c r="A2758" t="inlineStr">
        <is>
          <t>JI-01010</t>
        </is>
      </c>
      <c r="B2758" t="inlineStr">
        <is>
          <t>OPS</t>
        </is>
      </c>
      <c r="C2758" s="5" t="n">
        <v>46255</v>
      </c>
      <c r="D2758" t="inlineStr">
        <is>
          <t>Clearpath NDIS Plans</t>
        </is>
      </c>
      <c r="E2758" t="inlineStr">
        <is>
          <t>INV/2026/02583</t>
        </is>
      </c>
      <c r="F2758" t="inlineStr">
        <is>
          <t>Customer payment INV/2026/02583</t>
        </is>
      </c>
      <c r="G2758" s="9" t="n">
        <v>96.98999999999999</v>
      </c>
      <c r="H2758" t="inlineStr">
        <is>
          <t>customer_payment</t>
        </is>
      </c>
      <c r="I2758" t="inlineStr"/>
      <c r="J2758" t="inlineStr">
        <is>
          <t>G00329</t>
        </is>
      </c>
      <c r="K2758" t="str">
        <f>INDEX('Match Groups'!$D$5:$D$1326,MATCH(J2758,'Match Groups'!$A$5:$A$1326,0))</f>
        <v>MATCH</v>
      </c>
    </row>
    <row r="2759">
      <c r="A2759" t="inlineStr">
        <is>
          <t>JI-01011</t>
        </is>
      </c>
      <c r="B2759" t="inlineStr">
        <is>
          <t>OPS</t>
        </is>
      </c>
      <c r="C2759" s="5" t="n">
        <v>46255</v>
      </c>
      <c r="D2759" t="inlineStr">
        <is>
          <t>Clearpath NDIS Plans</t>
        </is>
      </c>
      <c r="E2759" t="inlineStr">
        <is>
          <t>INV/2026/02584</t>
        </is>
      </c>
      <c r="F2759" t="inlineStr">
        <is>
          <t>Customer payment INV/2026/02584</t>
        </is>
      </c>
      <c r="G2759" s="9" t="n">
        <v>387.98</v>
      </c>
      <c r="H2759" t="inlineStr">
        <is>
          <t>customer_payment</t>
        </is>
      </c>
      <c r="I2759" t="inlineStr"/>
      <c r="J2759" t="inlineStr">
        <is>
          <t>G00329</t>
        </is>
      </c>
      <c r="K2759" t="str">
        <f>INDEX('Match Groups'!$D$5:$D$1326,MATCH(J2759,'Match Groups'!$A$5:$A$1326,0))</f>
        <v>MATCH</v>
      </c>
    </row>
    <row r="2760">
      <c r="A2760" t="inlineStr">
        <is>
          <t>JI-01012</t>
        </is>
      </c>
      <c r="B2760" t="inlineStr">
        <is>
          <t>OPS</t>
        </is>
      </c>
      <c r="C2760" s="5" t="n">
        <v>46255</v>
      </c>
      <c r="D2760" t="inlineStr">
        <is>
          <t>Clearpath NDIS Plans</t>
        </is>
      </c>
      <c r="E2760" t="inlineStr">
        <is>
          <t>INV/2026/02585</t>
        </is>
      </c>
      <c r="F2760" t="inlineStr">
        <is>
          <t>Customer payment INV/2026/02585</t>
        </is>
      </c>
      <c r="G2760" s="9" t="n">
        <v>387.98</v>
      </c>
      <c r="H2760" t="inlineStr">
        <is>
          <t>customer_payment</t>
        </is>
      </c>
      <c r="I2760" t="inlineStr"/>
      <c r="J2760" t="inlineStr">
        <is>
          <t>G00329</t>
        </is>
      </c>
      <c r="K2760" t="str">
        <f>INDEX('Match Groups'!$D$5:$D$1326,MATCH(J2760,'Match Groups'!$A$5:$A$1326,0))</f>
        <v>MATCH</v>
      </c>
    </row>
    <row r="2761">
      <c r="A2761" t="inlineStr">
        <is>
          <t>JI-01013</t>
        </is>
      </c>
      <c r="B2761" t="inlineStr">
        <is>
          <t>OPS</t>
        </is>
      </c>
      <c r="C2761" s="5" t="n">
        <v>46255</v>
      </c>
      <c r="D2761" t="inlineStr">
        <is>
          <t>Clearpath NDIS Plans</t>
        </is>
      </c>
      <c r="E2761" t="inlineStr">
        <is>
          <t>INV/2026/02632</t>
        </is>
      </c>
      <c r="F2761" t="inlineStr">
        <is>
          <t>Customer payment INV/2026/02632</t>
        </is>
      </c>
      <c r="G2761" s="9" t="n">
        <v>387.98</v>
      </c>
      <c r="H2761" t="inlineStr">
        <is>
          <t>customer_payment</t>
        </is>
      </c>
      <c r="I2761" t="inlineStr"/>
      <c r="J2761" t="inlineStr">
        <is>
          <t>G00329</t>
        </is>
      </c>
      <c r="K2761" t="str">
        <f>INDEX('Match Groups'!$D$5:$D$1326,MATCH(J2761,'Match Groups'!$A$5:$A$1326,0))</f>
        <v>MATCH</v>
      </c>
    </row>
    <row r="2762">
      <c r="A2762" t="inlineStr">
        <is>
          <t>JI-01014</t>
        </is>
      </c>
      <c r="B2762" t="inlineStr">
        <is>
          <t>OPS</t>
        </is>
      </c>
      <c r="C2762" s="5" t="n">
        <v>46255</v>
      </c>
      <c r="D2762" t="inlineStr">
        <is>
          <t>Clearpath NDIS Plans</t>
        </is>
      </c>
      <c r="E2762" t="inlineStr">
        <is>
          <t>INV/2026/02633</t>
        </is>
      </c>
      <c r="F2762" t="inlineStr">
        <is>
          <t>Customer payment INV/2026/02633</t>
        </is>
      </c>
      <c r="G2762" s="9" t="n">
        <v>96.98999999999999</v>
      </c>
      <c r="H2762" t="inlineStr">
        <is>
          <t>customer_payment</t>
        </is>
      </c>
      <c r="I2762" t="inlineStr"/>
      <c r="J2762" t="inlineStr">
        <is>
          <t>G00329</t>
        </is>
      </c>
      <c r="K2762" t="str">
        <f>INDEX('Match Groups'!$D$5:$D$1326,MATCH(J2762,'Match Groups'!$A$5:$A$1326,0))</f>
        <v>MATCH</v>
      </c>
    </row>
    <row r="2763">
      <c r="A2763" t="inlineStr">
        <is>
          <t>JI-01015</t>
        </is>
      </c>
      <c r="B2763" t="inlineStr">
        <is>
          <t>OPS</t>
        </is>
      </c>
      <c r="C2763" s="5" t="n">
        <v>46255</v>
      </c>
      <c r="D2763" t="inlineStr">
        <is>
          <t>Clearpath NDIS Plans</t>
        </is>
      </c>
      <c r="E2763" t="inlineStr">
        <is>
          <t>INV/2026/02634</t>
        </is>
      </c>
      <c r="F2763" t="inlineStr">
        <is>
          <t>Customer payment INV/2026/02634</t>
        </is>
      </c>
      <c r="G2763" s="9" t="n">
        <v>272.49</v>
      </c>
      <c r="H2763" t="inlineStr">
        <is>
          <t>customer_payment</t>
        </is>
      </c>
      <c r="I2763" t="inlineStr"/>
      <c r="J2763" t="inlineStr">
        <is>
          <t>G00329</t>
        </is>
      </c>
      <c r="K2763" t="str">
        <f>INDEX('Match Groups'!$D$5:$D$1326,MATCH(J2763,'Match Groups'!$A$5:$A$1326,0))</f>
        <v>MATCH</v>
      </c>
    </row>
    <row r="2764">
      <c r="A2764" t="inlineStr">
        <is>
          <t>JI-01016</t>
        </is>
      </c>
      <c r="B2764" t="inlineStr">
        <is>
          <t>OPS</t>
        </is>
      </c>
      <c r="C2764" s="5" t="n">
        <v>46255</v>
      </c>
      <c r="D2764" t="inlineStr">
        <is>
          <t>Clearpath NDIS Plans</t>
        </is>
      </c>
      <c r="E2764" t="inlineStr">
        <is>
          <t>INV/2026/02663</t>
        </is>
      </c>
      <c r="F2764" t="inlineStr">
        <is>
          <t>Customer payment INV/2026/02663</t>
        </is>
      </c>
      <c r="G2764" s="9" t="n">
        <v>387.98</v>
      </c>
      <c r="H2764" t="inlineStr">
        <is>
          <t>customer_payment</t>
        </is>
      </c>
      <c r="I2764" t="inlineStr"/>
      <c r="J2764" t="inlineStr">
        <is>
          <t>G00329</t>
        </is>
      </c>
      <c r="K2764" t="str">
        <f>INDEX('Match Groups'!$D$5:$D$1326,MATCH(J2764,'Match Groups'!$A$5:$A$1326,0))</f>
        <v>MATCH</v>
      </c>
    </row>
    <row r="2765">
      <c r="A2765" t="inlineStr">
        <is>
          <t>JI-01017</t>
        </is>
      </c>
      <c r="B2765" t="inlineStr">
        <is>
          <t>OPS</t>
        </is>
      </c>
      <c r="C2765" s="5" t="n">
        <v>46255</v>
      </c>
      <c r="D2765" t="inlineStr">
        <is>
          <t>Clearpath NDIS Plans</t>
        </is>
      </c>
      <c r="E2765" t="inlineStr">
        <is>
          <t>INV/2026/02689</t>
        </is>
      </c>
      <c r="F2765" t="inlineStr">
        <is>
          <t>Customer payment INV/2026/02689</t>
        </is>
      </c>
      <c r="G2765" s="9" t="n">
        <v>193.99</v>
      </c>
      <c r="H2765" t="inlineStr">
        <is>
          <t>customer_payment</t>
        </is>
      </c>
      <c r="I2765" t="inlineStr"/>
      <c r="J2765" t="inlineStr">
        <is>
          <t>G00329</t>
        </is>
      </c>
      <c r="K2765" t="str">
        <f>INDEX('Match Groups'!$D$5:$D$1326,MATCH(J2765,'Match Groups'!$A$5:$A$1326,0))</f>
        <v>MATCH</v>
      </c>
    </row>
    <row r="2766">
      <c r="A2766" t="inlineStr">
        <is>
          <t>JI-01018</t>
        </is>
      </c>
      <c r="B2766" t="inlineStr">
        <is>
          <t>OPS</t>
        </is>
      </c>
      <c r="C2766" s="5" t="n">
        <v>46255</v>
      </c>
      <c r="D2766" t="inlineStr">
        <is>
          <t>Wattle Plan Services</t>
        </is>
      </c>
      <c r="E2766" t="inlineStr">
        <is>
          <t>INV/2026/02586</t>
        </is>
      </c>
      <c r="F2766" t="inlineStr">
        <is>
          <t>Customer payment INV/2026/02586</t>
        </is>
      </c>
      <c r="G2766" s="9" t="n">
        <v>242.49</v>
      </c>
      <c r="H2766" t="inlineStr">
        <is>
          <t>customer_payment</t>
        </is>
      </c>
      <c r="I2766" t="inlineStr"/>
      <c r="J2766" t="inlineStr">
        <is>
          <t>G00330</t>
        </is>
      </c>
      <c r="K2766" t="str">
        <f>INDEX('Match Groups'!$D$5:$D$1326,MATCH(J2766,'Match Groups'!$A$5:$A$1326,0))</f>
        <v>MATCH</v>
      </c>
    </row>
    <row r="2767">
      <c r="A2767" t="inlineStr">
        <is>
          <t>JI-01019</t>
        </is>
      </c>
      <c r="B2767" t="inlineStr">
        <is>
          <t>OPS</t>
        </is>
      </c>
      <c r="C2767" s="5" t="n">
        <v>46255</v>
      </c>
      <c r="D2767" t="inlineStr">
        <is>
          <t>Wattle Plan Services</t>
        </is>
      </c>
      <c r="E2767" t="inlineStr">
        <is>
          <t>INV/2026/02636</t>
        </is>
      </c>
      <c r="F2767" t="inlineStr">
        <is>
          <t>Customer payment INV/2026/02636</t>
        </is>
      </c>
      <c r="G2767" s="9" t="n">
        <v>145.49</v>
      </c>
      <c r="H2767" t="inlineStr">
        <is>
          <t>customer_payment</t>
        </is>
      </c>
      <c r="I2767" t="inlineStr"/>
      <c r="J2767" t="inlineStr">
        <is>
          <t>G00330</t>
        </is>
      </c>
      <c r="K2767" t="str">
        <f>INDEX('Match Groups'!$D$5:$D$1326,MATCH(J2767,'Match Groups'!$A$5:$A$1326,0))</f>
        <v>MATCH</v>
      </c>
    </row>
    <row r="2768">
      <c r="A2768" t="inlineStr">
        <is>
          <t>JI-01020</t>
        </is>
      </c>
      <c r="B2768" t="inlineStr">
        <is>
          <t>OPS</t>
        </is>
      </c>
      <c r="C2768" s="5" t="n">
        <v>46255</v>
      </c>
      <c r="D2768" t="inlineStr">
        <is>
          <t>Ironbark Plan Management</t>
        </is>
      </c>
      <c r="E2768" t="inlineStr">
        <is>
          <t>INV/2026/02639</t>
        </is>
      </c>
      <c r="F2768" t="inlineStr">
        <is>
          <t>Customer payment INV/2026/02639</t>
        </is>
      </c>
      <c r="G2768" s="9" t="n">
        <v>145.49</v>
      </c>
      <c r="H2768" t="inlineStr">
        <is>
          <t>customer_payment</t>
        </is>
      </c>
      <c r="I2768" t="inlineStr"/>
      <c r="J2768" t="inlineStr">
        <is>
          <t>G00332</t>
        </is>
      </c>
      <c r="K2768" t="str">
        <f>INDEX('Match Groups'!$D$5:$D$1326,MATCH(J2768,'Match Groups'!$A$5:$A$1326,0))</f>
        <v>MATCH</v>
      </c>
    </row>
    <row r="2769">
      <c r="A2769" t="inlineStr">
        <is>
          <t>JI-01021</t>
        </is>
      </c>
      <c r="B2769" t="inlineStr">
        <is>
          <t>OPS</t>
        </is>
      </c>
      <c r="C2769" s="5" t="n">
        <v>46255</v>
      </c>
      <c r="D2769" t="inlineStr">
        <is>
          <t>Ironbark Plan Management</t>
        </is>
      </c>
      <c r="E2769" t="inlineStr">
        <is>
          <t>INV/2026/02670</t>
        </is>
      </c>
      <c r="F2769" t="inlineStr">
        <is>
          <t>Customer payment INV/2026/02670</t>
        </is>
      </c>
      <c r="G2769" s="9" t="n">
        <v>272.49</v>
      </c>
      <c r="H2769" t="inlineStr">
        <is>
          <t>customer_payment</t>
        </is>
      </c>
      <c r="I2769" t="inlineStr"/>
      <c r="J2769" t="inlineStr">
        <is>
          <t>G00332</t>
        </is>
      </c>
      <c r="K2769" t="str">
        <f>INDEX('Match Groups'!$D$5:$D$1326,MATCH(J2769,'Match Groups'!$A$5:$A$1326,0))</f>
        <v>MATCH</v>
      </c>
    </row>
    <row r="2770">
      <c r="A2770" t="inlineStr">
        <is>
          <t>JI-01022</t>
        </is>
      </c>
      <c r="B2770" t="inlineStr">
        <is>
          <t>OPS</t>
        </is>
      </c>
      <c r="C2770" s="5" t="n">
        <v>46255</v>
      </c>
      <c r="D2770" t="inlineStr">
        <is>
          <t>Ironbark Plan Management</t>
        </is>
      </c>
      <c r="E2770" t="inlineStr">
        <is>
          <t>INV/2026/02695</t>
        </is>
      </c>
      <c r="F2770" t="inlineStr">
        <is>
          <t>Customer payment INV/2026/02695</t>
        </is>
      </c>
      <c r="G2770" s="9" t="n">
        <v>145.49</v>
      </c>
      <c r="H2770" t="inlineStr">
        <is>
          <t>customer_payment</t>
        </is>
      </c>
      <c r="I2770" t="inlineStr"/>
      <c r="J2770" t="inlineStr">
        <is>
          <t>G00332</t>
        </is>
      </c>
      <c r="K2770" t="str">
        <f>INDEX('Match Groups'!$D$5:$D$1326,MATCH(J2770,'Match Groups'!$A$5:$A$1326,0))</f>
        <v>MATCH</v>
      </c>
    </row>
    <row r="2771">
      <c r="A2771" t="inlineStr">
        <is>
          <t>JI-01023</t>
        </is>
      </c>
      <c r="B2771" t="inlineStr">
        <is>
          <t>OPS</t>
        </is>
      </c>
      <c r="C2771" s="5" t="n">
        <v>46255</v>
      </c>
      <c r="D2771" t="inlineStr">
        <is>
          <t>Ironbark Plan Management</t>
        </is>
      </c>
      <c r="E2771" t="inlineStr">
        <is>
          <t>INV/2026/02720</t>
        </is>
      </c>
      <c r="F2771" t="inlineStr">
        <is>
          <t>Customer payment INV/2026/02720</t>
        </is>
      </c>
      <c r="G2771" s="9" t="n">
        <v>145.49</v>
      </c>
      <c r="H2771" t="inlineStr">
        <is>
          <t>customer_payment</t>
        </is>
      </c>
      <c r="I2771" t="inlineStr"/>
      <c r="J2771" t="inlineStr">
        <is>
          <t>G00332</t>
        </is>
      </c>
      <c r="K2771" t="str">
        <f>INDEX('Match Groups'!$D$5:$D$1326,MATCH(J2771,'Match Groups'!$A$5:$A$1326,0))</f>
        <v>MATCH</v>
      </c>
    </row>
    <row r="2772">
      <c r="A2772" t="inlineStr">
        <is>
          <t>JI-01024</t>
        </is>
      </c>
      <c r="B2772" t="inlineStr">
        <is>
          <t>OPS</t>
        </is>
      </c>
      <c r="C2772" s="5" t="n">
        <v>46255</v>
      </c>
      <c r="D2772" t="inlineStr">
        <is>
          <t>Southern Cross Plan Mgmt</t>
        </is>
      </c>
      <c r="E2772" t="inlineStr">
        <is>
          <t>INV/2026/01929</t>
        </is>
      </c>
      <c r="F2772" t="inlineStr">
        <is>
          <t>Customer payment INV/2026/01929</t>
        </is>
      </c>
      <c r="G2772" s="9" t="n">
        <v>320.98</v>
      </c>
      <c r="H2772" t="inlineStr">
        <is>
          <t>customer_payment</t>
        </is>
      </c>
      <c r="I2772" t="inlineStr"/>
      <c r="J2772" t="inlineStr">
        <is>
          <t>G00333</t>
        </is>
      </c>
      <c r="K2772" t="str">
        <f>INDEX('Match Groups'!$D$5:$D$1326,MATCH(J2772,'Match Groups'!$A$5:$A$1326,0))</f>
        <v>MATCH</v>
      </c>
    </row>
    <row r="2773">
      <c r="A2773" t="inlineStr">
        <is>
          <t>JI-01025</t>
        </is>
      </c>
      <c r="B2773" t="inlineStr">
        <is>
          <t>OPS</t>
        </is>
      </c>
      <c r="C2773" s="5" t="n">
        <v>46255</v>
      </c>
      <c r="D2773" t="inlineStr">
        <is>
          <t>Southern Cross Plan Mgmt</t>
        </is>
      </c>
      <c r="E2773" t="inlineStr">
        <is>
          <t>INV/2026/01930</t>
        </is>
      </c>
      <c r="F2773" t="inlineStr">
        <is>
          <t>Customer payment INV/2026/01930</t>
        </is>
      </c>
      <c r="G2773" s="9" t="n">
        <v>252.19</v>
      </c>
      <c r="H2773" t="inlineStr">
        <is>
          <t>customer_payment</t>
        </is>
      </c>
      <c r="I2773" t="inlineStr"/>
      <c r="J2773" t="inlineStr">
        <is>
          <t>G00333</t>
        </is>
      </c>
      <c r="K2773" t="str">
        <f>INDEX('Match Groups'!$D$5:$D$1326,MATCH(J2773,'Match Groups'!$A$5:$A$1326,0))</f>
        <v>MATCH</v>
      </c>
    </row>
    <row r="2774">
      <c r="A2774" t="inlineStr">
        <is>
          <t>JI-01026</t>
        </is>
      </c>
      <c r="B2774" t="inlineStr">
        <is>
          <t>OPS</t>
        </is>
      </c>
      <c r="C2774" s="5" t="n">
        <v>46255</v>
      </c>
      <c r="D2774" t="inlineStr">
        <is>
          <t>Southern Cross Plan Mgmt</t>
        </is>
      </c>
      <c r="E2774" t="inlineStr">
        <is>
          <t>INV/2026/01931</t>
        </is>
      </c>
      <c r="F2774" t="inlineStr">
        <is>
          <t>Customer payment INV/2026/01931</t>
        </is>
      </c>
      <c r="G2774" s="9" t="n">
        <v>193.99</v>
      </c>
      <c r="H2774" t="inlineStr">
        <is>
          <t>customer_payment</t>
        </is>
      </c>
      <c r="I2774" t="inlineStr"/>
      <c r="J2774" t="inlineStr">
        <is>
          <t>G00333</t>
        </is>
      </c>
      <c r="K2774" t="str">
        <f>INDEX('Match Groups'!$D$5:$D$1326,MATCH(J2774,'Match Groups'!$A$5:$A$1326,0))</f>
        <v>MATCH</v>
      </c>
    </row>
    <row r="2775">
      <c r="A2775" t="inlineStr">
        <is>
          <t>JI-01027</t>
        </is>
      </c>
      <c r="B2775" t="inlineStr">
        <is>
          <t>OPS</t>
        </is>
      </c>
      <c r="C2775" s="5" t="n">
        <v>46255</v>
      </c>
      <c r="D2775" t="inlineStr">
        <is>
          <t>Mallee Plan Services</t>
        </is>
      </c>
      <c r="E2775" t="inlineStr">
        <is>
          <t>INV/2026/02653</t>
        </is>
      </c>
      <c r="F2775" t="inlineStr">
        <is>
          <t>Customer payment INV/2026/02653</t>
        </is>
      </c>
      <c r="G2775" s="9" t="n">
        <v>96.98999999999999</v>
      </c>
      <c r="H2775" t="inlineStr">
        <is>
          <t>customer_payment</t>
        </is>
      </c>
      <c r="I2775" t="inlineStr"/>
      <c r="J2775" t="inlineStr">
        <is>
          <t>G00334</t>
        </is>
      </c>
      <c r="K2775" t="str">
        <f>INDEX('Match Groups'!$D$5:$D$1326,MATCH(J2775,'Match Groups'!$A$5:$A$1326,0))</f>
        <v>MATCH</v>
      </c>
    </row>
    <row r="2776">
      <c r="A2776" t="inlineStr">
        <is>
          <t>JI-01028</t>
        </is>
      </c>
      <c r="B2776" t="inlineStr">
        <is>
          <t>OPS</t>
        </is>
      </c>
      <c r="C2776" s="5" t="n">
        <v>46255</v>
      </c>
      <c r="D2776" t="inlineStr">
        <is>
          <t>Mallee Plan Services</t>
        </is>
      </c>
      <c r="E2776" t="inlineStr">
        <is>
          <t>INV/2026/02683</t>
        </is>
      </c>
      <c r="F2776" t="inlineStr">
        <is>
          <t>Customer payment INV/2026/02683</t>
        </is>
      </c>
      <c r="G2776" s="9" t="n">
        <v>126.99</v>
      </c>
      <c r="H2776" t="inlineStr">
        <is>
          <t>customer_payment</t>
        </is>
      </c>
      <c r="I2776" t="inlineStr"/>
      <c r="J2776" t="inlineStr">
        <is>
          <t>G00334</t>
        </is>
      </c>
      <c r="K2776" t="str">
        <f>INDEX('Match Groups'!$D$5:$D$1326,MATCH(J2776,'Match Groups'!$A$5:$A$1326,0))</f>
        <v>MATCH</v>
      </c>
    </row>
    <row r="2777">
      <c r="A2777" t="inlineStr">
        <is>
          <t>JI-01029</t>
        </is>
      </c>
      <c r="B2777" t="inlineStr">
        <is>
          <t>OPS</t>
        </is>
      </c>
      <c r="C2777" s="5" t="n">
        <v>46255</v>
      </c>
      <c r="D2777" t="inlineStr">
        <is>
          <t>Mallee Plan Services</t>
        </is>
      </c>
      <c r="E2777" t="inlineStr">
        <is>
          <t>INV/2026/02732</t>
        </is>
      </c>
      <c r="F2777" t="inlineStr">
        <is>
          <t>Customer payment INV/2026/02732</t>
        </is>
      </c>
      <c r="G2777" s="9" t="n">
        <v>145.49</v>
      </c>
      <c r="H2777" t="inlineStr">
        <is>
          <t>customer_payment</t>
        </is>
      </c>
      <c r="I2777" t="inlineStr"/>
      <c r="J2777" t="inlineStr">
        <is>
          <t>G00334</t>
        </is>
      </c>
      <c r="K2777" t="str">
        <f>INDEX('Match Groups'!$D$5:$D$1326,MATCH(J2777,'Match Groups'!$A$5:$A$1326,0))</f>
        <v>MATCH</v>
      </c>
    </row>
    <row r="2778">
      <c r="A2778" t="inlineStr">
        <is>
          <t>JI-01030</t>
        </is>
      </c>
      <c r="B2778" t="inlineStr">
        <is>
          <t>OPS</t>
        </is>
      </c>
      <c r="C2778" s="5" t="n">
        <v>46255</v>
      </c>
      <c r="D2778" t="inlineStr">
        <is>
          <t>Mallee Plan Services</t>
        </is>
      </c>
      <c r="E2778" t="inlineStr">
        <is>
          <t>INV/2026/02733</t>
        </is>
      </c>
      <c r="F2778" t="inlineStr">
        <is>
          <t>Customer payment INV/2026/02733</t>
        </is>
      </c>
      <c r="G2778" s="9" t="n">
        <v>145.49</v>
      </c>
      <c r="H2778" t="inlineStr">
        <is>
          <t>customer_payment</t>
        </is>
      </c>
      <c r="I2778" t="inlineStr"/>
      <c r="J2778" t="inlineStr">
        <is>
          <t>G00334</t>
        </is>
      </c>
      <c r="K2778" t="str">
        <f>INDEX('Match Groups'!$D$5:$D$1326,MATCH(J2778,'Match Groups'!$A$5:$A$1326,0))</f>
        <v>MATCH</v>
      </c>
    </row>
    <row r="2779">
      <c r="A2779" t="inlineStr">
        <is>
          <t>JI-01622</t>
        </is>
      </c>
      <c r="B2779" t="inlineStr">
        <is>
          <t>OPS</t>
        </is>
      </c>
      <c r="C2779" s="5" t="n">
        <v>46255</v>
      </c>
      <c r="D2779" t="inlineStr">
        <is>
          <t>Meridian Health Cover</t>
        </is>
      </c>
      <c r="E2779" t="inlineStr">
        <is>
          <t>INV/2026/02461</t>
        </is>
      </c>
      <c r="F2779" t="inlineStr">
        <is>
          <t>Customer payment INV/2026/02461</t>
        </is>
      </c>
      <c r="G2779" s="9" t="n">
        <v>88</v>
      </c>
      <c r="H2779" t="inlineStr">
        <is>
          <t>customer_payment</t>
        </is>
      </c>
      <c r="I2779" t="inlineStr"/>
      <c r="J2779" t="inlineStr">
        <is>
          <t>G01015</t>
        </is>
      </c>
      <c r="K2779" t="str">
        <f>INDEX('Match Groups'!$D$5:$D$1326,MATCH(J2779,'Match Groups'!$A$5:$A$1326,0))</f>
        <v>MATCH</v>
      </c>
    </row>
    <row r="2780">
      <c r="A2780" t="inlineStr">
        <is>
          <t>JI-01671</t>
        </is>
      </c>
      <c r="B2780" t="inlineStr">
        <is>
          <t>OPS</t>
        </is>
      </c>
      <c r="C2780" s="5" t="n">
        <v>46255</v>
      </c>
      <c r="D2780" t="inlineStr">
        <is>
          <t>Pellucid Software Pty Ltd</t>
        </is>
      </c>
      <c r="E2780" t="inlineStr">
        <is>
          <t>INV/2026/03473</t>
        </is>
      </c>
      <c r="F2780" t="inlineStr">
        <is>
          <t>Customer payment INV/2026/03473</t>
        </is>
      </c>
      <c r="G2780" s="9" t="n">
        <v>2117.5</v>
      </c>
      <c r="H2780" t="inlineStr">
        <is>
          <t>customer_payment</t>
        </is>
      </c>
      <c r="I2780" t="inlineStr"/>
      <c r="J2780" t="inlineStr">
        <is>
          <t>G01012</t>
        </is>
      </c>
      <c r="K2780" t="str">
        <f>INDEX('Match Groups'!$D$5:$D$1326,MATCH(J2780,'Match Groups'!$A$5:$A$1326,0))</f>
        <v>MATCH</v>
      </c>
    </row>
    <row r="2781">
      <c r="A2781" t="inlineStr">
        <is>
          <t>JI-02903</t>
        </is>
      </c>
      <c r="B2781" t="inlineStr">
        <is>
          <t>OPS</t>
        </is>
      </c>
      <c r="C2781" s="5" t="n">
        <v>46255</v>
      </c>
      <c r="D2781" t="inlineStr">
        <is>
          <t>Stripe patient 91252</t>
        </is>
      </c>
      <c r="E2781" t="inlineStr">
        <is>
          <t>INV/2026/04747</t>
        </is>
      </c>
      <c r="F2781" t="inlineStr">
        <is>
          <t>Customer payment INV/2026/04747</t>
        </is>
      </c>
      <c r="G2781" s="9" t="n">
        <v>135</v>
      </c>
      <c r="H2781" t="inlineStr">
        <is>
          <t>customer_payment</t>
        </is>
      </c>
      <c r="I2781" t="inlineStr"/>
      <c r="J2781" t="inlineStr">
        <is>
          <t>G00053</t>
        </is>
      </c>
      <c r="K2781" t="str">
        <f>INDEX('Match Groups'!$D$5:$D$1326,MATCH(J2781,'Match Groups'!$A$5:$A$1326,0))</f>
        <v>STRIPE-FEE</v>
      </c>
    </row>
    <row r="2782">
      <c r="A2782" t="inlineStr">
        <is>
          <t>JI-02904</t>
        </is>
      </c>
      <c r="B2782" t="inlineStr">
        <is>
          <t>OPS</t>
        </is>
      </c>
      <c r="C2782" s="5" t="n">
        <v>46255</v>
      </c>
      <c r="D2782" t="inlineStr">
        <is>
          <t>Stripe patient 34772</t>
        </is>
      </c>
      <c r="E2782" t="inlineStr">
        <is>
          <t>INV/2026/04748</t>
        </is>
      </c>
      <c r="F2782" t="inlineStr">
        <is>
          <t>Customer payment INV/2026/04748</t>
        </is>
      </c>
      <c r="G2782" s="9" t="n">
        <v>120</v>
      </c>
      <c r="H2782" t="inlineStr">
        <is>
          <t>customer_payment</t>
        </is>
      </c>
      <c r="I2782" t="inlineStr"/>
      <c r="J2782" t="inlineStr">
        <is>
          <t>G00053</t>
        </is>
      </c>
      <c r="K2782" t="str">
        <f>INDEX('Match Groups'!$D$5:$D$1326,MATCH(J2782,'Match Groups'!$A$5:$A$1326,0))</f>
        <v>STRIPE-FEE</v>
      </c>
    </row>
    <row r="2783">
      <c r="A2783" t="inlineStr">
        <is>
          <t>JI-02905</t>
        </is>
      </c>
      <c r="B2783" t="inlineStr">
        <is>
          <t>OPS</t>
        </is>
      </c>
      <c r="C2783" s="5" t="n">
        <v>46255</v>
      </c>
      <c r="D2783" t="inlineStr">
        <is>
          <t>Stripe patient 82043</t>
        </is>
      </c>
      <c r="E2783" t="inlineStr">
        <is>
          <t>INV/2026/04749</t>
        </is>
      </c>
      <c r="F2783" t="inlineStr">
        <is>
          <t>Customer payment INV/2026/04749</t>
        </is>
      </c>
      <c r="G2783" s="9" t="n">
        <v>135</v>
      </c>
      <c r="H2783" t="inlineStr">
        <is>
          <t>customer_payment</t>
        </is>
      </c>
      <c r="I2783" t="inlineStr"/>
      <c r="J2783" t="inlineStr">
        <is>
          <t>G00053</t>
        </is>
      </c>
      <c r="K2783" t="str">
        <f>INDEX('Match Groups'!$D$5:$D$1326,MATCH(J2783,'Match Groups'!$A$5:$A$1326,0))</f>
        <v>STRIPE-FEE</v>
      </c>
    </row>
    <row r="2784">
      <c r="A2784" t="inlineStr">
        <is>
          <t>JI-02906</t>
        </is>
      </c>
      <c r="B2784" t="inlineStr">
        <is>
          <t>OPS</t>
        </is>
      </c>
      <c r="C2784" s="5" t="n">
        <v>46255</v>
      </c>
      <c r="D2784" t="inlineStr">
        <is>
          <t>Stripe patient 79793</t>
        </is>
      </c>
      <c r="E2784" t="inlineStr">
        <is>
          <t>INV/2026/04750</t>
        </is>
      </c>
      <c r="F2784" t="inlineStr">
        <is>
          <t>Customer payment INV/2026/04750</t>
        </is>
      </c>
      <c r="G2784" s="9" t="n">
        <v>220</v>
      </c>
      <c r="H2784" t="inlineStr">
        <is>
          <t>customer_payment</t>
        </is>
      </c>
      <c r="I2784" t="inlineStr"/>
      <c r="J2784" t="inlineStr">
        <is>
          <t>G00053</t>
        </is>
      </c>
      <c r="K2784" t="str">
        <f>INDEX('Match Groups'!$D$5:$D$1326,MATCH(J2784,'Match Groups'!$A$5:$A$1326,0))</f>
        <v>STRIPE-FEE</v>
      </c>
    </row>
    <row r="2785">
      <c r="A2785" t="inlineStr">
        <is>
          <t>JI-02907</t>
        </is>
      </c>
      <c r="B2785" t="inlineStr">
        <is>
          <t>OPS</t>
        </is>
      </c>
      <c r="C2785" s="5" t="n">
        <v>46255</v>
      </c>
      <c r="D2785" t="inlineStr">
        <is>
          <t>Stripe patient 32995</t>
        </is>
      </c>
      <c r="E2785" t="inlineStr">
        <is>
          <t>INV/2026/04751</t>
        </is>
      </c>
      <c r="F2785" t="inlineStr">
        <is>
          <t>Customer payment INV/2026/04751</t>
        </is>
      </c>
      <c r="G2785" s="9" t="n">
        <v>220</v>
      </c>
      <c r="H2785" t="inlineStr">
        <is>
          <t>customer_payment</t>
        </is>
      </c>
      <c r="I2785" t="inlineStr"/>
      <c r="J2785" t="inlineStr">
        <is>
          <t>G00053</t>
        </is>
      </c>
      <c r="K2785" t="str">
        <f>INDEX('Match Groups'!$D$5:$D$1326,MATCH(J2785,'Match Groups'!$A$5:$A$1326,0))</f>
        <v>STRIPE-FEE</v>
      </c>
    </row>
    <row r="2786">
      <c r="A2786" t="inlineStr">
        <is>
          <t>JI-02908</t>
        </is>
      </c>
      <c r="B2786" t="inlineStr">
        <is>
          <t>OPS</t>
        </is>
      </c>
      <c r="C2786" s="5" t="n">
        <v>46255</v>
      </c>
      <c r="D2786" t="inlineStr">
        <is>
          <t>Stripe patient 27651</t>
        </is>
      </c>
      <c r="E2786" t="inlineStr">
        <is>
          <t>INV/2026/04752</t>
        </is>
      </c>
      <c r="F2786" t="inlineStr">
        <is>
          <t>Customer payment INV/2026/04752</t>
        </is>
      </c>
      <c r="G2786" s="9" t="n">
        <v>85</v>
      </c>
      <c r="H2786" t="inlineStr">
        <is>
          <t>customer_payment</t>
        </is>
      </c>
      <c r="I2786" t="inlineStr"/>
      <c r="J2786" t="inlineStr">
        <is>
          <t>G00053</t>
        </is>
      </c>
      <c r="K2786" t="str">
        <f>INDEX('Match Groups'!$D$5:$D$1326,MATCH(J2786,'Match Groups'!$A$5:$A$1326,0))</f>
        <v>STRIPE-FEE</v>
      </c>
    </row>
    <row r="2787">
      <c r="A2787" t="inlineStr">
        <is>
          <t>JI-02909</t>
        </is>
      </c>
      <c r="B2787" t="inlineStr">
        <is>
          <t>OPS</t>
        </is>
      </c>
      <c r="C2787" s="5" t="n">
        <v>46255</v>
      </c>
      <c r="D2787" t="inlineStr">
        <is>
          <t>Stripe patient 62461</t>
        </is>
      </c>
      <c r="E2787" t="inlineStr">
        <is>
          <t>INV/2026/04753</t>
        </is>
      </c>
      <c r="F2787" t="inlineStr">
        <is>
          <t>Customer payment INV/2026/04753</t>
        </is>
      </c>
      <c r="G2787" s="9" t="n">
        <v>150</v>
      </c>
      <c r="H2787" t="inlineStr">
        <is>
          <t>customer_payment</t>
        </is>
      </c>
      <c r="I2787" t="inlineStr"/>
      <c r="J2787" t="inlineStr">
        <is>
          <t>G00053</t>
        </is>
      </c>
      <c r="K2787" t="str">
        <f>INDEX('Match Groups'!$D$5:$D$1326,MATCH(J2787,'Match Groups'!$A$5:$A$1326,0))</f>
        <v>STRIPE-FEE</v>
      </c>
    </row>
    <row r="2788">
      <c r="A2788" t="inlineStr">
        <is>
          <t>JI-02910</t>
        </is>
      </c>
      <c r="B2788" t="inlineStr">
        <is>
          <t>OPS</t>
        </is>
      </c>
      <c r="C2788" s="5" t="n">
        <v>46255</v>
      </c>
      <c r="D2788" t="inlineStr">
        <is>
          <t>Stripe patient 30816</t>
        </is>
      </c>
      <c r="E2788" t="inlineStr">
        <is>
          <t>INV/2026/04754</t>
        </is>
      </c>
      <c r="F2788" t="inlineStr">
        <is>
          <t>Customer payment INV/2026/04754</t>
        </is>
      </c>
      <c r="G2788" s="9" t="n">
        <v>135</v>
      </c>
      <c r="H2788" t="inlineStr">
        <is>
          <t>customer_payment</t>
        </is>
      </c>
      <c r="I2788" t="inlineStr"/>
      <c r="J2788" t="inlineStr">
        <is>
          <t>G00053</t>
        </is>
      </c>
      <c r="K2788" t="str">
        <f>INDEX('Match Groups'!$D$5:$D$1326,MATCH(J2788,'Match Groups'!$A$5:$A$1326,0))</f>
        <v>STRIPE-FEE</v>
      </c>
    </row>
    <row r="2789">
      <c r="A2789" t="inlineStr">
        <is>
          <t>JI-02911</t>
        </is>
      </c>
      <c r="B2789" t="inlineStr">
        <is>
          <t>OPS</t>
        </is>
      </c>
      <c r="C2789" s="5" t="n">
        <v>46255</v>
      </c>
      <c r="D2789" t="inlineStr">
        <is>
          <t>Stripe patient 43238</t>
        </is>
      </c>
      <c r="E2789" t="inlineStr">
        <is>
          <t>INV/2026/04755</t>
        </is>
      </c>
      <c r="F2789" t="inlineStr">
        <is>
          <t>Customer payment INV/2026/04755</t>
        </is>
      </c>
      <c r="G2789" s="9" t="n">
        <v>120</v>
      </c>
      <c r="H2789" t="inlineStr">
        <is>
          <t>customer_payment</t>
        </is>
      </c>
      <c r="I2789" t="inlineStr"/>
      <c r="J2789" t="inlineStr">
        <is>
          <t>G00053</t>
        </is>
      </c>
      <c r="K2789" t="str">
        <f>INDEX('Match Groups'!$D$5:$D$1326,MATCH(J2789,'Match Groups'!$A$5:$A$1326,0))</f>
        <v>STRIPE-FEE</v>
      </c>
    </row>
    <row r="2790">
      <c r="A2790" t="inlineStr">
        <is>
          <t>JI-02912</t>
        </is>
      </c>
      <c r="B2790" t="inlineStr">
        <is>
          <t>OPS</t>
        </is>
      </c>
      <c r="C2790" s="5" t="n">
        <v>46255</v>
      </c>
      <c r="D2790" t="inlineStr">
        <is>
          <t>Stripe patient 18144</t>
        </is>
      </c>
      <c r="E2790" t="inlineStr">
        <is>
          <t>INV/2026/04756</t>
        </is>
      </c>
      <c r="F2790" t="inlineStr">
        <is>
          <t>Customer payment INV/2026/04756</t>
        </is>
      </c>
      <c r="G2790" s="9" t="n">
        <v>85</v>
      </c>
      <c r="H2790" t="inlineStr">
        <is>
          <t>customer_payment</t>
        </is>
      </c>
      <c r="I2790" t="inlineStr"/>
      <c r="J2790" t="inlineStr">
        <is>
          <t>G00053</t>
        </is>
      </c>
      <c r="K2790" t="str">
        <f>INDEX('Match Groups'!$D$5:$D$1326,MATCH(J2790,'Match Groups'!$A$5:$A$1326,0))</f>
        <v>STRIPE-FEE</v>
      </c>
    </row>
    <row r="2791">
      <c r="A2791" t="inlineStr">
        <is>
          <t>JI-02913</t>
        </is>
      </c>
      <c r="B2791" t="inlineStr">
        <is>
          <t>OPS</t>
        </is>
      </c>
      <c r="C2791" s="5" t="n">
        <v>46255</v>
      </c>
      <c r="D2791" t="inlineStr">
        <is>
          <t>Stripe patient 20019</t>
        </is>
      </c>
      <c r="E2791" t="inlineStr">
        <is>
          <t>INV/2026/04757</t>
        </is>
      </c>
      <c r="F2791" t="inlineStr">
        <is>
          <t>Customer payment INV/2026/04757</t>
        </is>
      </c>
      <c r="G2791" s="9" t="n">
        <v>85</v>
      </c>
      <c r="H2791" t="inlineStr">
        <is>
          <t>customer_payment</t>
        </is>
      </c>
      <c r="I2791" t="inlineStr"/>
      <c r="J2791" t="inlineStr">
        <is>
          <t>G00053</t>
        </is>
      </c>
      <c r="K2791" t="str">
        <f>INDEX('Match Groups'!$D$5:$D$1326,MATCH(J2791,'Match Groups'!$A$5:$A$1326,0))</f>
        <v>STRIPE-FEE</v>
      </c>
    </row>
    <row r="2792">
      <c r="A2792" t="inlineStr">
        <is>
          <t>JI-02914</t>
        </is>
      </c>
      <c r="B2792" t="inlineStr">
        <is>
          <t>OPS</t>
        </is>
      </c>
      <c r="C2792" s="5" t="n">
        <v>46255</v>
      </c>
      <c r="D2792" t="inlineStr">
        <is>
          <t>Stripe patient 43466</t>
        </is>
      </c>
      <c r="E2792" t="inlineStr">
        <is>
          <t>INV/2026/04758</t>
        </is>
      </c>
      <c r="F2792" t="inlineStr">
        <is>
          <t>Customer payment INV/2026/04758</t>
        </is>
      </c>
      <c r="G2792" s="9" t="n">
        <v>135</v>
      </c>
      <c r="H2792" t="inlineStr">
        <is>
          <t>customer_payment</t>
        </is>
      </c>
      <c r="I2792" t="inlineStr"/>
      <c r="J2792" t="inlineStr">
        <is>
          <t>G00053</t>
        </is>
      </c>
      <c r="K2792" t="str">
        <f>INDEX('Match Groups'!$D$5:$D$1326,MATCH(J2792,'Match Groups'!$A$5:$A$1326,0))</f>
        <v>STRIPE-FEE</v>
      </c>
    </row>
    <row r="2793">
      <c r="A2793" t="inlineStr">
        <is>
          <t>JI-02915</t>
        </is>
      </c>
      <c r="B2793" t="inlineStr">
        <is>
          <t>OPS</t>
        </is>
      </c>
      <c r="C2793" s="5" t="n">
        <v>46255</v>
      </c>
      <c r="D2793" t="inlineStr">
        <is>
          <t>Stripe patient 47108</t>
        </is>
      </c>
      <c r="E2793" t="inlineStr">
        <is>
          <t>INV/2026/04759</t>
        </is>
      </c>
      <c r="F2793" t="inlineStr">
        <is>
          <t>Customer payment INV/2026/04759</t>
        </is>
      </c>
      <c r="G2793" s="9" t="n">
        <v>150</v>
      </c>
      <c r="H2793" t="inlineStr">
        <is>
          <t>customer_payment</t>
        </is>
      </c>
      <c r="I2793" t="inlineStr"/>
      <c r="J2793" t="inlineStr">
        <is>
          <t>G00053</t>
        </is>
      </c>
      <c r="K2793" t="str">
        <f>INDEX('Match Groups'!$D$5:$D$1326,MATCH(J2793,'Match Groups'!$A$5:$A$1326,0))</f>
        <v>STRIPE-FEE</v>
      </c>
    </row>
    <row r="2794">
      <c r="A2794" t="inlineStr">
        <is>
          <t>JI-02916</t>
        </is>
      </c>
      <c r="B2794" t="inlineStr">
        <is>
          <t>OPS</t>
        </is>
      </c>
      <c r="C2794" s="5" t="n">
        <v>46255</v>
      </c>
      <c r="D2794" t="inlineStr">
        <is>
          <t>Stripe patient 24160</t>
        </is>
      </c>
      <c r="E2794" t="inlineStr">
        <is>
          <t>INV/2026/04760</t>
        </is>
      </c>
      <c r="F2794" t="inlineStr">
        <is>
          <t>Customer payment INV/2026/04760</t>
        </is>
      </c>
      <c r="G2794" s="9" t="n">
        <v>65</v>
      </c>
      <c r="H2794" t="inlineStr">
        <is>
          <t>customer_payment</t>
        </is>
      </c>
      <c r="I2794" t="inlineStr"/>
      <c r="J2794" t="inlineStr">
        <is>
          <t>G00053</t>
        </is>
      </c>
      <c r="K2794" t="str">
        <f>INDEX('Match Groups'!$D$5:$D$1326,MATCH(J2794,'Match Groups'!$A$5:$A$1326,0))</f>
        <v>STRIPE-FEE</v>
      </c>
    </row>
    <row r="2795">
      <c r="A2795" t="inlineStr">
        <is>
          <t>JI-02917</t>
        </is>
      </c>
      <c r="B2795" t="inlineStr">
        <is>
          <t>OPS</t>
        </is>
      </c>
      <c r="C2795" s="5" t="n">
        <v>46255</v>
      </c>
      <c r="D2795" t="inlineStr">
        <is>
          <t>Stripe patient 81221</t>
        </is>
      </c>
      <c r="E2795" t="inlineStr">
        <is>
          <t>INV/2026/04761</t>
        </is>
      </c>
      <c r="F2795" t="inlineStr">
        <is>
          <t>Customer payment INV/2026/04761</t>
        </is>
      </c>
      <c r="G2795" s="9" t="n">
        <v>110</v>
      </c>
      <c r="H2795" t="inlineStr">
        <is>
          <t>customer_payment</t>
        </is>
      </c>
      <c r="I2795" t="inlineStr"/>
      <c r="J2795" t="inlineStr">
        <is>
          <t>G00053</t>
        </is>
      </c>
      <c r="K2795" t="str">
        <f>INDEX('Match Groups'!$D$5:$D$1326,MATCH(J2795,'Match Groups'!$A$5:$A$1326,0))</f>
        <v>STRIPE-FEE</v>
      </c>
    </row>
    <row r="2796">
      <c r="A2796" t="inlineStr">
        <is>
          <t>JI-02918</t>
        </is>
      </c>
      <c r="B2796" t="inlineStr">
        <is>
          <t>OPS</t>
        </is>
      </c>
      <c r="C2796" s="5" t="n">
        <v>46255</v>
      </c>
      <c r="D2796" t="inlineStr">
        <is>
          <t>Stripe patient 75876</t>
        </is>
      </c>
      <c r="E2796" t="inlineStr">
        <is>
          <t>INV/2026/04762</t>
        </is>
      </c>
      <c r="F2796" t="inlineStr">
        <is>
          <t>Customer payment INV/2026/04762</t>
        </is>
      </c>
      <c r="G2796" s="9" t="n">
        <v>65</v>
      </c>
      <c r="H2796" t="inlineStr">
        <is>
          <t>customer_payment</t>
        </is>
      </c>
      <c r="I2796" t="inlineStr"/>
      <c r="J2796" t="inlineStr">
        <is>
          <t>G00053</t>
        </is>
      </c>
      <c r="K2796" t="str">
        <f>INDEX('Match Groups'!$D$5:$D$1326,MATCH(J2796,'Match Groups'!$A$5:$A$1326,0))</f>
        <v>STRIPE-FEE</v>
      </c>
    </row>
    <row r="2797">
      <c r="A2797" t="inlineStr">
        <is>
          <t>JI-02919</t>
        </is>
      </c>
      <c r="B2797" t="inlineStr">
        <is>
          <t>OPS</t>
        </is>
      </c>
      <c r="C2797" s="5" t="n">
        <v>46255</v>
      </c>
      <c r="D2797" t="inlineStr">
        <is>
          <t>Stripe patient 89950</t>
        </is>
      </c>
      <c r="E2797" t="inlineStr">
        <is>
          <t>INV/2026/04763</t>
        </is>
      </c>
      <c r="F2797" t="inlineStr">
        <is>
          <t>Customer payment INV/2026/04763</t>
        </is>
      </c>
      <c r="G2797" s="9" t="n">
        <v>65</v>
      </c>
      <c r="H2797" t="inlineStr">
        <is>
          <t>customer_payment</t>
        </is>
      </c>
      <c r="I2797" t="inlineStr"/>
      <c r="J2797" t="inlineStr">
        <is>
          <t>G00053</t>
        </is>
      </c>
      <c r="K2797" t="str">
        <f>INDEX('Match Groups'!$D$5:$D$1326,MATCH(J2797,'Match Groups'!$A$5:$A$1326,0))</f>
        <v>STRIPE-FEE</v>
      </c>
    </row>
    <row r="2798">
      <c r="A2798" t="inlineStr">
        <is>
          <t>JI-02920</t>
        </is>
      </c>
      <c r="B2798" t="inlineStr">
        <is>
          <t>OPS</t>
        </is>
      </c>
      <c r="C2798" s="5" t="n">
        <v>46255</v>
      </c>
      <c r="D2798" t="inlineStr">
        <is>
          <t>Stripe patient 39781</t>
        </is>
      </c>
      <c r="E2798" t="inlineStr">
        <is>
          <t>INV/2026/04764</t>
        </is>
      </c>
      <c r="F2798" t="inlineStr">
        <is>
          <t>Customer payment INV/2026/04764</t>
        </is>
      </c>
      <c r="G2798" s="9" t="n">
        <v>220</v>
      </c>
      <c r="H2798" t="inlineStr">
        <is>
          <t>customer_payment</t>
        </is>
      </c>
      <c r="I2798" t="inlineStr"/>
      <c r="J2798" t="inlineStr">
        <is>
          <t>G00053</t>
        </is>
      </c>
      <c r="K2798" t="str">
        <f>INDEX('Match Groups'!$D$5:$D$1326,MATCH(J2798,'Match Groups'!$A$5:$A$1326,0))</f>
        <v>STRIPE-FEE</v>
      </c>
    </row>
    <row r="2799">
      <c r="A2799" t="inlineStr">
        <is>
          <t>JI-02921</t>
        </is>
      </c>
      <c r="B2799" t="inlineStr">
        <is>
          <t>OPS</t>
        </is>
      </c>
      <c r="C2799" s="5" t="n">
        <v>46255</v>
      </c>
      <c r="D2799" t="inlineStr">
        <is>
          <t>Stripe patient 38535</t>
        </is>
      </c>
      <c r="E2799" t="inlineStr">
        <is>
          <t>INV/2026/04765</t>
        </is>
      </c>
      <c r="F2799" t="inlineStr">
        <is>
          <t>Customer payment INV/2026/04765</t>
        </is>
      </c>
      <c r="G2799" s="9" t="n">
        <v>135</v>
      </c>
      <c r="H2799" t="inlineStr">
        <is>
          <t>customer_payment</t>
        </is>
      </c>
      <c r="I2799" t="inlineStr"/>
      <c r="J2799" t="inlineStr">
        <is>
          <t>G00053</t>
        </is>
      </c>
      <c r="K2799" t="str">
        <f>INDEX('Match Groups'!$D$5:$D$1326,MATCH(J2799,'Match Groups'!$A$5:$A$1326,0))</f>
        <v>STRIPE-FEE</v>
      </c>
    </row>
    <row r="2800">
      <c r="A2800" t="inlineStr">
        <is>
          <t>JI-02922</t>
        </is>
      </c>
      <c r="B2800" t="inlineStr">
        <is>
          <t>OPS</t>
        </is>
      </c>
      <c r="C2800" s="5" t="n">
        <v>46255</v>
      </c>
      <c r="D2800" t="inlineStr">
        <is>
          <t>Stripe patient 67771</t>
        </is>
      </c>
      <c r="E2800" t="inlineStr">
        <is>
          <t>INV/2026/04766</t>
        </is>
      </c>
      <c r="F2800" t="inlineStr">
        <is>
          <t>Customer payment INV/2026/04766</t>
        </is>
      </c>
      <c r="G2800" s="9" t="n">
        <v>95</v>
      </c>
      <c r="H2800" t="inlineStr">
        <is>
          <t>customer_payment</t>
        </is>
      </c>
      <c r="I2800" t="inlineStr"/>
      <c r="J2800" t="inlineStr">
        <is>
          <t>G00053</t>
        </is>
      </c>
      <c r="K2800" t="str">
        <f>INDEX('Match Groups'!$D$5:$D$1326,MATCH(J2800,'Match Groups'!$A$5:$A$1326,0))</f>
        <v>STRIPE-FEE</v>
      </c>
    </row>
    <row r="2801">
      <c r="A2801" t="inlineStr">
        <is>
          <t>JI-02923</t>
        </is>
      </c>
      <c r="B2801" t="inlineStr">
        <is>
          <t>OPS</t>
        </is>
      </c>
      <c r="C2801" s="5" t="n">
        <v>46255</v>
      </c>
      <c r="D2801" t="inlineStr">
        <is>
          <t>Stripe patient 72342</t>
        </is>
      </c>
      <c r="E2801" t="inlineStr">
        <is>
          <t>INV/2026/04767</t>
        </is>
      </c>
      <c r="F2801" t="inlineStr">
        <is>
          <t>Customer payment INV/2026/04767</t>
        </is>
      </c>
      <c r="G2801" s="9" t="n">
        <v>120</v>
      </c>
      <c r="H2801" t="inlineStr">
        <is>
          <t>customer_payment</t>
        </is>
      </c>
      <c r="I2801" t="inlineStr"/>
      <c r="J2801" t="inlineStr">
        <is>
          <t>G00053</t>
        </is>
      </c>
      <c r="K2801" t="str">
        <f>INDEX('Match Groups'!$D$5:$D$1326,MATCH(J2801,'Match Groups'!$A$5:$A$1326,0))</f>
        <v>STRIPE-FEE</v>
      </c>
    </row>
    <row r="2802">
      <c r="A2802" t="inlineStr">
        <is>
          <t>JI-02924</t>
        </is>
      </c>
      <c r="B2802" t="inlineStr">
        <is>
          <t>OPS</t>
        </is>
      </c>
      <c r="C2802" s="5" t="n">
        <v>46255</v>
      </c>
      <c r="D2802" t="inlineStr">
        <is>
          <t>Stripe patient 92251</t>
        </is>
      </c>
      <c r="E2802" t="inlineStr">
        <is>
          <t>INV/2026/04768</t>
        </is>
      </c>
      <c r="F2802" t="inlineStr">
        <is>
          <t>Customer payment INV/2026/04768</t>
        </is>
      </c>
      <c r="G2802" s="9" t="n">
        <v>150</v>
      </c>
      <c r="H2802" t="inlineStr">
        <is>
          <t>customer_payment</t>
        </is>
      </c>
      <c r="I2802" t="inlineStr"/>
      <c r="J2802" t="inlineStr">
        <is>
          <t>G00053</t>
        </is>
      </c>
      <c r="K2802" t="str">
        <f>INDEX('Match Groups'!$D$5:$D$1326,MATCH(J2802,'Match Groups'!$A$5:$A$1326,0))</f>
        <v>STRIPE-FEE</v>
      </c>
    </row>
    <row r="2803">
      <c r="A2803" t="inlineStr">
        <is>
          <t>JI-01636</t>
        </is>
      </c>
      <c r="B2803" t="inlineStr">
        <is>
          <t>OPS</t>
        </is>
      </c>
      <c r="C2803" s="5" t="n">
        <v>46256</v>
      </c>
      <c r="D2803" t="inlineStr">
        <is>
          <t>Northline Injury Claims</t>
        </is>
      </c>
      <c r="E2803" t="inlineStr">
        <is>
          <t>INV/2026/02441</t>
        </is>
      </c>
      <c r="F2803" t="inlineStr">
        <is>
          <t>Customer payment INV/2026/02441</t>
        </is>
      </c>
      <c r="G2803" s="9" t="n">
        <v>990</v>
      </c>
      <c r="H2803" t="inlineStr">
        <is>
          <t>customer_payment</t>
        </is>
      </c>
      <c r="I2803" t="inlineStr"/>
      <c r="J2803" t="inlineStr">
        <is>
          <t>G01016</t>
        </is>
      </c>
      <c r="K2803" t="str">
        <f>INDEX('Match Groups'!$D$5:$D$1326,MATCH(J2803,'Match Groups'!$A$5:$A$1326,0))</f>
        <v>MATCH</v>
      </c>
    </row>
    <row r="2804">
      <c r="A2804" t="inlineStr">
        <is>
          <t>JI-02925</t>
        </is>
      </c>
      <c r="B2804" t="inlineStr">
        <is>
          <t>OPS</t>
        </is>
      </c>
      <c r="C2804" s="5" t="n">
        <v>46256</v>
      </c>
      <c r="D2804" t="inlineStr">
        <is>
          <t>Stripe patient 68483</t>
        </is>
      </c>
      <c r="E2804" t="inlineStr">
        <is>
          <t>INV/2026/04769</t>
        </is>
      </c>
      <c r="F2804" t="inlineStr">
        <is>
          <t>Customer payment INV/2026/04769</t>
        </is>
      </c>
      <c r="G2804" s="9" t="n">
        <v>180</v>
      </c>
      <c r="H2804" t="inlineStr">
        <is>
          <t>customer_payment</t>
        </is>
      </c>
      <c r="I2804" t="inlineStr"/>
      <c r="J2804" t="inlineStr">
        <is>
          <t>G00053</t>
        </is>
      </c>
      <c r="K2804" t="str">
        <f>INDEX('Match Groups'!$D$5:$D$1326,MATCH(J2804,'Match Groups'!$A$5:$A$1326,0))</f>
        <v>STRIPE-FEE</v>
      </c>
    </row>
    <row r="2805">
      <c r="A2805" t="inlineStr">
        <is>
          <t>JI-02926</t>
        </is>
      </c>
      <c r="B2805" t="inlineStr">
        <is>
          <t>OPS</t>
        </is>
      </c>
      <c r="C2805" s="5" t="n">
        <v>46256</v>
      </c>
      <c r="D2805" t="inlineStr">
        <is>
          <t>Stripe patient 84533</t>
        </is>
      </c>
      <c r="E2805" t="inlineStr">
        <is>
          <t>INV/2026/04770</t>
        </is>
      </c>
      <c r="F2805" t="inlineStr">
        <is>
          <t>Customer payment INV/2026/04770</t>
        </is>
      </c>
      <c r="G2805" s="9" t="n">
        <v>65</v>
      </c>
      <c r="H2805" t="inlineStr">
        <is>
          <t>customer_payment</t>
        </is>
      </c>
      <c r="I2805" t="inlineStr"/>
      <c r="J2805" t="inlineStr">
        <is>
          <t>G00053</t>
        </is>
      </c>
      <c r="K2805" t="str">
        <f>INDEX('Match Groups'!$D$5:$D$1326,MATCH(J2805,'Match Groups'!$A$5:$A$1326,0))</f>
        <v>STRIPE-FEE</v>
      </c>
    </row>
    <row r="2806">
      <c r="A2806" t="inlineStr">
        <is>
          <t>JI-02927</t>
        </is>
      </c>
      <c r="B2806" t="inlineStr">
        <is>
          <t>OPS</t>
        </is>
      </c>
      <c r="C2806" s="5" t="n">
        <v>46256</v>
      </c>
      <c r="D2806" t="inlineStr">
        <is>
          <t>Stripe patient 91342</t>
        </is>
      </c>
      <c r="E2806" t="inlineStr">
        <is>
          <t>INV/2026/04771</t>
        </is>
      </c>
      <c r="F2806" t="inlineStr">
        <is>
          <t>Customer payment INV/2026/04771</t>
        </is>
      </c>
      <c r="G2806" s="9" t="n">
        <v>180</v>
      </c>
      <c r="H2806" t="inlineStr">
        <is>
          <t>customer_payment</t>
        </is>
      </c>
      <c r="I2806" t="inlineStr"/>
      <c r="J2806" t="inlineStr">
        <is>
          <t>G00053</t>
        </is>
      </c>
      <c r="K2806" t="str">
        <f>INDEX('Match Groups'!$D$5:$D$1326,MATCH(J2806,'Match Groups'!$A$5:$A$1326,0))</f>
        <v>STRIPE-FEE</v>
      </c>
    </row>
    <row r="2807">
      <c r="A2807" t="inlineStr">
        <is>
          <t>JI-02928</t>
        </is>
      </c>
      <c r="B2807" t="inlineStr">
        <is>
          <t>OPS</t>
        </is>
      </c>
      <c r="C2807" s="5" t="n">
        <v>46256</v>
      </c>
      <c r="D2807" t="inlineStr">
        <is>
          <t>Stripe patient 68167</t>
        </is>
      </c>
      <c r="E2807" t="inlineStr">
        <is>
          <t>INV/2026/04772</t>
        </is>
      </c>
      <c r="F2807" t="inlineStr">
        <is>
          <t>Customer payment INV/2026/04772</t>
        </is>
      </c>
      <c r="G2807" s="9" t="n">
        <v>85</v>
      </c>
      <c r="H2807" t="inlineStr">
        <is>
          <t>customer_payment</t>
        </is>
      </c>
      <c r="I2807" t="inlineStr"/>
      <c r="J2807" t="inlineStr">
        <is>
          <t>G00053</t>
        </is>
      </c>
      <c r="K2807" t="str">
        <f>INDEX('Match Groups'!$D$5:$D$1326,MATCH(J2807,'Match Groups'!$A$5:$A$1326,0))</f>
        <v>STRIPE-FEE</v>
      </c>
    </row>
    <row r="2808">
      <c r="A2808" t="inlineStr">
        <is>
          <t>JI-02929</t>
        </is>
      </c>
      <c r="B2808" t="inlineStr">
        <is>
          <t>OPS</t>
        </is>
      </c>
      <c r="C2808" s="5" t="n">
        <v>46256</v>
      </c>
      <c r="D2808" t="inlineStr">
        <is>
          <t>Stripe patient 25316</t>
        </is>
      </c>
      <c r="E2808" t="inlineStr">
        <is>
          <t>INV/2026/04773</t>
        </is>
      </c>
      <c r="F2808" t="inlineStr">
        <is>
          <t>Customer payment INV/2026/04773</t>
        </is>
      </c>
      <c r="G2808" s="9" t="n">
        <v>65</v>
      </c>
      <c r="H2808" t="inlineStr">
        <is>
          <t>customer_payment</t>
        </is>
      </c>
      <c r="I2808" t="inlineStr"/>
      <c r="J2808" t="inlineStr">
        <is>
          <t>G00053</t>
        </is>
      </c>
      <c r="K2808" t="str">
        <f>INDEX('Match Groups'!$D$5:$D$1326,MATCH(J2808,'Match Groups'!$A$5:$A$1326,0))</f>
        <v>STRIPE-FEE</v>
      </c>
    </row>
    <row r="2809">
      <c r="A2809" t="inlineStr">
        <is>
          <t>JI-02930</t>
        </is>
      </c>
      <c r="B2809" t="inlineStr">
        <is>
          <t>OPS</t>
        </is>
      </c>
      <c r="C2809" s="5" t="n">
        <v>46256</v>
      </c>
      <c r="D2809" t="inlineStr">
        <is>
          <t>Stripe patient 86443</t>
        </is>
      </c>
      <c r="E2809" t="inlineStr">
        <is>
          <t>INV/2026/04774</t>
        </is>
      </c>
      <c r="F2809" t="inlineStr">
        <is>
          <t>Customer payment INV/2026/04774</t>
        </is>
      </c>
      <c r="G2809" s="9" t="n">
        <v>120</v>
      </c>
      <c r="H2809" t="inlineStr">
        <is>
          <t>customer_payment</t>
        </is>
      </c>
      <c r="I2809" t="inlineStr"/>
      <c r="J2809" t="inlineStr">
        <is>
          <t>G00053</t>
        </is>
      </c>
      <c r="K2809" t="str">
        <f>INDEX('Match Groups'!$D$5:$D$1326,MATCH(J2809,'Match Groups'!$A$5:$A$1326,0))</f>
        <v>STRIPE-FEE</v>
      </c>
    </row>
    <row r="2810">
      <c r="A2810" t="inlineStr">
        <is>
          <t>JI-01043</t>
        </is>
      </c>
      <c r="B2810" t="inlineStr">
        <is>
          <t>OPS</t>
        </is>
      </c>
      <c r="C2810" s="5" t="n">
        <v>46257</v>
      </c>
      <c r="D2810" t="inlineStr">
        <is>
          <t>Southern Cross Plan Mgmt</t>
        </is>
      </c>
      <c r="E2810" t="inlineStr">
        <is>
          <t>INV/2026/01958</t>
        </is>
      </c>
      <c r="F2810" t="inlineStr">
        <is>
          <t>Customer payment INV/2026/01958</t>
        </is>
      </c>
      <c r="G2810" s="9" t="n">
        <v>242.49</v>
      </c>
      <c r="H2810" t="inlineStr">
        <is>
          <t>customer_payment</t>
        </is>
      </c>
      <c r="I2810" t="inlineStr"/>
      <c r="J2810" t="inlineStr">
        <is>
          <t>G00340</t>
        </is>
      </c>
      <c r="K2810" t="str">
        <f>INDEX('Match Groups'!$D$5:$D$1326,MATCH(J2810,'Match Groups'!$A$5:$A$1326,0))</f>
        <v>MATCH</v>
      </c>
    </row>
    <row r="2811">
      <c r="A2811" t="inlineStr">
        <is>
          <t>JI-01044</t>
        </is>
      </c>
      <c r="B2811" t="inlineStr">
        <is>
          <t>OPS</t>
        </is>
      </c>
      <c r="C2811" s="5" t="n">
        <v>46257</v>
      </c>
      <c r="D2811" t="inlineStr">
        <is>
          <t>Southern Cross Plan Mgmt</t>
        </is>
      </c>
      <c r="E2811" t="inlineStr">
        <is>
          <t>INV/2026/01959</t>
        </is>
      </c>
      <c r="F2811" t="inlineStr">
        <is>
          <t>Customer payment INV/2026/01959</t>
        </is>
      </c>
      <c r="G2811" s="9" t="n">
        <v>417.98</v>
      </c>
      <c r="H2811" t="inlineStr">
        <is>
          <t>customer_payment</t>
        </is>
      </c>
      <c r="I2811" t="inlineStr"/>
      <c r="J2811" t="inlineStr">
        <is>
          <t>G00340</t>
        </is>
      </c>
      <c r="K2811" t="str">
        <f>INDEX('Match Groups'!$D$5:$D$1326,MATCH(J2811,'Match Groups'!$A$5:$A$1326,0))</f>
        <v>MATCH</v>
      </c>
    </row>
    <row r="2812">
      <c r="A2812" t="inlineStr">
        <is>
          <t>JI-01045</t>
        </is>
      </c>
      <c r="B2812" t="inlineStr">
        <is>
          <t>OPS</t>
        </is>
      </c>
      <c r="C2812" s="5" t="n">
        <v>46257</v>
      </c>
      <c r="D2812" t="inlineStr">
        <is>
          <t>Southern Cross Plan Mgmt</t>
        </is>
      </c>
      <c r="E2812" t="inlineStr">
        <is>
          <t>INV/2026/01984</t>
        </is>
      </c>
      <c r="F2812" t="inlineStr">
        <is>
          <t>Customer payment INV/2026/01984</t>
        </is>
      </c>
      <c r="G2812" s="9" t="n">
        <v>252.19</v>
      </c>
      <c r="H2812" t="inlineStr">
        <is>
          <t>customer_payment</t>
        </is>
      </c>
      <c r="I2812" t="inlineStr"/>
      <c r="J2812" t="inlineStr">
        <is>
          <t>G00340</t>
        </is>
      </c>
      <c r="K2812" t="str">
        <f>INDEX('Match Groups'!$D$5:$D$1326,MATCH(J2812,'Match Groups'!$A$5:$A$1326,0))</f>
        <v>MATCH</v>
      </c>
    </row>
    <row r="2813">
      <c r="A2813" t="inlineStr">
        <is>
          <t>JI-01046</t>
        </is>
      </c>
      <c r="B2813" t="inlineStr">
        <is>
          <t>OPS</t>
        </is>
      </c>
      <c r="C2813" s="5" t="n">
        <v>46257</v>
      </c>
      <c r="D2813" t="inlineStr">
        <is>
          <t>Southern Cross Plan Mgmt</t>
        </is>
      </c>
      <c r="E2813" t="inlineStr">
        <is>
          <t>INV/2026/01985</t>
        </is>
      </c>
      <c r="F2813" t="inlineStr">
        <is>
          <t>Customer payment INV/2026/01985</t>
        </is>
      </c>
      <c r="G2813" s="9" t="n">
        <v>242.49</v>
      </c>
      <c r="H2813" t="inlineStr">
        <is>
          <t>customer_payment</t>
        </is>
      </c>
      <c r="I2813" t="inlineStr"/>
      <c r="J2813" t="inlineStr">
        <is>
          <t>G00340</t>
        </is>
      </c>
      <c r="K2813" t="str">
        <f>INDEX('Match Groups'!$D$5:$D$1326,MATCH(J2813,'Match Groups'!$A$5:$A$1326,0))</f>
        <v>MATCH</v>
      </c>
    </row>
    <row r="2814">
      <c r="A2814" t="inlineStr">
        <is>
          <t>JI-01047</t>
        </is>
      </c>
      <c r="B2814" t="inlineStr">
        <is>
          <t>OPS</t>
        </is>
      </c>
      <c r="C2814" s="5" t="n">
        <v>46257</v>
      </c>
      <c r="D2814" t="inlineStr">
        <is>
          <t>Southern Cross Plan Mgmt</t>
        </is>
      </c>
      <c r="E2814" t="inlineStr">
        <is>
          <t>INV/2026/02007</t>
        </is>
      </c>
      <c r="F2814" t="inlineStr">
        <is>
          <t>Customer payment INV/2026/02007</t>
        </is>
      </c>
      <c r="G2814" s="9" t="n">
        <v>300.69</v>
      </c>
      <c r="H2814" t="inlineStr">
        <is>
          <t>customer_payment</t>
        </is>
      </c>
      <c r="I2814" t="inlineStr"/>
      <c r="J2814" t="inlineStr">
        <is>
          <t>G00340</t>
        </is>
      </c>
      <c r="K2814" t="str">
        <f>INDEX('Match Groups'!$D$5:$D$1326,MATCH(J2814,'Match Groups'!$A$5:$A$1326,0))</f>
        <v>MATCH</v>
      </c>
    </row>
    <row r="2815">
      <c r="A2815" t="inlineStr">
        <is>
          <t>JI-01048</t>
        </is>
      </c>
      <c r="B2815" t="inlineStr">
        <is>
          <t>OPS</t>
        </is>
      </c>
      <c r="C2815" s="5" t="n">
        <v>46257</v>
      </c>
      <c r="D2815" t="inlineStr">
        <is>
          <t>Southern Cross Plan Mgmt</t>
        </is>
      </c>
      <c r="E2815" t="inlineStr">
        <is>
          <t>INV/2026/02008</t>
        </is>
      </c>
      <c r="F2815" t="inlineStr">
        <is>
          <t>Customer payment INV/2026/02008</t>
        </is>
      </c>
      <c r="G2815" s="9" t="n">
        <v>387.98</v>
      </c>
      <c r="H2815" t="inlineStr">
        <is>
          <t>customer_payment</t>
        </is>
      </c>
      <c r="I2815" t="inlineStr"/>
      <c r="J2815" t="inlineStr">
        <is>
          <t>G00340</t>
        </is>
      </c>
      <c r="K2815" t="str">
        <f>INDEX('Match Groups'!$D$5:$D$1326,MATCH(J2815,'Match Groups'!$A$5:$A$1326,0))</f>
        <v>MATCH</v>
      </c>
    </row>
    <row r="2816">
      <c r="A2816" t="inlineStr">
        <is>
          <t>JI-01049</t>
        </is>
      </c>
      <c r="B2816" t="inlineStr">
        <is>
          <t>OPS</t>
        </is>
      </c>
      <c r="C2816" s="5" t="n">
        <v>46257</v>
      </c>
      <c r="D2816" t="inlineStr">
        <is>
          <t>Southern Cross Plan Mgmt</t>
        </is>
      </c>
      <c r="E2816" t="inlineStr">
        <is>
          <t>INV/2026/02009</t>
        </is>
      </c>
      <c r="F2816" t="inlineStr">
        <is>
          <t>Customer payment INV/2026/02009</t>
        </is>
      </c>
      <c r="G2816" s="9" t="n">
        <v>349.18</v>
      </c>
      <c r="H2816" t="inlineStr">
        <is>
          <t>customer_payment</t>
        </is>
      </c>
      <c r="I2816" t="inlineStr"/>
      <c r="J2816" t="inlineStr">
        <is>
          <t>G00340</t>
        </is>
      </c>
      <c r="K2816" t="str">
        <f>INDEX('Match Groups'!$D$5:$D$1326,MATCH(J2816,'Match Groups'!$A$5:$A$1326,0))</f>
        <v>MATCH</v>
      </c>
    </row>
    <row r="2817">
      <c r="A2817" t="inlineStr">
        <is>
          <t>JI-01050</t>
        </is>
      </c>
      <c r="B2817" t="inlineStr">
        <is>
          <t>OPS</t>
        </is>
      </c>
      <c r="C2817" s="5" t="n">
        <v>46257</v>
      </c>
      <c r="D2817" t="inlineStr">
        <is>
          <t>Southern Cross Plan Mgmt</t>
        </is>
      </c>
      <c r="E2817" t="inlineStr">
        <is>
          <t>INV/2026/02052</t>
        </is>
      </c>
      <c r="F2817" t="inlineStr">
        <is>
          <t>Customer payment INV/2026/02052</t>
        </is>
      </c>
      <c r="G2817" s="9" t="n">
        <v>387.98</v>
      </c>
      <c r="H2817" t="inlineStr">
        <is>
          <t>customer_payment</t>
        </is>
      </c>
      <c r="I2817" t="inlineStr"/>
      <c r="J2817" t="inlineStr">
        <is>
          <t>G00340</t>
        </is>
      </c>
      <c r="K2817" t="str">
        <f>INDEX('Match Groups'!$D$5:$D$1326,MATCH(J2817,'Match Groups'!$A$5:$A$1326,0))</f>
        <v>MATCH</v>
      </c>
    </row>
    <row r="2818">
      <c r="A2818" t="inlineStr">
        <is>
          <t>JI-01031</t>
        </is>
      </c>
      <c r="B2818" t="inlineStr">
        <is>
          <t>OPS</t>
        </is>
      </c>
      <c r="C2818" s="5" t="n">
        <v>46258</v>
      </c>
      <c r="D2818" t="inlineStr">
        <is>
          <t>Bluegum Plan Management</t>
        </is>
      </c>
      <c r="E2818" t="inlineStr">
        <is>
          <t>INV/2026/02630</t>
        </is>
      </c>
      <c r="F2818" t="inlineStr">
        <is>
          <t>Customer payment INV/2026/02630</t>
        </is>
      </c>
      <c r="G2818" s="9" t="n">
        <v>155.19</v>
      </c>
      <c r="H2818" t="inlineStr">
        <is>
          <t>customer_payment</t>
        </is>
      </c>
      <c r="I2818" t="inlineStr"/>
      <c r="J2818" t="inlineStr">
        <is>
          <t>G00335</t>
        </is>
      </c>
      <c r="K2818" t="str">
        <f>INDEX('Match Groups'!$D$5:$D$1326,MATCH(J2818,'Match Groups'!$A$5:$A$1326,0))</f>
        <v>MATCH</v>
      </c>
    </row>
    <row r="2819">
      <c r="A2819" t="inlineStr">
        <is>
          <t>JI-01032</t>
        </is>
      </c>
      <c r="B2819" t="inlineStr">
        <is>
          <t>OPS</t>
        </is>
      </c>
      <c r="C2819" s="5" t="n">
        <v>46258</v>
      </c>
      <c r="D2819" t="inlineStr">
        <is>
          <t>Bluegum Plan Management</t>
        </is>
      </c>
      <c r="E2819" t="inlineStr">
        <is>
          <t>INV/2026/02659</t>
        </is>
      </c>
      <c r="F2819" t="inlineStr">
        <is>
          <t>Customer payment INV/2026/02659</t>
        </is>
      </c>
      <c r="G2819" s="9" t="n">
        <v>145.49</v>
      </c>
      <c r="H2819" t="inlineStr">
        <is>
          <t>customer_payment</t>
        </is>
      </c>
      <c r="I2819" t="inlineStr"/>
      <c r="J2819" t="inlineStr">
        <is>
          <t>G00335</t>
        </is>
      </c>
      <c r="K2819" t="str">
        <f>INDEX('Match Groups'!$D$5:$D$1326,MATCH(J2819,'Match Groups'!$A$5:$A$1326,0))</f>
        <v>MATCH</v>
      </c>
    </row>
    <row r="2820">
      <c r="A2820" t="inlineStr">
        <is>
          <t>JI-01033</t>
        </is>
      </c>
      <c r="B2820" t="inlineStr">
        <is>
          <t>OPS</t>
        </is>
      </c>
      <c r="C2820" s="5" t="n">
        <v>46258</v>
      </c>
      <c r="D2820" t="inlineStr">
        <is>
          <t>Riverbend Plan Partners</t>
        </is>
      </c>
      <c r="E2820" t="inlineStr">
        <is>
          <t>INV/2026/02714</t>
        </is>
      </c>
      <c r="F2820" t="inlineStr">
        <is>
          <t>Customer payment INV/2026/02714</t>
        </is>
      </c>
      <c r="G2820" s="9" t="n">
        <v>349.18</v>
      </c>
      <c r="H2820" t="inlineStr">
        <is>
          <t>customer_payment</t>
        </is>
      </c>
      <c r="I2820" t="inlineStr"/>
      <c r="J2820" t="inlineStr">
        <is>
          <t>G00336</t>
        </is>
      </c>
      <c r="K2820" t="str">
        <f>INDEX('Match Groups'!$D$5:$D$1326,MATCH(J2820,'Match Groups'!$A$5:$A$1326,0))</f>
        <v>MATCH</v>
      </c>
    </row>
    <row r="2821">
      <c r="A2821" t="inlineStr">
        <is>
          <t>JI-01034</t>
        </is>
      </c>
      <c r="B2821" t="inlineStr">
        <is>
          <t>OPS</t>
        </is>
      </c>
      <c r="C2821" s="5" t="n">
        <v>46258</v>
      </c>
      <c r="D2821" t="inlineStr">
        <is>
          <t>Riverbend Plan Partners</t>
        </is>
      </c>
      <c r="E2821" t="inlineStr">
        <is>
          <t>INV/2026/02715</t>
        </is>
      </c>
      <c r="F2821" t="inlineStr">
        <is>
          <t>Customer payment INV/2026/02715</t>
        </is>
      </c>
      <c r="G2821" s="9" t="n">
        <v>252.19</v>
      </c>
      <c r="H2821" t="inlineStr">
        <is>
          <t>customer_payment</t>
        </is>
      </c>
      <c r="I2821" t="inlineStr"/>
      <c r="J2821" t="inlineStr">
        <is>
          <t>G00336</t>
        </is>
      </c>
      <c r="K2821" t="str">
        <f>INDEX('Match Groups'!$D$5:$D$1326,MATCH(J2821,'Match Groups'!$A$5:$A$1326,0))</f>
        <v>MATCH</v>
      </c>
    </row>
    <row r="2822">
      <c r="A2822" t="inlineStr">
        <is>
          <t>JI-01035</t>
        </is>
      </c>
      <c r="B2822" t="inlineStr">
        <is>
          <t>OPS</t>
        </is>
      </c>
      <c r="C2822" s="5" t="n">
        <v>46258</v>
      </c>
      <c r="D2822" t="inlineStr">
        <is>
          <t>Riverbend Plan Partners</t>
        </is>
      </c>
      <c r="E2822" t="inlineStr">
        <is>
          <t>INV/2026/02755</t>
        </is>
      </c>
      <c r="F2822" t="inlineStr">
        <is>
          <t>Customer payment INV/2026/02755</t>
        </is>
      </c>
      <c r="G2822" s="9" t="n">
        <v>417.98</v>
      </c>
      <c r="H2822" t="inlineStr">
        <is>
          <t>customer_payment</t>
        </is>
      </c>
      <c r="I2822" t="inlineStr"/>
      <c r="J2822" t="inlineStr">
        <is>
          <t>G00336</t>
        </is>
      </c>
      <c r="K2822" t="str">
        <f>INDEX('Match Groups'!$D$5:$D$1326,MATCH(J2822,'Match Groups'!$A$5:$A$1326,0))</f>
        <v>MATCH</v>
      </c>
    </row>
    <row r="2823">
      <c r="A2823" t="inlineStr">
        <is>
          <t>JI-01036</t>
        </is>
      </c>
      <c r="B2823" t="inlineStr">
        <is>
          <t>OPS</t>
        </is>
      </c>
      <c r="C2823" s="5" t="n">
        <v>46258</v>
      </c>
      <c r="D2823" t="inlineStr">
        <is>
          <t>Banksia Plan Co</t>
        </is>
      </c>
      <c r="E2823" t="inlineStr">
        <is>
          <t>INV/2026/02762</t>
        </is>
      </c>
      <c r="F2823" t="inlineStr">
        <is>
          <t>Customer payment INV/2026/02762</t>
        </is>
      </c>
      <c r="G2823" s="9" t="n">
        <v>290.98</v>
      </c>
      <c r="H2823" t="inlineStr">
        <is>
          <t>customer_payment</t>
        </is>
      </c>
      <c r="I2823" t="inlineStr"/>
      <c r="J2823" t="inlineStr">
        <is>
          <t>G00337</t>
        </is>
      </c>
      <c r="K2823" t="str">
        <f>INDEX('Match Groups'!$D$5:$D$1326,MATCH(J2823,'Match Groups'!$A$5:$A$1326,0))</f>
        <v>MATCH</v>
      </c>
    </row>
    <row r="2824">
      <c r="A2824" t="inlineStr">
        <is>
          <t>JI-01037</t>
        </is>
      </c>
      <c r="B2824" t="inlineStr">
        <is>
          <t>OPS</t>
        </is>
      </c>
      <c r="C2824" s="5" t="n">
        <v>46258</v>
      </c>
      <c r="D2824" t="inlineStr">
        <is>
          <t>Banksia Plan Co</t>
        </is>
      </c>
      <c r="E2824" t="inlineStr">
        <is>
          <t>INV/2026/02763</t>
        </is>
      </c>
      <c r="F2824" t="inlineStr">
        <is>
          <t>Customer payment INV/2026/02763</t>
        </is>
      </c>
      <c r="G2824" s="9" t="n">
        <v>387.98</v>
      </c>
      <c r="H2824" t="inlineStr">
        <is>
          <t>customer_payment</t>
        </is>
      </c>
      <c r="I2824" t="inlineStr"/>
      <c r="J2824" t="inlineStr">
        <is>
          <t>G00337</t>
        </is>
      </c>
      <c r="K2824" t="str">
        <f>INDEX('Match Groups'!$D$5:$D$1326,MATCH(J2824,'Match Groups'!$A$5:$A$1326,0))</f>
        <v>MATCH</v>
      </c>
    </row>
    <row r="2825">
      <c r="A2825" t="inlineStr">
        <is>
          <t>JI-01038</t>
        </is>
      </c>
      <c r="B2825" t="inlineStr">
        <is>
          <t>OPS</t>
        </is>
      </c>
      <c r="C2825" s="5" t="n">
        <v>46258</v>
      </c>
      <c r="D2825" t="inlineStr">
        <is>
          <t>Saltbush Plan Managers</t>
        </is>
      </c>
      <c r="E2825" t="inlineStr">
        <is>
          <t>INV/2026/02673</t>
        </is>
      </c>
      <c r="F2825" t="inlineStr">
        <is>
          <t>Customer payment INV/2026/02673</t>
        </is>
      </c>
      <c r="G2825" s="9" t="n">
        <v>96.98999999999999</v>
      </c>
      <c r="H2825" t="inlineStr">
        <is>
          <t>customer_payment</t>
        </is>
      </c>
      <c r="I2825" t="inlineStr"/>
      <c r="J2825" t="inlineStr">
        <is>
          <t>G00338</t>
        </is>
      </c>
      <c r="K2825" t="str">
        <f>INDEX('Match Groups'!$D$5:$D$1326,MATCH(J2825,'Match Groups'!$A$5:$A$1326,0))</f>
        <v>MATCH</v>
      </c>
    </row>
    <row r="2826">
      <c r="A2826" t="inlineStr">
        <is>
          <t>JI-01039</t>
        </is>
      </c>
      <c r="B2826" t="inlineStr">
        <is>
          <t>OPS</t>
        </is>
      </c>
      <c r="C2826" s="5" t="n">
        <v>46258</v>
      </c>
      <c r="D2826" t="inlineStr">
        <is>
          <t>Saltbush Plan Managers</t>
        </is>
      </c>
      <c r="E2826" t="inlineStr">
        <is>
          <t>INV/2026/02723</t>
        </is>
      </c>
      <c r="F2826" t="inlineStr">
        <is>
          <t>Customer payment INV/2026/02723</t>
        </is>
      </c>
      <c r="G2826" s="9" t="n">
        <v>223.99</v>
      </c>
      <c r="H2826" t="inlineStr">
        <is>
          <t>customer_payment</t>
        </is>
      </c>
      <c r="I2826" t="inlineStr"/>
      <c r="J2826" t="inlineStr">
        <is>
          <t>G00338</t>
        </is>
      </c>
      <c r="K2826" t="str">
        <f>INDEX('Match Groups'!$D$5:$D$1326,MATCH(J2826,'Match Groups'!$A$5:$A$1326,0))</f>
        <v>MATCH</v>
      </c>
    </row>
    <row r="2827">
      <c r="A2827" t="inlineStr">
        <is>
          <t>JI-01040</t>
        </is>
      </c>
      <c r="B2827" t="inlineStr">
        <is>
          <t>OPS</t>
        </is>
      </c>
      <c r="C2827" s="5" t="n">
        <v>46258</v>
      </c>
      <c r="D2827" t="inlineStr">
        <is>
          <t>Saltbush Plan Managers</t>
        </is>
      </c>
      <c r="E2827" t="inlineStr">
        <is>
          <t>INV/2026/02724</t>
        </is>
      </c>
      <c r="F2827" t="inlineStr">
        <is>
          <t>Customer payment INV/2026/02724</t>
        </is>
      </c>
      <c r="G2827" s="9" t="n">
        <v>290.98</v>
      </c>
      <c r="H2827" t="inlineStr">
        <is>
          <t>customer_payment</t>
        </is>
      </c>
      <c r="I2827" t="inlineStr"/>
      <c r="J2827" t="inlineStr">
        <is>
          <t>G00338</t>
        </is>
      </c>
      <c r="K2827" t="str">
        <f>INDEX('Match Groups'!$D$5:$D$1326,MATCH(J2827,'Match Groups'!$A$5:$A$1326,0))</f>
        <v>MATCH</v>
      </c>
    </row>
    <row r="2828">
      <c r="A2828" t="inlineStr">
        <is>
          <t>JI-01041</t>
        </is>
      </c>
      <c r="B2828" t="inlineStr">
        <is>
          <t>OPS</t>
        </is>
      </c>
      <c r="C2828" s="5" t="n">
        <v>46258</v>
      </c>
      <c r="D2828" t="inlineStr">
        <is>
          <t>Redgum Plan Admin</t>
        </is>
      </c>
      <c r="E2828" t="inlineStr">
        <is>
          <t>INV/2026/02725</t>
        </is>
      </c>
      <c r="F2828" t="inlineStr">
        <is>
          <t>Customer payment INV/2026/02725</t>
        </is>
      </c>
      <c r="G2828" s="9" t="n">
        <v>290.98</v>
      </c>
      <c r="H2828" t="inlineStr">
        <is>
          <t>customer_payment</t>
        </is>
      </c>
      <c r="I2828" t="inlineStr"/>
      <c r="J2828" t="inlineStr">
        <is>
          <t>G00339</t>
        </is>
      </c>
      <c r="K2828" t="str">
        <f>INDEX('Match Groups'!$D$5:$D$1326,MATCH(J2828,'Match Groups'!$A$5:$A$1326,0))</f>
        <v>MATCH</v>
      </c>
    </row>
    <row r="2829">
      <c r="A2829" t="inlineStr">
        <is>
          <t>JI-01042</t>
        </is>
      </c>
      <c r="B2829" t="inlineStr">
        <is>
          <t>OPS</t>
        </is>
      </c>
      <c r="C2829" s="5" t="n">
        <v>46258</v>
      </c>
      <c r="D2829" t="inlineStr">
        <is>
          <t>Redgum Plan Admin</t>
        </is>
      </c>
      <c r="E2829" t="inlineStr">
        <is>
          <t>INV/2026/02744</t>
        </is>
      </c>
      <c r="F2829" t="inlineStr">
        <is>
          <t>Customer payment INV/2026/02744</t>
        </is>
      </c>
      <c r="G2829" s="9" t="n">
        <v>203.69</v>
      </c>
      <c r="H2829" t="inlineStr">
        <is>
          <t>customer_payment</t>
        </is>
      </c>
      <c r="I2829" t="inlineStr"/>
      <c r="J2829" t="inlineStr">
        <is>
          <t>G00339</t>
        </is>
      </c>
      <c r="K2829" t="str">
        <f>INDEX('Match Groups'!$D$5:$D$1326,MATCH(J2829,'Match Groups'!$A$5:$A$1326,0))</f>
        <v>MATCH</v>
      </c>
    </row>
    <row r="2830">
      <c r="A2830" t="inlineStr">
        <is>
          <t>JI-01051</t>
        </is>
      </c>
      <c r="B2830" t="inlineStr">
        <is>
          <t>OPS</t>
        </is>
      </c>
      <c r="C2830" s="5" t="n">
        <v>46258</v>
      </c>
      <c r="D2830" t="inlineStr">
        <is>
          <t>Mallee Plan Services</t>
        </is>
      </c>
      <c r="E2830" t="inlineStr">
        <is>
          <t>INV/2026/02682</t>
        </is>
      </c>
      <c r="F2830" t="inlineStr">
        <is>
          <t>Customer payment INV/2026/02682</t>
        </is>
      </c>
      <c r="G2830" s="9" t="n">
        <v>300.69</v>
      </c>
      <c r="H2830" t="inlineStr">
        <is>
          <t>customer_payment</t>
        </is>
      </c>
      <c r="I2830" t="inlineStr"/>
      <c r="J2830" t="inlineStr">
        <is>
          <t>G00341</t>
        </is>
      </c>
      <c r="K2830" t="str">
        <f>INDEX('Match Groups'!$D$5:$D$1326,MATCH(J2830,'Match Groups'!$A$5:$A$1326,0))</f>
        <v>MATCH</v>
      </c>
    </row>
    <row r="2831">
      <c r="A2831" t="inlineStr">
        <is>
          <t>JI-01052</t>
        </is>
      </c>
      <c r="B2831" t="inlineStr">
        <is>
          <t>OPS</t>
        </is>
      </c>
      <c r="C2831" s="5" t="n">
        <v>46258</v>
      </c>
      <c r="D2831" t="inlineStr">
        <is>
          <t>Mallee Plan Services</t>
        </is>
      </c>
      <c r="E2831" t="inlineStr">
        <is>
          <t>INV/2026/02707</t>
        </is>
      </c>
      <c r="F2831" t="inlineStr">
        <is>
          <t>Customer payment INV/2026/02707</t>
        </is>
      </c>
      <c r="G2831" s="9" t="n">
        <v>242.49</v>
      </c>
      <c r="H2831" t="inlineStr">
        <is>
          <t>customer_payment</t>
        </is>
      </c>
      <c r="I2831" t="inlineStr"/>
      <c r="J2831" t="inlineStr">
        <is>
          <t>G00341</t>
        </is>
      </c>
      <c r="K2831" t="str">
        <f>INDEX('Match Groups'!$D$5:$D$1326,MATCH(J2831,'Match Groups'!$A$5:$A$1326,0))</f>
        <v>MATCH</v>
      </c>
    </row>
    <row r="2832">
      <c r="A2832" t="inlineStr">
        <is>
          <t>JI-01053</t>
        </is>
      </c>
      <c r="B2832" t="inlineStr">
        <is>
          <t>OPS</t>
        </is>
      </c>
      <c r="C2832" s="5" t="n">
        <v>46258</v>
      </c>
      <c r="D2832" t="inlineStr">
        <is>
          <t>Mallee Plan Services</t>
        </is>
      </c>
      <c r="E2832" t="inlineStr">
        <is>
          <t>INV/2026/02751</t>
        </is>
      </c>
      <c r="F2832" t="inlineStr">
        <is>
          <t>Customer payment INV/2026/02751</t>
        </is>
      </c>
      <c r="G2832" s="9" t="n">
        <v>193.99</v>
      </c>
      <c r="H2832" t="inlineStr">
        <is>
          <t>customer_payment</t>
        </is>
      </c>
      <c r="I2832" t="inlineStr"/>
      <c r="J2832" t="inlineStr">
        <is>
          <t>G00341</t>
        </is>
      </c>
      <c r="K2832" t="str">
        <f>INDEX('Match Groups'!$D$5:$D$1326,MATCH(J2832,'Match Groups'!$A$5:$A$1326,0))</f>
        <v>MATCH</v>
      </c>
    </row>
    <row r="2833">
      <c r="A2833" t="inlineStr">
        <is>
          <t>JI-01064</t>
        </is>
      </c>
      <c r="B2833" t="inlineStr">
        <is>
          <t>OPS</t>
        </is>
      </c>
      <c r="C2833" s="5" t="n">
        <v>46258</v>
      </c>
      <c r="D2833" t="inlineStr">
        <is>
          <t>Banksia Plan Co</t>
        </is>
      </c>
      <c r="E2833" t="inlineStr">
        <is>
          <t>INV/2026/02694</t>
        </is>
      </c>
      <c r="F2833" t="inlineStr">
        <is>
          <t>Customer payment INV/2026/02694</t>
        </is>
      </c>
      <c r="G2833" s="9" t="n">
        <v>387.98</v>
      </c>
      <c r="H2833" t="inlineStr">
        <is>
          <t>customer_payment</t>
        </is>
      </c>
      <c r="I2833" t="inlineStr"/>
      <c r="J2833" t="inlineStr">
        <is>
          <t>G00344</t>
        </is>
      </c>
      <c r="K2833" t="str">
        <f>INDEX('Match Groups'!$D$5:$D$1326,MATCH(J2833,'Match Groups'!$A$5:$A$1326,0))</f>
        <v>MATCH</v>
      </c>
    </row>
    <row r="2834">
      <c r="A2834" t="inlineStr">
        <is>
          <t>JI-01624</t>
        </is>
      </c>
      <c r="B2834" t="inlineStr">
        <is>
          <t>OPS</t>
        </is>
      </c>
      <c r="C2834" s="5" t="n">
        <v>46258</v>
      </c>
      <c r="D2834" t="inlineStr">
        <is>
          <t>Meridian Health Cover</t>
        </is>
      </c>
      <c r="E2834" t="inlineStr">
        <is>
          <t>INV/2026/02657</t>
        </is>
      </c>
      <c r="F2834" t="inlineStr">
        <is>
          <t>Customer payment INV/2026/02657</t>
        </is>
      </c>
      <c r="G2834" s="9" t="n">
        <v>264</v>
      </c>
      <c r="H2834" t="inlineStr">
        <is>
          <t>customer_payment</t>
        </is>
      </c>
      <c r="I2834" t="inlineStr"/>
      <c r="J2834" t="inlineStr">
        <is>
          <t>G01017</t>
        </is>
      </c>
      <c r="K2834" t="str">
        <f>INDEX('Match Groups'!$D$5:$D$1326,MATCH(J2834,'Match Groups'!$A$5:$A$1326,0))</f>
        <v>MATCH</v>
      </c>
    </row>
    <row r="2835">
      <c r="A2835" t="inlineStr">
        <is>
          <t>JI-01664</t>
        </is>
      </c>
      <c r="B2835" t="inlineStr">
        <is>
          <t>OPS</t>
        </is>
      </c>
      <c r="C2835" s="5" t="n">
        <v>46258</v>
      </c>
      <c r="D2835" t="inlineStr">
        <is>
          <t>Calder Freight Group</t>
        </is>
      </c>
      <c r="E2835" t="inlineStr">
        <is>
          <t>INV/2026/03470</t>
        </is>
      </c>
      <c r="F2835" t="inlineStr">
        <is>
          <t>Customer payment INV/2026/03470</t>
        </is>
      </c>
      <c r="G2835" s="9" t="n">
        <v>2791.25</v>
      </c>
      <c r="H2835" t="inlineStr">
        <is>
          <t>customer_payment</t>
        </is>
      </c>
      <c r="I2835" t="inlineStr"/>
      <c r="J2835" t="inlineStr">
        <is>
          <t>G01018</t>
        </is>
      </c>
      <c r="K2835" t="str">
        <f>INDEX('Match Groups'!$D$5:$D$1326,MATCH(J2835,'Match Groups'!$A$5:$A$1326,0))</f>
        <v>MATCH</v>
      </c>
    </row>
    <row r="2836">
      <c r="A2836" t="inlineStr">
        <is>
          <t>JI-02902</t>
        </is>
      </c>
      <c r="B2836" t="inlineStr">
        <is>
          <t>OPS</t>
        </is>
      </c>
      <c r="C2836" s="5" t="n">
        <v>46258</v>
      </c>
      <c r="D2836" t="inlineStr">
        <is>
          <t>Stripe patient 80971</t>
        </is>
      </c>
      <c r="E2836" t="inlineStr">
        <is>
          <t>INV/2026/04736</t>
        </is>
      </c>
      <c r="F2836" t="inlineStr">
        <is>
          <t>Refund INV/2026/04736</t>
        </is>
      </c>
      <c r="G2836" s="9" t="n">
        <v>-180</v>
      </c>
      <c r="H2836" t="inlineStr">
        <is>
          <t>customer_refund</t>
        </is>
      </c>
      <c r="I2836" t="inlineStr"/>
      <c r="J2836" t="inlineStr">
        <is>
          <t>G00052</t>
        </is>
      </c>
      <c r="K2836" t="str">
        <f>INDEX('Match Groups'!$D$5:$D$1326,MATCH(J2836,'Match Groups'!$A$5:$A$1326,0))</f>
        <v>STRIPE-FEE</v>
      </c>
    </row>
    <row r="2837">
      <c r="A2837" t="inlineStr">
        <is>
          <t>JI-02931</t>
        </is>
      </c>
      <c r="B2837" t="inlineStr">
        <is>
          <t>OPS</t>
        </is>
      </c>
      <c r="C2837" s="5" t="n">
        <v>46258</v>
      </c>
      <c r="D2837" t="inlineStr">
        <is>
          <t>Stripe patient 47217</t>
        </is>
      </c>
      <c r="E2837" t="inlineStr">
        <is>
          <t>INV/2026/04775</t>
        </is>
      </c>
      <c r="F2837" t="inlineStr">
        <is>
          <t>Customer payment INV/2026/04775</t>
        </is>
      </c>
      <c r="G2837" s="9" t="n">
        <v>95</v>
      </c>
      <c r="H2837" t="inlineStr">
        <is>
          <t>customer_payment</t>
        </is>
      </c>
      <c r="I2837" t="inlineStr"/>
      <c r="J2837" t="inlineStr">
        <is>
          <t>G00054</t>
        </is>
      </c>
      <c r="K2837" t="str">
        <f>INDEX('Match Groups'!$D$5:$D$1326,MATCH(J2837,'Match Groups'!$A$5:$A$1326,0))</f>
        <v>STRIPE-FEE</v>
      </c>
    </row>
    <row r="2838">
      <c r="A2838" t="inlineStr">
        <is>
          <t>JI-02932</t>
        </is>
      </c>
      <c r="B2838" t="inlineStr">
        <is>
          <t>OPS</t>
        </is>
      </c>
      <c r="C2838" s="5" t="n">
        <v>46258</v>
      </c>
      <c r="D2838" t="inlineStr">
        <is>
          <t>Stripe patient 71554</t>
        </is>
      </c>
      <c r="E2838" t="inlineStr">
        <is>
          <t>INV/2026/04776</t>
        </is>
      </c>
      <c r="F2838" t="inlineStr">
        <is>
          <t>Customer payment INV/2026/04776</t>
        </is>
      </c>
      <c r="G2838" s="9" t="n">
        <v>135</v>
      </c>
      <c r="H2838" t="inlineStr">
        <is>
          <t>customer_payment</t>
        </is>
      </c>
      <c r="I2838" t="inlineStr"/>
      <c r="J2838" t="inlineStr">
        <is>
          <t>G00054</t>
        </is>
      </c>
      <c r="K2838" t="str">
        <f>INDEX('Match Groups'!$D$5:$D$1326,MATCH(J2838,'Match Groups'!$A$5:$A$1326,0))</f>
        <v>STRIPE-FEE</v>
      </c>
    </row>
    <row r="2839">
      <c r="A2839" t="inlineStr">
        <is>
          <t>JI-02933</t>
        </is>
      </c>
      <c r="B2839" t="inlineStr">
        <is>
          <t>OPS</t>
        </is>
      </c>
      <c r="C2839" s="5" t="n">
        <v>46258</v>
      </c>
      <c r="D2839" t="inlineStr">
        <is>
          <t>Stripe patient 32531</t>
        </is>
      </c>
      <c r="E2839" t="inlineStr">
        <is>
          <t>INV/2026/04777</t>
        </is>
      </c>
      <c r="F2839" t="inlineStr">
        <is>
          <t>Customer payment INV/2026/04777</t>
        </is>
      </c>
      <c r="G2839" s="9" t="n">
        <v>85</v>
      </c>
      <c r="H2839" t="inlineStr">
        <is>
          <t>customer_payment</t>
        </is>
      </c>
      <c r="I2839" t="inlineStr"/>
      <c r="J2839" t="inlineStr">
        <is>
          <t>G00054</t>
        </is>
      </c>
      <c r="K2839" t="str">
        <f>INDEX('Match Groups'!$D$5:$D$1326,MATCH(J2839,'Match Groups'!$A$5:$A$1326,0))</f>
        <v>STRIPE-FEE</v>
      </c>
    </row>
    <row r="2840">
      <c r="A2840" t="inlineStr">
        <is>
          <t>JI-02934</t>
        </is>
      </c>
      <c r="B2840" t="inlineStr">
        <is>
          <t>OPS</t>
        </is>
      </c>
      <c r="C2840" s="5" t="n">
        <v>46258</v>
      </c>
      <c r="D2840" t="inlineStr">
        <is>
          <t>Stripe patient 21942</t>
        </is>
      </c>
      <c r="E2840" t="inlineStr">
        <is>
          <t>INV/2026/04778</t>
        </is>
      </c>
      <c r="F2840" t="inlineStr">
        <is>
          <t>Customer payment INV/2026/04778</t>
        </is>
      </c>
      <c r="G2840" s="9" t="n">
        <v>95</v>
      </c>
      <c r="H2840" t="inlineStr">
        <is>
          <t>customer_payment</t>
        </is>
      </c>
      <c r="I2840" t="inlineStr"/>
      <c r="J2840" t="inlineStr">
        <is>
          <t>G00054</t>
        </is>
      </c>
      <c r="K2840" t="str">
        <f>INDEX('Match Groups'!$D$5:$D$1326,MATCH(J2840,'Match Groups'!$A$5:$A$1326,0))</f>
        <v>STRIPE-FEE</v>
      </c>
    </row>
    <row r="2841">
      <c r="A2841" t="inlineStr">
        <is>
          <t>JI-02935</t>
        </is>
      </c>
      <c r="B2841" t="inlineStr">
        <is>
          <t>OPS</t>
        </is>
      </c>
      <c r="C2841" s="5" t="n">
        <v>46258</v>
      </c>
      <c r="D2841" t="inlineStr">
        <is>
          <t>Stripe patient 26104</t>
        </is>
      </c>
      <c r="E2841" t="inlineStr">
        <is>
          <t>INV/2026/04779</t>
        </is>
      </c>
      <c r="F2841" t="inlineStr">
        <is>
          <t>Customer payment INV/2026/04779</t>
        </is>
      </c>
      <c r="G2841" s="9" t="n">
        <v>110</v>
      </c>
      <c r="H2841" t="inlineStr">
        <is>
          <t>customer_payment</t>
        </is>
      </c>
      <c r="I2841" t="inlineStr"/>
      <c r="J2841" t="inlineStr">
        <is>
          <t>G00054</t>
        </is>
      </c>
      <c r="K2841" t="str">
        <f>INDEX('Match Groups'!$D$5:$D$1326,MATCH(J2841,'Match Groups'!$A$5:$A$1326,0))</f>
        <v>STRIPE-FEE</v>
      </c>
    </row>
    <row r="2842">
      <c r="A2842" t="inlineStr">
        <is>
          <t>JI-02936</t>
        </is>
      </c>
      <c r="B2842" t="inlineStr">
        <is>
          <t>OPS</t>
        </is>
      </c>
      <c r="C2842" s="5" t="n">
        <v>46258</v>
      </c>
      <c r="D2842" t="inlineStr">
        <is>
          <t>Stripe patient 97479</t>
        </is>
      </c>
      <c r="E2842" t="inlineStr">
        <is>
          <t>INV/2026/04780</t>
        </is>
      </c>
      <c r="F2842" t="inlineStr">
        <is>
          <t>Customer payment INV/2026/04780</t>
        </is>
      </c>
      <c r="G2842" s="9" t="n">
        <v>65</v>
      </c>
      <c r="H2842" t="inlineStr">
        <is>
          <t>customer_payment</t>
        </is>
      </c>
      <c r="I2842" t="inlineStr"/>
      <c r="J2842" t="inlineStr">
        <is>
          <t>G00054</t>
        </is>
      </c>
      <c r="K2842" t="str">
        <f>INDEX('Match Groups'!$D$5:$D$1326,MATCH(J2842,'Match Groups'!$A$5:$A$1326,0))</f>
        <v>STRIPE-FEE</v>
      </c>
    </row>
    <row r="2843">
      <c r="A2843" t="inlineStr">
        <is>
          <t>JI-02937</t>
        </is>
      </c>
      <c r="B2843" t="inlineStr">
        <is>
          <t>OPS</t>
        </is>
      </c>
      <c r="C2843" s="5" t="n">
        <v>46258</v>
      </c>
      <c r="D2843" t="inlineStr">
        <is>
          <t>Stripe patient 12685</t>
        </is>
      </c>
      <c r="E2843" t="inlineStr">
        <is>
          <t>INV/2026/04781</t>
        </is>
      </c>
      <c r="F2843" t="inlineStr">
        <is>
          <t>Customer payment INV/2026/04781</t>
        </is>
      </c>
      <c r="G2843" s="9" t="n">
        <v>135</v>
      </c>
      <c r="H2843" t="inlineStr">
        <is>
          <t>customer_payment</t>
        </is>
      </c>
      <c r="I2843" t="inlineStr"/>
      <c r="J2843" t="inlineStr">
        <is>
          <t>G00054</t>
        </is>
      </c>
      <c r="K2843" t="str">
        <f>INDEX('Match Groups'!$D$5:$D$1326,MATCH(J2843,'Match Groups'!$A$5:$A$1326,0))</f>
        <v>STRIPE-FEE</v>
      </c>
    </row>
    <row r="2844">
      <c r="A2844" t="inlineStr">
        <is>
          <t>JI-02938</t>
        </is>
      </c>
      <c r="B2844" t="inlineStr">
        <is>
          <t>OPS</t>
        </is>
      </c>
      <c r="C2844" s="5" t="n">
        <v>46258</v>
      </c>
      <c r="D2844" t="inlineStr">
        <is>
          <t>Stripe patient 68336</t>
        </is>
      </c>
      <c r="E2844" t="inlineStr">
        <is>
          <t>INV/2026/04782</t>
        </is>
      </c>
      <c r="F2844" t="inlineStr">
        <is>
          <t>Customer payment INV/2026/04782</t>
        </is>
      </c>
      <c r="G2844" s="9" t="n">
        <v>180</v>
      </c>
      <c r="H2844" t="inlineStr">
        <is>
          <t>customer_payment</t>
        </is>
      </c>
      <c r="I2844" t="inlineStr"/>
      <c r="J2844" t="inlineStr">
        <is>
          <t>G00054</t>
        </is>
      </c>
      <c r="K2844" t="str">
        <f>INDEX('Match Groups'!$D$5:$D$1326,MATCH(J2844,'Match Groups'!$A$5:$A$1326,0))</f>
        <v>STRIPE-FEE</v>
      </c>
    </row>
    <row r="2845">
      <c r="A2845" t="inlineStr">
        <is>
          <t>JI-02939</t>
        </is>
      </c>
      <c r="B2845" t="inlineStr">
        <is>
          <t>OPS</t>
        </is>
      </c>
      <c r="C2845" s="5" t="n">
        <v>46258</v>
      </c>
      <c r="D2845" t="inlineStr">
        <is>
          <t>Stripe patient 26000</t>
        </is>
      </c>
      <c r="E2845" t="inlineStr">
        <is>
          <t>INV/2026/04783</t>
        </is>
      </c>
      <c r="F2845" t="inlineStr">
        <is>
          <t>Customer payment INV/2026/04783</t>
        </is>
      </c>
      <c r="G2845" s="9" t="n">
        <v>180</v>
      </c>
      <c r="H2845" t="inlineStr">
        <is>
          <t>customer_payment</t>
        </is>
      </c>
      <c r="I2845" t="inlineStr"/>
      <c r="J2845" t="inlineStr">
        <is>
          <t>G00054</t>
        </is>
      </c>
      <c r="K2845" t="str">
        <f>INDEX('Match Groups'!$D$5:$D$1326,MATCH(J2845,'Match Groups'!$A$5:$A$1326,0))</f>
        <v>STRIPE-FEE</v>
      </c>
    </row>
    <row r="2846">
      <c r="A2846" t="inlineStr">
        <is>
          <t>JI-02940</t>
        </is>
      </c>
      <c r="B2846" t="inlineStr">
        <is>
          <t>OPS</t>
        </is>
      </c>
      <c r="C2846" s="5" t="n">
        <v>46258</v>
      </c>
      <c r="D2846" t="inlineStr">
        <is>
          <t>Stripe patient 63084</t>
        </is>
      </c>
      <c r="E2846" t="inlineStr">
        <is>
          <t>INV/2026/04784</t>
        </is>
      </c>
      <c r="F2846" t="inlineStr">
        <is>
          <t>Customer payment INV/2026/04784</t>
        </is>
      </c>
      <c r="G2846" s="9" t="n">
        <v>110</v>
      </c>
      <c r="H2846" t="inlineStr">
        <is>
          <t>customer_payment</t>
        </is>
      </c>
      <c r="I2846" t="inlineStr"/>
      <c r="J2846" t="inlineStr">
        <is>
          <t>G00054</t>
        </is>
      </c>
      <c r="K2846" t="str">
        <f>INDEX('Match Groups'!$D$5:$D$1326,MATCH(J2846,'Match Groups'!$A$5:$A$1326,0))</f>
        <v>STRIPE-FEE</v>
      </c>
    </row>
    <row r="2847">
      <c r="A2847" t="inlineStr">
        <is>
          <t>JI-02941</t>
        </is>
      </c>
      <c r="B2847" t="inlineStr">
        <is>
          <t>OPS</t>
        </is>
      </c>
      <c r="C2847" s="5" t="n">
        <v>46258</v>
      </c>
      <c r="D2847" t="inlineStr">
        <is>
          <t>Stripe patient 40762</t>
        </is>
      </c>
      <c r="E2847" t="inlineStr">
        <is>
          <t>INV/2026/04785</t>
        </is>
      </c>
      <c r="F2847" t="inlineStr">
        <is>
          <t>Customer payment INV/2026/04785</t>
        </is>
      </c>
      <c r="G2847" s="9" t="n">
        <v>120</v>
      </c>
      <c r="H2847" t="inlineStr">
        <is>
          <t>customer_payment</t>
        </is>
      </c>
      <c r="I2847" t="inlineStr"/>
      <c r="J2847" t="inlineStr">
        <is>
          <t>G00054</t>
        </is>
      </c>
      <c r="K2847" t="str">
        <f>INDEX('Match Groups'!$D$5:$D$1326,MATCH(J2847,'Match Groups'!$A$5:$A$1326,0))</f>
        <v>STRIPE-FEE</v>
      </c>
    </row>
    <row r="2848">
      <c r="A2848" t="inlineStr">
        <is>
          <t>JI-02942</t>
        </is>
      </c>
      <c r="B2848" t="inlineStr">
        <is>
          <t>OPS</t>
        </is>
      </c>
      <c r="C2848" s="5" t="n">
        <v>46258</v>
      </c>
      <c r="D2848" t="inlineStr">
        <is>
          <t>Stripe patient 59958</t>
        </is>
      </c>
      <c r="E2848" t="inlineStr">
        <is>
          <t>INV/2026/04786</t>
        </is>
      </c>
      <c r="F2848" t="inlineStr">
        <is>
          <t>Customer payment INV/2026/04786</t>
        </is>
      </c>
      <c r="G2848" s="9" t="n">
        <v>120</v>
      </c>
      <c r="H2848" t="inlineStr">
        <is>
          <t>customer_payment</t>
        </is>
      </c>
      <c r="I2848" t="inlineStr"/>
      <c r="J2848" t="inlineStr">
        <is>
          <t>G00054</t>
        </is>
      </c>
      <c r="K2848" t="str">
        <f>INDEX('Match Groups'!$D$5:$D$1326,MATCH(J2848,'Match Groups'!$A$5:$A$1326,0))</f>
        <v>STRIPE-FEE</v>
      </c>
    </row>
    <row r="2849">
      <c r="A2849" t="inlineStr">
        <is>
          <t>JI-02943</t>
        </is>
      </c>
      <c r="B2849" t="inlineStr">
        <is>
          <t>OPS</t>
        </is>
      </c>
      <c r="C2849" s="5" t="n">
        <v>46258</v>
      </c>
      <c r="D2849" t="inlineStr">
        <is>
          <t>Stripe patient 78366</t>
        </is>
      </c>
      <c r="E2849" t="inlineStr">
        <is>
          <t>INV/2026/04787</t>
        </is>
      </c>
      <c r="F2849" t="inlineStr">
        <is>
          <t>Customer payment INV/2026/04787</t>
        </is>
      </c>
      <c r="G2849" s="9" t="n">
        <v>150</v>
      </c>
      <c r="H2849" t="inlineStr">
        <is>
          <t>customer_payment</t>
        </is>
      </c>
      <c r="I2849" t="inlineStr"/>
      <c r="J2849" t="inlineStr">
        <is>
          <t>G00054</t>
        </is>
      </c>
      <c r="K2849" t="str">
        <f>INDEX('Match Groups'!$D$5:$D$1326,MATCH(J2849,'Match Groups'!$A$5:$A$1326,0))</f>
        <v>STRIPE-FEE</v>
      </c>
    </row>
    <row r="2850">
      <c r="A2850" t="inlineStr">
        <is>
          <t>JI-02944</t>
        </is>
      </c>
      <c r="B2850" t="inlineStr">
        <is>
          <t>OPS</t>
        </is>
      </c>
      <c r="C2850" s="5" t="n">
        <v>46258</v>
      </c>
      <c r="D2850" t="inlineStr">
        <is>
          <t>Stripe patient 70710</t>
        </is>
      </c>
      <c r="E2850" t="inlineStr">
        <is>
          <t>INV/2026/04788</t>
        </is>
      </c>
      <c r="F2850" t="inlineStr">
        <is>
          <t>Customer payment INV/2026/04788</t>
        </is>
      </c>
      <c r="G2850" s="9" t="n">
        <v>95</v>
      </c>
      <c r="H2850" t="inlineStr">
        <is>
          <t>customer_payment</t>
        </is>
      </c>
      <c r="I2850" t="inlineStr"/>
      <c r="J2850" t="inlineStr">
        <is>
          <t>G00054</t>
        </is>
      </c>
      <c r="K2850" t="str">
        <f>INDEX('Match Groups'!$D$5:$D$1326,MATCH(J2850,'Match Groups'!$A$5:$A$1326,0))</f>
        <v>STRIPE-FEE</v>
      </c>
    </row>
    <row r="2851">
      <c r="A2851" t="inlineStr">
        <is>
          <t>JI-02945</t>
        </is>
      </c>
      <c r="B2851" t="inlineStr">
        <is>
          <t>OPS</t>
        </is>
      </c>
      <c r="C2851" s="5" t="n">
        <v>46258</v>
      </c>
      <c r="D2851" t="inlineStr">
        <is>
          <t>Stripe patient 22621</t>
        </is>
      </c>
      <c r="E2851" t="inlineStr">
        <is>
          <t>INV/2026/04789</t>
        </is>
      </c>
      <c r="F2851" t="inlineStr">
        <is>
          <t>Customer payment INV/2026/04789</t>
        </is>
      </c>
      <c r="G2851" s="9" t="n">
        <v>85</v>
      </c>
      <c r="H2851" t="inlineStr">
        <is>
          <t>customer_payment</t>
        </is>
      </c>
      <c r="I2851" t="inlineStr"/>
      <c r="J2851" t="inlineStr">
        <is>
          <t>G00054</t>
        </is>
      </c>
      <c r="K2851" t="str">
        <f>INDEX('Match Groups'!$D$5:$D$1326,MATCH(J2851,'Match Groups'!$A$5:$A$1326,0))</f>
        <v>STRIPE-FEE</v>
      </c>
    </row>
    <row r="2852">
      <c r="A2852" t="inlineStr">
        <is>
          <t>JI-02946</t>
        </is>
      </c>
      <c r="B2852" t="inlineStr">
        <is>
          <t>OPS</t>
        </is>
      </c>
      <c r="C2852" s="5" t="n">
        <v>46258</v>
      </c>
      <c r="D2852" t="inlineStr">
        <is>
          <t>Stripe patient 98992</t>
        </is>
      </c>
      <c r="E2852" t="inlineStr">
        <is>
          <t>INV/2026/04790</t>
        </is>
      </c>
      <c r="F2852" t="inlineStr">
        <is>
          <t>Customer payment INV/2026/04790</t>
        </is>
      </c>
      <c r="G2852" s="9" t="n">
        <v>135</v>
      </c>
      <c r="H2852" t="inlineStr">
        <is>
          <t>customer_payment</t>
        </is>
      </c>
      <c r="I2852" t="inlineStr"/>
      <c r="J2852" t="inlineStr">
        <is>
          <t>G00054</t>
        </is>
      </c>
      <c r="K2852" t="str">
        <f>INDEX('Match Groups'!$D$5:$D$1326,MATCH(J2852,'Match Groups'!$A$5:$A$1326,0))</f>
        <v>STRIPE-FEE</v>
      </c>
    </row>
    <row r="2853">
      <c r="A2853" t="inlineStr">
        <is>
          <t>JI-02947</t>
        </is>
      </c>
      <c r="B2853" t="inlineStr">
        <is>
          <t>OPS</t>
        </is>
      </c>
      <c r="C2853" s="5" t="n">
        <v>46258</v>
      </c>
      <c r="D2853" t="inlineStr">
        <is>
          <t>Stripe patient 10299</t>
        </is>
      </c>
      <c r="E2853" t="inlineStr">
        <is>
          <t>INV/2026/04791</t>
        </is>
      </c>
      <c r="F2853" t="inlineStr">
        <is>
          <t>Customer payment INV/2026/04791</t>
        </is>
      </c>
      <c r="G2853" s="9" t="n">
        <v>95</v>
      </c>
      <c r="H2853" t="inlineStr">
        <is>
          <t>customer_payment</t>
        </is>
      </c>
      <c r="I2853" t="inlineStr"/>
      <c r="J2853" t="inlineStr">
        <is>
          <t>G00054</t>
        </is>
      </c>
      <c r="K2853" t="str">
        <f>INDEX('Match Groups'!$D$5:$D$1326,MATCH(J2853,'Match Groups'!$A$5:$A$1326,0))</f>
        <v>STRIPE-FEE</v>
      </c>
    </row>
    <row r="2854">
      <c r="A2854" t="inlineStr">
        <is>
          <t>JI-02948</t>
        </is>
      </c>
      <c r="B2854" t="inlineStr">
        <is>
          <t>OPS</t>
        </is>
      </c>
      <c r="C2854" s="5" t="n">
        <v>46258</v>
      </c>
      <c r="D2854" t="inlineStr">
        <is>
          <t>Stripe patient 15653</t>
        </is>
      </c>
      <c r="E2854" t="inlineStr">
        <is>
          <t>INV/2026/04792</t>
        </is>
      </c>
      <c r="F2854" t="inlineStr">
        <is>
          <t>Customer payment INV/2026/04792</t>
        </is>
      </c>
      <c r="G2854" s="9" t="n">
        <v>150</v>
      </c>
      <c r="H2854" t="inlineStr">
        <is>
          <t>customer_payment</t>
        </is>
      </c>
      <c r="I2854" t="inlineStr"/>
      <c r="J2854" t="inlineStr">
        <is>
          <t>G00054</t>
        </is>
      </c>
      <c r="K2854" t="str">
        <f>INDEX('Match Groups'!$D$5:$D$1326,MATCH(J2854,'Match Groups'!$A$5:$A$1326,0))</f>
        <v>STRIPE-FEE</v>
      </c>
    </row>
    <row r="2855">
      <c r="A2855" t="inlineStr">
        <is>
          <t>JI-02949</t>
        </is>
      </c>
      <c r="B2855" t="inlineStr">
        <is>
          <t>OPS</t>
        </is>
      </c>
      <c r="C2855" s="5" t="n">
        <v>46258</v>
      </c>
      <c r="D2855" t="inlineStr">
        <is>
          <t>Stripe patient 99636</t>
        </is>
      </c>
      <c r="E2855" t="inlineStr">
        <is>
          <t>INV/2026/04793</t>
        </is>
      </c>
      <c r="F2855" t="inlineStr">
        <is>
          <t>Customer payment INV/2026/04793</t>
        </is>
      </c>
      <c r="G2855" s="9" t="n">
        <v>135</v>
      </c>
      <c r="H2855" t="inlineStr">
        <is>
          <t>customer_payment</t>
        </is>
      </c>
      <c r="I2855" t="inlineStr"/>
      <c r="J2855" t="inlineStr">
        <is>
          <t>G00054</t>
        </is>
      </c>
      <c r="K2855" t="str">
        <f>INDEX('Match Groups'!$D$5:$D$1326,MATCH(J2855,'Match Groups'!$A$5:$A$1326,0))</f>
        <v>STRIPE-FEE</v>
      </c>
    </row>
    <row r="2856">
      <c r="A2856" t="inlineStr">
        <is>
          <t>JI-02950</t>
        </is>
      </c>
      <c r="B2856" t="inlineStr">
        <is>
          <t>OPS</t>
        </is>
      </c>
      <c r="C2856" s="5" t="n">
        <v>46258</v>
      </c>
      <c r="D2856" t="inlineStr">
        <is>
          <t>Stripe patient 61658</t>
        </is>
      </c>
      <c r="E2856" t="inlineStr">
        <is>
          <t>INV/2026/04794</t>
        </is>
      </c>
      <c r="F2856" t="inlineStr">
        <is>
          <t>Customer payment INV/2026/04794</t>
        </is>
      </c>
      <c r="G2856" s="9" t="n">
        <v>120</v>
      </c>
      <c r="H2856" t="inlineStr">
        <is>
          <t>customer_payment</t>
        </is>
      </c>
      <c r="I2856" t="inlineStr"/>
      <c r="J2856" t="inlineStr">
        <is>
          <t>G00054</t>
        </is>
      </c>
      <c r="K2856" t="str">
        <f>INDEX('Match Groups'!$D$5:$D$1326,MATCH(J2856,'Match Groups'!$A$5:$A$1326,0))</f>
        <v>STRIPE-FEE</v>
      </c>
    </row>
    <row r="2857">
      <c r="A2857" t="inlineStr">
        <is>
          <t>JI-02951</t>
        </is>
      </c>
      <c r="B2857" t="inlineStr">
        <is>
          <t>OPS</t>
        </is>
      </c>
      <c r="C2857" s="5" t="n">
        <v>46258</v>
      </c>
      <c r="D2857" t="inlineStr">
        <is>
          <t>Stripe patient 78551</t>
        </is>
      </c>
      <c r="E2857" t="inlineStr">
        <is>
          <t>INV/2026/04795</t>
        </is>
      </c>
      <c r="F2857" t="inlineStr">
        <is>
          <t>Customer payment INV/2026/04795</t>
        </is>
      </c>
      <c r="G2857" s="9" t="n">
        <v>65</v>
      </c>
      <c r="H2857" t="inlineStr">
        <is>
          <t>customer_payment</t>
        </is>
      </c>
      <c r="I2857" t="inlineStr"/>
      <c r="J2857" t="inlineStr">
        <is>
          <t>G00054</t>
        </is>
      </c>
      <c r="K2857" t="str">
        <f>INDEX('Match Groups'!$D$5:$D$1326,MATCH(J2857,'Match Groups'!$A$5:$A$1326,0))</f>
        <v>STRIPE-FEE</v>
      </c>
    </row>
    <row r="2858">
      <c r="A2858" t="inlineStr">
        <is>
          <t>JI-02952</t>
        </is>
      </c>
      <c r="B2858" t="inlineStr">
        <is>
          <t>OPS</t>
        </is>
      </c>
      <c r="C2858" s="5" t="n">
        <v>46258</v>
      </c>
      <c r="D2858" t="inlineStr">
        <is>
          <t>Stripe patient 43864</t>
        </is>
      </c>
      <c r="E2858" t="inlineStr">
        <is>
          <t>INV/2026/04796</t>
        </is>
      </c>
      <c r="F2858" t="inlineStr">
        <is>
          <t>Customer payment INV/2026/04796</t>
        </is>
      </c>
      <c r="G2858" s="9" t="n">
        <v>220</v>
      </c>
      <c r="H2858" t="inlineStr">
        <is>
          <t>customer_payment</t>
        </is>
      </c>
      <c r="I2858" t="inlineStr"/>
      <c r="J2858" t="inlineStr">
        <is>
          <t>G00054</t>
        </is>
      </c>
      <c r="K2858" t="str">
        <f>INDEX('Match Groups'!$D$5:$D$1326,MATCH(J2858,'Match Groups'!$A$5:$A$1326,0))</f>
        <v>STRIPE-FEE</v>
      </c>
    </row>
    <row r="2859">
      <c r="A2859" t="inlineStr">
        <is>
          <t>JI-02953</t>
        </is>
      </c>
      <c r="B2859" t="inlineStr">
        <is>
          <t>OPS</t>
        </is>
      </c>
      <c r="C2859" s="5" t="n">
        <v>46258</v>
      </c>
      <c r="D2859" t="inlineStr">
        <is>
          <t>Stripe patient 69454</t>
        </is>
      </c>
      <c r="E2859" t="inlineStr">
        <is>
          <t>INV/2026/04797</t>
        </is>
      </c>
      <c r="F2859" t="inlineStr">
        <is>
          <t>Customer payment INV/2026/04797</t>
        </is>
      </c>
      <c r="G2859" s="9" t="n">
        <v>120</v>
      </c>
      <c r="H2859" t="inlineStr">
        <is>
          <t>customer_payment</t>
        </is>
      </c>
      <c r="I2859" t="inlineStr"/>
      <c r="J2859" t="inlineStr">
        <is>
          <t>G00054</t>
        </is>
      </c>
      <c r="K2859" t="str">
        <f>INDEX('Match Groups'!$D$5:$D$1326,MATCH(J2859,'Match Groups'!$A$5:$A$1326,0))</f>
        <v>STRIPE-FEE</v>
      </c>
    </row>
    <row r="2860">
      <c r="A2860" t="inlineStr">
        <is>
          <t>JI-02954</t>
        </is>
      </c>
      <c r="B2860" t="inlineStr">
        <is>
          <t>OPS</t>
        </is>
      </c>
      <c r="C2860" s="5" t="n">
        <v>46258</v>
      </c>
      <c r="D2860" t="inlineStr">
        <is>
          <t>Stripe patient 13662</t>
        </is>
      </c>
      <c r="E2860" t="inlineStr">
        <is>
          <t>INV/2026/04798</t>
        </is>
      </c>
      <c r="F2860" t="inlineStr">
        <is>
          <t>Customer payment INV/2026/04798</t>
        </is>
      </c>
      <c r="G2860" s="9" t="n">
        <v>220</v>
      </c>
      <c r="H2860" t="inlineStr">
        <is>
          <t>customer_payment</t>
        </is>
      </c>
      <c r="I2860" t="inlineStr"/>
      <c r="J2860" t="inlineStr">
        <is>
          <t>G00054</t>
        </is>
      </c>
      <c r="K2860" t="str">
        <f>INDEX('Match Groups'!$D$5:$D$1326,MATCH(J2860,'Match Groups'!$A$5:$A$1326,0))</f>
        <v>STRIPE-FEE</v>
      </c>
    </row>
    <row r="2861">
      <c r="A2861" t="inlineStr">
        <is>
          <t>JI-02955</t>
        </is>
      </c>
      <c r="B2861" t="inlineStr">
        <is>
          <t>OPS</t>
        </is>
      </c>
      <c r="C2861" s="5" t="n">
        <v>46258</v>
      </c>
      <c r="D2861" t="inlineStr">
        <is>
          <t>Stripe patient 52629</t>
        </is>
      </c>
      <c r="E2861" t="inlineStr">
        <is>
          <t>INV/2026/04799</t>
        </is>
      </c>
      <c r="F2861" t="inlineStr">
        <is>
          <t>Customer payment INV/2026/04799</t>
        </is>
      </c>
      <c r="G2861" s="9" t="n">
        <v>95</v>
      </c>
      <c r="H2861" t="inlineStr">
        <is>
          <t>customer_payment</t>
        </is>
      </c>
      <c r="I2861" t="inlineStr"/>
      <c r="J2861" t="inlineStr">
        <is>
          <t>G00054</t>
        </is>
      </c>
      <c r="K2861" t="str">
        <f>INDEX('Match Groups'!$D$5:$D$1326,MATCH(J2861,'Match Groups'!$A$5:$A$1326,0))</f>
        <v>STRIPE-FEE</v>
      </c>
    </row>
    <row r="2862">
      <c r="A2862" t="inlineStr">
        <is>
          <t>JI-02956</t>
        </is>
      </c>
      <c r="B2862" t="inlineStr">
        <is>
          <t>OPS</t>
        </is>
      </c>
      <c r="C2862" s="5" t="n">
        <v>46258</v>
      </c>
      <c r="D2862" t="inlineStr">
        <is>
          <t>Stripe patient 89358</t>
        </is>
      </c>
      <c r="E2862" t="inlineStr">
        <is>
          <t>INV/2026/04800</t>
        </is>
      </c>
      <c r="F2862" t="inlineStr">
        <is>
          <t>Customer payment INV/2026/04800</t>
        </is>
      </c>
      <c r="G2862" s="9" t="n">
        <v>95</v>
      </c>
      <c r="H2862" t="inlineStr">
        <is>
          <t>customer_payment</t>
        </is>
      </c>
      <c r="I2862" t="inlineStr"/>
      <c r="J2862" t="inlineStr">
        <is>
          <t>G00054</t>
        </is>
      </c>
      <c r="K2862" t="str">
        <f>INDEX('Match Groups'!$D$5:$D$1326,MATCH(J2862,'Match Groups'!$A$5:$A$1326,0))</f>
        <v>STRIPE-FEE</v>
      </c>
    </row>
    <row r="2863">
      <c r="A2863" t="inlineStr">
        <is>
          <t>JI-02957</t>
        </is>
      </c>
      <c r="B2863" t="inlineStr">
        <is>
          <t>OPS</t>
        </is>
      </c>
      <c r="C2863" s="5" t="n">
        <v>46258</v>
      </c>
      <c r="D2863" t="inlineStr">
        <is>
          <t>Stripe patient 57168</t>
        </is>
      </c>
      <c r="E2863" t="inlineStr">
        <is>
          <t>INV/2026/04801</t>
        </is>
      </c>
      <c r="F2863" t="inlineStr">
        <is>
          <t>Customer payment INV/2026/04801</t>
        </is>
      </c>
      <c r="G2863" s="9" t="n">
        <v>150</v>
      </c>
      <c r="H2863" t="inlineStr">
        <is>
          <t>customer_payment</t>
        </is>
      </c>
      <c r="I2863" t="inlineStr"/>
      <c r="J2863" t="inlineStr">
        <is>
          <t>G00054</t>
        </is>
      </c>
      <c r="K2863" t="str">
        <f>INDEX('Match Groups'!$D$5:$D$1326,MATCH(J2863,'Match Groups'!$A$5:$A$1326,0))</f>
        <v>STRIPE-FEE</v>
      </c>
    </row>
    <row r="2864">
      <c r="A2864" t="inlineStr">
        <is>
          <t>JI-02958</t>
        </is>
      </c>
      <c r="B2864" t="inlineStr">
        <is>
          <t>OPS</t>
        </is>
      </c>
      <c r="C2864" s="5" t="n">
        <v>46258</v>
      </c>
      <c r="D2864" t="inlineStr">
        <is>
          <t>Stripe patient 39258</t>
        </is>
      </c>
      <c r="E2864" t="inlineStr">
        <is>
          <t>INV/2026/04802</t>
        </is>
      </c>
      <c r="F2864" t="inlineStr">
        <is>
          <t>Customer payment INV/2026/04802</t>
        </is>
      </c>
      <c r="G2864" s="9" t="n">
        <v>135</v>
      </c>
      <c r="H2864" t="inlineStr">
        <is>
          <t>customer_payment</t>
        </is>
      </c>
      <c r="I2864" t="inlineStr"/>
      <c r="J2864" t="inlineStr">
        <is>
          <t>G00054</t>
        </is>
      </c>
      <c r="K2864" t="str">
        <f>INDEX('Match Groups'!$D$5:$D$1326,MATCH(J2864,'Match Groups'!$A$5:$A$1326,0))</f>
        <v>STRIPE-FEE</v>
      </c>
    </row>
    <row r="2865">
      <c r="A2865" t="inlineStr">
        <is>
          <t>JI-03911</t>
        </is>
      </c>
      <c r="B2865" t="inlineStr">
        <is>
          <t>OPS</t>
        </is>
      </c>
      <c r="C2865" s="5" t="n">
        <v>46258</v>
      </c>
      <c r="D2865" t="inlineStr">
        <is>
          <t>Powerco Energy Retail</t>
        </is>
      </c>
      <c r="E2865" t="inlineStr">
        <is>
          <t>BILL/2026/1017</t>
        </is>
      </c>
      <c r="F2865" t="inlineStr">
        <is>
          <t>Vendor payment BILL/2026/1017</t>
        </is>
      </c>
      <c r="G2865" s="9" t="n">
        <v>-2634.18</v>
      </c>
      <c r="H2865" t="inlineStr">
        <is>
          <t>supplier_payment</t>
        </is>
      </c>
      <c r="I2865" t="inlineStr"/>
      <c r="J2865" t="inlineStr">
        <is>
          <t>G01146</t>
        </is>
      </c>
      <c r="K2865" t="str">
        <f>INDEX('Match Groups'!$D$5:$D$1326,MATCH(J2865,'Match Groups'!$A$5:$A$1326,0))</f>
        <v>MATCH</v>
      </c>
    </row>
    <row r="2866">
      <c r="A2866" t="inlineStr">
        <is>
          <t>JI-04297</t>
        </is>
      </c>
      <c r="B2866" t="inlineStr">
        <is>
          <t>OPS</t>
        </is>
      </c>
      <c r="C2866" s="5" t="n">
        <v>46258</v>
      </c>
      <c r="D2866" t="inlineStr">
        <is>
          <t>Internal transfer</t>
        </is>
      </c>
      <c r="E2866" t="inlineStr">
        <is>
          <t>SWEEP 2408</t>
        </is>
      </c>
      <c r="F2866" t="inlineStr">
        <is>
          <t>Sweep from merchant account</t>
        </is>
      </c>
      <c r="G2866" s="9" t="n">
        <v>34000</v>
      </c>
      <c r="H2866" t="inlineStr">
        <is>
          <t>transfer</t>
        </is>
      </c>
      <c r="I2866" t="inlineStr"/>
      <c r="J2866" t="inlineStr">
        <is>
          <t>G00530</t>
        </is>
      </c>
      <c r="K2866" t="str">
        <f>INDEX('Match Groups'!$D$5:$D$1326,MATCH(J2866,'Match Groups'!$A$5:$A$1326,0))</f>
        <v>MATCH</v>
      </c>
    </row>
    <row r="2867">
      <c r="A2867" t="inlineStr">
        <is>
          <t>JI-01054</t>
        </is>
      </c>
      <c r="B2867" t="inlineStr">
        <is>
          <t>OPS</t>
        </is>
      </c>
      <c r="C2867" s="5" t="n">
        <v>46259</v>
      </c>
      <c r="D2867" t="inlineStr">
        <is>
          <t>Clearpath NDIS Plans</t>
        </is>
      </c>
      <c r="E2867" t="inlineStr">
        <is>
          <t>INV/2026/02662</t>
        </is>
      </c>
      <c r="F2867" t="inlineStr">
        <is>
          <t>Customer payment INV/2026/02662</t>
        </is>
      </c>
      <c r="G2867" s="9" t="n">
        <v>272.49</v>
      </c>
      <c r="H2867" t="inlineStr">
        <is>
          <t>customer_payment</t>
        </is>
      </c>
      <c r="I2867" t="inlineStr"/>
      <c r="J2867" t="inlineStr">
        <is>
          <t>G00342</t>
        </is>
      </c>
      <c r="K2867" t="str">
        <f>INDEX('Match Groups'!$D$5:$D$1326,MATCH(J2867,'Match Groups'!$A$5:$A$1326,0))</f>
        <v>MATCH</v>
      </c>
    </row>
    <row r="2868">
      <c r="A2868" t="inlineStr">
        <is>
          <t>JI-01055</t>
        </is>
      </c>
      <c r="B2868" t="inlineStr">
        <is>
          <t>OPS</t>
        </is>
      </c>
      <c r="C2868" s="5" t="n">
        <v>46259</v>
      </c>
      <c r="D2868" t="inlineStr">
        <is>
          <t>Clearpath NDIS Plans</t>
        </is>
      </c>
      <c r="E2868" t="inlineStr">
        <is>
          <t>INV/2026/02664</t>
        </is>
      </c>
      <c r="F2868" t="inlineStr">
        <is>
          <t>Customer payment INV/2026/02664</t>
        </is>
      </c>
      <c r="G2868" s="9" t="n">
        <v>252.19</v>
      </c>
      <c r="H2868" t="inlineStr">
        <is>
          <t>customer_payment</t>
        </is>
      </c>
      <c r="I2868" t="inlineStr"/>
      <c r="J2868" t="inlineStr">
        <is>
          <t>G00342</t>
        </is>
      </c>
      <c r="K2868" t="str">
        <f>INDEX('Match Groups'!$D$5:$D$1326,MATCH(J2868,'Match Groups'!$A$5:$A$1326,0))</f>
        <v>MATCH</v>
      </c>
    </row>
    <row r="2869">
      <c r="A2869" t="inlineStr">
        <is>
          <t>JI-01056</t>
        </is>
      </c>
      <c r="B2869" t="inlineStr">
        <is>
          <t>OPS</t>
        </is>
      </c>
      <c r="C2869" s="5" t="n">
        <v>46259</v>
      </c>
      <c r="D2869" t="inlineStr">
        <is>
          <t>Clearpath NDIS Plans</t>
        </is>
      </c>
      <c r="E2869" t="inlineStr">
        <is>
          <t>INV/2026/02690</t>
        </is>
      </c>
      <c r="F2869" t="inlineStr">
        <is>
          <t>Customer payment INV/2026/02690</t>
        </is>
      </c>
      <c r="G2869" s="9" t="n">
        <v>252.19</v>
      </c>
      <c r="H2869" t="inlineStr">
        <is>
          <t>customer_payment</t>
        </is>
      </c>
      <c r="I2869" t="inlineStr"/>
      <c r="J2869" t="inlineStr">
        <is>
          <t>G00342</t>
        </is>
      </c>
      <c r="K2869" t="str">
        <f>INDEX('Match Groups'!$D$5:$D$1326,MATCH(J2869,'Match Groups'!$A$5:$A$1326,0))</f>
        <v>MATCH</v>
      </c>
    </row>
    <row r="2870">
      <c r="A2870" t="inlineStr">
        <is>
          <t>JI-01057</t>
        </is>
      </c>
      <c r="B2870" t="inlineStr">
        <is>
          <t>OPS</t>
        </is>
      </c>
      <c r="C2870" s="5" t="n">
        <v>46259</v>
      </c>
      <c r="D2870" t="inlineStr">
        <is>
          <t>Clearpath NDIS Plans</t>
        </is>
      </c>
      <c r="E2870" t="inlineStr">
        <is>
          <t>INV/2026/02716</t>
        </is>
      </c>
      <c r="F2870" t="inlineStr">
        <is>
          <t>Customer payment INV/2026/02716</t>
        </is>
      </c>
      <c r="G2870" s="9" t="n">
        <v>242.49</v>
      </c>
      <c r="H2870" t="inlineStr">
        <is>
          <t>customer_payment</t>
        </is>
      </c>
      <c r="I2870" t="inlineStr"/>
      <c r="J2870" t="inlineStr">
        <is>
          <t>G00342</t>
        </is>
      </c>
      <c r="K2870" t="str">
        <f>INDEX('Match Groups'!$D$5:$D$1326,MATCH(J2870,'Match Groups'!$A$5:$A$1326,0))</f>
        <v>MATCH</v>
      </c>
    </row>
    <row r="2871">
      <c r="A2871" t="inlineStr">
        <is>
          <t>JI-01058</t>
        </is>
      </c>
      <c r="B2871" t="inlineStr">
        <is>
          <t>OPS</t>
        </is>
      </c>
      <c r="C2871" s="5" t="n">
        <v>46259</v>
      </c>
      <c r="D2871" t="inlineStr">
        <is>
          <t>Clearpath NDIS Plans</t>
        </is>
      </c>
      <c r="E2871" t="inlineStr">
        <is>
          <t>INV/2026/02717</t>
        </is>
      </c>
      <c r="F2871" t="inlineStr">
        <is>
          <t>Customer payment INV/2026/02717</t>
        </is>
      </c>
      <c r="G2871" s="9" t="n">
        <v>145.49</v>
      </c>
      <c r="H2871" t="inlineStr">
        <is>
          <t>customer_payment</t>
        </is>
      </c>
      <c r="I2871" t="inlineStr"/>
      <c r="J2871" t="inlineStr">
        <is>
          <t>G00342</t>
        </is>
      </c>
      <c r="K2871" t="str">
        <f>INDEX('Match Groups'!$D$5:$D$1326,MATCH(J2871,'Match Groups'!$A$5:$A$1326,0))</f>
        <v>MATCH</v>
      </c>
    </row>
    <row r="2872">
      <c r="A2872" t="inlineStr">
        <is>
          <t>JI-01059</t>
        </is>
      </c>
      <c r="B2872" t="inlineStr">
        <is>
          <t>OPS</t>
        </is>
      </c>
      <c r="C2872" s="5" t="n">
        <v>46259</v>
      </c>
      <c r="D2872" t="inlineStr">
        <is>
          <t>Clearpath NDIS Plans</t>
        </is>
      </c>
      <c r="E2872" t="inlineStr">
        <is>
          <t>INV/2026/02759</t>
        </is>
      </c>
      <c r="F2872" t="inlineStr">
        <is>
          <t>Customer payment INV/2026/02759</t>
        </is>
      </c>
      <c r="G2872" s="9" t="n">
        <v>242.49</v>
      </c>
      <c r="H2872" t="inlineStr">
        <is>
          <t>customer_payment</t>
        </is>
      </c>
      <c r="I2872" t="inlineStr"/>
      <c r="J2872" t="inlineStr">
        <is>
          <t>G00342</t>
        </is>
      </c>
      <c r="K2872" t="str">
        <f>INDEX('Match Groups'!$D$5:$D$1326,MATCH(J2872,'Match Groups'!$A$5:$A$1326,0))</f>
        <v>MATCH</v>
      </c>
    </row>
    <row r="2873">
      <c r="A2873" t="inlineStr">
        <is>
          <t>JI-01060</t>
        </is>
      </c>
      <c r="B2873" t="inlineStr">
        <is>
          <t>OPS</t>
        </is>
      </c>
      <c r="C2873" s="5" t="n">
        <v>46259</v>
      </c>
      <c r="D2873" t="inlineStr">
        <is>
          <t>Wattle Plan Services</t>
        </is>
      </c>
      <c r="E2873" t="inlineStr">
        <is>
          <t>INV/2026/02637</t>
        </is>
      </c>
      <c r="F2873" t="inlineStr">
        <is>
          <t>Customer payment INV/2026/02637</t>
        </is>
      </c>
      <c r="G2873" s="9" t="n">
        <v>387.98</v>
      </c>
      <c r="H2873" t="inlineStr">
        <is>
          <t>customer_payment</t>
        </is>
      </c>
      <c r="I2873" t="inlineStr"/>
      <c r="J2873" t="inlineStr">
        <is>
          <t>G00343</t>
        </is>
      </c>
      <c r="K2873" t="str">
        <f>INDEX('Match Groups'!$D$5:$D$1326,MATCH(J2873,'Match Groups'!$A$5:$A$1326,0))</f>
        <v>MATCH</v>
      </c>
    </row>
    <row r="2874">
      <c r="A2874" t="inlineStr">
        <is>
          <t>JI-01061</t>
        </is>
      </c>
      <c r="B2874" t="inlineStr">
        <is>
          <t>OPS</t>
        </is>
      </c>
      <c r="C2874" s="5" t="n">
        <v>46259</v>
      </c>
      <c r="D2874" t="inlineStr">
        <is>
          <t>Wattle Plan Services</t>
        </is>
      </c>
      <c r="E2874" t="inlineStr">
        <is>
          <t>INV/2026/02665</t>
        </is>
      </c>
      <c r="F2874" t="inlineStr">
        <is>
          <t>Customer payment INV/2026/02665</t>
        </is>
      </c>
      <c r="G2874" s="9" t="n">
        <v>349.18</v>
      </c>
      <c r="H2874" t="inlineStr">
        <is>
          <t>customer_payment</t>
        </is>
      </c>
      <c r="I2874" t="inlineStr"/>
      <c r="J2874" t="inlineStr">
        <is>
          <t>G00343</t>
        </is>
      </c>
      <c r="K2874" t="str">
        <f>INDEX('Match Groups'!$D$5:$D$1326,MATCH(J2874,'Match Groups'!$A$5:$A$1326,0))</f>
        <v>MATCH</v>
      </c>
    </row>
    <row r="2875">
      <c r="A2875" t="inlineStr">
        <is>
          <t>JI-01062</t>
        </is>
      </c>
      <c r="B2875" t="inlineStr">
        <is>
          <t>OPS</t>
        </is>
      </c>
      <c r="C2875" s="5" t="n">
        <v>46259</v>
      </c>
      <c r="D2875" t="inlineStr">
        <is>
          <t>Wattle Plan Services</t>
        </is>
      </c>
      <c r="E2875" t="inlineStr">
        <is>
          <t>INV/2026/02666</t>
        </is>
      </c>
      <c r="F2875" t="inlineStr">
        <is>
          <t>Customer payment INV/2026/02666</t>
        </is>
      </c>
      <c r="G2875" s="9" t="n">
        <v>387.98</v>
      </c>
      <c r="H2875" t="inlineStr">
        <is>
          <t>customer_payment</t>
        </is>
      </c>
      <c r="I2875" t="inlineStr"/>
      <c r="J2875" t="inlineStr">
        <is>
          <t>G00343</t>
        </is>
      </c>
      <c r="K2875" t="str">
        <f>INDEX('Match Groups'!$D$5:$D$1326,MATCH(J2875,'Match Groups'!$A$5:$A$1326,0))</f>
        <v>MATCH</v>
      </c>
    </row>
    <row r="2876">
      <c r="A2876" t="inlineStr">
        <is>
          <t>JI-01063</t>
        </is>
      </c>
      <c r="B2876" t="inlineStr">
        <is>
          <t>OPS</t>
        </is>
      </c>
      <c r="C2876" s="5" t="n">
        <v>46259</v>
      </c>
      <c r="D2876" t="inlineStr">
        <is>
          <t>Wattle Plan Services</t>
        </is>
      </c>
      <c r="E2876" t="inlineStr">
        <is>
          <t>INV/2026/02691</t>
        </is>
      </c>
      <c r="F2876" t="inlineStr">
        <is>
          <t>Customer payment INV/2026/02691</t>
        </is>
      </c>
      <c r="G2876" s="9" t="n">
        <v>272.49</v>
      </c>
      <c r="H2876" t="inlineStr">
        <is>
          <t>customer_payment</t>
        </is>
      </c>
      <c r="I2876" t="inlineStr"/>
      <c r="J2876" t="inlineStr">
        <is>
          <t>G00343</t>
        </is>
      </c>
      <c r="K2876" t="str">
        <f>INDEX('Match Groups'!$D$5:$D$1326,MATCH(J2876,'Match Groups'!$A$5:$A$1326,0))</f>
        <v>MATCH</v>
      </c>
    </row>
    <row r="2877">
      <c r="A2877" t="inlineStr">
        <is>
          <t>JI-01065</t>
        </is>
      </c>
      <c r="B2877" t="inlineStr">
        <is>
          <t>OPS</t>
        </is>
      </c>
      <c r="C2877" s="5" t="n">
        <v>46259</v>
      </c>
      <c r="D2877" t="inlineStr">
        <is>
          <t>Kookaburra Plan Support</t>
        </is>
      </c>
      <c r="E2877" t="inlineStr">
        <is>
          <t>INV/2026/02641</t>
        </is>
      </c>
      <c r="F2877" t="inlineStr">
        <is>
          <t>Customer payment INV/2026/02641</t>
        </is>
      </c>
      <c r="G2877" s="9" t="n">
        <v>242.49</v>
      </c>
      <c r="H2877" t="inlineStr">
        <is>
          <t>customer_payment</t>
        </is>
      </c>
      <c r="I2877" t="inlineStr"/>
      <c r="J2877" t="inlineStr">
        <is>
          <t>G00345</t>
        </is>
      </c>
      <c r="K2877" t="str">
        <f>INDEX('Match Groups'!$D$5:$D$1326,MATCH(J2877,'Match Groups'!$A$5:$A$1326,0))</f>
        <v>MATCH</v>
      </c>
    </row>
    <row r="2878">
      <c r="A2878" t="inlineStr">
        <is>
          <t>JI-01066</t>
        </is>
      </c>
      <c r="B2878" t="inlineStr">
        <is>
          <t>OPS</t>
        </is>
      </c>
      <c r="C2878" s="5" t="n">
        <v>46259</v>
      </c>
      <c r="D2878" t="inlineStr">
        <is>
          <t>Kookaburra Plan Support</t>
        </is>
      </c>
      <c r="E2878" t="inlineStr">
        <is>
          <t>INV/2026/02642</t>
        </is>
      </c>
      <c r="F2878" t="inlineStr">
        <is>
          <t>Customer payment INV/2026/02642</t>
        </is>
      </c>
      <c r="G2878" s="9" t="n">
        <v>242.49</v>
      </c>
      <c r="H2878" t="inlineStr">
        <is>
          <t>customer_payment</t>
        </is>
      </c>
      <c r="I2878" t="inlineStr"/>
      <c r="J2878" t="inlineStr">
        <is>
          <t>G00345</t>
        </is>
      </c>
      <c r="K2878" t="str">
        <f>INDEX('Match Groups'!$D$5:$D$1326,MATCH(J2878,'Match Groups'!$A$5:$A$1326,0))</f>
        <v>MATCH</v>
      </c>
    </row>
    <row r="2879">
      <c r="A2879" t="inlineStr">
        <is>
          <t>JI-01067</t>
        </is>
      </c>
      <c r="B2879" t="inlineStr">
        <is>
          <t>OPS</t>
        </is>
      </c>
      <c r="C2879" s="5" t="n">
        <v>46259</v>
      </c>
      <c r="D2879" t="inlineStr">
        <is>
          <t>Kookaburra Plan Support</t>
        </is>
      </c>
      <c r="E2879" t="inlineStr">
        <is>
          <t>INV/2026/02696</t>
        </is>
      </c>
      <c r="F2879" t="inlineStr">
        <is>
          <t>Customer payment INV/2026/02696</t>
        </is>
      </c>
      <c r="G2879" s="9" t="n">
        <v>349.18</v>
      </c>
      <c r="H2879" t="inlineStr">
        <is>
          <t>customer_payment</t>
        </is>
      </c>
      <c r="I2879" t="inlineStr"/>
      <c r="J2879" t="inlineStr">
        <is>
          <t>G00345</t>
        </is>
      </c>
      <c r="K2879" t="str">
        <f>INDEX('Match Groups'!$D$5:$D$1326,MATCH(J2879,'Match Groups'!$A$5:$A$1326,0))</f>
        <v>MATCH</v>
      </c>
    </row>
    <row r="2880">
      <c r="A2880" t="inlineStr">
        <is>
          <t>JI-01068</t>
        </is>
      </c>
      <c r="B2880" t="inlineStr">
        <is>
          <t>OPS</t>
        </is>
      </c>
      <c r="C2880" s="5" t="n">
        <v>46259</v>
      </c>
      <c r="D2880" t="inlineStr">
        <is>
          <t>Kookaburra Plan Support</t>
        </is>
      </c>
      <c r="E2880" t="inlineStr">
        <is>
          <t>INV/2026/02721</t>
        </is>
      </c>
      <c r="F2880" t="inlineStr">
        <is>
          <t>Customer payment INV/2026/02721</t>
        </is>
      </c>
      <c r="G2880" s="9" t="n">
        <v>290.98</v>
      </c>
      <c r="H2880" t="inlineStr">
        <is>
          <t>customer_payment</t>
        </is>
      </c>
      <c r="I2880" t="inlineStr"/>
      <c r="J2880" t="inlineStr">
        <is>
          <t>G00345</t>
        </is>
      </c>
      <c r="K2880" t="str">
        <f>INDEX('Match Groups'!$D$5:$D$1326,MATCH(J2880,'Match Groups'!$A$5:$A$1326,0))</f>
        <v>MATCH</v>
      </c>
    </row>
    <row r="2881">
      <c r="A2881" t="inlineStr">
        <is>
          <t>JI-01069</t>
        </is>
      </c>
      <c r="B2881" t="inlineStr">
        <is>
          <t>OPS</t>
        </is>
      </c>
      <c r="C2881" s="5" t="n">
        <v>46259</v>
      </c>
      <c r="D2881" t="inlineStr">
        <is>
          <t>Kookaburra Plan Support</t>
        </is>
      </c>
      <c r="E2881" t="inlineStr">
        <is>
          <t>INV/2026/02722</t>
        </is>
      </c>
      <c r="F2881" t="inlineStr">
        <is>
          <t>Customer payment INV/2026/02722</t>
        </is>
      </c>
      <c r="G2881" s="9" t="n">
        <v>242.49</v>
      </c>
      <c r="H2881" t="inlineStr">
        <is>
          <t>customer_payment</t>
        </is>
      </c>
      <c r="I2881" t="inlineStr"/>
      <c r="J2881" t="inlineStr">
        <is>
          <t>G00345</t>
        </is>
      </c>
      <c r="K2881" t="str">
        <f>INDEX('Match Groups'!$D$5:$D$1326,MATCH(J2881,'Match Groups'!$A$5:$A$1326,0))</f>
        <v>MATCH</v>
      </c>
    </row>
    <row r="2882">
      <c r="A2882" t="inlineStr">
        <is>
          <t>JI-01070</t>
        </is>
      </c>
      <c r="B2882" t="inlineStr">
        <is>
          <t>OPS</t>
        </is>
      </c>
      <c r="C2882" s="5" t="n">
        <v>46259</v>
      </c>
      <c r="D2882" t="inlineStr">
        <is>
          <t>Kookaburra Plan Support</t>
        </is>
      </c>
      <c r="E2882" t="inlineStr">
        <is>
          <t>INV/2026/02765</t>
        </is>
      </c>
      <c r="F2882" t="inlineStr">
        <is>
          <t>Customer payment INV/2026/02765</t>
        </is>
      </c>
      <c r="G2882" s="9" t="n">
        <v>242.49</v>
      </c>
      <c r="H2882" t="inlineStr">
        <is>
          <t>customer_payment</t>
        </is>
      </c>
      <c r="I2882" t="inlineStr"/>
      <c r="J2882" t="inlineStr">
        <is>
          <t>G00345</t>
        </is>
      </c>
      <c r="K2882" t="str">
        <f>INDEX('Match Groups'!$D$5:$D$1326,MATCH(J2882,'Match Groups'!$A$5:$A$1326,0))</f>
        <v>MATCH</v>
      </c>
    </row>
    <row r="2883">
      <c r="A2883" t="inlineStr">
        <is>
          <t>JI-01548</t>
        </is>
      </c>
      <c r="B2883" t="inlineStr">
        <is>
          <t>OPS</t>
        </is>
      </c>
      <c r="C2883" s="5" t="n">
        <v>46259</v>
      </c>
      <c r="D2883" t="inlineStr">
        <is>
          <t>Harbour Mutual Health</t>
        </is>
      </c>
      <c r="E2883" t="inlineStr">
        <is>
          <t>INV/2026/02708</t>
        </is>
      </c>
      <c r="F2883" t="inlineStr">
        <is>
          <t>Customer payment INV/2026/02708</t>
        </is>
      </c>
      <c r="G2883" s="9" t="n">
        <v>990</v>
      </c>
      <c r="H2883" t="inlineStr">
        <is>
          <t>customer_payment</t>
        </is>
      </c>
      <c r="I2883" t="inlineStr"/>
      <c r="J2883" t="inlineStr">
        <is>
          <t>G01019</t>
        </is>
      </c>
      <c r="K2883" t="str">
        <f>INDEX('Match Groups'!$D$5:$D$1326,MATCH(J2883,'Match Groups'!$A$5:$A$1326,0))</f>
        <v>MATCH</v>
      </c>
    </row>
    <row r="2884">
      <c r="A2884" t="inlineStr">
        <is>
          <t>JI-01639</t>
        </is>
      </c>
      <c r="B2884" t="inlineStr">
        <is>
          <t>OPS</t>
        </is>
      </c>
      <c r="C2884" s="5" t="n">
        <v>46259</v>
      </c>
      <c r="D2884" t="inlineStr">
        <is>
          <t>Northline Injury Claims</t>
        </is>
      </c>
      <c r="E2884" t="inlineStr">
        <is>
          <t>INV/2026/02580</t>
        </is>
      </c>
      <c r="F2884" t="inlineStr">
        <is>
          <t>Customer payment INV/2026/02580</t>
        </is>
      </c>
      <c r="G2884" s="9" t="n">
        <v>88</v>
      </c>
      <c r="H2884" t="inlineStr">
        <is>
          <t>customer_payment</t>
        </is>
      </c>
      <c r="I2884" t="inlineStr"/>
      <c r="J2884" t="inlineStr">
        <is>
          <t>G01020</t>
        </is>
      </c>
      <c r="K2884" t="str">
        <f>INDEX('Match Groups'!$D$5:$D$1326,MATCH(J2884,'Match Groups'!$A$5:$A$1326,0))</f>
        <v>MATCH</v>
      </c>
    </row>
    <row r="2885">
      <c r="A2885" t="inlineStr">
        <is>
          <t>JI-02959</t>
        </is>
      </c>
      <c r="B2885" t="inlineStr">
        <is>
          <t>OPS</t>
        </is>
      </c>
      <c r="C2885" s="5" t="n">
        <v>46259</v>
      </c>
      <c r="D2885" t="inlineStr">
        <is>
          <t>Stripe patient 57475</t>
        </is>
      </c>
      <c r="E2885" t="inlineStr">
        <is>
          <t>INV/2026/04803</t>
        </is>
      </c>
      <c r="F2885" t="inlineStr">
        <is>
          <t>Customer payment INV/2026/04803</t>
        </is>
      </c>
      <c r="G2885" s="9" t="n">
        <v>135</v>
      </c>
      <c r="H2885" t="inlineStr">
        <is>
          <t>customer_payment</t>
        </is>
      </c>
      <c r="I2885" t="inlineStr"/>
      <c r="J2885" t="inlineStr">
        <is>
          <t>G00055</t>
        </is>
      </c>
      <c r="K2885" t="str">
        <f>INDEX('Match Groups'!$D$5:$D$1326,MATCH(J2885,'Match Groups'!$A$5:$A$1326,0))</f>
        <v>STRIPE-FEE</v>
      </c>
    </row>
    <row r="2886">
      <c r="A2886" t="inlineStr">
        <is>
          <t>JI-02960</t>
        </is>
      </c>
      <c r="B2886" t="inlineStr">
        <is>
          <t>OPS</t>
        </is>
      </c>
      <c r="C2886" s="5" t="n">
        <v>46259</v>
      </c>
      <c r="D2886" t="inlineStr">
        <is>
          <t>Stripe patient 24541</t>
        </is>
      </c>
      <c r="E2886" t="inlineStr">
        <is>
          <t>INV/2026/04804</t>
        </is>
      </c>
      <c r="F2886" t="inlineStr">
        <is>
          <t>Customer payment INV/2026/04804</t>
        </is>
      </c>
      <c r="G2886" s="9" t="n">
        <v>65</v>
      </c>
      <c r="H2886" t="inlineStr">
        <is>
          <t>customer_payment</t>
        </is>
      </c>
      <c r="I2886" t="inlineStr"/>
      <c r="J2886" t="inlineStr">
        <is>
          <t>G00055</t>
        </is>
      </c>
      <c r="K2886" t="str">
        <f>INDEX('Match Groups'!$D$5:$D$1326,MATCH(J2886,'Match Groups'!$A$5:$A$1326,0))</f>
        <v>STRIPE-FEE</v>
      </c>
    </row>
    <row r="2887">
      <c r="A2887" t="inlineStr">
        <is>
          <t>JI-02961</t>
        </is>
      </c>
      <c r="B2887" t="inlineStr">
        <is>
          <t>OPS</t>
        </is>
      </c>
      <c r="C2887" s="5" t="n">
        <v>46259</v>
      </c>
      <c r="D2887" t="inlineStr">
        <is>
          <t>Stripe patient 74389</t>
        </is>
      </c>
      <c r="E2887" t="inlineStr">
        <is>
          <t>INV/2026/04805</t>
        </is>
      </c>
      <c r="F2887" t="inlineStr">
        <is>
          <t>Customer payment INV/2026/04805</t>
        </is>
      </c>
      <c r="G2887" s="9" t="n">
        <v>135</v>
      </c>
      <c r="H2887" t="inlineStr">
        <is>
          <t>customer_payment</t>
        </is>
      </c>
      <c r="I2887" t="inlineStr"/>
      <c r="J2887" t="inlineStr">
        <is>
          <t>G00055</t>
        </is>
      </c>
      <c r="K2887" t="str">
        <f>INDEX('Match Groups'!$D$5:$D$1326,MATCH(J2887,'Match Groups'!$A$5:$A$1326,0))</f>
        <v>STRIPE-FEE</v>
      </c>
    </row>
    <row r="2888">
      <c r="A2888" t="inlineStr">
        <is>
          <t>JI-02962</t>
        </is>
      </c>
      <c r="B2888" t="inlineStr">
        <is>
          <t>OPS</t>
        </is>
      </c>
      <c r="C2888" s="5" t="n">
        <v>46259</v>
      </c>
      <c r="D2888" t="inlineStr">
        <is>
          <t>Stripe patient 70826</t>
        </is>
      </c>
      <c r="E2888" t="inlineStr">
        <is>
          <t>INV/2026/04806</t>
        </is>
      </c>
      <c r="F2888" t="inlineStr">
        <is>
          <t>Customer payment INV/2026/04806</t>
        </is>
      </c>
      <c r="G2888" s="9" t="n">
        <v>135</v>
      </c>
      <c r="H2888" t="inlineStr">
        <is>
          <t>customer_payment</t>
        </is>
      </c>
      <c r="I2888" t="inlineStr"/>
      <c r="J2888" t="inlineStr">
        <is>
          <t>G00055</t>
        </is>
      </c>
      <c r="K2888" t="str">
        <f>INDEX('Match Groups'!$D$5:$D$1326,MATCH(J2888,'Match Groups'!$A$5:$A$1326,0))</f>
        <v>STRIPE-FEE</v>
      </c>
    </row>
    <row r="2889">
      <c r="A2889" t="inlineStr">
        <is>
          <t>JI-02963</t>
        </is>
      </c>
      <c r="B2889" t="inlineStr">
        <is>
          <t>OPS</t>
        </is>
      </c>
      <c r="C2889" s="5" t="n">
        <v>46259</v>
      </c>
      <c r="D2889" t="inlineStr">
        <is>
          <t>Stripe patient 86941</t>
        </is>
      </c>
      <c r="E2889" t="inlineStr">
        <is>
          <t>INV/2026/04807</t>
        </is>
      </c>
      <c r="F2889" t="inlineStr">
        <is>
          <t>Customer payment INV/2026/04807</t>
        </is>
      </c>
      <c r="G2889" s="9" t="n">
        <v>120</v>
      </c>
      <c r="H2889" t="inlineStr">
        <is>
          <t>customer_payment</t>
        </is>
      </c>
      <c r="I2889" t="inlineStr"/>
      <c r="J2889" t="inlineStr">
        <is>
          <t>G00055</t>
        </is>
      </c>
      <c r="K2889" t="str">
        <f>INDEX('Match Groups'!$D$5:$D$1326,MATCH(J2889,'Match Groups'!$A$5:$A$1326,0))</f>
        <v>STRIPE-FEE</v>
      </c>
    </row>
    <row r="2890">
      <c r="A2890" t="inlineStr">
        <is>
          <t>JI-02964</t>
        </is>
      </c>
      <c r="B2890" t="inlineStr">
        <is>
          <t>OPS</t>
        </is>
      </c>
      <c r="C2890" s="5" t="n">
        <v>46259</v>
      </c>
      <c r="D2890" t="inlineStr">
        <is>
          <t>Stripe patient 42835</t>
        </is>
      </c>
      <c r="E2890" t="inlineStr">
        <is>
          <t>INV/2026/04808</t>
        </is>
      </c>
      <c r="F2890" t="inlineStr">
        <is>
          <t>Customer payment INV/2026/04808</t>
        </is>
      </c>
      <c r="G2890" s="9" t="n">
        <v>65</v>
      </c>
      <c r="H2890" t="inlineStr">
        <is>
          <t>customer_payment</t>
        </is>
      </c>
      <c r="I2890" t="inlineStr"/>
      <c r="J2890" t="inlineStr">
        <is>
          <t>G00055</t>
        </is>
      </c>
      <c r="K2890" t="str">
        <f>INDEX('Match Groups'!$D$5:$D$1326,MATCH(J2890,'Match Groups'!$A$5:$A$1326,0))</f>
        <v>STRIPE-FEE</v>
      </c>
    </row>
    <row r="2891">
      <c r="A2891" t="inlineStr">
        <is>
          <t>JI-02965</t>
        </is>
      </c>
      <c r="B2891" t="inlineStr">
        <is>
          <t>OPS</t>
        </is>
      </c>
      <c r="C2891" s="5" t="n">
        <v>46259</v>
      </c>
      <c r="D2891" t="inlineStr">
        <is>
          <t>Stripe patient 64084</t>
        </is>
      </c>
      <c r="E2891" t="inlineStr">
        <is>
          <t>INV/2026/04809</t>
        </is>
      </c>
      <c r="F2891" t="inlineStr">
        <is>
          <t>Customer payment INV/2026/04809</t>
        </is>
      </c>
      <c r="G2891" s="9" t="n">
        <v>85</v>
      </c>
      <c r="H2891" t="inlineStr">
        <is>
          <t>customer_payment</t>
        </is>
      </c>
      <c r="I2891" t="inlineStr"/>
      <c r="J2891" t="inlineStr">
        <is>
          <t>G00055</t>
        </is>
      </c>
      <c r="K2891" t="str">
        <f>INDEX('Match Groups'!$D$5:$D$1326,MATCH(J2891,'Match Groups'!$A$5:$A$1326,0))</f>
        <v>STRIPE-FEE</v>
      </c>
    </row>
    <row r="2892">
      <c r="A2892" t="inlineStr">
        <is>
          <t>JI-02966</t>
        </is>
      </c>
      <c r="B2892" t="inlineStr">
        <is>
          <t>OPS</t>
        </is>
      </c>
      <c r="C2892" s="5" t="n">
        <v>46259</v>
      </c>
      <c r="D2892" t="inlineStr">
        <is>
          <t>Stripe patient 86597</t>
        </is>
      </c>
      <c r="E2892" t="inlineStr">
        <is>
          <t>INV/2026/04810</t>
        </is>
      </c>
      <c r="F2892" t="inlineStr">
        <is>
          <t>Customer payment INV/2026/04810</t>
        </is>
      </c>
      <c r="G2892" s="9" t="n">
        <v>220</v>
      </c>
      <c r="H2892" t="inlineStr">
        <is>
          <t>customer_payment</t>
        </is>
      </c>
      <c r="I2892" t="inlineStr"/>
      <c r="J2892" t="inlineStr">
        <is>
          <t>G00055</t>
        </is>
      </c>
      <c r="K2892" t="str">
        <f>INDEX('Match Groups'!$D$5:$D$1326,MATCH(J2892,'Match Groups'!$A$5:$A$1326,0))</f>
        <v>STRIPE-FEE</v>
      </c>
    </row>
    <row r="2893">
      <c r="A2893" t="inlineStr">
        <is>
          <t>JI-02967</t>
        </is>
      </c>
      <c r="B2893" t="inlineStr">
        <is>
          <t>OPS</t>
        </is>
      </c>
      <c r="C2893" s="5" t="n">
        <v>46259</v>
      </c>
      <c r="D2893" t="inlineStr">
        <is>
          <t>Stripe patient 44077</t>
        </is>
      </c>
      <c r="E2893" t="inlineStr">
        <is>
          <t>INV/2026/04811</t>
        </is>
      </c>
      <c r="F2893" t="inlineStr">
        <is>
          <t>Customer payment INV/2026/04811</t>
        </is>
      </c>
      <c r="G2893" s="9" t="n">
        <v>120</v>
      </c>
      <c r="H2893" t="inlineStr">
        <is>
          <t>customer_payment</t>
        </is>
      </c>
      <c r="I2893" t="inlineStr"/>
      <c r="J2893" t="inlineStr">
        <is>
          <t>G00055</t>
        </is>
      </c>
      <c r="K2893" t="str">
        <f>INDEX('Match Groups'!$D$5:$D$1326,MATCH(J2893,'Match Groups'!$A$5:$A$1326,0))</f>
        <v>STRIPE-FEE</v>
      </c>
    </row>
    <row r="2894">
      <c r="A2894" t="inlineStr">
        <is>
          <t>JI-02968</t>
        </is>
      </c>
      <c r="B2894" t="inlineStr">
        <is>
          <t>OPS</t>
        </is>
      </c>
      <c r="C2894" s="5" t="n">
        <v>46259</v>
      </c>
      <c r="D2894" t="inlineStr">
        <is>
          <t>Stripe patient 81326</t>
        </is>
      </c>
      <c r="E2894" t="inlineStr">
        <is>
          <t>INV/2026/04812</t>
        </is>
      </c>
      <c r="F2894" t="inlineStr">
        <is>
          <t>Customer payment INV/2026/04812</t>
        </is>
      </c>
      <c r="G2894" s="9" t="n">
        <v>135</v>
      </c>
      <c r="H2894" t="inlineStr">
        <is>
          <t>customer_payment</t>
        </is>
      </c>
      <c r="I2894" t="inlineStr"/>
      <c r="J2894" t="inlineStr">
        <is>
          <t>G00055</t>
        </is>
      </c>
      <c r="K2894" t="str">
        <f>INDEX('Match Groups'!$D$5:$D$1326,MATCH(J2894,'Match Groups'!$A$5:$A$1326,0))</f>
        <v>STRIPE-FEE</v>
      </c>
    </row>
    <row r="2895">
      <c r="A2895" t="inlineStr">
        <is>
          <t>JI-02969</t>
        </is>
      </c>
      <c r="B2895" t="inlineStr">
        <is>
          <t>OPS</t>
        </is>
      </c>
      <c r="C2895" s="5" t="n">
        <v>46259</v>
      </c>
      <c r="D2895" t="inlineStr">
        <is>
          <t>Stripe patient 35179</t>
        </is>
      </c>
      <c r="E2895" t="inlineStr">
        <is>
          <t>INV/2026/04813</t>
        </is>
      </c>
      <c r="F2895" t="inlineStr">
        <is>
          <t>Customer payment INV/2026/04813</t>
        </is>
      </c>
      <c r="G2895" s="9" t="n">
        <v>150</v>
      </c>
      <c r="H2895" t="inlineStr">
        <is>
          <t>customer_payment</t>
        </is>
      </c>
      <c r="I2895" t="inlineStr"/>
      <c r="J2895" t="inlineStr">
        <is>
          <t>G00055</t>
        </is>
      </c>
      <c r="K2895" t="str">
        <f>INDEX('Match Groups'!$D$5:$D$1326,MATCH(J2895,'Match Groups'!$A$5:$A$1326,0))</f>
        <v>STRIPE-FEE</v>
      </c>
    </row>
    <row r="2896">
      <c r="A2896" t="inlineStr">
        <is>
          <t>JI-02970</t>
        </is>
      </c>
      <c r="B2896" t="inlineStr">
        <is>
          <t>OPS</t>
        </is>
      </c>
      <c r="C2896" s="5" t="n">
        <v>46259</v>
      </c>
      <c r="D2896" t="inlineStr">
        <is>
          <t>Stripe patient 25463</t>
        </is>
      </c>
      <c r="E2896" t="inlineStr">
        <is>
          <t>INV/2026/04814</t>
        </is>
      </c>
      <c r="F2896" t="inlineStr">
        <is>
          <t>Customer payment INV/2026/04814</t>
        </is>
      </c>
      <c r="G2896" s="9" t="n">
        <v>120</v>
      </c>
      <c r="H2896" t="inlineStr">
        <is>
          <t>customer_payment</t>
        </is>
      </c>
      <c r="I2896" t="inlineStr"/>
      <c r="J2896" t="inlineStr">
        <is>
          <t>G00055</t>
        </is>
      </c>
      <c r="K2896" t="str">
        <f>INDEX('Match Groups'!$D$5:$D$1326,MATCH(J2896,'Match Groups'!$A$5:$A$1326,0))</f>
        <v>STRIPE-FEE</v>
      </c>
    </row>
    <row r="2897">
      <c r="A2897" t="inlineStr">
        <is>
          <t>JI-02971</t>
        </is>
      </c>
      <c r="B2897" t="inlineStr">
        <is>
          <t>OPS</t>
        </is>
      </c>
      <c r="C2897" s="5" t="n">
        <v>46259</v>
      </c>
      <c r="D2897" t="inlineStr">
        <is>
          <t>Stripe patient 55928</t>
        </is>
      </c>
      <c r="E2897" t="inlineStr">
        <is>
          <t>INV/2026/04815</t>
        </is>
      </c>
      <c r="F2897" t="inlineStr">
        <is>
          <t>Customer payment INV/2026/04815</t>
        </is>
      </c>
      <c r="G2897" s="9" t="n">
        <v>220</v>
      </c>
      <c r="H2897" t="inlineStr">
        <is>
          <t>customer_payment</t>
        </is>
      </c>
      <c r="I2897" t="inlineStr"/>
      <c r="J2897" t="inlineStr">
        <is>
          <t>G00055</t>
        </is>
      </c>
      <c r="K2897" t="str">
        <f>INDEX('Match Groups'!$D$5:$D$1326,MATCH(J2897,'Match Groups'!$A$5:$A$1326,0))</f>
        <v>STRIPE-FEE</v>
      </c>
    </row>
    <row r="2898">
      <c r="A2898" t="inlineStr">
        <is>
          <t>JI-02972</t>
        </is>
      </c>
      <c r="B2898" t="inlineStr">
        <is>
          <t>OPS</t>
        </is>
      </c>
      <c r="C2898" s="5" t="n">
        <v>46259</v>
      </c>
      <c r="D2898" t="inlineStr">
        <is>
          <t>Stripe patient 20238</t>
        </is>
      </c>
      <c r="E2898" t="inlineStr">
        <is>
          <t>INV/2026/04816</t>
        </is>
      </c>
      <c r="F2898" t="inlineStr">
        <is>
          <t>Customer payment INV/2026/04816</t>
        </is>
      </c>
      <c r="G2898" s="9" t="n">
        <v>220</v>
      </c>
      <c r="H2898" t="inlineStr">
        <is>
          <t>customer_payment</t>
        </is>
      </c>
      <c r="I2898" t="inlineStr"/>
      <c r="J2898" t="inlineStr">
        <is>
          <t>G00055</t>
        </is>
      </c>
      <c r="K2898" t="str">
        <f>INDEX('Match Groups'!$D$5:$D$1326,MATCH(J2898,'Match Groups'!$A$5:$A$1326,0))</f>
        <v>STRIPE-FEE</v>
      </c>
    </row>
    <row r="2899">
      <c r="A2899" t="inlineStr">
        <is>
          <t>JI-02973</t>
        </is>
      </c>
      <c r="B2899" t="inlineStr">
        <is>
          <t>OPS</t>
        </is>
      </c>
      <c r="C2899" s="5" t="n">
        <v>46259</v>
      </c>
      <c r="D2899" t="inlineStr">
        <is>
          <t>Stripe patient 70828</t>
        </is>
      </c>
      <c r="E2899" t="inlineStr">
        <is>
          <t>INV/2026/04817</t>
        </is>
      </c>
      <c r="F2899" t="inlineStr">
        <is>
          <t>Customer payment INV/2026/04817</t>
        </is>
      </c>
      <c r="G2899" s="9" t="n">
        <v>135</v>
      </c>
      <c r="H2899" t="inlineStr">
        <is>
          <t>customer_payment</t>
        </is>
      </c>
      <c r="I2899" t="inlineStr"/>
      <c r="J2899" t="inlineStr">
        <is>
          <t>G00055</t>
        </is>
      </c>
      <c r="K2899" t="str">
        <f>INDEX('Match Groups'!$D$5:$D$1326,MATCH(J2899,'Match Groups'!$A$5:$A$1326,0))</f>
        <v>STRIPE-FEE</v>
      </c>
    </row>
    <row r="2900">
      <c r="A2900" t="inlineStr">
        <is>
          <t>JI-02974</t>
        </is>
      </c>
      <c r="B2900" t="inlineStr">
        <is>
          <t>OPS</t>
        </is>
      </c>
      <c r="C2900" s="5" t="n">
        <v>46259</v>
      </c>
      <c r="D2900" t="inlineStr">
        <is>
          <t>Stripe patient 81777</t>
        </is>
      </c>
      <c r="E2900" t="inlineStr">
        <is>
          <t>INV/2026/04818</t>
        </is>
      </c>
      <c r="F2900" t="inlineStr">
        <is>
          <t>Customer payment INV/2026/04818</t>
        </is>
      </c>
      <c r="G2900" s="9" t="n">
        <v>110</v>
      </c>
      <c r="H2900" t="inlineStr">
        <is>
          <t>customer_payment</t>
        </is>
      </c>
      <c r="I2900" t="inlineStr"/>
      <c r="J2900" t="inlineStr">
        <is>
          <t>G00055</t>
        </is>
      </c>
      <c r="K2900" t="str">
        <f>INDEX('Match Groups'!$D$5:$D$1326,MATCH(J2900,'Match Groups'!$A$5:$A$1326,0))</f>
        <v>STRIPE-FEE</v>
      </c>
    </row>
    <row r="2901">
      <c r="A2901" t="inlineStr">
        <is>
          <t>JI-02975</t>
        </is>
      </c>
      <c r="B2901" t="inlineStr">
        <is>
          <t>OPS</t>
        </is>
      </c>
      <c r="C2901" s="5" t="n">
        <v>46259</v>
      </c>
      <c r="D2901" t="inlineStr">
        <is>
          <t>Stripe patient 66266</t>
        </is>
      </c>
      <c r="E2901" t="inlineStr">
        <is>
          <t>INV/2026/04819</t>
        </is>
      </c>
      <c r="F2901" t="inlineStr">
        <is>
          <t>Customer payment INV/2026/04819</t>
        </is>
      </c>
      <c r="G2901" s="9" t="n">
        <v>95</v>
      </c>
      <c r="H2901" t="inlineStr">
        <is>
          <t>customer_payment</t>
        </is>
      </c>
      <c r="I2901" t="inlineStr"/>
      <c r="J2901" t="inlineStr">
        <is>
          <t>G00055</t>
        </is>
      </c>
      <c r="K2901" t="str">
        <f>INDEX('Match Groups'!$D$5:$D$1326,MATCH(J2901,'Match Groups'!$A$5:$A$1326,0))</f>
        <v>STRIPE-FEE</v>
      </c>
    </row>
    <row r="2902">
      <c r="A2902" t="inlineStr">
        <is>
          <t>JI-02976</t>
        </is>
      </c>
      <c r="B2902" t="inlineStr">
        <is>
          <t>OPS</t>
        </is>
      </c>
      <c r="C2902" s="5" t="n">
        <v>46259</v>
      </c>
      <c r="D2902" t="inlineStr">
        <is>
          <t>Stripe patient 53972</t>
        </is>
      </c>
      <c r="E2902" t="inlineStr">
        <is>
          <t>INV/2026/04820</t>
        </is>
      </c>
      <c r="F2902" t="inlineStr">
        <is>
          <t>Customer payment INV/2026/04820</t>
        </is>
      </c>
      <c r="G2902" s="9" t="n">
        <v>110</v>
      </c>
      <c r="H2902" t="inlineStr">
        <is>
          <t>customer_payment</t>
        </is>
      </c>
      <c r="I2902" t="inlineStr"/>
      <c r="J2902" t="inlineStr">
        <is>
          <t>G00055</t>
        </is>
      </c>
      <c r="K2902" t="str">
        <f>INDEX('Match Groups'!$D$5:$D$1326,MATCH(J2902,'Match Groups'!$A$5:$A$1326,0))</f>
        <v>STRIPE-FEE</v>
      </c>
    </row>
    <row r="2903">
      <c r="A2903" t="inlineStr">
        <is>
          <t>JI-02977</t>
        </is>
      </c>
      <c r="B2903" t="inlineStr">
        <is>
          <t>OPS</t>
        </is>
      </c>
      <c r="C2903" s="5" t="n">
        <v>46259</v>
      </c>
      <c r="D2903" t="inlineStr">
        <is>
          <t>Stripe patient 54122</t>
        </is>
      </c>
      <c r="E2903" t="inlineStr">
        <is>
          <t>INV/2026/04821</t>
        </is>
      </c>
      <c r="F2903" t="inlineStr">
        <is>
          <t>Customer payment INV/2026/04821</t>
        </is>
      </c>
      <c r="G2903" s="9" t="n">
        <v>120</v>
      </c>
      <c r="H2903" t="inlineStr">
        <is>
          <t>customer_payment</t>
        </is>
      </c>
      <c r="I2903" t="inlineStr"/>
      <c r="J2903" t="inlineStr">
        <is>
          <t>G00055</t>
        </is>
      </c>
      <c r="K2903" t="str">
        <f>INDEX('Match Groups'!$D$5:$D$1326,MATCH(J2903,'Match Groups'!$A$5:$A$1326,0))</f>
        <v>STRIPE-FEE</v>
      </c>
    </row>
    <row r="2904">
      <c r="A2904" t="inlineStr">
        <is>
          <t>JI-02978</t>
        </is>
      </c>
      <c r="B2904" t="inlineStr">
        <is>
          <t>OPS</t>
        </is>
      </c>
      <c r="C2904" s="5" t="n">
        <v>46259</v>
      </c>
      <c r="D2904" t="inlineStr">
        <is>
          <t>Stripe patient 19446</t>
        </is>
      </c>
      <c r="E2904" t="inlineStr">
        <is>
          <t>INV/2026/04822</t>
        </is>
      </c>
      <c r="F2904" t="inlineStr">
        <is>
          <t>Customer payment INV/2026/04822</t>
        </is>
      </c>
      <c r="G2904" s="9" t="n">
        <v>95</v>
      </c>
      <c r="H2904" t="inlineStr">
        <is>
          <t>customer_payment</t>
        </is>
      </c>
      <c r="I2904" t="inlineStr"/>
      <c r="J2904" t="inlineStr">
        <is>
          <t>G00055</t>
        </is>
      </c>
      <c r="K2904" t="str">
        <f>INDEX('Match Groups'!$D$5:$D$1326,MATCH(J2904,'Match Groups'!$A$5:$A$1326,0))</f>
        <v>STRIPE-FEE</v>
      </c>
    </row>
    <row r="2905">
      <c r="A2905" t="inlineStr">
        <is>
          <t>JI-01071</t>
        </is>
      </c>
      <c r="B2905" t="inlineStr">
        <is>
          <t>OPS</t>
        </is>
      </c>
      <c r="C2905" s="5" t="n">
        <v>46260</v>
      </c>
      <c r="D2905" t="inlineStr">
        <is>
          <t>Riverbend Plan Partners</t>
        </is>
      </c>
      <c r="E2905" t="inlineStr">
        <is>
          <t>INV/2026/02713</t>
        </is>
      </c>
      <c r="F2905" t="inlineStr">
        <is>
          <t>Customer payment INV/2026/02713</t>
        </is>
      </c>
      <c r="G2905" s="9" t="n">
        <v>96.98999999999999</v>
      </c>
      <c r="H2905" t="inlineStr">
        <is>
          <t>customer_payment</t>
        </is>
      </c>
      <c r="I2905" t="inlineStr"/>
      <c r="J2905" t="inlineStr">
        <is>
          <t>G00347</t>
        </is>
      </c>
      <c r="K2905" t="str">
        <f>INDEX('Match Groups'!$D$5:$D$1326,MATCH(J2905,'Match Groups'!$A$5:$A$1326,0))</f>
        <v>MATCH</v>
      </c>
    </row>
    <row r="2906">
      <c r="A2906" t="inlineStr">
        <is>
          <t>JI-01072</t>
        </is>
      </c>
      <c r="B2906" t="inlineStr">
        <is>
          <t>OPS</t>
        </is>
      </c>
      <c r="C2906" s="5" t="n">
        <v>46260</v>
      </c>
      <c r="D2906" t="inlineStr">
        <is>
          <t>Riverbend Plan Partners</t>
        </is>
      </c>
      <c r="E2906" t="inlineStr">
        <is>
          <t>INV/2026/02739</t>
        </is>
      </c>
      <c r="F2906" t="inlineStr">
        <is>
          <t>Customer payment INV/2026/02739</t>
        </is>
      </c>
      <c r="G2906" s="9" t="n">
        <v>145.49</v>
      </c>
      <c r="H2906" t="inlineStr">
        <is>
          <t>customer_payment</t>
        </is>
      </c>
      <c r="I2906" t="inlineStr"/>
      <c r="J2906" t="inlineStr">
        <is>
          <t>G00347</t>
        </is>
      </c>
      <c r="K2906" t="str">
        <f>INDEX('Match Groups'!$D$5:$D$1326,MATCH(J2906,'Match Groups'!$A$5:$A$1326,0))</f>
        <v>MATCH</v>
      </c>
    </row>
    <row r="2907">
      <c r="A2907" t="inlineStr">
        <is>
          <t>JI-01073</t>
        </is>
      </c>
      <c r="B2907" t="inlineStr">
        <is>
          <t>OPS</t>
        </is>
      </c>
      <c r="C2907" s="5" t="n">
        <v>46260</v>
      </c>
      <c r="D2907" t="inlineStr">
        <is>
          <t>Riverbend Plan Partners</t>
        </is>
      </c>
      <c r="E2907" t="inlineStr">
        <is>
          <t>INV/2026/02757</t>
        </is>
      </c>
      <c r="F2907" t="inlineStr">
        <is>
          <t>Customer payment INV/2026/02757</t>
        </is>
      </c>
      <c r="G2907" s="9" t="n">
        <v>242.49</v>
      </c>
      <c r="H2907" t="inlineStr">
        <is>
          <t>customer_payment</t>
        </is>
      </c>
      <c r="I2907" t="inlineStr"/>
      <c r="J2907" t="inlineStr">
        <is>
          <t>G00347</t>
        </is>
      </c>
      <c r="K2907" t="str">
        <f>INDEX('Match Groups'!$D$5:$D$1326,MATCH(J2907,'Match Groups'!$A$5:$A$1326,0))</f>
        <v>MATCH</v>
      </c>
    </row>
    <row r="2908">
      <c r="A2908" t="inlineStr">
        <is>
          <t>JI-01074</t>
        </is>
      </c>
      <c r="B2908" t="inlineStr">
        <is>
          <t>OPS</t>
        </is>
      </c>
      <c r="C2908" s="5" t="n">
        <v>46260</v>
      </c>
      <c r="D2908" t="inlineStr">
        <is>
          <t>Clearpath NDIS Plans</t>
        </is>
      </c>
      <c r="E2908" t="inlineStr">
        <is>
          <t>INV/2026/02781</t>
        </is>
      </c>
      <c r="F2908" t="inlineStr">
        <is>
          <t>Customer payment INV/2026/02781</t>
        </is>
      </c>
      <c r="G2908" s="9" t="n">
        <v>96.98999999999999</v>
      </c>
      <c r="H2908" t="inlineStr">
        <is>
          <t>customer_payment</t>
        </is>
      </c>
      <c r="I2908" t="inlineStr"/>
      <c r="J2908" t="inlineStr">
        <is>
          <t>G00348</t>
        </is>
      </c>
      <c r="K2908" t="str">
        <f>INDEX('Match Groups'!$D$5:$D$1326,MATCH(J2908,'Match Groups'!$A$5:$A$1326,0))</f>
        <v>MATCH</v>
      </c>
    </row>
    <row r="2909">
      <c r="A2909" t="inlineStr">
        <is>
          <t>JI-01075</t>
        </is>
      </c>
      <c r="B2909" t="inlineStr">
        <is>
          <t>OPS</t>
        </is>
      </c>
      <c r="C2909" s="5" t="n">
        <v>46260</v>
      </c>
      <c r="D2909" t="inlineStr">
        <is>
          <t>Clearpath NDIS Plans</t>
        </is>
      </c>
      <c r="E2909" t="inlineStr">
        <is>
          <t>INV/2026/02782</t>
        </is>
      </c>
      <c r="F2909" t="inlineStr">
        <is>
          <t>Customer payment INV/2026/02782</t>
        </is>
      </c>
      <c r="G2909" s="9" t="n">
        <v>417.98</v>
      </c>
      <c r="H2909" t="inlineStr">
        <is>
          <t>customer_payment</t>
        </is>
      </c>
      <c r="I2909" t="inlineStr"/>
      <c r="J2909" t="inlineStr">
        <is>
          <t>G00348</t>
        </is>
      </c>
      <c r="K2909" t="str">
        <f>INDEX('Match Groups'!$D$5:$D$1326,MATCH(J2909,'Match Groups'!$A$5:$A$1326,0))</f>
        <v>MATCH</v>
      </c>
    </row>
    <row r="2910">
      <c r="A2910" t="inlineStr">
        <is>
          <t>JI-01076</t>
        </is>
      </c>
      <c r="B2910" t="inlineStr">
        <is>
          <t>OPS</t>
        </is>
      </c>
      <c r="C2910" s="5" t="n">
        <v>46260</v>
      </c>
      <c r="D2910" t="inlineStr">
        <is>
          <t>Wattle Plan Services</t>
        </is>
      </c>
      <c r="E2910" t="inlineStr">
        <is>
          <t>INV/2026/02692</t>
        </is>
      </c>
      <c r="F2910" t="inlineStr">
        <is>
          <t>Customer payment INV/2026/02692</t>
        </is>
      </c>
      <c r="G2910" s="9" t="n">
        <v>203.69</v>
      </c>
      <c r="H2910" t="inlineStr">
        <is>
          <t>customer_payment</t>
        </is>
      </c>
      <c r="I2910" t="inlineStr"/>
      <c r="J2910" t="inlineStr">
        <is>
          <t>G00349</t>
        </is>
      </c>
      <c r="K2910" t="str">
        <f>INDEX('Match Groups'!$D$5:$D$1326,MATCH(J2910,'Match Groups'!$A$5:$A$1326,0))</f>
        <v>MATCH</v>
      </c>
    </row>
    <row r="2911">
      <c r="A2911" t="inlineStr">
        <is>
          <t>JI-01077</t>
        </is>
      </c>
      <c r="B2911" t="inlineStr">
        <is>
          <t>OPS</t>
        </is>
      </c>
      <c r="C2911" s="5" t="n">
        <v>46260</v>
      </c>
      <c r="D2911" t="inlineStr">
        <is>
          <t>Wattle Plan Services</t>
        </is>
      </c>
      <c r="E2911" t="inlineStr">
        <is>
          <t>INV/2026/02718</t>
        </is>
      </c>
      <c r="F2911" t="inlineStr">
        <is>
          <t>Customer payment INV/2026/02718</t>
        </is>
      </c>
      <c r="G2911" s="9" t="n">
        <v>242.49</v>
      </c>
      <c r="H2911" t="inlineStr">
        <is>
          <t>customer_payment</t>
        </is>
      </c>
      <c r="I2911" t="inlineStr"/>
      <c r="J2911" t="inlineStr">
        <is>
          <t>G00349</t>
        </is>
      </c>
      <c r="K2911" t="str">
        <f>INDEX('Match Groups'!$D$5:$D$1326,MATCH(J2911,'Match Groups'!$A$5:$A$1326,0))</f>
        <v>MATCH</v>
      </c>
    </row>
    <row r="2912">
      <c r="A2912" t="inlineStr">
        <is>
          <t>JI-01078</t>
        </is>
      </c>
      <c r="B2912" t="inlineStr">
        <is>
          <t>OPS</t>
        </is>
      </c>
      <c r="C2912" s="5" t="n">
        <v>46260</v>
      </c>
      <c r="D2912" t="inlineStr">
        <is>
          <t>Wattle Plan Services</t>
        </is>
      </c>
      <c r="E2912" t="inlineStr">
        <is>
          <t>INV/2026/02740</t>
        </is>
      </c>
      <c r="F2912" t="inlineStr">
        <is>
          <t>Customer payment INV/2026/02740</t>
        </is>
      </c>
      <c r="G2912" s="9" t="n">
        <v>242.49</v>
      </c>
      <c r="H2912" t="inlineStr">
        <is>
          <t>customer_payment</t>
        </is>
      </c>
      <c r="I2912" t="inlineStr"/>
      <c r="J2912" t="inlineStr">
        <is>
          <t>G00349</t>
        </is>
      </c>
      <c r="K2912" t="str">
        <f>INDEX('Match Groups'!$D$5:$D$1326,MATCH(J2912,'Match Groups'!$A$5:$A$1326,0))</f>
        <v>MATCH</v>
      </c>
    </row>
    <row r="2913">
      <c r="A2913" t="inlineStr">
        <is>
          <t>JI-01079</t>
        </is>
      </c>
      <c r="B2913" t="inlineStr">
        <is>
          <t>OPS</t>
        </is>
      </c>
      <c r="C2913" s="5" t="n">
        <v>46260</v>
      </c>
      <c r="D2913" t="inlineStr">
        <is>
          <t>Wattle Plan Services</t>
        </is>
      </c>
      <c r="E2913" t="inlineStr">
        <is>
          <t>INV/2026/02741</t>
        </is>
      </c>
      <c r="F2913" t="inlineStr">
        <is>
          <t>Customer payment INV/2026/02741</t>
        </is>
      </c>
      <c r="G2913" s="9" t="n">
        <v>272.49</v>
      </c>
      <c r="H2913" t="inlineStr">
        <is>
          <t>customer_payment</t>
        </is>
      </c>
      <c r="I2913" t="inlineStr"/>
      <c r="J2913" t="inlineStr">
        <is>
          <t>G00349</t>
        </is>
      </c>
      <c r="K2913" t="str">
        <f>INDEX('Match Groups'!$D$5:$D$1326,MATCH(J2913,'Match Groups'!$A$5:$A$1326,0))</f>
        <v>MATCH</v>
      </c>
    </row>
    <row r="2914">
      <c r="A2914" t="inlineStr">
        <is>
          <t>JI-01080</t>
        </is>
      </c>
      <c r="B2914" t="inlineStr">
        <is>
          <t>OPS</t>
        </is>
      </c>
      <c r="C2914" s="5" t="n">
        <v>46260</v>
      </c>
      <c r="D2914" t="inlineStr">
        <is>
          <t>Wattle Plan Services</t>
        </is>
      </c>
      <c r="E2914" t="inlineStr">
        <is>
          <t>INV/2026/02761</t>
        </is>
      </c>
      <c r="F2914" t="inlineStr">
        <is>
          <t>Customer payment INV/2026/02761</t>
        </is>
      </c>
      <c r="G2914" s="9" t="n">
        <v>446.18</v>
      </c>
      <c r="H2914" t="inlineStr">
        <is>
          <t>customer_payment</t>
        </is>
      </c>
      <c r="I2914" t="inlineStr"/>
      <c r="J2914" t="inlineStr">
        <is>
          <t>G00349</t>
        </is>
      </c>
      <c r="K2914" t="str">
        <f>INDEX('Match Groups'!$D$5:$D$1326,MATCH(J2914,'Match Groups'!$A$5:$A$1326,0))</f>
        <v>MATCH</v>
      </c>
    </row>
    <row r="2915">
      <c r="A2915" t="inlineStr">
        <is>
          <t>JI-01081</t>
        </is>
      </c>
      <c r="B2915" t="inlineStr">
        <is>
          <t>OPS</t>
        </is>
      </c>
      <c r="C2915" s="5" t="n">
        <v>46260</v>
      </c>
      <c r="D2915" t="inlineStr">
        <is>
          <t>Redgum Plan Admin</t>
        </is>
      </c>
      <c r="E2915" t="inlineStr">
        <is>
          <t>INV/2026/02699</t>
        </is>
      </c>
      <c r="F2915" t="inlineStr">
        <is>
          <t>Customer payment INV/2026/02699</t>
        </is>
      </c>
      <c r="G2915" s="9" t="n">
        <v>96.98999999999999</v>
      </c>
      <c r="H2915" t="inlineStr">
        <is>
          <t>customer_payment</t>
        </is>
      </c>
      <c r="I2915" t="inlineStr"/>
      <c r="J2915" t="inlineStr">
        <is>
          <t>G00350</t>
        </is>
      </c>
      <c r="K2915" t="str">
        <f>INDEX('Match Groups'!$D$5:$D$1326,MATCH(J2915,'Match Groups'!$A$5:$A$1326,0))</f>
        <v>MATCH</v>
      </c>
    </row>
    <row r="2916">
      <c r="A2916" t="inlineStr">
        <is>
          <t>JI-01082</t>
        </is>
      </c>
      <c r="B2916" t="inlineStr">
        <is>
          <t>OPS</t>
        </is>
      </c>
      <c r="C2916" s="5" t="n">
        <v>46260</v>
      </c>
      <c r="D2916" t="inlineStr">
        <is>
          <t>Redgum Plan Admin</t>
        </is>
      </c>
      <c r="E2916" t="inlineStr">
        <is>
          <t>INV/2026/02767</t>
        </is>
      </c>
      <c r="F2916" t="inlineStr">
        <is>
          <t>Customer payment INV/2026/02767</t>
        </is>
      </c>
      <c r="G2916" s="9" t="n">
        <v>193.99</v>
      </c>
      <c r="H2916" t="inlineStr">
        <is>
          <t>customer_payment</t>
        </is>
      </c>
      <c r="I2916" t="inlineStr"/>
      <c r="J2916" t="inlineStr">
        <is>
          <t>G00350</t>
        </is>
      </c>
      <c r="K2916" t="str">
        <f>INDEX('Match Groups'!$D$5:$D$1326,MATCH(J2916,'Match Groups'!$A$5:$A$1326,0))</f>
        <v>MATCH</v>
      </c>
    </row>
    <row r="2917">
      <c r="A2917" t="inlineStr">
        <is>
          <t>JI-01083</t>
        </is>
      </c>
      <c r="B2917" t="inlineStr">
        <is>
          <t>OPS</t>
        </is>
      </c>
      <c r="C2917" s="5" t="n">
        <v>46260</v>
      </c>
      <c r="D2917" t="inlineStr">
        <is>
          <t>Redgum Plan Admin</t>
        </is>
      </c>
      <c r="E2917" t="inlineStr">
        <is>
          <t>INV/2026/02768</t>
        </is>
      </c>
      <c r="F2917" t="inlineStr">
        <is>
          <t>Customer payment INV/2026/02768</t>
        </is>
      </c>
      <c r="G2917" s="9" t="n">
        <v>417.98</v>
      </c>
      <c r="H2917" t="inlineStr">
        <is>
          <t>customer_payment</t>
        </is>
      </c>
      <c r="I2917" t="inlineStr"/>
      <c r="J2917" t="inlineStr">
        <is>
          <t>G00350</t>
        </is>
      </c>
      <c r="K2917" t="str">
        <f>INDEX('Match Groups'!$D$5:$D$1326,MATCH(J2917,'Match Groups'!$A$5:$A$1326,0))</f>
        <v>MATCH</v>
      </c>
    </row>
    <row r="2918">
      <c r="A2918" t="inlineStr">
        <is>
          <t>JI-01084</t>
        </is>
      </c>
      <c r="B2918" t="inlineStr">
        <is>
          <t>OPS</t>
        </is>
      </c>
      <c r="C2918" s="5" t="n">
        <v>46260</v>
      </c>
      <c r="D2918" t="inlineStr">
        <is>
          <t>Redgum Plan Admin</t>
        </is>
      </c>
      <c r="E2918" t="inlineStr">
        <is>
          <t>INV/2026/02769</t>
        </is>
      </c>
      <c r="F2918" t="inlineStr">
        <is>
          <t>Customer payment INV/2026/02769</t>
        </is>
      </c>
      <c r="G2918" s="9" t="n">
        <v>387.98</v>
      </c>
      <c r="H2918" t="inlineStr">
        <is>
          <t>customer_payment</t>
        </is>
      </c>
      <c r="I2918" t="inlineStr"/>
      <c r="J2918" t="inlineStr">
        <is>
          <t>G00350</t>
        </is>
      </c>
      <c r="K2918" t="str">
        <f>INDEX('Match Groups'!$D$5:$D$1326,MATCH(J2918,'Match Groups'!$A$5:$A$1326,0))</f>
        <v>MATCH</v>
      </c>
    </row>
    <row r="2919">
      <c r="A2919" t="inlineStr">
        <is>
          <t>JI-01085</t>
        </is>
      </c>
      <c r="B2919" t="inlineStr">
        <is>
          <t>OPS</t>
        </is>
      </c>
      <c r="C2919" s="5" t="n">
        <v>46260</v>
      </c>
      <c r="D2919" t="inlineStr">
        <is>
          <t>Lyrebird Plan Management</t>
        </is>
      </c>
      <c r="E2919" t="inlineStr">
        <is>
          <t>INV/2026/02600</t>
        </is>
      </c>
      <c r="F2919" t="inlineStr">
        <is>
          <t>Customer payment INV/2026/02600</t>
        </is>
      </c>
      <c r="G2919" s="9" t="n">
        <v>290.98</v>
      </c>
      <c r="H2919" t="inlineStr">
        <is>
          <t>customer_payment</t>
        </is>
      </c>
      <c r="I2919" t="inlineStr"/>
      <c r="J2919" t="inlineStr">
        <is>
          <t>G00351</t>
        </is>
      </c>
      <c r="K2919" t="str">
        <f>INDEX('Match Groups'!$D$5:$D$1326,MATCH(J2919,'Match Groups'!$A$5:$A$1326,0))</f>
        <v>MATCH</v>
      </c>
    </row>
    <row r="2920">
      <c r="A2920" t="inlineStr">
        <is>
          <t>JI-01086</t>
        </is>
      </c>
      <c r="B2920" t="inlineStr">
        <is>
          <t>OPS</t>
        </is>
      </c>
      <c r="C2920" s="5" t="n">
        <v>46260</v>
      </c>
      <c r="D2920" t="inlineStr">
        <is>
          <t>Lyrebird Plan Management</t>
        </is>
      </c>
      <c r="E2920" t="inlineStr">
        <is>
          <t>INV/2026/02677</t>
        </is>
      </c>
      <c r="F2920" t="inlineStr">
        <is>
          <t>Customer payment INV/2026/02677</t>
        </is>
      </c>
      <c r="G2920" s="9" t="n">
        <v>96.98999999999999</v>
      </c>
      <c r="H2920" t="inlineStr">
        <is>
          <t>customer_payment</t>
        </is>
      </c>
      <c r="I2920" t="inlineStr"/>
      <c r="J2920" t="inlineStr">
        <is>
          <t>G00351</t>
        </is>
      </c>
      <c r="K2920" t="str">
        <f>INDEX('Match Groups'!$D$5:$D$1326,MATCH(J2920,'Match Groups'!$A$5:$A$1326,0))</f>
        <v>MATCH</v>
      </c>
    </row>
    <row r="2921">
      <c r="A2921" t="inlineStr">
        <is>
          <t>JI-01087</t>
        </is>
      </c>
      <c r="B2921" t="inlineStr">
        <is>
          <t>OPS</t>
        </is>
      </c>
      <c r="C2921" s="5" t="n">
        <v>46260</v>
      </c>
      <c r="D2921" t="inlineStr">
        <is>
          <t>Lyrebird Plan Management</t>
        </is>
      </c>
      <c r="E2921" t="inlineStr">
        <is>
          <t>INV/2026/02703</t>
        </is>
      </c>
      <c r="F2921" t="inlineStr">
        <is>
          <t>Customer payment INV/2026/02703</t>
        </is>
      </c>
      <c r="G2921" s="9" t="n">
        <v>175.49</v>
      </c>
      <c r="H2921" t="inlineStr">
        <is>
          <t>customer_payment</t>
        </is>
      </c>
      <c r="I2921" t="inlineStr"/>
      <c r="J2921" t="inlineStr">
        <is>
          <t>G00351</t>
        </is>
      </c>
      <c r="K2921" t="str">
        <f>INDEX('Match Groups'!$D$5:$D$1326,MATCH(J2921,'Match Groups'!$A$5:$A$1326,0))</f>
        <v>MATCH</v>
      </c>
    </row>
    <row r="2922">
      <c r="A2922" t="inlineStr">
        <is>
          <t>JI-01088</t>
        </is>
      </c>
      <c r="B2922" t="inlineStr">
        <is>
          <t>OPS</t>
        </is>
      </c>
      <c r="C2922" s="5" t="n">
        <v>46260</v>
      </c>
      <c r="D2922" t="inlineStr">
        <is>
          <t>Lyrebird Plan Management</t>
        </is>
      </c>
      <c r="E2922" t="inlineStr">
        <is>
          <t>INV/2026/02704</t>
        </is>
      </c>
      <c r="F2922" t="inlineStr">
        <is>
          <t>Customer payment INV/2026/02704</t>
        </is>
      </c>
      <c r="G2922" s="9" t="n">
        <v>223.99</v>
      </c>
      <c r="H2922" t="inlineStr">
        <is>
          <t>customer_payment</t>
        </is>
      </c>
      <c r="I2922" t="inlineStr"/>
      <c r="J2922" t="inlineStr">
        <is>
          <t>G00351</t>
        </is>
      </c>
      <c r="K2922" t="str">
        <f>INDEX('Match Groups'!$D$5:$D$1326,MATCH(J2922,'Match Groups'!$A$5:$A$1326,0))</f>
        <v>MATCH</v>
      </c>
    </row>
    <row r="2923">
      <c r="A2923" t="inlineStr">
        <is>
          <t>JI-01089</t>
        </is>
      </c>
      <c r="B2923" t="inlineStr">
        <is>
          <t>OPS</t>
        </is>
      </c>
      <c r="C2923" s="5" t="n">
        <v>46260</v>
      </c>
      <c r="D2923" t="inlineStr">
        <is>
          <t>Lyrebird Plan Management</t>
        </is>
      </c>
      <c r="E2923" t="inlineStr">
        <is>
          <t>INV/2026/02726</t>
        </is>
      </c>
      <c r="F2923" t="inlineStr">
        <is>
          <t>Customer payment INV/2026/02726</t>
        </is>
      </c>
      <c r="G2923" s="9" t="n">
        <v>387.98</v>
      </c>
      <c r="H2923" t="inlineStr">
        <is>
          <t>customer_payment</t>
        </is>
      </c>
      <c r="I2923" t="inlineStr"/>
      <c r="J2923" t="inlineStr">
        <is>
          <t>G00351</t>
        </is>
      </c>
      <c r="K2923" t="str">
        <f>INDEX('Match Groups'!$D$5:$D$1326,MATCH(J2923,'Match Groups'!$A$5:$A$1326,0))</f>
        <v>MATCH</v>
      </c>
    </row>
    <row r="2924">
      <c r="A2924" t="inlineStr">
        <is>
          <t>JI-01090</t>
        </is>
      </c>
      <c r="B2924" t="inlineStr">
        <is>
          <t>OPS</t>
        </is>
      </c>
      <c r="C2924" s="5" t="n">
        <v>46260</v>
      </c>
      <c r="D2924" t="inlineStr">
        <is>
          <t>Lyrebird Plan Management</t>
        </is>
      </c>
      <c r="E2924" t="inlineStr">
        <is>
          <t>INV/2026/02747</t>
        </is>
      </c>
      <c r="F2924" t="inlineStr">
        <is>
          <t>Customer payment INV/2026/02747</t>
        </is>
      </c>
      <c r="G2924" s="9" t="n">
        <v>96.98999999999999</v>
      </c>
      <c r="H2924" t="inlineStr">
        <is>
          <t>customer_payment</t>
        </is>
      </c>
      <c r="I2924" t="inlineStr"/>
      <c r="J2924" t="inlineStr">
        <is>
          <t>G00351</t>
        </is>
      </c>
      <c r="K2924" t="str">
        <f>INDEX('Match Groups'!$D$5:$D$1326,MATCH(J2924,'Match Groups'!$A$5:$A$1326,0))</f>
        <v>MATCH</v>
      </c>
    </row>
    <row r="2925">
      <c r="A2925" t="inlineStr">
        <is>
          <t>JI-01091</t>
        </is>
      </c>
      <c r="B2925" t="inlineStr">
        <is>
          <t>OPS</t>
        </is>
      </c>
      <c r="C2925" s="5" t="n">
        <v>46260</v>
      </c>
      <c r="D2925" t="inlineStr">
        <is>
          <t>Lyrebird Plan Management</t>
        </is>
      </c>
      <c r="E2925" t="inlineStr">
        <is>
          <t>INV/2026/02771</t>
        </is>
      </c>
      <c r="F2925" t="inlineStr">
        <is>
          <t>Customer payment INV/2026/02771</t>
        </is>
      </c>
      <c r="G2925" s="9" t="n">
        <v>242.49</v>
      </c>
      <c r="H2925" t="inlineStr">
        <is>
          <t>customer_payment</t>
        </is>
      </c>
      <c r="I2925" t="inlineStr"/>
      <c r="J2925" t="inlineStr">
        <is>
          <t>G00351</t>
        </is>
      </c>
      <c r="K2925" t="str">
        <f>INDEX('Match Groups'!$D$5:$D$1326,MATCH(J2925,'Match Groups'!$A$5:$A$1326,0))</f>
        <v>MATCH</v>
      </c>
    </row>
    <row r="2926">
      <c r="A2926" t="inlineStr">
        <is>
          <t>JI-01092</t>
        </is>
      </c>
      <c r="B2926" t="inlineStr">
        <is>
          <t>OPS</t>
        </is>
      </c>
      <c r="C2926" s="5" t="n">
        <v>46260</v>
      </c>
      <c r="D2926" t="inlineStr">
        <is>
          <t>Lyrebird Plan Management</t>
        </is>
      </c>
      <c r="E2926" t="inlineStr">
        <is>
          <t>INV/2026/02772</t>
        </is>
      </c>
      <c r="F2926" t="inlineStr">
        <is>
          <t>Customer payment INV/2026/02772</t>
        </is>
      </c>
      <c r="G2926" s="9" t="n">
        <v>417.98</v>
      </c>
      <c r="H2926" t="inlineStr">
        <is>
          <t>customer_payment</t>
        </is>
      </c>
      <c r="I2926" t="inlineStr"/>
      <c r="J2926" t="inlineStr">
        <is>
          <t>G00351</t>
        </is>
      </c>
      <c r="K2926" t="str">
        <f>INDEX('Match Groups'!$D$5:$D$1326,MATCH(J2926,'Match Groups'!$A$5:$A$1326,0))</f>
        <v>MATCH</v>
      </c>
    </row>
    <row r="2927">
      <c r="A2927" t="inlineStr">
        <is>
          <t>JI-01093</t>
        </is>
      </c>
      <c r="B2927" t="inlineStr">
        <is>
          <t>OPS</t>
        </is>
      </c>
      <c r="C2927" s="5" t="n">
        <v>46260</v>
      </c>
      <c r="D2927" t="inlineStr">
        <is>
          <t>Mallee Plan Services</t>
        </is>
      </c>
      <c r="E2927" t="inlineStr">
        <is>
          <t>INV/2026/02795</t>
        </is>
      </c>
      <c r="F2927" t="inlineStr">
        <is>
          <t>Customer payment INV/2026/02795</t>
        </is>
      </c>
      <c r="G2927" s="9" t="n">
        <v>203.69</v>
      </c>
      <c r="H2927" t="inlineStr">
        <is>
          <t>customer_payment</t>
        </is>
      </c>
      <c r="I2927" t="inlineStr"/>
      <c r="J2927" t="inlineStr">
        <is>
          <t>G00352</t>
        </is>
      </c>
      <c r="K2927" t="str">
        <f>INDEX('Match Groups'!$D$5:$D$1326,MATCH(J2927,'Match Groups'!$A$5:$A$1326,0))</f>
        <v>MATCH</v>
      </c>
    </row>
    <row r="2928">
      <c r="A2928" t="inlineStr">
        <is>
          <t>JI-01649</t>
        </is>
      </c>
      <c r="B2928" t="inlineStr">
        <is>
          <t>OPS</t>
        </is>
      </c>
      <c r="C2928" s="5" t="n">
        <v>46260</v>
      </c>
      <c r="D2928" t="inlineStr">
        <is>
          <t>Varga &amp; Holt Logistics</t>
        </is>
      </c>
      <c r="E2928" t="inlineStr">
        <is>
          <t>INV/2026/03463</t>
        </is>
      </c>
      <c r="F2928" t="inlineStr">
        <is>
          <t>Customer payment INV/2026/03463</t>
        </is>
      </c>
      <c r="G2928" s="9" t="n">
        <v>2186.25</v>
      </c>
      <c r="H2928" t="inlineStr">
        <is>
          <t>customer_payment</t>
        </is>
      </c>
      <c r="I2928" t="inlineStr"/>
      <c r="J2928" t="inlineStr">
        <is>
          <t>G01147</t>
        </is>
      </c>
      <c r="K2928" t="str">
        <f>INDEX('Match Groups'!$D$5:$D$1326,MATCH(J2928,'Match Groups'!$A$5:$A$1326,0))</f>
        <v>MATCH</v>
      </c>
    </row>
    <row r="2929">
      <c r="A2929" t="inlineStr">
        <is>
          <t>JI-01652</t>
        </is>
      </c>
      <c r="B2929" t="inlineStr">
        <is>
          <t>OPS</t>
        </is>
      </c>
      <c r="C2929" s="5" t="n">
        <v>46260</v>
      </c>
      <c r="D2929" t="inlineStr">
        <is>
          <t>Kestrel Lane Foods</t>
        </is>
      </c>
      <c r="E2929" t="inlineStr">
        <is>
          <t>INV/2026/03465</t>
        </is>
      </c>
      <c r="F2929" t="inlineStr">
        <is>
          <t>Customer payment INV/2026/03465</t>
        </is>
      </c>
      <c r="G2929" s="9" t="n">
        <v>3465</v>
      </c>
      <c r="H2929" t="inlineStr">
        <is>
          <t>customer_payment</t>
        </is>
      </c>
      <c r="I2929" t="inlineStr"/>
      <c r="J2929" t="inlineStr">
        <is>
          <t>G01148</t>
        </is>
      </c>
      <c r="K2929" t="str">
        <f>INDEX('Match Groups'!$D$5:$D$1326,MATCH(J2929,'Match Groups'!$A$5:$A$1326,0))</f>
        <v>MATCH</v>
      </c>
    </row>
    <row r="2930">
      <c r="A2930" t="inlineStr">
        <is>
          <t>JI-01656</t>
        </is>
      </c>
      <c r="B2930" t="inlineStr">
        <is>
          <t>OPS</t>
        </is>
      </c>
      <c r="C2930" s="5" t="n">
        <v>46260</v>
      </c>
      <c r="D2930" t="inlineStr">
        <is>
          <t>Brightwater Civil Pty Ltd</t>
        </is>
      </c>
      <c r="E2930" t="inlineStr">
        <is>
          <t>INV/2026/03466</t>
        </is>
      </c>
      <c r="F2930" t="inlineStr">
        <is>
          <t>Customer payment INV/2026/03466</t>
        </is>
      </c>
      <c r="G2930" s="9" t="n">
        <v>2117.5</v>
      </c>
      <c r="H2930" t="inlineStr">
        <is>
          <t>customer_payment</t>
        </is>
      </c>
      <c r="I2930" t="inlineStr"/>
      <c r="J2930" t="inlineStr">
        <is>
          <t>G01021</t>
        </is>
      </c>
      <c r="K2930" t="str">
        <f>INDEX('Match Groups'!$D$5:$D$1326,MATCH(J2930,'Match Groups'!$A$5:$A$1326,0))</f>
        <v>MATCH</v>
      </c>
    </row>
    <row r="2931">
      <c r="A2931" t="inlineStr">
        <is>
          <t>JI-01737</t>
        </is>
      </c>
      <c r="B2931" t="inlineStr">
        <is>
          <t>OPS</t>
        </is>
      </c>
      <c r="C2931" s="5" t="n">
        <v>46260</v>
      </c>
      <c r="D2931" t="inlineStr">
        <is>
          <t>Jarrah Ridge Estates</t>
        </is>
      </c>
      <c r="E2931" t="inlineStr">
        <is>
          <t>INV/2026/03501</t>
        </is>
      </c>
      <c r="F2931" t="inlineStr">
        <is>
          <t>Customer payment INV/2026/03501</t>
        </is>
      </c>
      <c r="G2931" s="9" t="n">
        <v>2722.5</v>
      </c>
      <c r="H2931" t="inlineStr">
        <is>
          <t>customer_payment</t>
        </is>
      </c>
      <c r="I2931" t="inlineStr"/>
      <c r="J2931" t="inlineStr">
        <is>
          <t>G01023</t>
        </is>
      </c>
      <c r="K2931" t="str">
        <f>INDEX('Match Groups'!$D$5:$D$1326,MATCH(J2931,'Match Groups'!$A$5:$A$1326,0))</f>
        <v>MATCH</v>
      </c>
    </row>
    <row r="2932">
      <c r="A2932" t="inlineStr">
        <is>
          <t>JI-02979</t>
        </is>
      </c>
      <c r="B2932" t="inlineStr">
        <is>
          <t>OPS</t>
        </is>
      </c>
      <c r="C2932" s="5" t="n">
        <v>46260</v>
      </c>
      <c r="D2932" t="inlineStr">
        <is>
          <t>Stripe patient 12636</t>
        </is>
      </c>
      <c r="E2932" t="inlineStr">
        <is>
          <t>INV/2026/04823</t>
        </is>
      </c>
      <c r="F2932" t="inlineStr">
        <is>
          <t>Customer payment INV/2026/04823</t>
        </is>
      </c>
      <c r="G2932" s="9" t="n">
        <v>135</v>
      </c>
      <c r="H2932" t="inlineStr">
        <is>
          <t>customer_payment</t>
        </is>
      </c>
      <c r="I2932" t="inlineStr"/>
      <c r="J2932" t="inlineStr">
        <is>
          <t>G00056</t>
        </is>
      </c>
      <c r="K2932" t="str">
        <f>INDEX('Match Groups'!$D$5:$D$1326,MATCH(J2932,'Match Groups'!$A$5:$A$1326,0))</f>
        <v>STRIPE-FEE</v>
      </c>
    </row>
    <row r="2933">
      <c r="A2933" t="inlineStr">
        <is>
          <t>JI-02980</t>
        </is>
      </c>
      <c r="B2933" t="inlineStr">
        <is>
          <t>OPS</t>
        </is>
      </c>
      <c r="C2933" s="5" t="n">
        <v>46260</v>
      </c>
      <c r="D2933" t="inlineStr">
        <is>
          <t>Stripe patient 10048</t>
        </is>
      </c>
      <c r="E2933" t="inlineStr">
        <is>
          <t>INV/2026/04824</t>
        </is>
      </c>
      <c r="F2933" t="inlineStr">
        <is>
          <t>Customer payment INV/2026/04824</t>
        </is>
      </c>
      <c r="G2933" s="9" t="n">
        <v>65</v>
      </c>
      <c r="H2933" t="inlineStr">
        <is>
          <t>customer_payment</t>
        </is>
      </c>
      <c r="I2933" t="inlineStr"/>
      <c r="J2933" t="inlineStr">
        <is>
          <t>G00056</t>
        </is>
      </c>
      <c r="K2933" t="str">
        <f>INDEX('Match Groups'!$D$5:$D$1326,MATCH(J2933,'Match Groups'!$A$5:$A$1326,0))</f>
        <v>STRIPE-FEE</v>
      </c>
    </row>
    <row r="2934">
      <c r="A2934" t="inlineStr">
        <is>
          <t>JI-02981</t>
        </is>
      </c>
      <c r="B2934" t="inlineStr">
        <is>
          <t>OPS</t>
        </is>
      </c>
      <c r="C2934" s="5" t="n">
        <v>46260</v>
      </c>
      <c r="D2934" t="inlineStr">
        <is>
          <t>Stripe patient 72461</t>
        </is>
      </c>
      <c r="E2934" t="inlineStr">
        <is>
          <t>INV/2026/04825</t>
        </is>
      </c>
      <c r="F2934" t="inlineStr">
        <is>
          <t>Customer payment INV/2026/04825</t>
        </is>
      </c>
      <c r="G2934" s="9" t="n">
        <v>150</v>
      </c>
      <c r="H2934" t="inlineStr">
        <is>
          <t>customer_payment</t>
        </is>
      </c>
      <c r="I2934" t="inlineStr"/>
      <c r="J2934" t="inlineStr">
        <is>
          <t>G00056</t>
        </is>
      </c>
      <c r="K2934" t="str">
        <f>INDEX('Match Groups'!$D$5:$D$1326,MATCH(J2934,'Match Groups'!$A$5:$A$1326,0))</f>
        <v>STRIPE-FEE</v>
      </c>
    </row>
    <row r="2935">
      <c r="A2935" t="inlineStr">
        <is>
          <t>JI-02982</t>
        </is>
      </c>
      <c r="B2935" t="inlineStr">
        <is>
          <t>OPS</t>
        </is>
      </c>
      <c r="C2935" s="5" t="n">
        <v>46260</v>
      </c>
      <c r="D2935" t="inlineStr">
        <is>
          <t>Stripe patient 75940</t>
        </is>
      </c>
      <c r="E2935" t="inlineStr">
        <is>
          <t>INV/2026/04826</t>
        </is>
      </c>
      <c r="F2935" t="inlineStr">
        <is>
          <t>Customer payment INV/2026/04826</t>
        </is>
      </c>
      <c r="G2935" s="9" t="n">
        <v>65</v>
      </c>
      <c r="H2935" t="inlineStr">
        <is>
          <t>customer_payment</t>
        </is>
      </c>
      <c r="I2935" t="inlineStr"/>
      <c r="J2935" t="inlineStr">
        <is>
          <t>G00056</t>
        </is>
      </c>
      <c r="K2935" t="str">
        <f>INDEX('Match Groups'!$D$5:$D$1326,MATCH(J2935,'Match Groups'!$A$5:$A$1326,0))</f>
        <v>STRIPE-FEE</v>
      </c>
    </row>
    <row r="2936">
      <c r="A2936" t="inlineStr">
        <is>
          <t>JI-02983</t>
        </is>
      </c>
      <c r="B2936" t="inlineStr">
        <is>
          <t>OPS</t>
        </is>
      </c>
      <c r="C2936" s="5" t="n">
        <v>46260</v>
      </c>
      <c r="D2936" t="inlineStr">
        <is>
          <t>Stripe patient 27466</t>
        </is>
      </c>
      <c r="E2936" t="inlineStr">
        <is>
          <t>INV/2026/04827</t>
        </is>
      </c>
      <c r="F2936" t="inlineStr">
        <is>
          <t>Customer payment INV/2026/04827</t>
        </is>
      </c>
      <c r="G2936" s="9" t="n">
        <v>180</v>
      </c>
      <c r="H2936" t="inlineStr">
        <is>
          <t>customer_payment</t>
        </is>
      </c>
      <c r="I2936" t="inlineStr"/>
      <c r="J2936" t="inlineStr">
        <is>
          <t>G00056</t>
        </is>
      </c>
      <c r="K2936" t="str">
        <f>INDEX('Match Groups'!$D$5:$D$1326,MATCH(J2936,'Match Groups'!$A$5:$A$1326,0))</f>
        <v>STRIPE-FEE</v>
      </c>
    </row>
    <row r="2937">
      <c r="A2937" t="inlineStr">
        <is>
          <t>JI-02984</t>
        </is>
      </c>
      <c r="B2937" t="inlineStr">
        <is>
          <t>OPS</t>
        </is>
      </c>
      <c r="C2937" s="5" t="n">
        <v>46260</v>
      </c>
      <c r="D2937" t="inlineStr">
        <is>
          <t>Stripe patient 52614</t>
        </is>
      </c>
      <c r="E2937" t="inlineStr">
        <is>
          <t>INV/2026/04828</t>
        </is>
      </c>
      <c r="F2937" t="inlineStr">
        <is>
          <t>Customer payment INV/2026/04828</t>
        </is>
      </c>
      <c r="G2937" s="9" t="n">
        <v>95</v>
      </c>
      <c r="H2937" t="inlineStr">
        <is>
          <t>customer_payment</t>
        </is>
      </c>
      <c r="I2937" t="inlineStr"/>
      <c r="J2937" t="inlineStr">
        <is>
          <t>G00056</t>
        </is>
      </c>
      <c r="K2937" t="str">
        <f>INDEX('Match Groups'!$D$5:$D$1326,MATCH(J2937,'Match Groups'!$A$5:$A$1326,0))</f>
        <v>STRIPE-FEE</v>
      </c>
    </row>
    <row r="2938">
      <c r="A2938" t="inlineStr">
        <is>
          <t>JI-02985</t>
        </is>
      </c>
      <c r="B2938" t="inlineStr">
        <is>
          <t>OPS</t>
        </is>
      </c>
      <c r="C2938" s="5" t="n">
        <v>46260</v>
      </c>
      <c r="D2938" t="inlineStr">
        <is>
          <t>Stripe patient 54246</t>
        </is>
      </c>
      <c r="E2938" t="inlineStr">
        <is>
          <t>INV/2026/04829</t>
        </is>
      </c>
      <c r="F2938" t="inlineStr">
        <is>
          <t>Customer payment INV/2026/04829</t>
        </is>
      </c>
      <c r="G2938" s="9" t="n">
        <v>95</v>
      </c>
      <c r="H2938" t="inlineStr">
        <is>
          <t>customer_payment</t>
        </is>
      </c>
      <c r="I2938" t="inlineStr"/>
      <c r="J2938" t="inlineStr">
        <is>
          <t>G00056</t>
        </is>
      </c>
      <c r="K2938" t="str">
        <f>INDEX('Match Groups'!$D$5:$D$1326,MATCH(J2938,'Match Groups'!$A$5:$A$1326,0))</f>
        <v>STRIPE-FEE</v>
      </c>
    </row>
    <row r="2939">
      <c r="A2939" t="inlineStr">
        <is>
          <t>JI-02986</t>
        </is>
      </c>
      <c r="B2939" t="inlineStr">
        <is>
          <t>OPS</t>
        </is>
      </c>
      <c r="C2939" s="5" t="n">
        <v>46260</v>
      </c>
      <c r="D2939" t="inlineStr">
        <is>
          <t>Stripe patient 17911</t>
        </is>
      </c>
      <c r="E2939" t="inlineStr">
        <is>
          <t>INV/2026/04830</t>
        </is>
      </c>
      <c r="F2939" t="inlineStr">
        <is>
          <t>Customer payment INV/2026/04830</t>
        </is>
      </c>
      <c r="G2939" s="9" t="n">
        <v>65</v>
      </c>
      <c r="H2939" t="inlineStr">
        <is>
          <t>customer_payment</t>
        </is>
      </c>
      <c r="I2939" t="inlineStr"/>
      <c r="J2939" t="inlineStr">
        <is>
          <t>G00056</t>
        </is>
      </c>
      <c r="K2939" t="str">
        <f>INDEX('Match Groups'!$D$5:$D$1326,MATCH(J2939,'Match Groups'!$A$5:$A$1326,0))</f>
        <v>STRIPE-FEE</v>
      </c>
    </row>
    <row r="2940">
      <c r="A2940" t="inlineStr">
        <is>
          <t>JI-02987</t>
        </is>
      </c>
      <c r="B2940" t="inlineStr">
        <is>
          <t>OPS</t>
        </is>
      </c>
      <c r="C2940" s="5" t="n">
        <v>46260</v>
      </c>
      <c r="D2940" t="inlineStr">
        <is>
          <t>Stripe patient 38561</t>
        </is>
      </c>
      <c r="E2940" t="inlineStr">
        <is>
          <t>INV/2026/04831</t>
        </is>
      </c>
      <c r="F2940" t="inlineStr">
        <is>
          <t>Customer payment INV/2026/04831</t>
        </is>
      </c>
      <c r="G2940" s="9" t="n">
        <v>220</v>
      </c>
      <c r="H2940" t="inlineStr">
        <is>
          <t>customer_payment</t>
        </is>
      </c>
      <c r="I2940" t="inlineStr"/>
      <c r="J2940" t="inlineStr">
        <is>
          <t>G00056</t>
        </is>
      </c>
      <c r="K2940" t="str">
        <f>INDEX('Match Groups'!$D$5:$D$1326,MATCH(J2940,'Match Groups'!$A$5:$A$1326,0))</f>
        <v>STRIPE-FEE</v>
      </c>
    </row>
    <row r="2941">
      <c r="A2941" t="inlineStr">
        <is>
          <t>JI-02988</t>
        </is>
      </c>
      <c r="B2941" t="inlineStr">
        <is>
          <t>OPS</t>
        </is>
      </c>
      <c r="C2941" s="5" t="n">
        <v>46260</v>
      </c>
      <c r="D2941" t="inlineStr">
        <is>
          <t>Stripe patient 70571</t>
        </is>
      </c>
      <c r="E2941" t="inlineStr">
        <is>
          <t>INV/2026/04832</t>
        </is>
      </c>
      <c r="F2941" t="inlineStr">
        <is>
          <t>Customer payment INV/2026/04832</t>
        </is>
      </c>
      <c r="G2941" s="9" t="n">
        <v>110</v>
      </c>
      <c r="H2941" t="inlineStr">
        <is>
          <t>customer_payment</t>
        </is>
      </c>
      <c r="I2941" t="inlineStr"/>
      <c r="J2941" t="inlineStr">
        <is>
          <t>G00056</t>
        </is>
      </c>
      <c r="K2941" t="str">
        <f>INDEX('Match Groups'!$D$5:$D$1326,MATCH(J2941,'Match Groups'!$A$5:$A$1326,0))</f>
        <v>STRIPE-FEE</v>
      </c>
    </row>
    <row r="2942">
      <c r="A2942" t="inlineStr">
        <is>
          <t>JI-02989</t>
        </is>
      </c>
      <c r="B2942" t="inlineStr">
        <is>
          <t>OPS</t>
        </is>
      </c>
      <c r="C2942" s="5" t="n">
        <v>46260</v>
      </c>
      <c r="D2942" t="inlineStr">
        <is>
          <t>Stripe patient 13933</t>
        </is>
      </c>
      <c r="E2942" t="inlineStr">
        <is>
          <t>INV/2026/04833</t>
        </is>
      </c>
      <c r="F2942" t="inlineStr">
        <is>
          <t>Customer payment INV/2026/04833</t>
        </is>
      </c>
      <c r="G2942" s="9" t="n">
        <v>135</v>
      </c>
      <c r="H2942" t="inlineStr">
        <is>
          <t>customer_payment</t>
        </is>
      </c>
      <c r="I2942" t="inlineStr"/>
      <c r="J2942" t="inlineStr">
        <is>
          <t>G00056</t>
        </is>
      </c>
      <c r="K2942" t="str">
        <f>INDEX('Match Groups'!$D$5:$D$1326,MATCH(J2942,'Match Groups'!$A$5:$A$1326,0))</f>
        <v>STRIPE-FEE</v>
      </c>
    </row>
    <row r="2943">
      <c r="A2943" t="inlineStr">
        <is>
          <t>JI-02990</t>
        </is>
      </c>
      <c r="B2943" t="inlineStr">
        <is>
          <t>OPS</t>
        </is>
      </c>
      <c r="C2943" s="5" t="n">
        <v>46260</v>
      </c>
      <c r="D2943" t="inlineStr">
        <is>
          <t>Stripe patient 78592</t>
        </is>
      </c>
      <c r="E2943" t="inlineStr">
        <is>
          <t>INV/2026/04834</t>
        </is>
      </c>
      <c r="F2943" t="inlineStr">
        <is>
          <t>Customer payment INV/2026/04834</t>
        </is>
      </c>
      <c r="G2943" s="9" t="n">
        <v>85</v>
      </c>
      <c r="H2943" t="inlineStr">
        <is>
          <t>customer_payment</t>
        </is>
      </c>
      <c r="I2943" t="inlineStr"/>
      <c r="J2943" t="inlineStr">
        <is>
          <t>G00056</t>
        </is>
      </c>
      <c r="K2943" t="str">
        <f>INDEX('Match Groups'!$D$5:$D$1326,MATCH(J2943,'Match Groups'!$A$5:$A$1326,0))</f>
        <v>STRIPE-FEE</v>
      </c>
    </row>
    <row r="2944">
      <c r="A2944" t="inlineStr">
        <is>
          <t>JI-02991</t>
        </is>
      </c>
      <c r="B2944" t="inlineStr">
        <is>
          <t>OPS</t>
        </is>
      </c>
      <c r="C2944" s="5" t="n">
        <v>46260</v>
      </c>
      <c r="D2944" t="inlineStr">
        <is>
          <t>Stripe patient 17262</t>
        </is>
      </c>
      <c r="E2944" t="inlineStr">
        <is>
          <t>INV/2026/04835</t>
        </is>
      </c>
      <c r="F2944" t="inlineStr">
        <is>
          <t>Customer payment INV/2026/04835</t>
        </is>
      </c>
      <c r="G2944" s="9" t="n">
        <v>65</v>
      </c>
      <c r="H2944" t="inlineStr">
        <is>
          <t>customer_payment</t>
        </is>
      </c>
      <c r="I2944" t="inlineStr"/>
      <c r="J2944" t="inlineStr">
        <is>
          <t>G00056</t>
        </is>
      </c>
      <c r="K2944" t="str">
        <f>INDEX('Match Groups'!$D$5:$D$1326,MATCH(J2944,'Match Groups'!$A$5:$A$1326,0))</f>
        <v>STRIPE-FEE</v>
      </c>
    </row>
    <row r="2945">
      <c r="A2945" t="inlineStr">
        <is>
          <t>JI-02992</t>
        </is>
      </c>
      <c r="B2945" t="inlineStr">
        <is>
          <t>OPS</t>
        </is>
      </c>
      <c r="C2945" s="5" t="n">
        <v>46260</v>
      </c>
      <c r="D2945" t="inlineStr">
        <is>
          <t>Stripe patient 45812</t>
        </is>
      </c>
      <c r="E2945" t="inlineStr">
        <is>
          <t>INV/2026/04836</t>
        </is>
      </c>
      <c r="F2945" t="inlineStr">
        <is>
          <t>Customer payment INV/2026/04836</t>
        </is>
      </c>
      <c r="G2945" s="9" t="n">
        <v>220</v>
      </c>
      <c r="H2945" t="inlineStr">
        <is>
          <t>customer_payment</t>
        </is>
      </c>
      <c r="I2945" t="inlineStr"/>
      <c r="J2945" t="inlineStr">
        <is>
          <t>G00056</t>
        </is>
      </c>
      <c r="K2945" t="str">
        <f>INDEX('Match Groups'!$D$5:$D$1326,MATCH(J2945,'Match Groups'!$A$5:$A$1326,0))</f>
        <v>STRIPE-FEE</v>
      </c>
    </row>
    <row r="2946">
      <c r="A2946" t="inlineStr">
        <is>
          <t>JI-02993</t>
        </is>
      </c>
      <c r="B2946" t="inlineStr">
        <is>
          <t>OPS</t>
        </is>
      </c>
      <c r="C2946" s="5" t="n">
        <v>46260</v>
      </c>
      <c r="D2946" t="inlineStr">
        <is>
          <t>Stripe patient 73452</t>
        </is>
      </c>
      <c r="E2946" t="inlineStr">
        <is>
          <t>INV/2026/04837</t>
        </is>
      </c>
      <c r="F2946" t="inlineStr">
        <is>
          <t>Customer payment INV/2026/04837</t>
        </is>
      </c>
      <c r="G2946" s="9" t="n">
        <v>110</v>
      </c>
      <c r="H2946" t="inlineStr">
        <is>
          <t>customer_payment</t>
        </is>
      </c>
      <c r="I2946" t="inlineStr"/>
      <c r="J2946" t="inlineStr">
        <is>
          <t>G00056</t>
        </is>
      </c>
      <c r="K2946" t="str">
        <f>INDEX('Match Groups'!$D$5:$D$1326,MATCH(J2946,'Match Groups'!$A$5:$A$1326,0))</f>
        <v>STRIPE-FEE</v>
      </c>
    </row>
    <row r="2947">
      <c r="A2947" t="inlineStr">
        <is>
          <t>JI-02994</t>
        </is>
      </c>
      <c r="B2947" t="inlineStr">
        <is>
          <t>OPS</t>
        </is>
      </c>
      <c r="C2947" s="5" t="n">
        <v>46260</v>
      </c>
      <c r="D2947" t="inlineStr">
        <is>
          <t>Stripe patient 50019</t>
        </is>
      </c>
      <c r="E2947" t="inlineStr">
        <is>
          <t>INV/2026/04838</t>
        </is>
      </c>
      <c r="F2947" t="inlineStr">
        <is>
          <t>Customer payment INV/2026/04838</t>
        </is>
      </c>
      <c r="G2947" s="9" t="n">
        <v>110</v>
      </c>
      <c r="H2947" t="inlineStr">
        <is>
          <t>customer_payment</t>
        </is>
      </c>
      <c r="I2947" t="inlineStr"/>
      <c r="J2947" t="inlineStr">
        <is>
          <t>G00056</t>
        </is>
      </c>
      <c r="K2947" t="str">
        <f>INDEX('Match Groups'!$D$5:$D$1326,MATCH(J2947,'Match Groups'!$A$5:$A$1326,0))</f>
        <v>STRIPE-FEE</v>
      </c>
    </row>
    <row r="2948">
      <c r="A2948" t="inlineStr">
        <is>
          <t>JI-02995</t>
        </is>
      </c>
      <c r="B2948" t="inlineStr">
        <is>
          <t>OPS</t>
        </is>
      </c>
      <c r="C2948" s="5" t="n">
        <v>46260</v>
      </c>
      <c r="D2948" t="inlineStr">
        <is>
          <t>Stripe patient 77227</t>
        </is>
      </c>
      <c r="E2948" t="inlineStr">
        <is>
          <t>INV/2026/04839</t>
        </is>
      </c>
      <c r="F2948" t="inlineStr">
        <is>
          <t>Customer payment INV/2026/04839</t>
        </is>
      </c>
      <c r="G2948" s="9" t="n">
        <v>65</v>
      </c>
      <c r="H2948" t="inlineStr">
        <is>
          <t>customer_payment</t>
        </is>
      </c>
      <c r="I2948" t="inlineStr"/>
      <c r="J2948" t="inlineStr">
        <is>
          <t>G00056</t>
        </is>
      </c>
      <c r="K2948" t="str">
        <f>INDEX('Match Groups'!$D$5:$D$1326,MATCH(J2948,'Match Groups'!$A$5:$A$1326,0))</f>
        <v>STRIPE-FEE</v>
      </c>
    </row>
    <row r="2949">
      <c r="A2949" t="inlineStr">
        <is>
          <t>JI-02996</t>
        </is>
      </c>
      <c r="B2949" t="inlineStr">
        <is>
          <t>OPS</t>
        </is>
      </c>
      <c r="C2949" s="5" t="n">
        <v>46260</v>
      </c>
      <c r="D2949" t="inlineStr">
        <is>
          <t>Stripe patient 64628</t>
        </is>
      </c>
      <c r="E2949" t="inlineStr">
        <is>
          <t>INV/2026/04840</t>
        </is>
      </c>
      <c r="F2949" t="inlineStr">
        <is>
          <t>Customer payment INV/2026/04840</t>
        </is>
      </c>
      <c r="G2949" s="9" t="n">
        <v>135</v>
      </c>
      <c r="H2949" t="inlineStr">
        <is>
          <t>customer_payment</t>
        </is>
      </c>
      <c r="I2949" t="inlineStr"/>
      <c r="J2949" t="inlineStr">
        <is>
          <t>G00056</t>
        </is>
      </c>
      <c r="K2949" t="str">
        <f>INDEX('Match Groups'!$D$5:$D$1326,MATCH(J2949,'Match Groups'!$A$5:$A$1326,0))</f>
        <v>STRIPE-FEE</v>
      </c>
    </row>
    <row r="2950">
      <c r="A2950" t="inlineStr">
        <is>
          <t>JI-02997</t>
        </is>
      </c>
      <c r="B2950" t="inlineStr">
        <is>
          <t>OPS</t>
        </is>
      </c>
      <c r="C2950" s="5" t="n">
        <v>46260</v>
      </c>
      <c r="D2950" t="inlineStr">
        <is>
          <t>Stripe patient 40890</t>
        </is>
      </c>
      <c r="E2950" t="inlineStr">
        <is>
          <t>INV/2026/04841</t>
        </is>
      </c>
      <c r="F2950" t="inlineStr">
        <is>
          <t>Customer payment INV/2026/04841</t>
        </is>
      </c>
      <c r="G2950" s="9" t="n">
        <v>135</v>
      </c>
      <c r="H2950" t="inlineStr">
        <is>
          <t>customer_payment</t>
        </is>
      </c>
      <c r="I2950" t="inlineStr"/>
      <c r="J2950" t="inlineStr">
        <is>
          <t>G00056</t>
        </is>
      </c>
      <c r="K2950" t="str">
        <f>INDEX('Match Groups'!$D$5:$D$1326,MATCH(J2950,'Match Groups'!$A$5:$A$1326,0))</f>
        <v>STRIPE-FEE</v>
      </c>
    </row>
    <row r="2951">
      <c r="A2951" t="inlineStr">
        <is>
          <t>JI-02998</t>
        </is>
      </c>
      <c r="B2951" t="inlineStr">
        <is>
          <t>OPS</t>
        </is>
      </c>
      <c r="C2951" s="5" t="n">
        <v>46260</v>
      </c>
      <c r="D2951" t="inlineStr">
        <is>
          <t>Stripe patient 23290</t>
        </is>
      </c>
      <c r="E2951" t="inlineStr">
        <is>
          <t>INV/2026/04842</t>
        </is>
      </c>
      <c r="F2951" t="inlineStr">
        <is>
          <t>Customer payment INV/2026/04842</t>
        </is>
      </c>
      <c r="G2951" s="9" t="n">
        <v>180</v>
      </c>
      <c r="H2951" t="inlineStr">
        <is>
          <t>customer_payment</t>
        </is>
      </c>
      <c r="I2951" t="inlineStr"/>
      <c r="J2951" t="inlineStr">
        <is>
          <t>G00056</t>
        </is>
      </c>
      <c r="K2951" t="str">
        <f>INDEX('Match Groups'!$D$5:$D$1326,MATCH(J2951,'Match Groups'!$A$5:$A$1326,0))</f>
        <v>STRIPE-FEE</v>
      </c>
    </row>
    <row r="2952">
      <c r="A2952" t="inlineStr">
        <is>
          <t>JI-02999</t>
        </is>
      </c>
      <c r="B2952" t="inlineStr">
        <is>
          <t>OPS</t>
        </is>
      </c>
      <c r="C2952" s="5" t="n">
        <v>46260</v>
      </c>
      <c r="D2952" t="inlineStr">
        <is>
          <t>Stripe patient 52983</t>
        </is>
      </c>
      <c r="E2952" t="inlineStr">
        <is>
          <t>INV/2026/04843</t>
        </is>
      </c>
      <c r="F2952" t="inlineStr">
        <is>
          <t>Customer payment INV/2026/04843</t>
        </is>
      </c>
      <c r="G2952" s="9" t="n">
        <v>110</v>
      </c>
      <c r="H2952" t="inlineStr">
        <is>
          <t>customer_payment</t>
        </is>
      </c>
      <c r="I2952" t="inlineStr"/>
      <c r="J2952" t="inlineStr">
        <is>
          <t>G00056</t>
        </is>
      </c>
      <c r="K2952" t="str">
        <f>INDEX('Match Groups'!$D$5:$D$1326,MATCH(J2952,'Match Groups'!$A$5:$A$1326,0))</f>
        <v>STRIPE-FEE</v>
      </c>
    </row>
    <row r="2953">
      <c r="A2953" t="inlineStr">
        <is>
          <t>JI-03000</t>
        </is>
      </c>
      <c r="B2953" t="inlineStr">
        <is>
          <t>OPS</t>
        </is>
      </c>
      <c r="C2953" s="5" t="n">
        <v>46260</v>
      </c>
      <c r="D2953" t="inlineStr">
        <is>
          <t>Stripe patient 43826</t>
        </is>
      </c>
      <c r="E2953" t="inlineStr">
        <is>
          <t>INV/2026/04844</t>
        </is>
      </c>
      <c r="F2953" t="inlineStr">
        <is>
          <t>Customer payment INV/2026/04844</t>
        </is>
      </c>
      <c r="G2953" s="9" t="n">
        <v>110</v>
      </c>
      <c r="H2953" t="inlineStr">
        <is>
          <t>customer_payment</t>
        </is>
      </c>
      <c r="I2953" t="inlineStr"/>
      <c r="J2953" t="inlineStr">
        <is>
          <t>G00056</t>
        </is>
      </c>
      <c r="K2953" t="str">
        <f>INDEX('Match Groups'!$D$5:$D$1326,MATCH(J2953,'Match Groups'!$A$5:$A$1326,0))</f>
        <v>STRIPE-FEE</v>
      </c>
    </row>
    <row r="2954">
      <c r="A2954" t="inlineStr">
        <is>
          <t>JI-03001</t>
        </is>
      </c>
      <c r="B2954" t="inlineStr">
        <is>
          <t>OPS</t>
        </is>
      </c>
      <c r="C2954" s="5" t="n">
        <v>46260</v>
      </c>
      <c r="D2954" t="inlineStr">
        <is>
          <t>Stripe patient 86571</t>
        </is>
      </c>
      <c r="E2954" t="inlineStr">
        <is>
          <t>INV/2026/04845</t>
        </is>
      </c>
      <c r="F2954" t="inlineStr">
        <is>
          <t>Customer payment INV/2026/04845</t>
        </is>
      </c>
      <c r="G2954" s="9" t="n">
        <v>180</v>
      </c>
      <c r="H2954" t="inlineStr">
        <is>
          <t>customer_payment</t>
        </is>
      </c>
      <c r="I2954" t="inlineStr"/>
      <c r="J2954" t="inlineStr">
        <is>
          <t>G00056</t>
        </is>
      </c>
      <c r="K2954" t="str">
        <f>INDEX('Match Groups'!$D$5:$D$1326,MATCH(J2954,'Match Groups'!$A$5:$A$1326,0))</f>
        <v>STRIPE-FEE</v>
      </c>
    </row>
    <row r="2955">
      <c r="A2955" t="inlineStr">
        <is>
          <t>JI-03002</t>
        </is>
      </c>
      <c r="B2955" t="inlineStr">
        <is>
          <t>OPS</t>
        </is>
      </c>
      <c r="C2955" s="5" t="n">
        <v>46260</v>
      </c>
      <c r="D2955" t="inlineStr">
        <is>
          <t>Stripe patient 74743</t>
        </is>
      </c>
      <c r="E2955" t="inlineStr">
        <is>
          <t>INV/2026/04846</t>
        </is>
      </c>
      <c r="F2955" t="inlineStr">
        <is>
          <t>Customer payment INV/2026/04846</t>
        </is>
      </c>
      <c r="G2955" s="9" t="n">
        <v>85</v>
      </c>
      <c r="H2955" t="inlineStr">
        <is>
          <t>customer_payment</t>
        </is>
      </c>
      <c r="I2955" t="inlineStr"/>
      <c r="J2955" t="inlineStr">
        <is>
          <t>G00056</t>
        </is>
      </c>
      <c r="K2955" t="str">
        <f>INDEX('Match Groups'!$D$5:$D$1326,MATCH(J2955,'Match Groups'!$A$5:$A$1326,0))</f>
        <v>STRIPE-FEE</v>
      </c>
    </row>
    <row r="2956">
      <c r="A2956" t="inlineStr">
        <is>
          <t>JI-03003</t>
        </is>
      </c>
      <c r="B2956" t="inlineStr">
        <is>
          <t>OPS</t>
        </is>
      </c>
      <c r="C2956" s="5" t="n">
        <v>46260</v>
      </c>
      <c r="D2956" t="inlineStr">
        <is>
          <t>Stripe patient 46314</t>
        </is>
      </c>
      <c r="E2956" t="inlineStr">
        <is>
          <t>INV/2026/04847</t>
        </is>
      </c>
      <c r="F2956" t="inlineStr">
        <is>
          <t>Customer payment INV/2026/04847</t>
        </is>
      </c>
      <c r="G2956" s="9" t="n">
        <v>110</v>
      </c>
      <c r="H2956" t="inlineStr">
        <is>
          <t>customer_payment</t>
        </is>
      </c>
      <c r="I2956" t="inlineStr"/>
      <c r="J2956" t="inlineStr">
        <is>
          <t>G00056</t>
        </is>
      </c>
      <c r="K2956" t="str">
        <f>INDEX('Match Groups'!$D$5:$D$1326,MATCH(J2956,'Match Groups'!$A$5:$A$1326,0))</f>
        <v>STRIPE-FEE</v>
      </c>
    </row>
    <row r="2957">
      <c r="A2957" t="inlineStr">
        <is>
          <t>JI-03004</t>
        </is>
      </c>
      <c r="B2957" t="inlineStr">
        <is>
          <t>OPS</t>
        </is>
      </c>
      <c r="C2957" s="5" t="n">
        <v>46260</v>
      </c>
      <c r="D2957" t="inlineStr">
        <is>
          <t>Stripe patient 42005</t>
        </is>
      </c>
      <c r="E2957" t="inlineStr">
        <is>
          <t>INV/2026/04848</t>
        </is>
      </c>
      <c r="F2957" t="inlineStr">
        <is>
          <t>Customer payment INV/2026/04848</t>
        </is>
      </c>
      <c r="G2957" s="9" t="n">
        <v>110</v>
      </c>
      <c r="H2957" t="inlineStr">
        <is>
          <t>customer_payment</t>
        </is>
      </c>
      <c r="I2957" t="inlineStr"/>
      <c r="J2957" t="inlineStr">
        <is>
          <t>G00056</t>
        </is>
      </c>
      <c r="K2957" t="str">
        <f>INDEX('Match Groups'!$D$5:$D$1326,MATCH(J2957,'Match Groups'!$A$5:$A$1326,0))</f>
        <v>STRIPE-FEE</v>
      </c>
    </row>
    <row r="2958">
      <c r="A2958" t="inlineStr">
        <is>
          <t>JI-03005</t>
        </is>
      </c>
      <c r="B2958" t="inlineStr">
        <is>
          <t>OPS</t>
        </is>
      </c>
      <c r="C2958" s="5" t="n">
        <v>46260</v>
      </c>
      <c r="D2958" t="inlineStr">
        <is>
          <t>Stripe patient 38464</t>
        </is>
      </c>
      <c r="E2958" t="inlineStr">
        <is>
          <t>INV/2026/04849</t>
        </is>
      </c>
      <c r="F2958" t="inlineStr">
        <is>
          <t>Customer payment INV/2026/04849</t>
        </is>
      </c>
      <c r="G2958" s="9" t="n">
        <v>85</v>
      </c>
      <c r="H2958" t="inlineStr">
        <is>
          <t>customer_payment</t>
        </is>
      </c>
      <c r="I2958" t="inlineStr"/>
      <c r="J2958" t="inlineStr">
        <is>
          <t>G00056</t>
        </is>
      </c>
      <c r="K2958" t="str">
        <f>INDEX('Match Groups'!$D$5:$D$1326,MATCH(J2958,'Match Groups'!$A$5:$A$1326,0))</f>
        <v>STRIPE-FEE</v>
      </c>
    </row>
    <row r="2959">
      <c r="A2959" t="inlineStr">
        <is>
          <t>JI-03006</t>
        </is>
      </c>
      <c r="B2959" t="inlineStr">
        <is>
          <t>OPS</t>
        </is>
      </c>
      <c r="C2959" s="5" t="n">
        <v>46260</v>
      </c>
      <c r="D2959" t="inlineStr">
        <is>
          <t>Stripe patient 17309</t>
        </is>
      </c>
      <c r="E2959" t="inlineStr">
        <is>
          <t>INV/2026/04850</t>
        </is>
      </c>
      <c r="F2959" t="inlineStr">
        <is>
          <t>Customer payment INV/2026/04850</t>
        </is>
      </c>
      <c r="G2959" s="9" t="n">
        <v>135</v>
      </c>
      <c r="H2959" t="inlineStr">
        <is>
          <t>customer_payment</t>
        </is>
      </c>
      <c r="I2959" t="inlineStr"/>
      <c r="J2959" t="inlineStr">
        <is>
          <t>G00056</t>
        </is>
      </c>
      <c r="K2959" t="str">
        <f>INDEX('Match Groups'!$D$5:$D$1326,MATCH(J2959,'Match Groups'!$A$5:$A$1326,0))</f>
        <v>STRIPE-FEE</v>
      </c>
    </row>
    <row r="2960">
      <c r="A2960" t="inlineStr">
        <is>
          <t>JI-03826</t>
        </is>
      </c>
      <c r="B2960" t="inlineStr">
        <is>
          <t>OPS</t>
        </is>
      </c>
      <c r="C2960" s="5" t="n">
        <v>46260</v>
      </c>
      <c r="D2960" t="inlineStr">
        <is>
          <t>Clinicare Linen Service</t>
        </is>
      </c>
      <c r="E2960" t="inlineStr">
        <is>
          <t>BILL/2026/0920</t>
        </is>
      </c>
      <c r="F2960" t="inlineStr">
        <is>
          <t>Vendor payment BILL/2026/0920 (BATCH/2026/0419)</t>
        </is>
      </c>
      <c r="G2960" s="9" t="n">
        <v>-672.1</v>
      </c>
      <c r="H2960" t="inlineStr">
        <is>
          <t>supplier_payment</t>
        </is>
      </c>
      <c r="I2960" t="inlineStr">
        <is>
          <t>BATCH/2026/0419</t>
        </is>
      </c>
      <c r="J2960" t="inlineStr">
        <is>
          <t>G00531</t>
        </is>
      </c>
      <c r="K2960" t="str">
        <f>INDEX('Match Groups'!$D$5:$D$1326,MATCH(J2960,'Match Groups'!$A$5:$A$1326,0))</f>
        <v>MATCH</v>
      </c>
    </row>
    <row r="2961">
      <c r="A2961" t="inlineStr">
        <is>
          <t>JI-03827</t>
        </is>
      </c>
      <c r="B2961" t="inlineStr">
        <is>
          <t>OPS</t>
        </is>
      </c>
      <c r="C2961" s="5" t="n">
        <v>46260</v>
      </c>
      <c r="D2961" t="inlineStr">
        <is>
          <t>Paperline Stationery Pty</t>
        </is>
      </c>
      <c r="E2961" t="inlineStr">
        <is>
          <t>BILL/2026/0929</t>
        </is>
      </c>
      <c r="F2961" t="inlineStr">
        <is>
          <t>Vendor payment BILL/2026/0929 (BATCH/2026/0419)</t>
        </is>
      </c>
      <c r="G2961" s="9" t="n">
        <v>-421.3</v>
      </c>
      <c r="H2961" t="inlineStr">
        <is>
          <t>supplier_payment</t>
        </is>
      </c>
      <c r="I2961" t="inlineStr">
        <is>
          <t>BATCH/2026/0419</t>
        </is>
      </c>
      <c r="J2961" t="inlineStr">
        <is>
          <t>G00531</t>
        </is>
      </c>
      <c r="K2961" t="str">
        <f>INDEX('Match Groups'!$D$5:$D$1326,MATCH(J2961,'Match Groups'!$A$5:$A$1326,0))</f>
        <v>MATCH</v>
      </c>
    </row>
    <row r="2962">
      <c r="A2962" t="inlineStr">
        <is>
          <t>JI-03828</t>
        </is>
      </c>
      <c r="B2962" t="inlineStr">
        <is>
          <t>OPS</t>
        </is>
      </c>
      <c r="C2962" s="5" t="n">
        <v>46260</v>
      </c>
      <c r="D2962" t="inlineStr">
        <is>
          <t>Practice Fitout Joinery</t>
        </is>
      </c>
      <c r="E2962" t="inlineStr">
        <is>
          <t>BILL/2026/0923</t>
        </is>
      </c>
      <c r="F2962" t="inlineStr">
        <is>
          <t>Vendor payment BILL/2026/0923 (BATCH/2026/0419)</t>
        </is>
      </c>
      <c r="G2962" s="9" t="n">
        <v>-1650</v>
      </c>
      <c r="H2962" t="inlineStr">
        <is>
          <t>supplier_payment</t>
        </is>
      </c>
      <c r="I2962" t="inlineStr">
        <is>
          <t>BATCH/2026/0419</t>
        </is>
      </c>
      <c r="J2962" t="inlineStr">
        <is>
          <t>G00531</t>
        </is>
      </c>
      <c r="K2962" t="str">
        <f>INDEX('Match Groups'!$D$5:$D$1326,MATCH(J2962,'Match Groups'!$A$5:$A$1326,0))</f>
        <v>MATCH</v>
      </c>
    </row>
    <row r="2963">
      <c r="A2963" t="inlineStr">
        <is>
          <t>JI-03829</t>
        </is>
      </c>
      <c r="B2963" t="inlineStr">
        <is>
          <t>OPS</t>
        </is>
      </c>
      <c r="C2963" s="5" t="n">
        <v>46260</v>
      </c>
      <c r="D2963" t="inlineStr">
        <is>
          <t>Coolroom HVAC Services</t>
        </is>
      </c>
      <c r="E2963" t="inlineStr">
        <is>
          <t>BILL/2026/0927</t>
        </is>
      </c>
      <c r="F2963" t="inlineStr">
        <is>
          <t>Vendor payment BILL/2026/0927 (BATCH/2026/0419)</t>
        </is>
      </c>
      <c r="G2963" s="9" t="n">
        <v>-1650</v>
      </c>
      <c r="H2963" t="inlineStr">
        <is>
          <t>supplier_payment</t>
        </is>
      </c>
      <c r="I2963" t="inlineStr">
        <is>
          <t>BATCH/2026/0419</t>
        </is>
      </c>
      <c r="J2963" t="inlineStr">
        <is>
          <t>G00531</t>
        </is>
      </c>
      <c r="K2963" t="str">
        <f>INDEX('Match Groups'!$D$5:$D$1326,MATCH(J2963,'Match Groups'!$A$5:$A$1326,0))</f>
        <v>MATCH</v>
      </c>
    </row>
    <row r="2964">
      <c r="A2964" t="inlineStr">
        <is>
          <t>JI-03830</t>
        </is>
      </c>
      <c r="B2964" t="inlineStr">
        <is>
          <t>OPS</t>
        </is>
      </c>
      <c r="C2964" s="5" t="n">
        <v>46260</v>
      </c>
      <c r="D2964" t="inlineStr">
        <is>
          <t>Northern Pest Control</t>
        </is>
      </c>
      <c r="E2964" t="inlineStr">
        <is>
          <t>BILL/2026/0928</t>
        </is>
      </c>
      <c r="F2964" t="inlineStr">
        <is>
          <t>Vendor payment BILL/2026/0928 (BATCH/2026/0419)</t>
        </is>
      </c>
      <c r="G2964" s="9" t="n">
        <v>-880</v>
      </c>
      <c r="H2964" t="inlineStr">
        <is>
          <t>supplier_payment</t>
        </is>
      </c>
      <c r="I2964" t="inlineStr">
        <is>
          <t>BATCH/2026/0419</t>
        </is>
      </c>
      <c r="J2964" t="inlineStr">
        <is>
          <t>G00531</t>
        </is>
      </c>
      <c r="K2964" t="str">
        <f>INDEX('Match Groups'!$D$5:$D$1326,MATCH(J2964,'Match Groups'!$A$5:$A$1326,0))</f>
        <v>MATCH</v>
      </c>
    </row>
    <row r="2965">
      <c r="A2965" t="inlineStr">
        <is>
          <t>JI-03831</t>
        </is>
      </c>
      <c r="B2965" t="inlineStr">
        <is>
          <t>OPS</t>
        </is>
      </c>
      <c r="C2965" s="5" t="n">
        <v>46260</v>
      </c>
      <c r="D2965" t="inlineStr">
        <is>
          <t>Medilab Pathology</t>
        </is>
      </c>
      <c r="E2965" t="inlineStr">
        <is>
          <t>BILL/2026/0921</t>
        </is>
      </c>
      <c r="F2965" t="inlineStr">
        <is>
          <t>Vendor payment BILL/2026/0921 (BATCH/2026/0419)</t>
        </is>
      </c>
      <c r="G2965" s="9" t="n">
        <v>-5940</v>
      </c>
      <c r="H2965" t="inlineStr">
        <is>
          <t>supplier_payment</t>
        </is>
      </c>
      <c r="I2965" t="inlineStr">
        <is>
          <t>BATCH/2026/0419</t>
        </is>
      </c>
      <c r="J2965" t="inlineStr">
        <is>
          <t>G00531</t>
        </is>
      </c>
      <c r="K2965" t="str">
        <f>INDEX('Match Groups'!$D$5:$D$1326,MATCH(J2965,'Match Groups'!$A$5:$A$1326,0))</f>
        <v>MATCH</v>
      </c>
    </row>
    <row r="2966">
      <c r="A2966" t="inlineStr">
        <is>
          <t>JI-03832</t>
        </is>
      </c>
      <c r="B2966" t="inlineStr">
        <is>
          <t>OPS</t>
        </is>
      </c>
      <c r="C2966" s="5" t="n">
        <v>46260</v>
      </c>
      <c r="D2966" t="inlineStr">
        <is>
          <t>Clinical Education Hub</t>
        </is>
      </c>
      <c r="E2966" t="inlineStr">
        <is>
          <t>BILL/2026/0924</t>
        </is>
      </c>
      <c r="F2966" t="inlineStr">
        <is>
          <t>Vendor payment BILL/2026/0924 (BATCH/2026/0419)</t>
        </is>
      </c>
      <c r="G2966" s="9" t="n">
        <v>-5940</v>
      </c>
      <c r="H2966" t="inlineStr">
        <is>
          <t>supplier_payment</t>
        </is>
      </c>
      <c r="I2966" t="inlineStr">
        <is>
          <t>BATCH/2026/0419</t>
        </is>
      </c>
      <c r="J2966" t="inlineStr">
        <is>
          <t>G00531</t>
        </is>
      </c>
      <c r="K2966" t="str">
        <f>INDEX('Match Groups'!$D$5:$D$1326,MATCH(J2966,'Match Groups'!$A$5:$A$1326,0))</f>
        <v>MATCH</v>
      </c>
    </row>
    <row r="2967">
      <c r="A2967" t="inlineStr">
        <is>
          <t>JI-03833</t>
        </is>
      </c>
      <c r="B2967" t="inlineStr">
        <is>
          <t>OPS</t>
        </is>
      </c>
      <c r="C2967" s="5" t="n">
        <v>46260</v>
      </c>
      <c r="D2967" t="inlineStr">
        <is>
          <t>Ergo Furniture Co</t>
        </is>
      </c>
      <c r="E2967" t="inlineStr">
        <is>
          <t>BILL/2026/0922</t>
        </is>
      </c>
      <c r="F2967" t="inlineStr">
        <is>
          <t>Vendor payment BILL/2026/0922 (BATCH/2026/0419)</t>
        </is>
      </c>
      <c r="G2967" s="9" t="n">
        <v>-278.3</v>
      </c>
      <c r="H2967" t="inlineStr">
        <is>
          <t>supplier_payment</t>
        </is>
      </c>
      <c r="I2967" t="inlineStr">
        <is>
          <t>BATCH/2026/0419</t>
        </is>
      </c>
      <c r="J2967" t="inlineStr">
        <is>
          <t>G00531</t>
        </is>
      </c>
      <c r="K2967" t="str">
        <f>INDEX('Match Groups'!$D$5:$D$1326,MATCH(J2967,'Match Groups'!$A$5:$A$1326,0))</f>
        <v>MATCH</v>
      </c>
    </row>
    <row r="2968">
      <c r="A2968" t="inlineStr">
        <is>
          <t>JI-03834</t>
        </is>
      </c>
      <c r="B2968" t="inlineStr">
        <is>
          <t>OPS</t>
        </is>
      </c>
      <c r="C2968" s="5" t="n">
        <v>46260</v>
      </c>
      <c r="D2968" t="inlineStr">
        <is>
          <t>Prime Print Services</t>
        </is>
      </c>
      <c r="E2968" t="inlineStr">
        <is>
          <t>BILL/2026/0930</t>
        </is>
      </c>
      <c r="F2968" t="inlineStr">
        <is>
          <t>Vendor payment BILL/2026/0930 (BATCH/2026/0419)</t>
        </is>
      </c>
      <c r="G2968" s="9" t="n">
        <v>-5940</v>
      </c>
      <c r="H2968" t="inlineStr">
        <is>
          <t>supplier_payment</t>
        </is>
      </c>
      <c r="I2968" t="inlineStr">
        <is>
          <t>BATCH/2026/0419</t>
        </is>
      </c>
      <c r="J2968" t="inlineStr">
        <is>
          <t>G00531</t>
        </is>
      </c>
      <c r="K2968" t="str">
        <f>INDEX('Match Groups'!$D$5:$D$1326,MATCH(J2968,'Match Groups'!$A$5:$A$1326,0))</f>
        <v>MATCH</v>
      </c>
    </row>
    <row r="2969">
      <c r="A2969" t="inlineStr">
        <is>
          <t>JI-03835</t>
        </is>
      </c>
      <c r="B2969" t="inlineStr">
        <is>
          <t>OPS</t>
        </is>
      </c>
      <c r="C2969" s="5" t="n">
        <v>46260</v>
      </c>
      <c r="D2969" t="inlineStr">
        <is>
          <t>CityFix Maintenance</t>
        </is>
      </c>
      <c r="E2969" t="inlineStr">
        <is>
          <t>BILL/2026/0919</t>
        </is>
      </c>
      <c r="F2969" t="inlineStr">
        <is>
          <t>Vendor payment BILL/2026/0919 (BATCH/2026/0419)</t>
        </is>
      </c>
      <c r="G2969" s="9" t="n">
        <v>-1650</v>
      </c>
      <c r="H2969" t="inlineStr">
        <is>
          <t>supplier_payment</t>
        </is>
      </c>
      <c r="I2969" t="inlineStr">
        <is>
          <t>BATCH/2026/0419</t>
        </is>
      </c>
      <c r="J2969" t="inlineStr">
        <is>
          <t>G00531</t>
        </is>
      </c>
      <c r="K2969" t="str">
        <f>INDEX('Match Groups'!$D$5:$D$1326,MATCH(J2969,'Match Groups'!$A$5:$A$1326,0))</f>
        <v>MATCH</v>
      </c>
    </row>
    <row r="2970">
      <c r="A2970" t="inlineStr">
        <is>
          <t>JI-03836</t>
        </is>
      </c>
      <c r="B2970" t="inlineStr">
        <is>
          <t>OPS</t>
        </is>
      </c>
      <c r="C2970" s="5" t="n">
        <v>46260</v>
      </c>
      <c r="D2970" t="inlineStr">
        <is>
          <t>Ledgerline Tax Advisers</t>
        </is>
      </c>
      <c r="E2970" t="inlineStr">
        <is>
          <t>BILL/2026/0925</t>
        </is>
      </c>
      <c r="F2970" t="inlineStr">
        <is>
          <t>Vendor payment BILL/2026/0925 (BATCH/2026/0419)</t>
        </is>
      </c>
      <c r="G2970" s="9" t="n">
        <v>-495</v>
      </c>
      <c r="H2970" t="inlineStr">
        <is>
          <t>supplier_payment</t>
        </is>
      </c>
      <c r="I2970" t="inlineStr">
        <is>
          <t>BATCH/2026/0419</t>
        </is>
      </c>
      <c r="J2970" t="inlineStr">
        <is>
          <t>G00531</t>
        </is>
      </c>
      <c r="K2970" t="str">
        <f>INDEX('Match Groups'!$D$5:$D$1326,MATCH(J2970,'Match Groups'!$A$5:$A$1326,0))</f>
        <v>MATCH</v>
      </c>
    </row>
    <row r="2971">
      <c r="A2971" t="inlineStr">
        <is>
          <t>JI-03837</t>
        </is>
      </c>
      <c r="B2971" t="inlineStr">
        <is>
          <t>OPS</t>
        </is>
      </c>
      <c r="C2971" s="5" t="n">
        <v>46260</v>
      </c>
      <c r="D2971" t="inlineStr">
        <is>
          <t>Alpine Water Coolers</t>
        </is>
      </c>
      <c r="E2971" t="inlineStr">
        <is>
          <t>BILL/2026/0926</t>
        </is>
      </c>
      <c r="F2971" t="inlineStr">
        <is>
          <t>Vendor payment BILL/2026/0926 (BATCH/2026/0419)</t>
        </is>
      </c>
      <c r="G2971" s="9" t="n">
        <v>-495</v>
      </c>
      <c r="H2971" t="inlineStr">
        <is>
          <t>supplier_payment</t>
        </is>
      </c>
      <c r="I2971" t="inlineStr">
        <is>
          <t>BATCH/2026/0419</t>
        </is>
      </c>
      <c r="J2971" t="inlineStr">
        <is>
          <t>G00531</t>
        </is>
      </c>
      <c r="K2971" t="str">
        <f>INDEX('Match Groups'!$D$5:$D$1326,MATCH(J2971,'Match Groups'!$A$5:$A$1326,0))</f>
        <v>MATCH</v>
      </c>
    </row>
    <row r="2972">
      <c r="A2972" t="inlineStr">
        <is>
          <t>JI-03949</t>
        </is>
      </c>
      <c r="B2972" t="inlineStr">
        <is>
          <t>OPS</t>
        </is>
      </c>
      <c r="C2972" s="5" t="n">
        <v>46260</v>
      </c>
      <c r="D2972" t="inlineStr">
        <is>
          <t>Internal transfer</t>
        </is>
      </c>
      <c r="E2972" t="inlineStr">
        <is>
          <t>TFR PR260827</t>
        </is>
      </c>
      <c r="F2972" t="inlineStr">
        <is>
          <t>Transfer to payroll clearing PR260827</t>
        </is>
      </c>
      <c r="G2972" s="9" t="n">
        <v>-166350.27</v>
      </c>
      <c r="H2972" t="inlineStr">
        <is>
          <t>transfer</t>
        </is>
      </c>
      <c r="I2972" t="inlineStr"/>
      <c r="J2972" t="inlineStr">
        <is>
          <t>G00532</t>
        </is>
      </c>
      <c r="K2972" t="str">
        <f>INDEX('Match Groups'!$D$5:$D$1326,MATCH(J2972,'Match Groups'!$A$5:$A$1326,0))</f>
        <v>MATCH</v>
      </c>
    </row>
    <row r="2973">
      <c r="A2973" t="inlineStr">
        <is>
          <t>JI-01094</t>
        </is>
      </c>
      <c r="B2973" t="inlineStr">
        <is>
          <t>OPS</t>
        </is>
      </c>
      <c r="C2973" s="5" t="n">
        <v>46261</v>
      </c>
      <c r="D2973" t="inlineStr">
        <is>
          <t>Bluegum Plan Management</t>
        </is>
      </c>
      <c r="E2973" t="inlineStr">
        <is>
          <t>INV/2026/02779</t>
        </is>
      </c>
      <c r="F2973" t="inlineStr">
        <is>
          <t>Customer payment INV/2026/02779</t>
        </is>
      </c>
      <c r="G2973" s="9" t="n">
        <v>193.99</v>
      </c>
      <c r="H2973" t="inlineStr">
        <is>
          <t>customer_payment</t>
        </is>
      </c>
      <c r="I2973" t="inlineStr"/>
      <c r="J2973" t="inlineStr">
        <is>
          <t>G00353</t>
        </is>
      </c>
      <c r="K2973" t="str">
        <f>INDEX('Match Groups'!$D$5:$D$1326,MATCH(J2973,'Match Groups'!$A$5:$A$1326,0))</f>
        <v>MATCH</v>
      </c>
    </row>
    <row r="2974">
      <c r="A2974" t="inlineStr">
        <is>
          <t>JI-01095</t>
        </is>
      </c>
      <c r="B2974" t="inlineStr">
        <is>
          <t>OPS</t>
        </is>
      </c>
      <c r="C2974" s="5" t="n">
        <v>46261</v>
      </c>
      <c r="D2974" t="inlineStr">
        <is>
          <t>Bluegum Plan Management</t>
        </is>
      </c>
      <c r="E2974" t="inlineStr">
        <is>
          <t>INV/2026/02780</t>
        </is>
      </c>
      <c r="F2974" t="inlineStr">
        <is>
          <t>Customer payment INV/2026/02780</t>
        </is>
      </c>
      <c r="G2974" s="9" t="n">
        <v>417.98</v>
      </c>
      <c r="H2974" t="inlineStr">
        <is>
          <t>customer_payment</t>
        </is>
      </c>
      <c r="I2974" t="inlineStr"/>
      <c r="J2974" t="inlineStr">
        <is>
          <t>G00353</t>
        </is>
      </c>
      <c r="K2974" t="str">
        <f>INDEX('Match Groups'!$D$5:$D$1326,MATCH(J2974,'Match Groups'!$A$5:$A$1326,0))</f>
        <v>MATCH</v>
      </c>
    </row>
    <row r="2975">
      <c r="A2975" t="inlineStr">
        <is>
          <t>JI-01096</t>
        </is>
      </c>
      <c r="B2975" t="inlineStr">
        <is>
          <t>OPS</t>
        </is>
      </c>
      <c r="C2975" s="5" t="n">
        <v>46261</v>
      </c>
      <c r="D2975" t="inlineStr">
        <is>
          <t>Ironbark Plan Management</t>
        </is>
      </c>
      <c r="E2975" t="inlineStr">
        <is>
          <t>INV/2026/02719</t>
        </is>
      </c>
      <c r="F2975" t="inlineStr">
        <is>
          <t>Customer payment INV/2026/02719</t>
        </is>
      </c>
      <c r="G2975" s="9" t="n">
        <v>96.98999999999999</v>
      </c>
      <c r="H2975" t="inlineStr">
        <is>
          <t>customer_payment</t>
        </is>
      </c>
      <c r="I2975" t="inlineStr"/>
      <c r="J2975" t="inlineStr">
        <is>
          <t>G00354</t>
        </is>
      </c>
      <c r="K2975" t="str">
        <f>INDEX('Match Groups'!$D$5:$D$1326,MATCH(J2975,'Match Groups'!$A$5:$A$1326,0))</f>
        <v>MATCH</v>
      </c>
    </row>
    <row r="2976">
      <c r="A2976" t="inlineStr">
        <is>
          <t>JI-01097</t>
        </is>
      </c>
      <c r="B2976" t="inlineStr">
        <is>
          <t>OPS</t>
        </is>
      </c>
      <c r="C2976" s="5" t="n">
        <v>46261</v>
      </c>
      <c r="D2976" t="inlineStr">
        <is>
          <t>Ironbark Plan Management</t>
        </is>
      </c>
      <c r="E2976" t="inlineStr">
        <is>
          <t>INV/2026/02742</t>
        </is>
      </c>
      <c r="F2976" t="inlineStr">
        <is>
          <t>Customer payment INV/2026/02742</t>
        </is>
      </c>
      <c r="G2976" s="9" t="n">
        <v>290.98</v>
      </c>
      <c r="H2976" t="inlineStr">
        <is>
          <t>customer_payment</t>
        </is>
      </c>
      <c r="I2976" t="inlineStr"/>
      <c r="J2976" t="inlineStr">
        <is>
          <t>G00354</t>
        </is>
      </c>
      <c r="K2976" t="str">
        <f>INDEX('Match Groups'!$D$5:$D$1326,MATCH(J2976,'Match Groups'!$A$5:$A$1326,0))</f>
        <v>MATCH</v>
      </c>
    </row>
    <row r="2977">
      <c r="A2977" t="inlineStr">
        <is>
          <t>JI-01098</t>
        </is>
      </c>
      <c r="B2977" t="inlineStr">
        <is>
          <t>OPS</t>
        </is>
      </c>
      <c r="C2977" s="5" t="n">
        <v>46261</v>
      </c>
      <c r="D2977" t="inlineStr">
        <is>
          <t>Ironbark Plan Management</t>
        </is>
      </c>
      <c r="E2977" t="inlineStr">
        <is>
          <t>INV/2026/02743</t>
        </is>
      </c>
      <c r="F2977" t="inlineStr">
        <is>
          <t>Customer payment INV/2026/02743</t>
        </is>
      </c>
      <c r="G2977" s="9" t="n">
        <v>223.99</v>
      </c>
      <c r="H2977" t="inlineStr">
        <is>
          <t>customer_payment</t>
        </is>
      </c>
      <c r="I2977" t="inlineStr"/>
      <c r="J2977" t="inlineStr">
        <is>
          <t>G00354</t>
        </is>
      </c>
      <c r="K2977" t="str">
        <f>INDEX('Match Groups'!$D$5:$D$1326,MATCH(J2977,'Match Groups'!$A$5:$A$1326,0))</f>
        <v>MATCH</v>
      </c>
    </row>
    <row r="2978">
      <c r="A2978" t="inlineStr">
        <is>
          <t>JI-01099</t>
        </is>
      </c>
      <c r="B2978" t="inlineStr">
        <is>
          <t>OPS</t>
        </is>
      </c>
      <c r="C2978" s="5" t="n">
        <v>46261</v>
      </c>
      <c r="D2978" t="inlineStr">
        <is>
          <t>Ironbark Plan Management</t>
        </is>
      </c>
      <c r="E2978" t="inlineStr">
        <is>
          <t>INV/2026/02783</t>
        </is>
      </c>
      <c r="F2978" t="inlineStr">
        <is>
          <t>Customer payment INV/2026/02783</t>
        </is>
      </c>
      <c r="G2978" s="9" t="n">
        <v>300.69</v>
      </c>
      <c r="H2978" t="inlineStr">
        <is>
          <t>customer_payment</t>
        </is>
      </c>
      <c r="I2978" t="inlineStr"/>
      <c r="J2978" t="inlineStr">
        <is>
          <t>G00354</t>
        </is>
      </c>
      <c r="K2978" t="str">
        <f>INDEX('Match Groups'!$D$5:$D$1326,MATCH(J2978,'Match Groups'!$A$5:$A$1326,0))</f>
        <v>MATCH</v>
      </c>
    </row>
    <row r="2979">
      <c r="A2979" t="inlineStr">
        <is>
          <t>JI-01100</t>
        </is>
      </c>
      <c r="B2979" t="inlineStr">
        <is>
          <t>OPS</t>
        </is>
      </c>
      <c r="C2979" s="5" t="n">
        <v>46261</v>
      </c>
      <c r="D2979" t="inlineStr">
        <is>
          <t>Ironbark Plan Management</t>
        </is>
      </c>
      <c r="E2979" t="inlineStr">
        <is>
          <t>INV/2026/02785</t>
        </is>
      </c>
      <c r="F2979" t="inlineStr">
        <is>
          <t>Customer payment INV/2026/02785</t>
        </is>
      </c>
      <c r="G2979" s="9" t="n">
        <v>96.98999999999999</v>
      </c>
      <c r="H2979" t="inlineStr">
        <is>
          <t>customer_payment</t>
        </is>
      </c>
      <c r="I2979" t="inlineStr"/>
      <c r="J2979" t="inlineStr">
        <is>
          <t>G00354</t>
        </is>
      </c>
      <c r="K2979" t="str">
        <f>INDEX('Match Groups'!$D$5:$D$1326,MATCH(J2979,'Match Groups'!$A$5:$A$1326,0))</f>
        <v>MATCH</v>
      </c>
    </row>
    <row r="2980">
      <c r="A2980" t="inlineStr">
        <is>
          <t>JI-01101</t>
        </is>
      </c>
      <c r="B2980" t="inlineStr">
        <is>
          <t>OPS</t>
        </is>
      </c>
      <c r="C2980" s="5" t="n">
        <v>46261</v>
      </c>
      <c r="D2980" t="inlineStr">
        <is>
          <t>Southern Cross Plan Mgmt</t>
        </is>
      </c>
      <c r="E2980" t="inlineStr">
        <is>
          <t>INV/2026/02053</t>
        </is>
      </c>
      <c r="F2980" t="inlineStr">
        <is>
          <t>Customer payment INV/2026/02053</t>
        </is>
      </c>
      <c r="G2980" s="9" t="n">
        <v>300.69</v>
      </c>
      <c r="H2980" t="inlineStr">
        <is>
          <t>customer_payment</t>
        </is>
      </c>
      <c r="I2980" t="inlineStr"/>
      <c r="J2980" t="inlineStr">
        <is>
          <t>G00355</t>
        </is>
      </c>
      <c r="K2980" t="str">
        <f>INDEX('Match Groups'!$D$5:$D$1326,MATCH(J2980,'Match Groups'!$A$5:$A$1326,0))</f>
        <v>MATCH</v>
      </c>
    </row>
    <row r="2981">
      <c r="A2981" t="inlineStr">
        <is>
          <t>JI-01102</t>
        </is>
      </c>
      <c r="B2981" t="inlineStr">
        <is>
          <t>OPS</t>
        </is>
      </c>
      <c r="C2981" s="5" t="n">
        <v>46261</v>
      </c>
      <c r="D2981" t="inlineStr">
        <is>
          <t>Southern Cross Plan Mgmt</t>
        </is>
      </c>
      <c r="E2981" t="inlineStr">
        <is>
          <t>INV/2026/02054</t>
        </is>
      </c>
      <c r="F2981" t="inlineStr">
        <is>
          <t>Customer payment INV/2026/02054</t>
        </is>
      </c>
      <c r="G2981" s="9" t="n">
        <v>242.49</v>
      </c>
      <c r="H2981" t="inlineStr">
        <is>
          <t>customer_payment</t>
        </is>
      </c>
      <c r="I2981" t="inlineStr"/>
      <c r="J2981" t="inlineStr">
        <is>
          <t>G00355</t>
        </is>
      </c>
      <c r="K2981" t="str">
        <f>INDEX('Match Groups'!$D$5:$D$1326,MATCH(J2981,'Match Groups'!$A$5:$A$1326,0))</f>
        <v>MATCH</v>
      </c>
    </row>
    <row r="2982">
      <c r="A2982" t="inlineStr">
        <is>
          <t>JI-01103</t>
        </is>
      </c>
      <c r="B2982" t="inlineStr">
        <is>
          <t>OPS</t>
        </is>
      </c>
      <c r="C2982" s="5" t="n">
        <v>46261</v>
      </c>
      <c r="D2982" t="inlineStr">
        <is>
          <t>Southern Cross Plan Mgmt</t>
        </is>
      </c>
      <c r="E2982" t="inlineStr">
        <is>
          <t>INV/2026/02080</t>
        </is>
      </c>
      <c r="F2982" t="inlineStr">
        <is>
          <t>Customer payment INV/2026/02080</t>
        </is>
      </c>
      <c r="G2982" s="9" t="n">
        <v>193.99</v>
      </c>
      <c r="H2982" t="inlineStr">
        <is>
          <t>customer_payment</t>
        </is>
      </c>
      <c r="I2982" t="inlineStr"/>
      <c r="J2982" t="inlineStr">
        <is>
          <t>G00355</t>
        </is>
      </c>
      <c r="K2982" t="str">
        <f>INDEX('Match Groups'!$D$5:$D$1326,MATCH(J2982,'Match Groups'!$A$5:$A$1326,0))</f>
        <v>MATCH</v>
      </c>
    </row>
    <row r="2983">
      <c r="A2983" t="inlineStr">
        <is>
          <t>JI-01603</t>
        </is>
      </c>
      <c r="B2983" t="inlineStr">
        <is>
          <t>OPS</t>
        </is>
      </c>
      <c r="C2983" s="5" t="n">
        <v>46261</v>
      </c>
      <c r="D2983" t="inlineStr">
        <is>
          <t>Pinnacle Claims Services</t>
        </is>
      </c>
      <c r="E2983" t="inlineStr">
        <is>
          <t>INV/2026/02753</t>
        </is>
      </c>
      <c r="F2983" t="inlineStr">
        <is>
          <t>Customer payment INV/2026/02753</t>
        </is>
      </c>
      <c r="G2983" s="9" t="n">
        <v>990</v>
      </c>
      <c r="H2983" t="inlineStr">
        <is>
          <t>customer_payment</t>
        </is>
      </c>
      <c r="I2983" t="inlineStr"/>
      <c r="J2983" t="inlineStr">
        <is>
          <t>G01025</t>
        </is>
      </c>
      <c r="K2983" t="str">
        <f>INDEX('Match Groups'!$D$5:$D$1326,MATCH(J2983,'Match Groups'!$A$5:$A$1326,0))</f>
        <v>MATCH</v>
      </c>
    </row>
    <row r="2984">
      <c r="A2984" t="inlineStr">
        <is>
          <t>JI-01689</t>
        </is>
      </c>
      <c r="B2984" t="inlineStr">
        <is>
          <t>OPS</t>
        </is>
      </c>
      <c r="C2984" s="5" t="n">
        <v>46261</v>
      </c>
      <c r="D2984" t="inlineStr">
        <is>
          <t>Hartigan Transport</t>
        </is>
      </c>
      <c r="E2984" t="inlineStr">
        <is>
          <t>INV/2026/03479</t>
        </is>
      </c>
      <c r="F2984" t="inlineStr">
        <is>
          <t>Customer payment INV/2026/03479</t>
        </is>
      </c>
      <c r="G2984" s="9" t="n">
        <v>6820</v>
      </c>
      <c r="H2984" t="inlineStr">
        <is>
          <t>customer_payment</t>
        </is>
      </c>
      <c r="I2984" t="inlineStr"/>
      <c r="J2984" t="inlineStr">
        <is>
          <t>G01022</t>
        </is>
      </c>
      <c r="K2984" t="str">
        <f>INDEX('Match Groups'!$D$5:$D$1326,MATCH(J2984,'Match Groups'!$A$5:$A$1326,0))</f>
        <v>MATCH</v>
      </c>
    </row>
    <row r="2985">
      <c r="A2985" t="inlineStr">
        <is>
          <t>JI-01726</t>
        </is>
      </c>
      <c r="B2985" t="inlineStr">
        <is>
          <t>OPS</t>
        </is>
      </c>
      <c r="C2985" s="5" t="n">
        <v>46261</v>
      </c>
      <c r="D2985" t="inlineStr">
        <is>
          <t>Gilmour Steel Pty Ltd</t>
        </is>
      </c>
      <c r="E2985" t="inlineStr">
        <is>
          <t>INV/2026/03496</t>
        </is>
      </c>
      <c r="F2985" t="inlineStr">
        <is>
          <t>Customer payment INV/2026/03496</t>
        </is>
      </c>
      <c r="G2985" s="9" t="n">
        <v>5280</v>
      </c>
      <c r="H2985" t="inlineStr">
        <is>
          <t>customer_payment</t>
        </is>
      </c>
      <c r="I2985" t="inlineStr"/>
      <c r="J2985" t="inlineStr">
        <is>
          <t>G01030</t>
        </is>
      </c>
      <c r="K2985" t="str">
        <f>INDEX('Match Groups'!$D$5:$D$1326,MATCH(J2985,'Match Groups'!$A$5:$A$1326,0))</f>
        <v>MATCH</v>
      </c>
    </row>
    <row r="2986">
      <c r="A2986" t="inlineStr">
        <is>
          <t>JI-03007</t>
        </is>
      </c>
      <c r="B2986" t="inlineStr">
        <is>
          <t>OPS</t>
        </is>
      </c>
      <c r="C2986" s="5" t="n">
        <v>46261</v>
      </c>
      <c r="D2986" t="inlineStr">
        <is>
          <t>Stripe patient 45880</t>
        </is>
      </c>
      <c r="E2986" t="inlineStr">
        <is>
          <t>INV/2026/04851</t>
        </is>
      </c>
      <c r="F2986" t="inlineStr">
        <is>
          <t>Customer payment INV/2026/04851</t>
        </is>
      </c>
      <c r="G2986" s="9" t="n">
        <v>95</v>
      </c>
      <c r="H2986" t="inlineStr">
        <is>
          <t>customer_payment</t>
        </is>
      </c>
      <c r="I2986" t="inlineStr"/>
      <c r="J2986" t="inlineStr">
        <is>
          <t>G00057</t>
        </is>
      </c>
      <c r="K2986" t="str">
        <f>INDEX('Match Groups'!$D$5:$D$1326,MATCH(J2986,'Match Groups'!$A$5:$A$1326,0))</f>
        <v>STRIPE-FEE</v>
      </c>
    </row>
    <row r="2987">
      <c r="A2987" t="inlineStr">
        <is>
          <t>JI-03008</t>
        </is>
      </c>
      <c r="B2987" t="inlineStr">
        <is>
          <t>OPS</t>
        </is>
      </c>
      <c r="C2987" s="5" t="n">
        <v>46261</v>
      </c>
      <c r="D2987" t="inlineStr">
        <is>
          <t>Stripe patient 82882</t>
        </is>
      </c>
      <c r="E2987" t="inlineStr">
        <is>
          <t>INV/2026/04852</t>
        </is>
      </c>
      <c r="F2987" t="inlineStr">
        <is>
          <t>Customer payment INV/2026/04852</t>
        </is>
      </c>
      <c r="G2987" s="9" t="n">
        <v>135</v>
      </c>
      <c r="H2987" t="inlineStr">
        <is>
          <t>customer_payment</t>
        </is>
      </c>
      <c r="I2987" t="inlineStr"/>
      <c r="J2987" t="inlineStr">
        <is>
          <t>G00057</t>
        </is>
      </c>
      <c r="K2987" t="str">
        <f>INDEX('Match Groups'!$D$5:$D$1326,MATCH(J2987,'Match Groups'!$A$5:$A$1326,0))</f>
        <v>STRIPE-FEE</v>
      </c>
    </row>
    <row r="2988">
      <c r="A2988" t="inlineStr">
        <is>
          <t>JI-03009</t>
        </is>
      </c>
      <c r="B2988" t="inlineStr">
        <is>
          <t>OPS</t>
        </is>
      </c>
      <c r="C2988" s="5" t="n">
        <v>46261</v>
      </c>
      <c r="D2988" t="inlineStr">
        <is>
          <t>Stripe patient 63094</t>
        </is>
      </c>
      <c r="E2988" t="inlineStr">
        <is>
          <t>INV/2026/04853</t>
        </is>
      </c>
      <c r="F2988" t="inlineStr">
        <is>
          <t>Customer payment INV/2026/04853</t>
        </is>
      </c>
      <c r="G2988" s="9" t="n">
        <v>95</v>
      </c>
      <c r="H2988" t="inlineStr">
        <is>
          <t>customer_payment</t>
        </is>
      </c>
      <c r="I2988" t="inlineStr"/>
      <c r="J2988" t="inlineStr">
        <is>
          <t>G00057</t>
        </is>
      </c>
      <c r="K2988" t="str">
        <f>INDEX('Match Groups'!$D$5:$D$1326,MATCH(J2988,'Match Groups'!$A$5:$A$1326,0))</f>
        <v>STRIPE-FEE</v>
      </c>
    </row>
    <row r="2989">
      <c r="A2989" t="inlineStr">
        <is>
          <t>JI-03010</t>
        </is>
      </c>
      <c r="B2989" t="inlineStr">
        <is>
          <t>OPS</t>
        </is>
      </c>
      <c r="C2989" s="5" t="n">
        <v>46261</v>
      </c>
      <c r="D2989" t="inlineStr">
        <is>
          <t>Stripe patient 29196</t>
        </is>
      </c>
      <c r="E2989" t="inlineStr">
        <is>
          <t>INV/2026/04854</t>
        </is>
      </c>
      <c r="F2989" t="inlineStr">
        <is>
          <t>Customer payment INV/2026/04854</t>
        </is>
      </c>
      <c r="G2989" s="9" t="n">
        <v>95</v>
      </c>
      <c r="H2989" t="inlineStr">
        <is>
          <t>customer_payment</t>
        </is>
      </c>
      <c r="I2989" t="inlineStr"/>
      <c r="J2989" t="inlineStr">
        <is>
          <t>G00057</t>
        </is>
      </c>
      <c r="K2989" t="str">
        <f>INDEX('Match Groups'!$D$5:$D$1326,MATCH(J2989,'Match Groups'!$A$5:$A$1326,0))</f>
        <v>STRIPE-FEE</v>
      </c>
    </row>
    <row r="2990">
      <c r="A2990" t="inlineStr">
        <is>
          <t>JI-03011</t>
        </is>
      </c>
      <c r="B2990" t="inlineStr">
        <is>
          <t>OPS</t>
        </is>
      </c>
      <c r="C2990" s="5" t="n">
        <v>46261</v>
      </c>
      <c r="D2990" t="inlineStr">
        <is>
          <t>Stripe patient 11793</t>
        </is>
      </c>
      <c r="E2990" t="inlineStr">
        <is>
          <t>INV/2026/04855</t>
        </is>
      </c>
      <c r="F2990" t="inlineStr">
        <is>
          <t>Customer payment INV/2026/04855</t>
        </is>
      </c>
      <c r="G2990" s="9" t="n">
        <v>110</v>
      </c>
      <c r="H2990" t="inlineStr">
        <is>
          <t>customer_payment</t>
        </is>
      </c>
      <c r="I2990" t="inlineStr"/>
      <c r="J2990" t="inlineStr">
        <is>
          <t>G00057</t>
        </is>
      </c>
      <c r="K2990" t="str">
        <f>INDEX('Match Groups'!$D$5:$D$1326,MATCH(J2990,'Match Groups'!$A$5:$A$1326,0))</f>
        <v>STRIPE-FEE</v>
      </c>
    </row>
    <row r="2991">
      <c r="A2991" t="inlineStr">
        <is>
          <t>JI-03012</t>
        </is>
      </c>
      <c r="B2991" t="inlineStr">
        <is>
          <t>OPS</t>
        </is>
      </c>
      <c r="C2991" s="5" t="n">
        <v>46261</v>
      </c>
      <c r="D2991" t="inlineStr">
        <is>
          <t>Stripe patient 79684</t>
        </is>
      </c>
      <c r="E2991" t="inlineStr">
        <is>
          <t>INV/2026/04856</t>
        </is>
      </c>
      <c r="F2991" t="inlineStr">
        <is>
          <t>Customer payment INV/2026/04856</t>
        </is>
      </c>
      <c r="G2991" s="9" t="n">
        <v>65</v>
      </c>
      <c r="H2991" t="inlineStr">
        <is>
          <t>customer_payment</t>
        </is>
      </c>
      <c r="I2991" t="inlineStr"/>
      <c r="J2991" t="inlineStr">
        <is>
          <t>G00057</t>
        </is>
      </c>
      <c r="K2991" t="str">
        <f>INDEX('Match Groups'!$D$5:$D$1326,MATCH(J2991,'Match Groups'!$A$5:$A$1326,0))</f>
        <v>STRIPE-FEE</v>
      </c>
    </row>
    <row r="2992">
      <c r="A2992" t="inlineStr">
        <is>
          <t>JI-03013</t>
        </is>
      </c>
      <c r="B2992" t="inlineStr">
        <is>
          <t>OPS</t>
        </is>
      </c>
      <c r="C2992" s="5" t="n">
        <v>46261</v>
      </c>
      <c r="D2992" t="inlineStr">
        <is>
          <t>Stripe patient 39312</t>
        </is>
      </c>
      <c r="E2992" t="inlineStr">
        <is>
          <t>INV/2026/04857</t>
        </is>
      </c>
      <c r="F2992" t="inlineStr">
        <is>
          <t>Customer payment INV/2026/04857</t>
        </is>
      </c>
      <c r="G2992" s="9" t="n">
        <v>220</v>
      </c>
      <c r="H2992" t="inlineStr">
        <is>
          <t>customer_payment</t>
        </is>
      </c>
      <c r="I2992" t="inlineStr"/>
      <c r="J2992" t="inlineStr">
        <is>
          <t>G00057</t>
        </is>
      </c>
      <c r="K2992" t="str">
        <f>INDEX('Match Groups'!$D$5:$D$1326,MATCH(J2992,'Match Groups'!$A$5:$A$1326,0))</f>
        <v>STRIPE-FEE</v>
      </c>
    </row>
    <row r="2993">
      <c r="A2993" t="inlineStr">
        <is>
          <t>JI-03014</t>
        </is>
      </c>
      <c r="B2993" t="inlineStr">
        <is>
          <t>OPS</t>
        </is>
      </c>
      <c r="C2993" s="5" t="n">
        <v>46261</v>
      </c>
      <c r="D2993" t="inlineStr">
        <is>
          <t>Stripe patient 90978</t>
        </is>
      </c>
      <c r="E2993" t="inlineStr">
        <is>
          <t>INV/2026/04858</t>
        </is>
      </c>
      <c r="F2993" t="inlineStr">
        <is>
          <t>Customer payment INV/2026/04858</t>
        </is>
      </c>
      <c r="G2993" s="9" t="n">
        <v>220</v>
      </c>
      <c r="H2993" t="inlineStr">
        <is>
          <t>customer_payment</t>
        </is>
      </c>
      <c r="I2993" t="inlineStr"/>
      <c r="J2993" t="inlineStr">
        <is>
          <t>G00057</t>
        </is>
      </c>
      <c r="K2993" t="str">
        <f>INDEX('Match Groups'!$D$5:$D$1326,MATCH(J2993,'Match Groups'!$A$5:$A$1326,0))</f>
        <v>STRIPE-FEE</v>
      </c>
    </row>
    <row r="2994">
      <c r="A2994" t="inlineStr">
        <is>
          <t>JI-03015</t>
        </is>
      </c>
      <c r="B2994" t="inlineStr">
        <is>
          <t>OPS</t>
        </is>
      </c>
      <c r="C2994" s="5" t="n">
        <v>46261</v>
      </c>
      <c r="D2994" t="inlineStr">
        <is>
          <t>Stripe patient 68795</t>
        </is>
      </c>
      <c r="E2994" t="inlineStr">
        <is>
          <t>INV/2026/04859</t>
        </is>
      </c>
      <c r="F2994" t="inlineStr">
        <is>
          <t>Customer payment INV/2026/04859</t>
        </is>
      </c>
      <c r="G2994" s="9" t="n">
        <v>220</v>
      </c>
      <c r="H2994" t="inlineStr">
        <is>
          <t>customer_payment</t>
        </is>
      </c>
      <c r="I2994" t="inlineStr"/>
      <c r="J2994" t="inlineStr">
        <is>
          <t>G00057</t>
        </is>
      </c>
      <c r="K2994" t="str">
        <f>INDEX('Match Groups'!$D$5:$D$1326,MATCH(J2994,'Match Groups'!$A$5:$A$1326,0))</f>
        <v>STRIPE-FEE</v>
      </c>
    </row>
    <row r="2995">
      <c r="A2995" t="inlineStr">
        <is>
          <t>JI-03016</t>
        </is>
      </c>
      <c r="B2995" t="inlineStr">
        <is>
          <t>OPS</t>
        </is>
      </c>
      <c r="C2995" s="5" t="n">
        <v>46261</v>
      </c>
      <c r="D2995" t="inlineStr">
        <is>
          <t>Stripe patient 74879</t>
        </is>
      </c>
      <c r="E2995" t="inlineStr">
        <is>
          <t>INV/2026/04860</t>
        </is>
      </c>
      <c r="F2995" t="inlineStr">
        <is>
          <t>Customer payment INV/2026/04860</t>
        </is>
      </c>
      <c r="G2995" s="9" t="n">
        <v>110</v>
      </c>
      <c r="H2995" t="inlineStr">
        <is>
          <t>customer_payment</t>
        </is>
      </c>
      <c r="I2995" t="inlineStr"/>
      <c r="J2995" t="inlineStr">
        <is>
          <t>G00057</t>
        </is>
      </c>
      <c r="K2995" t="str">
        <f>INDEX('Match Groups'!$D$5:$D$1326,MATCH(J2995,'Match Groups'!$A$5:$A$1326,0))</f>
        <v>STRIPE-FEE</v>
      </c>
    </row>
    <row r="2996">
      <c r="A2996" t="inlineStr">
        <is>
          <t>JI-03017</t>
        </is>
      </c>
      <c r="B2996" t="inlineStr">
        <is>
          <t>OPS</t>
        </is>
      </c>
      <c r="C2996" s="5" t="n">
        <v>46261</v>
      </c>
      <c r="D2996" t="inlineStr">
        <is>
          <t>Stripe patient 26676</t>
        </is>
      </c>
      <c r="E2996" t="inlineStr">
        <is>
          <t>INV/2026/04861</t>
        </is>
      </c>
      <c r="F2996" t="inlineStr">
        <is>
          <t>Customer payment INV/2026/04861</t>
        </is>
      </c>
      <c r="G2996" s="9" t="n">
        <v>95</v>
      </c>
      <c r="H2996" t="inlineStr">
        <is>
          <t>customer_payment</t>
        </is>
      </c>
      <c r="I2996" t="inlineStr"/>
      <c r="J2996" t="inlineStr">
        <is>
          <t>G00057</t>
        </is>
      </c>
      <c r="K2996" t="str">
        <f>INDEX('Match Groups'!$D$5:$D$1326,MATCH(J2996,'Match Groups'!$A$5:$A$1326,0))</f>
        <v>STRIPE-FEE</v>
      </c>
    </row>
    <row r="2997">
      <c r="A2997" t="inlineStr">
        <is>
          <t>JI-03018</t>
        </is>
      </c>
      <c r="B2997" t="inlineStr">
        <is>
          <t>OPS</t>
        </is>
      </c>
      <c r="C2997" s="5" t="n">
        <v>46261</v>
      </c>
      <c r="D2997" t="inlineStr">
        <is>
          <t>Stripe patient 13035</t>
        </is>
      </c>
      <c r="E2997" t="inlineStr">
        <is>
          <t>INV/2026/04862</t>
        </is>
      </c>
      <c r="F2997" t="inlineStr">
        <is>
          <t>Customer payment INV/2026/04862</t>
        </is>
      </c>
      <c r="G2997" s="9" t="n">
        <v>120</v>
      </c>
      <c r="H2997" t="inlineStr">
        <is>
          <t>customer_payment</t>
        </is>
      </c>
      <c r="I2997" t="inlineStr"/>
      <c r="J2997" t="inlineStr">
        <is>
          <t>G00057</t>
        </is>
      </c>
      <c r="K2997" t="str">
        <f>INDEX('Match Groups'!$D$5:$D$1326,MATCH(J2997,'Match Groups'!$A$5:$A$1326,0))</f>
        <v>STRIPE-FEE</v>
      </c>
    </row>
    <row r="2998">
      <c r="A2998" t="inlineStr">
        <is>
          <t>JI-03019</t>
        </is>
      </c>
      <c r="B2998" t="inlineStr">
        <is>
          <t>OPS</t>
        </is>
      </c>
      <c r="C2998" s="5" t="n">
        <v>46261</v>
      </c>
      <c r="D2998" t="inlineStr">
        <is>
          <t>Stripe patient 33299</t>
        </is>
      </c>
      <c r="E2998" t="inlineStr">
        <is>
          <t>INV/2026/04863</t>
        </is>
      </c>
      <c r="F2998" t="inlineStr">
        <is>
          <t>Customer payment INV/2026/04863</t>
        </is>
      </c>
      <c r="G2998" s="9" t="n">
        <v>120</v>
      </c>
      <c r="H2998" t="inlineStr">
        <is>
          <t>customer_payment</t>
        </is>
      </c>
      <c r="I2998" t="inlineStr"/>
      <c r="J2998" t="inlineStr">
        <is>
          <t>G00057</t>
        </is>
      </c>
      <c r="K2998" t="str">
        <f>INDEX('Match Groups'!$D$5:$D$1326,MATCH(J2998,'Match Groups'!$A$5:$A$1326,0))</f>
        <v>STRIPE-FEE</v>
      </c>
    </row>
    <row r="2999">
      <c r="A2999" t="inlineStr">
        <is>
          <t>JI-03020</t>
        </is>
      </c>
      <c r="B2999" t="inlineStr">
        <is>
          <t>OPS</t>
        </is>
      </c>
      <c r="C2999" s="5" t="n">
        <v>46261</v>
      </c>
      <c r="D2999" t="inlineStr">
        <is>
          <t>Stripe patient 54202</t>
        </is>
      </c>
      <c r="E2999" t="inlineStr">
        <is>
          <t>INV/2026/04864</t>
        </is>
      </c>
      <c r="F2999" t="inlineStr">
        <is>
          <t>Customer payment INV/2026/04864</t>
        </is>
      </c>
      <c r="G2999" s="9" t="n">
        <v>95</v>
      </c>
      <c r="H2999" t="inlineStr">
        <is>
          <t>customer_payment</t>
        </is>
      </c>
      <c r="I2999" t="inlineStr"/>
      <c r="J2999" t="inlineStr">
        <is>
          <t>G00057</t>
        </is>
      </c>
      <c r="K2999" t="str">
        <f>INDEX('Match Groups'!$D$5:$D$1326,MATCH(J2999,'Match Groups'!$A$5:$A$1326,0))</f>
        <v>STRIPE-FEE</v>
      </c>
    </row>
    <row r="3000">
      <c r="A3000" t="inlineStr">
        <is>
          <t>JI-03021</t>
        </is>
      </c>
      <c r="B3000" t="inlineStr">
        <is>
          <t>OPS</t>
        </is>
      </c>
      <c r="C3000" s="5" t="n">
        <v>46261</v>
      </c>
      <c r="D3000" t="inlineStr">
        <is>
          <t>Stripe patient 67328</t>
        </is>
      </c>
      <c r="E3000" t="inlineStr">
        <is>
          <t>INV/2026/04865</t>
        </is>
      </c>
      <c r="F3000" t="inlineStr">
        <is>
          <t>Customer payment INV/2026/04865</t>
        </is>
      </c>
      <c r="G3000" s="9" t="n">
        <v>65</v>
      </c>
      <c r="H3000" t="inlineStr">
        <is>
          <t>customer_payment</t>
        </is>
      </c>
      <c r="I3000" t="inlineStr"/>
      <c r="J3000" t="inlineStr">
        <is>
          <t>G00057</t>
        </is>
      </c>
      <c r="K3000" t="str">
        <f>INDEX('Match Groups'!$D$5:$D$1326,MATCH(J3000,'Match Groups'!$A$5:$A$1326,0))</f>
        <v>STRIPE-FEE</v>
      </c>
    </row>
    <row r="3001">
      <c r="A3001" t="inlineStr">
        <is>
          <t>JI-03022</t>
        </is>
      </c>
      <c r="B3001" t="inlineStr">
        <is>
          <t>OPS</t>
        </is>
      </c>
      <c r="C3001" s="5" t="n">
        <v>46261</v>
      </c>
      <c r="D3001" t="inlineStr">
        <is>
          <t>Stripe patient 30544</t>
        </is>
      </c>
      <c r="E3001" t="inlineStr">
        <is>
          <t>INV/2026/04866</t>
        </is>
      </c>
      <c r="F3001" t="inlineStr">
        <is>
          <t>Customer payment INV/2026/04866</t>
        </is>
      </c>
      <c r="G3001" s="9" t="n">
        <v>135</v>
      </c>
      <c r="H3001" t="inlineStr">
        <is>
          <t>customer_payment</t>
        </is>
      </c>
      <c r="I3001" t="inlineStr"/>
      <c r="J3001" t="inlineStr">
        <is>
          <t>G00057</t>
        </is>
      </c>
      <c r="K3001" t="str">
        <f>INDEX('Match Groups'!$D$5:$D$1326,MATCH(J3001,'Match Groups'!$A$5:$A$1326,0))</f>
        <v>STRIPE-FEE</v>
      </c>
    </row>
    <row r="3002">
      <c r="A3002" t="inlineStr">
        <is>
          <t>JI-03023</t>
        </is>
      </c>
      <c r="B3002" t="inlineStr">
        <is>
          <t>OPS</t>
        </is>
      </c>
      <c r="C3002" s="5" t="n">
        <v>46261</v>
      </c>
      <c r="D3002" t="inlineStr">
        <is>
          <t>Stripe patient 42645</t>
        </is>
      </c>
      <c r="E3002" t="inlineStr">
        <is>
          <t>INV/2026/04867</t>
        </is>
      </c>
      <c r="F3002" t="inlineStr">
        <is>
          <t>Customer payment INV/2026/04867</t>
        </is>
      </c>
      <c r="G3002" s="9" t="n">
        <v>220</v>
      </c>
      <c r="H3002" t="inlineStr">
        <is>
          <t>customer_payment</t>
        </is>
      </c>
      <c r="I3002" t="inlineStr"/>
      <c r="J3002" t="inlineStr">
        <is>
          <t>G00057</t>
        </is>
      </c>
      <c r="K3002" t="str">
        <f>INDEX('Match Groups'!$D$5:$D$1326,MATCH(J3002,'Match Groups'!$A$5:$A$1326,0))</f>
        <v>STRIPE-FEE</v>
      </c>
    </row>
    <row r="3003">
      <c r="A3003" t="inlineStr">
        <is>
          <t>JI-03024</t>
        </is>
      </c>
      <c r="B3003" t="inlineStr">
        <is>
          <t>OPS</t>
        </is>
      </c>
      <c r="C3003" s="5" t="n">
        <v>46261</v>
      </c>
      <c r="D3003" t="inlineStr">
        <is>
          <t>Stripe patient 61141</t>
        </is>
      </c>
      <c r="E3003" t="inlineStr">
        <is>
          <t>INV/2026/04868</t>
        </is>
      </c>
      <c r="F3003" t="inlineStr">
        <is>
          <t>Customer payment INV/2026/04868</t>
        </is>
      </c>
      <c r="G3003" s="9" t="n">
        <v>65</v>
      </c>
      <c r="H3003" t="inlineStr">
        <is>
          <t>customer_payment</t>
        </is>
      </c>
      <c r="I3003" t="inlineStr"/>
      <c r="J3003" t="inlineStr">
        <is>
          <t>G00057</t>
        </is>
      </c>
      <c r="K3003" t="str">
        <f>INDEX('Match Groups'!$D$5:$D$1326,MATCH(J3003,'Match Groups'!$A$5:$A$1326,0))</f>
        <v>STRIPE-FEE</v>
      </c>
    </row>
    <row r="3004">
      <c r="A3004" t="inlineStr">
        <is>
          <t>JI-03025</t>
        </is>
      </c>
      <c r="B3004" t="inlineStr">
        <is>
          <t>OPS</t>
        </is>
      </c>
      <c r="C3004" s="5" t="n">
        <v>46261</v>
      </c>
      <c r="D3004" t="inlineStr">
        <is>
          <t>Stripe patient 55487</t>
        </is>
      </c>
      <c r="E3004" t="inlineStr">
        <is>
          <t>INV/2026/04869</t>
        </is>
      </c>
      <c r="F3004" t="inlineStr">
        <is>
          <t>Customer payment INV/2026/04869</t>
        </is>
      </c>
      <c r="G3004" s="9" t="n">
        <v>110</v>
      </c>
      <c r="H3004" t="inlineStr">
        <is>
          <t>customer_payment</t>
        </is>
      </c>
      <c r="I3004" t="inlineStr"/>
      <c r="J3004" t="inlineStr">
        <is>
          <t>G00057</t>
        </is>
      </c>
      <c r="K3004" t="str">
        <f>INDEX('Match Groups'!$D$5:$D$1326,MATCH(J3004,'Match Groups'!$A$5:$A$1326,0))</f>
        <v>STRIPE-FEE</v>
      </c>
    </row>
    <row r="3005">
      <c r="A3005" t="inlineStr">
        <is>
          <t>JI-03026</t>
        </is>
      </c>
      <c r="B3005" t="inlineStr">
        <is>
          <t>OPS</t>
        </is>
      </c>
      <c r="C3005" s="5" t="n">
        <v>46261</v>
      </c>
      <c r="D3005" t="inlineStr">
        <is>
          <t>Stripe patient 35166</t>
        </is>
      </c>
      <c r="E3005" t="inlineStr">
        <is>
          <t>INV/2026/04870</t>
        </is>
      </c>
      <c r="F3005" t="inlineStr">
        <is>
          <t>Customer payment INV/2026/04870</t>
        </is>
      </c>
      <c r="G3005" s="9" t="n">
        <v>180</v>
      </c>
      <c r="H3005" t="inlineStr">
        <is>
          <t>customer_payment</t>
        </is>
      </c>
      <c r="I3005" t="inlineStr"/>
      <c r="J3005" t="inlineStr">
        <is>
          <t>G00057</t>
        </is>
      </c>
      <c r="K3005" t="str">
        <f>INDEX('Match Groups'!$D$5:$D$1326,MATCH(J3005,'Match Groups'!$A$5:$A$1326,0))</f>
        <v>STRIPE-FEE</v>
      </c>
    </row>
    <row r="3006">
      <c r="A3006" t="inlineStr">
        <is>
          <t>JI-03027</t>
        </is>
      </c>
      <c r="B3006" t="inlineStr">
        <is>
          <t>OPS</t>
        </is>
      </c>
      <c r="C3006" s="5" t="n">
        <v>46261</v>
      </c>
      <c r="D3006" t="inlineStr">
        <is>
          <t>Stripe patient 49107</t>
        </is>
      </c>
      <c r="E3006" t="inlineStr">
        <is>
          <t>INV/2026/04871</t>
        </is>
      </c>
      <c r="F3006" t="inlineStr">
        <is>
          <t>Customer payment INV/2026/04871</t>
        </is>
      </c>
      <c r="G3006" s="9" t="n">
        <v>120</v>
      </c>
      <c r="H3006" t="inlineStr">
        <is>
          <t>customer_payment</t>
        </is>
      </c>
      <c r="I3006" t="inlineStr"/>
      <c r="J3006" t="inlineStr">
        <is>
          <t>G00057</t>
        </is>
      </c>
      <c r="K3006" t="str">
        <f>INDEX('Match Groups'!$D$5:$D$1326,MATCH(J3006,'Match Groups'!$A$5:$A$1326,0))</f>
        <v>STRIPE-FEE</v>
      </c>
    </row>
    <row r="3007">
      <c r="A3007" t="inlineStr">
        <is>
          <t>JI-03028</t>
        </is>
      </c>
      <c r="B3007" t="inlineStr">
        <is>
          <t>OPS</t>
        </is>
      </c>
      <c r="C3007" s="5" t="n">
        <v>46261</v>
      </c>
      <c r="D3007" t="inlineStr">
        <is>
          <t>Stripe patient 25182</t>
        </is>
      </c>
      <c r="E3007" t="inlineStr">
        <is>
          <t>INV/2026/04872</t>
        </is>
      </c>
      <c r="F3007" t="inlineStr">
        <is>
          <t>Customer payment INV/2026/04872</t>
        </is>
      </c>
      <c r="G3007" s="9" t="n">
        <v>95</v>
      </c>
      <c r="H3007" t="inlineStr">
        <is>
          <t>customer_payment</t>
        </is>
      </c>
      <c r="I3007" t="inlineStr"/>
      <c r="J3007" t="inlineStr">
        <is>
          <t>G00057</t>
        </is>
      </c>
      <c r="K3007" t="str">
        <f>INDEX('Match Groups'!$D$5:$D$1326,MATCH(J3007,'Match Groups'!$A$5:$A$1326,0))</f>
        <v>STRIPE-FEE</v>
      </c>
    </row>
    <row r="3008">
      <c r="A3008" t="inlineStr">
        <is>
          <t>JI-03029</t>
        </is>
      </c>
      <c r="B3008" t="inlineStr">
        <is>
          <t>OPS</t>
        </is>
      </c>
      <c r="C3008" s="5" t="n">
        <v>46261</v>
      </c>
      <c r="D3008" t="inlineStr">
        <is>
          <t>Stripe patient 98898</t>
        </is>
      </c>
      <c r="E3008" t="inlineStr">
        <is>
          <t>INV/2026/04873</t>
        </is>
      </c>
      <c r="F3008" t="inlineStr">
        <is>
          <t>Customer payment INV/2026/04873</t>
        </is>
      </c>
      <c r="G3008" s="9" t="n">
        <v>220</v>
      </c>
      <c r="H3008" t="inlineStr">
        <is>
          <t>customer_payment</t>
        </is>
      </c>
      <c r="I3008" t="inlineStr"/>
      <c r="J3008" t="inlineStr">
        <is>
          <t>G00057</t>
        </is>
      </c>
      <c r="K3008" t="str">
        <f>INDEX('Match Groups'!$D$5:$D$1326,MATCH(J3008,'Match Groups'!$A$5:$A$1326,0))</f>
        <v>STRIPE-FEE</v>
      </c>
    </row>
    <row r="3009">
      <c r="A3009" t="inlineStr">
        <is>
          <t>JI-03030</t>
        </is>
      </c>
      <c r="B3009" t="inlineStr">
        <is>
          <t>OPS</t>
        </is>
      </c>
      <c r="C3009" s="5" t="n">
        <v>46261</v>
      </c>
      <c r="D3009" t="inlineStr">
        <is>
          <t>Stripe patient 93864</t>
        </is>
      </c>
      <c r="E3009" t="inlineStr">
        <is>
          <t>INV/2026/04874</t>
        </is>
      </c>
      <c r="F3009" t="inlineStr">
        <is>
          <t>Customer payment INV/2026/04874</t>
        </is>
      </c>
      <c r="G3009" s="9" t="n">
        <v>65</v>
      </c>
      <c r="H3009" t="inlineStr">
        <is>
          <t>customer_payment</t>
        </is>
      </c>
      <c r="I3009" t="inlineStr"/>
      <c r="J3009" t="inlineStr">
        <is>
          <t>G00057</t>
        </is>
      </c>
      <c r="K3009" t="str">
        <f>INDEX('Match Groups'!$D$5:$D$1326,MATCH(J3009,'Match Groups'!$A$5:$A$1326,0))</f>
        <v>STRIPE-FEE</v>
      </c>
    </row>
    <row r="3010">
      <c r="A3010" t="inlineStr">
        <is>
          <t>JI-03031</t>
        </is>
      </c>
      <c r="B3010" t="inlineStr">
        <is>
          <t>OPS</t>
        </is>
      </c>
      <c r="C3010" s="5" t="n">
        <v>46261</v>
      </c>
      <c r="D3010" t="inlineStr">
        <is>
          <t>Stripe patient 14251</t>
        </is>
      </c>
      <c r="E3010" t="inlineStr">
        <is>
          <t>INV/2026/04875</t>
        </is>
      </c>
      <c r="F3010" t="inlineStr">
        <is>
          <t>Customer payment INV/2026/04875</t>
        </is>
      </c>
      <c r="G3010" s="9" t="n">
        <v>110</v>
      </c>
      <c r="H3010" t="inlineStr">
        <is>
          <t>customer_payment</t>
        </is>
      </c>
      <c r="I3010" t="inlineStr"/>
      <c r="J3010" t="inlineStr">
        <is>
          <t>G00057</t>
        </is>
      </c>
      <c r="K3010" t="str">
        <f>INDEX('Match Groups'!$D$5:$D$1326,MATCH(J3010,'Match Groups'!$A$5:$A$1326,0))</f>
        <v>STRIPE-FEE</v>
      </c>
    </row>
    <row r="3011">
      <c r="A3011" t="inlineStr">
        <is>
          <t>JI-03032</t>
        </is>
      </c>
      <c r="B3011" t="inlineStr">
        <is>
          <t>OPS</t>
        </is>
      </c>
      <c r="C3011" s="5" t="n">
        <v>46261</v>
      </c>
      <c r="D3011" t="inlineStr">
        <is>
          <t>Stripe patient 76127</t>
        </is>
      </c>
      <c r="E3011" t="inlineStr">
        <is>
          <t>INV/2026/04876</t>
        </is>
      </c>
      <c r="F3011" t="inlineStr">
        <is>
          <t>Customer payment INV/2026/04876</t>
        </is>
      </c>
      <c r="G3011" s="9" t="n">
        <v>150</v>
      </c>
      <c r="H3011" t="inlineStr">
        <is>
          <t>customer_payment</t>
        </is>
      </c>
      <c r="I3011" t="inlineStr"/>
      <c r="J3011" t="inlineStr">
        <is>
          <t>G00057</t>
        </is>
      </c>
      <c r="K3011" t="str">
        <f>INDEX('Match Groups'!$D$5:$D$1326,MATCH(J3011,'Match Groups'!$A$5:$A$1326,0))</f>
        <v>STRIPE-FEE</v>
      </c>
    </row>
    <row r="3012">
      <c r="A3012" t="inlineStr">
        <is>
          <t>JI-03033</t>
        </is>
      </c>
      <c r="B3012" t="inlineStr">
        <is>
          <t>OPS</t>
        </is>
      </c>
      <c r="C3012" s="5" t="n">
        <v>46261</v>
      </c>
      <c r="D3012" t="inlineStr">
        <is>
          <t>Stripe patient 43660</t>
        </is>
      </c>
      <c r="E3012" t="inlineStr">
        <is>
          <t>INV/2026/04877</t>
        </is>
      </c>
      <c r="F3012" t="inlineStr">
        <is>
          <t>Customer payment INV/2026/04877</t>
        </is>
      </c>
      <c r="G3012" s="9" t="n">
        <v>135</v>
      </c>
      <c r="H3012" t="inlineStr">
        <is>
          <t>customer_payment</t>
        </is>
      </c>
      <c r="I3012" t="inlineStr"/>
      <c r="J3012" t="inlineStr">
        <is>
          <t>G00057</t>
        </is>
      </c>
      <c r="K3012" t="str">
        <f>INDEX('Match Groups'!$D$5:$D$1326,MATCH(J3012,'Match Groups'!$A$5:$A$1326,0))</f>
        <v>STRIPE-FEE</v>
      </c>
    </row>
    <row r="3013">
      <c r="A3013" t="inlineStr">
        <is>
          <t>JI-03034</t>
        </is>
      </c>
      <c r="B3013" t="inlineStr">
        <is>
          <t>OPS</t>
        </is>
      </c>
      <c r="C3013" s="5" t="n">
        <v>46261</v>
      </c>
      <c r="D3013" t="inlineStr">
        <is>
          <t>Stripe patient 60582</t>
        </is>
      </c>
      <c r="E3013" t="inlineStr">
        <is>
          <t>INV/2026/04878</t>
        </is>
      </c>
      <c r="F3013" t="inlineStr">
        <is>
          <t>Customer payment INV/2026/04878</t>
        </is>
      </c>
      <c r="G3013" s="9" t="n">
        <v>120</v>
      </c>
      <c r="H3013" t="inlineStr">
        <is>
          <t>customer_payment</t>
        </is>
      </c>
      <c r="I3013" t="inlineStr"/>
      <c r="J3013" t="inlineStr">
        <is>
          <t>G00057</t>
        </is>
      </c>
      <c r="K3013" t="str">
        <f>INDEX('Match Groups'!$D$5:$D$1326,MATCH(J3013,'Match Groups'!$A$5:$A$1326,0))</f>
        <v>STRIPE-FEE</v>
      </c>
    </row>
    <row r="3014">
      <c r="A3014" t="inlineStr">
        <is>
          <t>JI-03035</t>
        </is>
      </c>
      <c r="B3014" t="inlineStr">
        <is>
          <t>OPS</t>
        </is>
      </c>
      <c r="C3014" s="5" t="n">
        <v>46261</v>
      </c>
      <c r="D3014" t="inlineStr">
        <is>
          <t>Stripe patient 17055</t>
        </is>
      </c>
      <c r="E3014" t="inlineStr">
        <is>
          <t>INV/2026/04879</t>
        </is>
      </c>
      <c r="F3014" t="inlineStr">
        <is>
          <t>Customer payment INV/2026/04879</t>
        </is>
      </c>
      <c r="G3014" s="9" t="n">
        <v>95</v>
      </c>
      <c r="H3014" t="inlineStr">
        <is>
          <t>customer_payment</t>
        </is>
      </c>
      <c r="I3014" t="inlineStr"/>
      <c r="J3014" t="inlineStr">
        <is>
          <t>G00057</t>
        </is>
      </c>
      <c r="K3014" t="str">
        <f>INDEX('Match Groups'!$D$5:$D$1326,MATCH(J3014,'Match Groups'!$A$5:$A$1326,0))</f>
        <v>STRIPE-FEE</v>
      </c>
    </row>
    <row r="3015">
      <c r="A3015" t="inlineStr">
        <is>
          <t>JI-01104</t>
        </is>
      </c>
      <c r="B3015" t="inlineStr">
        <is>
          <t>OPS</t>
        </is>
      </c>
      <c r="C3015" s="5" t="n">
        <v>46262</v>
      </c>
      <c r="D3015" t="inlineStr">
        <is>
          <t>Bluegum Plan Management</t>
        </is>
      </c>
      <c r="E3015" t="inlineStr">
        <is>
          <t>INV/2026/02821</t>
        </is>
      </c>
      <c r="F3015" t="inlineStr">
        <is>
          <t>Customer payment INV/2026/02821</t>
        </is>
      </c>
      <c r="G3015" s="9" t="n">
        <v>242.49</v>
      </c>
      <c r="H3015" t="inlineStr">
        <is>
          <t>customer_payment</t>
        </is>
      </c>
      <c r="I3015" t="inlineStr"/>
      <c r="J3015" t="inlineStr">
        <is>
          <t>G00356</t>
        </is>
      </c>
      <c r="K3015" t="str">
        <f>INDEX('Match Groups'!$D$5:$D$1326,MATCH(J3015,'Match Groups'!$A$5:$A$1326,0))</f>
        <v>MATCH</v>
      </c>
    </row>
    <row r="3016">
      <c r="A3016" t="inlineStr">
        <is>
          <t>JI-01105</t>
        </is>
      </c>
      <c r="B3016" t="inlineStr">
        <is>
          <t>OPS</t>
        </is>
      </c>
      <c r="C3016" s="5" t="n">
        <v>46262</v>
      </c>
      <c r="D3016" t="inlineStr">
        <is>
          <t>Bluegum Plan Management</t>
        </is>
      </c>
      <c r="E3016" t="inlineStr">
        <is>
          <t>INV/2026/02822</t>
        </is>
      </c>
      <c r="F3016" t="inlineStr">
        <is>
          <t>Customer payment INV/2026/02822</t>
        </is>
      </c>
      <c r="G3016" s="9" t="n">
        <v>193.99</v>
      </c>
      <c r="H3016" t="inlineStr">
        <is>
          <t>customer_payment</t>
        </is>
      </c>
      <c r="I3016" t="inlineStr"/>
      <c r="J3016" t="inlineStr">
        <is>
          <t>G00356</t>
        </is>
      </c>
      <c r="K3016" t="str">
        <f>INDEX('Match Groups'!$D$5:$D$1326,MATCH(J3016,'Match Groups'!$A$5:$A$1326,0))</f>
        <v>MATCH</v>
      </c>
    </row>
    <row r="3017">
      <c r="A3017" t="inlineStr">
        <is>
          <t>JI-01106</t>
        </is>
      </c>
      <c r="B3017" t="inlineStr">
        <is>
          <t>OPS</t>
        </is>
      </c>
      <c r="C3017" s="5" t="n">
        <v>46262</v>
      </c>
      <c r="D3017" t="inlineStr">
        <is>
          <t>Riverbend Plan Partners</t>
        </is>
      </c>
      <c r="E3017" t="inlineStr">
        <is>
          <t>INV/2026/02756</t>
        </is>
      </c>
      <c r="F3017" t="inlineStr">
        <is>
          <t>Customer payment INV/2026/02756</t>
        </is>
      </c>
      <c r="G3017" s="9" t="n">
        <v>272.49</v>
      </c>
      <c r="H3017" t="inlineStr">
        <is>
          <t>customer_payment</t>
        </is>
      </c>
      <c r="I3017" t="inlineStr"/>
      <c r="J3017" t="inlineStr">
        <is>
          <t>G00357</t>
        </is>
      </c>
      <c r="K3017" t="str">
        <f>INDEX('Match Groups'!$D$5:$D$1326,MATCH(J3017,'Match Groups'!$A$5:$A$1326,0))</f>
        <v>MATCH</v>
      </c>
    </row>
    <row r="3018">
      <c r="A3018" t="inlineStr">
        <is>
          <t>JI-01107</t>
        </is>
      </c>
      <c r="B3018" t="inlineStr">
        <is>
          <t>OPS</t>
        </is>
      </c>
      <c r="C3018" s="5" t="n">
        <v>46262</v>
      </c>
      <c r="D3018" t="inlineStr">
        <is>
          <t>Riverbend Plan Partners</t>
        </is>
      </c>
      <c r="E3018" t="inlineStr">
        <is>
          <t>INV/2026/02800</t>
        </is>
      </c>
      <c r="F3018" t="inlineStr">
        <is>
          <t>Customer payment INV/2026/02800</t>
        </is>
      </c>
      <c r="G3018" s="9" t="n">
        <v>272.49</v>
      </c>
      <c r="H3018" t="inlineStr">
        <is>
          <t>customer_payment</t>
        </is>
      </c>
      <c r="I3018" t="inlineStr"/>
      <c r="J3018" t="inlineStr">
        <is>
          <t>G00357</t>
        </is>
      </c>
      <c r="K3018" t="str">
        <f>INDEX('Match Groups'!$D$5:$D$1326,MATCH(J3018,'Match Groups'!$A$5:$A$1326,0))</f>
        <v>MATCH</v>
      </c>
    </row>
    <row r="3019">
      <c r="A3019" t="inlineStr">
        <is>
          <t>JI-01108</t>
        </is>
      </c>
      <c r="B3019" t="inlineStr">
        <is>
          <t>OPS</t>
        </is>
      </c>
      <c r="C3019" s="5" t="n">
        <v>46262</v>
      </c>
      <c r="D3019" t="inlineStr">
        <is>
          <t>Banksia Plan Co</t>
        </is>
      </c>
      <c r="E3019" t="inlineStr">
        <is>
          <t>INV/2026/02827</t>
        </is>
      </c>
      <c r="F3019" t="inlineStr">
        <is>
          <t>Customer payment INV/2026/02827</t>
        </is>
      </c>
      <c r="G3019" s="9" t="n">
        <v>193.99</v>
      </c>
      <c r="H3019" t="inlineStr">
        <is>
          <t>customer_payment</t>
        </is>
      </c>
      <c r="I3019" t="inlineStr"/>
      <c r="J3019" t="inlineStr">
        <is>
          <t>G00358</t>
        </is>
      </c>
      <c r="K3019" t="str">
        <f>INDEX('Match Groups'!$D$5:$D$1326,MATCH(J3019,'Match Groups'!$A$5:$A$1326,0))</f>
        <v>MATCH</v>
      </c>
    </row>
    <row r="3020">
      <c r="A3020" t="inlineStr">
        <is>
          <t>JI-01109</t>
        </is>
      </c>
      <c r="B3020" t="inlineStr">
        <is>
          <t>OPS</t>
        </is>
      </c>
      <c r="C3020" s="5" t="n">
        <v>46262</v>
      </c>
      <c r="D3020" t="inlineStr">
        <is>
          <t>Banksia Plan Co</t>
        </is>
      </c>
      <c r="E3020" t="inlineStr">
        <is>
          <t>INV/2026/02828</t>
        </is>
      </c>
      <c r="F3020" t="inlineStr">
        <is>
          <t>Customer payment INV/2026/02828</t>
        </is>
      </c>
      <c r="G3020" s="9" t="n">
        <v>96.98999999999999</v>
      </c>
      <c r="H3020" t="inlineStr">
        <is>
          <t>customer_payment</t>
        </is>
      </c>
      <c r="I3020" t="inlineStr"/>
      <c r="J3020" t="inlineStr">
        <is>
          <t>G00358</t>
        </is>
      </c>
      <c r="K3020" t="str">
        <f>INDEX('Match Groups'!$D$5:$D$1326,MATCH(J3020,'Match Groups'!$A$5:$A$1326,0))</f>
        <v>MATCH</v>
      </c>
    </row>
    <row r="3021">
      <c r="A3021" t="inlineStr">
        <is>
          <t>JI-01110</t>
        </is>
      </c>
      <c r="B3021" t="inlineStr">
        <is>
          <t>OPS</t>
        </is>
      </c>
      <c r="C3021" s="5" t="n">
        <v>46262</v>
      </c>
      <c r="D3021" t="inlineStr">
        <is>
          <t>Kookaburra Plan Support</t>
        </is>
      </c>
      <c r="E3021" t="inlineStr">
        <is>
          <t>INV/2026/02832</t>
        </is>
      </c>
      <c r="F3021" t="inlineStr">
        <is>
          <t>Customer payment INV/2026/02832</t>
        </is>
      </c>
      <c r="G3021" s="9" t="n">
        <v>242.49</v>
      </c>
      <c r="H3021" t="inlineStr">
        <is>
          <t>customer_payment</t>
        </is>
      </c>
      <c r="I3021" t="inlineStr"/>
      <c r="J3021" t="inlineStr">
        <is>
          <t>G00359</t>
        </is>
      </c>
      <c r="K3021" t="str">
        <f>INDEX('Match Groups'!$D$5:$D$1326,MATCH(J3021,'Match Groups'!$A$5:$A$1326,0))</f>
        <v>MATCH</v>
      </c>
    </row>
    <row r="3022">
      <c r="A3022" t="inlineStr">
        <is>
          <t>JI-01111</t>
        </is>
      </c>
      <c r="B3022" t="inlineStr">
        <is>
          <t>OPS</t>
        </is>
      </c>
      <c r="C3022" s="5" t="n">
        <v>46262</v>
      </c>
      <c r="D3022" t="inlineStr">
        <is>
          <t>Southern Cross Plan Mgmt</t>
        </is>
      </c>
      <c r="E3022" t="inlineStr">
        <is>
          <t>INV/2026/02144</t>
        </is>
      </c>
      <c r="F3022" t="inlineStr">
        <is>
          <t>Customer payment INV/2026/02144</t>
        </is>
      </c>
      <c r="G3022" s="9" t="n">
        <v>223.99</v>
      </c>
      <c r="H3022" t="inlineStr">
        <is>
          <t>customer_payment</t>
        </is>
      </c>
      <c r="I3022" t="inlineStr"/>
      <c r="J3022" t="inlineStr">
        <is>
          <t>G00360</t>
        </is>
      </c>
      <c r="K3022" t="str">
        <f>INDEX('Match Groups'!$D$5:$D$1326,MATCH(J3022,'Match Groups'!$A$5:$A$1326,0))</f>
        <v>MATCH</v>
      </c>
    </row>
    <row r="3023">
      <c r="A3023" t="inlineStr">
        <is>
          <t>JI-01112</t>
        </is>
      </c>
      <c r="B3023" t="inlineStr">
        <is>
          <t>OPS</t>
        </is>
      </c>
      <c r="C3023" s="5" t="n">
        <v>46262</v>
      </c>
      <c r="D3023" t="inlineStr">
        <is>
          <t>Southern Cross Plan Mgmt</t>
        </is>
      </c>
      <c r="E3023" t="inlineStr">
        <is>
          <t>INV/2026/02145</t>
        </is>
      </c>
      <c r="F3023" t="inlineStr">
        <is>
          <t>Customer payment INV/2026/02145</t>
        </is>
      </c>
      <c r="G3023" s="9" t="n">
        <v>320.98</v>
      </c>
      <c r="H3023" t="inlineStr">
        <is>
          <t>customer_payment</t>
        </is>
      </c>
      <c r="I3023" t="inlineStr"/>
      <c r="J3023" t="inlineStr">
        <is>
          <t>G00360</t>
        </is>
      </c>
      <c r="K3023" t="str">
        <f>INDEX('Match Groups'!$D$5:$D$1326,MATCH(J3023,'Match Groups'!$A$5:$A$1326,0))</f>
        <v>MATCH</v>
      </c>
    </row>
    <row r="3024">
      <c r="A3024" t="inlineStr">
        <is>
          <t>JI-01113</t>
        </is>
      </c>
      <c r="B3024" t="inlineStr">
        <is>
          <t>OPS</t>
        </is>
      </c>
      <c r="C3024" s="5" t="n">
        <v>46262</v>
      </c>
      <c r="D3024" t="inlineStr">
        <is>
          <t>Southern Cross Plan Mgmt</t>
        </is>
      </c>
      <c r="E3024" t="inlineStr">
        <is>
          <t>INV/2026/02170</t>
        </is>
      </c>
      <c r="F3024" t="inlineStr">
        <is>
          <t>Customer payment INV/2026/02170</t>
        </is>
      </c>
      <c r="G3024" s="9" t="n">
        <v>387.98</v>
      </c>
      <c r="H3024" t="inlineStr">
        <is>
          <t>customer_payment</t>
        </is>
      </c>
      <c r="I3024" t="inlineStr"/>
      <c r="J3024" t="inlineStr">
        <is>
          <t>G00360</t>
        </is>
      </c>
      <c r="K3024" t="str">
        <f>INDEX('Match Groups'!$D$5:$D$1326,MATCH(J3024,'Match Groups'!$A$5:$A$1326,0))</f>
        <v>MATCH</v>
      </c>
    </row>
    <row r="3025">
      <c r="A3025" t="inlineStr">
        <is>
          <t>JI-01114</t>
        </is>
      </c>
      <c r="B3025" t="inlineStr">
        <is>
          <t>OPS</t>
        </is>
      </c>
      <c r="C3025" s="5" t="n">
        <v>46262</v>
      </c>
      <c r="D3025" t="inlineStr">
        <is>
          <t>Southern Cross Plan Mgmt</t>
        </is>
      </c>
      <c r="E3025" t="inlineStr">
        <is>
          <t>INV/2026/02171</t>
        </is>
      </c>
      <c r="F3025" t="inlineStr">
        <is>
          <t>Customer payment INV/2026/02171</t>
        </is>
      </c>
      <c r="G3025" s="9" t="n">
        <v>223.99</v>
      </c>
      <c r="H3025" t="inlineStr">
        <is>
          <t>customer_payment</t>
        </is>
      </c>
      <c r="I3025" t="inlineStr"/>
      <c r="J3025" t="inlineStr">
        <is>
          <t>G00360</t>
        </is>
      </c>
      <c r="K3025" t="str">
        <f>INDEX('Match Groups'!$D$5:$D$1326,MATCH(J3025,'Match Groups'!$A$5:$A$1326,0))</f>
        <v>MATCH</v>
      </c>
    </row>
    <row r="3026">
      <c r="A3026" t="inlineStr">
        <is>
          <t>JI-01115</t>
        </is>
      </c>
      <c r="B3026" t="inlineStr">
        <is>
          <t>OPS</t>
        </is>
      </c>
      <c r="C3026" s="5" t="n">
        <v>46262</v>
      </c>
      <c r="D3026" t="inlineStr">
        <is>
          <t>Southern Cross Plan Mgmt</t>
        </is>
      </c>
      <c r="E3026" t="inlineStr">
        <is>
          <t>INV/2026/02196</t>
        </is>
      </c>
      <c r="F3026" t="inlineStr">
        <is>
          <t>Customer payment INV/2026/02196</t>
        </is>
      </c>
      <c r="G3026" s="9" t="n">
        <v>175.49</v>
      </c>
      <c r="H3026" t="inlineStr">
        <is>
          <t>customer_payment</t>
        </is>
      </c>
      <c r="I3026" t="inlineStr"/>
      <c r="J3026" t="inlineStr">
        <is>
          <t>G00360</t>
        </is>
      </c>
      <c r="K3026" t="str">
        <f>INDEX('Match Groups'!$D$5:$D$1326,MATCH(J3026,'Match Groups'!$A$5:$A$1326,0))</f>
        <v>MATCH</v>
      </c>
    </row>
    <row r="3027">
      <c r="A3027" t="inlineStr">
        <is>
          <t>JI-01116</t>
        </is>
      </c>
      <c r="B3027" t="inlineStr">
        <is>
          <t>OPS</t>
        </is>
      </c>
      <c r="C3027" s="5" t="n">
        <v>46262</v>
      </c>
      <c r="D3027" t="inlineStr">
        <is>
          <t>Southern Cross Plan Mgmt</t>
        </is>
      </c>
      <c r="E3027" t="inlineStr">
        <is>
          <t>INV/2026/02197</t>
        </is>
      </c>
      <c r="F3027" t="inlineStr">
        <is>
          <t>Customer payment INV/2026/02197</t>
        </is>
      </c>
      <c r="G3027" s="9" t="n">
        <v>145.49</v>
      </c>
      <c r="H3027" t="inlineStr">
        <is>
          <t>customer_payment</t>
        </is>
      </c>
      <c r="I3027" t="inlineStr"/>
      <c r="J3027" t="inlineStr">
        <is>
          <t>G00360</t>
        </is>
      </c>
      <c r="K3027" t="str">
        <f>INDEX('Match Groups'!$D$5:$D$1326,MATCH(J3027,'Match Groups'!$A$5:$A$1326,0))</f>
        <v>MATCH</v>
      </c>
    </row>
    <row r="3028">
      <c r="A3028" t="inlineStr">
        <is>
          <t>JI-01117</t>
        </is>
      </c>
      <c r="B3028" t="inlineStr">
        <is>
          <t>OPS</t>
        </is>
      </c>
      <c r="C3028" s="5" t="n">
        <v>46262</v>
      </c>
      <c r="D3028" t="inlineStr">
        <is>
          <t>Southern Cross Plan Mgmt</t>
        </is>
      </c>
      <c r="E3028" t="inlineStr">
        <is>
          <t>INV/2026/02218</t>
        </is>
      </c>
      <c r="F3028" t="inlineStr">
        <is>
          <t>Customer payment INV/2026/02218</t>
        </is>
      </c>
      <c r="G3028" s="9" t="n">
        <v>145.49</v>
      </c>
      <c r="H3028" t="inlineStr">
        <is>
          <t>customer_payment</t>
        </is>
      </c>
      <c r="I3028" t="inlineStr"/>
      <c r="J3028" t="inlineStr">
        <is>
          <t>G00360</t>
        </is>
      </c>
      <c r="K3028" t="str">
        <f>INDEX('Match Groups'!$D$5:$D$1326,MATCH(J3028,'Match Groups'!$A$5:$A$1326,0))</f>
        <v>MATCH</v>
      </c>
    </row>
    <row r="3029">
      <c r="A3029" t="inlineStr">
        <is>
          <t>JI-01118</t>
        </is>
      </c>
      <c r="B3029" t="inlineStr">
        <is>
          <t>OPS</t>
        </is>
      </c>
      <c r="C3029" s="5" t="n">
        <v>46262</v>
      </c>
      <c r="D3029" t="inlineStr">
        <is>
          <t>Southern Cross Plan Mgmt</t>
        </is>
      </c>
      <c r="E3029" t="inlineStr">
        <is>
          <t>INV/2026/02240</t>
        </is>
      </c>
      <c r="F3029" t="inlineStr">
        <is>
          <t>Customer payment INV/2026/02240</t>
        </is>
      </c>
      <c r="G3029" s="9" t="n">
        <v>155.19</v>
      </c>
      <c r="H3029" t="inlineStr">
        <is>
          <t>customer_payment</t>
        </is>
      </c>
      <c r="I3029" t="inlineStr"/>
      <c r="J3029" t="inlineStr">
        <is>
          <t>G00360</t>
        </is>
      </c>
      <c r="K3029" t="str">
        <f>INDEX('Match Groups'!$D$5:$D$1326,MATCH(J3029,'Match Groups'!$A$5:$A$1326,0))</f>
        <v>MATCH</v>
      </c>
    </row>
    <row r="3030">
      <c r="A3030" t="inlineStr">
        <is>
          <t>JI-01119</t>
        </is>
      </c>
      <c r="B3030" t="inlineStr">
        <is>
          <t>OPS</t>
        </is>
      </c>
      <c r="C3030" s="5" t="n">
        <v>46262</v>
      </c>
      <c r="D3030" t="inlineStr">
        <is>
          <t>Southern Cross Plan Mgmt</t>
        </is>
      </c>
      <c r="E3030" t="inlineStr">
        <is>
          <t>INV/2026/02241</t>
        </is>
      </c>
      <c r="F3030" t="inlineStr">
        <is>
          <t>Customer payment INV/2026/02241</t>
        </is>
      </c>
      <c r="G3030" s="9" t="n">
        <v>145.49</v>
      </c>
      <c r="H3030" t="inlineStr">
        <is>
          <t>customer_payment</t>
        </is>
      </c>
      <c r="I3030" t="inlineStr"/>
      <c r="J3030" t="inlineStr">
        <is>
          <t>G00360</t>
        </is>
      </c>
      <c r="K3030" t="str">
        <f>INDEX('Match Groups'!$D$5:$D$1326,MATCH(J3030,'Match Groups'!$A$5:$A$1326,0))</f>
        <v>MATCH</v>
      </c>
    </row>
    <row r="3031">
      <c r="A3031" t="inlineStr">
        <is>
          <t>JI-01120</t>
        </is>
      </c>
      <c r="B3031" t="inlineStr">
        <is>
          <t>OPS</t>
        </is>
      </c>
      <c r="C3031" s="5" t="n">
        <v>46262</v>
      </c>
      <c r="D3031" t="inlineStr">
        <is>
          <t>Southern Cross Plan Mgmt</t>
        </is>
      </c>
      <c r="E3031" t="inlineStr">
        <is>
          <t>INV/2026/02242</t>
        </is>
      </c>
      <c r="F3031" t="inlineStr">
        <is>
          <t>Customer payment INV/2026/02242</t>
        </is>
      </c>
      <c r="G3031" s="9" t="n">
        <v>145.49</v>
      </c>
      <c r="H3031" t="inlineStr">
        <is>
          <t>customer_payment</t>
        </is>
      </c>
      <c r="I3031" t="inlineStr"/>
      <c r="J3031" t="inlineStr">
        <is>
          <t>G00360</t>
        </is>
      </c>
      <c r="K3031" t="str">
        <f>INDEX('Match Groups'!$D$5:$D$1326,MATCH(J3031,'Match Groups'!$A$5:$A$1326,0))</f>
        <v>MATCH</v>
      </c>
    </row>
    <row r="3032">
      <c r="A3032" t="inlineStr">
        <is>
          <t>JI-01121</t>
        </is>
      </c>
      <c r="B3032" t="inlineStr">
        <is>
          <t>OPS</t>
        </is>
      </c>
      <c r="C3032" s="5" t="n">
        <v>46262</v>
      </c>
      <c r="D3032" t="inlineStr">
        <is>
          <t>Southern Cross Plan Mgmt</t>
        </is>
      </c>
      <c r="E3032" t="inlineStr">
        <is>
          <t>INV/2026/02262</t>
        </is>
      </c>
      <c r="F3032" t="inlineStr">
        <is>
          <t>Customer payment INV/2026/02262</t>
        </is>
      </c>
      <c r="G3032" s="9" t="n">
        <v>193.99</v>
      </c>
      <c r="H3032" t="inlineStr">
        <is>
          <t>customer_payment</t>
        </is>
      </c>
      <c r="I3032" t="inlineStr"/>
      <c r="J3032" t="inlineStr">
        <is>
          <t>G00360</t>
        </is>
      </c>
      <c r="K3032" t="str">
        <f>INDEX('Match Groups'!$D$5:$D$1326,MATCH(J3032,'Match Groups'!$A$5:$A$1326,0))</f>
        <v>MATCH</v>
      </c>
    </row>
    <row r="3033">
      <c r="A3033" t="inlineStr">
        <is>
          <t>JI-01122</t>
        </is>
      </c>
      <c r="B3033" t="inlineStr">
        <is>
          <t>OPS</t>
        </is>
      </c>
      <c r="C3033" s="5" t="n">
        <v>46262</v>
      </c>
      <c r="D3033" t="inlineStr">
        <is>
          <t>Southern Cross Plan Mgmt</t>
        </is>
      </c>
      <c r="E3033" t="inlineStr">
        <is>
          <t>INV/2026/02263</t>
        </is>
      </c>
      <c r="F3033" t="inlineStr">
        <is>
          <t>Customer payment INV/2026/02263</t>
        </is>
      </c>
      <c r="G3033" s="9" t="n">
        <v>242.49</v>
      </c>
      <c r="H3033" t="inlineStr">
        <is>
          <t>customer_payment</t>
        </is>
      </c>
      <c r="I3033" t="inlineStr"/>
      <c r="J3033" t="inlineStr">
        <is>
          <t>G00360</t>
        </is>
      </c>
      <c r="K3033" t="str">
        <f>INDEX('Match Groups'!$D$5:$D$1326,MATCH(J3033,'Match Groups'!$A$5:$A$1326,0))</f>
        <v>MATCH</v>
      </c>
    </row>
    <row r="3034">
      <c r="A3034" t="inlineStr">
        <is>
          <t>JI-01706</t>
        </is>
      </c>
      <c r="B3034" t="inlineStr">
        <is>
          <t>OPS</t>
        </is>
      </c>
      <c r="C3034" s="5" t="n">
        <v>46262</v>
      </c>
      <c r="D3034" t="inlineStr">
        <is>
          <t>Broadmeadow Plastics</t>
        </is>
      </c>
      <c r="E3034" t="inlineStr">
        <is>
          <t>INV/2026/03541</t>
        </is>
      </c>
      <c r="F3034" t="inlineStr">
        <is>
          <t>Customer payment INV/2026/03541</t>
        </is>
      </c>
      <c r="G3034" s="9" t="n">
        <v>2117.5</v>
      </c>
      <c r="H3034" t="inlineStr">
        <is>
          <t>customer_payment</t>
        </is>
      </c>
      <c r="I3034" t="inlineStr"/>
      <c r="J3034" t="inlineStr">
        <is>
          <t>G01027</t>
        </is>
      </c>
      <c r="K3034" t="str">
        <f>INDEX('Match Groups'!$D$5:$D$1326,MATCH(J3034,'Match Groups'!$A$5:$A$1326,0))</f>
        <v>MATCH</v>
      </c>
    </row>
    <row r="3035">
      <c r="A3035" t="inlineStr">
        <is>
          <t>JI-01710</t>
        </is>
      </c>
      <c r="B3035" t="inlineStr">
        <is>
          <t>OPS</t>
        </is>
      </c>
      <c r="C3035" s="5" t="n">
        <v>46262</v>
      </c>
      <c r="D3035" t="inlineStr">
        <is>
          <t>Ashgrove Accounting</t>
        </is>
      </c>
      <c r="E3035" t="inlineStr">
        <is>
          <t>INV/2026/03489</t>
        </is>
      </c>
      <c r="F3035" t="inlineStr">
        <is>
          <t>Customer payment INV/2026/03489</t>
        </is>
      </c>
      <c r="G3035" s="9" t="n">
        <v>10725</v>
      </c>
      <c r="H3035" t="inlineStr">
        <is>
          <t>customer_payment</t>
        </is>
      </c>
      <c r="I3035" t="inlineStr"/>
      <c r="J3035" t="inlineStr">
        <is>
          <t>G01028</t>
        </is>
      </c>
      <c r="K3035" t="str">
        <f>INDEX('Match Groups'!$D$5:$D$1326,MATCH(J3035,'Match Groups'!$A$5:$A$1326,0))</f>
        <v>MATCH</v>
      </c>
    </row>
    <row r="3036">
      <c r="A3036" t="inlineStr">
        <is>
          <t>JI-01732</t>
        </is>
      </c>
      <c r="B3036" t="inlineStr">
        <is>
          <t>OPS</t>
        </is>
      </c>
      <c r="C3036" s="5" t="n">
        <v>46262</v>
      </c>
      <c r="D3036" t="inlineStr">
        <is>
          <t>Inglewood Cold Storage</t>
        </is>
      </c>
      <c r="E3036" t="inlineStr">
        <is>
          <t>INV/2026/03499</t>
        </is>
      </c>
      <c r="F3036" t="inlineStr">
        <is>
          <t>Customer payment INV/2026/03499</t>
        </is>
      </c>
      <c r="G3036" s="9" t="n">
        <v>2791.25</v>
      </c>
      <c r="H3036" t="inlineStr">
        <is>
          <t>customer_payment</t>
        </is>
      </c>
      <c r="I3036" t="inlineStr"/>
      <c r="J3036" t="inlineStr">
        <is>
          <t>G01031</t>
        </is>
      </c>
      <c r="K3036" t="str">
        <f>INDEX('Match Groups'!$D$5:$D$1326,MATCH(J3036,'Match Groups'!$A$5:$A$1326,0))</f>
        <v>MATCH</v>
      </c>
    </row>
    <row r="3037">
      <c r="A3037" t="inlineStr">
        <is>
          <t>JI-03036</t>
        </is>
      </c>
      <c r="B3037" t="inlineStr">
        <is>
          <t>OPS</t>
        </is>
      </c>
      <c r="C3037" s="5" t="n">
        <v>46262</v>
      </c>
      <c r="D3037" t="inlineStr">
        <is>
          <t>Stripe patient 27787</t>
        </is>
      </c>
      <c r="E3037" t="inlineStr">
        <is>
          <t>INV/2026/04880</t>
        </is>
      </c>
      <c r="F3037" t="inlineStr">
        <is>
          <t>Customer payment INV/2026/04880</t>
        </is>
      </c>
      <c r="G3037" s="9" t="n">
        <v>65</v>
      </c>
      <c r="H3037" t="inlineStr">
        <is>
          <t>customer_payment</t>
        </is>
      </c>
      <c r="I3037" t="inlineStr"/>
      <c r="J3037" t="inlineStr">
        <is>
          <t>G00058</t>
        </is>
      </c>
      <c r="K3037" t="str">
        <f>INDEX('Match Groups'!$D$5:$D$1326,MATCH(J3037,'Match Groups'!$A$5:$A$1326,0))</f>
        <v>STRIPE-FEE</v>
      </c>
    </row>
    <row r="3038">
      <c r="A3038" t="inlineStr">
        <is>
          <t>JI-03037</t>
        </is>
      </c>
      <c r="B3038" t="inlineStr">
        <is>
          <t>OPS</t>
        </is>
      </c>
      <c r="C3038" s="5" t="n">
        <v>46262</v>
      </c>
      <c r="D3038" t="inlineStr">
        <is>
          <t>Stripe patient 14813</t>
        </is>
      </c>
      <c r="E3038" t="inlineStr">
        <is>
          <t>INV/2026/04881</t>
        </is>
      </c>
      <c r="F3038" t="inlineStr">
        <is>
          <t>Customer payment INV/2026/04881</t>
        </is>
      </c>
      <c r="G3038" s="9" t="n">
        <v>65</v>
      </c>
      <c r="H3038" t="inlineStr">
        <is>
          <t>customer_payment</t>
        </is>
      </c>
      <c r="I3038" t="inlineStr"/>
      <c r="J3038" t="inlineStr">
        <is>
          <t>G00058</t>
        </is>
      </c>
      <c r="K3038" t="str">
        <f>INDEX('Match Groups'!$D$5:$D$1326,MATCH(J3038,'Match Groups'!$A$5:$A$1326,0))</f>
        <v>STRIPE-FEE</v>
      </c>
    </row>
    <row r="3039">
      <c r="A3039" t="inlineStr">
        <is>
          <t>JI-03038</t>
        </is>
      </c>
      <c r="B3039" t="inlineStr">
        <is>
          <t>OPS</t>
        </is>
      </c>
      <c r="C3039" s="5" t="n">
        <v>46262</v>
      </c>
      <c r="D3039" t="inlineStr">
        <is>
          <t>Stripe patient 48180</t>
        </is>
      </c>
      <c r="E3039" t="inlineStr">
        <is>
          <t>INV/2026/04882</t>
        </is>
      </c>
      <c r="F3039" t="inlineStr">
        <is>
          <t>Customer payment INV/2026/04882</t>
        </is>
      </c>
      <c r="G3039" s="9" t="n">
        <v>150</v>
      </c>
      <c r="H3039" t="inlineStr">
        <is>
          <t>customer_payment</t>
        </is>
      </c>
      <c r="I3039" t="inlineStr"/>
      <c r="J3039" t="inlineStr">
        <is>
          <t>G00058</t>
        </is>
      </c>
      <c r="K3039" t="str">
        <f>INDEX('Match Groups'!$D$5:$D$1326,MATCH(J3039,'Match Groups'!$A$5:$A$1326,0))</f>
        <v>STRIPE-FEE</v>
      </c>
    </row>
    <row r="3040">
      <c r="A3040" t="inlineStr">
        <is>
          <t>JI-03039</t>
        </is>
      </c>
      <c r="B3040" t="inlineStr">
        <is>
          <t>OPS</t>
        </is>
      </c>
      <c r="C3040" s="5" t="n">
        <v>46262</v>
      </c>
      <c r="D3040" t="inlineStr">
        <is>
          <t>Stripe patient 92492</t>
        </is>
      </c>
      <c r="E3040" t="inlineStr">
        <is>
          <t>INV/2026/04883</t>
        </is>
      </c>
      <c r="F3040" t="inlineStr">
        <is>
          <t>Customer payment INV/2026/04883</t>
        </is>
      </c>
      <c r="G3040" s="9" t="n">
        <v>135</v>
      </c>
      <c r="H3040" t="inlineStr">
        <is>
          <t>customer_payment</t>
        </is>
      </c>
      <c r="I3040" t="inlineStr"/>
      <c r="J3040" t="inlineStr">
        <is>
          <t>G00058</t>
        </is>
      </c>
      <c r="K3040" t="str">
        <f>INDEX('Match Groups'!$D$5:$D$1326,MATCH(J3040,'Match Groups'!$A$5:$A$1326,0))</f>
        <v>STRIPE-FEE</v>
      </c>
    </row>
    <row r="3041">
      <c r="A3041" t="inlineStr">
        <is>
          <t>JI-03040</t>
        </is>
      </c>
      <c r="B3041" t="inlineStr">
        <is>
          <t>OPS</t>
        </is>
      </c>
      <c r="C3041" s="5" t="n">
        <v>46262</v>
      </c>
      <c r="D3041" t="inlineStr">
        <is>
          <t>Stripe patient 56763</t>
        </is>
      </c>
      <c r="E3041" t="inlineStr">
        <is>
          <t>INV/2026/04884</t>
        </is>
      </c>
      <c r="F3041" t="inlineStr">
        <is>
          <t>Customer payment INV/2026/04884</t>
        </is>
      </c>
      <c r="G3041" s="9" t="n">
        <v>150</v>
      </c>
      <c r="H3041" t="inlineStr">
        <is>
          <t>customer_payment</t>
        </is>
      </c>
      <c r="I3041" t="inlineStr"/>
      <c r="J3041" t="inlineStr">
        <is>
          <t>G00058</t>
        </is>
      </c>
      <c r="K3041" t="str">
        <f>INDEX('Match Groups'!$D$5:$D$1326,MATCH(J3041,'Match Groups'!$A$5:$A$1326,0))</f>
        <v>STRIPE-FEE</v>
      </c>
    </row>
    <row r="3042">
      <c r="A3042" t="inlineStr">
        <is>
          <t>JI-03041</t>
        </is>
      </c>
      <c r="B3042" t="inlineStr">
        <is>
          <t>OPS</t>
        </is>
      </c>
      <c r="C3042" s="5" t="n">
        <v>46262</v>
      </c>
      <c r="D3042" t="inlineStr">
        <is>
          <t>Stripe patient 52301</t>
        </is>
      </c>
      <c r="E3042" t="inlineStr">
        <is>
          <t>INV/2026/04885</t>
        </is>
      </c>
      <c r="F3042" t="inlineStr">
        <is>
          <t>Customer payment INV/2026/04885</t>
        </is>
      </c>
      <c r="G3042" s="9" t="n">
        <v>65</v>
      </c>
      <c r="H3042" t="inlineStr">
        <is>
          <t>customer_payment</t>
        </is>
      </c>
      <c r="I3042" t="inlineStr"/>
      <c r="J3042" t="inlineStr">
        <is>
          <t>G00058</t>
        </is>
      </c>
      <c r="K3042" t="str">
        <f>INDEX('Match Groups'!$D$5:$D$1326,MATCH(J3042,'Match Groups'!$A$5:$A$1326,0))</f>
        <v>STRIPE-FEE</v>
      </c>
    </row>
    <row r="3043">
      <c r="A3043" t="inlineStr">
        <is>
          <t>JI-03042</t>
        </is>
      </c>
      <c r="B3043" t="inlineStr">
        <is>
          <t>OPS</t>
        </is>
      </c>
      <c r="C3043" s="5" t="n">
        <v>46262</v>
      </c>
      <c r="D3043" t="inlineStr">
        <is>
          <t>Stripe patient 95549</t>
        </is>
      </c>
      <c r="E3043" t="inlineStr">
        <is>
          <t>INV/2026/04886</t>
        </is>
      </c>
      <c r="F3043" t="inlineStr">
        <is>
          <t>Customer payment INV/2026/04886</t>
        </is>
      </c>
      <c r="G3043" s="9" t="n">
        <v>65</v>
      </c>
      <c r="H3043" t="inlineStr">
        <is>
          <t>customer_payment</t>
        </is>
      </c>
      <c r="I3043" t="inlineStr"/>
      <c r="J3043" t="inlineStr">
        <is>
          <t>G00058</t>
        </is>
      </c>
      <c r="K3043" t="str">
        <f>INDEX('Match Groups'!$D$5:$D$1326,MATCH(J3043,'Match Groups'!$A$5:$A$1326,0))</f>
        <v>STRIPE-FEE</v>
      </c>
    </row>
    <row r="3044">
      <c r="A3044" t="inlineStr">
        <is>
          <t>JI-03043</t>
        </is>
      </c>
      <c r="B3044" t="inlineStr">
        <is>
          <t>OPS</t>
        </is>
      </c>
      <c r="C3044" s="5" t="n">
        <v>46262</v>
      </c>
      <c r="D3044" t="inlineStr">
        <is>
          <t>Stripe patient 37495</t>
        </is>
      </c>
      <c r="E3044" t="inlineStr">
        <is>
          <t>INV/2026/04887</t>
        </is>
      </c>
      <c r="F3044" t="inlineStr">
        <is>
          <t>Customer payment INV/2026/04887</t>
        </is>
      </c>
      <c r="G3044" s="9" t="n">
        <v>110</v>
      </c>
      <c r="H3044" t="inlineStr">
        <is>
          <t>customer_payment</t>
        </is>
      </c>
      <c r="I3044" t="inlineStr"/>
      <c r="J3044" t="inlineStr">
        <is>
          <t>G00058</t>
        </is>
      </c>
      <c r="K3044" t="str">
        <f>INDEX('Match Groups'!$D$5:$D$1326,MATCH(J3044,'Match Groups'!$A$5:$A$1326,0))</f>
        <v>STRIPE-FEE</v>
      </c>
    </row>
    <row r="3045">
      <c r="A3045" t="inlineStr">
        <is>
          <t>JI-03044</t>
        </is>
      </c>
      <c r="B3045" t="inlineStr">
        <is>
          <t>OPS</t>
        </is>
      </c>
      <c r="C3045" s="5" t="n">
        <v>46262</v>
      </c>
      <c r="D3045" t="inlineStr">
        <is>
          <t>Stripe patient 30742</t>
        </is>
      </c>
      <c r="E3045" t="inlineStr">
        <is>
          <t>INV/2026/04888</t>
        </is>
      </c>
      <c r="F3045" t="inlineStr">
        <is>
          <t>Customer payment INV/2026/04888</t>
        </is>
      </c>
      <c r="G3045" s="9" t="n">
        <v>110</v>
      </c>
      <c r="H3045" t="inlineStr">
        <is>
          <t>customer_payment</t>
        </is>
      </c>
      <c r="I3045" t="inlineStr"/>
      <c r="J3045" t="inlineStr">
        <is>
          <t>G00058</t>
        </is>
      </c>
      <c r="K3045" t="str">
        <f>INDEX('Match Groups'!$D$5:$D$1326,MATCH(J3045,'Match Groups'!$A$5:$A$1326,0))</f>
        <v>STRIPE-FEE</v>
      </c>
    </row>
    <row r="3046">
      <c r="A3046" t="inlineStr">
        <is>
          <t>JI-03045</t>
        </is>
      </c>
      <c r="B3046" t="inlineStr">
        <is>
          <t>OPS</t>
        </is>
      </c>
      <c r="C3046" s="5" t="n">
        <v>46262</v>
      </c>
      <c r="D3046" t="inlineStr">
        <is>
          <t>Stripe patient 66649</t>
        </is>
      </c>
      <c r="E3046" t="inlineStr">
        <is>
          <t>INV/2026/04889</t>
        </is>
      </c>
      <c r="F3046" t="inlineStr">
        <is>
          <t>Customer payment INV/2026/04889</t>
        </is>
      </c>
      <c r="G3046" s="9" t="n">
        <v>110</v>
      </c>
      <c r="H3046" t="inlineStr">
        <is>
          <t>customer_payment</t>
        </is>
      </c>
      <c r="I3046" t="inlineStr"/>
      <c r="J3046" t="inlineStr">
        <is>
          <t>G00058</t>
        </is>
      </c>
      <c r="K3046" t="str">
        <f>INDEX('Match Groups'!$D$5:$D$1326,MATCH(J3046,'Match Groups'!$A$5:$A$1326,0))</f>
        <v>STRIPE-FEE</v>
      </c>
    </row>
    <row r="3047">
      <c r="A3047" t="inlineStr">
        <is>
          <t>JI-03046</t>
        </is>
      </c>
      <c r="B3047" t="inlineStr">
        <is>
          <t>OPS</t>
        </is>
      </c>
      <c r="C3047" s="5" t="n">
        <v>46262</v>
      </c>
      <c r="D3047" t="inlineStr">
        <is>
          <t>Stripe patient 77114</t>
        </is>
      </c>
      <c r="E3047" t="inlineStr">
        <is>
          <t>INV/2026/04890</t>
        </is>
      </c>
      <c r="F3047" t="inlineStr">
        <is>
          <t>Customer payment INV/2026/04890</t>
        </is>
      </c>
      <c r="G3047" s="9" t="n">
        <v>120</v>
      </c>
      <c r="H3047" t="inlineStr">
        <is>
          <t>customer_payment</t>
        </is>
      </c>
      <c r="I3047" t="inlineStr"/>
      <c r="J3047" t="inlineStr">
        <is>
          <t>G00058</t>
        </is>
      </c>
      <c r="K3047" t="str">
        <f>INDEX('Match Groups'!$D$5:$D$1326,MATCH(J3047,'Match Groups'!$A$5:$A$1326,0))</f>
        <v>STRIPE-FEE</v>
      </c>
    </row>
    <row r="3048">
      <c r="A3048" t="inlineStr">
        <is>
          <t>JI-03047</t>
        </is>
      </c>
      <c r="B3048" t="inlineStr">
        <is>
          <t>OPS</t>
        </is>
      </c>
      <c r="C3048" s="5" t="n">
        <v>46262</v>
      </c>
      <c r="D3048" t="inlineStr">
        <is>
          <t>Stripe patient 93290</t>
        </is>
      </c>
      <c r="E3048" t="inlineStr">
        <is>
          <t>INV/2026/04891</t>
        </is>
      </c>
      <c r="F3048" t="inlineStr">
        <is>
          <t>Customer payment INV/2026/04891</t>
        </is>
      </c>
      <c r="G3048" s="9" t="n">
        <v>180</v>
      </c>
      <c r="H3048" t="inlineStr">
        <is>
          <t>customer_payment</t>
        </is>
      </c>
      <c r="I3048" t="inlineStr"/>
      <c r="J3048" t="inlineStr">
        <is>
          <t>G00058</t>
        </is>
      </c>
      <c r="K3048" t="str">
        <f>INDEX('Match Groups'!$D$5:$D$1326,MATCH(J3048,'Match Groups'!$A$5:$A$1326,0))</f>
        <v>STRIPE-FEE</v>
      </c>
    </row>
    <row r="3049">
      <c r="A3049" t="inlineStr">
        <is>
          <t>JI-03048</t>
        </is>
      </c>
      <c r="B3049" t="inlineStr">
        <is>
          <t>OPS</t>
        </is>
      </c>
      <c r="C3049" s="5" t="n">
        <v>46262</v>
      </c>
      <c r="D3049" t="inlineStr">
        <is>
          <t>Stripe patient 64521</t>
        </is>
      </c>
      <c r="E3049" t="inlineStr">
        <is>
          <t>INV/2026/04892</t>
        </is>
      </c>
      <c r="F3049" t="inlineStr">
        <is>
          <t>Customer payment INV/2026/04892</t>
        </is>
      </c>
      <c r="G3049" s="9" t="n">
        <v>135</v>
      </c>
      <c r="H3049" t="inlineStr">
        <is>
          <t>customer_payment</t>
        </is>
      </c>
      <c r="I3049" t="inlineStr"/>
      <c r="J3049" t="inlineStr">
        <is>
          <t>G00058</t>
        </is>
      </c>
      <c r="K3049" t="str">
        <f>INDEX('Match Groups'!$D$5:$D$1326,MATCH(J3049,'Match Groups'!$A$5:$A$1326,0))</f>
        <v>STRIPE-FEE</v>
      </c>
    </row>
    <row r="3050">
      <c r="A3050" t="inlineStr">
        <is>
          <t>JI-03049</t>
        </is>
      </c>
      <c r="B3050" t="inlineStr">
        <is>
          <t>OPS</t>
        </is>
      </c>
      <c r="C3050" s="5" t="n">
        <v>46262</v>
      </c>
      <c r="D3050" t="inlineStr">
        <is>
          <t>Stripe patient 20559</t>
        </is>
      </c>
      <c r="E3050" t="inlineStr">
        <is>
          <t>INV/2026/04893</t>
        </is>
      </c>
      <c r="F3050" t="inlineStr">
        <is>
          <t>Customer payment INV/2026/04893</t>
        </is>
      </c>
      <c r="G3050" s="9" t="n">
        <v>95</v>
      </c>
      <c r="H3050" t="inlineStr">
        <is>
          <t>customer_payment</t>
        </is>
      </c>
      <c r="I3050" t="inlineStr"/>
      <c r="J3050" t="inlineStr">
        <is>
          <t>G00058</t>
        </is>
      </c>
      <c r="K3050" t="str">
        <f>INDEX('Match Groups'!$D$5:$D$1326,MATCH(J3050,'Match Groups'!$A$5:$A$1326,0))</f>
        <v>STRIPE-FEE</v>
      </c>
    </row>
    <row r="3051">
      <c r="A3051" t="inlineStr">
        <is>
          <t>JI-03050</t>
        </is>
      </c>
      <c r="B3051" t="inlineStr">
        <is>
          <t>OPS</t>
        </is>
      </c>
      <c r="C3051" s="5" t="n">
        <v>46262</v>
      </c>
      <c r="D3051" t="inlineStr">
        <is>
          <t>Stripe patient 57462</t>
        </is>
      </c>
      <c r="E3051" t="inlineStr">
        <is>
          <t>INV/2026/04894</t>
        </is>
      </c>
      <c r="F3051" t="inlineStr">
        <is>
          <t>Customer payment INV/2026/04894</t>
        </is>
      </c>
      <c r="G3051" s="9" t="n">
        <v>95</v>
      </c>
      <c r="H3051" t="inlineStr">
        <is>
          <t>customer_payment</t>
        </is>
      </c>
      <c r="I3051" t="inlineStr"/>
      <c r="J3051" t="inlineStr">
        <is>
          <t>G00058</t>
        </is>
      </c>
      <c r="K3051" t="str">
        <f>INDEX('Match Groups'!$D$5:$D$1326,MATCH(J3051,'Match Groups'!$A$5:$A$1326,0))</f>
        <v>STRIPE-FEE</v>
      </c>
    </row>
    <row r="3052">
      <c r="A3052" t="inlineStr">
        <is>
          <t>JI-03051</t>
        </is>
      </c>
      <c r="B3052" t="inlineStr">
        <is>
          <t>OPS</t>
        </is>
      </c>
      <c r="C3052" s="5" t="n">
        <v>46262</v>
      </c>
      <c r="D3052" t="inlineStr">
        <is>
          <t>Stripe patient 67383</t>
        </is>
      </c>
      <c r="E3052" t="inlineStr">
        <is>
          <t>INV/2026/04895</t>
        </is>
      </c>
      <c r="F3052" t="inlineStr">
        <is>
          <t>Customer payment INV/2026/04895</t>
        </is>
      </c>
      <c r="G3052" s="9" t="n">
        <v>95</v>
      </c>
      <c r="H3052" t="inlineStr">
        <is>
          <t>customer_payment</t>
        </is>
      </c>
      <c r="I3052" t="inlineStr"/>
      <c r="J3052" t="inlineStr">
        <is>
          <t>G00058</t>
        </is>
      </c>
      <c r="K3052" t="str">
        <f>INDEX('Match Groups'!$D$5:$D$1326,MATCH(J3052,'Match Groups'!$A$5:$A$1326,0))</f>
        <v>STRIPE-FEE</v>
      </c>
    </row>
    <row r="3053">
      <c r="A3053" t="inlineStr">
        <is>
          <t>JI-03052</t>
        </is>
      </c>
      <c r="B3053" t="inlineStr">
        <is>
          <t>OPS</t>
        </is>
      </c>
      <c r="C3053" s="5" t="n">
        <v>46262</v>
      </c>
      <c r="D3053" t="inlineStr">
        <is>
          <t>Stripe patient 51052</t>
        </is>
      </c>
      <c r="E3053" t="inlineStr">
        <is>
          <t>INV/2026/04896</t>
        </is>
      </c>
      <c r="F3053" t="inlineStr">
        <is>
          <t>Customer payment INV/2026/04896</t>
        </is>
      </c>
      <c r="G3053" s="9" t="n">
        <v>150</v>
      </c>
      <c r="H3053" t="inlineStr">
        <is>
          <t>customer_payment</t>
        </is>
      </c>
      <c r="I3053" t="inlineStr"/>
      <c r="J3053" t="inlineStr">
        <is>
          <t>G00058</t>
        </is>
      </c>
      <c r="K3053" t="str">
        <f>INDEX('Match Groups'!$D$5:$D$1326,MATCH(J3053,'Match Groups'!$A$5:$A$1326,0))</f>
        <v>STRIPE-FEE</v>
      </c>
    </row>
    <row r="3054">
      <c r="A3054" t="inlineStr">
        <is>
          <t>JI-03053</t>
        </is>
      </c>
      <c r="B3054" t="inlineStr">
        <is>
          <t>OPS</t>
        </is>
      </c>
      <c r="C3054" s="5" t="n">
        <v>46262</v>
      </c>
      <c r="D3054" t="inlineStr">
        <is>
          <t>Stripe patient 24047</t>
        </is>
      </c>
      <c r="E3054" t="inlineStr">
        <is>
          <t>INV/2026/04897</t>
        </is>
      </c>
      <c r="F3054" t="inlineStr">
        <is>
          <t>Customer payment INV/2026/04897</t>
        </is>
      </c>
      <c r="G3054" s="9" t="n">
        <v>180</v>
      </c>
      <c r="H3054" t="inlineStr">
        <is>
          <t>customer_payment</t>
        </is>
      </c>
      <c r="I3054" t="inlineStr"/>
      <c r="J3054" t="inlineStr">
        <is>
          <t>G00058</t>
        </is>
      </c>
      <c r="K3054" t="str">
        <f>INDEX('Match Groups'!$D$5:$D$1326,MATCH(J3054,'Match Groups'!$A$5:$A$1326,0))</f>
        <v>STRIPE-FEE</v>
      </c>
    </row>
    <row r="3055">
      <c r="A3055" t="inlineStr">
        <is>
          <t>JI-03054</t>
        </is>
      </c>
      <c r="B3055" t="inlineStr">
        <is>
          <t>OPS</t>
        </is>
      </c>
      <c r="C3055" s="5" t="n">
        <v>46262</v>
      </c>
      <c r="D3055" t="inlineStr">
        <is>
          <t>Stripe patient 44224</t>
        </is>
      </c>
      <c r="E3055" t="inlineStr">
        <is>
          <t>INV/2026/04898</t>
        </is>
      </c>
      <c r="F3055" t="inlineStr">
        <is>
          <t>Customer payment INV/2026/04898</t>
        </is>
      </c>
      <c r="G3055" s="9" t="n">
        <v>95</v>
      </c>
      <c r="H3055" t="inlineStr">
        <is>
          <t>customer_payment</t>
        </is>
      </c>
      <c r="I3055" t="inlineStr"/>
      <c r="J3055" t="inlineStr">
        <is>
          <t>G00058</t>
        </is>
      </c>
      <c r="K3055" t="str">
        <f>INDEX('Match Groups'!$D$5:$D$1326,MATCH(J3055,'Match Groups'!$A$5:$A$1326,0))</f>
        <v>STRIPE-FEE</v>
      </c>
    </row>
    <row r="3056">
      <c r="A3056" t="inlineStr">
        <is>
          <t>JI-03055</t>
        </is>
      </c>
      <c r="B3056" t="inlineStr">
        <is>
          <t>OPS</t>
        </is>
      </c>
      <c r="C3056" s="5" t="n">
        <v>46262</v>
      </c>
      <c r="D3056" t="inlineStr">
        <is>
          <t>Stripe patient 69986</t>
        </is>
      </c>
      <c r="E3056" t="inlineStr">
        <is>
          <t>INV/2026/04899</t>
        </is>
      </c>
      <c r="F3056" t="inlineStr">
        <is>
          <t>Customer payment INV/2026/04899</t>
        </is>
      </c>
      <c r="G3056" s="9" t="n">
        <v>110</v>
      </c>
      <c r="H3056" t="inlineStr">
        <is>
          <t>customer_payment</t>
        </is>
      </c>
      <c r="I3056" t="inlineStr"/>
      <c r="J3056" t="inlineStr">
        <is>
          <t>G00058</t>
        </is>
      </c>
      <c r="K3056" t="str">
        <f>INDEX('Match Groups'!$D$5:$D$1326,MATCH(J3056,'Match Groups'!$A$5:$A$1326,0))</f>
        <v>STRIPE-FEE</v>
      </c>
    </row>
    <row r="3057">
      <c r="A3057" t="inlineStr">
        <is>
          <t>JI-03056</t>
        </is>
      </c>
      <c r="B3057" t="inlineStr">
        <is>
          <t>OPS</t>
        </is>
      </c>
      <c r="C3057" s="5" t="n">
        <v>46262</v>
      </c>
      <c r="D3057" t="inlineStr">
        <is>
          <t>Stripe patient 67377</t>
        </is>
      </c>
      <c r="E3057" t="inlineStr">
        <is>
          <t>INV/2026/04900</t>
        </is>
      </c>
      <c r="F3057" t="inlineStr">
        <is>
          <t>Customer payment INV/2026/04900</t>
        </is>
      </c>
      <c r="G3057" s="9" t="n">
        <v>135</v>
      </c>
      <c r="H3057" t="inlineStr">
        <is>
          <t>customer_payment</t>
        </is>
      </c>
      <c r="I3057" t="inlineStr"/>
      <c r="J3057" t="inlineStr">
        <is>
          <t>G00058</t>
        </is>
      </c>
      <c r="K3057" t="str">
        <f>INDEX('Match Groups'!$D$5:$D$1326,MATCH(J3057,'Match Groups'!$A$5:$A$1326,0))</f>
        <v>STRIPE-FEE</v>
      </c>
    </row>
    <row r="3058">
      <c r="A3058" t="inlineStr">
        <is>
          <t>JI-03057</t>
        </is>
      </c>
      <c r="B3058" t="inlineStr">
        <is>
          <t>OPS</t>
        </is>
      </c>
      <c r="C3058" s="5" t="n">
        <v>46262</v>
      </c>
      <c r="D3058" t="inlineStr">
        <is>
          <t>Stripe patient 67827</t>
        </is>
      </c>
      <c r="E3058" t="inlineStr">
        <is>
          <t>INV/2026/04901</t>
        </is>
      </c>
      <c r="F3058" t="inlineStr">
        <is>
          <t>Customer payment INV/2026/04901</t>
        </is>
      </c>
      <c r="G3058" s="9" t="n">
        <v>85</v>
      </c>
      <c r="H3058" t="inlineStr">
        <is>
          <t>customer_payment</t>
        </is>
      </c>
      <c r="I3058" t="inlineStr"/>
      <c r="J3058" t="inlineStr">
        <is>
          <t>G00058</t>
        </is>
      </c>
      <c r="K3058" t="str">
        <f>INDEX('Match Groups'!$D$5:$D$1326,MATCH(J3058,'Match Groups'!$A$5:$A$1326,0))</f>
        <v>STRIPE-FEE</v>
      </c>
    </row>
    <row r="3059">
      <c r="A3059" t="inlineStr">
        <is>
          <t>JI-03058</t>
        </is>
      </c>
      <c r="B3059" t="inlineStr">
        <is>
          <t>OPS</t>
        </is>
      </c>
      <c r="C3059" s="5" t="n">
        <v>46262</v>
      </c>
      <c r="D3059" t="inlineStr">
        <is>
          <t>Stripe patient 23236</t>
        </is>
      </c>
      <c r="E3059" t="inlineStr">
        <is>
          <t>INV/2026/04902</t>
        </is>
      </c>
      <c r="F3059" t="inlineStr">
        <is>
          <t>Customer payment INV/2026/04902</t>
        </is>
      </c>
      <c r="G3059" s="9" t="n">
        <v>95</v>
      </c>
      <c r="H3059" t="inlineStr">
        <is>
          <t>customer_payment</t>
        </is>
      </c>
      <c r="I3059" t="inlineStr"/>
      <c r="J3059" t="inlineStr">
        <is>
          <t>G00058</t>
        </is>
      </c>
      <c r="K3059" t="str">
        <f>INDEX('Match Groups'!$D$5:$D$1326,MATCH(J3059,'Match Groups'!$A$5:$A$1326,0))</f>
        <v>STRIPE-FEE</v>
      </c>
    </row>
    <row r="3060">
      <c r="A3060" t="inlineStr">
        <is>
          <t>JI-03059</t>
        </is>
      </c>
      <c r="B3060" t="inlineStr">
        <is>
          <t>OPS</t>
        </is>
      </c>
      <c r="C3060" s="5" t="n">
        <v>46262</v>
      </c>
      <c r="D3060" t="inlineStr">
        <is>
          <t>Stripe patient 37010</t>
        </is>
      </c>
      <c r="E3060" t="inlineStr">
        <is>
          <t>INV/2026/04903</t>
        </is>
      </c>
      <c r="F3060" t="inlineStr">
        <is>
          <t>Customer payment INV/2026/04903</t>
        </is>
      </c>
      <c r="G3060" s="9" t="n">
        <v>95</v>
      </c>
      <c r="H3060" t="inlineStr">
        <is>
          <t>customer_payment</t>
        </is>
      </c>
      <c r="I3060" t="inlineStr"/>
      <c r="J3060" t="inlineStr">
        <is>
          <t>G00058</t>
        </is>
      </c>
      <c r="K3060" t="str">
        <f>INDEX('Match Groups'!$D$5:$D$1326,MATCH(J3060,'Match Groups'!$A$5:$A$1326,0))</f>
        <v>STRIPE-FEE</v>
      </c>
    </row>
    <row r="3061">
      <c r="A3061" t="inlineStr">
        <is>
          <t>JI-03060</t>
        </is>
      </c>
      <c r="B3061" t="inlineStr">
        <is>
          <t>OPS</t>
        </is>
      </c>
      <c r="C3061" s="5" t="n">
        <v>46262</v>
      </c>
      <c r="D3061" t="inlineStr">
        <is>
          <t>Stripe patient 48033</t>
        </is>
      </c>
      <c r="E3061" t="inlineStr">
        <is>
          <t>INV/2026/04904</t>
        </is>
      </c>
      <c r="F3061" t="inlineStr">
        <is>
          <t>Customer payment INV/2026/04904</t>
        </is>
      </c>
      <c r="G3061" s="9" t="n">
        <v>135</v>
      </c>
      <c r="H3061" t="inlineStr">
        <is>
          <t>customer_payment</t>
        </is>
      </c>
      <c r="I3061" t="inlineStr"/>
      <c r="J3061" t="inlineStr">
        <is>
          <t>G00058</t>
        </is>
      </c>
      <c r="K3061" t="str">
        <f>INDEX('Match Groups'!$D$5:$D$1326,MATCH(J3061,'Match Groups'!$A$5:$A$1326,0))</f>
        <v>STRIPE-FEE</v>
      </c>
    </row>
    <row r="3062">
      <c r="A3062" t="inlineStr">
        <is>
          <t>JI-03061</t>
        </is>
      </c>
      <c r="B3062" t="inlineStr">
        <is>
          <t>OPS</t>
        </is>
      </c>
      <c r="C3062" s="5" t="n">
        <v>46262</v>
      </c>
      <c r="D3062" t="inlineStr">
        <is>
          <t>Stripe patient 73391</t>
        </is>
      </c>
      <c r="E3062" t="inlineStr">
        <is>
          <t>INV/2026/04905</t>
        </is>
      </c>
      <c r="F3062" t="inlineStr">
        <is>
          <t>Customer payment INV/2026/04905</t>
        </is>
      </c>
      <c r="G3062" s="9" t="n">
        <v>150</v>
      </c>
      <c r="H3062" t="inlineStr">
        <is>
          <t>customer_payment</t>
        </is>
      </c>
      <c r="I3062" t="inlineStr"/>
      <c r="J3062" t="inlineStr">
        <is>
          <t>G00058</t>
        </is>
      </c>
      <c r="K3062" t="str">
        <f>INDEX('Match Groups'!$D$5:$D$1326,MATCH(J3062,'Match Groups'!$A$5:$A$1326,0))</f>
        <v>STRIPE-FEE</v>
      </c>
    </row>
    <row r="3063">
      <c r="A3063" t="inlineStr">
        <is>
          <t>JI-03062</t>
        </is>
      </c>
      <c r="B3063" t="inlineStr">
        <is>
          <t>OPS</t>
        </is>
      </c>
      <c r="C3063" s="5" t="n">
        <v>46262</v>
      </c>
      <c r="D3063" t="inlineStr">
        <is>
          <t>Stripe patient 49002</t>
        </is>
      </c>
      <c r="E3063" t="inlineStr">
        <is>
          <t>INV/2026/04906</t>
        </is>
      </c>
      <c r="F3063" t="inlineStr">
        <is>
          <t>Customer payment INV/2026/04906</t>
        </is>
      </c>
      <c r="G3063" s="9" t="n">
        <v>95</v>
      </c>
      <c r="H3063" t="inlineStr">
        <is>
          <t>customer_payment</t>
        </is>
      </c>
      <c r="I3063" t="inlineStr"/>
      <c r="J3063" t="inlineStr">
        <is>
          <t>G00058</t>
        </is>
      </c>
      <c r="K3063" t="str">
        <f>INDEX('Match Groups'!$D$5:$D$1326,MATCH(J3063,'Match Groups'!$A$5:$A$1326,0))</f>
        <v>STRIPE-FEE</v>
      </c>
    </row>
    <row r="3064">
      <c r="A3064" t="inlineStr">
        <is>
          <t>JI-03063</t>
        </is>
      </c>
      <c r="B3064" t="inlineStr">
        <is>
          <t>OPS</t>
        </is>
      </c>
      <c r="C3064" s="5" t="n">
        <v>46262</v>
      </c>
      <c r="D3064" t="inlineStr">
        <is>
          <t>Stripe patient 43054</t>
        </is>
      </c>
      <c r="E3064" t="inlineStr">
        <is>
          <t>INV/2026/04907</t>
        </is>
      </c>
      <c r="F3064" t="inlineStr">
        <is>
          <t>Customer payment INV/2026/04907</t>
        </is>
      </c>
      <c r="G3064" s="9" t="n">
        <v>135</v>
      </c>
      <c r="H3064" t="inlineStr">
        <is>
          <t>customer_payment</t>
        </is>
      </c>
      <c r="I3064" t="inlineStr"/>
      <c r="J3064" t="inlineStr">
        <is>
          <t>G00058</t>
        </is>
      </c>
      <c r="K3064" t="str">
        <f>INDEX('Match Groups'!$D$5:$D$1326,MATCH(J3064,'Match Groups'!$A$5:$A$1326,0))</f>
        <v>STRIPE-FEE</v>
      </c>
    </row>
    <row r="3065">
      <c r="A3065" t="inlineStr">
        <is>
          <t>JI-03064</t>
        </is>
      </c>
      <c r="B3065" t="inlineStr">
        <is>
          <t>OPS</t>
        </is>
      </c>
      <c r="C3065" s="5" t="n">
        <v>46262</v>
      </c>
      <c r="D3065" t="inlineStr">
        <is>
          <t>Stripe patient 70354</t>
        </is>
      </c>
      <c r="E3065" t="inlineStr">
        <is>
          <t>INV/2026/04908</t>
        </is>
      </c>
      <c r="F3065" t="inlineStr">
        <is>
          <t>Customer payment INV/2026/04908</t>
        </is>
      </c>
      <c r="G3065" s="9" t="n">
        <v>150</v>
      </c>
      <c r="H3065" t="inlineStr">
        <is>
          <t>customer_payment</t>
        </is>
      </c>
      <c r="I3065" t="inlineStr"/>
      <c r="J3065" t="inlineStr">
        <is>
          <t>G00058</t>
        </is>
      </c>
      <c r="K3065" t="str">
        <f>INDEX('Match Groups'!$D$5:$D$1326,MATCH(J3065,'Match Groups'!$A$5:$A$1326,0))</f>
        <v>STRIPE-FEE</v>
      </c>
    </row>
    <row r="3066">
      <c r="A3066" t="inlineStr">
        <is>
          <t>JI-03065</t>
        </is>
      </c>
      <c r="B3066" t="inlineStr">
        <is>
          <t>OPS</t>
        </is>
      </c>
      <c r="C3066" s="5" t="n">
        <v>46262</v>
      </c>
      <c r="D3066" t="inlineStr">
        <is>
          <t>Stripe patient 10267</t>
        </is>
      </c>
      <c r="E3066" t="inlineStr">
        <is>
          <t>INV/2026/04909</t>
        </is>
      </c>
      <c r="F3066" t="inlineStr">
        <is>
          <t>Customer payment INV/2026/04909</t>
        </is>
      </c>
      <c r="G3066" s="9" t="n">
        <v>180</v>
      </c>
      <c r="H3066" t="inlineStr">
        <is>
          <t>customer_payment</t>
        </is>
      </c>
      <c r="I3066" t="inlineStr"/>
      <c r="J3066" t="inlineStr">
        <is>
          <t>G00058</t>
        </is>
      </c>
      <c r="K3066" t="str">
        <f>INDEX('Match Groups'!$D$5:$D$1326,MATCH(J3066,'Match Groups'!$A$5:$A$1326,0))</f>
        <v>STRIPE-FEE</v>
      </c>
    </row>
    <row r="3067">
      <c r="A3067" t="inlineStr">
        <is>
          <t>JI-03066</t>
        </is>
      </c>
      <c r="B3067" t="inlineStr">
        <is>
          <t>OPS</t>
        </is>
      </c>
      <c r="C3067" s="5" t="n">
        <v>46262</v>
      </c>
      <c r="D3067" t="inlineStr">
        <is>
          <t>Stripe patient 20338</t>
        </is>
      </c>
      <c r="E3067" t="inlineStr">
        <is>
          <t>INV/2026/04910</t>
        </is>
      </c>
      <c r="F3067" t="inlineStr">
        <is>
          <t>Customer payment INV/2026/04910</t>
        </is>
      </c>
      <c r="G3067" s="9" t="n">
        <v>120</v>
      </c>
      <c r="H3067" t="inlineStr">
        <is>
          <t>customer_payment</t>
        </is>
      </c>
      <c r="I3067" t="inlineStr"/>
      <c r="J3067" t="inlineStr">
        <is>
          <t>G00058</t>
        </is>
      </c>
      <c r="K3067" t="str">
        <f>INDEX('Match Groups'!$D$5:$D$1326,MATCH(J3067,'Match Groups'!$A$5:$A$1326,0))</f>
        <v>STRIPE-FEE</v>
      </c>
    </row>
    <row r="3068">
      <c r="A3068" t="inlineStr">
        <is>
          <t>JI-03912</t>
        </is>
      </c>
      <c r="B3068" t="inlineStr">
        <is>
          <t>OPS</t>
        </is>
      </c>
      <c r="C3068" s="5" t="n">
        <v>46262</v>
      </c>
      <c r="D3068" t="inlineStr">
        <is>
          <t>Equipment Finance Co</t>
        </is>
      </c>
      <c r="E3068" t="inlineStr">
        <is>
          <t>LOAN-08</t>
        </is>
      </c>
      <c r="F3068" t="inlineStr">
        <is>
          <t>Equipment loan repayment</t>
        </is>
      </c>
      <c r="G3068" s="9" t="n">
        <v>-4416.75</v>
      </c>
      <c r="H3068" t="inlineStr">
        <is>
          <t>entry</t>
        </is>
      </c>
      <c r="I3068" t="inlineStr"/>
      <c r="J3068" t="inlineStr">
        <is>
          <t>G01151</t>
        </is>
      </c>
      <c r="K3068" t="str">
        <f>INDEX('Match Groups'!$D$5:$D$1326,MATCH(J3068,'Match Groups'!$A$5:$A$1326,0))</f>
        <v>MATCH</v>
      </c>
    </row>
    <row r="3069">
      <c r="A3069" t="inlineStr">
        <is>
          <t>JI-01581</t>
        </is>
      </c>
      <c r="B3069" t="inlineStr">
        <is>
          <t>OPS</t>
        </is>
      </c>
      <c r="C3069" s="5" t="n">
        <v>46263</v>
      </c>
      <c r="D3069" t="inlineStr">
        <is>
          <t>Unity Workcover Agents</t>
        </is>
      </c>
      <c r="E3069" t="inlineStr">
        <is>
          <t>INV/2026/02559</t>
        </is>
      </c>
      <c r="F3069" t="inlineStr">
        <is>
          <t>Customer payment INV/2026/02559</t>
        </is>
      </c>
      <c r="G3069" s="9" t="n">
        <v>990</v>
      </c>
      <c r="H3069" t="inlineStr">
        <is>
          <t>customer_payment</t>
        </is>
      </c>
      <c r="I3069" t="inlineStr"/>
      <c r="J3069" t="inlineStr">
        <is>
          <t>G01024</t>
        </is>
      </c>
      <c r="K3069" t="str">
        <f>INDEX('Match Groups'!$D$5:$D$1326,MATCH(J3069,'Match Groups'!$A$5:$A$1326,0))</f>
        <v>MATCH</v>
      </c>
    </row>
    <row r="3070">
      <c r="A3070" t="inlineStr">
        <is>
          <t>JI-01601</t>
        </is>
      </c>
      <c r="B3070" t="inlineStr">
        <is>
          <t>OPS</t>
        </is>
      </c>
      <c r="C3070" s="5" t="n">
        <v>46263</v>
      </c>
      <c r="D3070" t="inlineStr">
        <is>
          <t>Pinnacle Claims Services</t>
        </is>
      </c>
      <c r="E3070" t="inlineStr">
        <is>
          <t>INV/2026/02560</t>
        </is>
      </c>
      <c r="F3070" t="inlineStr">
        <is>
          <t>Customer payment INV/2026/02560</t>
        </is>
      </c>
      <c r="G3070" s="9" t="n">
        <v>88</v>
      </c>
      <c r="H3070" t="inlineStr">
        <is>
          <t>customer_payment</t>
        </is>
      </c>
      <c r="I3070" t="inlineStr"/>
      <c r="J3070" t="inlineStr">
        <is>
          <t>G01026</t>
        </is>
      </c>
      <c r="K3070" t="str">
        <f>INDEX('Match Groups'!$D$5:$D$1326,MATCH(J3070,'Match Groups'!$A$5:$A$1326,0))</f>
        <v>MATCH</v>
      </c>
    </row>
    <row r="3071">
      <c r="A3071" t="inlineStr">
        <is>
          <t>JI-01718</t>
        </is>
      </c>
      <c r="B3071" t="inlineStr">
        <is>
          <t>OPS</t>
        </is>
      </c>
      <c r="C3071" s="5" t="n">
        <v>46263</v>
      </c>
      <c r="D3071" t="inlineStr">
        <is>
          <t>Daintree Packaging</t>
        </is>
      </c>
      <c r="E3071" t="inlineStr">
        <is>
          <t>INV/2026/03492</t>
        </is>
      </c>
      <c r="F3071" t="inlineStr">
        <is>
          <t>Customer payment INV/2026/03492</t>
        </is>
      </c>
      <c r="G3071" s="9" t="n">
        <v>3616.25</v>
      </c>
      <c r="H3071" t="inlineStr">
        <is>
          <t>customer_payment</t>
        </is>
      </c>
      <c r="I3071" t="inlineStr"/>
      <c r="J3071" t="inlineStr">
        <is>
          <t>G01029</t>
        </is>
      </c>
      <c r="K3071" t="str">
        <f>INDEX('Match Groups'!$D$5:$D$1326,MATCH(J3071,'Match Groups'!$A$5:$A$1326,0))</f>
        <v>MATCH</v>
      </c>
    </row>
    <row r="3072">
      <c r="A3072" t="inlineStr">
        <is>
          <t>JI-01755</t>
        </is>
      </c>
      <c r="B3072" t="inlineStr">
        <is>
          <t>OPS</t>
        </is>
      </c>
      <c r="C3072" s="5" t="n">
        <v>46263</v>
      </c>
      <c r="D3072" t="inlineStr">
        <is>
          <t>Nettlefold Joinery</t>
        </is>
      </c>
      <c r="E3072" t="inlineStr">
        <is>
          <t>INV/2026/03562</t>
        </is>
      </c>
      <c r="F3072" t="inlineStr">
        <is>
          <t>Customer payment INV/2026/03562</t>
        </is>
      </c>
      <c r="G3072" s="9" t="n">
        <v>3465</v>
      </c>
      <c r="H3072" t="inlineStr">
        <is>
          <t>customer_payment</t>
        </is>
      </c>
      <c r="I3072" t="inlineStr"/>
      <c r="J3072" t="inlineStr">
        <is>
          <t>G01150</t>
        </is>
      </c>
      <c r="K3072" t="str">
        <f>INDEX('Match Groups'!$D$5:$D$1326,MATCH(J3072,'Match Groups'!$A$5:$A$1326,0))</f>
        <v>MATCH</v>
      </c>
    </row>
    <row r="3073">
      <c r="A3073" t="inlineStr">
        <is>
          <t>JI-03067</t>
        </is>
      </c>
      <c r="B3073" t="inlineStr">
        <is>
          <t>OPS</t>
        </is>
      </c>
      <c r="C3073" s="5" t="n">
        <v>46263</v>
      </c>
      <c r="D3073" t="inlineStr">
        <is>
          <t>Stripe patient 64406</t>
        </is>
      </c>
      <c r="E3073" t="inlineStr">
        <is>
          <t>INV/2026/04911</t>
        </is>
      </c>
      <c r="F3073" t="inlineStr">
        <is>
          <t>Customer payment INV/2026/04911</t>
        </is>
      </c>
      <c r="G3073" s="9" t="n">
        <v>65</v>
      </c>
      <c r="H3073" t="inlineStr">
        <is>
          <t>customer_payment</t>
        </is>
      </c>
      <c r="I3073" t="inlineStr"/>
      <c r="J3073" t="inlineStr">
        <is>
          <t>G00058</t>
        </is>
      </c>
      <c r="K3073" t="str">
        <f>INDEX('Match Groups'!$D$5:$D$1326,MATCH(J3073,'Match Groups'!$A$5:$A$1326,0))</f>
        <v>STRIPE-FEE</v>
      </c>
    </row>
    <row r="3074">
      <c r="A3074" t="inlineStr">
        <is>
          <t>JI-03068</t>
        </is>
      </c>
      <c r="B3074" t="inlineStr">
        <is>
          <t>OPS</t>
        </is>
      </c>
      <c r="C3074" s="5" t="n">
        <v>46263</v>
      </c>
      <c r="D3074" t="inlineStr">
        <is>
          <t>Stripe patient 33154</t>
        </is>
      </c>
      <c r="E3074" t="inlineStr">
        <is>
          <t>INV/2026/04912</t>
        </is>
      </c>
      <c r="F3074" t="inlineStr">
        <is>
          <t>Customer payment INV/2026/04912</t>
        </is>
      </c>
      <c r="G3074" s="9" t="n">
        <v>65</v>
      </c>
      <c r="H3074" t="inlineStr">
        <is>
          <t>customer_payment</t>
        </is>
      </c>
      <c r="I3074" t="inlineStr"/>
      <c r="J3074" t="inlineStr">
        <is>
          <t>G00058</t>
        </is>
      </c>
      <c r="K3074" t="str">
        <f>INDEX('Match Groups'!$D$5:$D$1326,MATCH(J3074,'Match Groups'!$A$5:$A$1326,0))</f>
        <v>STRIPE-FEE</v>
      </c>
    </row>
    <row r="3075">
      <c r="A3075" t="inlineStr">
        <is>
          <t>JI-03069</t>
        </is>
      </c>
      <c r="B3075" t="inlineStr">
        <is>
          <t>OPS</t>
        </is>
      </c>
      <c r="C3075" s="5" t="n">
        <v>46263</v>
      </c>
      <c r="D3075" t="inlineStr">
        <is>
          <t>Stripe patient 99225</t>
        </is>
      </c>
      <c r="E3075" t="inlineStr">
        <is>
          <t>INV/2026/04913</t>
        </is>
      </c>
      <c r="F3075" t="inlineStr">
        <is>
          <t>Customer payment INV/2026/04913</t>
        </is>
      </c>
      <c r="G3075" s="9" t="n">
        <v>180</v>
      </c>
      <c r="H3075" t="inlineStr">
        <is>
          <t>customer_payment</t>
        </is>
      </c>
      <c r="I3075" t="inlineStr"/>
      <c r="J3075" t="inlineStr">
        <is>
          <t>G00058</t>
        </is>
      </c>
      <c r="K3075" t="str">
        <f>INDEX('Match Groups'!$D$5:$D$1326,MATCH(J3075,'Match Groups'!$A$5:$A$1326,0))</f>
        <v>STRIPE-FEE</v>
      </c>
    </row>
    <row r="3076">
      <c r="A3076" t="inlineStr">
        <is>
          <t>JI-03070</t>
        </is>
      </c>
      <c r="B3076" t="inlineStr">
        <is>
          <t>OPS</t>
        </is>
      </c>
      <c r="C3076" s="5" t="n">
        <v>46263</v>
      </c>
      <c r="D3076" t="inlineStr">
        <is>
          <t>Stripe patient 35213</t>
        </is>
      </c>
      <c r="E3076" t="inlineStr">
        <is>
          <t>INV/2026/04914</t>
        </is>
      </c>
      <c r="F3076" t="inlineStr">
        <is>
          <t>Customer payment INV/2026/04914</t>
        </is>
      </c>
      <c r="G3076" s="9" t="n">
        <v>110</v>
      </c>
      <c r="H3076" t="inlineStr">
        <is>
          <t>customer_payment</t>
        </is>
      </c>
      <c r="I3076" t="inlineStr"/>
      <c r="J3076" t="inlineStr">
        <is>
          <t>G00058</t>
        </is>
      </c>
      <c r="K3076" t="str">
        <f>INDEX('Match Groups'!$D$5:$D$1326,MATCH(J3076,'Match Groups'!$A$5:$A$1326,0))</f>
        <v>STRIPE-FEE</v>
      </c>
    </row>
    <row r="3077">
      <c r="A3077" t="inlineStr">
        <is>
          <t>JI-03071</t>
        </is>
      </c>
      <c r="B3077" t="inlineStr">
        <is>
          <t>OPS</t>
        </is>
      </c>
      <c r="C3077" s="5" t="n">
        <v>46263</v>
      </c>
      <c r="D3077" t="inlineStr">
        <is>
          <t>Stripe patient 42266</t>
        </is>
      </c>
      <c r="E3077" t="inlineStr">
        <is>
          <t>INV/2026/04915</t>
        </is>
      </c>
      <c r="F3077" t="inlineStr">
        <is>
          <t>Customer payment INV/2026/04915</t>
        </is>
      </c>
      <c r="G3077" s="9" t="n">
        <v>180</v>
      </c>
      <c r="H3077" t="inlineStr">
        <is>
          <t>customer_payment</t>
        </is>
      </c>
      <c r="I3077" t="inlineStr"/>
      <c r="J3077" t="inlineStr">
        <is>
          <t>G00058</t>
        </is>
      </c>
      <c r="K3077" t="str">
        <f>INDEX('Match Groups'!$D$5:$D$1326,MATCH(J3077,'Match Groups'!$A$5:$A$1326,0))</f>
        <v>STRIPE-FEE</v>
      </c>
    </row>
    <row r="3078">
      <c r="A3078" t="inlineStr">
        <is>
          <t>JI-03072</t>
        </is>
      </c>
      <c r="B3078" t="inlineStr">
        <is>
          <t>OPS</t>
        </is>
      </c>
      <c r="C3078" s="5" t="n">
        <v>46263</v>
      </c>
      <c r="D3078" t="inlineStr">
        <is>
          <t>Stripe patient 39166</t>
        </is>
      </c>
      <c r="E3078" t="inlineStr">
        <is>
          <t>INV/2026/04916</t>
        </is>
      </c>
      <c r="F3078" t="inlineStr">
        <is>
          <t>Customer payment INV/2026/04916</t>
        </is>
      </c>
      <c r="G3078" s="9" t="n">
        <v>110</v>
      </c>
      <c r="H3078" t="inlineStr">
        <is>
          <t>customer_payment</t>
        </is>
      </c>
      <c r="I3078" t="inlineStr"/>
      <c r="J3078" t="inlineStr">
        <is>
          <t>G00058</t>
        </is>
      </c>
      <c r="K3078" t="str">
        <f>INDEX('Match Groups'!$D$5:$D$1326,MATCH(J3078,'Match Groups'!$A$5:$A$1326,0))</f>
        <v>STRIPE-FEE</v>
      </c>
    </row>
    <row r="3079">
      <c r="A3079" t="inlineStr">
        <is>
          <t>JI-01132</t>
        </is>
      </c>
      <c r="B3079" t="inlineStr">
        <is>
          <t>OPS</t>
        </is>
      </c>
      <c r="C3079" s="5" t="n">
        <v>46264</v>
      </c>
      <c r="D3079" t="inlineStr">
        <is>
          <t>Kookaburra Plan Support</t>
        </is>
      </c>
      <c r="E3079" t="inlineStr">
        <is>
          <t>INV/2026/02831</t>
        </is>
      </c>
      <c r="F3079" t="inlineStr">
        <is>
          <t>Customer payment INV/2026/02831</t>
        </is>
      </c>
      <c r="G3079" s="9" t="n">
        <v>320.98</v>
      </c>
      <c r="H3079" t="inlineStr">
        <is>
          <t>customer_payment</t>
        </is>
      </c>
      <c r="I3079" t="inlineStr"/>
      <c r="J3079" t="inlineStr">
        <is>
          <t>G00364</t>
        </is>
      </c>
      <c r="K3079" t="str">
        <f>INDEX('Match Groups'!$D$5:$D$1326,MATCH(J3079,'Match Groups'!$A$5:$A$1326,0))</f>
        <v>MATCH</v>
      </c>
    </row>
    <row r="3080">
      <c r="A3080" t="inlineStr">
        <is>
          <t>JI-01133</t>
        </is>
      </c>
      <c r="B3080" t="inlineStr">
        <is>
          <t>OPS</t>
        </is>
      </c>
      <c r="C3080" s="5" t="n">
        <v>46264</v>
      </c>
      <c r="D3080" t="inlineStr">
        <is>
          <t>Kookaburra Plan Support</t>
        </is>
      </c>
      <c r="E3080" t="inlineStr">
        <is>
          <t>INV/2026/02847</t>
        </is>
      </c>
      <c r="F3080" t="inlineStr">
        <is>
          <t>Customer payment INV/2026/02847</t>
        </is>
      </c>
      <c r="G3080" s="9" t="n">
        <v>193.99</v>
      </c>
      <c r="H3080" t="inlineStr">
        <is>
          <t>customer_payment</t>
        </is>
      </c>
      <c r="I3080" t="inlineStr"/>
      <c r="J3080" t="inlineStr">
        <is>
          <t>G00364</t>
        </is>
      </c>
      <c r="K3080" t="str">
        <f>INDEX('Match Groups'!$D$5:$D$1326,MATCH(J3080,'Match Groups'!$A$5:$A$1326,0))</f>
        <v>MATCH</v>
      </c>
    </row>
    <row r="3081">
      <c r="A3081" t="inlineStr">
        <is>
          <t>JI-01134</t>
        </is>
      </c>
      <c r="B3081" t="inlineStr">
        <is>
          <t>OPS</t>
        </is>
      </c>
      <c r="C3081" s="5" t="n">
        <v>46264</v>
      </c>
      <c r="D3081" t="inlineStr">
        <is>
          <t>Kookaburra Plan Support</t>
        </is>
      </c>
      <c r="E3081" t="inlineStr">
        <is>
          <t>INV/2026/02848</t>
        </is>
      </c>
      <c r="F3081" t="inlineStr">
        <is>
          <t>Customer payment INV/2026/02848</t>
        </is>
      </c>
      <c r="G3081" s="9" t="n">
        <v>96.98999999999999</v>
      </c>
      <c r="H3081" t="inlineStr">
        <is>
          <t>customer_payment</t>
        </is>
      </c>
      <c r="I3081" t="inlineStr"/>
      <c r="J3081" t="inlineStr">
        <is>
          <t>G00364</t>
        </is>
      </c>
      <c r="K3081" t="str">
        <f>INDEX('Match Groups'!$D$5:$D$1326,MATCH(J3081,'Match Groups'!$A$5:$A$1326,0))</f>
        <v>MATCH</v>
      </c>
    </row>
    <row r="3082">
      <c r="A3082" t="inlineStr">
        <is>
          <t>JI-01666</t>
        </is>
      </c>
      <c r="B3082" t="inlineStr">
        <is>
          <t>OPS</t>
        </is>
      </c>
      <c r="C3082" s="5" t="n">
        <v>46264</v>
      </c>
      <c r="D3082" t="inlineStr">
        <is>
          <t>Tamsin Ridge Wineries</t>
        </is>
      </c>
      <c r="E3082" t="inlineStr">
        <is>
          <t>INV/2026/03471</t>
        </is>
      </c>
      <c r="F3082" t="inlineStr">
        <is>
          <t>Customer payment INV/2026/03471</t>
        </is>
      </c>
      <c r="G3082" s="9" t="n">
        <v>15950</v>
      </c>
      <c r="H3082" t="inlineStr">
        <is>
          <t>customer_payment</t>
        </is>
      </c>
      <c r="I3082" t="inlineStr"/>
      <c r="J3082" t="inlineStr">
        <is>
          <t>G01149</t>
        </is>
      </c>
      <c r="K3082" t="str">
        <f>INDEX('Match Groups'!$D$5:$D$1326,MATCH(J3082,'Match Groups'!$A$5:$A$1326,0))</f>
        <v>MATCH</v>
      </c>
    </row>
    <row r="3083">
      <c r="A3083" t="inlineStr">
        <is>
          <t>JI-01775</t>
        </is>
      </c>
      <c r="B3083" t="inlineStr">
        <is>
          <t>OPS</t>
        </is>
      </c>
      <c r="C3083" s="5" t="n">
        <v>46264</v>
      </c>
      <c r="D3083" t="inlineStr">
        <is>
          <t>Thornbury Textiles</t>
        </is>
      </c>
      <c r="E3083" t="inlineStr">
        <is>
          <t>INV/2026/03568</t>
        </is>
      </c>
      <c r="F3083" t="inlineStr">
        <is>
          <t>Customer payment INV/2026/03568</t>
        </is>
      </c>
      <c r="G3083" s="9" t="n">
        <v>3465</v>
      </c>
      <c r="H3083" t="inlineStr">
        <is>
          <t>customer_payment</t>
        </is>
      </c>
      <c r="I3083" t="inlineStr"/>
      <c r="J3083" t="inlineStr">
        <is>
          <t>G01032</t>
        </is>
      </c>
      <c r="K3083" t="str">
        <f>INDEX('Match Groups'!$D$5:$D$1326,MATCH(J3083,'Match Groups'!$A$5:$A$1326,0))</f>
        <v>MATCH</v>
      </c>
    </row>
    <row r="3084">
      <c r="A3084" t="inlineStr">
        <is>
          <t>JI-01123</t>
        </is>
      </c>
      <c r="B3084" t="inlineStr">
        <is>
          <t>OPS</t>
        </is>
      </c>
      <c r="C3084" s="5" t="n">
        <v>46265</v>
      </c>
      <c r="D3084" t="inlineStr">
        <is>
          <t>Bluegum Plan Management</t>
        </is>
      </c>
      <c r="E3084" t="inlineStr">
        <is>
          <t>INV/2026/02841</t>
        </is>
      </c>
      <c r="F3084" t="inlineStr">
        <is>
          <t>Customer payment INV/2026/02841</t>
        </is>
      </c>
      <c r="G3084" s="9" t="n">
        <v>300.69</v>
      </c>
      <c r="H3084" t="inlineStr">
        <is>
          <t>customer_payment</t>
        </is>
      </c>
      <c r="I3084" t="inlineStr"/>
      <c r="J3084" t="inlineStr">
        <is>
          <t>G00361</t>
        </is>
      </c>
      <c r="K3084" t="str">
        <f>INDEX('Match Groups'!$D$5:$D$1326,MATCH(J3084,'Match Groups'!$A$5:$A$1326,0))</f>
        <v>MATCH</v>
      </c>
    </row>
    <row r="3085">
      <c r="A3085" t="inlineStr">
        <is>
          <t>JI-01124</t>
        </is>
      </c>
      <c r="B3085" t="inlineStr">
        <is>
          <t>OPS</t>
        </is>
      </c>
      <c r="C3085" s="5" t="n">
        <v>46265</v>
      </c>
      <c r="D3085" t="inlineStr">
        <is>
          <t>Clearpath NDIS Plans</t>
        </is>
      </c>
      <c r="E3085" t="inlineStr">
        <is>
          <t>INV/2026/02758</t>
        </is>
      </c>
      <c r="F3085" t="inlineStr">
        <is>
          <t>Customer payment INV/2026/02758</t>
        </is>
      </c>
      <c r="G3085" s="9" t="n">
        <v>155.19</v>
      </c>
      <c r="H3085" t="inlineStr">
        <is>
          <t>customer_payment</t>
        </is>
      </c>
      <c r="I3085" t="inlineStr"/>
      <c r="J3085" t="inlineStr">
        <is>
          <t>G00362</t>
        </is>
      </c>
      <c r="K3085" t="str">
        <f>INDEX('Match Groups'!$D$5:$D$1326,MATCH(J3085,'Match Groups'!$A$5:$A$1326,0))</f>
        <v>MATCH</v>
      </c>
    </row>
    <row r="3086">
      <c r="A3086" t="inlineStr">
        <is>
          <t>JI-01125</t>
        </is>
      </c>
      <c r="B3086" t="inlineStr">
        <is>
          <t>OPS</t>
        </is>
      </c>
      <c r="C3086" s="5" t="n">
        <v>46265</v>
      </c>
      <c r="D3086" t="inlineStr">
        <is>
          <t>Clearpath NDIS Plans</t>
        </is>
      </c>
      <c r="E3086" t="inlineStr">
        <is>
          <t>INV/2026/02760</t>
        </is>
      </c>
      <c r="F3086" t="inlineStr">
        <is>
          <t>Customer payment INV/2026/02760</t>
        </is>
      </c>
      <c r="G3086" s="9" t="n">
        <v>223.99</v>
      </c>
      <c r="H3086" t="inlineStr">
        <is>
          <t>customer_payment</t>
        </is>
      </c>
      <c r="I3086" t="inlineStr"/>
      <c r="J3086" t="inlineStr">
        <is>
          <t>G00362</t>
        </is>
      </c>
      <c r="K3086" t="str">
        <f>INDEX('Match Groups'!$D$5:$D$1326,MATCH(J3086,'Match Groups'!$A$5:$A$1326,0))</f>
        <v>MATCH</v>
      </c>
    </row>
    <row r="3087">
      <c r="A3087" t="inlineStr">
        <is>
          <t>JI-01126</t>
        </is>
      </c>
      <c r="B3087" t="inlineStr">
        <is>
          <t>OPS</t>
        </is>
      </c>
      <c r="C3087" s="5" t="n">
        <v>46265</v>
      </c>
      <c r="D3087" t="inlineStr">
        <is>
          <t>Clearpath NDIS Plans</t>
        </is>
      </c>
      <c r="E3087" t="inlineStr">
        <is>
          <t>INV/2026/02801</t>
        </is>
      </c>
      <c r="F3087" t="inlineStr">
        <is>
          <t>Customer payment INV/2026/02801</t>
        </is>
      </c>
      <c r="G3087" s="9" t="n">
        <v>387.98</v>
      </c>
      <c r="H3087" t="inlineStr">
        <is>
          <t>customer_payment</t>
        </is>
      </c>
      <c r="I3087" t="inlineStr"/>
      <c r="J3087" t="inlineStr">
        <is>
          <t>G00362</t>
        </is>
      </c>
      <c r="K3087" t="str">
        <f>INDEX('Match Groups'!$D$5:$D$1326,MATCH(J3087,'Match Groups'!$A$5:$A$1326,0))</f>
        <v>MATCH</v>
      </c>
    </row>
    <row r="3088">
      <c r="A3088" t="inlineStr">
        <is>
          <t>JI-01127</t>
        </is>
      </c>
      <c r="B3088" t="inlineStr">
        <is>
          <t>OPS</t>
        </is>
      </c>
      <c r="C3088" s="5" t="n">
        <v>46265</v>
      </c>
      <c r="D3088" t="inlineStr">
        <is>
          <t>Clearpath NDIS Plans</t>
        </is>
      </c>
      <c r="E3088" t="inlineStr">
        <is>
          <t>INV/2026/02802</t>
        </is>
      </c>
      <c r="F3088" t="inlineStr">
        <is>
          <t>Customer payment INV/2026/02802</t>
        </is>
      </c>
      <c r="G3088" s="9" t="n">
        <v>145.49</v>
      </c>
      <c r="H3088" t="inlineStr">
        <is>
          <t>customer_payment</t>
        </is>
      </c>
      <c r="I3088" t="inlineStr"/>
      <c r="J3088" t="inlineStr">
        <is>
          <t>G00362</t>
        </is>
      </c>
      <c r="K3088" t="str">
        <f>INDEX('Match Groups'!$D$5:$D$1326,MATCH(J3088,'Match Groups'!$A$5:$A$1326,0))</f>
        <v>MATCH</v>
      </c>
    </row>
    <row r="3089">
      <c r="A3089" t="inlineStr">
        <is>
          <t>JI-01128</t>
        </is>
      </c>
      <c r="B3089" t="inlineStr">
        <is>
          <t>OPS</t>
        </is>
      </c>
      <c r="C3089" s="5" t="n">
        <v>46265</v>
      </c>
      <c r="D3089" t="inlineStr">
        <is>
          <t>Ironbark Plan Management</t>
        </is>
      </c>
      <c r="E3089" t="inlineStr">
        <is>
          <t>INV/2026/02764</t>
        </is>
      </c>
      <c r="F3089" t="inlineStr">
        <is>
          <t>Customer payment INV/2026/02764</t>
        </is>
      </c>
      <c r="G3089" s="9" t="n">
        <v>96.98999999999999</v>
      </c>
      <c r="H3089" t="inlineStr">
        <is>
          <t>customer_payment</t>
        </is>
      </c>
      <c r="I3089" t="inlineStr"/>
      <c r="J3089" t="inlineStr">
        <is>
          <t>G00363</t>
        </is>
      </c>
      <c r="K3089" t="str">
        <f>INDEX('Match Groups'!$D$5:$D$1326,MATCH(J3089,'Match Groups'!$A$5:$A$1326,0))</f>
        <v>MATCH</v>
      </c>
    </row>
    <row r="3090">
      <c r="A3090" t="inlineStr">
        <is>
          <t>JI-01129</t>
        </is>
      </c>
      <c r="B3090" t="inlineStr">
        <is>
          <t>OPS</t>
        </is>
      </c>
      <c r="C3090" s="5" t="n">
        <v>46265</v>
      </c>
      <c r="D3090" t="inlineStr">
        <is>
          <t>Ironbark Plan Management</t>
        </is>
      </c>
      <c r="E3090" t="inlineStr">
        <is>
          <t>INV/2026/02784</t>
        </is>
      </c>
      <c r="F3090" t="inlineStr">
        <is>
          <t>Customer payment INV/2026/02784</t>
        </is>
      </c>
      <c r="G3090" s="9" t="n">
        <v>300.69</v>
      </c>
      <c r="H3090" t="inlineStr">
        <is>
          <t>customer_payment</t>
        </is>
      </c>
      <c r="I3090" t="inlineStr"/>
      <c r="J3090" t="inlineStr">
        <is>
          <t>G00363</t>
        </is>
      </c>
      <c r="K3090" t="str">
        <f>INDEX('Match Groups'!$D$5:$D$1326,MATCH(J3090,'Match Groups'!$A$5:$A$1326,0))</f>
        <v>MATCH</v>
      </c>
    </row>
    <row r="3091">
      <c r="A3091" t="inlineStr">
        <is>
          <t>JI-01130</t>
        </is>
      </c>
      <c r="B3091" t="inlineStr">
        <is>
          <t>OPS</t>
        </is>
      </c>
      <c r="C3091" s="5" t="n">
        <v>46265</v>
      </c>
      <c r="D3091" t="inlineStr">
        <is>
          <t>Ironbark Plan Management</t>
        </is>
      </c>
      <c r="E3091" t="inlineStr">
        <is>
          <t>INV/2026/02806</t>
        </is>
      </c>
      <c r="F3091" t="inlineStr">
        <is>
          <t>Customer payment INV/2026/02806</t>
        </is>
      </c>
      <c r="G3091" s="9" t="n">
        <v>145.49</v>
      </c>
      <c r="H3091" t="inlineStr">
        <is>
          <t>customer_payment</t>
        </is>
      </c>
      <c r="I3091" t="inlineStr"/>
      <c r="J3091" t="inlineStr">
        <is>
          <t>G00363</t>
        </is>
      </c>
      <c r="K3091" t="str">
        <f>INDEX('Match Groups'!$D$5:$D$1326,MATCH(J3091,'Match Groups'!$A$5:$A$1326,0))</f>
        <v>MATCH</v>
      </c>
    </row>
    <row r="3092">
      <c r="A3092" t="inlineStr">
        <is>
          <t>JI-01131</t>
        </is>
      </c>
      <c r="B3092" t="inlineStr">
        <is>
          <t>OPS</t>
        </is>
      </c>
      <c r="C3092" s="5" t="n">
        <v>46265</v>
      </c>
      <c r="D3092" t="inlineStr">
        <is>
          <t>Ironbark Plan Management</t>
        </is>
      </c>
      <c r="E3092" t="inlineStr">
        <is>
          <t>INV/2026/02829</t>
        </is>
      </c>
      <c r="F3092" t="inlineStr">
        <is>
          <t>Customer payment INV/2026/02829</t>
        </is>
      </c>
      <c r="G3092" s="9" t="n">
        <v>203.69</v>
      </c>
      <c r="H3092" t="inlineStr">
        <is>
          <t>customer_payment</t>
        </is>
      </c>
      <c r="I3092" t="inlineStr"/>
      <c r="J3092" t="inlineStr">
        <is>
          <t>G00363</t>
        </is>
      </c>
      <c r="K3092" t="str">
        <f>INDEX('Match Groups'!$D$5:$D$1326,MATCH(J3092,'Match Groups'!$A$5:$A$1326,0))</f>
        <v>MATCH</v>
      </c>
    </row>
    <row r="3093">
      <c r="A3093" t="inlineStr">
        <is>
          <t>JI-01135</t>
        </is>
      </c>
      <c r="B3093" t="inlineStr">
        <is>
          <t>OPS</t>
        </is>
      </c>
      <c r="C3093" s="5" t="n">
        <v>46265</v>
      </c>
      <c r="D3093" t="inlineStr">
        <is>
          <t>Saltbush Plan Managers</t>
        </is>
      </c>
      <c r="E3093" t="inlineStr">
        <is>
          <t>INV/2026/02766</t>
        </is>
      </c>
      <c r="F3093" t="inlineStr">
        <is>
          <t>Customer payment INV/2026/02766</t>
        </is>
      </c>
      <c r="G3093" s="9" t="n">
        <v>145.49</v>
      </c>
      <c r="H3093" t="inlineStr">
        <is>
          <t>customer_payment</t>
        </is>
      </c>
      <c r="I3093" t="inlineStr"/>
      <c r="J3093" t="inlineStr">
        <is>
          <t>G00365</t>
        </is>
      </c>
      <c r="K3093" t="str">
        <f>INDEX('Match Groups'!$D$5:$D$1326,MATCH(J3093,'Match Groups'!$A$5:$A$1326,0))</f>
        <v>MATCH</v>
      </c>
    </row>
    <row r="3094">
      <c r="A3094" t="inlineStr">
        <is>
          <t>JI-01136</t>
        </is>
      </c>
      <c r="B3094" t="inlineStr">
        <is>
          <t>OPS</t>
        </is>
      </c>
      <c r="C3094" s="5" t="n">
        <v>46265</v>
      </c>
      <c r="D3094" t="inlineStr">
        <is>
          <t>Saltbush Plan Managers</t>
        </is>
      </c>
      <c r="E3094" t="inlineStr">
        <is>
          <t>INV/2026/02786</t>
        </is>
      </c>
      <c r="F3094" t="inlineStr">
        <is>
          <t>Customer payment INV/2026/02786</t>
        </is>
      </c>
      <c r="G3094" s="9" t="n">
        <v>387.98</v>
      </c>
      <c r="H3094" t="inlineStr">
        <is>
          <t>customer_payment</t>
        </is>
      </c>
      <c r="I3094" t="inlineStr"/>
      <c r="J3094" t="inlineStr">
        <is>
          <t>G00365</t>
        </is>
      </c>
      <c r="K3094" t="str">
        <f>INDEX('Match Groups'!$D$5:$D$1326,MATCH(J3094,'Match Groups'!$A$5:$A$1326,0))</f>
        <v>MATCH</v>
      </c>
    </row>
    <row r="3095">
      <c r="A3095" t="inlineStr">
        <is>
          <t>JI-01137</t>
        </is>
      </c>
      <c r="B3095" t="inlineStr">
        <is>
          <t>OPS</t>
        </is>
      </c>
      <c r="C3095" s="5" t="n">
        <v>46265</v>
      </c>
      <c r="D3095" t="inlineStr">
        <is>
          <t>Redgum Plan Admin</t>
        </is>
      </c>
      <c r="E3095" t="inlineStr">
        <is>
          <t>INV/2026/02811</t>
        </is>
      </c>
      <c r="F3095" t="inlineStr">
        <is>
          <t>Customer payment INV/2026/02811</t>
        </is>
      </c>
      <c r="G3095" s="9" t="n">
        <v>96.98999999999999</v>
      </c>
      <c r="H3095" t="inlineStr">
        <is>
          <t>customer_payment</t>
        </is>
      </c>
      <c r="I3095" t="inlineStr"/>
      <c r="J3095" t="inlineStr">
        <is>
          <t>G00366</t>
        </is>
      </c>
      <c r="K3095" t="str">
        <f>INDEX('Match Groups'!$D$5:$D$1326,MATCH(J3095,'Match Groups'!$A$5:$A$1326,0))</f>
        <v>MATCH</v>
      </c>
    </row>
    <row r="3096">
      <c r="A3096" t="inlineStr">
        <is>
          <t>JI-01138</t>
        </is>
      </c>
      <c r="B3096" t="inlineStr">
        <is>
          <t>OPS</t>
        </is>
      </c>
      <c r="C3096" s="5" t="n">
        <v>46265</v>
      </c>
      <c r="D3096" t="inlineStr">
        <is>
          <t>Redgum Plan Admin</t>
        </is>
      </c>
      <c r="E3096" t="inlineStr">
        <is>
          <t>INV/2026/02851</t>
        </is>
      </c>
      <c r="F3096" t="inlineStr">
        <is>
          <t>Customer payment INV/2026/02851</t>
        </is>
      </c>
      <c r="G3096" s="9" t="n">
        <v>387.98</v>
      </c>
      <c r="H3096" t="inlineStr">
        <is>
          <t>customer_payment</t>
        </is>
      </c>
      <c r="I3096" t="inlineStr"/>
      <c r="J3096" t="inlineStr">
        <is>
          <t>G00366</t>
        </is>
      </c>
      <c r="K3096" t="str">
        <f>INDEX('Match Groups'!$D$5:$D$1326,MATCH(J3096,'Match Groups'!$A$5:$A$1326,0))</f>
        <v>MATCH</v>
      </c>
    </row>
    <row r="3097">
      <c r="A3097" t="inlineStr">
        <is>
          <t>JI-01139</t>
        </is>
      </c>
      <c r="B3097" t="inlineStr">
        <is>
          <t>OPS</t>
        </is>
      </c>
      <c r="C3097" s="5" t="n">
        <v>46265</v>
      </c>
      <c r="D3097" t="inlineStr">
        <is>
          <t>Redgum Plan Admin</t>
        </is>
      </c>
      <c r="E3097" t="inlineStr">
        <is>
          <t>INV/2026/02852</t>
        </is>
      </c>
      <c r="F3097" t="inlineStr">
        <is>
          <t>Customer payment INV/2026/02852</t>
        </is>
      </c>
      <c r="G3097" s="9" t="n">
        <v>145.49</v>
      </c>
      <c r="H3097" t="inlineStr">
        <is>
          <t>customer_payment</t>
        </is>
      </c>
      <c r="I3097" t="inlineStr"/>
      <c r="J3097" t="inlineStr">
        <is>
          <t>G00366</t>
        </is>
      </c>
      <c r="K3097" t="str">
        <f>INDEX('Match Groups'!$D$5:$D$1326,MATCH(J3097,'Match Groups'!$A$5:$A$1326,0))</f>
        <v>MATCH</v>
      </c>
    </row>
    <row r="3098">
      <c r="A3098" t="inlineStr">
        <is>
          <t>JI-01140</t>
        </is>
      </c>
      <c r="B3098" t="inlineStr">
        <is>
          <t>OPS</t>
        </is>
      </c>
      <c r="C3098" s="5" t="n">
        <v>46265</v>
      </c>
      <c r="D3098" t="inlineStr">
        <is>
          <t>Acacia Plan Partners</t>
        </is>
      </c>
      <c r="E3098" t="inlineStr">
        <is>
          <t>INV/2026/02681</t>
        </is>
      </c>
      <c r="F3098" t="inlineStr">
        <is>
          <t>Customer payment INV/2026/02681</t>
        </is>
      </c>
      <c r="G3098" s="9" t="n">
        <v>242.49</v>
      </c>
      <c r="H3098" t="inlineStr">
        <is>
          <t>customer_payment</t>
        </is>
      </c>
      <c r="I3098" t="inlineStr"/>
      <c r="J3098" t="inlineStr">
        <is>
          <t>G00367</t>
        </is>
      </c>
      <c r="K3098" t="str">
        <f>INDEX('Match Groups'!$D$5:$D$1326,MATCH(J3098,'Match Groups'!$A$5:$A$1326,0))</f>
        <v>MATCH</v>
      </c>
    </row>
    <row r="3099">
      <c r="A3099" t="inlineStr">
        <is>
          <t>JI-01141</t>
        </is>
      </c>
      <c r="B3099" t="inlineStr">
        <is>
          <t>OPS</t>
        </is>
      </c>
      <c r="C3099" s="5" t="n">
        <v>46265</v>
      </c>
      <c r="D3099" t="inlineStr">
        <is>
          <t>Acacia Plan Partners</t>
        </is>
      </c>
      <c r="E3099" t="inlineStr">
        <is>
          <t>INV/2026/02706</t>
        </is>
      </c>
      <c r="F3099" t="inlineStr">
        <is>
          <t>Customer payment INV/2026/02706</t>
        </is>
      </c>
      <c r="G3099" s="9" t="n">
        <v>417.98</v>
      </c>
      <c r="H3099" t="inlineStr">
        <is>
          <t>customer_payment</t>
        </is>
      </c>
      <c r="I3099" t="inlineStr"/>
      <c r="J3099" t="inlineStr">
        <is>
          <t>G00367</t>
        </is>
      </c>
      <c r="K3099" t="str">
        <f>INDEX('Match Groups'!$D$5:$D$1326,MATCH(J3099,'Match Groups'!$A$5:$A$1326,0))</f>
        <v>MATCH</v>
      </c>
    </row>
    <row r="3100">
      <c r="A3100" t="inlineStr">
        <is>
          <t>JI-01142</t>
        </is>
      </c>
      <c r="B3100" t="inlineStr">
        <is>
          <t>OPS</t>
        </is>
      </c>
      <c r="C3100" s="5" t="n">
        <v>46265</v>
      </c>
      <c r="D3100" t="inlineStr">
        <is>
          <t>Acacia Plan Partners</t>
        </is>
      </c>
      <c r="E3100" t="inlineStr">
        <is>
          <t>INV/2026/02730</t>
        </is>
      </c>
      <c r="F3100" t="inlineStr">
        <is>
          <t>Customer payment INV/2026/02730</t>
        </is>
      </c>
      <c r="G3100" s="9" t="n">
        <v>203.69</v>
      </c>
      <c r="H3100" t="inlineStr">
        <is>
          <t>customer_payment</t>
        </is>
      </c>
      <c r="I3100" t="inlineStr"/>
      <c r="J3100" t="inlineStr">
        <is>
          <t>G00367</t>
        </is>
      </c>
      <c r="K3100" t="str">
        <f>INDEX('Match Groups'!$D$5:$D$1326,MATCH(J3100,'Match Groups'!$A$5:$A$1326,0))</f>
        <v>MATCH</v>
      </c>
    </row>
    <row r="3101">
      <c r="A3101" t="inlineStr">
        <is>
          <t>JI-01143</t>
        </is>
      </c>
      <c r="B3101" t="inlineStr">
        <is>
          <t>OPS</t>
        </is>
      </c>
      <c r="C3101" s="5" t="n">
        <v>46265</v>
      </c>
      <c r="D3101" t="inlineStr">
        <is>
          <t>Acacia Plan Partners</t>
        </is>
      </c>
      <c r="E3101" t="inlineStr">
        <is>
          <t>INV/2026/02731</t>
        </is>
      </c>
      <c r="F3101" t="inlineStr">
        <is>
          <t>Customer payment INV/2026/02731</t>
        </is>
      </c>
      <c r="G3101" s="9" t="n">
        <v>300.69</v>
      </c>
      <c r="H3101" t="inlineStr">
        <is>
          <t>customer_payment</t>
        </is>
      </c>
      <c r="I3101" t="inlineStr"/>
      <c r="J3101" t="inlineStr">
        <is>
          <t>G00367</t>
        </is>
      </c>
      <c r="K3101" t="str">
        <f>INDEX('Match Groups'!$D$5:$D$1326,MATCH(J3101,'Match Groups'!$A$5:$A$1326,0))</f>
        <v>MATCH</v>
      </c>
    </row>
    <row r="3102">
      <c r="A3102" t="inlineStr">
        <is>
          <t>JI-01144</t>
        </is>
      </c>
      <c r="B3102" t="inlineStr">
        <is>
          <t>OPS</t>
        </is>
      </c>
      <c r="C3102" s="5" t="n">
        <v>46265</v>
      </c>
      <c r="D3102" t="inlineStr">
        <is>
          <t>Acacia Plan Partners</t>
        </is>
      </c>
      <c r="E3102" t="inlineStr">
        <is>
          <t>INV/2026/02750</t>
        </is>
      </c>
      <c r="F3102" t="inlineStr">
        <is>
          <t>Customer payment INV/2026/02750</t>
        </is>
      </c>
      <c r="G3102" s="9" t="n">
        <v>417.98</v>
      </c>
      <c r="H3102" t="inlineStr">
        <is>
          <t>customer_payment</t>
        </is>
      </c>
      <c r="I3102" t="inlineStr"/>
      <c r="J3102" t="inlineStr">
        <is>
          <t>G00367</t>
        </is>
      </c>
      <c r="K3102" t="str">
        <f>INDEX('Match Groups'!$D$5:$D$1326,MATCH(J3102,'Match Groups'!$A$5:$A$1326,0))</f>
        <v>MATCH</v>
      </c>
    </row>
    <row r="3103">
      <c r="A3103" t="inlineStr">
        <is>
          <t>JI-01145</t>
        </is>
      </c>
      <c r="B3103" t="inlineStr">
        <is>
          <t>OPS</t>
        </is>
      </c>
      <c r="C3103" s="5" t="n">
        <v>46265</v>
      </c>
      <c r="D3103" t="inlineStr">
        <is>
          <t>Acacia Plan Partners</t>
        </is>
      </c>
      <c r="E3103" t="inlineStr">
        <is>
          <t>INV/2026/02775</t>
        </is>
      </c>
      <c r="F3103" t="inlineStr">
        <is>
          <t>Customer payment INV/2026/02775</t>
        </is>
      </c>
      <c r="G3103" s="9" t="n">
        <v>203.69</v>
      </c>
      <c r="H3103" t="inlineStr">
        <is>
          <t>customer_payment</t>
        </is>
      </c>
      <c r="I3103" t="inlineStr"/>
      <c r="J3103" t="inlineStr">
        <is>
          <t>G00367</t>
        </is>
      </c>
      <c r="K3103" t="str">
        <f>INDEX('Match Groups'!$D$5:$D$1326,MATCH(J3103,'Match Groups'!$A$5:$A$1326,0))</f>
        <v>MATCH</v>
      </c>
    </row>
    <row r="3104">
      <c r="A3104" t="inlineStr">
        <is>
          <t>JI-01146</t>
        </is>
      </c>
      <c r="B3104" t="inlineStr">
        <is>
          <t>OPS</t>
        </is>
      </c>
      <c r="C3104" s="5" t="n">
        <v>46265</v>
      </c>
      <c r="D3104" t="inlineStr">
        <is>
          <t>Acacia Plan Partners</t>
        </is>
      </c>
      <c r="E3104" t="inlineStr">
        <is>
          <t>INV/2026/02793</t>
        </is>
      </c>
      <c r="F3104" t="inlineStr">
        <is>
          <t>Customer payment INV/2026/02793</t>
        </is>
      </c>
      <c r="G3104" s="9" t="n">
        <v>387.98</v>
      </c>
      <c r="H3104" t="inlineStr">
        <is>
          <t>customer_payment</t>
        </is>
      </c>
      <c r="I3104" t="inlineStr"/>
      <c r="J3104" t="inlineStr">
        <is>
          <t>G00367</t>
        </is>
      </c>
      <c r="K3104" t="str">
        <f>INDEX('Match Groups'!$D$5:$D$1326,MATCH(J3104,'Match Groups'!$A$5:$A$1326,0))</f>
        <v>MATCH</v>
      </c>
    </row>
    <row r="3105">
      <c r="A3105" t="inlineStr">
        <is>
          <t>JI-01147</t>
        </is>
      </c>
      <c r="B3105" t="inlineStr">
        <is>
          <t>OPS</t>
        </is>
      </c>
      <c r="C3105" s="5" t="n">
        <v>46265</v>
      </c>
      <c r="D3105" t="inlineStr">
        <is>
          <t>Acacia Plan Partners</t>
        </is>
      </c>
      <c r="E3105" t="inlineStr">
        <is>
          <t>INV/2026/02794</t>
        </is>
      </c>
      <c r="F3105" t="inlineStr">
        <is>
          <t>Customer payment INV/2026/02794</t>
        </is>
      </c>
      <c r="G3105" s="9" t="n">
        <v>387.98</v>
      </c>
      <c r="H3105" t="inlineStr">
        <is>
          <t>customer_payment</t>
        </is>
      </c>
      <c r="I3105" t="inlineStr"/>
      <c r="J3105" t="inlineStr">
        <is>
          <t>G00367</t>
        </is>
      </c>
      <c r="K3105" t="str">
        <f>INDEX('Match Groups'!$D$5:$D$1326,MATCH(J3105,'Match Groups'!$A$5:$A$1326,0))</f>
        <v>MATCH</v>
      </c>
    </row>
    <row r="3106">
      <c r="A3106" t="inlineStr">
        <is>
          <t>JI-01148</t>
        </is>
      </c>
      <c r="B3106" t="inlineStr">
        <is>
          <t>OPS</t>
        </is>
      </c>
      <c r="C3106" s="5" t="n">
        <v>46265</v>
      </c>
      <c r="D3106" t="inlineStr">
        <is>
          <t>Acacia Plan Partners</t>
        </is>
      </c>
      <c r="E3106" t="inlineStr">
        <is>
          <t>INV/2026/02817</t>
        </is>
      </c>
      <c r="F3106" t="inlineStr">
        <is>
          <t>Customer payment INV/2026/02817</t>
        </is>
      </c>
      <c r="G3106" s="9" t="n">
        <v>175.49</v>
      </c>
      <c r="H3106" t="inlineStr">
        <is>
          <t>customer_payment</t>
        </is>
      </c>
      <c r="I3106" t="inlineStr"/>
      <c r="J3106" t="inlineStr">
        <is>
          <t>G00367</t>
        </is>
      </c>
      <c r="K3106" t="str">
        <f>INDEX('Match Groups'!$D$5:$D$1326,MATCH(J3106,'Match Groups'!$A$5:$A$1326,0))</f>
        <v>MATCH</v>
      </c>
    </row>
    <row r="3107">
      <c r="A3107" t="inlineStr">
        <is>
          <t>JI-01149</t>
        </is>
      </c>
      <c r="B3107" t="inlineStr">
        <is>
          <t>OPS</t>
        </is>
      </c>
      <c r="C3107" s="5" t="n">
        <v>46265</v>
      </c>
      <c r="D3107" t="inlineStr">
        <is>
          <t>Acacia Plan Partners</t>
        </is>
      </c>
      <c r="E3107" t="inlineStr">
        <is>
          <t>INV/2026/02860</t>
        </is>
      </c>
      <c r="F3107" t="inlineStr">
        <is>
          <t>Customer payment INV/2026/02860</t>
        </is>
      </c>
      <c r="G3107" s="9" t="n">
        <v>290.98</v>
      </c>
      <c r="H3107" t="inlineStr">
        <is>
          <t>customer_payment</t>
        </is>
      </c>
      <c r="I3107" t="inlineStr"/>
      <c r="J3107" t="inlineStr">
        <is>
          <t>G00367</t>
        </is>
      </c>
      <c r="K3107" t="str">
        <f>INDEX('Match Groups'!$D$5:$D$1326,MATCH(J3107,'Match Groups'!$A$5:$A$1326,0))</f>
        <v>MATCH</v>
      </c>
    </row>
    <row r="3108">
      <c r="A3108" t="inlineStr">
        <is>
          <t>JI-01150</t>
        </is>
      </c>
      <c r="B3108" t="inlineStr">
        <is>
          <t>OPS</t>
        </is>
      </c>
      <c r="C3108" s="5" t="n">
        <v>46265</v>
      </c>
      <c r="D3108" t="inlineStr">
        <is>
          <t>Acacia Plan Partners</t>
        </is>
      </c>
      <c r="E3108" t="inlineStr">
        <is>
          <t>INV/2026/02880</t>
        </is>
      </c>
      <c r="F3108" t="inlineStr">
        <is>
          <t>Customer payment INV/2026/02880</t>
        </is>
      </c>
      <c r="G3108" s="9" t="n">
        <v>387.98</v>
      </c>
      <c r="H3108" t="inlineStr">
        <is>
          <t>customer_payment</t>
        </is>
      </c>
      <c r="I3108" t="inlineStr"/>
      <c r="J3108" t="inlineStr">
        <is>
          <t>G00367</t>
        </is>
      </c>
      <c r="K3108" t="str">
        <f>INDEX('Match Groups'!$D$5:$D$1326,MATCH(J3108,'Match Groups'!$A$5:$A$1326,0))</f>
        <v>MATCH</v>
      </c>
    </row>
    <row r="3109">
      <c r="A3109" t="inlineStr">
        <is>
          <t>JI-01151</t>
        </is>
      </c>
      <c r="B3109" t="inlineStr">
        <is>
          <t>OPS</t>
        </is>
      </c>
      <c r="C3109" s="5" t="n">
        <v>46265</v>
      </c>
      <c r="D3109" t="inlineStr">
        <is>
          <t>Mallee Plan Services</t>
        </is>
      </c>
      <c r="E3109" t="inlineStr">
        <is>
          <t>INV/2026/02837</t>
        </is>
      </c>
      <c r="F3109" t="inlineStr">
        <is>
          <t>Customer payment INV/2026/02837</t>
        </is>
      </c>
      <c r="G3109" s="9" t="n">
        <v>387.98</v>
      </c>
      <c r="H3109" t="inlineStr">
        <is>
          <t>customer_payment</t>
        </is>
      </c>
      <c r="I3109" t="inlineStr"/>
      <c r="J3109" t="inlineStr">
        <is>
          <t>G00368</t>
        </is>
      </c>
      <c r="K3109" t="str">
        <f>INDEX('Match Groups'!$D$5:$D$1326,MATCH(J3109,'Match Groups'!$A$5:$A$1326,0))</f>
        <v>MATCH</v>
      </c>
    </row>
    <row r="3110">
      <c r="A3110" t="inlineStr">
        <is>
          <t>JI-01152</t>
        </is>
      </c>
      <c r="B3110" t="inlineStr">
        <is>
          <t>OPS</t>
        </is>
      </c>
      <c r="C3110" s="5" t="n">
        <v>46265</v>
      </c>
      <c r="D3110" t="inlineStr">
        <is>
          <t>Mallee Plan Services</t>
        </is>
      </c>
      <c r="E3110" t="inlineStr">
        <is>
          <t>INV/2026/02838</t>
        </is>
      </c>
      <c r="F3110" t="inlineStr">
        <is>
          <t>Customer payment INV/2026/02838</t>
        </is>
      </c>
      <c r="G3110" s="9" t="n">
        <v>387.98</v>
      </c>
      <c r="H3110" t="inlineStr">
        <is>
          <t>customer_payment</t>
        </is>
      </c>
      <c r="I3110" t="inlineStr"/>
      <c r="J3110" t="inlineStr">
        <is>
          <t>G00368</t>
        </is>
      </c>
      <c r="K3110" t="str">
        <f>INDEX('Match Groups'!$D$5:$D$1326,MATCH(J3110,'Match Groups'!$A$5:$A$1326,0))</f>
        <v>MATCH</v>
      </c>
    </row>
    <row r="3111">
      <c r="A3111" t="inlineStr">
        <is>
          <t>JI-01153</t>
        </is>
      </c>
      <c r="B3111" t="inlineStr">
        <is>
          <t>OPS</t>
        </is>
      </c>
      <c r="C3111" s="5" t="n">
        <v>46265</v>
      </c>
      <c r="D3111" t="inlineStr">
        <is>
          <t>Mallee Plan Services</t>
        </is>
      </c>
      <c r="E3111" t="inlineStr">
        <is>
          <t>INV/2026/02861</t>
        </is>
      </c>
      <c r="F3111" t="inlineStr">
        <is>
          <t>Customer payment INV/2026/02861</t>
        </is>
      </c>
      <c r="G3111" s="9" t="n">
        <v>387.98</v>
      </c>
      <c r="H3111" t="inlineStr">
        <is>
          <t>customer_payment</t>
        </is>
      </c>
      <c r="I3111" t="inlineStr"/>
      <c r="J3111" t="inlineStr">
        <is>
          <t>G00368</t>
        </is>
      </c>
      <c r="K3111" t="str">
        <f>INDEX('Match Groups'!$D$5:$D$1326,MATCH(J3111,'Match Groups'!$A$5:$A$1326,0))</f>
        <v>MATCH</v>
      </c>
    </row>
    <row r="3112">
      <c r="A3112" t="inlineStr">
        <is>
          <t>JI-01154</t>
        </is>
      </c>
      <c r="B3112" t="inlineStr">
        <is>
          <t>OPS</t>
        </is>
      </c>
      <c r="C3112" s="5" t="n">
        <v>46265</v>
      </c>
      <c r="D3112" t="inlineStr">
        <is>
          <t>Mallee Plan Services</t>
        </is>
      </c>
      <c r="E3112" t="inlineStr">
        <is>
          <t>INV/2026/02882</t>
        </is>
      </c>
      <c r="F3112" t="inlineStr">
        <is>
          <t>Customer payment INV/2026/02882</t>
        </is>
      </c>
      <c r="G3112" s="9" t="n">
        <v>242.49</v>
      </c>
      <c r="H3112" t="inlineStr">
        <is>
          <t>customer_payment</t>
        </is>
      </c>
      <c r="I3112" t="inlineStr"/>
      <c r="J3112" t="inlineStr">
        <is>
          <t>G00368</t>
        </is>
      </c>
      <c r="K3112" t="str">
        <f>INDEX('Match Groups'!$D$5:$D$1326,MATCH(J3112,'Match Groups'!$A$5:$A$1326,0))</f>
        <v>MATCH</v>
      </c>
    </row>
    <row r="3113">
      <c r="A3113" t="inlineStr">
        <is>
          <t>JI-01155</t>
        </is>
      </c>
      <c r="B3113" t="inlineStr">
        <is>
          <t>OPS</t>
        </is>
      </c>
      <c r="C3113" s="5" t="n">
        <v>46265</v>
      </c>
      <c r="D3113" t="inlineStr">
        <is>
          <t>Mallee Plan Services</t>
        </is>
      </c>
      <c r="E3113" t="inlineStr">
        <is>
          <t>INV/2026/02901</t>
        </is>
      </c>
      <c r="F3113" t="inlineStr">
        <is>
          <t>Customer payment INV/2026/02901</t>
        </is>
      </c>
      <c r="G3113" s="9" t="n">
        <v>193.99</v>
      </c>
      <c r="H3113" t="inlineStr">
        <is>
          <t>customer_payment</t>
        </is>
      </c>
      <c r="I3113" t="inlineStr"/>
      <c r="J3113" t="inlineStr">
        <is>
          <t>G00368</t>
        </is>
      </c>
      <c r="K3113" t="str">
        <f>INDEX('Match Groups'!$D$5:$D$1326,MATCH(J3113,'Match Groups'!$A$5:$A$1326,0))</f>
        <v>MATCH</v>
      </c>
    </row>
    <row r="3114">
      <c r="A3114" t="inlineStr">
        <is>
          <t>JI-01156</t>
        </is>
      </c>
      <c r="B3114" t="inlineStr">
        <is>
          <t>OPS</t>
        </is>
      </c>
      <c r="C3114" s="5" t="n">
        <v>46265</v>
      </c>
      <c r="D3114" t="inlineStr">
        <is>
          <t>Riverbend Plan Partners</t>
        </is>
      </c>
      <c r="E3114" t="inlineStr">
        <is>
          <t>INV/2026/02798</t>
        </is>
      </c>
      <c r="F3114" t="inlineStr">
        <is>
          <t>Customer payment INV/2026/02798</t>
        </is>
      </c>
      <c r="G3114" s="9" t="n">
        <v>417.98</v>
      </c>
      <c r="H3114" t="inlineStr">
        <is>
          <t>customer_payment</t>
        </is>
      </c>
      <c r="I3114" t="inlineStr"/>
      <c r="J3114" t="inlineStr">
        <is>
          <t>G00369</t>
        </is>
      </c>
      <c r="K3114" t="str">
        <f>INDEX('Match Groups'!$D$5:$D$1326,MATCH(J3114,'Match Groups'!$A$5:$A$1326,0))</f>
        <v>MATCH</v>
      </c>
    </row>
    <row r="3115">
      <c r="A3115" t="inlineStr">
        <is>
          <t>JI-01157</t>
        </is>
      </c>
      <c r="B3115" t="inlineStr">
        <is>
          <t>OPS</t>
        </is>
      </c>
      <c r="C3115" s="5" t="n">
        <v>46265</v>
      </c>
      <c r="D3115" t="inlineStr">
        <is>
          <t>Riverbend Plan Partners</t>
        </is>
      </c>
      <c r="E3115" t="inlineStr">
        <is>
          <t>INV/2026/02799</t>
        </is>
      </c>
      <c r="F3115" t="inlineStr">
        <is>
          <t>Customer payment INV/2026/02799</t>
        </is>
      </c>
      <c r="G3115" s="9" t="n">
        <v>387.98</v>
      </c>
      <c r="H3115" t="inlineStr">
        <is>
          <t>customer_payment</t>
        </is>
      </c>
      <c r="I3115" t="inlineStr"/>
      <c r="J3115" t="inlineStr">
        <is>
          <t>G00369</t>
        </is>
      </c>
      <c r="K3115" t="str">
        <f>INDEX('Match Groups'!$D$5:$D$1326,MATCH(J3115,'Match Groups'!$A$5:$A$1326,0))</f>
        <v>MATCH</v>
      </c>
    </row>
    <row r="3116">
      <c r="A3116" t="inlineStr">
        <is>
          <t>JI-01158</t>
        </is>
      </c>
      <c r="B3116" t="inlineStr">
        <is>
          <t>OPS</t>
        </is>
      </c>
      <c r="C3116" s="5" t="n">
        <v>46265</v>
      </c>
      <c r="D3116" t="inlineStr">
        <is>
          <t>Riverbend Plan Partners</t>
        </is>
      </c>
      <c r="E3116" t="inlineStr">
        <is>
          <t>INV/2026/02842</t>
        </is>
      </c>
      <c r="F3116" t="inlineStr">
        <is>
          <t>Customer payment INV/2026/02842</t>
        </is>
      </c>
      <c r="G3116" s="9" t="n">
        <v>193.99</v>
      </c>
      <c r="H3116" t="inlineStr">
        <is>
          <t>customer_payment</t>
        </is>
      </c>
      <c r="I3116" t="inlineStr"/>
      <c r="J3116" t="inlineStr">
        <is>
          <t>G00369</t>
        </is>
      </c>
      <c r="K3116" t="str">
        <f>INDEX('Match Groups'!$D$5:$D$1326,MATCH(J3116,'Match Groups'!$A$5:$A$1326,0))</f>
        <v>MATCH</v>
      </c>
    </row>
    <row r="3117">
      <c r="A3117" t="inlineStr">
        <is>
          <t>JI-01159</t>
        </is>
      </c>
      <c r="B3117" t="inlineStr">
        <is>
          <t>OPS</t>
        </is>
      </c>
      <c r="C3117" s="5" t="n">
        <v>46265</v>
      </c>
      <c r="D3117" t="inlineStr">
        <is>
          <t>Banksia Plan Co</t>
        </is>
      </c>
      <c r="E3117" t="inlineStr">
        <is>
          <t>INV/2026/02805</t>
        </is>
      </c>
      <c r="F3117" t="inlineStr">
        <is>
          <t>Customer payment INV/2026/02805</t>
        </is>
      </c>
      <c r="G3117" s="9" t="n">
        <v>193.99</v>
      </c>
      <c r="H3117" t="inlineStr">
        <is>
          <t>customer_payment</t>
        </is>
      </c>
      <c r="I3117" t="inlineStr"/>
      <c r="J3117" t="inlineStr">
        <is>
          <t>G00370</t>
        </is>
      </c>
      <c r="K3117" t="str">
        <f>INDEX('Match Groups'!$D$5:$D$1326,MATCH(J3117,'Match Groups'!$A$5:$A$1326,0))</f>
        <v>MATCH</v>
      </c>
    </row>
    <row r="3118">
      <c r="A3118" t="inlineStr">
        <is>
          <t>JI-01160</t>
        </is>
      </c>
      <c r="B3118" t="inlineStr">
        <is>
          <t>OPS</t>
        </is>
      </c>
      <c r="C3118" s="5" t="n">
        <v>46265</v>
      </c>
      <c r="D3118" t="inlineStr">
        <is>
          <t>Banksia Plan Co</t>
        </is>
      </c>
      <c r="E3118" t="inlineStr">
        <is>
          <t>INV/2026/02826</t>
        </is>
      </c>
      <c r="F3118" t="inlineStr">
        <is>
          <t>Customer payment INV/2026/02826</t>
        </is>
      </c>
      <c r="G3118" s="9" t="n">
        <v>96.98999999999999</v>
      </c>
      <c r="H3118" t="inlineStr">
        <is>
          <t>customer_payment</t>
        </is>
      </c>
      <c r="I3118" t="inlineStr"/>
      <c r="J3118" t="inlineStr">
        <is>
          <t>G00370</t>
        </is>
      </c>
      <c r="K3118" t="str">
        <f>INDEX('Match Groups'!$D$5:$D$1326,MATCH(J3118,'Match Groups'!$A$5:$A$1326,0))</f>
        <v>MATCH</v>
      </c>
    </row>
    <row r="3119">
      <c r="A3119" t="inlineStr">
        <is>
          <t>JI-01161</t>
        </is>
      </c>
      <c r="B3119" t="inlineStr">
        <is>
          <t>OPS</t>
        </is>
      </c>
      <c r="C3119" s="5" t="n">
        <v>46265</v>
      </c>
      <c r="D3119" t="inlineStr">
        <is>
          <t>Banksia Plan Co</t>
        </is>
      </c>
      <c r="E3119" t="inlineStr">
        <is>
          <t>INV/2026/02845</t>
        </is>
      </c>
      <c r="F3119" t="inlineStr">
        <is>
          <t>Customer payment INV/2026/02845</t>
        </is>
      </c>
      <c r="G3119" s="9" t="n">
        <v>96.98999999999999</v>
      </c>
      <c r="H3119" t="inlineStr">
        <is>
          <t>customer_payment</t>
        </is>
      </c>
      <c r="I3119" t="inlineStr"/>
      <c r="J3119" t="inlineStr">
        <is>
          <t>G00370</t>
        </is>
      </c>
      <c r="K3119" t="str">
        <f>INDEX('Match Groups'!$D$5:$D$1326,MATCH(J3119,'Match Groups'!$A$5:$A$1326,0))</f>
        <v>MATCH</v>
      </c>
    </row>
    <row r="3120">
      <c r="A3120" t="inlineStr">
        <is>
          <t>JI-01162</t>
        </is>
      </c>
      <c r="B3120" t="inlineStr">
        <is>
          <t>OPS</t>
        </is>
      </c>
      <c r="C3120" s="5" t="n">
        <v>46265</v>
      </c>
      <c r="D3120" t="inlineStr">
        <is>
          <t>Banksia Plan Co</t>
        </is>
      </c>
      <c r="E3120" t="inlineStr">
        <is>
          <t>INV/2026/02891</t>
        </is>
      </c>
      <c r="F3120" t="inlineStr">
        <is>
          <t>Customer payment INV/2026/02891</t>
        </is>
      </c>
      <c r="G3120" s="9" t="n">
        <v>145.49</v>
      </c>
      <c r="H3120" t="inlineStr">
        <is>
          <t>customer_payment</t>
        </is>
      </c>
      <c r="I3120" t="inlineStr"/>
      <c r="J3120" t="inlineStr">
        <is>
          <t>G00370</t>
        </is>
      </c>
      <c r="K3120" t="str">
        <f>INDEX('Match Groups'!$D$5:$D$1326,MATCH(J3120,'Match Groups'!$A$5:$A$1326,0))</f>
        <v>MATCH</v>
      </c>
    </row>
    <row r="3121">
      <c r="A3121" t="inlineStr">
        <is>
          <t>JI-01183</t>
        </is>
      </c>
      <c r="B3121" t="inlineStr">
        <is>
          <t>OPS</t>
        </is>
      </c>
      <c r="C3121" s="5" t="n">
        <v>46265</v>
      </c>
      <c r="D3121" t="inlineStr">
        <is>
          <t>Lyrebird Plan Management</t>
        </is>
      </c>
      <c r="E3121" t="inlineStr">
        <is>
          <t>INV/2026/02773</t>
        </is>
      </c>
      <c r="F3121" t="inlineStr">
        <is>
          <t>Customer payment INV/2026/02773</t>
        </is>
      </c>
      <c r="G3121" s="9" t="n">
        <v>145.49</v>
      </c>
      <c r="H3121" t="inlineStr">
        <is>
          <t>customer_payment</t>
        </is>
      </c>
      <c r="I3121" t="inlineStr"/>
      <c r="J3121" t="inlineStr">
        <is>
          <t>G00375</t>
        </is>
      </c>
      <c r="K3121" t="str">
        <f>INDEX('Match Groups'!$D$5:$D$1326,MATCH(J3121,'Match Groups'!$A$5:$A$1326,0))</f>
        <v>MATCH</v>
      </c>
    </row>
    <row r="3122">
      <c r="A3122" t="inlineStr">
        <is>
          <t>JI-01184</t>
        </is>
      </c>
      <c r="B3122" t="inlineStr">
        <is>
          <t>OPS</t>
        </is>
      </c>
      <c r="C3122" s="5" t="n">
        <v>46265</v>
      </c>
      <c r="D3122" t="inlineStr">
        <is>
          <t>Lyrebird Plan Management</t>
        </is>
      </c>
      <c r="E3122" t="inlineStr">
        <is>
          <t>INV/2026/02790</t>
        </is>
      </c>
      <c r="F3122" t="inlineStr">
        <is>
          <t>Customer payment INV/2026/02790</t>
        </is>
      </c>
      <c r="G3122" s="9" t="n">
        <v>126.99</v>
      </c>
      <c r="H3122" t="inlineStr">
        <is>
          <t>customer_payment</t>
        </is>
      </c>
      <c r="I3122" t="inlineStr"/>
      <c r="J3122" t="inlineStr">
        <is>
          <t>G00375</t>
        </is>
      </c>
      <c r="K3122" t="str">
        <f>INDEX('Match Groups'!$D$5:$D$1326,MATCH(J3122,'Match Groups'!$A$5:$A$1326,0))</f>
        <v>MATCH</v>
      </c>
    </row>
    <row r="3123">
      <c r="A3123" t="inlineStr">
        <is>
          <t>JI-01185</t>
        </is>
      </c>
      <c r="B3123" t="inlineStr">
        <is>
          <t>OPS</t>
        </is>
      </c>
      <c r="C3123" s="5" t="n">
        <v>46265</v>
      </c>
      <c r="D3123" t="inlineStr">
        <is>
          <t>Lyrebird Plan Management</t>
        </is>
      </c>
      <c r="E3123" t="inlineStr">
        <is>
          <t>INV/2026/02814</t>
        </is>
      </c>
      <c r="F3123" t="inlineStr">
        <is>
          <t>Customer payment INV/2026/02814</t>
        </is>
      </c>
      <c r="G3123" s="9" t="n">
        <v>193.99</v>
      </c>
      <c r="H3123" t="inlineStr">
        <is>
          <t>customer_payment</t>
        </is>
      </c>
      <c r="I3123" t="inlineStr"/>
      <c r="J3123" t="inlineStr">
        <is>
          <t>G00375</t>
        </is>
      </c>
      <c r="K3123" t="str">
        <f>INDEX('Match Groups'!$D$5:$D$1326,MATCH(J3123,'Match Groups'!$A$5:$A$1326,0))</f>
        <v>MATCH</v>
      </c>
    </row>
    <row r="3124">
      <c r="A3124" t="inlineStr">
        <is>
          <t>JI-01186</t>
        </is>
      </c>
      <c r="B3124" t="inlineStr">
        <is>
          <t>OPS</t>
        </is>
      </c>
      <c r="C3124" s="5" t="n">
        <v>46265</v>
      </c>
      <c r="D3124" t="inlineStr">
        <is>
          <t>Lyrebird Plan Management</t>
        </is>
      </c>
      <c r="E3124" t="inlineStr">
        <is>
          <t>INV/2026/02856</t>
        </is>
      </c>
      <c r="F3124" t="inlineStr">
        <is>
          <t>Customer payment INV/2026/02856</t>
        </is>
      </c>
      <c r="G3124" s="9" t="n">
        <v>145.49</v>
      </c>
      <c r="H3124" t="inlineStr">
        <is>
          <t>customer_payment</t>
        </is>
      </c>
      <c r="I3124" t="inlineStr"/>
      <c r="J3124" t="inlineStr">
        <is>
          <t>G00375</t>
        </is>
      </c>
      <c r="K3124" t="str">
        <f>INDEX('Match Groups'!$D$5:$D$1326,MATCH(J3124,'Match Groups'!$A$5:$A$1326,0))</f>
        <v>MATCH</v>
      </c>
    </row>
    <row r="3125">
      <c r="A3125" t="inlineStr">
        <is>
          <t>JI-01582</t>
        </is>
      </c>
      <c r="B3125" t="inlineStr">
        <is>
          <t>OPS</t>
        </is>
      </c>
      <c r="C3125" s="5" t="n">
        <v>46265</v>
      </c>
      <c r="D3125" t="inlineStr">
        <is>
          <t>Unity Workcover Agents</t>
        </is>
      </c>
      <c r="E3125" t="inlineStr">
        <is>
          <t>INV/2026/02655</t>
        </is>
      </c>
      <c r="F3125" t="inlineStr">
        <is>
          <t>Customer payment INV/2026/02655</t>
        </is>
      </c>
      <c r="G3125" s="9" t="n">
        <v>412.5</v>
      </c>
      <c r="H3125" t="inlineStr">
        <is>
          <t>customer_payment</t>
        </is>
      </c>
      <c r="I3125" t="inlineStr"/>
      <c r="J3125" t="inlineStr">
        <is>
          <t>G01034</t>
        </is>
      </c>
      <c r="K3125" t="str">
        <f>INDEX('Match Groups'!$D$5:$D$1326,MATCH(J3125,'Match Groups'!$A$5:$A$1326,0))</f>
        <v>MATCH</v>
      </c>
    </row>
    <row r="3126">
      <c r="A3126" t="inlineStr">
        <is>
          <t>JI-01691</t>
        </is>
      </c>
      <c r="B3126" t="inlineStr">
        <is>
          <t>OPS</t>
        </is>
      </c>
      <c r="C3126" s="5" t="n">
        <v>46265</v>
      </c>
      <c r="D3126" t="inlineStr">
        <is>
          <t>Hartigan Transport</t>
        </is>
      </c>
      <c r="E3126" t="inlineStr">
        <is>
          <t>INV/2026/03532</t>
        </is>
      </c>
      <c r="F3126" t="inlineStr">
        <is>
          <t>Customer payment INV/2026/03532</t>
        </is>
      </c>
      <c r="G3126" s="9" t="n">
        <v>1320</v>
      </c>
      <c r="H3126" t="inlineStr">
        <is>
          <t>customer_payment</t>
        </is>
      </c>
      <c r="I3126" t="inlineStr"/>
      <c r="J3126" t="inlineStr">
        <is>
          <t>G01036</t>
        </is>
      </c>
      <c r="K3126" t="str">
        <f>INDEX('Match Groups'!$D$5:$D$1326,MATCH(J3126,'Match Groups'!$A$5:$A$1326,0))</f>
        <v>MATCH</v>
      </c>
    </row>
    <row r="3127">
      <c r="A3127" t="inlineStr">
        <is>
          <t>JI-01727</t>
        </is>
      </c>
      <c r="B3127" t="inlineStr">
        <is>
          <t>OPS</t>
        </is>
      </c>
      <c r="C3127" s="5" t="n">
        <v>46265</v>
      </c>
      <c r="D3127" t="inlineStr">
        <is>
          <t>Gilmour Steel Pty Ltd</t>
        </is>
      </c>
      <c r="E3127" t="inlineStr">
        <is>
          <t>INV/2026/03497</t>
        </is>
      </c>
      <c r="F3127" t="inlineStr">
        <is>
          <t>Customer payment INV/2026/03497</t>
        </is>
      </c>
      <c r="G3127" s="9" t="n">
        <v>2117.5</v>
      </c>
      <c r="H3127" t="inlineStr">
        <is>
          <t>customer_payment</t>
        </is>
      </c>
      <c r="I3127" t="inlineStr"/>
      <c r="J3127" t="inlineStr">
        <is>
          <t>G01038</t>
        </is>
      </c>
      <c r="K3127" t="str">
        <f>INDEX('Match Groups'!$D$5:$D$1326,MATCH(J3127,'Match Groups'!$A$5:$A$1326,0))</f>
        <v>MATCH</v>
      </c>
    </row>
    <row r="3128">
      <c r="A3128" t="inlineStr">
        <is>
          <t>JI-03074</t>
        </is>
      </c>
      <c r="B3128" t="inlineStr">
        <is>
          <t>OPS</t>
        </is>
      </c>
      <c r="C3128" s="5" t="n">
        <v>46265</v>
      </c>
      <c r="D3128" t="inlineStr">
        <is>
          <t>Stripe patient 96195</t>
        </is>
      </c>
      <c r="E3128" t="inlineStr">
        <is>
          <t>INV/2026/04917</t>
        </is>
      </c>
      <c r="F3128" t="inlineStr">
        <is>
          <t>Customer payment INV/2026/04917</t>
        </is>
      </c>
      <c r="G3128" s="9" t="n">
        <v>120</v>
      </c>
      <c r="H3128" t="inlineStr">
        <is>
          <t>customer_payment</t>
        </is>
      </c>
      <c r="I3128" t="inlineStr"/>
      <c r="J3128" t="inlineStr">
        <is>
          <t>G00059</t>
        </is>
      </c>
      <c r="K3128" t="str">
        <f>INDEX('Match Groups'!$D$5:$D$1326,MATCH(J3128,'Match Groups'!$A$5:$A$1326,0))</f>
        <v>STRIPE-FEE</v>
      </c>
    </row>
    <row r="3129">
      <c r="A3129" t="inlineStr">
        <is>
          <t>JI-03075</t>
        </is>
      </c>
      <c r="B3129" t="inlineStr">
        <is>
          <t>OPS</t>
        </is>
      </c>
      <c r="C3129" s="5" t="n">
        <v>46265</v>
      </c>
      <c r="D3129" t="inlineStr">
        <is>
          <t>Stripe patient 20893</t>
        </is>
      </c>
      <c r="E3129" t="inlineStr">
        <is>
          <t>INV/2026/04918</t>
        </is>
      </c>
      <c r="F3129" t="inlineStr">
        <is>
          <t>Customer payment INV/2026/04918</t>
        </is>
      </c>
      <c r="G3129" s="9" t="n">
        <v>220</v>
      </c>
      <c r="H3129" t="inlineStr">
        <is>
          <t>customer_payment</t>
        </is>
      </c>
      <c r="I3129" t="inlineStr"/>
      <c r="J3129" t="inlineStr">
        <is>
          <t>G00059</t>
        </is>
      </c>
      <c r="K3129" t="str">
        <f>INDEX('Match Groups'!$D$5:$D$1326,MATCH(J3129,'Match Groups'!$A$5:$A$1326,0))</f>
        <v>STRIPE-FEE</v>
      </c>
    </row>
    <row r="3130">
      <c r="A3130" t="inlineStr">
        <is>
          <t>JI-03076</t>
        </is>
      </c>
      <c r="B3130" t="inlineStr">
        <is>
          <t>OPS</t>
        </is>
      </c>
      <c r="C3130" s="5" t="n">
        <v>46265</v>
      </c>
      <c r="D3130" t="inlineStr">
        <is>
          <t>Stripe patient 16823</t>
        </is>
      </c>
      <c r="E3130" t="inlineStr">
        <is>
          <t>INV/2026/04919</t>
        </is>
      </c>
      <c r="F3130" t="inlineStr">
        <is>
          <t>Customer payment INV/2026/04919</t>
        </is>
      </c>
      <c r="G3130" s="9" t="n">
        <v>65</v>
      </c>
      <c r="H3130" t="inlineStr">
        <is>
          <t>customer_payment</t>
        </is>
      </c>
      <c r="I3130" t="inlineStr"/>
      <c r="J3130" t="inlineStr">
        <is>
          <t>G00059</t>
        </is>
      </c>
      <c r="K3130" t="str">
        <f>INDEX('Match Groups'!$D$5:$D$1326,MATCH(J3130,'Match Groups'!$A$5:$A$1326,0))</f>
        <v>STRIPE-FEE</v>
      </c>
    </row>
    <row r="3131">
      <c r="A3131" t="inlineStr">
        <is>
          <t>JI-03077</t>
        </is>
      </c>
      <c r="B3131" t="inlineStr">
        <is>
          <t>OPS</t>
        </is>
      </c>
      <c r="C3131" s="5" t="n">
        <v>46265</v>
      </c>
      <c r="D3131" t="inlineStr">
        <is>
          <t>Stripe patient 27182</t>
        </is>
      </c>
      <c r="E3131" t="inlineStr">
        <is>
          <t>INV/2026/04920</t>
        </is>
      </c>
      <c r="F3131" t="inlineStr">
        <is>
          <t>Customer payment INV/2026/04920</t>
        </is>
      </c>
      <c r="G3131" s="9" t="n">
        <v>135</v>
      </c>
      <c r="H3131" t="inlineStr">
        <is>
          <t>customer_payment</t>
        </is>
      </c>
      <c r="I3131" t="inlineStr"/>
      <c r="J3131" t="inlineStr">
        <is>
          <t>G00059</t>
        </is>
      </c>
      <c r="K3131" t="str">
        <f>INDEX('Match Groups'!$D$5:$D$1326,MATCH(J3131,'Match Groups'!$A$5:$A$1326,0))</f>
        <v>STRIPE-FEE</v>
      </c>
    </row>
    <row r="3132">
      <c r="A3132" t="inlineStr">
        <is>
          <t>JI-03078</t>
        </is>
      </c>
      <c r="B3132" t="inlineStr">
        <is>
          <t>OPS</t>
        </is>
      </c>
      <c r="C3132" s="5" t="n">
        <v>46265</v>
      </c>
      <c r="D3132" t="inlineStr">
        <is>
          <t>Stripe patient 52105</t>
        </is>
      </c>
      <c r="E3132" t="inlineStr">
        <is>
          <t>INV/2026/04921</t>
        </is>
      </c>
      <c r="F3132" t="inlineStr">
        <is>
          <t>Customer payment INV/2026/04921</t>
        </is>
      </c>
      <c r="G3132" s="9" t="n">
        <v>120</v>
      </c>
      <c r="H3132" t="inlineStr">
        <is>
          <t>customer_payment</t>
        </is>
      </c>
      <c r="I3132" t="inlineStr"/>
      <c r="J3132" t="inlineStr">
        <is>
          <t>G00059</t>
        </is>
      </c>
      <c r="K3132" t="str">
        <f>INDEX('Match Groups'!$D$5:$D$1326,MATCH(J3132,'Match Groups'!$A$5:$A$1326,0))</f>
        <v>STRIPE-FEE</v>
      </c>
    </row>
    <row r="3133">
      <c r="A3133" t="inlineStr">
        <is>
          <t>JI-03079</t>
        </is>
      </c>
      <c r="B3133" t="inlineStr">
        <is>
          <t>OPS</t>
        </is>
      </c>
      <c r="C3133" s="5" t="n">
        <v>46265</v>
      </c>
      <c r="D3133" t="inlineStr">
        <is>
          <t>Stripe patient 88972</t>
        </is>
      </c>
      <c r="E3133" t="inlineStr">
        <is>
          <t>INV/2026/04922</t>
        </is>
      </c>
      <c r="F3133" t="inlineStr">
        <is>
          <t>Customer payment INV/2026/04922</t>
        </is>
      </c>
      <c r="G3133" s="9" t="n">
        <v>135</v>
      </c>
      <c r="H3133" t="inlineStr">
        <is>
          <t>customer_payment</t>
        </is>
      </c>
      <c r="I3133" t="inlineStr"/>
      <c r="J3133" t="inlineStr">
        <is>
          <t>G00059</t>
        </is>
      </c>
      <c r="K3133" t="str">
        <f>INDEX('Match Groups'!$D$5:$D$1326,MATCH(J3133,'Match Groups'!$A$5:$A$1326,0))</f>
        <v>STRIPE-FEE</v>
      </c>
    </row>
    <row r="3134">
      <c r="A3134" t="inlineStr">
        <is>
          <t>JI-03080</t>
        </is>
      </c>
      <c r="B3134" t="inlineStr">
        <is>
          <t>OPS</t>
        </is>
      </c>
      <c r="C3134" s="5" t="n">
        <v>46265</v>
      </c>
      <c r="D3134" t="inlineStr">
        <is>
          <t>Stripe patient 46574</t>
        </is>
      </c>
      <c r="E3134" t="inlineStr">
        <is>
          <t>INV/2026/04923</t>
        </is>
      </c>
      <c r="F3134" t="inlineStr">
        <is>
          <t>Customer payment INV/2026/04923</t>
        </is>
      </c>
      <c r="G3134" s="9" t="n">
        <v>110</v>
      </c>
      <c r="H3134" t="inlineStr">
        <is>
          <t>customer_payment</t>
        </is>
      </c>
      <c r="I3134" t="inlineStr"/>
      <c r="J3134" t="inlineStr">
        <is>
          <t>G00059</t>
        </is>
      </c>
      <c r="K3134" t="str">
        <f>INDEX('Match Groups'!$D$5:$D$1326,MATCH(J3134,'Match Groups'!$A$5:$A$1326,0))</f>
        <v>STRIPE-FEE</v>
      </c>
    </row>
    <row r="3135">
      <c r="A3135" t="inlineStr">
        <is>
          <t>JI-03081</t>
        </is>
      </c>
      <c r="B3135" t="inlineStr">
        <is>
          <t>OPS</t>
        </is>
      </c>
      <c r="C3135" s="5" t="n">
        <v>46265</v>
      </c>
      <c r="D3135" t="inlineStr">
        <is>
          <t>Stripe patient 42638</t>
        </is>
      </c>
      <c r="E3135" t="inlineStr">
        <is>
          <t>INV/2026/04924</t>
        </is>
      </c>
      <c r="F3135" t="inlineStr">
        <is>
          <t>Customer payment INV/2026/04924</t>
        </is>
      </c>
      <c r="G3135" s="9" t="n">
        <v>150</v>
      </c>
      <c r="H3135" t="inlineStr">
        <is>
          <t>customer_payment</t>
        </is>
      </c>
      <c r="I3135" t="inlineStr"/>
      <c r="J3135" t="inlineStr">
        <is>
          <t>G00059</t>
        </is>
      </c>
      <c r="K3135" t="str">
        <f>INDEX('Match Groups'!$D$5:$D$1326,MATCH(J3135,'Match Groups'!$A$5:$A$1326,0))</f>
        <v>STRIPE-FEE</v>
      </c>
    </row>
    <row r="3136">
      <c r="A3136" t="inlineStr">
        <is>
          <t>JI-03082</t>
        </is>
      </c>
      <c r="B3136" t="inlineStr">
        <is>
          <t>OPS</t>
        </is>
      </c>
      <c r="C3136" s="5" t="n">
        <v>46265</v>
      </c>
      <c r="D3136" t="inlineStr">
        <is>
          <t>Stripe patient 15644</t>
        </is>
      </c>
      <c r="E3136" t="inlineStr">
        <is>
          <t>INV/2026/04925</t>
        </is>
      </c>
      <c r="F3136" t="inlineStr">
        <is>
          <t>Customer payment INV/2026/04925</t>
        </is>
      </c>
      <c r="G3136" s="9" t="n">
        <v>95</v>
      </c>
      <c r="H3136" t="inlineStr">
        <is>
          <t>customer_payment</t>
        </is>
      </c>
      <c r="I3136" t="inlineStr"/>
      <c r="J3136" t="inlineStr">
        <is>
          <t>G00059</t>
        </is>
      </c>
      <c r="K3136" t="str">
        <f>INDEX('Match Groups'!$D$5:$D$1326,MATCH(J3136,'Match Groups'!$A$5:$A$1326,0))</f>
        <v>STRIPE-FEE</v>
      </c>
    </row>
    <row r="3137">
      <c r="A3137" t="inlineStr">
        <is>
          <t>JI-03083</t>
        </is>
      </c>
      <c r="B3137" t="inlineStr">
        <is>
          <t>OPS</t>
        </is>
      </c>
      <c r="C3137" s="5" t="n">
        <v>46265</v>
      </c>
      <c r="D3137" t="inlineStr">
        <is>
          <t>Stripe patient 84094</t>
        </is>
      </c>
      <c r="E3137" t="inlineStr">
        <is>
          <t>INV/2026/04926</t>
        </is>
      </c>
      <c r="F3137" t="inlineStr">
        <is>
          <t>Customer payment INV/2026/04926</t>
        </is>
      </c>
      <c r="G3137" s="9" t="n">
        <v>120</v>
      </c>
      <c r="H3137" t="inlineStr">
        <is>
          <t>customer_payment</t>
        </is>
      </c>
      <c r="I3137" t="inlineStr"/>
      <c r="J3137" t="inlineStr">
        <is>
          <t>G00059</t>
        </is>
      </c>
      <c r="K3137" t="str">
        <f>INDEX('Match Groups'!$D$5:$D$1326,MATCH(J3137,'Match Groups'!$A$5:$A$1326,0))</f>
        <v>STRIPE-FEE</v>
      </c>
    </row>
    <row r="3138">
      <c r="A3138" t="inlineStr">
        <is>
          <t>JI-03084</t>
        </is>
      </c>
      <c r="B3138" t="inlineStr">
        <is>
          <t>OPS</t>
        </is>
      </c>
      <c r="C3138" s="5" t="n">
        <v>46265</v>
      </c>
      <c r="D3138" t="inlineStr">
        <is>
          <t>Stripe patient 28607</t>
        </is>
      </c>
      <c r="E3138" t="inlineStr">
        <is>
          <t>INV/2026/04927</t>
        </is>
      </c>
      <c r="F3138" t="inlineStr">
        <is>
          <t>Customer payment INV/2026/04927</t>
        </is>
      </c>
      <c r="G3138" s="9" t="n">
        <v>85</v>
      </c>
      <c r="H3138" t="inlineStr">
        <is>
          <t>customer_payment</t>
        </is>
      </c>
      <c r="I3138" t="inlineStr"/>
      <c r="J3138" t="inlineStr">
        <is>
          <t>G00059</t>
        </is>
      </c>
      <c r="K3138" t="str">
        <f>INDEX('Match Groups'!$D$5:$D$1326,MATCH(J3138,'Match Groups'!$A$5:$A$1326,0))</f>
        <v>STRIPE-FEE</v>
      </c>
    </row>
    <row r="3139">
      <c r="A3139" t="inlineStr">
        <is>
          <t>JI-03085</t>
        </is>
      </c>
      <c r="B3139" t="inlineStr">
        <is>
          <t>OPS</t>
        </is>
      </c>
      <c r="C3139" s="5" t="n">
        <v>46265</v>
      </c>
      <c r="D3139" t="inlineStr">
        <is>
          <t>Stripe patient 21941</t>
        </is>
      </c>
      <c r="E3139" t="inlineStr">
        <is>
          <t>INV/2026/04928</t>
        </is>
      </c>
      <c r="F3139" t="inlineStr">
        <is>
          <t>Customer payment INV/2026/04928</t>
        </is>
      </c>
      <c r="G3139" s="9" t="n">
        <v>110</v>
      </c>
      <c r="H3139" t="inlineStr">
        <is>
          <t>customer_payment</t>
        </is>
      </c>
      <c r="I3139" t="inlineStr"/>
      <c r="J3139" t="inlineStr">
        <is>
          <t>G00059</t>
        </is>
      </c>
      <c r="K3139" t="str">
        <f>INDEX('Match Groups'!$D$5:$D$1326,MATCH(J3139,'Match Groups'!$A$5:$A$1326,0))</f>
        <v>STRIPE-FEE</v>
      </c>
    </row>
    <row r="3140">
      <c r="A3140" t="inlineStr">
        <is>
          <t>JI-03086</t>
        </is>
      </c>
      <c r="B3140" t="inlineStr">
        <is>
          <t>OPS</t>
        </is>
      </c>
      <c r="C3140" s="5" t="n">
        <v>46265</v>
      </c>
      <c r="D3140" t="inlineStr">
        <is>
          <t>Stripe patient 96565</t>
        </is>
      </c>
      <c r="E3140" t="inlineStr">
        <is>
          <t>INV/2026/04929</t>
        </is>
      </c>
      <c r="F3140" t="inlineStr">
        <is>
          <t>Customer payment INV/2026/04929</t>
        </is>
      </c>
      <c r="G3140" s="9" t="n">
        <v>120</v>
      </c>
      <c r="H3140" t="inlineStr">
        <is>
          <t>customer_payment</t>
        </is>
      </c>
      <c r="I3140" t="inlineStr"/>
      <c r="J3140" t="inlineStr">
        <is>
          <t>G00059</t>
        </is>
      </c>
      <c r="K3140" t="str">
        <f>INDEX('Match Groups'!$D$5:$D$1326,MATCH(J3140,'Match Groups'!$A$5:$A$1326,0))</f>
        <v>STRIPE-FEE</v>
      </c>
    </row>
    <row r="3141">
      <c r="A3141" t="inlineStr">
        <is>
          <t>JI-03087</t>
        </is>
      </c>
      <c r="B3141" t="inlineStr">
        <is>
          <t>OPS</t>
        </is>
      </c>
      <c r="C3141" s="5" t="n">
        <v>46265</v>
      </c>
      <c r="D3141" t="inlineStr">
        <is>
          <t>Stripe patient 88677</t>
        </is>
      </c>
      <c r="E3141" t="inlineStr">
        <is>
          <t>INV/2026/04930</t>
        </is>
      </c>
      <c r="F3141" t="inlineStr">
        <is>
          <t>Customer payment INV/2026/04930</t>
        </is>
      </c>
      <c r="G3141" s="9" t="n">
        <v>120</v>
      </c>
      <c r="H3141" t="inlineStr">
        <is>
          <t>customer_payment</t>
        </is>
      </c>
      <c r="I3141" t="inlineStr"/>
      <c r="J3141" t="inlineStr">
        <is>
          <t>G00059</t>
        </is>
      </c>
      <c r="K3141" t="str">
        <f>INDEX('Match Groups'!$D$5:$D$1326,MATCH(J3141,'Match Groups'!$A$5:$A$1326,0))</f>
        <v>STRIPE-FEE</v>
      </c>
    </row>
    <row r="3142">
      <c r="A3142" t="inlineStr">
        <is>
          <t>JI-03088</t>
        </is>
      </c>
      <c r="B3142" t="inlineStr">
        <is>
          <t>OPS</t>
        </is>
      </c>
      <c r="C3142" s="5" t="n">
        <v>46265</v>
      </c>
      <c r="D3142" t="inlineStr">
        <is>
          <t>Stripe patient 91976</t>
        </is>
      </c>
      <c r="E3142" t="inlineStr">
        <is>
          <t>INV/2026/04931</t>
        </is>
      </c>
      <c r="F3142" t="inlineStr">
        <is>
          <t>Customer payment INV/2026/04931</t>
        </is>
      </c>
      <c r="G3142" s="9" t="n">
        <v>95</v>
      </c>
      <c r="H3142" t="inlineStr">
        <is>
          <t>customer_payment</t>
        </is>
      </c>
      <c r="I3142" t="inlineStr"/>
      <c r="J3142" t="inlineStr">
        <is>
          <t>G00059</t>
        </is>
      </c>
      <c r="K3142" t="str">
        <f>INDEX('Match Groups'!$D$5:$D$1326,MATCH(J3142,'Match Groups'!$A$5:$A$1326,0))</f>
        <v>STRIPE-FEE</v>
      </c>
    </row>
    <row r="3143">
      <c r="A3143" t="inlineStr">
        <is>
          <t>JI-03089</t>
        </is>
      </c>
      <c r="B3143" t="inlineStr">
        <is>
          <t>OPS</t>
        </is>
      </c>
      <c r="C3143" s="5" t="n">
        <v>46265</v>
      </c>
      <c r="D3143" t="inlineStr">
        <is>
          <t>Stripe patient 19034</t>
        </is>
      </c>
      <c r="E3143" t="inlineStr">
        <is>
          <t>INV/2026/04932</t>
        </is>
      </c>
      <c r="F3143" t="inlineStr">
        <is>
          <t>Customer payment INV/2026/04932</t>
        </is>
      </c>
      <c r="G3143" s="9" t="n">
        <v>150</v>
      </c>
      <c r="H3143" t="inlineStr">
        <is>
          <t>customer_payment</t>
        </is>
      </c>
      <c r="I3143" t="inlineStr"/>
      <c r="J3143" t="inlineStr">
        <is>
          <t>G00059</t>
        </is>
      </c>
      <c r="K3143" t="str">
        <f>INDEX('Match Groups'!$D$5:$D$1326,MATCH(J3143,'Match Groups'!$A$5:$A$1326,0))</f>
        <v>STRIPE-FEE</v>
      </c>
    </row>
    <row r="3144">
      <c r="A3144" t="inlineStr">
        <is>
          <t>JI-03090</t>
        </is>
      </c>
      <c r="B3144" t="inlineStr">
        <is>
          <t>OPS</t>
        </is>
      </c>
      <c r="C3144" s="5" t="n">
        <v>46265</v>
      </c>
      <c r="D3144" t="inlineStr">
        <is>
          <t>Stripe patient 64568</t>
        </is>
      </c>
      <c r="E3144" t="inlineStr">
        <is>
          <t>INV/2026/04933</t>
        </is>
      </c>
      <c r="F3144" t="inlineStr">
        <is>
          <t>Customer payment INV/2026/04933</t>
        </is>
      </c>
      <c r="G3144" s="9" t="n">
        <v>95</v>
      </c>
      <c r="H3144" t="inlineStr">
        <is>
          <t>customer_payment</t>
        </is>
      </c>
      <c r="I3144" t="inlineStr"/>
      <c r="J3144" t="inlineStr">
        <is>
          <t>G00059</t>
        </is>
      </c>
      <c r="K3144" t="str">
        <f>INDEX('Match Groups'!$D$5:$D$1326,MATCH(J3144,'Match Groups'!$A$5:$A$1326,0))</f>
        <v>STRIPE-FEE</v>
      </c>
    </row>
    <row r="3145">
      <c r="A3145" t="inlineStr">
        <is>
          <t>JI-03091</t>
        </is>
      </c>
      <c r="B3145" t="inlineStr">
        <is>
          <t>OPS</t>
        </is>
      </c>
      <c r="C3145" s="5" t="n">
        <v>46265</v>
      </c>
      <c r="D3145" t="inlineStr">
        <is>
          <t>Stripe patient 99752</t>
        </is>
      </c>
      <c r="E3145" t="inlineStr">
        <is>
          <t>INV/2026/04934</t>
        </is>
      </c>
      <c r="F3145" t="inlineStr">
        <is>
          <t>Customer payment INV/2026/04934</t>
        </is>
      </c>
      <c r="G3145" s="9" t="n">
        <v>65</v>
      </c>
      <c r="H3145" t="inlineStr">
        <is>
          <t>customer_payment</t>
        </is>
      </c>
      <c r="I3145" t="inlineStr"/>
      <c r="J3145" t="inlineStr">
        <is>
          <t>G00059</t>
        </is>
      </c>
      <c r="K3145" t="str">
        <f>INDEX('Match Groups'!$D$5:$D$1326,MATCH(J3145,'Match Groups'!$A$5:$A$1326,0))</f>
        <v>STRIPE-FEE</v>
      </c>
    </row>
    <row r="3146">
      <c r="A3146" t="inlineStr">
        <is>
          <t>JI-03092</t>
        </is>
      </c>
      <c r="B3146" t="inlineStr">
        <is>
          <t>OPS</t>
        </is>
      </c>
      <c r="C3146" s="5" t="n">
        <v>46265</v>
      </c>
      <c r="D3146" t="inlineStr">
        <is>
          <t>Stripe patient 76456</t>
        </is>
      </c>
      <c r="E3146" t="inlineStr">
        <is>
          <t>INV/2026/04935</t>
        </is>
      </c>
      <c r="F3146" t="inlineStr">
        <is>
          <t>Customer payment INV/2026/04935</t>
        </is>
      </c>
      <c r="G3146" s="9" t="n">
        <v>120</v>
      </c>
      <c r="H3146" t="inlineStr">
        <is>
          <t>customer_payment</t>
        </is>
      </c>
      <c r="I3146" t="inlineStr"/>
      <c r="J3146" t="inlineStr">
        <is>
          <t>G00059</t>
        </is>
      </c>
      <c r="K3146" t="str">
        <f>INDEX('Match Groups'!$D$5:$D$1326,MATCH(J3146,'Match Groups'!$A$5:$A$1326,0))</f>
        <v>STRIPE-FEE</v>
      </c>
    </row>
    <row r="3147">
      <c r="A3147" t="inlineStr">
        <is>
          <t>JI-03093</t>
        </is>
      </c>
      <c r="B3147" t="inlineStr">
        <is>
          <t>OPS</t>
        </is>
      </c>
      <c r="C3147" s="5" t="n">
        <v>46265</v>
      </c>
      <c r="D3147" t="inlineStr">
        <is>
          <t>Stripe patient 53826</t>
        </is>
      </c>
      <c r="E3147" t="inlineStr">
        <is>
          <t>INV/2026/04936</t>
        </is>
      </c>
      <c r="F3147" t="inlineStr">
        <is>
          <t>Customer payment INV/2026/04936</t>
        </is>
      </c>
      <c r="G3147" s="9" t="n">
        <v>220</v>
      </c>
      <c r="H3147" t="inlineStr">
        <is>
          <t>customer_payment</t>
        </is>
      </c>
      <c r="I3147" t="inlineStr"/>
      <c r="J3147" t="inlineStr">
        <is>
          <t>G00059</t>
        </is>
      </c>
      <c r="K3147" t="str">
        <f>INDEX('Match Groups'!$D$5:$D$1326,MATCH(J3147,'Match Groups'!$A$5:$A$1326,0))</f>
        <v>STRIPE-FEE</v>
      </c>
    </row>
    <row r="3148">
      <c r="A3148" t="inlineStr">
        <is>
          <t>JI-03094</t>
        </is>
      </c>
      <c r="B3148" t="inlineStr">
        <is>
          <t>OPS</t>
        </is>
      </c>
      <c r="C3148" s="5" t="n">
        <v>46265</v>
      </c>
      <c r="D3148" t="inlineStr">
        <is>
          <t>Stripe patient 12583</t>
        </is>
      </c>
      <c r="E3148" t="inlineStr">
        <is>
          <t>INV/2026/04937</t>
        </is>
      </c>
      <c r="F3148" t="inlineStr">
        <is>
          <t>Customer payment INV/2026/04937</t>
        </is>
      </c>
      <c r="G3148" s="9" t="n">
        <v>95</v>
      </c>
      <c r="H3148" t="inlineStr">
        <is>
          <t>customer_payment</t>
        </is>
      </c>
      <c r="I3148" t="inlineStr"/>
      <c r="J3148" t="inlineStr">
        <is>
          <t>G00059</t>
        </is>
      </c>
      <c r="K3148" t="str">
        <f>INDEX('Match Groups'!$D$5:$D$1326,MATCH(J3148,'Match Groups'!$A$5:$A$1326,0))</f>
        <v>STRIPE-FEE</v>
      </c>
    </row>
    <row r="3149">
      <c r="A3149" t="inlineStr">
        <is>
          <t>JI-03095</t>
        </is>
      </c>
      <c r="B3149" t="inlineStr">
        <is>
          <t>OPS</t>
        </is>
      </c>
      <c r="C3149" s="5" t="n">
        <v>46265</v>
      </c>
      <c r="D3149" t="inlineStr">
        <is>
          <t>Stripe patient 44026</t>
        </is>
      </c>
      <c r="E3149" t="inlineStr">
        <is>
          <t>INV/2026/04938</t>
        </is>
      </c>
      <c r="F3149" t="inlineStr">
        <is>
          <t>Customer payment INV/2026/04938</t>
        </is>
      </c>
      <c r="G3149" s="9" t="n">
        <v>120</v>
      </c>
      <c r="H3149" t="inlineStr">
        <is>
          <t>customer_payment</t>
        </is>
      </c>
      <c r="I3149" t="inlineStr"/>
      <c r="J3149" t="inlineStr">
        <is>
          <t>G00059</t>
        </is>
      </c>
      <c r="K3149" t="str">
        <f>INDEX('Match Groups'!$D$5:$D$1326,MATCH(J3149,'Match Groups'!$A$5:$A$1326,0))</f>
        <v>STRIPE-FEE</v>
      </c>
    </row>
    <row r="3150">
      <c r="A3150" t="inlineStr">
        <is>
          <t>JI-03096</t>
        </is>
      </c>
      <c r="B3150" t="inlineStr">
        <is>
          <t>OPS</t>
        </is>
      </c>
      <c r="C3150" s="5" t="n">
        <v>46265</v>
      </c>
      <c r="D3150" t="inlineStr">
        <is>
          <t>Stripe patient 94192</t>
        </is>
      </c>
      <c r="E3150" t="inlineStr">
        <is>
          <t>INV/2026/04939</t>
        </is>
      </c>
      <c r="F3150" t="inlineStr">
        <is>
          <t>Customer payment INV/2026/04939</t>
        </is>
      </c>
      <c r="G3150" s="9" t="n">
        <v>95</v>
      </c>
      <c r="H3150" t="inlineStr">
        <is>
          <t>customer_payment</t>
        </is>
      </c>
      <c r="I3150" t="inlineStr"/>
      <c r="J3150" t="inlineStr">
        <is>
          <t>G00059</t>
        </is>
      </c>
      <c r="K3150" t="str">
        <f>INDEX('Match Groups'!$D$5:$D$1326,MATCH(J3150,'Match Groups'!$A$5:$A$1326,0))</f>
        <v>STRIPE-FEE</v>
      </c>
    </row>
    <row r="3151">
      <c r="A3151" t="inlineStr">
        <is>
          <t>JI-03097</t>
        </is>
      </c>
      <c r="B3151" t="inlineStr">
        <is>
          <t>OPS</t>
        </is>
      </c>
      <c r="C3151" s="5" t="n">
        <v>46265</v>
      </c>
      <c r="D3151" t="inlineStr">
        <is>
          <t>Stripe patient 15425</t>
        </is>
      </c>
      <c r="E3151" t="inlineStr">
        <is>
          <t>INV/2026/04940</t>
        </is>
      </c>
      <c r="F3151" t="inlineStr">
        <is>
          <t>Customer payment INV/2026/04940</t>
        </is>
      </c>
      <c r="G3151" s="9" t="n">
        <v>85</v>
      </c>
      <c r="H3151" t="inlineStr">
        <is>
          <t>customer_payment</t>
        </is>
      </c>
      <c r="I3151" t="inlineStr"/>
      <c r="J3151" t="inlineStr">
        <is>
          <t>G00059</t>
        </is>
      </c>
      <c r="K3151" t="str">
        <f>INDEX('Match Groups'!$D$5:$D$1326,MATCH(J3151,'Match Groups'!$A$5:$A$1326,0))</f>
        <v>STRIPE-FEE</v>
      </c>
    </row>
    <row r="3152">
      <c r="A3152" t="inlineStr">
        <is>
          <t>JI-03098</t>
        </is>
      </c>
      <c r="B3152" t="inlineStr">
        <is>
          <t>OPS</t>
        </is>
      </c>
      <c r="C3152" s="5" t="n">
        <v>46265</v>
      </c>
      <c r="D3152" t="inlineStr">
        <is>
          <t>Stripe patient 18185</t>
        </is>
      </c>
      <c r="E3152" t="inlineStr">
        <is>
          <t>INV/2026/04941</t>
        </is>
      </c>
      <c r="F3152" t="inlineStr">
        <is>
          <t>Customer payment INV/2026/04941</t>
        </is>
      </c>
      <c r="G3152" s="9" t="n">
        <v>150</v>
      </c>
      <c r="H3152" t="inlineStr">
        <is>
          <t>customer_payment</t>
        </is>
      </c>
      <c r="I3152" t="inlineStr"/>
      <c r="J3152" t="inlineStr">
        <is>
          <t>G00059</t>
        </is>
      </c>
      <c r="K3152" t="str">
        <f>INDEX('Match Groups'!$D$5:$D$1326,MATCH(J3152,'Match Groups'!$A$5:$A$1326,0))</f>
        <v>STRIPE-FEE</v>
      </c>
    </row>
    <row r="3153">
      <c r="A3153" t="inlineStr">
        <is>
          <t>JI-03099</t>
        </is>
      </c>
      <c r="B3153" t="inlineStr">
        <is>
          <t>OPS</t>
        </is>
      </c>
      <c r="C3153" s="5" t="n">
        <v>46265</v>
      </c>
      <c r="D3153" t="inlineStr">
        <is>
          <t>Stripe patient 67464</t>
        </is>
      </c>
      <c r="E3153" t="inlineStr">
        <is>
          <t>INV/2026/04942</t>
        </is>
      </c>
      <c r="F3153" t="inlineStr">
        <is>
          <t>Customer payment INV/2026/04942</t>
        </is>
      </c>
      <c r="G3153" s="9" t="n">
        <v>95</v>
      </c>
      <c r="H3153" t="inlineStr">
        <is>
          <t>customer_payment</t>
        </is>
      </c>
      <c r="I3153" t="inlineStr"/>
      <c r="J3153" t="inlineStr">
        <is>
          <t>G00059</t>
        </is>
      </c>
      <c r="K3153" t="str">
        <f>INDEX('Match Groups'!$D$5:$D$1326,MATCH(J3153,'Match Groups'!$A$5:$A$1326,0))</f>
        <v>STRIPE-FEE</v>
      </c>
    </row>
    <row r="3154">
      <c r="A3154" t="inlineStr">
        <is>
          <t>JI-03100</t>
        </is>
      </c>
      <c r="B3154" t="inlineStr">
        <is>
          <t>OPS</t>
        </is>
      </c>
      <c r="C3154" s="5" t="n">
        <v>46265</v>
      </c>
      <c r="D3154" t="inlineStr">
        <is>
          <t>Stripe patient 99894</t>
        </is>
      </c>
      <c r="E3154" t="inlineStr">
        <is>
          <t>INV/2026/04943</t>
        </is>
      </c>
      <c r="F3154" t="inlineStr">
        <is>
          <t>Customer payment INV/2026/04943</t>
        </is>
      </c>
      <c r="G3154" s="9" t="n">
        <v>85</v>
      </c>
      <c r="H3154" t="inlineStr">
        <is>
          <t>customer_payment</t>
        </is>
      </c>
      <c r="I3154" t="inlineStr"/>
      <c r="J3154" t="inlineStr">
        <is>
          <t>G00059</t>
        </is>
      </c>
      <c r="K3154" t="str">
        <f>INDEX('Match Groups'!$D$5:$D$1326,MATCH(J3154,'Match Groups'!$A$5:$A$1326,0))</f>
        <v>STRIPE-FEE</v>
      </c>
    </row>
    <row r="3155">
      <c r="A3155" t="inlineStr">
        <is>
          <t>JI-03101</t>
        </is>
      </c>
      <c r="B3155" t="inlineStr">
        <is>
          <t>OPS</t>
        </is>
      </c>
      <c r="C3155" s="5" t="n">
        <v>46265</v>
      </c>
      <c r="D3155" t="inlineStr">
        <is>
          <t>Stripe patient 11340</t>
        </is>
      </c>
      <c r="E3155" t="inlineStr">
        <is>
          <t>INV/2026/04944</t>
        </is>
      </c>
      <c r="F3155" t="inlineStr">
        <is>
          <t>Customer payment INV/2026/04944</t>
        </is>
      </c>
      <c r="G3155" s="9" t="n">
        <v>95</v>
      </c>
      <c r="H3155" t="inlineStr">
        <is>
          <t>customer_payment</t>
        </is>
      </c>
      <c r="I3155" t="inlineStr"/>
      <c r="J3155" t="inlineStr">
        <is>
          <t>G00059</t>
        </is>
      </c>
      <c r="K3155" t="str">
        <f>INDEX('Match Groups'!$D$5:$D$1326,MATCH(J3155,'Match Groups'!$A$5:$A$1326,0))</f>
        <v>STRIPE-FEE</v>
      </c>
    </row>
    <row r="3156">
      <c r="A3156" t="inlineStr">
        <is>
          <t>JI-03102</t>
        </is>
      </c>
      <c r="B3156" t="inlineStr">
        <is>
          <t>OPS</t>
        </is>
      </c>
      <c r="C3156" s="5" t="n">
        <v>46265</v>
      </c>
      <c r="D3156" t="inlineStr">
        <is>
          <t>Stripe patient 40177</t>
        </is>
      </c>
      <c r="E3156" t="inlineStr">
        <is>
          <t>INV/2026/04945</t>
        </is>
      </c>
      <c r="F3156" t="inlineStr">
        <is>
          <t>Customer payment INV/2026/04945</t>
        </is>
      </c>
      <c r="G3156" s="9" t="n">
        <v>180</v>
      </c>
      <c r="H3156" t="inlineStr">
        <is>
          <t>customer_payment</t>
        </is>
      </c>
      <c r="I3156" t="inlineStr"/>
      <c r="J3156" t="inlineStr">
        <is>
          <t>G00059</t>
        </is>
      </c>
      <c r="K3156" t="str">
        <f>INDEX('Match Groups'!$D$5:$D$1326,MATCH(J3156,'Match Groups'!$A$5:$A$1326,0))</f>
        <v>STRIPE-FEE</v>
      </c>
    </row>
    <row r="3157">
      <c r="A3157" t="inlineStr">
        <is>
          <t>JI-03103</t>
        </is>
      </c>
      <c r="B3157" t="inlineStr">
        <is>
          <t>OPS</t>
        </is>
      </c>
      <c r="C3157" s="5" t="n">
        <v>46265</v>
      </c>
      <c r="D3157" t="inlineStr">
        <is>
          <t>Stripe patient 84914</t>
        </is>
      </c>
      <c r="E3157" t="inlineStr">
        <is>
          <t>INV/2026/04946</t>
        </is>
      </c>
      <c r="F3157" t="inlineStr">
        <is>
          <t>Customer payment INV/2026/04946</t>
        </is>
      </c>
      <c r="G3157" s="9" t="n">
        <v>95</v>
      </c>
      <c r="H3157" t="inlineStr">
        <is>
          <t>customer_payment</t>
        </is>
      </c>
      <c r="I3157" t="inlineStr"/>
      <c r="J3157" t="inlineStr">
        <is>
          <t>G00059</t>
        </is>
      </c>
      <c r="K3157" t="str">
        <f>INDEX('Match Groups'!$D$5:$D$1326,MATCH(J3157,'Match Groups'!$A$5:$A$1326,0))</f>
        <v>STRIPE-FEE</v>
      </c>
    </row>
    <row r="3158">
      <c r="A3158" t="inlineStr">
        <is>
          <t>JI-03104</t>
        </is>
      </c>
      <c r="B3158" t="inlineStr">
        <is>
          <t>OPS</t>
        </is>
      </c>
      <c r="C3158" s="5" t="n">
        <v>46265</v>
      </c>
      <c r="D3158" t="inlineStr">
        <is>
          <t>Stripe patient 67245</t>
        </is>
      </c>
      <c r="E3158" t="inlineStr">
        <is>
          <t>INV/2026/04947</t>
        </is>
      </c>
      <c r="F3158" t="inlineStr">
        <is>
          <t>Customer payment INV/2026/04947</t>
        </is>
      </c>
      <c r="G3158" s="9" t="n">
        <v>180</v>
      </c>
      <c r="H3158" t="inlineStr">
        <is>
          <t>customer_payment</t>
        </is>
      </c>
      <c r="I3158" t="inlineStr"/>
      <c r="J3158" t="inlineStr">
        <is>
          <t>G00059</t>
        </is>
      </c>
      <c r="K3158" t="str">
        <f>INDEX('Match Groups'!$D$5:$D$1326,MATCH(J3158,'Match Groups'!$A$5:$A$1326,0))</f>
        <v>STRIPE-FEE</v>
      </c>
    </row>
    <row r="3159">
      <c r="A3159" t="inlineStr">
        <is>
          <t>JI-03105</t>
        </is>
      </c>
      <c r="B3159" t="inlineStr">
        <is>
          <t>OPS</t>
        </is>
      </c>
      <c r="C3159" s="5" t="n">
        <v>46265</v>
      </c>
      <c r="D3159" t="inlineStr">
        <is>
          <t>Stripe patient 71401</t>
        </is>
      </c>
      <c r="E3159" t="inlineStr">
        <is>
          <t>INV/2026/04948</t>
        </is>
      </c>
      <c r="F3159" t="inlineStr">
        <is>
          <t>Customer payment INV/2026/04948</t>
        </is>
      </c>
      <c r="G3159" s="9" t="n">
        <v>150</v>
      </c>
      <c r="H3159" t="inlineStr">
        <is>
          <t>customer_payment</t>
        </is>
      </c>
      <c r="I3159" t="inlineStr"/>
      <c r="J3159" t="inlineStr">
        <is>
          <t>G00059</t>
        </is>
      </c>
      <c r="K3159" t="str">
        <f>INDEX('Match Groups'!$D$5:$D$1326,MATCH(J3159,'Match Groups'!$A$5:$A$1326,0))</f>
        <v>STRIPE-FEE</v>
      </c>
    </row>
    <row r="3160">
      <c r="A3160" t="inlineStr">
        <is>
          <t>JI-03106</t>
        </is>
      </c>
      <c r="B3160" t="inlineStr">
        <is>
          <t>OPS</t>
        </is>
      </c>
      <c r="C3160" s="5" t="n">
        <v>46265</v>
      </c>
      <c r="D3160" t="inlineStr">
        <is>
          <t>Stripe patient 64693</t>
        </is>
      </c>
      <c r="E3160" t="inlineStr">
        <is>
          <t>INV/2026/04949</t>
        </is>
      </c>
      <c r="F3160" t="inlineStr">
        <is>
          <t>Customer payment INV/2026/04949</t>
        </is>
      </c>
      <c r="G3160" s="9" t="n">
        <v>110</v>
      </c>
      <c r="H3160" t="inlineStr">
        <is>
          <t>customer_payment</t>
        </is>
      </c>
      <c r="I3160" t="inlineStr"/>
      <c r="J3160" t="inlineStr">
        <is>
          <t>G00059</t>
        </is>
      </c>
      <c r="K3160" t="str">
        <f>INDEX('Match Groups'!$D$5:$D$1326,MATCH(J3160,'Match Groups'!$A$5:$A$1326,0))</f>
        <v>STRIPE-FEE</v>
      </c>
    </row>
    <row r="3161">
      <c r="A3161" t="inlineStr">
        <is>
          <t>JI-03914</t>
        </is>
      </c>
      <c r="B3161" t="inlineStr">
        <is>
          <t>OPS</t>
        </is>
      </c>
      <c r="C3161" s="5" t="n">
        <v>46265</v>
      </c>
      <c r="D3161" t="inlineStr">
        <is>
          <t>Collins St Property Trust</t>
        </is>
      </c>
      <c r="E3161" t="inlineStr">
        <is>
          <t>BILL/2026/1021</t>
        </is>
      </c>
      <c r="F3161" t="inlineStr">
        <is>
          <t>Vendor payment BILL/2026/1021</t>
        </is>
      </c>
      <c r="G3161" s="9" t="n">
        <v>-14850</v>
      </c>
      <c r="H3161" t="inlineStr">
        <is>
          <t>supplier_payment</t>
        </is>
      </c>
      <c r="I3161" t="inlineStr"/>
      <c r="J3161" t="inlineStr">
        <is>
          <t>G01152</t>
        </is>
      </c>
      <c r="K3161" t="str">
        <f>INDEX('Match Groups'!$D$5:$D$1326,MATCH(J3161,'Match Groups'!$A$5:$A$1326,0))</f>
        <v>MATCH</v>
      </c>
    </row>
    <row r="3162">
      <c r="A3162" t="inlineStr">
        <is>
          <t>JI-01163</t>
        </is>
      </c>
      <c r="B3162" t="inlineStr">
        <is>
          <t>OPS</t>
        </is>
      </c>
      <c r="C3162" s="5" t="n">
        <v>46266</v>
      </c>
      <c r="D3162" t="inlineStr">
        <is>
          <t>Ironbark Plan Management</t>
        </is>
      </c>
      <c r="E3162" t="inlineStr">
        <is>
          <t>INV/2026/02846</t>
        </is>
      </c>
      <c r="F3162" t="inlineStr">
        <is>
          <t>Customer payment INV/2026/02846</t>
        </is>
      </c>
      <c r="G3162" s="9" t="n">
        <v>290.98</v>
      </c>
      <c r="H3162" t="inlineStr">
        <is>
          <t>customer_payment</t>
        </is>
      </c>
      <c r="I3162" t="inlineStr"/>
      <c r="J3162" t="inlineStr">
        <is>
          <t>G00371</t>
        </is>
      </c>
      <c r="K3162" t="str">
        <f>INDEX('Match Groups'!$D$5:$D$1326,MATCH(J3162,'Match Groups'!$A$5:$A$1326,0))</f>
        <v>MATCH</v>
      </c>
    </row>
    <row r="3163">
      <c r="A3163" t="inlineStr">
        <is>
          <t>JI-01164</t>
        </is>
      </c>
      <c r="B3163" t="inlineStr">
        <is>
          <t>OPS</t>
        </is>
      </c>
      <c r="C3163" s="5" t="n">
        <v>46266</v>
      </c>
      <c r="D3163" t="inlineStr">
        <is>
          <t>Ironbark Plan Management</t>
        </is>
      </c>
      <c r="E3163" t="inlineStr">
        <is>
          <t>INV/2026/02869</t>
        </is>
      </c>
      <c r="F3163" t="inlineStr">
        <is>
          <t>Customer payment INV/2026/02869</t>
        </is>
      </c>
      <c r="G3163" s="9" t="n">
        <v>320.98</v>
      </c>
      <c r="H3163" t="inlineStr">
        <is>
          <t>customer_payment</t>
        </is>
      </c>
      <c r="I3163" t="inlineStr"/>
      <c r="J3163" t="inlineStr">
        <is>
          <t>G00371</t>
        </is>
      </c>
      <c r="K3163" t="str">
        <f>INDEX('Match Groups'!$D$5:$D$1326,MATCH(J3163,'Match Groups'!$A$5:$A$1326,0))</f>
        <v>MATCH</v>
      </c>
    </row>
    <row r="3164">
      <c r="A3164" t="inlineStr">
        <is>
          <t>JI-01165</t>
        </is>
      </c>
      <c r="B3164" t="inlineStr">
        <is>
          <t>OPS</t>
        </is>
      </c>
      <c r="C3164" s="5" t="n">
        <v>46266</v>
      </c>
      <c r="D3164" t="inlineStr">
        <is>
          <t>Ironbark Plan Management</t>
        </is>
      </c>
      <c r="E3164" t="inlineStr">
        <is>
          <t>INV/2026/02870</t>
        </is>
      </c>
      <c r="F3164" t="inlineStr">
        <is>
          <t>Customer payment INV/2026/02870</t>
        </is>
      </c>
      <c r="G3164" s="9" t="n">
        <v>242.49</v>
      </c>
      <c r="H3164" t="inlineStr">
        <is>
          <t>customer_payment</t>
        </is>
      </c>
      <c r="I3164" t="inlineStr"/>
      <c r="J3164" t="inlineStr">
        <is>
          <t>G00371</t>
        </is>
      </c>
      <c r="K3164" t="str">
        <f>INDEX('Match Groups'!$D$5:$D$1326,MATCH(J3164,'Match Groups'!$A$5:$A$1326,0))</f>
        <v>MATCH</v>
      </c>
    </row>
    <row r="3165">
      <c r="A3165" t="inlineStr">
        <is>
          <t>JI-01166</t>
        </is>
      </c>
      <c r="B3165" t="inlineStr">
        <is>
          <t>OPS</t>
        </is>
      </c>
      <c r="C3165" s="5" t="n">
        <v>46266</v>
      </c>
      <c r="D3165" t="inlineStr">
        <is>
          <t>Saltbush Plan Managers</t>
        </is>
      </c>
      <c r="E3165" t="inlineStr">
        <is>
          <t>INV/2026/02787</t>
        </is>
      </c>
      <c r="F3165" t="inlineStr">
        <is>
          <t>Customer payment INV/2026/02787</t>
        </is>
      </c>
      <c r="G3165" s="9" t="n">
        <v>349.18</v>
      </c>
      <c r="H3165" t="inlineStr">
        <is>
          <t>customer_payment</t>
        </is>
      </c>
      <c r="I3165" t="inlineStr"/>
      <c r="J3165" t="inlineStr">
        <is>
          <t>G00372</t>
        </is>
      </c>
      <c r="K3165" t="str">
        <f>INDEX('Match Groups'!$D$5:$D$1326,MATCH(J3165,'Match Groups'!$A$5:$A$1326,0))</f>
        <v>MATCH</v>
      </c>
    </row>
    <row r="3166">
      <c r="A3166" t="inlineStr">
        <is>
          <t>JI-01167</t>
        </is>
      </c>
      <c r="B3166" t="inlineStr">
        <is>
          <t>OPS</t>
        </is>
      </c>
      <c r="C3166" s="5" t="n">
        <v>46266</v>
      </c>
      <c r="D3166" t="inlineStr">
        <is>
          <t>Saltbush Plan Managers</t>
        </is>
      </c>
      <c r="E3166" t="inlineStr">
        <is>
          <t>INV/2026/02788</t>
        </is>
      </c>
      <c r="F3166" t="inlineStr">
        <is>
          <t>Customer payment INV/2026/02788</t>
        </is>
      </c>
      <c r="G3166" s="9" t="n">
        <v>96.98999999999999</v>
      </c>
      <c r="H3166" t="inlineStr">
        <is>
          <t>customer_payment</t>
        </is>
      </c>
      <c r="I3166" t="inlineStr"/>
      <c r="J3166" t="inlineStr">
        <is>
          <t>G00372</t>
        </is>
      </c>
      <c r="K3166" t="str">
        <f>INDEX('Match Groups'!$D$5:$D$1326,MATCH(J3166,'Match Groups'!$A$5:$A$1326,0))</f>
        <v>MATCH</v>
      </c>
    </row>
    <row r="3167">
      <c r="A3167" t="inlineStr">
        <is>
          <t>JI-01168</t>
        </is>
      </c>
      <c r="B3167" t="inlineStr">
        <is>
          <t>OPS</t>
        </is>
      </c>
      <c r="C3167" s="5" t="n">
        <v>46266</v>
      </c>
      <c r="D3167" t="inlineStr">
        <is>
          <t>Saltbush Plan Managers</t>
        </is>
      </c>
      <c r="E3167" t="inlineStr">
        <is>
          <t>INV/2026/02807</t>
        </is>
      </c>
      <c r="F3167" t="inlineStr">
        <is>
          <t>Customer payment INV/2026/02807</t>
        </is>
      </c>
      <c r="G3167" s="9" t="n">
        <v>223.99</v>
      </c>
      <c r="H3167" t="inlineStr">
        <is>
          <t>customer_payment</t>
        </is>
      </c>
      <c r="I3167" t="inlineStr"/>
      <c r="J3167" t="inlineStr">
        <is>
          <t>G00372</t>
        </is>
      </c>
      <c r="K3167" t="str">
        <f>INDEX('Match Groups'!$D$5:$D$1326,MATCH(J3167,'Match Groups'!$A$5:$A$1326,0))</f>
        <v>MATCH</v>
      </c>
    </row>
    <row r="3168">
      <c r="A3168" t="inlineStr">
        <is>
          <t>JI-01169</t>
        </is>
      </c>
      <c r="B3168" t="inlineStr">
        <is>
          <t>OPS</t>
        </is>
      </c>
      <c r="C3168" s="5" t="n">
        <v>46266</v>
      </c>
      <c r="D3168" t="inlineStr">
        <is>
          <t>Saltbush Plan Managers</t>
        </is>
      </c>
      <c r="E3168" t="inlineStr">
        <is>
          <t>INV/2026/02808</t>
        </is>
      </c>
      <c r="F3168" t="inlineStr">
        <is>
          <t>Customer payment INV/2026/02808</t>
        </is>
      </c>
      <c r="G3168" s="9" t="n">
        <v>290.98</v>
      </c>
      <c r="H3168" t="inlineStr">
        <is>
          <t>customer_payment</t>
        </is>
      </c>
      <c r="I3168" t="inlineStr"/>
      <c r="J3168" t="inlineStr">
        <is>
          <t>G00372</t>
        </is>
      </c>
      <c r="K3168" t="str">
        <f>INDEX('Match Groups'!$D$5:$D$1326,MATCH(J3168,'Match Groups'!$A$5:$A$1326,0))</f>
        <v>MATCH</v>
      </c>
    </row>
    <row r="3169">
      <c r="A3169" t="inlineStr">
        <is>
          <t>JI-01170</t>
        </is>
      </c>
      <c r="B3169" t="inlineStr">
        <is>
          <t>OPS</t>
        </is>
      </c>
      <c r="C3169" s="5" t="n">
        <v>46266</v>
      </c>
      <c r="D3169" t="inlineStr">
        <is>
          <t>Saltbush Plan Managers</t>
        </is>
      </c>
      <c r="E3169" t="inlineStr">
        <is>
          <t>INV/2026/02833</t>
        </is>
      </c>
      <c r="F3169" t="inlineStr">
        <is>
          <t>Customer payment INV/2026/02833</t>
        </is>
      </c>
      <c r="G3169" s="9" t="n">
        <v>300.69</v>
      </c>
      <c r="H3169" t="inlineStr">
        <is>
          <t>customer_payment</t>
        </is>
      </c>
      <c r="I3169" t="inlineStr"/>
      <c r="J3169" t="inlineStr">
        <is>
          <t>G00372</t>
        </is>
      </c>
      <c r="K3169" t="str">
        <f>INDEX('Match Groups'!$D$5:$D$1326,MATCH(J3169,'Match Groups'!$A$5:$A$1326,0))</f>
        <v>MATCH</v>
      </c>
    </row>
    <row r="3170">
      <c r="A3170" t="inlineStr">
        <is>
          <t>JI-01171</t>
        </is>
      </c>
      <c r="B3170" t="inlineStr">
        <is>
          <t>OPS</t>
        </is>
      </c>
      <c r="C3170" s="5" t="n">
        <v>46266</v>
      </c>
      <c r="D3170" t="inlineStr">
        <is>
          <t>Saltbush Plan Managers</t>
        </is>
      </c>
      <c r="E3170" t="inlineStr">
        <is>
          <t>INV/2026/02874</t>
        </is>
      </c>
      <c r="F3170" t="inlineStr">
        <is>
          <t>Customer payment INV/2026/02874</t>
        </is>
      </c>
      <c r="G3170" s="9" t="n">
        <v>126.99</v>
      </c>
      <c r="H3170" t="inlineStr">
        <is>
          <t>customer_payment</t>
        </is>
      </c>
      <c r="I3170" t="inlineStr"/>
      <c r="J3170" t="inlineStr">
        <is>
          <t>G00372</t>
        </is>
      </c>
      <c r="K3170" t="str">
        <f>INDEX('Match Groups'!$D$5:$D$1326,MATCH(J3170,'Match Groups'!$A$5:$A$1326,0))</f>
        <v>MATCH</v>
      </c>
    </row>
    <row r="3171">
      <c r="A3171" t="inlineStr">
        <is>
          <t>JI-01172</t>
        </is>
      </c>
      <c r="B3171" t="inlineStr">
        <is>
          <t>OPS</t>
        </is>
      </c>
      <c r="C3171" s="5" t="n">
        <v>46266</v>
      </c>
      <c r="D3171" t="inlineStr">
        <is>
          <t>Redgum Plan Admin</t>
        </is>
      </c>
      <c r="E3171" t="inlineStr">
        <is>
          <t>INV/2026/02809</t>
        </is>
      </c>
      <c r="F3171" t="inlineStr">
        <is>
          <t>Customer payment INV/2026/02809</t>
        </is>
      </c>
      <c r="G3171" s="9" t="n">
        <v>300.69</v>
      </c>
      <c r="H3171" t="inlineStr">
        <is>
          <t>customer_payment</t>
        </is>
      </c>
      <c r="I3171" t="inlineStr"/>
      <c r="J3171" t="inlineStr">
        <is>
          <t>G00373</t>
        </is>
      </c>
      <c r="K3171" t="str">
        <f>INDEX('Match Groups'!$D$5:$D$1326,MATCH(J3171,'Match Groups'!$A$5:$A$1326,0))</f>
        <v>MATCH</v>
      </c>
    </row>
    <row r="3172">
      <c r="A3172" t="inlineStr">
        <is>
          <t>JI-01173</t>
        </is>
      </c>
      <c r="B3172" t="inlineStr">
        <is>
          <t>OPS</t>
        </is>
      </c>
      <c r="C3172" s="5" t="n">
        <v>46266</v>
      </c>
      <c r="D3172" t="inlineStr">
        <is>
          <t>Redgum Plan Admin</t>
        </is>
      </c>
      <c r="E3172" t="inlineStr">
        <is>
          <t>INV/2026/02810</t>
        </is>
      </c>
      <c r="F3172" t="inlineStr">
        <is>
          <t>Customer payment INV/2026/02810</t>
        </is>
      </c>
      <c r="G3172" s="9" t="n">
        <v>175.49</v>
      </c>
      <c r="H3172" t="inlineStr">
        <is>
          <t>customer_payment</t>
        </is>
      </c>
      <c r="I3172" t="inlineStr"/>
      <c r="J3172" t="inlineStr">
        <is>
          <t>G00373</t>
        </is>
      </c>
      <c r="K3172" t="str">
        <f>INDEX('Match Groups'!$D$5:$D$1326,MATCH(J3172,'Match Groups'!$A$5:$A$1326,0))</f>
        <v>MATCH</v>
      </c>
    </row>
    <row r="3173">
      <c r="A3173" t="inlineStr">
        <is>
          <t>JI-01174</t>
        </is>
      </c>
      <c r="B3173" t="inlineStr">
        <is>
          <t>OPS</t>
        </is>
      </c>
      <c r="C3173" s="5" t="n">
        <v>46266</v>
      </c>
      <c r="D3173" t="inlineStr">
        <is>
          <t>Redgum Plan Admin</t>
        </is>
      </c>
      <c r="E3173" t="inlineStr">
        <is>
          <t>INV/2026/02875</t>
        </is>
      </c>
      <c r="F3173" t="inlineStr">
        <is>
          <t>Customer payment INV/2026/02875</t>
        </is>
      </c>
      <c r="G3173" s="9" t="n">
        <v>272.49</v>
      </c>
      <c r="H3173" t="inlineStr">
        <is>
          <t>customer_payment</t>
        </is>
      </c>
      <c r="I3173" t="inlineStr"/>
      <c r="J3173" t="inlineStr">
        <is>
          <t>G00373</t>
        </is>
      </c>
      <c r="K3173" t="str">
        <f>INDEX('Match Groups'!$D$5:$D$1326,MATCH(J3173,'Match Groups'!$A$5:$A$1326,0))</f>
        <v>MATCH</v>
      </c>
    </row>
    <row r="3174">
      <c r="A3174" t="inlineStr">
        <is>
          <t>JI-01175</t>
        </is>
      </c>
      <c r="B3174" t="inlineStr">
        <is>
          <t>OPS</t>
        </is>
      </c>
      <c r="C3174" s="5" t="n">
        <v>46266</v>
      </c>
      <c r="D3174" t="inlineStr">
        <is>
          <t>Southern Cross Plan Mgmt</t>
        </is>
      </c>
      <c r="E3174" t="inlineStr">
        <is>
          <t>INV/2026/02264</t>
        </is>
      </c>
      <c r="F3174" t="inlineStr">
        <is>
          <t>Customer payment INV/2026/02264</t>
        </is>
      </c>
      <c r="G3174" s="9" t="n">
        <v>130.94</v>
      </c>
      <c r="H3174" t="inlineStr">
        <is>
          <t>customer_payment</t>
        </is>
      </c>
      <c r="I3174" t="inlineStr"/>
      <c r="J3174" t="inlineStr">
        <is>
          <t>G00374</t>
        </is>
      </c>
      <c r="K3174" t="str">
        <f>INDEX('Match Groups'!$D$5:$D$1326,MATCH(J3174,'Match Groups'!$A$5:$A$1326,0))</f>
        <v>MATCH</v>
      </c>
    </row>
    <row r="3175">
      <c r="A3175" t="inlineStr">
        <is>
          <t>JI-01176</t>
        </is>
      </c>
      <c r="B3175" t="inlineStr">
        <is>
          <t>OPS</t>
        </is>
      </c>
      <c r="C3175" s="5" t="n">
        <v>46266</v>
      </c>
      <c r="D3175" t="inlineStr">
        <is>
          <t>Southern Cross Plan Mgmt</t>
        </is>
      </c>
      <c r="E3175" t="inlineStr">
        <is>
          <t>INV/2026/02292</t>
        </is>
      </c>
      <c r="F3175" t="inlineStr">
        <is>
          <t>Customer payment INV/2026/02292</t>
        </is>
      </c>
      <c r="G3175" s="9" t="n">
        <v>193.99</v>
      </c>
      <c r="H3175" t="inlineStr">
        <is>
          <t>customer_payment</t>
        </is>
      </c>
      <c r="I3175" t="inlineStr"/>
      <c r="J3175" t="inlineStr">
        <is>
          <t>G00374</t>
        </is>
      </c>
      <c r="K3175" t="str">
        <f>INDEX('Match Groups'!$D$5:$D$1326,MATCH(J3175,'Match Groups'!$A$5:$A$1326,0))</f>
        <v>MATCH</v>
      </c>
    </row>
    <row r="3176">
      <c r="A3176" t="inlineStr">
        <is>
          <t>JI-01177</t>
        </is>
      </c>
      <c r="B3176" t="inlineStr">
        <is>
          <t>OPS</t>
        </is>
      </c>
      <c r="C3176" s="5" t="n">
        <v>46266</v>
      </c>
      <c r="D3176" t="inlineStr">
        <is>
          <t>Southern Cross Plan Mgmt</t>
        </is>
      </c>
      <c r="E3176" t="inlineStr">
        <is>
          <t>INV/2026/02311</t>
        </is>
      </c>
      <c r="F3176" t="inlineStr">
        <is>
          <t>Customer payment INV/2026/02311</t>
        </is>
      </c>
      <c r="G3176" s="9" t="n">
        <v>242.49</v>
      </c>
      <c r="H3176" t="inlineStr">
        <is>
          <t>customer_payment</t>
        </is>
      </c>
      <c r="I3176" t="inlineStr"/>
      <c r="J3176" t="inlineStr">
        <is>
          <t>G00374</t>
        </is>
      </c>
      <c r="K3176" t="str">
        <f>INDEX('Match Groups'!$D$5:$D$1326,MATCH(J3176,'Match Groups'!$A$5:$A$1326,0))</f>
        <v>MATCH</v>
      </c>
    </row>
    <row r="3177">
      <c r="A3177" t="inlineStr">
        <is>
          <t>JI-01178</t>
        </is>
      </c>
      <c r="B3177" t="inlineStr">
        <is>
          <t>OPS</t>
        </is>
      </c>
      <c r="C3177" s="5" t="n">
        <v>46266</v>
      </c>
      <c r="D3177" t="inlineStr">
        <is>
          <t>Southern Cross Plan Mgmt</t>
        </is>
      </c>
      <c r="E3177" t="inlineStr">
        <is>
          <t>INV/2026/02312</t>
        </is>
      </c>
      <c r="F3177" t="inlineStr">
        <is>
          <t>Customer payment INV/2026/02312</t>
        </is>
      </c>
      <c r="G3177" s="9" t="n">
        <v>290.98</v>
      </c>
      <c r="H3177" t="inlineStr">
        <is>
          <t>customer_payment</t>
        </is>
      </c>
      <c r="I3177" t="inlineStr"/>
      <c r="J3177" t="inlineStr">
        <is>
          <t>G00374</t>
        </is>
      </c>
      <c r="K3177" t="str">
        <f>INDEX('Match Groups'!$D$5:$D$1326,MATCH(J3177,'Match Groups'!$A$5:$A$1326,0))</f>
        <v>MATCH</v>
      </c>
    </row>
    <row r="3178">
      <c r="A3178" t="inlineStr">
        <is>
          <t>JI-01179</t>
        </is>
      </c>
      <c r="B3178" t="inlineStr">
        <is>
          <t>OPS</t>
        </is>
      </c>
      <c r="C3178" s="5" t="n">
        <v>46266</v>
      </c>
      <c r="D3178" t="inlineStr">
        <is>
          <t>Southern Cross Plan Mgmt</t>
        </is>
      </c>
      <c r="E3178" t="inlineStr">
        <is>
          <t>INV/2026/02330</t>
        </is>
      </c>
      <c r="F3178" t="inlineStr">
        <is>
          <t>Customer payment INV/2026/02330</t>
        </is>
      </c>
      <c r="G3178" s="9" t="n">
        <v>193.99</v>
      </c>
      <c r="H3178" t="inlineStr">
        <is>
          <t>customer_payment</t>
        </is>
      </c>
      <c r="I3178" t="inlineStr"/>
      <c r="J3178" t="inlineStr">
        <is>
          <t>G00374</t>
        </is>
      </c>
      <c r="K3178" t="str">
        <f>INDEX('Match Groups'!$D$5:$D$1326,MATCH(J3178,'Match Groups'!$A$5:$A$1326,0))</f>
        <v>MATCH</v>
      </c>
    </row>
    <row r="3179">
      <c r="A3179" t="inlineStr">
        <is>
          <t>JI-01180</t>
        </is>
      </c>
      <c r="B3179" t="inlineStr">
        <is>
          <t>OPS</t>
        </is>
      </c>
      <c r="C3179" s="5" t="n">
        <v>46266</v>
      </c>
      <c r="D3179" t="inlineStr">
        <is>
          <t>Southern Cross Plan Mgmt</t>
        </is>
      </c>
      <c r="E3179" t="inlineStr">
        <is>
          <t>INV/2026/02331</t>
        </is>
      </c>
      <c r="F3179" t="inlineStr">
        <is>
          <t>Customer payment INV/2026/02331</t>
        </is>
      </c>
      <c r="G3179" s="9" t="n">
        <v>96.98999999999999</v>
      </c>
      <c r="H3179" t="inlineStr">
        <is>
          <t>customer_payment</t>
        </is>
      </c>
      <c r="I3179" t="inlineStr"/>
      <c r="J3179" t="inlineStr">
        <is>
          <t>G00374</t>
        </is>
      </c>
      <c r="K3179" t="str">
        <f>INDEX('Match Groups'!$D$5:$D$1326,MATCH(J3179,'Match Groups'!$A$5:$A$1326,0))</f>
        <v>MATCH</v>
      </c>
    </row>
    <row r="3180">
      <c r="A3180" t="inlineStr">
        <is>
          <t>JI-01181</t>
        </is>
      </c>
      <c r="B3180" t="inlineStr">
        <is>
          <t>OPS</t>
        </is>
      </c>
      <c r="C3180" s="5" t="n">
        <v>46266</v>
      </c>
      <c r="D3180" t="inlineStr">
        <is>
          <t>Southern Cross Plan Mgmt</t>
        </is>
      </c>
      <c r="E3180" t="inlineStr">
        <is>
          <t>INV/2026/02359</t>
        </is>
      </c>
      <c r="F3180" t="inlineStr">
        <is>
          <t>Customer payment INV/2026/02359</t>
        </is>
      </c>
      <c r="G3180" s="9" t="n">
        <v>193.99</v>
      </c>
      <c r="H3180" t="inlineStr">
        <is>
          <t>customer_payment</t>
        </is>
      </c>
      <c r="I3180" t="inlineStr"/>
      <c r="J3180" t="inlineStr">
        <is>
          <t>G00374</t>
        </is>
      </c>
      <c r="K3180" t="str">
        <f>INDEX('Match Groups'!$D$5:$D$1326,MATCH(J3180,'Match Groups'!$A$5:$A$1326,0))</f>
        <v>MATCH</v>
      </c>
    </row>
    <row r="3181">
      <c r="A3181" t="inlineStr">
        <is>
          <t>JI-01182</t>
        </is>
      </c>
      <c r="B3181" t="inlineStr">
        <is>
          <t>OPS</t>
        </is>
      </c>
      <c r="C3181" s="5" t="n">
        <v>46266</v>
      </c>
      <c r="D3181" t="inlineStr">
        <is>
          <t>Southern Cross Plan Mgmt</t>
        </is>
      </c>
      <c r="E3181" t="inlineStr">
        <is>
          <t>INV/2026/02360</t>
        </is>
      </c>
      <c r="F3181" t="inlineStr">
        <is>
          <t>Customer payment INV/2026/02360</t>
        </is>
      </c>
      <c r="G3181" s="9" t="n">
        <v>155.19</v>
      </c>
      <c r="H3181" t="inlineStr">
        <is>
          <t>customer_payment</t>
        </is>
      </c>
      <c r="I3181" t="inlineStr"/>
      <c r="J3181" t="inlineStr">
        <is>
          <t>G00374</t>
        </is>
      </c>
      <c r="K3181" t="str">
        <f>INDEX('Match Groups'!$D$5:$D$1326,MATCH(J3181,'Match Groups'!$A$5:$A$1326,0))</f>
        <v>MATCH</v>
      </c>
    </row>
    <row r="3182">
      <c r="A3182" t="inlineStr">
        <is>
          <t>JI-01187</t>
        </is>
      </c>
      <c r="B3182" t="inlineStr">
        <is>
          <t>OPS</t>
        </is>
      </c>
      <c r="C3182" s="5" t="n">
        <v>46266</v>
      </c>
      <c r="D3182" t="inlineStr">
        <is>
          <t>Mallee Plan Services</t>
        </is>
      </c>
      <c r="E3182" t="inlineStr">
        <is>
          <t>INV/2026/02881</t>
        </is>
      </c>
      <c r="F3182" t="inlineStr">
        <is>
          <t>Customer payment INV/2026/02881</t>
        </is>
      </c>
      <c r="G3182" s="9" t="n">
        <v>145.49</v>
      </c>
      <c r="H3182" t="inlineStr">
        <is>
          <t>customer_payment</t>
        </is>
      </c>
      <c r="I3182" t="inlineStr"/>
      <c r="J3182" t="inlineStr">
        <is>
          <t>G00376</t>
        </is>
      </c>
      <c r="K3182" t="str">
        <f>INDEX('Match Groups'!$D$5:$D$1326,MATCH(J3182,'Match Groups'!$A$5:$A$1326,0))</f>
        <v>MATCH</v>
      </c>
    </row>
    <row r="3183">
      <c r="A3183" t="inlineStr">
        <is>
          <t>JI-01188</t>
        </is>
      </c>
      <c r="B3183" t="inlineStr">
        <is>
          <t>OPS</t>
        </is>
      </c>
      <c r="C3183" s="5" t="n">
        <v>46266</v>
      </c>
      <c r="D3183" t="inlineStr">
        <is>
          <t>Mallee Plan Services</t>
        </is>
      </c>
      <c r="E3183" t="inlineStr">
        <is>
          <t>INV/2026/02883</t>
        </is>
      </c>
      <c r="F3183" t="inlineStr">
        <is>
          <t>Customer payment INV/2026/02883</t>
        </is>
      </c>
      <c r="G3183" s="9" t="n">
        <v>446.18</v>
      </c>
      <c r="H3183" t="inlineStr">
        <is>
          <t>customer_payment</t>
        </is>
      </c>
      <c r="I3183" t="inlineStr"/>
      <c r="J3183" t="inlineStr">
        <is>
          <t>G00376</t>
        </is>
      </c>
      <c r="K3183" t="str">
        <f>INDEX('Match Groups'!$D$5:$D$1326,MATCH(J3183,'Match Groups'!$A$5:$A$1326,0))</f>
        <v>MATCH</v>
      </c>
    </row>
    <row r="3184">
      <c r="A3184" t="inlineStr">
        <is>
          <t>JI-01209</t>
        </is>
      </c>
      <c r="B3184" t="inlineStr">
        <is>
          <t>OPS</t>
        </is>
      </c>
      <c r="C3184" s="5" t="n">
        <v>46266</v>
      </c>
      <c r="D3184" t="inlineStr">
        <is>
          <t>Tallowwood Plans</t>
        </is>
      </c>
      <c r="E3184" t="inlineStr">
        <is>
          <t>INV/2026/02727</t>
        </is>
      </c>
      <c r="F3184" t="inlineStr">
        <is>
          <t>Customer payment INV/2026/02727</t>
        </is>
      </c>
      <c r="G3184" s="9" t="n">
        <v>387.98</v>
      </c>
      <c r="H3184" t="inlineStr">
        <is>
          <t>customer_payment</t>
        </is>
      </c>
      <c r="I3184" t="inlineStr"/>
      <c r="J3184" t="inlineStr">
        <is>
          <t>G00381</t>
        </is>
      </c>
      <c r="K3184" t="str">
        <f>INDEX('Match Groups'!$D$5:$D$1326,MATCH(J3184,'Match Groups'!$A$5:$A$1326,0))</f>
        <v>MATCH</v>
      </c>
    </row>
    <row r="3185">
      <c r="A3185" t="inlineStr">
        <is>
          <t>JI-01210</t>
        </is>
      </c>
      <c r="B3185" t="inlineStr">
        <is>
          <t>OPS</t>
        </is>
      </c>
      <c r="C3185" s="5" t="n">
        <v>46266</v>
      </c>
      <c r="D3185" t="inlineStr">
        <is>
          <t>Tallowwood Plans</t>
        </is>
      </c>
      <c r="E3185" t="inlineStr">
        <is>
          <t>INV/2026/02728</t>
        </is>
      </c>
      <c r="F3185" t="inlineStr">
        <is>
          <t>Customer payment INV/2026/02728</t>
        </is>
      </c>
      <c r="G3185" s="9" t="n">
        <v>387.98</v>
      </c>
      <c r="H3185" t="inlineStr">
        <is>
          <t>customer_payment</t>
        </is>
      </c>
      <c r="I3185" t="inlineStr"/>
      <c r="J3185" t="inlineStr">
        <is>
          <t>G00381</t>
        </is>
      </c>
      <c r="K3185" t="str">
        <f>INDEX('Match Groups'!$D$5:$D$1326,MATCH(J3185,'Match Groups'!$A$5:$A$1326,0))</f>
        <v>MATCH</v>
      </c>
    </row>
    <row r="3186">
      <c r="A3186" t="inlineStr">
        <is>
          <t>JI-01211</t>
        </is>
      </c>
      <c r="B3186" t="inlineStr">
        <is>
          <t>OPS</t>
        </is>
      </c>
      <c r="C3186" s="5" t="n">
        <v>46266</v>
      </c>
      <c r="D3186" t="inlineStr">
        <is>
          <t>Tallowwood Plans</t>
        </is>
      </c>
      <c r="E3186" t="inlineStr">
        <is>
          <t>INV/2026/02729</t>
        </is>
      </c>
      <c r="F3186" t="inlineStr">
        <is>
          <t>Customer payment INV/2026/02729</t>
        </is>
      </c>
      <c r="G3186" s="9" t="n">
        <v>387.98</v>
      </c>
      <c r="H3186" t="inlineStr">
        <is>
          <t>customer_payment</t>
        </is>
      </c>
      <c r="I3186" t="inlineStr"/>
      <c r="J3186" t="inlineStr">
        <is>
          <t>G00381</t>
        </is>
      </c>
      <c r="K3186" t="str">
        <f>INDEX('Match Groups'!$D$5:$D$1326,MATCH(J3186,'Match Groups'!$A$5:$A$1326,0))</f>
        <v>MATCH</v>
      </c>
    </row>
    <row r="3187">
      <c r="A3187" t="inlineStr">
        <is>
          <t>JI-01212</t>
        </is>
      </c>
      <c r="B3187" t="inlineStr">
        <is>
          <t>OPS</t>
        </is>
      </c>
      <c r="C3187" s="5" t="n">
        <v>46266</v>
      </c>
      <c r="D3187" t="inlineStr">
        <is>
          <t>Tallowwood Plans</t>
        </is>
      </c>
      <c r="E3187" t="inlineStr">
        <is>
          <t>INV/2026/02748</t>
        </is>
      </c>
      <c r="F3187" t="inlineStr">
        <is>
          <t>Customer payment INV/2026/02748</t>
        </is>
      </c>
      <c r="G3187" s="9" t="n">
        <v>223.99</v>
      </c>
      <c r="H3187" t="inlineStr">
        <is>
          <t>customer_payment</t>
        </is>
      </c>
      <c r="I3187" t="inlineStr"/>
      <c r="J3187" t="inlineStr">
        <is>
          <t>G00381</t>
        </is>
      </c>
      <c r="K3187" t="str">
        <f>INDEX('Match Groups'!$D$5:$D$1326,MATCH(J3187,'Match Groups'!$A$5:$A$1326,0))</f>
        <v>MATCH</v>
      </c>
    </row>
    <row r="3188">
      <c r="A3188" t="inlineStr">
        <is>
          <t>JI-01213</t>
        </is>
      </c>
      <c r="B3188" t="inlineStr">
        <is>
          <t>OPS</t>
        </is>
      </c>
      <c r="C3188" s="5" t="n">
        <v>46266</v>
      </c>
      <c r="D3188" t="inlineStr">
        <is>
          <t>Tallowwood Plans</t>
        </is>
      </c>
      <c r="E3188" t="inlineStr">
        <is>
          <t>INV/2026/02749</t>
        </is>
      </c>
      <c r="F3188" t="inlineStr">
        <is>
          <t>Customer payment INV/2026/02749</t>
        </is>
      </c>
      <c r="G3188" s="9" t="n">
        <v>387.98</v>
      </c>
      <c r="H3188" t="inlineStr">
        <is>
          <t>customer_payment</t>
        </is>
      </c>
      <c r="I3188" t="inlineStr"/>
      <c r="J3188" t="inlineStr">
        <is>
          <t>G00381</t>
        </is>
      </c>
      <c r="K3188" t="str">
        <f>INDEX('Match Groups'!$D$5:$D$1326,MATCH(J3188,'Match Groups'!$A$5:$A$1326,0))</f>
        <v>MATCH</v>
      </c>
    </row>
    <row r="3189">
      <c r="A3189" t="inlineStr">
        <is>
          <t>JI-01214</t>
        </is>
      </c>
      <c r="B3189" t="inlineStr">
        <is>
          <t>OPS</t>
        </is>
      </c>
      <c r="C3189" s="5" t="n">
        <v>46266</v>
      </c>
      <c r="D3189" t="inlineStr">
        <is>
          <t>Tallowwood Plans</t>
        </is>
      </c>
      <c r="E3189" t="inlineStr">
        <is>
          <t>INV/2026/02774</t>
        </is>
      </c>
      <c r="F3189" t="inlineStr">
        <is>
          <t>Customer payment INV/2026/02774</t>
        </is>
      </c>
      <c r="G3189" s="9" t="n">
        <v>349.18</v>
      </c>
      <c r="H3189" t="inlineStr">
        <is>
          <t>customer_payment</t>
        </is>
      </c>
      <c r="I3189" t="inlineStr"/>
      <c r="J3189" t="inlineStr">
        <is>
          <t>G00381</t>
        </is>
      </c>
      <c r="K3189" t="str">
        <f>INDEX('Match Groups'!$D$5:$D$1326,MATCH(J3189,'Match Groups'!$A$5:$A$1326,0))</f>
        <v>MATCH</v>
      </c>
    </row>
    <row r="3190">
      <c r="A3190" t="inlineStr">
        <is>
          <t>JI-01215</t>
        </is>
      </c>
      <c r="B3190" t="inlineStr">
        <is>
          <t>OPS</t>
        </is>
      </c>
      <c r="C3190" s="5" t="n">
        <v>46266</v>
      </c>
      <c r="D3190" t="inlineStr">
        <is>
          <t>Tallowwood Plans</t>
        </is>
      </c>
      <c r="E3190" t="inlineStr">
        <is>
          <t>INV/2026/02791</t>
        </is>
      </c>
      <c r="F3190" t="inlineStr">
        <is>
          <t>Customer payment INV/2026/02791</t>
        </is>
      </c>
      <c r="G3190" s="9" t="n">
        <v>300.69</v>
      </c>
      <c r="H3190" t="inlineStr">
        <is>
          <t>customer_payment</t>
        </is>
      </c>
      <c r="I3190" t="inlineStr"/>
      <c r="J3190" t="inlineStr">
        <is>
          <t>G00381</t>
        </is>
      </c>
      <c r="K3190" t="str">
        <f>INDEX('Match Groups'!$D$5:$D$1326,MATCH(J3190,'Match Groups'!$A$5:$A$1326,0))</f>
        <v>MATCH</v>
      </c>
    </row>
    <row r="3191">
      <c r="A3191" t="inlineStr">
        <is>
          <t>JI-01216</t>
        </is>
      </c>
      <c r="B3191" t="inlineStr">
        <is>
          <t>OPS</t>
        </is>
      </c>
      <c r="C3191" s="5" t="n">
        <v>46266</v>
      </c>
      <c r="D3191" t="inlineStr">
        <is>
          <t>Tallowwood Plans</t>
        </is>
      </c>
      <c r="E3191" t="inlineStr">
        <is>
          <t>INV/2026/02792</t>
        </is>
      </c>
      <c r="F3191" t="inlineStr">
        <is>
          <t>Customer payment INV/2026/02792</t>
        </is>
      </c>
      <c r="G3191" s="9" t="n">
        <v>300.69</v>
      </c>
      <c r="H3191" t="inlineStr">
        <is>
          <t>customer_payment</t>
        </is>
      </c>
      <c r="I3191" t="inlineStr"/>
      <c r="J3191" t="inlineStr">
        <is>
          <t>G00381</t>
        </is>
      </c>
      <c r="K3191" t="str">
        <f>INDEX('Match Groups'!$D$5:$D$1326,MATCH(J3191,'Match Groups'!$A$5:$A$1326,0))</f>
        <v>MATCH</v>
      </c>
    </row>
    <row r="3192">
      <c r="A3192" t="inlineStr">
        <is>
          <t>JI-01217</t>
        </is>
      </c>
      <c r="B3192" t="inlineStr">
        <is>
          <t>OPS</t>
        </is>
      </c>
      <c r="C3192" s="5" t="n">
        <v>46266</v>
      </c>
      <c r="D3192" t="inlineStr">
        <is>
          <t>Tallowwood Plans</t>
        </is>
      </c>
      <c r="E3192" t="inlineStr">
        <is>
          <t>INV/2026/02815</t>
        </is>
      </c>
      <c r="F3192" t="inlineStr">
        <is>
          <t>Customer payment INV/2026/02815</t>
        </is>
      </c>
      <c r="G3192" s="9" t="n">
        <v>96.98999999999999</v>
      </c>
      <c r="H3192" t="inlineStr">
        <is>
          <t>customer_payment</t>
        </is>
      </c>
      <c r="I3192" t="inlineStr"/>
      <c r="J3192" t="inlineStr">
        <is>
          <t>G00381</t>
        </is>
      </c>
      <c r="K3192" t="str">
        <f>INDEX('Match Groups'!$D$5:$D$1326,MATCH(J3192,'Match Groups'!$A$5:$A$1326,0))</f>
        <v>MATCH</v>
      </c>
    </row>
    <row r="3193">
      <c r="A3193" t="inlineStr">
        <is>
          <t>JI-01218</t>
        </is>
      </c>
      <c r="B3193" t="inlineStr">
        <is>
          <t>OPS</t>
        </is>
      </c>
      <c r="C3193" s="5" t="n">
        <v>46266</v>
      </c>
      <c r="D3193" t="inlineStr">
        <is>
          <t>Tallowwood Plans</t>
        </is>
      </c>
      <c r="E3193" t="inlineStr">
        <is>
          <t>INV/2026/02816</t>
        </is>
      </c>
      <c r="F3193" t="inlineStr">
        <is>
          <t>Customer payment INV/2026/02816</t>
        </is>
      </c>
      <c r="G3193" s="9" t="n">
        <v>272.49</v>
      </c>
      <c r="H3193" t="inlineStr">
        <is>
          <t>customer_payment</t>
        </is>
      </c>
      <c r="I3193" t="inlineStr"/>
      <c r="J3193" t="inlineStr">
        <is>
          <t>G00381</t>
        </is>
      </c>
      <c r="K3193" t="str">
        <f>INDEX('Match Groups'!$D$5:$D$1326,MATCH(J3193,'Match Groups'!$A$5:$A$1326,0))</f>
        <v>MATCH</v>
      </c>
    </row>
    <row r="3194">
      <c r="A3194" t="inlineStr">
        <is>
          <t>JI-01219</t>
        </is>
      </c>
      <c r="B3194" t="inlineStr">
        <is>
          <t>OPS</t>
        </is>
      </c>
      <c r="C3194" s="5" t="n">
        <v>46266</v>
      </c>
      <c r="D3194" t="inlineStr">
        <is>
          <t>Tallowwood Plans</t>
        </is>
      </c>
      <c r="E3194" t="inlineStr">
        <is>
          <t>INV/2026/02835</t>
        </is>
      </c>
      <c r="F3194" t="inlineStr">
        <is>
          <t>Customer payment INV/2026/02835</t>
        </is>
      </c>
      <c r="G3194" s="9" t="n">
        <v>242.49</v>
      </c>
      <c r="H3194" t="inlineStr">
        <is>
          <t>customer_payment</t>
        </is>
      </c>
      <c r="I3194" t="inlineStr"/>
      <c r="J3194" t="inlineStr">
        <is>
          <t>G00381</t>
        </is>
      </c>
      <c r="K3194" t="str">
        <f>INDEX('Match Groups'!$D$5:$D$1326,MATCH(J3194,'Match Groups'!$A$5:$A$1326,0))</f>
        <v>MATCH</v>
      </c>
    </row>
    <row r="3195">
      <c r="A3195" t="inlineStr">
        <is>
          <t>JI-01220</t>
        </is>
      </c>
      <c r="B3195" t="inlineStr">
        <is>
          <t>OPS</t>
        </is>
      </c>
      <c r="C3195" s="5" t="n">
        <v>46266</v>
      </c>
      <c r="D3195" t="inlineStr">
        <is>
          <t>Tallowwood Plans</t>
        </is>
      </c>
      <c r="E3195" t="inlineStr">
        <is>
          <t>INV/2026/02836</t>
        </is>
      </c>
      <c r="F3195" t="inlineStr">
        <is>
          <t>Customer payment INV/2026/02836</t>
        </is>
      </c>
      <c r="G3195" s="9" t="n">
        <v>320.98</v>
      </c>
      <c r="H3195" t="inlineStr">
        <is>
          <t>customer_payment</t>
        </is>
      </c>
      <c r="I3195" t="inlineStr"/>
      <c r="J3195" t="inlineStr">
        <is>
          <t>G00381</t>
        </is>
      </c>
      <c r="K3195" t="str">
        <f>INDEX('Match Groups'!$D$5:$D$1326,MATCH(J3195,'Match Groups'!$A$5:$A$1326,0))</f>
        <v>MATCH</v>
      </c>
    </row>
    <row r="3196">
      <c r="A3196" t="inlineStr">
        <is>
          <t>JI-03073</t>
        </is>
      </c>
      <c r="B3196" t="inlineStr">
        <is>
          <t>OPS</t>
        </is>
      </c>
      <c r="C3196" s="5" t="n">
        <v>46266</v>
      </c>
      <c r="D3196" t="inlineStr">
        <is>
          <t>Stripe patient 20559</t>
        </is>
      </c>
      <c r="E3196" t="inlineStr">
        <is>
          <t>INV/2026/04893</t>
        </is>
      </c>
      <c r="F3196" t="inlineStr">
        <is>
          <t>Refund INV/2026/04893</t>
        </is>
      </c>
      <c r="G3196" s="9" t="n">
        <v>-95</v>
      </c>
      <c r="H3196" t="inlineStr">
        <is>
          <t>customer_refund</t>
        </is>
      </c>
      <c r="I3196" t="inlineStr"/>
      <c r="J3196" t="inlineStr">
        <is>
          <t>G00058</t>
        </is>
      </c>
      <c r="K3196" t="str">
        <f>INDEX('Match Groups'!$D$5:$D$1326,MATCH(J3196,'Match Groups'!$A$5:$A$1326,0))</f>
        <v>STRIPE-FEE</v>
      </c>
    </row>
    <row r="3197">
      <c r="A3197" t="inlineStr">
        <is>
          <t>JI-03107</t>
        </is>
      </c>
      <c r="B3197" t="inlineStr">
        <is>
          <t>OPS</t>
        </is>
      </c>
      <c r="C3197" s="5" t="n">
        <v>46266</v>
      </c>
      <c r="D3197" t="inlineStr">
        <is>
          <t>Stripe patient 20298</t>
        </is>
      </c>
      <c r="E3197" t="inlineStr">
        <is>
          <t>INV/2026/04950</t>
        </is>
      </c>
      <c r="F3197" t="inlineStr">
        <is>
          <t>Customer payment INV/2026/04950</t>
        </is>
      </c>
      <c r="G3197" s="9" t="n">
        <v>120</v>
      </c>
      <c r="H3197" t="inlineStr">
        <is>
          <t>customer_payment</t>
        </is>
      </c>
      <c r="I3197" t="inlineStr"/>
      <c r="J3197" t="inlineStr">
        <is>
          <t>G00060</t>
        </is>
      </c>
      <c r="K3197" t="str">
        <f>INDEX('Match Groups'!$D$5:$D$1326,MATCH(J3197,'Match Groups'!$A$5:$A$1326,0))</f>
        <v>STRIPE-FEE</v>
      </c>
    </row>
    <row r="3198">
      <c r="A3198" t="inlineStr">
        <is>
          <t>JI-03108</t>
        </is>
      </c>
      <c r="B3198" t="inlineStr">
        <is>
          <t>OPS</t>
        </is>
      </c>
      <c r="C3198" s="5" t="n">
        <v>46266</v>
      </c>
      <c r="D3198" t="inlineStr">
        <is>
          <t>Stripe patient 70116</t>
        </is>
      </c>
      <c r="E3198" t="inlineStr">
        <is>
          <t>INV/2026/04951</t>
        </is>
      </c>
      <c r="F3198" t="inlineStr">
        <is>
          <t>Customer payment INV/2026/04951</t>
        </is>
      </c>
      <c r="G3198" s="9" t="n">
        <v>95</v>
      </c>
      <c r="H3198" t="inlineStr">
        <is>
          <t>customer_payment</t>
        </is>
      </c>
      <c r="I3198" t="inlineStr"/>
      <c r="J3198" t="inlineStr">
        <is>
          <t>G00060</t>
        </is>
      </c>
      <c r="K3198" t="str">
        <f>INDEX('Match Groups'!$D$5:$D$1326,MATCH(J3198,'Match Groups'!$A$5:$A$1326,0))</f>
        <v>STRIPE-FEE</v>
      </c>
    </row>
    <row r="3199">
      <c r="A3199" t="inlineStr">
        <is>
          <t>JI-03109</t>
        </is>
      </c>
      <c r="B3199" t="inlineStr">
        <is>
          <t>OPS</t>
        </is>
      </c>
      <c r="C3199" s="5" t="n">
        <v>46266</v>
      </c>
      <c r="D3199" t="inlineStr">
        <is>
          <t>Stripe patient 65542</t>
        </is>
      </c>
      <c r="E3199" t="inlineStr">
        <is>
          <t>INV/2026/04952</t>
        </is>
      </c>
      <c r="F3199" t="inlineStr">
        <is>
          <t>Customer payment INV/2026/04952</t>
        </is>
      </c>
      <c r="G3199" s="9" t="n">
        <v>95</v>
      </c>
      <c r="H3199" t="inlineStr">
        <is>
          <t>customer_payment</t>
        </is>
      </c>
      <c r="I3199" t="inlineStr"/>
      <c r="J3199" t="inlineStr">
        <is>
          <t>G00060</t>
        </is>
      </c>
      <c r="K3199" t="str">
        <f>INDEX('Match Groups'!$D$5:$D$1326,MATCH(J3199,'Match Groups'!$A$5:$A$1326,0))</f>
        <v>STRIPE-FEE</v>
      </c>
    </row>
    <row r="3200">
      <c r="A3200" t="inlineStr">
        <is>
          <t>JI-03110</t>
        </is>
      </c>
      <c r="B3200" t="inlineStr">
        <is>
          <t>OPS</t>
        </is>
      </c>
      <c r="C3200" s="5" t="n">
        <v>46266</v>
      </c>
      <c r="D3200" t="inlineStr">
        <is>
          <t>Stripe patient 92628</t>
        </is>
      </c>
      <c r="E3200" t="inlineStr">
        <is>
          <t>INV/2026/04953</t>
        </is>
      </c>
      <c r="F3200" t="inlineStr">
        <is>
          <t>Customer payment INV/2026/04953</t>
        </is>
      </c>
      <c r="G3200" s="9" t="n">
        <v>110</v>
      </c>
      <c r="H3200" t="inlineStr">
        <is>
          <t>customer_payment</t>
        </is>
      </c>
      <c r="I3200" t="inlineStr"/>
      <c r="J3200" t="inlineStr">
        <is>
          <t>G00060</t>
        </is>
      </c>
      <c r="K3200" t="str">
        <f>INDEX('Match Groups'!$D$5:$D$1326,MATCH(J3200,'Match Groups'!$A$5:$A$1326,0))</f>
        <v>STRIPE-FEE</v>
      </c>
    </row>
    <row r="3201">
      <c r="A3201" t="inlineStr">
        <is>
          <t>JI-03111</t>
        </is>
      </c>
      <c r="B3201" t="inlineStr">
        <is>
          <t>OPS</t>
        </is>
      </c>
      <c r="C3201" s="5" t="n">
        <v>46266</v>
      </c>
      <c r="D3201" t="inlineStr">
        <is>
          <t>Stripe patient 29319</t>
        </is>
      </c>
      <c r="E3201" t="inlineStr">
        <is>
          <t>INV/2026/04954</t>
        </is>
      </c>
      <c r="F3201" t="inlineStr">
        <is>
          <t>Customer payment INV/2026/04954</t>
        </is>
      </c>
      <c r="G3201" s="9" t="n">
        <v>65</v>
      </c>
      <c r="H3201" t="inlineStr">
        <is>
          <t>customer_payment</t>
        </is>
      </c>
      <c r="I3201" t="inlineStr"/>
      <c r="J3201" t="inlineStr">
        <is>
          <t>G00060</t>
        </is>
      </c>
      <c r="K3201" t="str">
        <f>INDEX('Match Groups'!$D$5:$D$1326,MATCH(J3201,'Match Groups'!$A$5:$A$1326,0))</f>
        <v>STRIPE-FEE</v>
      </c>
    </row>
    <row r="3202">
      <c r="A3202" t="inlineStr">
        <is>
          <t>JI-03112</t>
        </is>
      </c>
      <c r="B3202" t="inlineStr">
        <is>
          <t>OPS</t>
        </is>
      </c>
      <c r="C3202" s="5" t="n">
        <v>46266</v>
      </c>
      <c r="D3202" t="inlineStr">
        <is>
          <t>Stripe patient 11580</t>
        </is>
      </c>
      <c r="E3202" t="inlineStr">
        <is>
          <t>INV/2026/04955</t>
        </is>
      </c>
      <c r="F3202" t="inlineStr">
        <is>
          <t>Customer payment INV/2026/04955</t>
        </is>
      </c>
      <c r="G3202" s="9" t="n">
        <v>120</v>
      </c>
      <c r="H3202" t="inlineStr">
        <is>
          <t>customer_payment</t>
        </is>
      </c>
      <c r="I3202" t="inlineStr"/>
      <c r="J3202" t="inlineStr">
        <is>
          <t>G00060</t>
        </is>
      </c>
      <c r="K3202" t="str">
        <f>INDEX('Match Groups'!$D$5:$D$1326,MATCH(J3202,'Match Groups'!$A$5:$A$1326,0))</f>
        <v>STRIPE-FEE</v>
      </c>
    </row>
    <row r="3203">
      <c r="A3203" t="inlineStr">
        <is>
          <t>JI-03113</t>
        </is>
      </c>
      <c r="B3203" t="inlineStr">
        <is>
          <t>OPS</t>
        </is>
      </c>
      <c r="C3203" s="5" t="n">
        <v>46266</v>
      </c>
      <c r="D3203" t="inlineStr">
        <is>
          <t>Stripe patient 77117</t>
        </is>
      </c>
      <c r="E3203" t="inlineStr">
        <is>
          <t>INV/2026/04956</t>
        </is>
      </c>
      <c r="F3203" t="inlineStr">
        <is>
          <t>Customer payment INV/2026/04956</t>
        </is>
      </c>
      <c r="G3203" s="9" t="n">
        <v>65</v>
      </c>
      <c r="H3203" t="inlineStr">
        <is>
          <t>customer_payment</t>
        </is>
      </c>
      <c r="I3203" t="inlineStr"/>
      <c r="J3203" t="inlineStr">
        <is>
          <t>G00060</t>
        </is>
      </c>
      <c r="K3203" t="str">
        <f>INDEX('Match Groups'!$D$5:$D$1326,MATCH(J3203,'Match Groups'!$A$5:$A$1326,0))</f>
        <v>STRIPE-FEE</v>
      </c>
    </row>
    <row r="3204">
      <c r="A3204" t="inlineStr">
        <is>
          <t>JI-03114</t>
        </is>
      </c>
      <c r="B3204" t="inlineStr">
        <is>
          <t>OPS</t>
        </is>
      </c>
      <c r="C3204" s="5" t="n">
        <v>46266</v>
      </c>
      <c r="D3204" t="inlineStr">
        <is>
          <t>Stripe patient 76405</t>
        </is>
      </c>
      <c r="E3204" t="inlineStr">
        <is>
          <t>INV/2026/04957</t>
        </is>
      </c>
      <c r="F3204" t="inlineStr">
        <is>
          <t>Customer payment INV/2026/04957</t>
        </is>
      </c>
      <c r="G3204" s="9" t="n">
        <v>135</v>
      </c>
      <c r="H3204" t="inlineStr">
        <is>
          <t>customer_payment</t>
        </is>
      </c>
      <c r="I3204" t="inlineStr"/>
      <c r="J3204" t="inlineStr">
        <is>
          <t>G00060</t>
        </is>
      </c>
      <c r="K3204" t="str">
        <f>INDEX('Match Groups'!$D$5:$D$1326,MATCH(J3204,'Match Groups'!$A$5:$A$1326,0))</f>
        <v>STRIPE-FEE</v>
      </c>
    </row>
    <row r="3205">
      <c r="A3205" t="inlineStr">
        <is>
          <t>JI-03115</t>
        </is>
      </c>
      <c r="B3205" t="inlineStr">
        <is>
          <t>OPS</t>
        </is>
      </c>
      <c r="C3205" s="5" t="n">
        <v>46266</v>
      </c>
      <c r="D3205" t="inlineStr">
        <is>
          <t>Stripe patient 66706</t>
        </is>
      </c>
      <c r="E3205" t="inlineStr">
        <is>
          <t>INV/2026/04958</t>
        </is>
      </c>
      <c r="F3205" t="inlineStr">
        <is>
          <t>Customer payment INV/2026/04958</t>
        </is>
      </c>
      <c r="G3205" s="9" t="n">
        <v>150</v>
      </c>
      <c r="H3205" t="inlineStr">
        <is>
          <t>customer_payment</t>
        </is>
      </c>
      <c r="I3205" t="inlineStr"/>
      <c r="J3205" t="inlineStr">
        <is>
          <t>G00060</t>
        </is>
      </c>
      <c r="K3205" t="str">
        <f>INDEX('Match Groups'!$D$5:$D$1326,MATCH(J3205,'Match Groups'!$A$5:$A$1326,0))</f>
        <v>STRIPE-FEE</v>
      </c>
    </row>
    <row r="3206">
      <c r="A3206" t="inlineStr">
        <is>
          <t>JI-03116</t>
        </is>
      </c>
      <c r="B3206" t="inlineStr">
        <is>
          <t>OPS</t>
        </is>
      </c>
      <c r="C3206" s="5" t="n">
        <v>46266</v>
      </c>
      <c r="D3206" t="inlineStr">
        <is>
          <t>Stripe patient 74346</t>
        </is>
      </c>
      <c r="E3206" t="inlineStr">
        <is>
          <t>INV/2026/04959</t>
        </is>
      </c>
      <c r="F3206" t="inlineStr">
        <is>
          <t>Customer payment INV/2026/04959</t>
        </is>
      </c>
      <c r="G3206" s="9" t="n">
        <v>65</v>
      </c>
      <c r="H3206" t="inlineStr">
        <is>
          <t>customer_payment</t>
        </is>
      </c>
      <c r="I3206" t="inlineStr"/>
      <c r="J3206" t="inlineStr">
        <is>
          <t>G00060</t>
        </is>
      </c>
      <c r="K3206" t="str">
        <f>INDEX('Match Groups'!$D$5:$D$1326,MATCH(J3206,'Match Groups'!$A$5:$A$1326,0))</f>
        <v>STRIPE-FEE</v>
      </c>
    </row>
    <row r="3207">
      <c r="A3207" t="inlineStr">
        <is>
          <t>JI-03117</t>
        </is>
      </c>
      <c r="B3207" t="inlineStr">
        <is>
          <t>OPS</t>
        </is>
      </c>
      <c r="C3207" s="5" t="n">
        <v>46266</v>
      </c>
      <c r="D3207" t="inlineStr">
        <is>
          <t>Stripe patient 29769</t>
        </is>
      </c>
      <c r="E3207" t="inlineStr">
        <is>
          <t>INV/2026/04960</t>
        </is>
      </c>
      <c r="F3207" t="inlineStr">
        <is>
          <t>Customer payment INV/2026/04960</t>
        </is>
      </c>
      <c r="G3207" s="9" t="n">
        <v>150</v>
      </c>
      <c r="H3207" t="inlineStr">
        <is>
          <t>customer_payment</t>
        </is>
      </c>
      <c r="I3207" t="inlineStr"/>
      <c r="J3207" t="inlineStr">
        <is>
          <t>G00060</t>
        </is>
      </c>
      <c r="K3207" t="str">
        <f>INDEX('Match Groups'!$D$5:$D$1326,MATCH(J3207,'Match Groups'!$A$5:$A$1326,0))</f>
        <v>STRIPE-FEE</v>
      </c>
    </row>
    <row r="3208">
      <c r="A3208" t="inlineStr">
        <is>
          <t>JI-03118</t>
        </is>
      </c>
      <c r="B3208" t="inlineStr">
        <is>
          <t>OPS</t>
        </is>
      </c>
      <c r="C3208" s="5" t="n">
        <v>46266</v>
      </c>
      <c r="D3208" t="inlineStr">
        <is>
          <t>Stripe patient 61646</t>
        </is>
      </c>
      <c r="E3208" t="inlineStr">
        <is>
          <t>INV/2026/04961</t>
        </is>
      </c>
      <c r="F3208" t="inlineStr">
        <is>
          <t>Customer payment INV/2026/04961</t>
        </is>
      </c>
      <c r="G3208" s="9" t="n">
        <v>180</v>
      </c>
      <c r="H3208" t="inlineStr">
        <is>
          <t>customer_payment</t>
        </is>
      </c>
      <c r="I3208" t="inlineStr"/>
      <c r="J3208" t="inlineStr">
        <is>
          <t>G00060</t>
        </is>
      </c>
      <c r="K3208" t="str">
        <f>INDEX('Match Groups'!$D$5:$D$1326,MATCH(J3208,'Match Groups'!$A$5:$A$1326,0))</f>
        <v>STRIPE-FEE</v>
      </c>
    </row>
    <row r="3209">
      <c r="A3209" t="inlineStr">
        <is>
          <t>JI-03119</t>
        </is>
      </c>
      <c r="B3209" t="inlineStr">
        <is>
          <t>OPS</t>
        </is>
      </c>
      <c r="C3209" s="5" t="n">
        <v>46266</v>
      </c>
      <c r="D3209" t="inlineStr">
        <is>
          <t>Stripe patient 82164</t>
        </is>
      </c>
      <c r="E3209" t="inlineStr">
        <is>
          <t>INV/2026/04962</t>
        </is>
      </c>
      <c r="F3209" t="inlineStr">
        <is>
          <t>Customer payment INV/2026/04962</t>
        </is>
      </c>
      <c r="G3209" s="9" t="n">
        <v>150</v>
      </c>
      <c r="H3209" t="inlineStr">
        <is>
          <t>customer_payment</t>
        </is>
      </c>
      <c r="I3209" t="inlineStr"/>
      <c r="J3209" t="inlineStr">
        <is>
          <t>G00060</t>
        </is>
      </c>
      <c r="K3209" t="str">
        <f>INDEX('Match Groups'!$D$5:$D$1326,MATCH(J3209,'Match Groups'!$A$5:$A$1326,0))</f>
        <v>STRIPE-FEE</v>
      </c>
    </row>
    <row r="3210">
      <c r="A3210" t="inlineStr">
        <is>
          <t>JI-03120</t>
        </is>
      </c>
      <c r="B3210" t="inlineStr">
        <is>
          <t>OPS</t>
        </is>
      </c>
      <c r="C3210" s="5" t="n">
        <v>46266</v>
      </c>
      <c r="D3210" t="inlineStr">
        <is>
          <t>Stripe patient 80837</t>
        </is>
      </c>
      <c r="E3210" t="inlineStr">
        <is>
          <t>INV/2026/04963</t>
        </is>
      </c>
      <c r="F3210" t="inlineStr">
        <is>
          <t>Customer payment INV/2026/04963</t>
        </is>
      </c>
      <c r="G3210" s="9" t="n">
        <v>85</v>
      </c>
      <c r="H3210" t="inlineStr">
        <is>
          <t>customer_payment</t>
        </is>
      </c>
      <c r="I3210" t="inlineStr"/>
      <c r="J3210" t="inlineStr">
        <is>
          <t>G00060</t>
        </is>
      </c>
      <c r="K3210" t="str">
        <f>INDEX('Match Groups'!$D$5:$D$1326,MATCH(J3210,'Match Groups'!$A$5:$A$1326,0))</f>
        <v>STRIPE-FEE</v>
      </c>
    </row>
    <row r="3211">
      <c r="A3211" t="inlineStr">
        <is>
          <t>JI-03121</t>
        </is>
      </c>
      <c r="B3211" t="inlineStr">
        <is>
          <t>OPS</t>
        </is>
      </c>
      <c r="C3211" s="5" t="n">
        <v>46266</v>
      </c>
      <c r="D3211" t="inlineStr">
        <is>
          <t>Stripe patient 42953</t>
        </is>
      </c>
      <c r="E3211" t="inlineStr">
        <is>
          <t>INV/2026/04964</t>
        </is>
      </c>
      <c r="F3211" t="inlineStr">
        <is>
          <t>Customer payment INV/2026/04964</t>
        </is>
      </c>
      <c r="G3211" s="9" t="n">
        <v>110</v>
      </c>
      <c r="H3211" t="inlineStr">
        <is>
          <t>customer_payment</t>
        </is>
      </c>
      <c r="I3211" t="inlineStr"/>
      <c r="J3211" t="inlineStr">
        <is>
          <t>G00060</t>
        </is>
      </c>
      <c r="K3211" t="str">
        <f>INDEX('Match Groups'!$D$5:$D$1326,MATCH(J3211,'Match Groups'!$A$5:$A$1326,0))</f>
        <v>STRIPE-FEE</v>
      </c>
    </row>
    <row r="3212">
      <c r="A3212" t="inlineStr">
        <is>
          <t>JI-03122</t>
        </is>
      </c>
      <c r="B3212" t="inlineStr">
        <is>
          <t>OPS</t>
        </is>
      </c>
      <c r="C3212" s="5" t="n">
        <v>46266</v>
      </c>
      <c r="D3212" t="inlineStr">
        <is>
          <t>Stripe patient 75139</t>
        </is>
      </c>
      <c r="E3212" t="inlineStr">
        <is>
          <t>INV/2026/04965</t>
        </is>
      </c>
      <c r="F3212" t="inlineStr">
        <is>
          <t>Customer payment INV/2026/04965</t>
        </is>
      </c>
      <c r="G3212" s="9" t="n">
        <v>150</v>
      </c>
      <c r="H3212" t="inlineStr">
        <is>
          <t>customer_payment</t>
        </is>
      </c>
      <c r="I3212" t="inlineStr"/>
      <c r="J3212" t="inlineStr">
        <is>
          <t>G00060</t>
        </is>
      </c>
      <c r="K3212" t="str">
        <f>INDEX('Match Groups'!$D$5:$D$1326,MATCH(J3212,'Match Groups'!$A$5:$A$1326,0))</f>
        <v>STRIPE-FEE</v>
      </c>
    </row>
    <row r="3213">
      <c r="A3213" t="inlineStr">
        <is>
          <t>JI-03123</t>
        </is>
      </c>
      <c r="B3213" t="inlineStr">
        <is>
          <t>OPS</t>
        </is>
      </c>
      <c r="C3213" s="5" t="n">
        <v>46266</v>
      </c>
      <c r="D3213" t="inlineStr">
        <is>
          <t>Stripe patient 21418</t>
        </is>
      </c>
      <c r="E3213" t="inlineStr">
        <is>
          <t>INV/2026/04966</t>
        </is>
      </c>
      <c r="F3213" t="inlineStr">
        <is>
          <t>Customer payment INV/2026/04966</t>
        </is>
      </c>
      <c r="G3213" s="9" t="n">
        <v>110</v>
      </c>
      <c r="H3213" t="inlineStr">
        <is>
          <t>customer_payment</t>
        </is>
      </c>
      <c r="I3213" t="inlineStr"/>
      <c r="J3213" t="inlineStr">
        <is>
          <t>G00060</t>
        </is>
      </c>
      <c r="K3213" t="str">
        <f>INDEX('Match Groups'!$D$5:$D$1326,MATCH(J3213,'Match Groups'!$A$5:$A$1326,0))</f>
        <v>STRIPE-FEE</v>
      </c>
    </row>
    <row r="3214">
      <c r="A3214" t="inlineStr">
        <is>
          <t>JI-03124</t>
        </is>
      </c>
      <c r="B3214" t="inlineStr">
        <is>
          <t>OPS</t>
        </is>
      </c>
      <c r="C3214" s="5" t="n">
        <v>46266</v>
      </c>
      <c r="D3214" t="inlineStr">
        <is>
          <t>Stripe patient 59190</t>
        </is>
      </c>
      <c r="E3214" t="inlineStr">
        <is>
          <t>INV/2026/04967</t>
        </is>
      </c>
      <c r="F3214" t="inlineStr">
        <is>
          <t>Customer payment INV/2026/04967</t>
        </is>
      </c>
      <c r="G3214" s="9" t="n">
        <v>135</v>
      </c>
      <c r="H3214" t="inlineStr">
        <is>
          <t>customer_payment</t>
        </is>
      </c>
      <c r="I3214" t="inlineStr"/>
      <c r="J3214" t="inlineStr">
        <is>
          <t>G00060</t>
        </is>
      </c>
      <c r="K3214" t="str">
        <f>INDEX('Match Groups'!$D$5:$D$1326,MATCH(J3214,'Match Groups'!$A$5:$A$1326,0))</f>
        <v>STRIPE-FEE</v>
      </c>
    </row>
    <row r="3215">
      <c r="A3215" t="inlineStr">
        <is>
          <t>JI-03125</t>
        </is>
      </c>
      <c r="B3215" t="inlineStr">
        <is>
          <t>OPS</t>
        </is>
      </c>
      <c r="C3215" s="5" t="n">
        <v>46266</v>
      </c>
      <c r="D3215" t="inlineStr">
        <is>
          <t>Stripe patient 84669</t>
        </is>
      </c>
      <c r="E3215" t="inlineStr">
        <is>
          <t>INV/2026/04968</t>
        </is>
      </c>
      <c r="F3215" t="inlineStr">
        <is>
          <t>Customer payment INV/2026/04968</t>
        </is>
      </c>
      <c r="G3215" s="9" t="n">
        <v>110</v>
      </c>
      <c r="H3215" t="inlineStr">
        <is>
          <t>customer_payment</t>
        </is>
      </c>
      <c r="I3215" t="inlineStr"/>
      <c r="J3215" t="inlineStr">
        <is>
          <t>G00060</t>
        </is>
      </c>
      <c r="K3215" t="str">
        <f>INDEX('Match Groups'!$D$5:$D$1326,MATCH(J3215,'Match Groups'!$A$5:$A$1326,0))</f>
        <v>STRIPE-FEE</v>
      </c>
    </row>
    <row r="3216">
      <c r="A3216" t="inlineStr">
        <is>
          <t>JI-03126</t>
        </is>
      </c>
      <c r="B3216" t="inlineStr">
        <is>
          <t>OPS</t>
        </is>
      </c>
      <c r="C3216" s="5" t="n">
        <v>46266</v>
      </c>
      <c r="D3216" t="inlineStr">
        <is>
          <t>Stripe patient 87494</t>
        </is>
      </c>
      <c r="E3216" t="inlineStr">
        <is>
          <t>INV/2026/04969</t>
        </is>
      </c>
      <c r="F3216" t="inlineStr">
        <is>
          <t>Customer payment INV/2026/04969</t>
        </is>
      </c>
      <c r="G3216" s="9" t="n">
        <v>135</v>
      </c>
      <c r="H3216" t="inlineStr">
        <is>
          <t>customer_payment</t>
        </is>
      </c>
      <c r="I3216" t="inlineStr"/>
      <c r="J3216" t="inlineStr">
        <is>
          <t>G00060</t>
        </is>
      </c>
      <c r="K3216" t="str">
        <f>INDEX('Match Groups'!$D$5:$D$1326,MATCH(J3216,'Match Groups'!$A$5:$A$1326,0))</f>
        <v>STRIPE-FEE</v>
      </c>
    </row>
    <row r="3217">
      <c r="A3217" t="inlineStr">
        <is>
          <t>JI-03915</t>
        </is>
      </c>
      <c r="B3217" t="inlineStr">
        <is>
          <t>OPS</t>
        </is>
      </c>
      <c r="C3217" s="5" t="n">
        <v>46266</v>
      </c>
      <c r="D3217" t="inlineStr">
        <is>
          <t>Bayview Commercial Leasing</t>
        </is>
      </c>
      <c r="E3217" t="inlineStr">
        <is>
          <t>BILL/2026/1023</t>
        </is>
      </c>
      <c r="F3217" t="inlineStr">
        <is>
          <t>Vendor payment BILL/2026/1023</t>
        </is>
      </c>
      <c r="G3217" s="9" t="n">
        <v>-8250</v>
      </c>
      <c r="H3217" t="inlineStr">
        <is>
          <t>supplier_payment</t>
        </is>
      </c>
      <c r="I3217" t="inlineStr"/>
      <c r="J3217" t="inlineStr">
        <is>
          <t>G01153</t>
        </is>
      </c>
      <c r="K3217" t="str">
        <f>INDEX('Match Groups'!$D$5:$D$1326,MATCH(J3217,'Match Groups'!$A$5:$A$1326,0))</f>
        <v>MATCH</v>
      </c>
    </row>
    <row r="3218">
      <c r="A3218" t="inlineStr">
        <is>
          <t>JI-04299</t>
        </is>
      </c>
      <c r="B3218" t="inlineStr">
        <is>
          <t>OPS</t>
        </is>
      </c>
      <c r="C3218" s="5" t="n">
        <v>46266</v>
      </c>
      <c r="D3218" t="inlineStr">
        <is>
          <t>Internal transfer</t>
        </is>
      </c>
      <c r="E3218" t="inlineStr">
        <is>
          <t>SWEEP 3108</t>
        </is>
      </c>
      <c r="F3218" t="inlineStr">
        <is>
          <t>Sweep from merchant account</t>
        </is>
      </c>
      <c r="G3218" s="9" t="n">
        <v>34000</v>
      </c>
      <c r="H3218" t="inlineStr">
        <is>
          <t>transfer</t>
        </is>
      </c>
      <c r="I3218" t="inlineStr"/>
      <c r="J3218" t="inlineStr">
        <is>
          <t>G00533</t>
        </is>
      </c>
      <c r="K3218" t="str">
        <f>INDEX('Match Groups'!$D$5:$D$1326,MATCH(J3218,'Match Groups'!$A$5:$A$1326,0))</f>
        <v>MATCH</v>
      </c>
    </row>
    <row r="3219">
      <c r="A3219" t="inlineStr">
        <is>
          <t>JI-01189</t>
        </is>
      </c>
      <c r="B3219" t="inlineStr">
        <is>
          <t>OPS</t>
        </is>
      </c>
      <c r="C3219" s="5" t="n">
        <v>46267</v>
      </c>
      <c r="D3219" t="inlineStr">
        <is>
          <t>Kookaburra Plan Support</t>
        </is>
      </c>
      <c r="E3219" t="inlineStr">
        <is>
          <t>INV/2026/02830</t>
        </is>
      </c>
      <c r="F3219" t="inlineStr">
        <is>
          <t>Customer payment INV/2026/02830</t>
        </is>
      </c>
      <c r="G3219" s="9" t="n">
        <v>417.98</v>
      </c>
      <c r="H3219" t="inlineStr">
        <is>
          <t>customer_payment</t>
        </is>
      </c>
      <c r="I3219" t="inlineStr"/>
      <c r="J3219" t="inlineStr">
        <is>
          <t>G00377</t>
        </is>
      </c>
      <c r="K3219" t="str">
        <f>INDEX('Match Groups'!$D$5:$D$1326,MATCH(J3219,'Match Groups'!$A$5:$A$1326,0))</f>
        <v>MATCH</v>
      </c>
    </row>
    <row r="3220">
      <c r="A3220" t="inlineStr">
        <is>
          <t>JI-01190</t>
        </is>
      </c>
      <c r="B3220" t="inlineStr">
        <is>
          <t>OPS</t>
        </is>
      </c>
      <c r="C3220" s="5" t="n">
        <v>46267</v>
      </c>
      <c r="D3220" t="inlineStr">
        <is>
          <t>Kookaburra Plan Support</t>
        </is>
      </c>
      <c r="E3220" t="inlineStr">
        <is>
          <t>INV/2026/02872</t>
        </is>
      </c>
      <c r="F3220" t="inlineStr">
        <is>
          <t>Customer payment INV/2026/02872</t>
        </is>
      </c>
      <c r="G3220" s="9" t="n">
        <v>96.98999999999999</v>
      </c>
      <c r="H3220" t="inlineStr">
        <is>
          <t>customer_payment</t>
        </is>
      </c>
      <c r="I3220" t="inlineStr"/>
      <c r="J3220" t="inlineStr">
        <is>
          <t>G00377</t>
        </is>
      </c>
      <c r="K3220" t="str">
        <f>INDEX('Match Groups'!$D$5:$D$1326,MATCH(J3220,'Match Groups'!$A$5:$A$1326,0))</f>
        <v>MATCH</v>
      </c>
    </row>
    <row r="3221">
      <c r="A3221" t="inlineStr">
        <is>
          <t>JI-01191</t>
        </is>
      </c>
      <c r="B3221" t="inlineStr">
        <is>
          <t>OPS</t>
        </is>
      </c>
      <c r="C3221" s="5" t="n">
        <v>46267</v>
      </c>
      <c r="D3221" t="inlineStr">
        <is>
          <t>Redgum Plan Admin</t>
        </is>
      </c>
      <c r="E3221" t="inlineStr">
        <is>
          <t>INV/2026/02897</t>
        </is>
      </c>
      <c r="F3221" t="inlineStr">
        <is>
          <t>Customer payment INV/2026/02897</t>
        </is>
      </c>
      <c r="G3221" s="9" t="n">
        <v>300.69</v>
      </c>
      <c r="H3221" t="inlineStr">
        <is>
          <t>customer_payment</t>
        </is>
      </c>
      <c r="I3221" t="inlineStr"/>
      <c r="J3221" t="inlineStr">
        <is>
          <t>G00378</t>
        </is>
      </c>
      <c r="K3221" t="str">
        <f>INDEX('Match Groups'!$D$5:$D$1326,MATCH(J3221,'Match Groups'!$A$5:$A$1326,0))</f>
        <v>MATCH</v>
      </c>
    </row>
    <row r="3222">
      <c r="A3222" t="inlineStr">
        <is>
          <t>JI-01192</t>
        </is>
      </c>
      <c r="B3222" t="inlineStr">
        <is>
          <t>OPS</t>
        </is>
      </c>
      <c r="C3222" s="5" t="n">
        <v>46267</v>
      </c>
      <c r="D3222" t="inlineStr">
        <is>
          <t>Redgum Plan Admin</t>
        </is>
      </c>
      <c r="E3222" t="inlineStr">
        <is>
          <t>INV/2026/02898</t>
        </is>
      </c>
      <c r="F3222" t="inlineStr">
        <is>
          <t>Customer payment INV/2026/02898</t>
        </is>
      </c>
      <c r="G3222" s="9" t="n">
        <v>126.99</v>
      </c>
      <c r="H3222" t="inlineStr">
        <is>
          <t>customer_payment</t>
        </is>
      </c>
      <c r="I3222" t="inlineStr"/>
      <c r="J3222" t="inlineStr">
        <is>
          <t>G00378</t>
        </is>
      </c>
      <c r="K3222" t="str">
        <f>INDEX('Match Groups'!$D$5:$D$1326,MATCH(J3222,'Match Groups'!$A$5:$A$1326,0))</f>
        <v>MATCH</v>
      </c>
    </row>
    <row r="3223">
      <c r="A3223" t="inlineStr">
        <is>
          <t>JI-01193</t>
        </is>
      </c>
      <c r="B3223" t="inlineStr">
        <is>
          <t>OPS</t>
        </is>
      </c>
      <c r="C3223" s="5" t="n">
        <v>46267</v>
      </c>
      <c r="D3223" t="inlineStr">
        <is>
          <t>Southern Cross Plan Mgmt</t>
        </is>
      </c>
      <c r="E3223" t="inlineStr">
        <is>
          <t>INV/2026/02383</t>
        </is>
      </c>
      <c r="F3223" t="inlineStr">
        <is>
          <t>Customer payment INV/2026/02383</t>
        </is>
      </c>
      <c r="G3223" s="9" t="n">
        <v>387.98</v>
      </c>
      <c r="H3223" t="inlineStr">
        <is>
          <t>customer_payment</t>
        </is>
      </c>
      <c r="I3223" t="inlineStr"/>
      <c r="J3223" t="inlineStr">
        <is>
          <t>G00379</t>
        </is>
      </c>
      <c r="K3223" t="str">
        <f>INDEX('Match Groups'!$D$5:$D$1326,MATCH(J3223,'Match Groups'!$A$5:$A$1326,0))</f>
        <v>MATCH</v>
      </c>
    </row>
    <row r="3224">
      <c r="A3224" t="inlineStr">
        <is>
          <t>JI-01194</t>
        </is>
      </c>
      <c r="B3224" t="inlineStr">
        <is>
          <t>OPS</t>
        </is>
      </c>
      <c r="C3224" s="5" t="n">
        <v>46267</v>
      </c>
      <c r="D3224" t="inlineStr">
        <is>
          <t>Southern Cross Plan Mgmt</t>
        </is>
      </c>
      <c r="E3224" t="inlineStr">
        <is>
          <t>INV/2026/02406</t>
        </is>
      </c>
      <c r="F3224" t="inlineStr">
        <is>
          <t>Customer payment INV/2026/02406</t>
        </is>
      </c>
      <c r="G3224" s="9" t="n">
        <v>203.69</v>
      </c>
      <c r="H3224" t="inlineStr">
        <is>
          <t>customer_payment</t>
        </is>
      </c>
      <c r="I3224" t="inlineStr"/>
      <c r="J3224" t="inlineStr">
        <is>
          <t>G00379</t>
        </is>
      </c>
      <c r="K3224" t="str">
        <f>INDEX('Match Groups'!$D$5:$D$1326,MATCH(J3224,'Match Groups'!$A$5:$A$1326,0))</f>
        <v>MATCH</v>
      </c>
    </row>
    <row r="3225">
      <c r="A3225" t="inlineStr">
        <is>
          <t>JI-01195</t>
        </is>
      </c>
      <c r="B3225" t="inlineStr">
        <is>
          <t>OPS</t>
        </is>
      </c>
      <c r="C3225" s="5" t="n">
        <v>46267</v>
      </c>
      <c r="D3225" t="inlineStr">
        <is>
          <t>Southern Cross Plan Mgmt</t>
        </is>
      </c>
      <c r="E3225" t="inlineStr">
        <is>
          <t>INV/2026/02433</t>
        </is>
      </c>
      <c r="F3225" t="inlineStr">
        <is>
          <t>Customer payment INV/2026/02433</t>
        </is>
      </c>
      <c r="G3225" s="9" t="n">
        <v>387.98</v>
      </c>
      <c r="H3225" t="inlineStr">
        <is>
          <t>customer_payment</t>
        </is>
      </c>
      <c r="I3225" t="inlineStr"/>
      <c r="J3225" t="inlineStr">
        <is>
          <t>G00379</t>
        </is>
      </c>
      <c r="K3225" t="str">
        <f>INDEX('Match Groups'!$D$5:$D$1326,MATCH(J3225,'Match Groups'!$A$5:$A$1326,0))</f>
        <v>MATCH</v>
      </c>
    </row>
    <row r="3226">
      <c r="A3226" t="inlineStr">
        <is>
          <t>JI-01196</t>
        </is>
      </c>
      <c r="B3226" t="inlineStr">
        <is>
          <t>OPS</t>
        </is>
      </c>
      <c r="C3226" s="5" t="n">
        <v>46267</v>
      </c>
      <c r="D3226" t="inlineStr">
        <is>
          <t>Southern Cross Plan Mgmt</t>
        </is>
      </c>
      <c r="E3226" t="inlineStr">
        <is>
          <t>INV/2026/02434</t>
        </is>
      </c>
      <c r="F3226" t="inlineStr">
        <is>
          <t>Customer payment INV/2026/02434</t>
        </is>
      </c>
      <c r="G3226" s="9" t="n">
        <v>223.99</v>
      </c>
      <c r="H3226" t="inlineStr">
        <is>
          <t>customer_payment</t>
        </is>
      </c>
      <c r="I3226" t="inlineStr"/>
      <c r="J3226" t="inlineStr">
        <is>
          <t>G00379</t>
        </is>
      </c>
      <c r="K3226" t="str">
        <f>INDEX('Match Groups'!$D$5:$D$1326,MATCH(J3226,'Match Groups'!$A$5:$A$1326,0))</f>
        <v>MATCH</v>
      </c>
    </row>
    <row r="3227">
      <c r="A3227" t="inlineStr">
        <is>
          <t>JI-01197</t>
        </is>
      </c>
      <c r="B3227" t="inlineStr">
        <is>
          <t>OPS</t>
        </is>
      </c>
      <c r="C3227" s="5" t="n">
        <v>46267</v>
      </c>
      <c r="D3227" t="inlineStr">
        <is>
          <t>Southern Cross Plan Mgmt</t>
        </is>
      </c>
      <c r="E3227" t="inlineStr">
        <is>
          <t>INV/2026/02453</t>
        </is>
      </c>
      <c r="F3227" t="inlineStr">
        <is>
          <t>Customer payment INV/2026/02453</t>
        </is>
      </c>
      <c r="G3227" s="9" t="n">
        <v>387.98</v>
      </c>
      <c r="H3227" t="inlineStr">
        <is>
          <t>customer_payment</t>
        </is>
      </c>
      <c r="I3227" t="inlineStr"/>
      <c r="J3227" t="inlineStr">
        <is>
          <t>G00379</t>
        </is>
      </c>
      <c r="K3227" t="str">
        <f>INDEX('Match Groups'!$D$5:$D$1326,MATCH(J3227,'Match Groups'!$A$5:$A$1326,0))</f>
        <v>MATCH</v>
      </c>
    </row>
    <row r="3228">
      <c r="A3228" t="inlineStr">
        <is>
          <t>JI-01198</t>
        </is>
      </c>
      <c r="B3228" t="inlineStr">
        <is>
          <t>OPS</t>
        </is>
      </c>
      <c r="C3228" s="5" t="n">
        <v>46267</v>
      </c>
      <c r="D3228" t="inlineStr">
        <is>
          <t>Southern Cross Plan Mgmt</t>
        </is>
      </c>
      <c r="E3228" t="inlineStr">
        <is>
          <t>INV/2026/02454</t>
        </is>
      </c>
      <c r="F3228" t="inlineStr">
        <is>
          <t>Customer payment INV/2026/02454</t>
        </is>
      </c>
      <c r="G3228" s="9" t="n">
        <v>417.98</v>
      </c>
      <c r="H3228" t="inlineStr">
        <is>
          <t>customer_payment</t>
        </is>
      </c>
      <c r="I3228" t="inlineStr"/>
      <c r="J3228" t="inlineStr">
        <is>
          <t>G00379</t>
        </is>
      </c>
      <c r="K3228" t="str">
        <f>INDEX('Match Groups'!$D$5:$D$1326,MATCH(J3228,'Match Groups'!$A$5:$A$1326,0))</f>
        <v>MATCH</v>
      </c>
    </row>
    <row r="3229">
      <c r="A3229" t="inlineStr">
        <is>
          <t>JI-01199</t>
        </is>
      </c>
      <c r="B3229" t="inlineStr">
        <is>
          <t>OPS</t>
        </is>
      </c>
      <c r="C3229" s="5" t="n">
        <v>46267</v>
      </c>
      <c r="D3229" t="inlineStr">
        <is>
          <t>Southern Cross Plan Mgmt</t>
        </is>
      </c>
      <c r="E3229" t="inlineStr">
        <is>
          <t>INV/2026/02481</t>
        </is>
      </c>
      <c r="F3229" t="inlineStr">
        <is>
          <t>Customer payment INV/2026/02481</t>
        </is>
      </c>
      <c r="G3229" s="9" t="n">
        <v>242.49</v>
      </c>
      <c r="H3229" t="inlineStr">
        <is>
          <t>customer_payment</t>
        </is>
      </c>
      <c r="I3229" t="inlineStr"/>
      <c r="J3229" t="inlineStr">
        <is>
          <t>G00379</t>
        </is>
      </c>
      <c r="K3229" t="str">
        <f>INDEX('Match Groups'!$D$5:$D$1326,MATCH(J3229,'Match Groups'!$A$5:$A$1326,0))</f>
        <v>MATCH</v>
      </c>
    </row>
    <row r="3230">
      <c r="A3230" t="inlineStr">
        <is>
          <t>JI-01200</t>
        </is>
      </c>
      <c r="B3230" t="inlineStr">
        <is>
          <t>OPS</t>
        </is>
      </c>
      <c r="C3230" s="5" t="n">
        <v>46267</v>
      </c>
      <c r="D3230" t="inlineStr">
        <is>
          <t>Southern Cross Plan Mgmt</t>
        </is>
      </c>
      <c r="E3230" t="inlineStr">
        <is>
          <t>INV/2026/02502</t>
        </is>
      </c>
      <c r="F3230" t="inlineStr">
        <is>
          <t>Customer payment INV/2026/02502</t>
        </is>
      </c>
      <c r="G3230" s="9" t="n">
        <v>223.99</v>
      </c>
      <c r="H3230" t="inlineStr">
        <is>
          <t>customer_payment</t>
        </is>
      </c>
      <c r="I3230" t="inlineStr"/>
      <c r="J3230" t="inlineStr">
        <is>
          <t>G00379</t>
        </is>
      </c>
      <c r="K3230" t="str">
        <f>INDEX('Match Groups'!$D$5:$D$1326,MATCH(J3230,'Match Groups'!$A$5:$A$1326,0))</f>
        <v>MATCH</v>
      </c>
    </row>
    <row r="3231">
      <c r="A3231" t="inlineStr">
        <is>
          <t>JI-01201</t>
        </is>
      </c>
      <c r="B3231" t="inlineStr">
        <is>
          <t>OPS</t>
        </is>
      </c>
      <c r="C3231" s="5" t="n">
        <v>46267</v>
      </c>
      <c r="D3231" t="inlineStr">
        <is>
          <t>Southern Cross Plan Mgmt</t>
        </is>
      </c>
      <c r="E3231" t="inlineStr">
        <is>
          <t>INV/2026/02503</t>
        </is>
      </c>
      <c r="F3231" t="inlineStr">
        <is>
          <t>Customer payment INV/2026/02503</t>
        </is>
      </c>
      <c r="G3231" s="9" t="n">
        <v>175.49</v>
      </c>
      <c r="H3231" t="inlineStr">
        <is>
          <t>customer_payment</t>
        </is>
      </c>
      <c r="I3231" t="inlineStr"/>
      <c r="J3231" t="inlineStr">
        <is>
          <t>G00379</t>
        </is>
      </c>
      <c r="K3231" t="str">
        <f>INDEX('Match Groups'!$D$5:$D$1326,MATCH(J3231,'Match Groups'!$A$5:$A$1326,0))</f>
        <v>MATCH</v>
      </c>
    </row>
    <row r="3232">
      <c r="A3232" t="inlineStr">
        <is>
          <t>JI-01202</t>
        </is>
      </c>
      <c r="B3232" t="inlineStr">
        <is>
          <t>OPS</t>
        </is>
      </c>
      <c r="C3232" s="5" t="n">
        <v>46267</v>
      </c>
      <c r="D3232" t="inlineStr">
        <is>
          <t>Southern Cross Plan Mgmt</t>
        </is>
      </c>
      <c r="E3232" t="inlineStr">
        <is>
          <t>INV/2026/02504</t>
        </is>
      </c>
      <c r="F3232" t="inlineStr">
        <is>
          <t>Customer payment INV/2026/02504</t>
        </is>
      </c>
      <c r="G3232" s="9" t="n">
        <v>193.99</v>
      </c>
      <c r="H3232" t="inlineStr">
        <is>
          <t>customer_payment</t>
        </is>
      </c>
      <c r="I3232" t="inlineStr"/>
      <c r="J3232" t="inlineStr">
        <is>
          <t>G00379</t>
        </is>
      </c>
      <c r="K3232" t="str">
        <f>INDEX('Match Groups'!$D$5:$D$1326,MATCH(J3232,'Match Groups'!$A$5:$A$1326,0))</f>
        <v>MATCH</v>
      </c>
    </row>
    <row r="3233">
      <c r="A3233" t="inlineStr">
        <is>
          <t>JI-01203</t>
        </is>
      </c>
      <c r="B3233" t="inlineStr">
        <is>
          <t>OPS</t>
        </is>
      </c>
      <c r="C3233" s="5" t="n">
        <v>46267</v>
      </c>
      <c r="D3233" t="inlineStr">
        <is>
          <t>Southern Cross Plan Mgmt</t>
        </is>
      </c>
      <c r="E3233" t="inlineStr">
        <is>
          <t>INV/2026/02526</t>
        </is>
      </c>
      <c r="F3233" t="inlineStr">
        <is>
          <t>Customer payment INV/2026/02526</t>
        </is>
      </c>
      <c r="G3233" s="9" t="n">
        <v>387.98</v>
      </c>
      <c r="H3233" t="inlineStr">
        <is>
          <t>customer_payment</t>
        </is>
      </c>
      <c r="I3233" t="inlineStr"/>
      <c r="J3233" t="inlineStr">
        <is>
          <t>G00379</t>
        </is>
      </c>
      <c r="K3233" t="str">
        <f>INDEX('Match Groups'!$D$5:$D$1326,MATCH(J3233,'Match Groups'!$A$5:$A$1326,0))</f>
        <v>MATCH</v>
      </c>
    </row>
    <row r="3234">
      <c r="A3234" t="inlineStr">
        <is>
          <t>JI-01204</t>
        </is>
      </c>
      <c r="B3234" t="inlineStr">
        <is>
          <t>OPS</t>
        </is>
      </c>
      <c r="C3234" s="5" t="n">
        <v>46267</v>
      </c>
      <c r="D3234" t="inlineStr">
        <is>
          <t>Southern Cross Plan Mgmt</t>
        </is>
      </c>
      <c r="E3234" t="inlineStr">
        <is>
          <t>INV/2026/02527</t>
        </is>
      </c>
      <c r="F3234" t="inlineStr">
        <is>
          <t>Customer payment INV/2026/02527</t>
        </is>
      </c>
      <c r="G3234" s="9" t="n">
        <v>290.98</v>
      </c>
      <c r="H3234" t="inlineStr">
        <is>
          <t>customer_payment</t>
        </is>
      </c>
      <c r="I3234" t="inlineStr"/>
      <c r="J3234" t="inlineStr">
        <is>
          <t>G00379</t>
        </is>
      </c>
      <c r="K3234" t="str">
        <f>INDEX('Match Groups'!$D$5:$D$1326,MATCH(J3234,'Match Groups'!$A$5:$A$1326,0))</f>
        <v>MATCH</v>
      </c>
    </row>
    <row r="3235">
      <c r="A3235" t="inlineStr">
        <is>
          <t>JI-01205</t>
        </is>
      </c>
      <c r="B3235" t="inlineStr">
        <is>
          <t>OPS</t>
        </is>
      </c>
      <c r="C3235" s="5" t="n">
        <v>46267</v>
      </c>
      <c r="D3235" t="inlineStr">
        <is>
          <t>Lyrebird Plan Management</t>
        </is>
      </c>
      <c r="E3235" t="inlineStr">
        <is>
          <t>INV/2026/02855</t>
        </is>
      </c>
      <c r="F3235" t="inlineStr">
        <is>
          <t>Customer payment INV/2026/02855</t>
        </is>
      </c>
      <c r="G3235" s="9" t="n">
        <v>242.49</v>
      </c>
      <c r="H3235" t="inlineStr">
        <is>
          <t>customer_payment</t>
        </is>
      </c>
      <c r="I3235" t="inlineStr"/>
      <c r="J3235" t="inlineStr">
        <is>
          <t>G00380</t>
        </is>
      </c>
      <c r="K3235" t="str">
        <f>INDEX('Match Groups'!$D$5:$D$1326,MATCH(J3235,'Match Groups'!$A$5:$A$1326,0))</f>
        <v>MATCH</v>
      </c>
    </row>
    <row r="3236">
      <c r="A3236" t="inlineStr">
        <is>
          <t>JI-01206</t>
        </is>
      </c>
      <c r="B3236" t="inlineStr">
        <is>
          <t>OPS</t>
        </is>
      </c>
      <c r="C3236" s="5" t="n">
        <v>46267</v>
      </c>
      <c r="D3236" t="inlineStr">
        <is>
          <t>Lyrebird Plan Management</t>
        </is>
      </c>
      <c r="E3236" t="inlineStr">
        <is>
          <t>INV/2026/02879</t>
        </is>
      </c>
      <c r="F3236" t="inlineStr">
        <is>
          <t>Customer payment INV/2026/02879</t>
        </is>
      </c>
      <c r="G3236" s="9" t="n">
        <v>175.49</v>
      </c>
      <c r="H3236" t="inlineStr">
        <is>
          <t>customer_payment</t>
        </is>
      </c>
      <c r="I3236" t="inlineStr"/>
      <c r="J3236" t="inlineStr">
        <is>
          <t>G00380</t>
        </is>
      </c>
      <c r="K3236" t="str">
        <f>INDEX('Match Groups'!$D$5:$D$1326,MATCH(J3236,'Match Groups'!$A$5:$A$1326,0))</f>
        <v>MATCH</v>
      </c>
    </row>
    <row r="3237">
      <c r="A3237" t="inlineStr">
        <is>
          <t>JI-01207</t>
        </is>
      </c>
      <c r="B3237" t="inlineStr">
        <is>
          <t>OPS</t>
        </is>
      </c>
      <c r="C3237" s="5" t="n">
        <v>46267</v>
      </c>
      <c r="D3237" t="inlineStr">
        <is>
          <t>Lyrebird Plan Management</t>
        </is>
      </c>
      <c r="E3237" t="inlineStr">
        <is>
          <t>INV/2026/02899</t>
        </is>
      </c>
      <c r="F3237" t="inlineStr">
        <is>
          <t>Customer payment INV/2026/02899</t>
        </is>
      </c>
      <c r="G3237" s="9" t="n">
        <v>417.98</v>
      </c>
      <c r="H3237" t="inlineStr">
        <is>
          <t>customer_payment</t>
        </is>
      </c>
      <c r="I3237" t="inlineStr"/>
      <c r="J3237" t="inlineStr">
        <is>
          <t>G00380</t>
        </is>
      </c>
      <c r="K3237" t="str">
        <f>INDEX('Match Groups'!$D$5:$D$1326,MATCH(J3237,'Match Groups'!$A$5:$A$1326,0))</f>
        <v>MATCH</v>
      </c>
    </row>
    <row r="3238">
      <c r="A3238" t="inlineStr">
        <is>
          <t>JI-01208</t>
        </is>
      </c>
      <c r="B3238" t="inlineStr">
        <is>
          <t>OPS</t>
        </is>
      </c>
      <c r="C3238" s="5" t="n">
        <v>46267</v>
      </c>
      <c r="D3238" t="inlineStr">
        <is>
          <t>Lyrebird Plan Management</t>
        </is>
      </c>
      <c r="E3238" t="inlineStr">
        <is>
          <t>INV/2026/02900</t>
        </is>
      </c>
      <c r="F3238" t="inlineStr">
        <is>
          <t>Customer payment INV/2026/02900</t>
        </is>
      </c>
      <c r="G3238" s="9" t="n">
        <v>145.49</v>
      </c>
      <c r="H3238" t="inlineStr">
        <is>
          <t>customer_payment</t>
        </is>
      </c>
      <c r="I3238" t="inlineStr"/>
      <c r="J3238" t="inlineStr">
        <is>
          <t>G00380</t>
        </is>
      </c>
      <c r="K3238" t="str">
        <f>INDEX('Match Groups'!$D$5:$D$1326,MATCH(J3238,'Match Groups'!$A$5:$A$1326,0))</f>
        <v>MATCH</v>
      </c>
    </row>
    <row r="3239">
      <c r="A3239" t="inlineStr">
        <is>
          <t>JI-01221</t>
        </is>
      </c>
      <c r="B3239" t="inlineStr">
        <is>
          <t>OPS</t>
        </is>
      </c>
      <c r="C3239" s="5" t="n">
        <v>46267</v>
      </c>
      <c r="D3239" t="inlineStr">
        <is>
          <t>Acacia Plan Partners</t>
        </is>
      </c>
      <c r="E3239" t="inlineStr">
        <is>
          <t>INV/2026/02859</t>
        </is>
      </c>
      <c r="F3239" t="inlineStr">
        <is>
          <t>Customer payment INV/2026/02859</t>
        </is>
      </c>
      <c r="G3239" s="9" t="n">
        <v>320.98</v>
      </c>
      <c r="H3239" t="inlineStr">
        <is>
          <t>customer_payment</t>
        </is>
      </c>
      <c r="I3239" t="inlineStr"/>
      <c r="J3239" t="inlineStr">
        <is>
          <t>G00382</t>
        </is>
      </c>
      <c r="K3239" t="str">
        <f>INDEX('Match Groups'!$D$5:$D$1326,MATCH(J3239,'Match Groups'!$A$5:$A$1326,0))</f>
        <v>MATCH</v>
      </c>
    </row>
    <row r="3240">
      <c r="A3240" t="inlineStr">
        <is>
          <t>JI-01547</t>
        </is>
      </c>
      <c r="B3240" t="inlineStr">
        <is>
          <t>OPS</t>
        </is>
      </c>
      <c r="C3240" s="5" t="n">
        <v>46267</v>
      </c>
      <c r="D3240" t="inlineStr">
        <is>
          <t>Harbour Mutual Health</t>
        </is>
      </c>
      <c r="E3240" t="inlineStr">
        <is>
          <t>INV/2026/02684</t>
        </is>
      </c>
      <c r="F3240" t="inlineStr">
        <is>
          <t>Customer payment INV/2026/02684</t>
        </is>
      </c>
      <c r="G3240" s="9" t="n">
        <v>990</v>
      </c>
      <c r="H3240" t="inlineStr">
        <is>
          <t>customer_payment</t>
        </is>
      </c>
      <c r="I3240" t="inlineStr"/>
      <c r="J3240" t="inlineStr">
        <is>
          <t>G01040</t>
        </is>
      </c>
      <c r="K3240" t="str">
        <f>INDEX('Match Groups'!$D$5:$D$1326,MATCH(J3240,'Match Groups'!$A$5:$A$1326,0))</f>
        <v>MATCH</v>
      </c>
    </row>
    <row r="3241">
      <c r="A3241" t="inlineStr">
        <is>
          <t>JI-01566</t>
        </is>
      </c>
      <c r="B3241" t="inlineStr">
        <is>
          <t>OPS</t>
        </is>
      </c>
      <c r="C3241" s="5" t="n">
        <v>46267</v>
      </c>
      <c r="D3241" t="inlineStr">
        <is>
          <t>Coastline Health Fund</t>
        </is>
      </c>
      <c r="E3241" t="inlineStr">
        <is>
          <t>INV/2026/02610</t>
        </is>
      </c>
      <c r="F3241" t="inlineStr">
        <is>
          <t>Customer payment INV/2026/02610</t>
        </is>
      </c>
      <c r="G3241" s="9" t="n">
        <v>88</v>
      </c>
      <c r="H3241" t="inlineStr">
        <is>
          <t>customer_payment</t>
        </is>
      </c>
      <c r="I3241" t="inlineStr"/>
      <c r="J3241" t="inlineStr">
        <is>
          <t>G01033</t>
        </is>
      </c>
      <c r="K3241" t="str">
        <f>INDEX('Match Groups'!$D$5:$D$1326,MATCH(J3241,'Match Groups'!$A$5:$A$1326,0))</f>
        <v>MATCH</v>
      </c>
    </row>
    <row r="3242">
      <c r="A3242" t="inlineStr">
        <is>
          <t>JI-01657</t>
        </is>
      </c>
      <c r="B3242" t="inlineStr">
        <is>
          <t>OPS</t>
        </is>
      </c>
      <c r="C3242" s="5" t="n">
        <v>46267</v>
      </c>
      <c r="D3242" t="inlineStr">
        <is>
          <t>Brightwater Civil Pty Ltd</t>
        </is>
      </c>
      <c r="E3242" t="inlineStr">
        <is>
          <t>INV/2026/03467</t>
        </is>
      </c>
      <c r="F3242" t="inlineStr">
        <is>
          <t>Customer payment INV/2026/03467</t>
        </is>
      </c>
      <c r="G3242" s="9" t="n">
        <v>2640</v>
      </c>
      <c r="H3242" t="inlineStr">
        <is>
          <t>customer_payment</t>
        </is>
      </c>
      <c r="I3242" t="inlineStr"/>
      <c r="J3242" t="inlineStr">
        <is>
          <t>G01035</t>
        </is>
      </c>
      <c r="K3242" t="str">
        <f>INDEX('Match Groups'!$D$5:$D$1326,MATCH(J3242,'Match Groups'!$A$5:$A$1326,0))</f>
        <v>MATCH</v>
      </c>
    </row>
    <row r="3243">
      <c r="A3243" t="inlineStr">
        <is>
          <t>JI-01701</t>
        </is>
      </c>
      <c r="B3243" t="inlineStr">
        <is>
          <t>OPS</t>
        </is>
      </c>
      <c r="C3243" s="5" t="n">
        <v>46267</v>
      </c>
      <c r="D3243" t="inlineStr">
        <is>
          <t>Sorrento Bay Hotels</t>
        </is>
      </c>
      <c r="E3243" t="inlineStr">
        <is>
          <t>INV/2026/03485</t>
        </is>
      </c>
      <c r="F3243" t="inlineStr">
        <is>
          <t>Customer payment INV/2026/03485</t>
        </is>
      </c>
      <c r="G3243" s="9" t="n">
        <v>16101.25</v>
      </c>
      <c r="H3243" t="inlineStr">
        <is>
          <t>customer_payment</t>
        </is>
      </c>
      <c r="I3243" t="inlineStr"/>
      <c r="J3243" t="inlineStr">
        <is>
          <t>G01037</t>
        </is>
      </c>
      <c r="K3243" t="str">
        <f>INDEX('Match Groups'!$D$5:$D$1326,MATCH(J3243,'Match Groups'!$A$5:$A$1326,0))</f>
        <v>MATCH</v>
      </c>
    </row>
    <row r="3244">
      <c r="A3244" t="inlineStr">
        <is>
          <t>JI-03127</t>
        </is>
      </c>
      <c r="B3244" t="inlineStr">
        <is>
          <t>OPS</t>
        </is>
      </c>
      <c r="C3244" s="5" t="n">
        <v>46267</v>
      </c>
      <c r="D3244" t="inlineStr">
        <is>
          <t>Stripe patient 43849</t>
        </is>
      </c>
      <c r="E3244" t="inlineStr">
        <is>
          <t>INV/2026/04970</t>
        </is>
      </c>
      <c r="F3244" t="inlineStr">
        <is>
          <t>Customer payment INV/2026/04970</t>
        </is>
      </c>
      <c r="G3244" s="9" t="n">
        <v>135</v>
      </c>
      <c r="H3244" t="inlineStr">
        <is>
          <t>customer_payment</t>
        </is>
      </c>
      <c r="I3244" t="inlineStr"/>
      <c r="J3244" t="inlineStr">
        <is>
          <t>G00061</t>
        </is>
      </c>
      <c r="K3244" t="str">
        <f>INDEX('Match Groups'!$D$5:$D$1326,MATCH(J3244,'Match Groups'!$A$5:$A$1326,0))</f>
        <v>STRIPE-FEE</v>
      </c>
    </row>
    <row r="3245">
      <c r="A3245" t="inlineStr">
        <is>
          <t>JI-03128</t>
        </is>
      </c>
      <c r="B3245" t="inlineStr">
        <is>
          <t>OPS</t>
        </is>
      </c>
      <c r="C3245" s="5" t="n">
        <v>46267</v>
      </c>
      <c r="D3245" t="inlineStr">
        <is>
          <t>Stripe patient 45242</t>
        </is>
      </c>
      <c r="E3245" t="inlineStr">
        <is>
          <t>INV/2026/04971</t>
        </is>
      </c>
      <c r="F3245" t="inlineStr">
        <is>
          <t>Customer payment INV/2026/04971</t>
        </is>
      </c>
      <c r="G3245" s="9" t="n">
        <v>65</v>
      </c>
      <c r="H3245" t="inlineStr">
        <is>
          <t>customer_payment</t>
        </is>
      </c>
      <c r="I3245" t="inlineStr"/>
      <c r="J3245" t="inlineStr">
        <is>
          <t>G00061</t>
        </is>
      </c>
      <c r="K3245" t="str">
        <f>INDEX('Match Groups'!$D$5:$D$1326,MATCH(J3245,'Match Groups'!$A$5:$A$1326,0))</f>
        <v>STRIPE-FEE</v>
      </c>
    </row>
    <row r="3246">
      <c r="A3246" t="inlineStr">
        <is>
          <t>JI-03129</t>
        </is>
      </c>
      <c r="B3246" t="inlineStr">
        <is>
          <t>OPS</t>
        </is>
      </c>
      <c r="C3246" s="5" t="n">
        <v>46267</v>
      </c>
      <c r="D3246" t="inlineStr">
        <is>
          <t>Stripe patient 63686</t>
        </is>
      </c>
      <c r="E3246" t="inlineStr">
        <is>
          <t>INV/2026/04972</t>
        </is>
      </c>
      <c r="F3246" t="inlineStr">
        <is>
          <t>Customer payment INV/2026/04972</t>
        </is>
      </c>
      <c r="G3246" s="9" t="n">
        <v>120</v>
      </c>
      <c r="H3246" t="inlineStr">
        <is>
          <t>customer_payment</t>
        </is>
      </c>
      <c r="I3246" t="inlineStr"/>
      <c r="J3246" t="inlineStr">
        <is>
          <t>G00061</t>
        </is>
      </c>
      <c r="K3246" t="str">
        <f>INDEX('Match Groups'!$D$5:$D$1326,MATCH(J3246,'Match Groups'!$A$5:$A$1326,0))</f>
        <v>STRIPE-FEE</v>
      </c>
    </row>
    <row r="3247">
      <c r="A3247" t="inlineStr">
        <is>
          <t>JI-03130</t>
        </is>
      </c>
      <c r="B3247" t="inlineStr">
        <is>
          <t>OPS</t>
        </is>
      </c>
      <c r="C3247" s="5" t="n">
        <v>46267</v>
      </c>
      <c r="D3247" t="inlineStr">
        <is>
          <t>Stripe patient 89682</t>
        </is>
      </c>
      <c r="E3247" t="inlineStr">
        <is>
          <t>INV/2026/04973</t>
        </is>
      </c>
      <c r="F3247" t="inlineStr">
        <is>
          <t>Customer payment INV/2026/04973</t>
        </is>
      </c>
      <c r="G3247" s="9" t="n">
        <v>95</v>
      </c>
      <c r="H3247" t="inlineStr">
        <is>
          <t>customer_payment</t>
        </is>
      </c>
      <c r="I3247" t="inlineStr"/>
      <c r="J3247" t="inlineStr">
        <is>
          <t>G00061</t>
        </is>
      </c>
      <c r="K3247" t="str">
        <f>INDEX('Match Groups'!$D$5:$D$1326,MATCH(J3247,'Match Groups'!$A$5:$A$1326,0))</f>
        <v>STRIPE-FEE</v>
      </c>
    </row>
    <row r="3248">
      <c r="A3248" t="inlineStr">
        <is>
          <t>JI-03131</t>
        </is>
      </c>
      <c r="B3248" t="inlineStr">
        <is>
          <t>OPS</t>
        </is>
      </c>
      <c r="C3248" s="5" t="n">
        <v>46267</v>
      </c>
      <c r="D3248" t="inlineStr">
        <is>
          <t>Stripe patient 46506</t>
        </is>
      </c>
      <c r="E3248" t="inlineStr">
        <is>
          <t>INV/2026/04974</t>
        </is>
      </c>
      <c r="F3248" t="inlineStr">
        <is>
          <t>Customer payment INV/2026/04974</t>
        </is>
      </c>
      <c r="G3248" s="9" t="n">
        <v>95</v>
      </c>
      <c r="H3248" t="inlineStr">
        <is>
          <t>customer_payment</t>
        </is>
      </c>
      <c r="I3248" t="inlineStr"/>
      <c r="J3248" t="inlineStr">
        <is>
          <t>G00061</t>
        </is>
      </c>
      <c r="K3248" t="str">
        <f>INDEX('Match Groups'!$D$5:$D$1326,MATCH(J3248,'Match Groups'!$A$5:$A$1326,0))</f>
        <v>STRIPE-FEE</v>
      </c>
    </row>
    <row r="3249">
      <c r="A3249" t="inlineStr">
        <is>
          <t>JI-03132</t>
        </is>
      </c>
      <c r="B3249" t="inlineStr">
        <is>
          <t>OPS</t>
        </is>
      </c>
      <c r="C3249" s="5" t="n">
        <v>46267</v>
      </c>
      <c r="D3249" t="inlineStr">
        <is>
          <t>Stripe patient 75547</t>
        </is>
      </c>
      <c r="E3249" t="inlineStr">
        <is>
          <t>INV/2026/04975</t>
        </is>
      </c>
      <c r="F3249" t="inlineStr">
        <is>
          <t>Customer payment INV/2026/04975</t>
        </is>
      </c>
      <c r="G3249" s="9" t="n">
        <v>135</v>
      </c>
      <c r="H3249" t="inlineStr">
        <is>
          <t>customer_payment</t>
        </is>
      </c>
      <c r="I3249" t="inlineStr"/>
      <c r="J3249" t="inlineStr">
        <is>
          <t>G00061</t>
        </is>
      </c>
      <c r="K3249" t="str">
        <f>INDEX('Match Groups'!$D$5:$D$1326,MATCH(J3249,'Match Groups'!$A$5:$A$1326,0))</f>
        <v>STRIPE-FEE</v>
      </c>
    </row>
    <row r="3250">
      <c r="A3250" t="inlineStr">
        <is>
          <t>JI-03133</t>
        </is>
      </c>
      <c r="B3250" t="inlineStr">
        <is>
          <t>OPS</t>
        </is>
      </c>
      <c r="C3250" s="5" t="n">
        <v>46267</v>
      </c>
      <c r="D3250" t="inlineStr">
        <is>
          <t>Stripe patient 49257</t>
        </is>
      </c>
      <c r="E3250" t="inlineStr">
        <is>
          <t>INV/2026/04976</t>
        </is>
      </c>
      <c r="F3250" t="inlineStr">
        <is>
          <t>Customer payment INV/2026/04976</t>
        </is>
      </c>
      <c r="G3250" s="9" t="n">
        <v>110</v>
      </c>
      <c r="H3250" t="inlineStr">
        <is>
          <t>customer_payment</t>
        </is>
      </c>
      <c r="I3250" t="inlineStr"/>
      <c r="J3250" t="inlineStr">
        <is>
          <t>G00061</t>
        </is>
      </c>
      <c r="K3250" t="str">
        <f>INDEX('Match Groups'!$D$5:$D$1326,MATCH(J3250,'Match Groups'!$A$5:$A$1326,0))</f>
        <v>STRIPE-FEE</v>
      </c>
    </row>
    <row r="3251">
      <c r="A3251" t="inlineStr">
        <is>
          <t>JI-03134</t>
        </is>
      </c>
      <c r="B3251" t="inlineStr">
        <is>
          <t>OPS</t>
        </is>
      </c>
      <c r="C3251" s="5" t="n">
        <v>46267</v>
      </c>
      <c r="D3251" t="inlineStr">
        <is>
          <t>Stripe patient 41495</t>
        </is>
      </c>
      <c r="E3251" t="inlineStr">
        <is>
          <t>INV/2026/04977</t>
        </is>
      </c>
      <c r="F3251" t="inlineStr">
        <is>
          <t>Customer payment INV/2026/04977</t>
        </is>
      </c>
      <c r="G3251" s="9" t="n">
        <v>120</v>
      </c>
      <c r="H3251" t="inlineStr">
        <is>
          <t>customer_payment</t>
        </is>
      </c>
      <c r="I3251" t="inlineStr"/>
      <c r="J3251" t="inlineStr">
        <is>
          <t>G00061</t>
        </is>
      </c>
      <c r="K3251" t="str">
        <f>INDEX('Match Groups'!$D$5:$D$1326,MATCH(J3251,'Match Groups'!$A$5:$A$1326,0))</f>
        <v>STRIPE-FEE</v>
      </c>
    </row>
    <row r="3252">
      <c r="A3252" t="inlineStr">
        <is>
          <t>JI-03135</t>
        </is>
      </c>
      <c r="B3252" t="inlineStr">
        <is>
          <t>OPS</t>
        </is>
      </c>
      <c r="C3252" s="5" t="n">
        <v>46267</v>
      </c>
      <c r="D3252" t="inlineStr">
        <is>
          <t>Stripe patient 74336</t>
        </is>
      </c>
      <c r="E3252" t="inlineStr">
        <is>
          <t>INV/2026/04978</t>
        </is>
      </c>
      <c r="F3252" t="inlineStr">
        <is>
          <t>Customer payment INV/2026/04978</t>
        </is>
      </c>
      <c r="G3252" s="9" t="n">
        <v>180</v>
      </c>
      <c r="H3252" t="inlineStr">
        <is>
          <t>customer_payment</t>
        </is>
      </c>
      <c r="I3252" t="inlineStr"/>
      <c r="J3252" t="inlineStr">
        <is>
          <t>G00061</t>
        </is>
      </c>
      <c r="K3252" t="str">
        <f>INDEX('Match Groups'!$D$5:$D$1326,MATCH(J3252,'Match Groups'!$A$5:$A$1326,0))</f>
        <v>STRIPE-FEE</v>
      </c>
    </row>
    <row r="3253">
      <c r="A3253" t="inlineStr">
        <is>
          <t>JI-03136</t>
        </is>
      </c>
      <c r="B3253" t="inlineStr">
        <is>
          <t>OPS</t>
        </is>
      </c>
      <c r="C3253" s="5" t="n">
        <v>46267</v>
      </c>
      <c r="D3253" t="inlineStr">
        <is>
          <t>Stripe patient 43830</t>
        </is>
      </c>
      <c r="E3253" t="inlineStr">
        <is>
          <t>INV/2026/04979</t>
        </is>
      </c>
      <c r="F3253" t="inlineStr">
        <is>
          <t>Customer payment INV/2026/04979</t>
        </is>
      </c>
      <c r="G3253" s="9" t="n">
        <v>85</v>
      </c>
      <c r="H3253" t="inlineStr">
        <is>
          <t>customer_payment</t>
        </is>
      </c>
      <c r="I3253" t="inlineStr"/>
      <c r="J3253" t="inlineStr">
        <is>
          <t>G00061</t>
        </is>
      </c>
      <c r="K3253" t="str">
        <f>INDEX('Match Groups'!$D$5:$D$1326,MATCH(J3253,'Match Groups'!$A$5:$A$1326,0))</f>
        <v>STRIPE-FEE</v>
      </c>
    </row>
    <row r="3254">
      <c r="A3254" t="inlineStr">
        <is>
          <t>JI-03137</t>
        </is>
      </c>
      <c r="B3254" t="inlineStr">
        <is>
          <t>OPS</t>
        </is>
      </c>
      <c r="C3254" s="5" t="n">
        <v>46267</v>
      </c>
      <c r="D3254" t="inlineStr">
        <is>
          <t>Stripe patient 96374</t>
        </is>
      </c>
      <c r="E3254" t="inlineStr">
        <is>
          <t>INV/2026/04980</t>
        </is>
      </c>
      <c r="F3254" t="inlineStr">
        <is>
          <t>Customer payment INV/2026/04980</t>
        </is>
      </c>
      <c r="G3254" s="9" t="n">
        <v>95</v>
      </c>
      <c r="H3254" t="inlineStr">
        <is>
          <t>customer_payment</t>
        </is>
      </c>
      <c r="I3254" t="inlineStr"/>
      <c r="J3254" t="inlineStr">
        <is>
          <t>G00061</t>
        </is>
      </c>
      <c r="K3254" t="str">
        <f>INDEX('Match Groups'!$D$5:$D$1326,MATCH(J3254,'Match Groups'!$A$5:$A$1326,0))</f>
        <v>STRIPE-FEE</v>
      </c>
    </row>
    <row r="3255">
      <c r="A3255" t="inlineStr">
        <is>
          <t>JI-03138</t>
        </is>
      </c>
      <c r="B3255" t="inlineStr">
        <is>
          <t>OPS</t>
        </is>
      </c>
      <c r="C3255" s="5" t="n">
        <v>46267</v>
      </c>
      <c r="D3255" t="inlineStr">
        <is>
          <t>Stripe patient 19948</t>
        </is>
      </c>
      <c r="E3255" t="inlineStr">
        <is>
          <t>INV/2026/04981</t>
        </is>
      </c>
      <c r="F3255" t="inlineStr">
        <is>
          <t>Customer payment INV/2026/04981</t>
        </is>
      </c>
      <c r="G3255" s="9" t="n">
        <v>110</v>
      </c>
      <c r="H3255" t="inlineStr">
        <is>
          <t>customer_payment</t>
        </is>
      </c>
      <c r="I3255" t="inlineStr"/>
      <c r="J3255" t="inlineStr">
        <is>
          <t>G00061</t>
        </is>
      </c>
      <c r="K3255" t="str">
        <f>INDEX('Match Groups'!$D$5:$D$1326,MATCH(J3255,'Match Groups'!$A$5:$A$1326,0))</f>
        <v>STRIPE-FEE</v>
      </c>
    </row>
    <row r="3256">
      <c r="A3256" t="inlineStr">
        <is>
          <t>JI-03139</t>
        </is>
      </c>
      <c r="B3256" t="inlineStr">
        <is>
          <t>OPS</t>
        </is>
      </c>
      <c r="C3256" s="5" t="n">
        <v>46267</v>
      </c>
      <c r="D3256" t="inlineStr">
        <is>
          <t>Stripe patient 70553</t>
        </is>
      </c>
      <c r="E3256" t="inlineStr">
        <is>
          <t>INV/2026/04982</t>
        </is>
      </c>
      <c r="F3256" t="inlineStr">
        <is>
          <t>Customer payment INV/2026/04982</t>
        </is>
      </c>
      <c r="G3256" s="9" t="n">
        <v>220</v>
      </c>
      <c r="H3256" t="inlineStr">
        <is>
          <t>customer_payment</t>
        </is>
      </c>
      <c r="I3256" t="inlineStr"/>
      <c r="J3256" t="inlineStr">
        <is>
          <t>G00061</t>
        </is>
      </c>
      <c r="K3256" t="str">
        <f>INDEX('Match Groups'!$D$5:$D$1326,MATCH(J3256,'Match Groups'!$A$5:$A$1326,0))</f>
        <v>STRIPE-FEE</v>
      </c>
    </row>
    <row r="3257">
      <c r="A3257" t="inlineStr">
        <is>
          <t>JI-03140</t>
        </is>
      </c>
      <c r="B3257" t="inlineStr">
        <is>
          <t>OPS</t>
        </is>
      </c>
      <c r="C3257" s="5" t="n">
        <v>46267</v>
      </c>
      <c r="D3257" t="inlineStr">
        <is>
          <t>Stripe patient 43978</t>
        </is>
      </c>
      <c r="E3257" t="inlineStr">
        <is>
          <t>INV/2026/04983</t>
        </is>
      </c>
      <c r="F3257" t="inlineStr">
        <is>
          <t>Customer payment INV/2026/04983</t>
        </is>
      </c>
      <c r="G3257" s="9" t="n">
        <v>65</v>
      </c>
      <c r="H3257" t="inlineStr">
        <is>
          <t>customer_payment</t>
        </is>
      </c>
      <c r="I3257" t="inlineStr"/>
      <c r="J3257" t="inlineStr">
        <is>
          <t>G00061</t>
        </is>
      </c>
      <c r="K3257" t="str">
        <f>INDEX('Match Groups'!$D$5:$D$1326,MATCH(J3257,'Match Groups'!$A$5:$A$1326,0))</f>
        <v>STRIPE-FEE</v>
      </c>
    </row>
    <row r="3258">
      <c r="A3258" t="inlineStr">
        <is>
          <t>JI-03141</t>
        </is>
      </c>
      <c r="B3258" t="inlineStr">
        <is>
          <t>OPS</t>
        </is>
      </c>
      <c r="C3258" s="5" t="n">
        <v>46267</v>
      </c>
      <c r="D3258" t="inlineStr">
        <is>
          <t>Stripe patient 15847</t>
        </is>
      </c>
      <c r="E3258" t="inlineStr">
        <is>
          <t>INV/2026/04984</t>
        </is>
      </c>
      <c r="F3258" t="inlineStr">
        <is>
          <t>Customer payment INV/2026/04984</t>
        </is>
      </c>
      <c r="G3258" s="9" t="n">
        <v>110</v>
      </c>
      <c r="H3258" t="inlineStr">
        <is>
          <t>customer_payment</t>
        </is>
      </c>
      <c r="I3258" t="inlineStr"/>
      <c r="J3258" t="inlineStr">
        <is>
          <t>G00061</t>
        </is>
      </c>
      <c r="K3258" t="str">
        <f>INDEX('Match Groups'!$D$5:$D$1326,MATCH(J3258,'Match Groups'!$A$5:$A$1326,0))</f>
        <v>STRIPE-FEE</v>
      </c>
    </row>
    <row r="3259">
      <c r="A3259" t="inlineStr">
        <is>
          <t>JI-03142</t>
        </is>
      </c>
      <c r="B3259" t="inlineStr">
        <is>
          <t>OPS</t>
        </is>
      </c>
      <c r="C3259" s="5" t="n">
        <v>46267</v>
      </c>
      <c r="D3259" t="inlineStr">
        <is>
          <t>Stripe patient 58971</t>
        </is>
      </c>
      <c r="E3259" t="inlineStr">
        <is>
          <t>INV/2026/04985</t>
        </is>
      </c>
      <c r="F3259" t="inlineStr">
        <is>
          <t>Customer payment INV/2026/04985</t>
        </is>
      </c>
      <c r="G3259" s="9" t="n">
        <v>150</v>
      </c>
      <c r="H3259" t="inlineStr">
        <is>
          <t>customer_payment</t>
        </is>
      </c>
      <c r="I3259" t="inlineStr"/>
      <c r="J3259" t="inlineStr">
        <is>
          <t>G00061</t>
        </is>
      </c>
      <c r="K3259" t="str">
        <f>INDEX('Match Groups'!$D$5:$D$1326,MATCH(J3259,'Match Groups'!$A$5:$A$1326,0))</f>
        <v>STRIPE-FEE</v>
      </c>
    </row>
    <row r="3260">
      <c r="A3260" t="inlineStr">
        <is>
          <t>JI-03143</t>
        </is>
      </c>
      <c r="B3260" t="inlineStr">
        <is>
          <t>OPS</t>
        </is>
      </c>
      <c r="C3260" s="5" t="n">
        <v>46267</v>
      </c>
      <c r="D3260" t="inlineStr">
        <is>
          <t>Stripe patient 75636</t>
        </is>
      </c>
      <c r="E3260" t="inlineStr">
        <is>
          <t>INV/2026/04986</t>
        </is>
      </c>
      <c r="F3260" t="inlineStr">
        <is>
          <t>Customer payment INV/2026/04986</t>
        </is>
      </c>
      <c r="G3260" s="9" t="n">
        <v>65</v>
      </c>
      <c r="H3260" t="inlineStr">
        <is>
          <t>customer_payment</t>
        </is>
      </c>
      <c r="I3260" t="inlineStr"/>
      <c r="J3260" t="inlineStr">
        <is>
          <t>G00061</t>
        </is>
      </c>
      <c r="K3260" t="str">
        <f>INDEX('Match Groups'!$D$5:$D$1326,MATCH(J3260,'Match Groups'!$A$5:$A$1326,0))</f>
        <v>STRIPE-FEE</v>
      </c>
    </row>
    <row r="3261">
      <c r="A3261" t="inlineStr">
        <is>
          <t>JI-03144</t>
        </is>
      </c>
      <c r="B3261" t="inlineStr">
        <is>
          <t>OPS</t>
        </is>
      </c>
      <c r="C3261" s="5" t="n">
        <v>46267</v>
      </c>
      <c r="D3261" t="inlineStr">
        <is>
          <t>Stripe patient 43179</t>
        </is>
      </c>
      <c r="E3261" t="inlineStr">
        <is>
          <t>INV/2026/04987</t>
        </is>
      </c>
      <c r="F3261" t="inlineStr">
        <is>
          <t>Customer payment INV/2026/04987</t>
        </is>
      </c>
      <c r="G3261" s="9" t="n">
        <v>180</v>
      </c>
      <c r="H3261" t="inlineStr">
        <is>
          <t>customer_payment</t>
        </is>
      </c>
      <c r="I3261" t="inlineStr"/>
      <c r="J3261" t="inlineStr">
        <is>
          <t>G00061</t>
        </is>
      </c>
      <c r="K3261" t="str">
        <f>INDEX('Match Groups'!$D$5:$D$1326,MATCH(J3261,'Match Groups'!$A$5:$A$1326,0))</f>
        <v>STRIPE-FEE</v>
      </c>
    </row>
    <row r="3262">
      <c r="A3262" t="inlineStr">
        <is>
          <t>JI-03145</t>
        </is>
      </c>
      <c r="B3262" t="inlineStr">
        <is>
          <t>OPS</t>
        </is>
      </c>
      <c r="C3262" s="5" t="n">
        <v>46267</v>
      </c>
      <c r="D3262" t="inlineStr">
        <is>
          <t>Stripe patient 36221</t>
        </is>
      </c>
      <c r="E3262" t="inlineStr">
        <is>
          <t>INV/2026/04988</t>
        </is>
      </c>
      <c r="F3262" t="inlineStr">
        <is>
          <t>Customer payment INV/2026/04988</t>
        </is>
      </c>
      <c r="G3262" s="9" t="n">
        <v>135</v>
      </c>
      <c r="H3262" t="inlineStr">
        <is>
          <t>customer_payment</t>
        </is>
      </c>
      <c r="I3262" t="inlineStr"/>
      <c r="J3262" t="inlineStr">
        <is>
          <t>G00061</t>
        </is>
      </c>
      <c r="K3262" t="str">
        <f>INDEX('Match Groups'!$D$5:$D$1326,MATCH(J3262,'Match Groups'!$A$5:$A$1326,0))</f>
        <v>STRIPE-FEE</v>
      </c>
    </row>
    <row r="3263">
      <c r="A3263" t="inlineStr">
        <is>
          <t>JI-03146</t>
        </is>
      </c>
      <c r="B3263" t="inlineStr">
        <is>
          <t>OPS</t>
        </is>
      </c>
      <c r="C3263" s="5" t="n">
        <v>46267</v>
      </c>
      <c r="D3263" t="inlineStr">
        <is>
          <t>Stripe patient 61923</t>
        </is>
      </c>
      <c r="E3263" t="inlineStr">
        <is>
          <t>INV/2026/04989</t>
        </is>
      </c>
      <c r="F3263" t="inlineStr">
        <is>
          <t>Customer payment INV/2026/04989</t>
        </is>
      </c>
      <c r="G3263" s="9" t="n">
        <v>110</v>
      </c>
      <c r="H3263" t="inlineStr">
        <is>
          <t>customer_payment</t>
        </is>
      </c>
      <c r="I3263" t="inlineStr"/>
      <c r="J3263" t="inlineStr">
        <is>
          <t>G00061</t>
        </is>
      </c>
      <c r="K3263" t="str">
        <f>INDEX('Match Groups'!$D$5:$D$1326,MATCH(J3263,'Match Groups'!$A$5:$A$1326,0))</f>
        <v>STRIPE-FEE</v>
      </c>
    </row>
    <row r="3264">
      <c r="A3264" t="inlineStr">
        <is>
          <t>JI-03147</t>
        </is>
      </c>
      <c r="B3264" t="inlineStr">
        <is>
          <t>OPS</t>
        </is>
      </c>
      <c r="C3264" s="5" t="n">
        <v>46267</v>
      </c>
      <c r="D3264" t="inlineStr">
        <is>
          <t>Stripe patient 98511</t>
        </is>
      </c>
      <c r="E3264" t="inlineStr">
        <is>
          <t>INV/2026/04990</t>
        </is>
      </c>
      <c r="F3264" t="inlineStr">
        <is>
          <t>Customer payment INV/2026/04990</t>
        </is>
      </c>
      <c r="G3264" s="9" t="n">
        <v>180</v>
      </c>
      <c r="H3264" t="inlineStr">
        <is>
          <t>customer_payment</t>
        </is>
      </c>
      <c r="I3264" t="inlineStr"/>
      <c r="J3264" t="inlineStr">
        <is>
          <t>G00061</t>
        </is>
      </c>
      <c r="K3264" t="str">
        <f>INDEX('Match Groups'!$D$5:$D$1326,MATCH(J3264,'Match Groups'!$A$5:$A$1326,0))</f>
        <v>STRIPE-FEE</v>
      </c>
    </row>
    <row r="3265">
      <c r="A3265" t="inlineStr">
        <is>
          <t>JI-03148</t>
        </is>
      </c>
      <c r="B3265" t="inlineStr">
        <is>
          <t>OPS</t>
        </is>
      </c>
      <c r="C3265" s="5" t="n">
        <v>46267</v>
      </c>
      <c r="D3265" t="inlineStr">
        <is>
          <t>Stripe patient 16173</t>
        </is>
      </c>
      <c r="E3265" t="inlineStr">
        <is>
          <t>INV/2026/04991</t>
        </is>
      </c>
      <c r="F3265" t="inlineStr">
        <is>
          <t>Customer payment INV/2026/04991</t>
        </is>
      </c>
      <c r="G3265" s="9" t="n">
        <v>220</v>
      </c>
      <c r="H3265" t="inlineStr">
        <is>
          <t>customer_payment</t>
        </is>
      </c>
      <c r="I3265" t="inlineStr"/>
      <c r="J3265" t="inlineStr">
        <is>
          <t>G00061</t>
        </is>
      </c>
      <c r="K3265" t="str">
        <f>INDEX('Match Groups'!$D$5:$D$1326,MATCH(J3265,'Match Groups'!$A$5:$A$1326,0))</f>
        <v>STRIPE-FEE</v>
      </c>
    </row>
    <row r="3266">
      <c r="A3266" t="inlineStr">
        <is>
          <t>JI-03149</t>
        </is>
      </c>
      <c r="B3266" t="inlineStr">
        <is>
          <t>OPS</t>
        </is>
      </c>
      <c r="C3266" s="5" t="n">
        <v>46267</v>
      </c>
      <c r="D3266" t="inlineStr">
        <is>
          <t>Stripe patient 10101</t>
        </is>
      </c>
      <c r="E3266" t="inlineStr">
        <is>
          <t>INV/2026/04992</t>
        </is>
      </c>
      <c r="F3266" t="inlineStr">
        <is>
          <t>Customer payment INV/2026/04992</t>
        </is>
      </c>
      <c r="G3266" s="9" t="n">
        <v>135</v>
      </c>
      <c r="H3266" t="inlineStr">
        <is>
          <t>customer_payment</t>
        </is>
      </c>
      <c r="I3266" t="inlineStr"/>
      <c r="J3266" t="inlineStr">
        <is>
          <t>G00061</t>
        </is>
      </c>
      <c r="K3266" t="str">
        <f>INDEX('Match Groups'!$D$5:$D$1326,MATCH(J3266,'Match Groups'!$A$5:$A$1326,0))</f>
        <v>STRIPE-FEE</v>
      </c>
    </row>
    <row r="3267">
      <c r="A3267" t="inlineStr">
        <is>
          <t>JI-03150</t>
        </is>
      </c>
      <c r="B3267" t="inlineStr">
        <is>
          <t>OPS</t>
        </is>
      </c>
      <c r="C3267" s="5" t="n">
        <v>46267</v>
      </c>
      <c r="D3267" t="inlineStr">
        <is>
          <t>Stripe patient 32940</t>
        </is>
      </c>
      <c r="E3267" t="inlineStr">
        <is>
          <t>INV/2026/04993</t>
        </is>
      </c>
      <c r="F3267" t="inlineStr">
        <is>
          <t>Customer payment INV/2026/04993</t>
        </is>
      </c>
      <c r="G3267" s="9" t="n">
        <v>120</v>
      </c>
      <c r="H3267" t="inlineStr">
        <is>
          <t>customer_payment</t>
        </is>
      </c>
      <c r="I3267" t="inlineStr"/>
      <c r="J3267" t="inlineStr">
        <is>
          <t>G00061</t>
        </is>
      </c>
      <c r="K3267" t="str">
        <f>INDEX('Match Groups'!$D$5:$D$1326,MATCH(J3267,'Match Groups'!$A$5:$A$1326,0))</f>
        <v>STRIPE-FEE</v>
      </c>
    </row>
    <row r="3268">
      <c r="A3268" t="inlineStr">
        <is>
          <t>JI-03151</t>
        </is>
      </c>
      <c r="B3268" t="inlineStr">
        <is>
          <t>OPS</t>
        </is>
      </c>
      <c r="C3268" s="5" t="n">
        <v>46267</v>
      </c>
      <c r="D3268" t="inlineStr">
        <is>
          <t>Stripe patient 62894</t>
        </is>
      </c>
      <c r="E3268" t="inlineStr">
        <is>
          <t>INV/2026/04994</t>
        </is>
      </c>
      <c r="F3268" t="inlineStr">
        <is>
          <t>Customer payment INV/2026/04994</t>
        </is>
      </c>
      <c r="G3268" s="9" t="n">
        <v>150</v>
      </c>
      <c r="H3268" t="inlineStr">
        <is>
          <t>customer_payment</t>
        </is>
      </c>
      <c r="I3268" t="inlineStr"/>
      <c r="J3268" t="inlineStr">
        <is>
          <t>G00061</t>
        </is>
      </c>
      <c r="K3268" t="str">
        <f>INDEX('Match Groups'!$D$5:$D$1326,MATCH(J3268,'Match Groups'!$A$5:$A$1326,0))</f>
        <v>STRIPE-FEE</v>
      </c>
    </row>
    <row r="3269">
      <c r="A3269" t="inlineStr">
        <is>
          <t>JI-03152</t>
        </is>
      </c>
      <c r="B3269" t="inlineStr">
        <is>
          <t>OPS</t>
        </is>
      </c>
      <c r="C3269" s="5" t="n">
        <v>46267</v>
      </c>
      <c r="D3269" t="inlineStr">
        <is>
          <t>Stripe patient 32693</t>
        </is>
      </c>
      <c r="E3269" t="inlineStr">
        <is>
          <t>INV/2026/04995</t>
        </is>
      </c>
      <c r="F3269" t="inlineStr">
        <is>
          <t>Customer payment INV/2026/04995</t>
        </is>
      </c>
      <c r="G3269" s="9" t="n">
        <v>65</v>
      </c>
      <c r="H3269" t="inlineStr">
        <is>
          <t>customer_payment</t>
        </is>
      </c>
      <c r="I3269" t="inlineStr"/>
      <c r="J3269" t="inlineStr">
        <is>
          <t>G00061</t>
        </is>
      </c>
      <c r="K3269" t="str">
        <f>INDEX('Match Groups'!$D$5:$D$1326,MATCH(J3269,'Match Groups'!$A$5:$A$1326,0))</f>
        <v>STRIPE-FEE</v>
      </c>
    </row>
    <row r="3270">
      <c r="A3270" t="inlineStr">
        <is>
          <t>JI-03153</t>
        </is>
      </c>
      <c r="B3270" t="inlineStr">
        <is>
          <t>OPS</t>
        </is>
      </c>
      <c r="C3270" s="5" t="n">
        <v>46267</v>
      </c>
      <c r="D3270" t="inlineStr">
        <is>
          <t>Stripe patient 52455</t>
        </is>
      </c>
      <c r="E3270" t="inlineStr">
        <is>
          <t>INV/2026/04996</t>
        </is>
      </c>
      <c r="F3270" t="inlineStr">
        <is>
          <t>Customer payment INV/2026/04996</t>
        </is>
      </c>
      <c r="G3270" s="9" t="n">
        <v>65</v>
      </c>
      <c r="H3270" t="inlineStr">
        <is>
          <t>customer_payment</t>
        </is>
      </c>
      <c r="I3270" t="inlineStr"/>
      <c r="J3270" t="inlineStr">
        <is>
          <t>G00061</t>
        </is>
      </c>
      <c r="K3270" t="str">
        <f>INDEX('Match Groups'!$D$5:$D$1326,MATCH(J3270,'Match Groups'!$A$5:$A$1326,0))</f>
        <v>STRIPE-FEE</v>
      </c>
    </row>
    <row r="3271">
      <c r="A3271" t="inlineStr">
        <is>
          <t>JI-03154</t>
        </is>
      </c>
      <c r="B3271" t="inlineStr">
        <is>
          <t>OPS</t>
        </is>
      </c>
      <c r="C3271" s="5" t="n">
        <v>46267</v>
      </c>
      <c r="D3271" t="inlineStr">
        <is>
          <t>Stripe patient 13966</t>
        </is>
      </c>
      <c r="E3271" t="inlineStr">
        <is>
          <t>INV/2026/04997</t>
        </is>
      </c>
      <c r="F3271" t="inlineStr">
        <is>
          <t>Customer payment INV/2026/04997</t>
        </is>
      </c>
      <c r="G3271" s="9" t="n">
        <v>220</v>
      </c>
      <c r="H3271" t="inlineStr">
        <is>
          <t>customer_payment</t>
        </is>
      </c>
      <c r="I3271" t="inlineStr"/>
      <c r="J3271" t="inlineStr">
        <is>
          <t>G00061</t>
        </is>
      </c>
      <c r="K3271" t="str">
        <f>INDEX('Match Groups'!$D$5:$D$1326,MATCH(J3271,'Match Groups'!$A$5:$A$1326,0))</f>
        <v>STRIPE-FEE</v>
      </c>
    </row>
    <row r="3272">
      <c r="A3272" t="inlineStr">
        <is>
          <t>JI-03838</t>
        </is>
      </c>
      <c r="B3272" t="inlineStr">
        <is>
          <t>OPS</t>
        </is>
      </c>
      <c r="C3272" s="5" t="n">
        <v>46267</v>
      </c>
      <c r="D3272" t="inlineStr">
        <is>
          <t>Clinicare Linen Service</t>
        </is>
      </c>
      <c r="E3272" t="inlineStr">
        <is>
          <t>BILL/2026/0932</t>
        </is>
      </c>
      <c r="F3272" t="inlineStr">
        <is>
          <t>Vendor payment BILL/2026/0932 (BATCH/2026/0420)</t>
        </is>
      </c>
      <c r="G3272" s="9" t="n">
        <v>-254.1</v>
      </c>
      <c r="H3272" t="inlineStr">
        <is>
          <t>supplier_payment</t>
        </is>
      </c>
      <c r="I3272" t="inlineStr">
        <is>
          <t>BATCH/2026/0420</t>
        </is>
      </c>
      <c r="J3272" t="inlineStr">
        <is>
          <t>G00534</t>
        </is>
      </c>
      <c r="K3272" t="str">
        <f>INDEX('Match Groups'!$D$5:$D$1326,MATCH(J3272,'Match Groups'!$A$5:$A$1326,0))</f>
        <v>MATCH</v>
      </c>
    </row>
    <row r="3273">
      <c r="A3273" t="inlineStr">
        <is>
          <t>JI-03839</t>
        </is>
      </c>
      <c r="B3273" t="inlineStr">
        <is>
          <t>OPS</t>
        </is>
      </c>
      <c r="C3273" s="5" t="n">
        <v>46267</v>
      </c>
      <c r="D3273" t="inlineStr">
        <is>
          <t>Southside Couriers</t>
        </is>
      </c>
      <c r="E3273" t="inlineStr">
        <is>
          <t>BILL/2026/0936</t>
        </is>
      </c>
      <c r="F3273" t="inlineStr">
        <is>
          <t>Vendor payment BILL/2026/0936 (BATCH/2026/0420)</t>
        </is>
      </c>
      <c r="G3273" s="9" t="n">
        <v>-254.1</v>
      </c>
      <c r="H3273" t="inlineStr">
        <is>
          <t>supplier_payment</t>
        </is>
      </c>
      <c r="I3273" t="inlineStr">
        <is>
          <t>BATCH/2026/0420</t>
        </is>
      </c>
      <c r="J3273" t="inlineStr">
        <is>
          <t>G00534</t>
        </is>
      </c>
      <c r="K3273" t="str">
        <f>INDEX('Match Groups'!$D$5:$D$1326,MATCH(J3273,'Match Groups'!$A$5:$A$1326,0))</f>
        <v>MATCH</v>
      </c>
    </row>
    <row r="3274">
      <c r="A3274" t="inlineStr">
        <is>
          <t>JI-03840</t>
        </is>
      </c>
      <c r="B3274" t="inlineStr">
        <is>
          <t>OPS</t>
        </is>
      </c>
      <c r="C3274" s="5" t="n">
        <v>46267</v>
      </c>
      <c r="D3274" t="inlineStr">
        <is>
          <t>Brightline Signage</t>
        </is>
      </c>
      <c r="E3274" t="inlineStr">
        <is>
          <t>BILL/2026/0941</t>
        </is>
      </c>
      <c r="F3274" t="inlineStr">
        <is>
          <t>Vendor payment BILL/2026/0941 (BATCH/2026/0420)</t>
        </is>
      </c>
      <c r="G3274" s="9" t="n">
        <v>-385</v>
      </c>
      <c r="H3274" t="inlineStr">
        <is>
          <t>supplier_payment</t>
        </is>
      </c>
      <c r="I3274" t="inlineStr">
        <is>
          <t>BATCH/2026/0420</t>
        </is>
      </c>
      <c r="J3274" t="inlineStr">
        <is>
          <t>G00534</t>
        </is>
      </c>
      <c r="K3274" t="str">
        <f>INDEX('Match Groups'!$D$5:$D$1326,MATCH(J3274,'Match Groups'!$A$5:$A$1326,0))</f>
        <v>MATCH</v>
      </c>
    </row>
    <row r="3275">
      <c r="A3275" t="inlineStr">
        <is>
          <t>JI-03841</t>
        </is>
      </c>
      <c r="B3275" t="inlineStr">
        <is>
          <t>OPS</t>
        </is>
      </c>
      <c r="C3275" s="5" t="n">
        <v>46267</v>
      </c>
      <c r="D3275" t="inlineStr">
        <is>
          <t>Practice Fitout Joinery</t>
        </is>
      </c>
      <c r="E3275" t="inlineStr">
        <is>
          <t>BILL/2026/0933</t>
        </is>
      </c>
      <c r="F3275" t="inlineStr">
        <is>
          <t>Vendor payment BILL/2026/0933 (BATCH/2026/0420)</t>
        </is>
      </c>
      <c r="G3275" s="9" t="n">
        <v>-5940</v>
      </c>
      <c r="H3275" t="inlineStr">
        <is>
          <t>supplier_payment</t>
        </is>
      </c>
      <c r="I3275" t="inlineStr">
        <is>
          <t>BATCH/2026/0420</t>
        </is>
      </c>
      <c r="J3275" t="inlineStr">
        <is>
          <t>G00534</t>
        </is>
      </c>
      <c r="K3275" t="str">
        <f>INDEX('Match Groups'!$D$5:$D$1326,MATCH(J3275,'Match Groups'!$A$5:$A$1326,0))</f>
        <v>MATCH</v>
      </c>
    </row>
    <row r="3276">
      <c r="A3276" t="inlineStr">
        <is>
          <t>JI-03842</t>
        </is>
      </c>
      <c r="B3276" t="inlineStr">
        <is>
          <t>OPS</t>
        </is>
      </c>
      <c r="C3276" s="5" t="n">
        <v>46267</v>
      </c>
      <c r="D3276" t="inlineStr">
        <is>
          <t>Northern Pest Control</t>
        </is>
      </c>
      <c r="E3276" t="inlineStr">
        <is>
          <t>BILL/2026/0934</t>
        </is>
      </c>
      <c r="F3276" t="inlineStr">
        <is>
          <t>Vendor payment BILL/2026/0934 (BATCH/2026/0420)</t>
        </is>
      </c>
      <c r="G3276" s="9" t="n">
        <v>-3862.1</v>
      </c>
      <c r="H3276" t="inlineStr">
        <is>
          <t>supplier_payment</t>
        </is>
      </c>
      <c r="I3276" t="inlineStr">
        <is>
          <t>BATCH/2026/0420</t>
        </is>
      </c>
      <c r="J3276" t="inlineStr">
        <is>
          <t>G00534</t>
        </is>
      </c>
      <c r="K3276" t="str">
        <f>INDEX('Match Groups'!$D$5:$D$1326,MATCH(J3276,'Match Groups'!$A$5:$A$1326,0))</f>
        <v>MATCH</v>
      </c>
    </row>
    <row r="3277">
      <c r="A3277" t="inlineStr">
        <is>
          <t>JI-03843</t>
        </is>
      </c>
      <c r="B3277" t="inlineStr">
        <is>
          <t>OPS</t>
        </is>
      </c>
      <c r="C3277" s="5" t="n">
        <v>46267</v>
      </c>
      <c r="D3277" t="inlineStr">
        <is>
          <t>Medilab Pathology</t>
        </is>
      </c>
      <c r="E3277" t="inlineStr">
        <is>
          <t>BILL/2026/0937</t>
        </is>
      </c>
      <c r="F3277" t="inlineStr">
        <is>
          <t>Vendor payment BILL/2026/0937 (BATCH/2026/0420)</t>
        </is>
      </c>
      <c r="G3277" s="9" t="n">
        <v>-2432.1</v>
      </c>
      <c r="H3277" t="inlineStr">
        <is>
          <t>supplier_payment</t>
        </is>
      </c>
      <c r="I3277" t="inlineStr">
        <is>
          <t>BATCH/2026/0420</t>
        </is>
      </c>
      <c r="J3277" t="inlineStr">
        <is>
          <t>G00534</t>
        </is>
      </c>
      <c r="K3277" t="str">
        <f>INDEX('Match Groups'!$D$5:$D$1326,MATCH(J3277,'Match Groups'!$A$5:$A$1326,0))</f>
        <v>MATCH</v>
      </c>
    </row>
    <row r="3278">
      <c r="A3278" t="inlineStr">
        <is>
          <t>JI-03844</t>
        </is>
      </c>
      <c r="B3278" t="inlineStr">
        <is>
          <t>OPS</t>
        </is>
      </c>
      <c r="C3278" s="5" t="n">
        <v>46267</v>
      </c>
      <c r="D3278" t="inlineStr">
        <is>
          <t>Strategic HR Partners</t>
        </is>
      </c>
      <c r="E3278" t="inlineStr">
        <is>
          <t>BILL/2026/0935</t>
        </is>
      </c>
      <c r="F3278" t="inlineStr">
        <is>
          <t>Vendor payment BILL/2026/0935 (BATCH/2026/0420)</t>
        </is>
      </c>
      <c r="G3278" s="9" t="n">
        <v>-531.3</v>
      </c>
      <c r="H3278" t="inlineStr">
        <is>
          <t>supplier_payment</t>
        </is>
      </c>
      <c r="I3278" t="inlineStr">
        <is>
          <t>BATCH/2026/0420</t>
        </is>
      </c>
      <c r="J3278" t="inlineStr">
        <is>
          <t>G00534</t>
        </is>
      </c>
      <c r="K3278" t="str">
        <f>INDEX('Match Groups'!$D$5:$D$1326,MATCH(J3278,'Match Groups'!$A$5:$A$1326,0))</f>
        <v>MATCH</v>
      </c>
    </row>
    <row r="3279">
      <c r="A3279" t="inlineStr">
        <is>
          <t>JI-03845</t>
        </is>
      </c>
      <c r="B3279" t="inlineStr">
        <is>
          <t>OPS</t>
        </is>
      </c>
      <c r="C3279" s="5" t="n">
        <v>46267</v>
      </c>
      <c r="D3279" t="inlineStr">
        <is>
          <t>Strategic HR Partners</t>
        </is>
      </c>
      <c r="E3279" t="inlineStr">
        <is>
          <t>BILL/2026/0939</t>
        </is>
      </c>
      <c r="F3279" t="inlineStr">
        <is>
          <t>Vendor payment BILL/2026/0939 (BATCH/2026/0420)</t>
        </is>
      </c>
      <c r="G3279" s="9" t="n">
        <v>-278.3</v>
      </c>
      <c r="H3279" t="inlineStr">
        <is>
          <t>supplier_payment</t>
        </is>
      </c>
      <c r="I3279" t="inlineStr">
        <is>
          <t>BATCH/2026/0420</t>
        </is>
      </c>
      <c r="J3279" t="inlineStr">
        <is>
          <t>G00534</t>
        </is>
      </c>
      <c r="K3279" t="str">
        <f>INDEX('Match Groups'!$D$5:$D$1326,MATCH(J3279,'Match Groups'!$A$5:$A$1326,0))</f>
        <v>MATCH</v>
      </c>
    </row>
    <row r="3280">
      <c r="A3280" t="inlineStr">
        <is>
          <t>JI-03846</t>
        </is>
      </c>
      <c r="B3280" t="inlineStr">
        <is>
          <t>OPS</t>
        </is>
      </c>
      <c r="C3280" s="5" t="n">
        <v>46267</v>
      </c>
      <c r="D3280" t="inlineStr">
        <is>
          <t>Fibrewire Networks</t>
        </is>
      </c>
      <c r="E3280" t="inlineStr">
        <is>
          <t>BILL/2026/0938</t>
        </is>
      </c>
      <c r="F3280" t="inlineStr">
        <is>
          <t>Vendor payment BILL/2026/0938 (BATCH/2026/0420)</t>
        </is>
      </c>
      <c r="G3280" s="9" t="n">
        <v>-495</v>
      </c>
      <c r="H3280" t="inlineStr">
        <is>
          <t>supplier_payment</t>
        </is>
      </c>
      <c r="I3280" t="inlineStr">
        <is>
          <t>BATCH/2026/0420</t>
        </is>
      </c>
      <c r="J3280" t="inlineStr">
        <is>
          <t>G00534</t>
        </is>
      </c>
      <c r="K3280" t="str">
        <f>INDEX('Match Groups'!$D$5:$D$1326,MATCH(J3280,'Match Groups'!$A$5:$A$1326,0))</f>
        <v>MATCH</v>
      </c>
    </row>
    <row r="3281">
      <c r="A3281" t="inlineStr">
        <is>
          <t>JI-03847</t>
        </is>
      </c>
      <c r="B3281" t="inlineStr">
        <is>
          <t>OPS</t>
        </is>
      </c>
      <c r="C3281" s="5" t="n">
        <v>46267</v>
      </c>
      <c r="D3281" t="inlineStr">
        <is>
          <t>Fibrewire Networks</t>
        </is>
      </c>
      <c r="E3281" t="inlineStr">
        <is>
          <t>BILL/2026/0940</t>
        </is>
      </c>
      <c r="F3281" t="inlineStr">
        <is>
          <t>Vendor payment BILL/2026/0940 (BATCH/2026/0420)</t>
        </is>
      </c>
      <c r="G3281" s="9" t="n">
        <v>-660</v>
      </c>
      <c r="H3281" t="inlineStr">
        <is>
          <t>supplier_payment</t>
        </is>
      </c>
      <c r="I3281" t="inlineStr">
        <is>
          <t>BATCH/2026/0420</t>
        </is>
      </c>
      <c r="J3281" t="inlineStr">
        <is>
          <t>G00534</t>
        </is>
      </c>
      <c r="K3281" t="str">
        <f>INDEX('Match Groups'!$D$5:$D$1326,MATCH(J3281,'Match Groups'!$A$5:$A$1326,0))</f>
        <v>MATCH</v>
      </c>
    </row>
    <row r="3282">
      <c r="A3282" t="inlineStr">
        <is>
          <t>JI-03848</t>
        </is>
      </c>
      <c r="B3282" t="inlineStr">
        <is>
          <t>OPS</t>
        </is>
      </c>
      <c r="C3282" s="5" t="n">
        <v>46267</v>
      </c>
      <c r="D3282" t="inlineStr">
        <is>
          <t>Alpine Water Coolers</t>
        </is>
      </c>
      <c r="E3282" t="inlineStr">
        <is>
          <t>BILL/2026/0931</t>
        </is>
      </c>
      <c r="F3282" t="inlineStr">
        <is>
          <t>Vendor payment BILL/2026/0931 (BATCH/2026/0420)</t>
        </is>
      </c>
      <c r="G3282" s="9" t="n">
        <v>-165</v>
      </c>
      <c r="H3282" t="inlineStr">
        <is>
          <t>supplier_payment</t>
        </is>
      </c>
      <c r="I3282" t="inlineStr">
        <is>
          <t>BATCH/2026/0420</t>
        </is>
      </c>
      <c r="J3282" t="inlineStr">
        <is>
          <t>G00534</t>
        </is>
      </c>
      <c r="K3282" t="str">
        <f>INDEX('Match Groups'!$D$5:$D$1326,MATCH(J3282,'Match Groups'!$A$5:$A$1326,0))</f>
        <v>MATCH</v>
      </c>
    </row>
    <row r="3283">
      <c r="A3283" t="inlineStr">
        <is>
          <t>JI-01222</t>
        </is>
      </c>
      <c r="B3283" t="inlineStr">
        <is>
          <t>OPS</t>
        </is>
      </c>
      <c r="C3283" s="5" t="n">
        <v>46268</v>
      </c>
      <c r="D3283" t="inlineStr">
        <is>
          <t>Riverbend Plan Partners</t>
        </is>
      </c>
      <c r="E3283" t="inlineStr">
        <is>
          <t>INV/2026/02865</t>
        </is>
      </c>
      <c r="F3283" t="inlineStr">
        <is>
          <t>Customer payment INV/2026/02865</t>
        </is>
      </c>
      <c r="G3283" s="9" t="n">
        <v>145.49</v>
      </c>
      <c r="H3283" t="inlineStr">
        <is>
          <t>customer_payment</t>
        </is>
      </c>
      <c r="I3283" t="inlineStr"/>
      <c r="J3283" t="inlineStr">
        <is>
          <t>G00383</t>
        </is>
      </c>
      <c r="K3283" t="str">
        <f>INDEX('Match Groups'!$D$5:$D$1326,MATCH(J3283,'Match Groups'!$A$5:$A$1326,0))</f>
        <v>MATCH</v>
      </c>
    </row>
    <row r="3284">
      <c r="A3284" t="inlineStr">
        <is>
          <t>JI-01223</t>
        </is>
      </c>
      <c r="B3284" t="inlineStr">
        <is>
          <t>OPS</t>
        </is>
      </c>
      <c r="C3284" s="5" t="n">
        <v>46268</v>
      </c>
      <c r="D3284" t="inlineStr">
        <is>
          <t>Riverbend Plan Partners</t>
        </is>
      </c>
      <c r="E3284" t="inlineStr">
        <is>
          <t>INV/2026/02886</t>
        </is>
      </c>
      <c r="F3284" t="inlineStr">
        <is>
          <t>Customer payment INV/2026/02886</t>
        </is>
      </c>
      <c r="G3284" s="9" t="n">
        <v>175.49</v>
      </c>
      <c r="H3284" t="inlineStr">
        <is>
          <t>customer_payment</t>
        </is>
      </c>
      <c r="I3284" t="inlineStr"/>
      <c r="J3284" t="inlineStr">
        <is>
          <t>G00383</t>
        </is>
      </c>
      <c r="K3284" t="str">
        <f>INDEX('Match Groups'!$D$5:$D$1326,MATCH(J3284,'Match Groups'!$A$5:$A$1326,0))</f>
        <v>MATCH</v>
      </c>
    </row>
    <row r="3285">
      <c r="A3285" t="inlineStr">
        <is>
          <t>JI-01224</t>
        </is>
      </c>
      <c r="B3285" t="inlineStr">
        <is>
          <t>OPS</t>
        </is>
      </c>
      <c r="C3285" s="5" t="n">
        <v>46268</v>
      </c>
      <c r="D3285" t="inlineStr">
        <is>
          <t>Wattle Plan Services</t>
        </is>
      </c>
      <c r="E3285" t="inlineStr">
        <is>
          <t>INV/2026/02804</t>
        </is>
      </c>
      <c r="F3285" t="inlineStr">
        <is>
          <t>Customer payment INV/2026/02804</t>
        </is>
      </c>
      <c r="G3285" s="9" t="n">
        <v>203.69</v>
      </c>
      <c r="H3285" t="inlineStr">
        <is>
          <t>customer_payment</t>
        </is>
      </c>
      <c r="I3285" t="inlineStr"/>
      <c r="J3285" t="inlineStr">
        <is>
          <t>G00384</t>
        </is>
      </c>
      <c r="K3285" t="str">
        <f>INDEX('Match Groups'!$D$5:$D$1326,MATCH(J3285,'Match Groups'!$A$5:$A$1326,0))</f>
        <v>MATCH</v>
      </c>
    </row>
    <row r="3286">
      <c r="A3286" t="inlineStr">
        <is>
          <t>JI-01225</t>
        </is>
      </c>
      <c r="B3286" t="inlineStr">
        <is>
          <t>OPS</t>
        </is>
      </c>
      <c r="C3286" s="5" t="n">
        <v>46268</v>
      </c>
      <c r="D3286" t="inlineStr">
        <is>
          <t>Wattle Plan Services</t>
        </is>
      </c>
      <c r="E3286" t="inlineStr">
        <is>
          <t>INV/2026/02824</t>
        </is>
      </c>
      <c r="F3286" t="inlineStr">
        <is>
          <t>Customer payment INV/2026/02824</t>
        </is>
      </c>
      <c r="G3286" s="9" t="n">
        <v>145.49</v>
      </c>
      <c r="H3286" t="inlineStr">
        <is>
          <t>customer_payment</t>
        </is>
      </c>
      <c r="I3286" t="inlineStr"/>
      <c r="J3286" t="inlineStr">
        <is>
          <t>G00384</t>
        </is>
      </c>
      <c r="K3286" t="str">
        <f>INDEX('Match Groups'!$D$5:$D$1326,MATCH(J3286,'Match Groups'!$A$5:$A$1326,0))</f>
        <v>MATCH</v>
      </c>
    </row>
    <row r="3287">
      <c r="A3287" t="inlineStr">
        <is>
          <t>JI-01226</t>
        </is>
      </c>
      <c r="B3287" t="inlineStr">
        <is>
          <t>OPS</t>
        </is>
      </c>
      <c r="C3287" s="5" t="n">
        <v>46268</v>
      </c>
      <c r="D3287" t="inlineStr">
        <is>
          <t>Wattle Plan Services</t>
        </is>
      </c>
      <c r="E3287" t="inlineStr">
        <is>
          <t>INV/2026/02825</t>
        </is>
      </c>
      <c r="F3287" t="inlineStr">
        <is>
          <t>Customer payment INV/2026/02825</t>
        </is>
      </c>
      <c r="G3287" s="9" t="n">
        <v>300.69</v>
      </c>
      <c r="H3287" t="inlineStr">
        <is>
          <t>customer_payment</t>
        </is>
      </c>
      <c r="I3287" t="inlineStr"/>
      <c r="J3287" t="inlineStr">
        <is>
          <t>G00384</t>
        </is>
      </c>
      <c r="K3287" t="str">
        <f>INDEX('Match Groups'!$D$5:$D$1326,MATCH(J3287,'Match Groups'!$A$5:$A$1326,0))</f>
        <v>MATCH</v>
      </c>
    </row>
    <row r="3288">
      <c r="A3288" t="inlineStr">
        <is>
          <t>JI-01227</t>
        </is>
      </c>
      <c r="B3288" t="inlineStr">
        <is>
          <t>OPS</t>
        </is>
      </c>
      <c r="C3288" s="5" t="n">
        <v>46268</v>
      </c>
      <c r="D3288" t="inlineStr">
        <is>
          <t>Wattle Plan Services</t>
        </is>
      </c>
      <c r="E3288" t="inlineStr">
        <is>
          <t>INV/2026/02844</t>
        </is>
      </c>
      <c r="F3288" t="inlineStr">
        <is>
          <t>Customer payment INV/2026/02844</t>
        </is>
      </c>
      <c r="G3288" s="9" t="n">
        <v>300.69</v>
      </c>
      <c r="H3288" t="inlineStr">
        <is>
          <t>customer_payment</t>
        </is>
      </c>
      <c r="I3288" t="inlineStr"/>
      <c r="J3288" t="inlineStr">
        <is>
          <t>G00384</t>
        </is>
      </c>
      <c r="K3288" t="str">
        <f>INDEX('Match Groups'!$D$5:$D$1326,MATCH(J3288,'Match Groups'!$A$5:$A$1326,0))</f>
        <v>MATCH</v>
      </c>
    </row>
    <row r="3289">
      <c r="A3289" t="inlineStr">
        <is>
          <t>JI-01228</t>
        </is>
      </c>
      <c r="B3289" t="inlineStr">
        <is>
          <t>OPS</t>
        </is>
      </c>
      <c r="C3289" s="5" t="n">
        <v>46268</v>
      </c>
      <c r="D3289" t="inlineStr">
        <is>
          <t>Ironbark Plan Management</t>
        </is>
      </c>
      <c r="E3289" t="inlineStr">
        <is>
          <t>INV/2026/02892</t>
        </is>
      </c>
      <c r="F3289" t="inlineStr">
        <is>
          <t>Customer payment INV/2026/02892</t>
        </is>
      </c>
      <c r="G3289" s="9" t="n">
        <v>290.98</v>
      </c>
      <c r="H3289" t="inlineStr">
        <is>
          <t>customer_payment</t>
        </is>
      </c>
      <c r="I3289" t="inlineStr"/>
      <c r="J3289" t="inlineStr">
        <is>
          <t>G00385</t>
        </is>
      </c>
      <c r="K3289" t="str">
        <f>INDEX('Match Groups'!$D$5:$D$1326,MATCH(J3289,'Match Groups'!$A$5:$A$1326,0))</f>
        <v>MATCH</v>
      </c>
    </row>
    <row r="3290">
      <c r="A3290" t="inlineStr">
        <is>
          <t>JI-01229</t>
        </is>
      </c>
      <c r="B3290" t="inlineStr">
        <is>
          <t>OPS</t>
        </is>
      </c>
      <c r="C3290" s="5" t="n">
        <v>46268</v>
      </c>
      <c r="D3290" t="inlineStr">
        <is>
          <t>Ironbark Plan Management</t>
        </is>
      </c>
      <c r="E3290" t="inlineStr">
        <is>
          <t>INV/2026/02893</t>
        </is>
      </c>
      <c r="F3290" t="inlineStr">
        <is>
          <t>Customer payment INV/2026/02893</t>
        </is>
      </c>
      <c r="G3290" s="9" t="n">
        <v>387.98</v>
      </c>
      <c r="H3290" t="inlineStr">
        <is>
          <t>customer_payment</t>
        </is>
      </c>
      <c r="I3290" t="inlineStr"/>
      <c r="J3290" t="inlineStr">
        <is>
          <t>G00385</t>
        </is>
      </c>
      <c r="K3290" t="str">
        <f>INDEX('Match Groups'!$D$5:$D$1326,MATCH(J3290,'Match Groups'!$A$5:$A$1326,0))</f>
        <v>MATCH</v>
      </c>
    </row>
    <row r="3291">
      <c r="A3291" t="inlineStr">
        <is>
          <t>JI-01230</t>
        </is>
      </c>
      <c r="B3291" t="inlineStr">
        <is>
          <t>OPS</t>
        </is>
      </c>
      <c r="C3291" s="5" t="n">
        <v>46268</v>
      </c>
      <c r="D3291" t="inlineStr">
        <is>
          <t>Redgum Plan Admin</t>
        </is>
      </c>
      <c r="E3291" t="inlineStr">
        <is>
          <t>INV/2026/02914</t>
        </is>
      </c>
      <c r="F3291" t="inlineStr">
        <is>
          <t>Customer payment INV/2026/02914</t>
        </is>
      </c>
      <c r="G3291" s="9" t="n">
        <v>417.98</v>
      </c>
      <c r="H3291" t="inlineStr">
        <is>
          <t>customer_payment</t>
        </is>
      </c>
      <c r="I3291" t="inlineStr"/>
      <c r="J3291" t="inlineStr">
        <is>
          <t>G00386</t>
        </is>
      </c>
      <c r="K3291" t="str">
        <f>INDEX('Match Groups'!$D$5:$D$1326,MATCH(J3291,'Match Groups'!$A$5:$A$1326,0))</f>
        <v>MATCH</v>
      </c>
    </row>
    <row r="3292">
      <c r="A3292" t="inlineStr">
        <is>
          <t>JI-01237</t>
        </is>
      </c>
      <c r="B3292" t="inlineStr">
        <is>
          <t>OPS</t>
        </is>
      </c>
      <c r="C3292" s="5" t="n">
        <v>46268</v>
      </c>
      <c r="D3292" t="inlineStr">
        <is>
          <t>Banksia Plan Co</t>
        </is>
      </c>
      <c r="E3292" t="inlineStr">
        <is>
          <t>INV/2026/02868</t>
        </is>
      </c>
      <c r="F3292" t="inlineStr">
        <is>
          <t>Customer payment INV/2026/02868</t>
        </is>
      </c>
      <c r="G3292" s="9" t="n">
        <v>387.98</v>
      </c>
      <c r="H3292" t="inlineStr">
        <is>
          <t>customer_payment</t>
        </is>
      </c>
      <c r="I3292" t="inlineStr"/>
      <c r="J3292" t="inlineStr">
        <is>
          <t>G00391</t>
        </is>
      </c>
      <c r="K3292" t="str">
        <f>INDEX('Match Groups'!$D$5:$D$1326,MATCH(J3292,'Match Groups'!$A$5:$A$1326,0))</f>
        <v>MATCH</v>
      </c>
    </row>
    <row r="3293">
      <c r="A3293" t="inlineStr">
        <is>
          <t>JI-01238</t>
        </is>
      </c>
      <c r="B3293" t="inlineStr">
        <is>
          <t>OPS</t>
        </is>
      </c>
      <c r="C3293" s="5" t="n">
        <v>46268</v>
      </c>
      <c r="D3293" t="inlineStr">
        <is>
          <t>Saltbush Plan Managers</t>
        </is>
      </c>
      <c r="E3293" t="inlineStr">
        <is>
          <t>INV/2026/02850</t>
        </is>
      </c>
      <c r="F3293" t="inlineStr">
        <is>
          <t>Customer payment INV/2026/02850</t>
        </is>
      </c>
      <c r="G3293" s="9" t="n">
        <v>349.18</v>
      </c>
      <c r="H3293" t="inlineStr">
        <is>
          <t>customer_payment</t>
        </is>
      </c>
      <c r="I3293" t="inlineStr"/>
      <c r="J3293" t="inlineStr">
        <is>
          <t>G00392</t>
        </is>
      </c>
      <c r="K3293" t="str">
        <f>INDEX('Match Groups'!$D$5:$D$1326,MATCH(J3293,'Match Groups'!$A$5:$A$1326,0))</f>
        <v>MATCH</v>
      </c>
    </row>
    <row r="3294">
      <c r="A3294" t="inlineStr">
        <is>
          <t>JI-01239</t>
        </is>
      </c>
      <c r="B3294" t="inlineStr">
        <is>
          <t>OPS</t>
        </is>
      </c>
      <c r="C3294" s="5" t="n">
        <v>46268</v>
      </c>
      <c r="D3294" t="inlineStr">
        <is>
          <t>Saltbush Plan Managers</t>
        </is>
      </c>
      <c r="E3294" t="inlineStr">
        <is>
          <t>INV/2026/02896</t>
        </is>
      </c>
      <c r="F3294" t="inlineStr">
        <is>
          <t>Customer payment INV/2026/02896</t>
        </is>
      </c>
      <c r="G3294" s="9" t="n">
        <v>290.98</v>
      </c>
      <c r="H3294" t="inlineStr">
        <is>
          <t>customer_payment</t>
        </is>
      </c>
      <c r="I3294" t="inlineStr"/>
      <c r="J3294" t="inlineStr">
        <is>
          <t>G00392</t>
        </is>
      </c>
      <c r="K3294" t="str">
        <f>INDEX('Match Groups'!$D$5:$D$1326,MATCH(J3294,'Match Groups'!$A$5:$A$1326,0))</f>
        <v>MATCH</v>
      </c>
    </row>
    <row r="3295">
      <c r="A3295" t="inlineStr">
        <is>
          <t>JI-01240</t>
        </is>
      </c>
      <c r="B3295" t="inlineStr">
        <is>
          <t>OPS</t>
        </is>
      </c>
      <c r="C3295" s="5" t="n">
        <v>46268</v>
      </c>
      <c r="D3295" t="inlineStr">
        <is>
          <t>Saltbush Plan Managers</t>
        </is>
      </c>
      <c r="E3295" t="inlineStr">
        <is>
          <t>INV/2026/02913</t>
        </is>
      </c>
      <c r="F3295" t="inlineStr">
        <is>
          <t>Customer payment INV/2026/02913</t>
        </is>
      </c>
      <c r="G3295" s="9" t="n">
        <v>252.19</v>
      </c>
      <c r="H3295" t="inlineStr">
        <is>
          <t>customer_payment</t>
        </is>
      </c>
      <c r="I3295" t="inlineStr"/>
      <c r="J3295" t="inlineStr">
        <is>
          <t>G00392</t>
        </is>
      </c>
      <c r="K3295" t="str">
        <f>INDEX('Match Groups'!$D$5:$D$1326,MATCH(J3295,'Match Groups'!$A$5:$A$1326,0))</f>
        <v>MATCH</v>
      </c>
    </row>
    <row r="3296">
      <c r="A3296" t="inlineStr">
        <is>
          <t>JI-01546</t>
        </is>
      </c>
      <c r="B3296" t="inlineStr">
        <is>
          <t>OPS</t>
        </is>
      </c>
      <c r="C3296" s="5" t="n">
        <v>46268</v>
      </c>
      <c r="D3296" t="inlineStr">
        <is>
          <t>Harbour Mutual Health</t>
        </is>
      </c>
      <c r="E3296" t="inlineStr">
        <is>
          <t>INV/2026/02654</t>
        </is>
      </c>
      <c r="F3296" t="inlineStr">
        <is>
          <t>Customer payment INV/2026/02654</t>
        </is>
      </c>
      <c r="G3296" s="9" t="n">
        <v>88</v>
      </c>
      <c r="H3296" t="inlineStr">
        <is>
          <t>customer_payment</t>
        </is>
      </c>
      <c r="I3296" t="inlineStr"/>
      <c r="J3296" t="inlineStr">
        <is>
          <t>G01039</t>
        </is>
      </c>
      <c r="K3296" t="str">
        <f>INDEX('Match Groups'!$D$5:$D$1326,MATCH(J3296,'Match Groups'!$A$5:$A$1326,0))</f>
        <v>MATCH</v>
      </c>
    </row>
    <row r="3297">
      <c r="A3297" t="inlineStr">
        <is>
          <t>JI-01550</t>
        </is>
      </c>
      <c r="B3297" t="inlineStr">
        <is>
          <t>OPS</t>
        </is>
      </c>
      <c r="C3297" s="5" t="n">
        <v>46268</v>
      </c>
      <c r="D3297" t="inlineStr">
        <is>
          <t>Harbour Mutual Health</t>
        </is>
      </c>
      <c r="E3297" t="inlineStr">
        <is>
          <t>INV/2026/02818</t>
        </is>
      </c>
      <c r="F3297" t="inlineStr">
        <is>
          <t>Customer payment INV/2026/02818</t>
        </is>
      </c>
      <c r="G3297" s="9" t="n">
        <v>176</v>
      </c>
      <c r="H3297" t="inlineStr">
        <is>
          <t>customer_payment</t>
        </is>
      </c>
      <c r="I3297" t="inlineStr"/>
      <c r="J3297" t="inlineStr">
        <is>
          <t>G01041</t>
        </is>
      </c>
      <c r="K3297" t="str">
        <f>INDEX('Match Groups'!$D$5:$D$1326,MATCH(J3297,'Match Groups'!$A$5:$A$1326,0))</f>
        <v>MATCH</v>
      </c>
    </row>
    <row r="3298">
      <c r="A3298" t="inlineStr">
        <is>
          <t>JI-01551</t>
        </is>
      </c>
      <c r="B3298" t="inlineStr">
        <is>
          <t>OPS</t>
        </is>
      </c>
      <c r="C3298" s="5" t="n">
        <v>46268</v>
      </c>
      <c r="D3298" t="inlineStr">
        <is>
          <t>Harbour Mutual Health</t>
        </is>
      </c>
      <c r="E3298" t="inlineStr">
        <is>
          <t>INV/2026/02862</t>
        </is>
      </c>
      <c r="F3298" t="inlineStr">
        <is>
          <t>Customer payment INV/2026/02862</t>
        </is>
      </c>
      <c r="G3298" s="9" t="n">
        <v>412.5</v>
      </c>
      <c r="H3298" t="inlineStr">
        <is>
          <t>customer_payment</t>
        </is>
      </c>
      <c r="I3298" t="inlineStr"/>
      <c r="J3298" t="inlineStr">
        <is>
          <t>G01042</t>
        </is>
      </c>
      <c r="K3298" t="str">
        <f>INDEX('Match Groups'!$D$5:$D$1326,MATCH(J3298,'Match Groups'!$A$5:$A$1326,0))</f>
        <v>MATCH</v>
      </c>
    </row>
    <row r="3299">
      <c r="A3299" t="inlineStr">
        <is>
          <t>JI-01567</t>
        </is>
      </c>
      <c r="B3299" t="inlineStr">
        <is>
          <t>OPS</t>
        </is>
      </c>
      <c r="C3299" s="5" t="n">
        <v>46268</v>
      </c>
      <c r="D3299" t="inlineStr">
        <is>
          <t>Coastline Health Fund</t>
        </is>
      </c>
      <c r="E3299" t="inlineStr">
        <is>
          <t>INV/2026/02734</t>
        </is>
      </c>
      <c r="F3299" t="inlineStr">
        <is>
          <t>Customer payment INV/2026/02734</t>
        </is>
      </c>
      <c r="G3299" s="9" t="n">
        <v>132</v>
      </c>
      <c r="H3299" t="inlineStr">
        <is>
          <t>customer_payment</t>
        </is>
      </c>
      <c r="I3299" t="inlineStr"/>
      <c r="J3299" t="inlineStr">
        <is>
          <t>G01043</t>
        </is>
      </c>
      <c r="K3299" t="str">
        <f>INDEX('Match Groups'!$D$5:$D$1326,MATCH(J3299,'Match Groups'!$A$5:$A$1326,0))</f>
        <v>MATCH</v>
      </c>
    </row>
    <row r="3300">
      <c r="A3300" t="inlineStr">
        <is>
          <t>JI-01713</t>
        </is>
      </c>
      <c r="B3300" t="inlineStr">
        <is>
          <t>OPS</t>
        </is>
      </c>
      <c r="C3300" s="5" t="n">
        <v>46268</v>
      </c>
      <c r="D3300" t="inlineStr">
        <is>
          <t>Peregrine Security</t>
        </is>
      </c>
      <c r="E3300" t="inlineStr">
        <is>
          <t>INV/2026/03544</t>
        </is>
      </c>
      <c r="F3300" t="inlineStr">
        <is>
          <t>Customer payment INV/2026/03544</t>
        </is>
      </c>
      <c r="G3300" s="9" t="n">
        <v>3616.25</v>
      </c>
      <c r="H3300" t="inlineStr">
        <is>
          <t>customer_payment</t>
        </is>
      </c>
      <c r="I3300" t="inlineStr"/>
      <c r="J3300" t="inlineStr">
        <is>
          <t>G01049</t>
        </is>
      </c>
      <c r="K3300" t="str">
        <f>INDEX('Match Groups'!$D$5:$D$1326,MATCH(J3300,'Match Groups'!$A$5:$A$1326,0))</f>
        <v>MATCH</v>
      </c>
    </row>
    <row r="3301">
      <c r="A3301" t="inlineStr">
        <is>
          <t>JI-01720</t>
        </is>
      </c>
      <c r="B3301" t="inlineStr">
        <is>
          <t>OPS</t>
        </is>
      </c>
      <c r="C3301" s="5" t="n">
        <v>46268</v>
      </c>
      <c r="D3301" t="inlineStr">
        <is>
          <t>Elmhurst Property Group</t>
        </is>
      </c>
      <c r="E3301" t="inlineStr">
        <is>
          <t>INV/2026/03549</t>
        </is>
      </c>
      <c r="F3301" t="inlineStr">
        <is>
          <t>Customer payment INV/2026/03549</t>
        </is>
      </c>
      <c r="G3301" s="9" t="n">
        <v>3465</v>
      </c>
      <c r="H3301" t="inlineStr">
        <is>
          <t>customer_payment</t>
        </is>
      </c>
      <c r="I3301" t="inlineStr"/>
      <c r="J3301" t="inlineStr">
        <is>
          <t>G01155</t>
        </is>
      </c>
      <c r="K3301" t="str">
        <f>INDEX('Match Groups'!$D$5:$D$1326,MATCH(J3301,'Match Groups'!$A$5:$A$1326,0))</f>
        <v>MATCH</v>
      </c>
    </row>
    <row r="3302">
      <c r="A3302" t="inlineStr">
        <is>
          <t>JI-01760</t>
        </is>
      </c>
      <c r="B3302" t="inlineStr">
        <is>
          <t>OPS</t>
        </is>
      </c>
      <c r="C3302" s="5" t="n">
        <v>46268</v>
      </c>
      <c r="D3302" t="inlineStr">
        <is>
          <t>Pendle Hill Bakery</t>
        </is>
      </c>
      <c r="E3302" t="inlineStr">
        <is>
          <t>INV/2026/03564</t>
        </is>
      </c>
      <c r="F3302" t="inlineStr">
        <is>
          <t>Customer payment INV/2026/03564</t>
        </is>
      </c>
      <c r="G3302" s="9" t="n">
        <v>3547.5</v>
      </c>
      <c r="H3302" t="inlineStr">
        <is>
          <t>customer_payment</t>
        </is>
      </c>
      <c r="I3302" t="inlineStr"/>
      <c r="J3302" t="inlineStr">
        <is>
          <t>G01045</t>
        </is>
      </c>
      <c r="K3302" t="str">
        <f>INDEX('Match Groups'!$D$5:$D$1326,MATCH(J3302,'Match Groups'!$A$5:$A$1326,0))</f>
        <v>MATCH</v>
      </c>
    </row>
    <row r="3303">
      <c r="A3303" t="inlineStr">
        <is>
          <t>JI-03156</t>
        </is>
      </c>
      <c r="B3303" t="inlineStr">
        <is>
          <t>OPS</t>
        </is>
      </c>
      <c r="C3303" s="5" t="n">
        <v>46268</v>
      </c>
      <c r="D3303" t="inlineStr">
        <is>
          <t>Stripe patient 25703</t>
        </is>
      </c>
      <c r="E3303" t="inlineStr">
        <is>
          <t>INV/2026/04998</t>
        </is>
      </c>
      <c r="F3303" t="inlineStr">
        <is>
          <t>Customer payment INV/2026/04998</t>
        </is>
      </c>
      <c r="G3303" s="9" t="n">
        <v>85</v>
      </c>
      <c r="H3303" t="inlineStr">
        <is>
          <t>customer_payment</t>
        </is>
      </c>
      <c r="I3303" t="inlineStr"/>
      <c r="J3303" t="inlineStr">
        <is>
          <t>G00062</t>
        </is>
      </c>
      <c r="K3303" t="str">
        <f>INDEX('Match Groups'!$D$5:$D$1326,MATCH(J3303,'Match Groups'!$A$5:$A$1326,0))</f>
        <v>STRIPE-FEE</v>
      </c>
    </row>
    <row r="3304">
      <c r="A3304" t="inlineStr">
        <is>
          <t>JI-03157</t>
        </is>
      </c>
      <c r="B3304" t="inlineStr">
        <is>
          <t>OPS</t>
        </is>
      </c>
      <c r="C3304" s="5" t="n">
        <v>46268</v>
      </c>
      <c r="D3304" t="inlineStr">
        <is>
          <t>Stripe patient 76900</t>
        </is>
      </c>
      <c r="E3304" t="inlineStr">
        <is>
          <t>INV/2026/04999</t>
        </is>
      </c>
      <c r="F3304" t="inlineStr">
        <is>
          <t>Customer payment INV/2026/04999</t>
        </is>
      </c>
      <c r="G3304" s="9" t="n">
        <v>110</v>
      </c>
      <c r="H3304" t="inlineStr">
        <is>
          <t>customer_payment</t>
        </is>
      </c>
      <c r="I3304" t="inlineStr"/>
      <c r="J3304" t="inlineStr">
        <is>
          <t>G00062</t>
        </is>
      </c>
      <c r="K3304" t="str">
        <f>INDEX('Match Groups'!$D$5:$D$1326,MATCH(J3304,'Match Groups'!$A$5:$A$1326,0))</f>
        <v>STRIPE-FEE</v>
      </c>
    </row>
    <row r="3305">
      <c r="A3305" t="inlineStr">
        <is>
          <t>JI-03158</t>
        </is>
      </c>
      <c r="B3305" t="inlineStr">
        <is>
          <t>OPS</t>
        </is>
      </c>
      <c r="C3305" s="5" t="n">
        <v>46268</v>
      </c>
      <c r="D3305" t="inlineStr">
        <is>
          <t>Stripe patient 13554</t>
        </is>
      </c>
      <c r="E3305" t="inlineStr">
        <is>
          <t>INV/2026/05000</t>
        </is>
      </c>
      <c r="F3305" t="inlineStr">
        <is>
          <t>Customer payment INV/2026/05000</t>
        </is>
      </c>
      <c r="G3305" s="9" t="n">
        <v>120</v>
      </c>
      <c r="H3305" t="inlineStr">
        <is>
          <t>customer_payment</t>
        </is>
      </c>
      <c r="I3305" t="inlineStr"/>
      <c r="J3305" t="inlineStr">
        <is>
          <t>G00062</t>
        </is>
      </c>
      <c r="K3305" t="str">
        <f>INDEX('Match Groups'!$D$5:$D$1326,MATCH(J3305,'Match Groups'!$A$5:$A$1326,0))</f>
        <v>STRIPE-FEE</v>
      </c>
    </row>
    <row r="3306">
      <c r="A3306" t="inlineStr">
        <is>
          <t>JI-03159</t>
        </is>
      </c>
      <c r="B3306" t="inlineStr">
        <is>
          <t>OPS</t>
        </is>
      </c>
      <c r="C3306" s="5" t="n">
        <v>46268</v>
      </c>
      <c r="D3306" t="inlineStr">
        <is>
          <t>Stripe patient 17648</t>
        </is>
      </c>
      <c r="E3306" t="inlineStr">
        <is>
          <t>INV/2026/05001</t>
        </is>
      </c>
      <c r="F3306" t="inlineStr">
        <is>
          <t>Customer payment INV/2026/05001</t>
        </is>
      </c>
      <c r="G3306" s="9" t="n">
        <v>110</v>
      </c>
      <c r="H3306" t="inlineStr">
        <is>
          <t>customer_payment</t>
        </is>
      </c>
      <c r="I3306" t="inlineStr"/>
      <c r="J3306" t="inlineStr">
        <is>
          <t>G00062</t>
        </is>
      </c>
      <c r="K3306" t="str">
        <f>INDEX('Match Groups'!$D$5:$D$1326,MATCH(J3306,'Match Groups'!$A$5:$A$1326,0))</f>
        <v>STRIPE-FEE</v>
      </c>
    </row>
    <row r="3307">
      <c r="A3307" t="inlineStr">
        <is>
          <t>JI-03160</t>
        </is>
      </c>
      <c r="B3307" t="inlineStr">
        <is>
          <t>OPS</t>
        </is>
      </c>
      <c r="C3307" s="5" t="n">
        <v>46268</v>
      </c>
      <c r="D3307" t="inlineStr">
        <is>
          <t>Stripe patient 18172</t>
        </is>
      </c>
      <c r="E3307" t="inlineStr">
        <is>
          <t>INV/2026/05002</t>
        </is>
      </c>
      <c r="F3307" t="inlineStr">
        <is>
          <t>Customer payment INV/2026/05002</t>
        </is>
      </c>
      <c r="G3307" s="9" t="n">
        <v>110</v>
      </c>
      <c r="H3307" t="inlineStr">
        <is>
          <t>customer_payment</t>
        </is>
      </c>
      <c r="I3307" t="inlineStr"/>
      <c r="J3307" t="inlineStr">
        <is>
          <t>G00062</t>
        </is>
      </c>
      <c r="K3307" t="str">
        <f>INDEX('Match Groups'!$D$5:$D$1326,MATCH(J3307,'Match Groups'!$A$5:$A$1326,0))</f>
        <v>STRIPE-FEE</v>
      </c>
    </row>
    <row r="3308">
      <c r="A3308" t="inlineStr">
        <is>
          <t>JI-03161</t>
        </is>
      </c>
      <c r="B3308" t="inlineStr">
        <is>
          <t>OPS</t>
        </is>
      </c>
      <c r="C3308" s="5" t="n">
        <v>46268</v>
      </c>
      <c r="D3308" t="inlineStr">
        <is>
          <t>Stripe patient 20276</t>
        </is>
      </c>
      <c r="E3308" t="inlineStr">
        <is>
          <t>INV/2026/05003</t>
        </is>
      </c>
      <c r="F3308" t="inlineStr">
        <is>
          <t>Customer payment INV/2026/05003</t>
        </is>
      </c>
      <c r="G3308" s="9" t="n">
        <v>120</v>
      </c>
      <c r="H3308" t="inlineStr">
        <is>
          <t>customer_payment</t>
        </is>
      </c>
      <c r="I3308" t="inlineStr"/>
      <c r="J3308" t="inlineStr">
        <is>
          <t>G00062</t>
        </is>
      </c>
      <c r="K3308" t="str">
        <f>INDEX('Match Groups'!$D$5:$D$1326,MATCH(J3308,'Match Groups'!$A$5:$A$1326,0))</f>
        <v>STRIPE-FEE</v>
      </c>
    </row>
    <row r="3309">
      <c r="A3309" t="inlineStr">
        <is>
          <t>JI-03162</t>
        </is>
      </c>
      <c r="B3309" t="inlineStr">
        <is>
          <t>OPS</t>
        </is>
      </c>
      <c r="C3309" s="5" t="n">
        <v>46268</v>
      </c>
      <c r="D3309" t="inlineStr">
        <is>
          <t>Stripe patient 62784</t>
        </is>
      </c>
      <c r="E3309" t="inlineStr">
        <is>
          <t>INV/2026/05004</t>
        </is>
      </c>
      <c r="F3309" t="inlineStr">
        <is>
          <t>Customer payment INV/2026/05004</t>
        </is>
      </c>
      <c r="G3309" s="9" t="n">
        <v>65</v>
      </c>
      <c r="H3309" t="inlineStr">
        <is>
          <t>customer_payment</t>
        </is>
      </c>
      <c r="I3309" t="inlineStr"/>
      <c r="J3309" t="inlineStr">
        <is>
          <t>G00062</t>
        </is>
      </c>
      <c r="K3309" t="str">
        <f>INDEX('Match Groups'!$D$5:$D$1326,MATCH(J3309,'Match Groups'!$A$5:$A$1326,0))</f>
        <v>STRIPE-FEE</v>
      </c>
    </row>
    <row r="3310">
      <c r="A3310" t="inlineStr">
        <is>
          <t>JI-03163</t>
        </is>
      </c>
      <c r="B3310" t="inlineStr">
        <is>
          <t>OPS</t>
        </is>
      </c>
      <c r="C3310" s="5" t="n">
        <v>46268</v>
      </c>
      <c r="D3310" t="inlineStr">
        <is>
          <t>Stripe patient 13214</t>
        </is>
      </c>
      <c r="E3310" t="inlineStr">
        <is>
          <t>INV/2026/05005</t>
        </is>
      </c>
      <c r="F3310" t="inlineStr">
        <is>
          <t>Customer payment INV/2026/05005</t>
        </is>
      </c>
      <c r="G3310" s="9" t="n">
        <v>135</v>
      </c>
      <c r="H3310" t="inlineStr">
        <is>
          <t>customer_payment</t>
        </is>
      </c>
      <c r="I3310" t="inlineStr"/>
      <c r="J3310" t="inlineStr">
        <is>
          <t>G00062</t>
        </is>
      </c>
      <c r="K3310" t="str">
        <f>INDEX('Match Groups'!$D$5:$D$1326,MATCH(J3310,'Match Groups'!$A$5:$A$1326,0))</f>
        <v>STRIPE-FEE</v>
      </c>
    </row>
    <row r="3311">
      <c r="A3311" t="inlineStr">
        <is>
          <t>JI-03164</t>
        </is>
      </c>
      <c r="B3311" t="inlineStr">
        <is>
          <t>OPS</t>
        </is>
      </c>
      <c r="C3311" s="5" t="n">
        <v>46268</v>
      </c>
      <c r="D3311" t="inlineStr">
        <is>
          <t>Stripe patient 71522</t>
        </is>
      </c>
      <c r="E3311" t="inlineStr">
        <is>
          <t>INV/2026/05006</t>
        </is>
      </c>
      <c r="F3311" t="inlineStr">
        <is>
          <t>Customer payment INV/2026/05006</t>
        </is>
      </c>
      <c r="G3311" s="9" t="n">
        <v>65</v>
      </c>
      <c r="H3311" t="inlineStr">
        <is>
          <t>customer_payment</t>
        </is>
      </c>
      <c r="I3311" t="inlineStr"/>
      <c r="J3311" t="inlineStr">
        <is>
          <t>G00062</t>
        </is>
      </c>
      <c r="K3311" t="str">
        <f>INDEX('Match Groups'!$D$5:$D$1326,MATCH(J3311,'Match Groups'!$A$5:$A$1326,0))</f>
        <v>STRIPE-FEE</v>
      </c>
    </row>
    <row r="3312">
      <c r="A3312" t="inlineStr">
        <is>
          <t>JI-03165</t>
        </is>
      </c>
      <c r="B3312" t="inlineStr">
        <is>
          <t>OPS</t>
        </is>
      </c>
      <c r="C3312" s="5" t="n">
        <v>46268</v>
      </c>
      <c r="D3312" t="inlineStr">
        <is>
          <t>Stripe patient 40721</t>
        </is>
      </c>
      <c r="E3312" t="inlineStr">
        <is>
          <t>INV/2026/05007</t>
        </is>
      </c>
      <c r="F3312" t="inlineStr">
        <is>
          <t>Customer payment INV/2026/05007</t>
        </is>
      </c>
      <c r="G3312" s="9" t="n">
        <v>95</v>
      </c>
      <c r="H3312" t="inlineStr">
        <is>
          <t>customer_payment</t>
        </is>
      </c>
      <c r="I3312" t="inlineStr"/>
      <c r="J3312" t="inlineStr">
        <is>
          <t>G00062</t>
        </is>
      </c>
      <c r="K3312" t="str">
        <f>INDEX('Match Groups'!$D$5:$D$1326,MATCH(J3312,'Match Groups'!$A$5:$A$1326,0))</f>
        <v>STRIPE-FEE</v>
      </c>
    </row>
    <row r="3313">
      <c r="A3313" t="inlineStr">
        <is>
          <t>JI-03166</t>
        </is>
      </c>
      <c r="B3313" t="inlineStr">
        <is>
          <t>OPS</t>
        </is>
      </c>
      <c r="C3313" s="5" t="n">
        <v>46268</v>
      </c>
      <c r="D3313" t="inlineStr">
        <is>
          <t>Stripe patient 65036</t>
        </is>
      </c>
      <c r="E3313" t="inlineStr">
        <is>
          <t>INV/2026/05008</t>
        </is>
      </c>
      <c r="F3313" t="inlineStr">
        <is>
          <t>Customer payment INV/2026/05008</t>
        </is>
      </c>
      <c r="G3313" s="9" t="n">
        <v>95</v>
      </c>
      <c r="H3313" t="inlineStr">
        <is>
          <t>customer_payment</t>
        </is>
      </c>
      <c r="I3313" t="inlineStr"/>
      <c r="J3313" t="inlineStr">
        <is>
          <t>G00062</t>
        </is>
      </c>
      <c r="K3313" t="str">
        <f>INDEX('Match Groups'!$D$5:$D$1326,MATCH(J3313,'Match Groups'!$A$5:$A$1326,0))</f>
        <v>STRIPE-FEE</v>
      </c>
    </row>
    <row r="3314">
      <c r="A3314" t="inlineStr">
        <is>
          <t>JI-03167</t>
        </is>
      </c>
      <c r="B3314" t="inlineStr">
        <is>
          <t>OPS</t>
        </is>
      </c>
      <c r="C3314" s="5" t="n">
        <v>46268</v>
      </c>
      <c r="D3314" t="inlineStr">
        <is>
          <t>Stripe patient 74544</t>
        </is>
      </c>
      <c r="E3314" t="inlineStr">
        <is>
          <t>INV/2026/05009</t>
        </is>
      </c>
      <c r="F3314" t="inlineStr">
        <is>
          <t>Customer payment INV/2026/05009</t>
        </is>
      </c>
      <c r="G3314" s="9" t="n">
        <v>65</v>
      </c>
      <c r="H3314" t="inlineStr">
        <is>
          <t>customer_payment</t>
        </is>
      </c>
      <c r="I3314" t="inlineStr"/>
      <c r="J3314" t="inlineStr">
        <is>
          <t>G00062</t>
        </is>
      </c>
      <c r="K3314" t="str">
        <f>INDEX('Match Groups'!$D$5:$D$1326,MATCH(J3314,'Match Groups'!$A$5:$A$1326,0))</f>
        <v>STRIPE-FEE</v>
      </c>
    </row>
    <row r="3315">
      <c r="A3315" t="inlineStr">
        <is>
          <t>JI-03168</t>
        </is>
      </c>
      <c r="B3315" t="inlineStr">
        <is>
          <t>OPS</t>
        </is>
      </c>
      <c r="C3315" s="5" t="n">
        <v>46268</v>
      </c>
      <c r="D3315" t="inlineStr">
        <is>
          <t>Stripe patient 69966</t>
        </is>
      </c>
      <c r="E3315" t="inlineStr">
        <is>
          <t>INV/2026/05010</t>
        </is>
      </c>
      <c r="F3315" t="inlineStr">
        <is>
          <t>Customer payment INV/2026/05010</t>
        </is>
      </c>
      <c r="G3315" s="9" t="n">
        <v>65</v>
      </c>
      <c r="H3315" t="inlineStr">
        <is>
          <t>customer_payment</t>
        </is>
      </c>
      <c r="I3315" t="inlineStr"/>
      <c r="J3315" t="inlineStr">
        <is>
          <t>G00062</t>
        </is>
      </c>
      <c r="K3315" t="str">
        <f>INDEX('Match Groups'!$D$5:$D$1326,MATCH(J3315,'Match Groups'!$A$5:$A$1326,0))</f>
        <v>STRIPE-FEE</v>
      </c>
    </row>
    <row r="3316">
      <c r="A3316" t="inlineStr">
        <is>
          <t>JI-03169</t>
        </is>
      </c>
      <c r="B3316" t="inlineStr">
        <is>
          <t>OPS</t>
        </is>
      </c>
      <c r="C3316" s="5" t="n">
        <v>46268</v>
      </c>
      <c r="D3316" t="inlineStr">
        <is>
          <t>Stripe patient 29707</t>
        </is>
      </c>
      <c r="E3316" t="inlineStr">
        <is>
          <t>INV/2026/05011</t>
        </is>
      </c>
      <c r="F3316" t="inlineStr">
        <is>
          <t>Customer payment INV/2026/05011</t>
        </is>
      </c>
      <c r="G3316" s="9" t="n">
        <v>85</v>
      </c>
      <c r="H3316" t="inlineStr">
        <is>
          <t>customer_payment</t>
        </is>
      </c>
      <c r="I3316" t="inlineStr"/>
      <c r="J3316" t="inlineStr">
        <is>
          <t>G00062</t>
        </is>
      </c>
      <c r="K3316" t="str">
        <f>INDEX('Match Groups'!$D$5:$D$1326,MATCH(J3316,'Match Groups'!$A$5:$A$1326,0))</f>
        <v>STRIPE-FEE</v>
      </c>
    </row>
    <row r="3317">
      <c r="A3317" t="inlineStr">
        <is>
          <t>JI-03170</t>
        </is>
      </c>
      <c r="B3317" t="inlineStr">
        <is>
          <t>OPS</t>
        </is>
      </c>
      <c r="C3317" s="5" t="n">
        <v>46268</v>
      </c>
      <c r="D3317" t="inlineStr">
        <is>
          <t>Stripe patient 55910</t>
        </is>
      </c>
      <c r="E3317" t="inlineStr">
        <is>
          <t>INV/2026/05012</t>
        </is>
      </c>
      <c r="F3317" t="inlineStr">
        <is>
          <t>Customer payment INV/2026/05012</t>
        </is>
      </c>
      <c r="G3317" s="9" t="n">
        <v>85</v>
      </c>
      <c r="H3317" t="inlineStr">
        <is>
          <t>customer_payment</t>
        </is>
      </c>
      <c r="I3317" t="inlineStr"/>
      <c r="J3317" t="inlineStr">
        <is>
          <t>G00062</t>
        </is>
      </c>
      <c r="K3317" t="str">
        <f>INDEX('Match Groups'!$D$5:$D$1326,MATCH(J3317,'Match Groups'!$A$5:$A$1326,0))</f>
        <v>STRIPE-FEE</v>
      </c>
    </row>
    <row r="3318">
      <c r="A3318" t="inlineStr">
        <is>
          <t>JI-03171</t>
        </is>
      </c>
      <c r="B3318" t="inlineStr">
        <is>
          <t>OPS</t>
        </is>
      </c>
      <c r="C3318" s="5" t="n">
        <v>46268</v>
      </c>
      <c r="D3318" t="inlineStr">
        <is>
          <t>Stripe patient 75883</t>
        </is>
      </c>
      <c r="E3318" t="inlineStr">
        <is>
          <t>INV/2026/05013</t>
        </is>
      </c>
      <c r="F3318" t="inlineStr">
        <is>
          <t>Customer payment INV/2026/05013</t>
        </is>
      </c>
      <c r="G3318" s="9" t="n">
        <v>65</v>
      </c>
      <c r="H3318" t="inlineStr">
        <is>
          <t>customer_payment</t>
        </is>
      </c>
      <c r="I3318" t="inlineStr"/>
      <c r="J3318" t="inlineStr">
        <is>
          <t>G00062</t>
        </is>
      </c>
      <c r="K3318" t="str">
        <f>INDEX('Match Groups'!$D$5:$D$1326,MATCH(J3318,'Match Groups'!$A$5:$A$1326,0))</f>
        <v>STRIPE-FEE</v>
      </c>
    </row>
    <row r="3319">
      <c r="A3319" t="inlineStr">
        <is>
          <t>JI-03172</t>
        </is>
      </c>
      <c r="B3319" t="inlineStr">
        <is>
          <t>OPS</t>
        </is>
      </c>
      <c r="C3319" s="5" t="n">
        <v>46268</v>
      </c>
      <c r="D3319" t="inlineStr">
        <is>
          <t>Stripe patient 27152</t>
        </is>
      </c>
      <c r="E3319" t="inlineStr">
        <is>
          <t>INV/2026/05014</t>
        </is>
      </c>
      <c r="F3319" t="inlineStr">
        <is>
          <t>Customer payment INV/2026/05014</t>
        </is>
      </c>
      <c r="G3319" s="9" t="n">
        <v>85</v>
      </c>
      <c r="H3319" t="inlineStr">
        <is>
          <t>customer_payment</t>
        </is>
      </c>
      <c r="I3319" t="inlineStr"/>
      <c r="J3319" t="inlineStr">
        <is>
          <t>G00062</t>
        </is>
      </c>
      <c r="K3319" t="str">
        <f>INDEX('Match Groups'!$D$5:$D$1326,MATCH(J3319,'Match Groups'!$A$5:$A$1326,0))</f>
        <v>STRIPE-FEE</v>
      </c>
    </row>
    <row r="3320">
      <c r="A3320" t="inlineStr">
        <is>
          <t>JI-03173</t>
        </is>
      </c>
      <c r="B3320" t="inlineStr">
        <is>
          <t>OPS</t>
        </is>
      </c>
      <c r="C3320" s="5" t="n">
        <v>46268</v>
      </c>
      <c r="D3320" t="inlineStr">
        <is>
          <t>Stripe patient 46124</t>
        </is>
      </c>
      <c r="E3320" t="inlineStr">
        <is>
          <t>INV/2026/05015</t>
        </is>
      </c>
      <c r="F3320" t="inlineStr">
        <is>
          <t>Customer payment INV/2026/05015</t>
        </is>
      </c>
      <c r="G3320" s="9" t="n">
        <v>135</v>
      </c>
      <c r="H3320" t="inlineStr">
        <is>
          <t>customer_payment</t>
        </is>
      </c>
      <c r="I3320" t="inlineStr"/>
      <c r="J3320" t="inlineStr">
        <is>
          <t>G00062</t>
        </is>
      </c>
      <c r="K3320" t="str">
        <f>INDEX('Match Groups'!$D$5:$D$1326,MATCH(J3320,'Match Groups'!$A$5:$A$1326,0))</f>
        <v>STRIPE-FEE</v>
      </c>
    </row>
    <row r="3321">
      <c r="A3321" t="inlineStr">
        <is>
          <t>JI-03174</t>
        </is>
      </c>
      <c r="B3321" t="inlineStr">
        <is>
          <t>OPS</t>
        </is>
      </c>
      <c r="C3321" s="5" t="n">
        <v>46268</v>
      </c>
      <c r="D3321" t="inlineStr">
        <is>
          <t>Stripe patient 52660</t>
        </is>
      </c>
      <c r="E3321" t="inlineStr">
        <is>
          <t>INV/2026/05016</t>
        </is>
      </c>
      <c r="F3321" t="inlineStr">
        <is>
          <t>Customer payment INV/2026/05016</t>
        </is>
      </c>
      <c r="G3321" s="9" t="n">
        <v>85</v>
      </c>
      <c r="H3321" t="inlineStr">
        <is>
          <t>customer_payment</t>
        </is>
      </c>
      <c r="I3321" t="inlineStr"/>
      <c r="J3321" t="inlineStr">
        <is>
          <t>G00062</t>
        </is>
      </c>
      <c r="K3321" t="str">
        <f>INDEX('Match Groups'!$D$5:$D$1326,MATCH(J3321,'Match Groups'!$A$5:$A$1326,0))</f>
        <v>STRIPE-FEE</v>
      </c>
    </row>
    <row r="3322">
      <c r="A3322" t="inlineStr">
        <is>
          <t>JI-03175</t>
        </is>
      </c>
      <c r="B3322" t="inlineStr">
        <is>
          <t>OPS</t>
        </is>
      </c>
      <c r="C3322" s="5" t="n">
        <v>46268</v>
      </c>
      <c r="D3322" t="inlineStr">
        <is>
          <t>Stripe patient 99289</t>
        </is>
      </c>
      <c r="E3322" t="inlineStr">
        <is>
          <t>INV/2026/05017</t>
        </is>
      </c>
      <c r="F3322" t="inlineStr">
        <is>
          <t>Customer payment INV/2026/05017</t>
        </is>
      </c>
      <c r="G3322" s="9" t="n">
        <v>220</v>
      </c>
      <c r="H3322" t="inlineStr">
        <is>
          <t>customer_payment</t>
        </is>
      </c>
      <c r="I3322" t="inlineStr"/>
      <c r="J3322" t="inlineStr">
        <is>
          <t>G00062</t>
        </is>
      </c>
      <c r="K3322" t="str">
        <f>INDEX('Match Groups'!$D$5:$D$1326,MATCH(J3322,'Match Groups'!$A$5:$A$1326,0))</f>
        <v>STRIPE-FEE</v>
      </c>
    </row>
    <row r="3323">
      <c r="A3323" t="inlineStr">
        <is>
          <t>JI-03176</t>
        </is>
      </c>
      <c r="B3323" t="inlineStr">
        <is>
          <t>OPS</t>
        </is>
      </c>
      <c r="C3323" s="5" t="n">
        <v>46268</v>
      </c>
      <c r="D3323" t="inlineStr">
        <is>
          <t>Stripe patient 54946</t>
        </is>
      </c>
      <c r="E3323" t="inlineStr">
        <is>
          <t>INV/2026/05018</t>
        </is>
      </c>
      <c r="F3323" t="inlineStr">
        <is>
          <t>Customer payment INV/2026/05018</t>
        </is>
      </c>
      <c r="G3323" s="9" t="n">
        <v>150</v>
      </c>
      <c r="H3323" t="inlineStr">
        <is>
          <t>customer_payment</t>
        </is>
      </c>
      <c r="I3323" t="inlineStr"/>
      <c r="J3323" t="inlineStr">
        <is>
          <t>G00062</t>
        </is>
      </c>
      <c r="K3323" t="str">
        <f>INDEX('Match Groups'!$D$5:$D$1326,MATCH(J3323,'Match Groups'!$A$5:$A$1326,0))</f>
        <v>STRIPE-FEE</v>
      </c>
    </row>
    <row r="3324">
      <c r="A3324" t="inlineStr">
        <is>
          <t>JI-03177</t>
        </is>
      </c>
      <c r="B3324" t="inlineStr">
        <is>
          <t>OPS</t>
        </is>
      </c>
      <c r="C3324" s="5" t="n">
        <v>46268</v>
      </c>
      <c r="D3324" t="inlineStr">
        <is>
          <t>Stripe patient 17474</t>
        </is>
      </c>
      <c r="E3324" t="inlineStr">
        <is>
          <t>INV/2026/05019</t>
        </is>
      </c>
      <c r="F3324" t="inlineStr">
        <is>
          <t>Customer payment INV/2026/05019</t>
        </is>
      </c>
      <c r="G3324" s="9" t="n">
        <v>120</v>
      </c>
      <c r="H3324" t="inlineStr">
        <is>
          <t>customer_payment</t>
        </is>
      </c>
      <c r="I3324" t="inlineStr"/>
      <c r="J3324" t="inlineStr">
        <is>
          <t>G00062</t>
        </is>
      </c>
      <c r="K3324" t="str">
        <f>INDEX('Match Groups'!$D$5:$D$1326,MATCH(J3324,'Match Groups'!$A$5:$A$1326,0))</f>
        <v>STRIPE-FEE</v>
      </c>
    </row>
    <row r="3325">
      <c r="A3325" t="inlineStr">
        <is>
          <t>JI-03178</t>
        </is>
      </c>
      <c r="B3325" t="inlineStr">
        <is>
          <t>OPS</t>
        </is>
      </c>
      <c r="C3325" s="5" t="n">
        <v>46268</v>
      </c>
      <c r="D3325" t="inlineStr">
        <is>
          <t>Stripe patient 10087</t>
        </is>
      </c>
      <c r="E3325" t="inlineStr">
        <is>
          <t>INV/2026/05020</t>
        </is>
      </c>
      <c r="F3325" t="inlineStr">
        <is>
          <t>Customer payment INV/2026/05020</t>
        </is>
      </c>
      <c r="G3325" s="9" t="n">
        <v>150</v>
      </c>
      <c r="H3325" t="inlineStr">
        <is>
          <t>customer_payment</t>
        </is>
      </c>
      <c r="I3325" t="inlineStr"/>
      <c r="J3325" t="inlineStr">
        <is>
          <t>G00062</t>
        </is>
      </c>
      <c r="K3325" t="str">
        <f>INDEX('Match Groups'!$D$5:$D$1326,MATCH(J3325,'Match Groups'!$A$5:$A$1326,0))</f>
        <v>STRIPE-FEE</v>
      </c>
    </row>
    <row r="3326">
      <c r="A3326" t="inlineStr">
        <is>
          <t>JI-03179</t>
        </is>
      </c>
      <c r="B3326" t="inlineStr">
        <is>
          <t>OPS</t>
        </is>
      </c>
      <c r="C3326" s="5" t="n">
        <v>46268</v>
      </c>
      <c r="D3326" t="inlineStr">
        <is>
          <t>Stripe patient 86425</t>
        </is>
      </c>
      <c r="E3326" t="inlineStr">
        <is>
          <t>INV/2026/05021</t>
        </is>
      </c>
      <c r="F3326" t="inlineStr">
        <is>
          <t>Customer payment INV/2026/05021</t>
        </is>
      </c>
      <c r="G3326" s="9" t="n">
        <v>95</v>
      </c>
      <c r="H3326" t="inlineStr">
        <is>
          <t>customer_payment</t>
        </is>
      </c>
      <c r="I3326" t="inlineStr"/>
      <c r="J3326" t="inlineStr">
        <is>
          <t>G00062</t>
        </is>
      </c>
      <c r="K3326" t="str">
        <f>INDEX('Match Groups'!$D$5:$D$1326,MATCH(J3326,'Match Groups'!$A$5:$A$1326,0))</f>
        <v>STRIPE-FEE</v>
      </c>
    </row>
    <row r="3327">
      <c r="A3327" t="inlineStr">
        <is>
          <t>JI-03180</t>
        </is>
      </c>
      <c r="B3327" t="inlineStr">
        <is>
          <t>OPS</t>
        </is>
      </c>
      <c r="C3327" s="5" t="n">
        <v>46268</v>
      </c>
      <c r="D3327" t="inlineStr">
        <is>
          <t>Stripe patient 88457</t>
        </is>
      </c>
      <c r="E3327" t="inlineStr">
        <is>
          <t>INV/2026/05022</t>
        </is>
      </c>
      <c r="F3327" t="inlineStr">
        <is>
          <t>Customer payment INV/2026/05022</t>
        </is>
      </c>
      <c r="G3327" s="9" t="n">
        <v>150</v>
      </c>
      <c r="H3327" t="inlineStr">
        <is>
          <t>customer_payment</t>
        </is>
      </c>
      <c r="I3327" t="inlineStr"/>
      <c r="J3327" t="inlineStr">
        <is>
          <t>G00062</t>
        </is>
      </c>
      <c r="K3327" t="str">
        <f>INDEX('Match Groups'!$D$5:$D$1326,MATCH(J3327,'Match Groups'!$A$5:$A$1326,0))</f>
        <v>STRIPE-FEE</v>
      </c>
    </row>
    <row r="3328">
      <c r="A3328" t="inlineStr">
        <is>
          <t>JI-03181</t>
        </is>
      </c>
      <c r="B3328" t="inlineStr">
        <is>
          <t>OPS</t>
        </is>
      </c>
      <c r="C3328" s="5" t="n">
        <v>46268</v>
      </c>
      <c r="D3328" t="inlineStr">
        <is>
          <t>Stripe patient 29781</t>
        </is>
      </c>
      <c r="E3328" t="inlineStr">
        <is>
          <t>INV/2026/05023</t>
        </is>
      </c>
      <c r="F3328" t="inlineStr">
        <is>
          <t>Customer payment INV/2026/05023</t>
        </is>
      </c>
      <c r="G3328" s="9" t="n">
        <v>135</v>
      </c>
      <c r="H3328" t="inlineStr">
        <is>
          <t>customer_payment</t>
        </is>
      </c>
      <c r="I3328" t="inlineStr"/>
      <c r="J3328" t="inlineStr">
        <is>
          <t>G00062</t>
        </is>
      </c>
      <c r="K3328" t="str">
        <f>INDEX('Match Groups'!$D$5:$D$1326,MATCH(J3328,'Match Groups'!$A$5:$A$1326,0))</f>
        <v>STRIPE-FEE</v>
      </c>
    </row>
    <row r="3329">
      <c r="A3329" t="inlineStr">
        <is>
          <t>JI-03182</t>
        </is>
      </c>
      <c r="B3329" t="inlineStr">
        <is>
          <t>OPS</t>
        </is>
      </c>
      <c r="C3329" s="5" t="n">
        <v>46268</v>
      </c>
      <c r="D3329" t="inlineStr">
        <is>
          <t>Stripe patient 83685</t>
        </is>
      </c>
      <c r="E3329" t="inlineStr">
        <is>
          <t>INV/2026/05024</t>
        </is>
      </c>
      <c r="F3329" t="inlineStr">
        <is>
          <t>Customer payment INV/2026/05024</t>
        </is>
      </c>
      <c r="G3329" s="9" t="n">
        <v>150</v>
      </c>
      <c r="H3329" t="inlineStr">
        <is>
          <t>customer_payment</t>
        </is>
      </c>
      <c r="I3329" t="inlineStr"/>
      <c r="J3329" t="inlineStr">
        <is>
          <t>G00062</t>
        </is>
      </c>
      <c r="K3329" t="str">
        <f>INDEX('Match Groups'!$D$5:$D$1326,MATCH(J3329,'Match Groups'!$A$5:$A$1326,0))</f>
        <v>STRIPE-FEE</v>
      </c>
    </row>
    <row r="3330">
      <c r="A3330" t="inlineStr">
        <is>
          <t>JI-03183</t>
        </is>
      </c>
      <c r="B3330" t="inlineStr">
        <is>
          <t>OPS</t>
        </is>
      </c>
      <c r="C3330" s="5" t="n">
        <v>46268</v>
      </c>
      <c r="D3330" t="inlineStr">
        <is>
          <t>Stripe patient 64500</t>
        </is>
      </c>
      <c r="E3330" t="inlineStr">
        <is>
          <t>INV/2026/05025</t>
        </is>
      </c>
      <c r="F3330" t="inlineStr">
        <is>
          <t>Customer payment INV/2026/05025</t>
        </is>
      </c>
      <c r="G3330" s="9" t="n">
        <v>85</v>
      </c>
      <c r="H3330" t="inlineStr">
        <is>
          <t>customer_payment</t>
        </is>
      </c>
      <c r="I3330" t="inlineStr"/>
      <c r="J3330" t="inlineStr">
        <is>
          <t>G00062</t>
        </is>
      </c>
      <c r="K3330" t="str">
        <f>INDEX('Match Groups'!$D$5:$D$1326,MATCH(J3330,'Match Groups'!$A$5:$A$1326,0))</f>
        <v>STRIPE-FEE</v>
      </c>
    </row>
    <row r="3331">
      <c r="A3331" t="inlineStr">
        <is>
          <t>JI-03184</t>
        </is>
      </c>
      <c r="B3331" t="inlineStr">
        <is>
          <t>OPS</t>
        </is>
      </c>
      <c r="C3331" s="5" t="n">
        <v>46268</v>
      </c>
      <c r="D3331" t="inlineStr">
        <is>
          <t>Stripe patient 67023</t>
        </is>
      </c>
      <c r="E3331" t="inlineStr">
        <is>
          <t>INV/2026/05026</t>
        </is>
      </c>
      <c r="F3331" t="inlineStr">
        <is>
          <t>Customer payment INV/2026/05026</t>
        </is>
      </c>
      <c r="G3331" s="9" t="n">
        <v>180</v>
      </c>
      <c r="H3331" t="inlineStr">
        <is>
          <t>customer_payment</t>
        </is>
      </c>
      <c r="I3331" t="inlineStr"/>
      <c r="J3331" t="inlineStr">
        <is>
          <t>G00062</t>
        </is>
      </c>
      <c r="K3331" t="str">
        <f>INDEX('Match Groups'!$D$5:$D$1326,MATCH(J3331,'Match Groups'!$A$5:$A$1326,0))</f>
        <v>STRIPE-FEE</v>
      </c>
    </row>
    <row r="3332">
      <c r="A3332" t="inlineStr">
        <is>
          <t>JI-03185</t>
        </is>
      </c>
      <c r="B3332" t="inlineStr">
        <is>
          <t>OPS</t>
        </is>
      </c>
      <c r="C3332" s="5" t="n">
        <v>46268</v>
      </c>
      <c r="D3332" t="inlineStr">
        <is>
          <t>Stripe patient 57602</t>
        </is>
      </c>
      <c r="E3332" t="inlineStr">
        <is>
          <t>INV/2026/05027</t>
        </is>
      </c>
      <c r="F3332" t="inlineStr">
        <is>
          <t>Customer payment INV/2026/05027</t>
        </is>
      </c>
      <c r="G3332" s="9" t="n">
        <v>120</v>
      </c>
      <c r="H3332" t="inlineStr">
        <is>
          <t>customer_payment</t>
        </is>
      </c>
      <c r="I3332" t="inlineStr"/>
      <c r="J3332" t="inlineStr">
        <is>
          <t>G00062</t>
        </is>
      </c>
      <c r="K3332" t="str">
        <f>INDEX('Match Groups'!$D$5:$D$1326,MATCH(J3332,'Match Groups'!$A$5:$A$1326,0))</f>
        <v>STRIPE-FEE</v>
      </c>
    </row>
    <row r="3333">
      <c r="A3333" t="inlineStr">
        <is>
          <t>JI-03186</t>
        </is>
      </c>
      <c r="B3333" t="inlineStr">
        <is>
          <t>OPS</t>
        </is>
      </c>
      <c r="C3333" s="5" t="n">
        <v>46268</v>
      </c>
      <c r="D3333" t="inlineStr">
        <is>
          <t>Stripe patient 67706</t>
        </is>
      </c>
      <c r="E3333" t="inlineStr">
        <is>
          <t>INV/2026/05028</t>
        </is>
      </c>
      <c r="F3333" t="inlineStr">
        <is>
          <t>Customer payment INV/2026/05028</t>
        </is>
      </c>
      <c r="G3333" s="9" t="n">
        <v>85</v>
      </c>
      <c r="H3333" t="inlineStr">
        <is>
          <t>customer_payment</t>
        </is>
      </c>
      <c r="I3333" t="inlineStr"/>
      <c r="J3333" t="inlineStr">
        <is>
          <t>G00062</t>
        </is>
      </c>
      <c r="K3333" t="str">
        <f>INDEX('Match Groups'!$D$5:$D$1326,MATCH(J3333,'Match Groups'!$A$5:$A$1326,0))</f>
        <v>STRIPE-FEE</v>
      </c>
    </row>
    <row r="3334">
      <c r="A3334" t="inlineStr">
        <is>
          <t>JI-03187</t>
        </is>
      </c>
      <c r="B3334" t="inlineStr">
        <is>
          <t>OPS</t>
        </is>
      </c>
      <c r="C3334" s="5" t="n">
        <v>46268</v>
      </c>
      <c r="D3334" t="inlineStr">
        <is>
          <t>Stripe patient 76232</t>
        </is>
      </c>
      <c r="E3334" t="inlineStr">
        <is>
          <t>INV/2026/05029</t>
        </is>
      </c>
      <c r="F3334" t="inlineStr">
        <is>
          <t>Customer payment INV/2026/05029</t>
        </is>
      </c>
      <c r="G3334" s="9" t="n">
        <v>180</v>
      </c>
      <c r="H3334" t="inlineStr">
        <is>
          <t>customer_payment</t>
        </is>
      </c>
      <c r="I3334" t="inlineStr"/>
      <c r="J3334" t="inlineStr">
        <is>
          <t>G00062</t>
        </is>
      </c>
      <c r="K3334" t="str">
        <f>INDEX('Match Groups'!$D$5:$D$1326,MATCH(J3334,'Match Groups'!$A$5:$A$1326,0))</f>
        <v>STRIPE-FEE</v>
      </c>
    </row>
    <row r="3335">
      <c r="A3335" t="inlineStr">
        <is>
          <t>JI-03188</t>
        </is>
      </c>
      <c r="B3335" t="inlineStr">
        <is>
          <t>OPS</t>
        </is>
      </c>
      <c r="C3335" s="5" t="n">
        <v>46268</v>
      </c>
      <c r="D3335" t="inlineStr">
        <is>
          <t>Stripe patient 78922</t>
        </is>
      </c>
      <c r="E3335" t="inlineStr">
        <is>
          <t>INV/2026/05030</t>
        </is>
      </c>
      <c r="F3335" t="inlineStr">
        <is>
          <t>Customer payment INV/2026/05030</t>
        </is>
      </c>
      <c r="G3335" s="9" t="n">
        <v>110</v>
      </c>
      <c r="H3335" t="inlineStr">
        <is>
          <t>customer_payment</t>
        </is>
      </c>
      <c r="I3335" t="inlineStr"/>
      <c r="J3335" t="inlineStr">
        <is>
          <t>G00062</t>
        </is>
      </c>
      <c r="K3335" t="str">
        <f>INDEX('Match Groups'!$D$5:$D$1326,MATCH(J3335,'Match Groups'!$A$5:$A$1326,0))</f>
        <v>STRIPE-FEE</v>
      </c>
    </row>
    <row r="3336">
      <c r="A3336" t="inlineStr">
        <is>
          <t>JI-03189</t>
        </is>
      </c>
      <c r="B3336" t="inlineStr">
        <is>
          <t>OPS</t>
        </is>
      </c>
      <c r="C3336" s="5" t="n">
        <v>46268</v>
      </c>
      <c r="D3336" t="inlineStr">
        <is>
          <t>Stripe patient 14644</t>
        </is>
      </c>
      <c r="E3336" t="inlineStr">
        <is>
          <t>INV/2026/05031</t>
        </is>
      </c>
      <c r="F3336" t="inlineStr">
        <is>
          <t>Customer payment INV/2026/05031</t>
        </is>
      </c>
      <c r="G3336" s="9" t="n">
        <v>120</v>
      </c>
      <c r="H3336" t="inlineStr">
        <is>
          <t>customer_payment</t>
        </is>
      </c>
      <c r="I3336" t="inlineStr"/>
      <c r="J3336" t="inlineStr">
        <is>
          <t>G00062</t>
        </is>
      </c>
      <c r="K3336" t="str">
        <f>INDEX('Match Groups'!$D$5:$D$1326,MATCH(J3336,'Match Groups'!$A$5:$A$1326,0))</f>
        <v>STRIPE-FEE</v>
      </c>
    </row>
    <row r="3337">
      <c r="A3337" t="inlineStr">
        <is>
          <t>JI-01231</t>
        </is>
      </c>
      <c r="B3337" t="inlineStr">
        <is>
          <t>OPS</t>
        </is>
      </c>
      <c r="C3337" s="5" t="n">
        <v>46269</v>
      </c>
      <c r="D3337" t="inlineStr">
        <is>
          <t>Bluegum Plan Management</t>
        </is>
      </c>
      <c r="E3337" t="inlineStr">
        <is>
          <t>INV/2026/02929</t>
        </is>
      </c>
      <c r="F3337" t="inlineStr">
        <is>
          <t>Customer payment INV/2026/02929</t>
        </is>
      </c>
      <c r="G3337" s="9" t="n">
        <v>242.49</v>
      </c>
      <c r="H3337" t="inlineStr">
        <is>
          <t>customer_payment</t>
        </is>
      </c>
      <c r="I3337" t="inlineStr"/>
      <c r="J3337" t="inlineStr">
        <is>
          <t>G00388</t>
        </is>
      </c>
      <c r="K3337" t="str">
        <f>INDEX('Match Groups'!$D$5:$D$1326,MATCH(J3337,'Match Groups'!$A$5:$A$1326,0))</f>
        <v>MATCH</v>
      </c>
    </row>
    <row r="3338">
      <c r="A3338" t="inlineStr">
        <is>
          <t>JI-01232</t>
        </is>
      </c>
      <c r="B3338" t="inlineStr">
        <is>
          <t>OPS</t>
        </is>
      </c>
      <c r="C3338" s="5" t="n">
        <v>46269</v>
      </c>
      <c r="D3338" t="inlineStr">
        <is>
          <t>Clearpath NDIS Plans</t>
        </is>
      </c>
      <c r="E3338" t="inlineStr">
        <is>
          <t>INV/2026/02803</t>
        </is>
      </c>
      <c r="F3338" t="inlineStr">
        <is>
          <t>Customer payment INV/2026/02803</t>
        </is>
      </c>
      <c r="G3338" s="9" t="n">
        <v>155.19</v>
      </c>
      <c r="H3338" t="inlineStr">
        <is>
          <t>customer_payment</t>
        </is>
      </c>
      <c r="I3338" t="inlineStr"/>
      <c r="J3338" t="inlineStr">
        <is>
          <t>G00389</t>
        </is>
      </c>
      <c r="K3338" t="str">
        <f>INDEX('Match Groups'!$D$5:$D$1326,MATCH(J3338,'Match Groups'!$A$5:$A$1326,0))</f>
        <v>MATCH</v>
      </c>
    </row>
    <row r="3339">
      <c r="A3339" t="inlineStr">
        <is>
          <t>JI-01233</t>
        </is>
      </c>
      <c r="B3339" t="inlineStr">
        <is>
          <t>OPS</t>
        </is>
      </c>
      <c r="C3339" s="5" t="n">
        <v>46269</v>
      </c>
      <c r="D3339" t="inlineStr">
        <is>
          <t>Clearpath NDIS Plans</t>
        </is>
      </c>
      <c r="E3339" t="inlineStr">
        <is>
          <t>INV/2026/02823</t>
        </is>
      </c>
      <c r="F3339" t="inlineStr">
        <is>
          <t>Customer payment INV/2026/02823</t>
        </is>
      </c>
      <c r="G3339" s="9" t="n">
        <v>387.98</v>
      </c>
      <c r="H3339" t="inlineStr">
        <is>
          <t>customer_payment</t>
        </is>
      </c>
      <c r="I3339" t="inlineStr"/>
      <c r="J3339" t="inlineStr">
        <is>
          <t>G00389</t>
        </is>
      </c>
      <c r="K3339" t="str">
        <f>INDEX('Match Groups'!$D$5:$D$1326,MATCH(J3339,'Match Groups'!$A$5:$A$1326,0))</f>
        <v>MATCH</v>
      </c>
    </row>
    <row r="3340">
      <c r="A3340" t="inlineStr">
        <is>
          <t>JI-01234</t>
        </is>
      </c>
      <c r="B3340" t="inlineStr">
        <is>
          <t>OPS</t>
        </is>
      </c>
      <c r="C3340" s="5" t="n">
        <v>46269</v>
      </c>
      <c r="D3340" t="inlineStr">
        <is>
          <t>Clearpath NDIS Plans</t>
        </is>
      </c>
      <c r="E3340" t="inlineStr">
        <is>
          <t>INV/2026/02843</t>
        </is>
      </c>
      <c r="F3340" t="inlineStr">
        <is>
          <t>Customer payment INV/2026/02843</t>
        </is>
      </c>
      <c r="G3340" s="9" t="n">
        <v>145.49</v>
      </c>
      <c r="H3340" t="inlineStr">
        <is>
          <t>customer_payment</t>
        </is>
      </c>
      <c r="I3340" t="inlineStr"/>
      <c r="J3340" t="inlineStr">
        <is>
          <t>G00389</t>
        </is>
      </c>
      <c r="K3340" t="str">
        <f>INDEX('Match Groups'!$D$5:$D$1326,MATCH(J3340,'Match Groups'!$A$5:$A$1326,0))</f>
        <v>MATCH</v>
      </c>
    </row>
    <row r="3341">
      <c r="A3341" t="inlineStr">
        <is>
          <t>JI-01235</t>
        </is>
      </c>
      <c r="B3341" t="inlineStr">
        <is>
          <t>OPS</t>
        </is>
      </c>
      <c r="C3341" s="5" t="n">
        <v>46269</v>
      </c>
      <c r="D3341" t="inlineStr">
        <is>
          <t>Wattle Plan Services</t>
        </is>
      </c>
      <c r="E3341" t="inlineStr">
        <is>
          <t>INV/2026/02867</t>
        </is>
      </c>
      <c r="F3341" t="inlineStr">
        <is>
          <t>Customer payment INV/2026/02867</t>
        </is>
      </c>
      <c r="G3341" s="9" t="n">
        <v>320.98</v>
      </c>
      <c r="H3341" t="inlineStr">
        <is>
          <t>customer_payment</t>
        </is>
      </c>
      <c r="I3341" t="inlineStr"/>
      <c r="J3341" t="inlineStr">
        <is>
          <t>G00390</t>
        </is>
      </c>
      <c r="K3341" t="str">
        <f>INDEX('Match Groups'!$D$5:$D$1326,MATCH(J3341,'Match Groups'!$A$5:$A$1326,0))</f>
        <v>MATCH</v>
      </c>
    </row>
    <row r="3342">
      <c r="A3342" t="inlineStr">
        <is>
          <t>JI-01236</t>
        </is>
      </c>
      <c r="B3342" t="inlineStr">
        <is>
          <t>OPS</t>
        </is>
      </c>
      <c r="C3342" s="5" t="n">
        <v>46269</v>
      </c>
      <c r="D3342" t="inlineStr">
        <is>
          <t>Wattle Plan Services</t>
        </is>
      </c>
      <c r="E3342" t="inlineStr">
        <is>
          <t>INV/2026/02889</t>
        </is>
      </c>
      <c r="F3342" t="inlineStr">
        <is>
          <t>Customer payment INV/2026/02889</t>
        </is>
      </c>
      <c r="G3342" s="9" t="n">
        <v>242.49</v>
      </c>
      <c r="H3342" t="inlineStr">
        <is>
          <t>customer_payment</t>
        </is>
      </c>
      <c r="I3342" t="inlineStr"/>
      <c r="J3342" t="inlineStr">
        <is>
          <t>G00390</t>
        </is>
      </c>
      <c r="K3342" t="str">
        <f>INDEX('Match Groups'!$D$5:$D$1326,MATCH(J3342,'Match Groups'!$A$5:$A$1326,0))</f>
        <v>MATCH</v>
      </c>
    </row>
    <row r="3343">
      <c r="A3343" t="inlineStr">
        <is>
          <t>JI-01241</t>
        </is>
      </c>
      <c r="B3343" t="inlineStr">
        <is>
          <t>OPS</t>
        </is>
      </c>
      <c r="C3343" s="5" t="n">
        <v>46269</v>
      </c>
      <c r="D3343" t="inlineStr">
        <is>
          <t>Redgum Plan Admin</t>
        </is>
      </c>
      <c r="E3343" t="inlineStr">
        <is>
          <t>INV/2026/02943</t>
        </is>
      </c>
      <c r="F3343" t="inlineStr">
        <is>
          <t>Customer payment INV/2026/02943</t>
        </is>
      </c>
      <c r="G3343" s="9" t="n">
        <v>96.98999999999999</v>
      </c>
      <c r="H3343" t="inlineStr">
        <is>
          <t>customer_payment</t>
        </is>
      </c>
      <c r="I3343" t="inlineStr"/>
      <c r="J3343" t="inlineStr">
        <is>
          <t>G00393</t>
        </is>
      </c>
      <c r="K3343" t="str">
        <f>INDEX('Match Groups'!$D$5:$D$1326,MATCH(J3343,'Match Groups'!$A$5:$A$1326,0))</f>
        <v>MATCH</v>
      </c>
    </row>
    <row r="3344">
      <c r="A3344" t="inlineStr">
        <is>
          <t>JI-01242</t>
        </is>
      </c>
      <c r="B3344" t="inlineStr">
        <is>
          <t>OPS</t>
        </is>
      </c>
      <c r="C3344" s="5" t="n">
        <v>46269</v>
      </c>
      <c r="D3344" t="inlineStr">
        <is>
          <t>Tallowwood Plans</t>
        </is>
      </c>
      <c r="E3344" t="inlineStr">
        <is>
          <t>INV/2026/02947</t>
        </is>
      </c>
      <c r="F3344" t="inlineStr">
        <is>
          <t>Customer payment INV/2026/02947</t>
        </is>
      </c>
      <c r="G3344" s="9" t="n">
        <v>387.98</v>
      </c>
      <c r="H3344" t="inlineStr">
        <is>
          <t>customer_payment</t>
        </is>
      </c>
      <c r="I3344" t="inlineStr"/>
      <c r="J3344" t="inlineStr">
        <is>
          <t>G00394</t>
        </is>
      </c>
      <c r="K3344" t="str">
        <f>INDEX('Match Groups'!$D$5:$D$1326,MATCH(J3344,'Match Groups'!$A$5:$A$1326,0))</f>
        <v>MATCH</v>
      </c>
    </row>
    <row r="3345">
      <c r="A3345" t="inlineStr">
        <is>
          <t>JI-01243</t>
        </is>
      </c>
      <c r="B3345" t="inlineStr">
        <is>
          <t>OPS</t>
        </is>
      </c>
      <c r="C3345" s="5" t="n">
        <v>46269</v>
      </c>
      <c r="D3345" t="inlineStr">
        <is>
          <t>Acacia Plan Partners</t>
        </is>
      </c>
      <c r="E3345" t="inlineStr">
        <is>
          <t>INV/2026/02923</t>
        </is>
      </c>
      <c r="F3345" t="inlineStr">
        <is>
          <t>Customer payment INV/2026/02923</t>
        </is>
      </c>
      <c r="G3345" s="9" t="n">
        <v>145.49</v>
      </c>
      <c r="H3345" t="inlineStr">
        <is>
          <t>customer_payment</t>
        </is>
      </c>
      <c r="I3345" t="inlineStr"/>
      <c r="J3345" t="inlineStr">
        <is>
          <t>G00395</t>
        </is>
      </c>
      <c r="K3345" t="str">
        <f>INDEX('Match Groups'!$D$5:$D$1326,MATCH(J3345,'Match Groups'!$A$5:$A$1326,0))</f>
        <v>MATCH</v>
      </c>
    </row>
    <row r="3346">
      <c r="A3346" t="inlineStr">
        <is>
          <t>JI-01244</t>
        </is>
      </c>
      <c r="B3346" t="inlineStr">
        <is>
          <t>OPS</t>
        </is>
      </c>
      <c r="C3346" s="5" t="n">
        <v>46269</v>
      </c>
      <c r="D3346" t="inlineStr">
        <is>
          <t>Mallee Plan Services</t>
        </is>
      </c>
      <c r="E3346" t="inlineStr">
        <is>
          <t>INV/2026/02949</t>
        </is>
      </c>
      <c r="F3346" t="inlineStr">
        <is>
          <t>Customer payment INV/2026/02949</t>
        </is>
      </c>
      <c r="G3346" s="9" t="n">
        <v>417.98</v>
      </c>
      <c r="H3346" t="inlineStr">
        <is>
          <t>customer_payment</t>
        </is>
      </c>
      <c r="I3346" t="inlineStr"/>
      <c r="J3346" t="inlineStr">
        <is>
          <t>G00396</t>
        </is>
      </c>
      <c r="K3346" t="str">
        <f>INDEX('Match Groups'!$D$5:$D$1326,MATCH(J3346,'Match Groups'!$A$5:$A$1326,0))</f>
        <v>MATCH</v>
      </c>
    </row>
    <row r="3347">
      <c r="A3347" t="inlineStr">
        <is>
          <t>JI-01245</t>
        </is>
      </c>
      <c r="B3347" t="inlineStr">
        <is>
          <t>OPS</t>
        </is>
      </c>
      <c r="C3347" s="5" t="n">
        <v>46269</v>
      </c>
      <c r="D3347" t="inlineStr">
        <is>
          <t>Mallee Plan Services</t>
        </is>
      </c>
      <c r="E3347" t="inlineStr">
        <is>
          <t>INV/2026/02950</t>
        </is>
      </c>
      <c r="F3347" t="inlineStr">
        <is>
          <t>Customer payment INV/2026/02950</t>
        </is>
      </c>
      <c r="G3347" s="9" t="n">
        <v>290.98</v>
      </c>
      <c r="H3347" t="inlineStr">
        <is>
          <t>customer_payment</t>
        </is>
      </c>
      <c r="I3347" t="inlineStr"/>
      <c r="J3347" t="inlineStr">
        <is>
          <t>G00396</t>
        </is>
      </c>
      <c r="K3347" t="str">
        <f>INDEX('Match Groups'!$D$5:$D$1326,MATCH(J3347,'Match Groups'!$A$5:$A$1326,0))</f>
        <v>MATCH</v>
      </c>
    </row>
    <row r="3348">
      <c r="A3348" t="inlineStr">
        <is>
          <t>JI-01602</t>
        </is>
      </c>
      <c r="B3348" t="inlineStr">
        <is>
          <t>OPS</t>
        </is>
      </c>
      <c r="C3348" s="5" t="n">
        <v>46269</v>
      </c>
      <c r="D3348" t="inlineStr">
        <is>
          <t>Pinnacle Claims Services</t>
        </is>
      </c>
      <c r="E3348" t="inlineStr">
        <is>
          <t>INV/2026/02736</t>
        </is>
      </c>
      <c r="F3348" t="inlineStr">
        <is>
          <t>Customer payment INV/2026/02736</t>
        </is>
      </c>
      <c r="G3348" s="9" t="n">
        <v>176</v>
      </c>
      <c r="H3348" t="inlineStr">
        <is>
          <t>customer_payment</t>
        </is>
      </c>
      <c r="I3348" t="inlineStr"/>
      <c r="J3348" t="inlineStr">
        <is>
          <t>G01044</t>
        </is>
      </c>
      <c r="K3348" t="str">
        <f>INDEX('Match Groups'!$D$5:$D$1326,MATCH(J3348,'Match Groups'!$A$5:$A$1326,0))</f>
        <v>MATCH</v>
      </c>
    </row>
    <row r="3349">
      <c r="A3349" t="inlineStr">
        <is>
          <t>JI-01640</t>
        </is>
      </c>
      <c r="B3349" t="inlineStr">
        <is>
          <t>OPS</t>
        </is>
      </c>
      <c r="C3349" s="5" t="n">
        <v>46269</v>
      </c>
      <c r="D3349" t="inlineStr">
        <is>
          <t>Northline Injury Claims</t>
        </is>
      </c>
      <c r="E3349" t="inlineStr">
        <is>
          <t>INV/2026/02709</t>
        </is>
      </c>
      <c r="F3349" t="inlineStr">
        <is>
          <t>Customer payment INV/2026/02709</t>
        </is>
      </c>
      <c r="G3349" s="9" t="n">
        <v>412.5</v>
      </c>
      <c r="H3349" t="inlineStr">
        <is>
          <t>customer_payment</t>
        </is>
      </c>
      <c r="I3349" t="inlineStr"/>
      <c r="J3349" t="inlineStr">
        <is>
          <t>G01047</t>
        </is>
      </c>
      <c r="K3349" t="str">
        <f>INDEX('Match Groups'!$D$5:$D$1326,MATCH(J3349,'Match Groups'!$A$5:$A$1326,0))</f>
        <v>MATCH</v>
      </c>
    </row>
    <row r="3350">
      <c r="A3350" t="inlineStr">
        <is>
          <t>JI-01641</t>
        </is>
      </c>
      <c r="B3350" t="inlineStr">
        <is>
          <t>OPS</t>
        </is>
      </c>
      <c r="C3350" s="5" t="n">
        <v>46269</v>
      </c>
      <c r="D3350" t="inlineStr">
        <is>
          <t>Northline Injury Claims</t>
        </is>
      </c>
      <c r="E3350" t="inlineStr">
        <is>
          <t>INV/2026/02777</t>
        </is>
      </c>
      <c r="F3350" t="inlineStr">
        <is>
          <t>Customer payment INV/2026/02777</t>
        </is>
      </c>
      <c r="G3350" s="9" t="n">
        <v>132</v>
      </c>
      <c r="H3350" t="inlineStr">
        <is>
          <t>customer_payment</t>
        </is>
      </c>
      <c r="I3350" t="inlineStr"/>
      <c r="J3350" t="inlineStr">
        <is>
          <t>G01048</t>
        </is>
      </c>
      <c r="K3350" t="str">
        <f>INDEX('Match Groups'!$D$5:$D$1326,MATCH(J3350,'Match Groups'!$A$5:$A$1326,0))</f>
        <v>MATCH</v>
      </c>
    </row>
    <row r="3351">
      <c r="A3351" t="inlineStr">
        <is>
          <t>JI-01753</t>
        </is>
      </c>
      <c r="B3351" t="inlineStr">
        <is>
          <t>OPS</t>
        </is>
      </c>
      <c r="C3351" s="5" t="n">
        <v>46269</v>
      </c>
      <c r="D3351" t="inlineStr">
        <is>
          <t>Nettlefold Joinery</t>
        </is>
      </c>
      <c r="E3351" t="inlineStr">
        <is>
          <t>INV/2026/03506</t>
        </is>
      </c>
      <c r="F3351" t="inlineStr">
        <is>
          <t>Customer payment INV/2026/03506</t>
        </is>
      </c>
      <c r="G3351" s="9" t="n">
        <v>6971.25</v>
      </c>
      <c r="H3351" t="inlineStr">
        <is>
          <t>customer_payment</t>
        </is>
      </c>
      <c r="I3351" t="inlineStr"/>
      <c r="J3351" t="inlineStr">
        <is>
          <t>G01156</t>
        </is>
      </c>
      <c r="K3351" t="str">
        <f>INDEX('Match Groups'!$D$5:$D$1326,MATCH(J3351,'Match Groups'!$A$5:$A$1326,0))</f>
        <v>MATCH</v>
      </c>
    </row>
    <row r="3352">
      <c r="A3352" t="inlineStr">
        <is>
          <t>JI-01754</t>
        </is>
      </c>
      <c r="B3352" t="inlineStr">
        <is>
          <t>OPS</t>
        </is>
      </c>
      <c r="C3352" s="5" t="n">
        <v>46269</v>
      </c>
      <c r="D3352" t="inlineStr">
        <is>
          <t>Nettlefold Joinery</t>
        </is>
      </c>
      <c r="E3352" t="inlineStr">
        <is>
          <t>INV/2026/03561</t>
        </is>
      </c>
      <c r="F3352" t="inlineStr">
        <is>
          <t>Customer payment INV/2026/03561</t>
        </is>
      </c>
      <c r="G3352" s="9" t="n">
        <v>2640</v>
      </c>
      <c r="H3352" t="inlineStr">
        <is>
          <t>customer_payment</t>
        </is>
      </c>
      <c r="I3352" t="inlineStr"/>
      <c r="J3352" t="inlineStr">
        <is>
          <t>G01156</t>
        </is>
      </c>
      <c r="K3352" t="str">
        <f>INDEX('Match Groups'!$D$5:$D$1326,MATCH(J3352,'Match Groups'!$A$5:$A$1326,0))</f>
        <v>MATCH</v>
      </c>
    </row>
    <row r="3353">
      <c r="A3353" t="inlineStr">
        <is>
          <t>JI-01762</t>
        </is>
      </c>
      <c r="B3353" t="inlineStr">
        <is>
          <t>OPS</t>
        </is>
      </c>
      <c r="C3353" s="5" t="n">
        <v>46269</v>
      </c>
      <c r="D3353" t="inlineStr">
        <is>
          <t>Quarry Lane Concrete</t>
        </is>
      </c>
      <c r="E3353" t="inlineStr">
        <is>
          <t>INV/2026/03458</t>
        </is>
      </c>
      <c r="F3353" t="inlineStr">
        <is>
          <t>Customer payment INV/2026/03458</t>
        </is>
      </c>
      <c r="G3353" s="9" t="n">
        <v>5280</v>
      </c>
      <c r="H3353" t="inlineStr">
        <is>
          <t>customer_payment</t>
        </is>
      </c>
      <c r="I3353" t="inlineStr"/>
      <c r="J3353" t="inlineStr">
        <is>
          <t>G01157</t>
        </is>
      </c>
      <c r="K3353" t="str">
        <f>INDEX('Match Groups'!$D$5:$D$1326,MATCH(J3353,'Match Groups'!$A$5:$A$1326,0))</f>
        <v>MATCH</v>
      </c>
    </row>
    <row r="3354">
      <c r="A3354" t="inlineStr">
        <is>
          <t>JI-01763</t>
        </is>
      </c>
      <c r="B3354" t="inlineStr">
        <is>
          <t>OPS</t>
        </is>
      </c>
      <c r="C3354" s="5" t="n">
        <v>46269</v>
      </c>
      <c r="D3354" t="inlineStr">
        <is>
          <t>Quarry Lane Concrete</t>
        </is>
      </c>
      <c r="E3354" t="inlineStr">
        <is>
          <t>INV/2026/03509</t>
        </is>
      </c>
      <c r="F3354" t="inlineStr">
        <is>
          <t>Customer payment INV/2026/03509</t>
        </is>
      </c>
      <c r="G3354" s="9" t="n">
        <v>2035</v>
      </c>
      <c r="H3354" t="inlineStr">
        <is>
          <t>customer_payment</t>
        </is>
      </c>
      <c r="I3354" t="inlineStr"/>
      <c r="J3354" t="inlineStr">
        <is>
          <t>G01157</t>
        </is>
      </c>
      <c r="K3354" t="str">
        <f>INDEX('Match Groups'!$D$5:$D$1326,MATCH(J3354,'Match Groups'!$A$5:$A$1326,0))</f>
        <v>MATCH</v>
      </c>
    </row>
    <row r="3355">
      <c r="A3355" t="inlineStr">
        <is>
          <t>JI-01764</t>
        </is>
      </c>
      <c r="B3355" t="inlineStr">
        <is>
          <t>OPS</t>
        </is>
      </c>
      <c r="C3355" s="5" t="n">
        <v>46269</v>
      </c>
      <c r="D3355" t="inlineStr">
        <is>
          <t>Quarry Lane Concrete</t>
        </is>
      </c>
      <c r="E3355" t="inlineStr">
        <is>
          <t>INV/2026/03565</t>
        </is>
      </c>
      <c r="F3355" t="inlineStr">
        <is>
          <t>Customer payment INV/2026/03565</t>
        </is>
      </c>
      <c r="G3355" s="9" t="n">
        <v>5280</v>
      </c>
      <c r="H3355" t="inlineStr">
        <is>
          <t>customer_payment</t>
        </is>
      </c>
      <c r="I3355" t="inlineStr"/>
      <c r="J3355" t="inlineStr">
        <is>
          <t>G01157</t>
        </is>
      </c>
      <c r="K3355" t="str">
        <f>INDEX('Match Groups'!$D$5:$D$1326,MATCH(J3355,'Match Groups'!$A$5:$A$1326,0))</f>
        <v>MATCH</v>
      </c>
    </row>
    <row r="3356">
      <c r="A3356" t="inlineStr">
        <is>
          <t>JI-01767</t>
        </is>
      </c>
      <c r="B3356" t="inlineStr">
        <is>
          <t>OPS</t>
        </is>
      </c>
      <c r="C3356" s="5" t="n">
        <v>46269</v>
      </c>
      <c r="D3356" t="inlineStr">
        <is>
          <t>Rosedale Nurseries</t>
        </is>
      </c>
      <c r="E3356" t="inlineStr">
        <is>
          <t>INV/2026/03566</t>
        </is>
      </c>
      <c r="F3356" t="inlineStr">
        <is>
          <t>Customer payment INV/2026/03566</t>
        </is>
      </c>
      <c r="G3356" s="9" t="n">
        <v>10876.25</v>
      </c>
      <c r="H3356" t="inlineStr">
        <is>
          <t>customer_payment</t>
        </is>
      </c>
      <c r="I3356" t="inlineStr"/>
      <c r="J3356" t="inlineStr">
        <is>
          <t>G01046</t>
        </is>
      </c>
      <c r="K3356" t="str">
        <f>INDEX('Match Groups'!$D$5:$D$1326,MATCH(J3356,'Match Groups'!$A$5:$A$1326,0))</f>
        <v>MATCH</v>
      </c>
    </row>
    <row r="3357">
      <c r="A3357" t="inlineStr">
        <is>
          <t>JI-03155</t>
        </is>
      </c>
      <c r="B3357" t="inlineStr">
        <is>
          <t>OPS</t>
        </is>
      </c>
      <c r="C3357" s="5" t="n">
        <v>46269</v>
      </c>
      <c r="D3357" t="inlineStr">
        <is>
          <t>Stripe patient 49257</t>
        </is>
      </c>
      <c r="E3357" t="inlineStr">
        <is>
          <t>INV/2026/04976</t>
        </is>
      </c>
      <c r="F3357" t="inlineStr">
        <is>
          <t>Refund INV/2026/04976</t>
        </is>
      </c>
      <c r="G3357" s="9" t="n">
        <v>-110</v>
      </c>
      <c r="H3357" t="inlineStr">
        <is>
          <t>customer_refund</t>
        </is>
      </c>
      <c r="I3357" t="inlineStr"/>
      <c r="J3357" t="inlineStr">
        <is>
          <t>G00061</t>
        </is>
      </c>
      <c r="K3357" t="str">
        <f>INDEX('Match Groups'!$D$5:$D$1326,MATCH(J3357,'Match Groups'!$A$5:$A$1326,0))</f>
        <v>STRIPE-FEE</v>
      </c>
    </row>
    <row r="3358">
      <c r="A3358" t="inlineStr">
        <is>
          <t>JI-03190</t>
        </is>
      </c>
      <c r="B3358" t="inlineStr">
        <is>
          <t>OPS</t>
        </is>
      </c>
      <c r="C3358" s="5" t="n">
        <v>46269</v>
      </c>
      <c r="D3358" t="inlineStr">
        <is>
          <t>Stripe patient 44809</t>
        </is>
      </c>
      <c r="E3358" t="inlineStr">
        <is>
          <t>INV/2026/05032</t>
        </is>
      </c>
      <c r="F3358" t="inlineStr">
        <is>
          <t>Customer payment INV/2026/05032</t>
        </is>
      </c>
      <c r="G3358" s="9" t="n">
        <v>220</v>
      </c>
      <c r="H3358" t="inlineStr">
        <is>
          <t>customer_payment</t>
        </is>
      </c>
      <c r="I3358" t="inlineStr"/>
      <c r="J3358" t="inlineStr">
        <is>
          <t>G00063</t>
        </is>
      </c>
      <c r="K3358" t="str">
        <f>INDEX('Match Groups'!$D$5:$D$1326,MATCH(J3358,'Match Groups'!$A$5:$A$1326,0))</f>
        <v>STRIPE-FEE</v>
      </c>
    </row>
    <row r="3359">
      <c r="A3359" t="inlineStr">
        <is>
          <t>JI-03191</t>
        </is>
      </c>
      <c r="B3359" t="inlineStr">
        <is>
          <t>OPS</t>
        </is>
      </c>
      <c r="C3359" s="5" t="n">
        <v>46269</v>
      </c>
      <c r="D3359" t="inlineStr">
        <is>
          <t>Stripe patient 32231</t>
        </is>
      </c>
      <c r="E3359" t="inlineStr">
        <is>
          <t>INV/2026/05033</t>
        </is>
      </c>
      <c r="F3359" t="inlineStr">
        <is>
          <t>Customer payment INV/2026/05033</t>
        </is>
      </c>
      <c r="G3359" s="9" t="n">
        <v>135</v>
      </c>
      <c r="H3359" t="inlineStr">
        <is>
          <t>customer_payment</t>
        </is>
      </c>
      <c r="I3359" t="inlineStr"/>
      <c r="J3359" t="inlineStr">
        <is>
          <t>G00063</t>
        </is>
      </c>
      <c r="K3359" t="str">
        <f>INDEX('Match Groups'!$D$5:$D$1326,MATCH(J3359,'Match Groups'!$A$5:$A$1326,0))</f>
        <v>STRIPE-FEE</v>
      </c>
    </row>
    <row r="3360">
      <c r="A3360" t="inlineStr">
        <is>
          <t>JI-03192</t>
        </is>
      </c>
      <c r="B3360" t="inlineStr">
        <is>
          <t>OPS</t>
        </is>
      </c>
      <c r="C3360" s="5" t="n">
        <v>46269</v>
      </c>
      <c r="D3360" t="inlineStr">
        <is>
          <t>Stripe patient 32219</t>
        </is>
      </c>
      <c r="E3360" t="inlineStr">
        <is>
          <t>INV/2026/05034</t>
        </is>
      </c>
      <c r="F3360" t="inlineStr">
        <is>
          <t>Customer payment INV/2026/05034</t>
        </is>
      </c>
      <c r="G3360" s="9" t="n">
        <v>95</v>
      </c>
      <c r="H3360" t="inlineStr">
        <is>
          <t>customer_payment</t>
        </is>
      </c>
      <c r="I3360" t="inlineStr"/>
      <c r="J3360" t="inlineStr">
        <is>
          <t>G00063</t>
        </is>
      </c>
      <c r="K3360" t="str">
        <f>INDEX('Match Groups'!$D$5:$D$1326,MATCH(J3360,'Match Groups'!$A$5:$A$1326,0))</f>
        <v>STRIPE-FEE</v>
      </c>
    </row>
    <row r="3361">
      <c r="A3361" t="inlineStr">
        <is>
          <t>JI-03193</t>
        </is>
      </c>
      <c r="B3361" t="inlineStr">
        <is>
          <t>OPS</t>
        </is>
      </c>
      <c r="C3361" s="5" t="n">
        <v>46269</v>
      </c>
      <c r="D3361" t="inlineStr">
        <is>
          <t>Stripe patient 41092</t>
        </is>
      </c>
      <c r="E3361" t="inlineStr">
        <is>
          <t>INV/2026/05035</t>
        </is>
      </c>
      <c r="F3361" t="inlineStr">
        <is>
          <t>Customer payment INV/2026/05035</t>
        </is>
      </c>
      <c r="G3361" s="9" t="n">
        <v>180</v>
      </c>
      <c r="H3361" t="inlineStr">
        <is>
          <t>customer_payment</t>
        </is>
      </c>
      <c r="I3361" t="inlineStr"/>
      <c r="J3361" t="inlineStr">
        <is>
          <t>G00063</t>
        </is>
      </c>
      <c r="K3361" t="str">
        <f>INDEX('Match Groups'!$D$5:$D$1326,MATCH(J3361,'Match Groups'!$A$5:$A$1326,0))</f>
        <v>STRIPE-FEE</v>
      </c>
    </row>
    <row r="3362">
      <c r="A3362" t="inlineStr">
        <is>
          <t>JI-03194</t>
        </is>
      </c>
      <c r="B3362" t="inlineStr">
        <is>
          <t>OPS</t>
        </is>
      </c>
      <c r="C3362" s="5" t="n">
        <v>46269</v>
      </c>
      <c r="D3362" t="inlineStr">
        <is>
          <t>Stripe patient 39876</t>
        </is>
      </c>
      <c r="E3362" t="inlineStr">
        <is>
          <t>INV/2026/05036</t>
        </is>
      </c>
      <c r="F3362" t="inlineStr">
        <is>
          <t>Customer payment INV/2026/05036</t>
        </is>
      </c>
      <c r="G3362" s="9" t="n">
        <v>95</v>
      </c>
      <c r="H3362" t="inlineStr">
        <is>
          <t>customer_payment</t>
        </is>
      </c>
      <c r="I3362" t="inlineStr"/>
      <c r="J3362" t="inlineStr">
        <is>
          <t>G00063</t>
        </is>
      </c>
      <c r="K3362" t="str">
        <f>INDEX('Match Groups'!$D$5:$D$1326,MATCH(J3362,'Match Groups'!$A$5:$A$1326,0))</f>
        <v>STRIPE-FEE</v>
      </c>
    </row>
    <row r="3363">
      <c r="A3363" t="inlineStr">
        <is>
          <t>JI-03195</t>
        </is>
      </c>
      <c r="B3363" t="inlineStr">
        <is>
          <t>OPS</t>
        </is>
      </c>
      <c r="C3363" s="5" t="n">
        <v>46269</v>
      </c>
      <c r="D3363" t="inlineStr">
        <is>
          <t>Stripe patient 12636</t>
        </is>
      </c>
      <c r="E3363" t="inlineStr">
        <is>
          <t>INV/2026/05037</t>
        </is>
      </c>
      <c r="F3363" t="inlineStr">
        <is>
          <t>Customer payment INV/2026/05037</t>
        </is>
      </c>
      <c r="G3363" s="9" t="n">
        <v>65</v>
      </c>
      <c r="H3363" t="inlineStr">
        <is>
          <t>customer_payment</t>
        </is>
      </c>
      <c r="I3363" t="inlineStr"/>
      <c r="J3363" t="inlineStr">
        <is>
          <t>G00063</t>
        </is>
      </c>
      <c r="K3363" t="str">
        <f>INDEX('Match Groups'!$D$5:$D$1326,MATCH(J3363,'Match Groups'!$A$5:$A$1326,0))</f>
        <v>STRIPE-FEE</v>
      </c>
    </row>
    <row r="3364">
      <c r="A3364" t="inlineStr">
        <is>
          <t>JI-03196</t>
        </is>
      </c>
      <c r="B3364" t="inlineStr">
        <is>
          <t>OPS</t>
        </is>
      </c>
      <c r="C3364" s="5" t="n">
        <v>46269</v>
      </c>
      <c r="D3364" t="inlineStr">
        <is>
          <t>Stripe patient 42325</t>
        </is>
      </c>
      <c r="E3364" t="inlineStr">
        <is>
          <t>INV/2026/05038</t>
        </is>
      </c>
      <c r="F3364" t="inlineStr">
        <is>
          <t>Customer payment INV/2026/05038</t>
        </is>
      </c>
      <c r="G3364" s="9" t="n">
        <v>180</v>
      </c>
      <c r="H3364" t="inlineStr">
        <is>
          <t>customer_payment</t>
        </is>
      </c>
      <c r="I3364" t="inlineStr"/>
      <c r="J3364" t="inlineStr">
        <is>
          <t>G00063</t>
        </is>
      </c>
      <c r="K3364" t="str">
        <f>INDEX('Match Groups'!$D$5:$D$1326,MATCH(J3364,'Match Groups'!$A$5:$A$1326,0))</f>
        <v>STRIPE-FEE</v>
      </c>
    </row>
    <row r="3365">
      <c r="A3365" t="inlineStr">
        <is>
          <t>JI-03197</t>
        </is>
      </c>
      <c r="B3365" t="inlineStr">
        <is>
          <t>OPS</t>
        </is>
      </c>
      <c r="C3365" s="5" t="n">
        <v>46269</v>
      </c>
      <c r="D3365" t="inlineStr">
        <is>
          <t>Stripe patient 35841</t>
        </is>
      </c>
      <c r="E3365" t="inlineStr">
        <is>
          <t>INV/2026/05039</t>
        </is>
      </c>
      <c r="F3365" t="inlineStr">
        <is>
          <t>Customer payment INV/2026/05039</t>
        </is>
      </c>
      <c r="G3365" s="9" t="n">
        <v>135</v>
      </c>
      <c r="H3365" t="inlineStr">
        <is>
          <t>customer_payment</t>
        </is>
      </c>
      <c r="I3365" t="inlineStr"/>
      <c r="J3365" t="inlineStr">
        <is>
          <t>G00063</t>
        </is>
      </c>
      <c r="K3365" t="str">
        <f>INDEX('Match Groups'!$D$5:$D$1326,MATCH(J3365,'Match Groups'!$A$5:$A$1326,0))</f>
        <v>STRIPE-FEE</v>
      </c>
    </row>
    <row r="3366">
      <c r="A3366" t="inlineStr">
        <is>
          <t>JI-03198</t>
        </is>
      </c>
      <c r="B3366" t="inlineStr">
        <is>
          <t>OPS</t>
        </is>
      </c>
      <c r="C3366" s="5" t="n">
        <v>46269</v>
      </c>
      <c r="D3366" t="inlineStr">
        <is>
          <t>Stripe patient 40424</t>
        </is>
      </c>
      <c r="E3366" t="inlineStr">
        <is>
          <t>INV/2026/05040</t>
        </is>
      </c>
      <c r="F3366" t="inlineStr">
        <is>
          <t>Customer payment INV/2026/05040</t>
        </is>
      </c>
      <c r="G3366" s="9" t="n">
        <v>95</v>
      </c>
      <c r="H3366" t="inlineStr">
        <is>
          <t>customer_payment</t>
        </is>
      </c>
      <c r="I3366" t="inlineStr"/>
      <c r="J3366" t="inlineStr">
        <is>
          <t>G00063</t>
        </is>
      </c>
      <c r="K3366" t="str">
        <f>INDEX('Match Groups'!$D$5:$D$1326,MATCH(J3366,'Match Groups'!$A$5:$A$1326,0))</f>
        <v>STRIPE-FEE</v>
      </c>
    </row>
    <row r="3367">
      <c r="A3367" t="inlineStr">
        <is>
          <t>JI-03199</t>
        </is>
      </c>
      <c r="B3367" t="inlineStr">
        <is>
          <t>OPS</t>
        </is>
      </c>
      <c r="C3367" s="5" t="n">
        <v>46269</v>
      </c>
      <c r="D3367" t="inlineStr">
        <is>
          <t>Stripe patient 86153</t>
        </is>
      </c>
      <c r="E3367" t="inlineStr">
        <is>
          <t>INV/2026/05041</t>
        </is>
      </c>
      <c r="F3367" t="inlineStr">
        <is>
          <t>Customer payment INV/2026/05041</t>
        </is>
      </c>
      <c r="G3367" s="9" t="n">
        <v>150</v>
      </c>
      <c r="H3367" t="inlineStr">
        <is>
          <t>customer_payment</t>
        </is>
      </c>
      <c r="I3367" t="inlineStr"/>
      <c r="J3367" t="inlineStr">
        <is>
          <t>G00063</t>
        </is>
      </c>
      <c r="K3367" t="str">
        <f>INDEX('Match Groups'!$D$5:$D$1326,MATCH(J3367,'Match Groups'!$A$5:$A$1326,0))</f>
        <v>STRIPE-FEE</v>
      </c>
    </row>
    <row r="3368">
      <c r="A3368" t="inlineStr">
        <is>
          <t>JI-03200</t>
        </is>
      </c>
      <c r="B3368" t="inlineStr">
        <is>
          <t>OPS</t>
        </is>
      </c>
      <c r="C3368" s="5" t="n">
        <v>46269</v>
      </c>
      <c r="D3368" t="inlineStr">
        <is>
          <t>Stripe patient 31519</t>
        </is>
      </c>
      <c r="E3368" t="inlineStr">
        <is>
          <t>INV/2026/05042</t>
        </is>
      </c>
      <c r="F3368" t="inlineStr">
        <is>
          <t>Customer payment INV/2026/05042</t>
        </is>
      </c>
      <c r="G3368" s="9" t="n">
        <v>135</v>
      </c>
      <c r="H3368" t="inlineStr">
        <is>
          <t>customer_payment</t>
        </is>
      </c>
      <c r="I3368" t="inlineStr"/>
      <c r="J3368" t="inlineStr">
        <is>
          <t>G00063</t>
        </is>
      </c>
      <c r="K3368" t="str">
        <f>INDEX('Match Groups'!$D$5:$D$1326,MATCH(J3368,'Match Groups'!$A$5:$A$1326,0))</f>
        <v>STRIPE-FEE</v>
      </c>
    </row>
    <row r="3369">
      <c r="A3369" t="inlineStr">
        <is>
          <t>JI-03201</t>
        </is>
      </c>
      <c r="B3369" t="inlineStr">
        <is>
          <t>OPS</t>
        </is>
      </c>
      <c r="C3369" s="5" t="n">
        <v>46269</v>
      </c>
      <c r="D3369" t="inlineStr">
        <is>
          <t>Stripe patient 63869</t>
        </is>
      </c>
      <c r="E3369" t="inlineStr">
        <is>
          <t>INV/2026/05043</t>
        </is>
      </c>
      <c r="F3369" t="inlineStr">
        <is>
          <t>Customer payment INV/2026/05043</t>
        </is>
      </c>
      <c r="G3369" s="9" t="n">
        <v>120</v>
      </c>
      <c r="H3369" t="inlineStr">
        <is>
          <t>customer_payment</t>
        </is>
      </c>
      <c r="I3369" t="inlineStr"/>
      <c r="J3369" t="inlineStr">
        <is>
          <t>G00063</t>
        </is>
      </c>
      <c r="K3369" t="str">
        <f>INDEX('Match Groups'!$D$5:$D$1326,MATCH(J3369,'Match Groups'!$A$5:$A$1326,0))</f>
        <v>STRIPE-FEE</v>
      </c>
    </row>
    <row r="3370">
      <c r="A3370" t="inlineStr">
        <is>
          <t>JI-03202</t>
        </is>
      </c>
      <c r="B3370" t="inlineStr">
        <is>
          <t>OPS</t>
        </is>
      </c>
      <c r="C3370" s="5" t="n">
        <v>46269</v>
      </c>
      <c r="D3370" t="inlineStr">
        <is>
          <t>Stripe patient 78970</t>
        </is>
      </c>
      <c r="E3370" t="inlineStr">
        <is>
          <t>INV/2026/05044</t>
        </is>
      </c>
      <c r="F3370" t="inlineStr">
        <is>
          <t>Customer payment INV/2026/05044</t>
        </is>
      </c>
      <c r="G3370" s="9" t="n">
        <v>110</v>
      </c>
      <c r="H3370" t="inlineStr">
        <is>
          <t>customer_payment</t>
        </is>
      </c>
      <c r="I3370" t="inlineStr"/>
      <c r="J3370" t="inlineStr">
        <is>
          <t>G00063</t>
        </is>
      </c>
      <c r="K3370" t="str">
        <f>INDEX('Match Groups'!$D$5:$D$1326,MATCH(J3370,'Match Groups'!$A$5:$A$1326,0))</f>
        <v>STRIPE-FEE</v>
      </c>
    </row>
    <row r="3371">
      <c r="A3371" t="inlineStr">
        <is>
          <t>JI-03203</t>
        </is>
      </c>
      <c r="B3371" t="inlineStr">
        <is>
          <t>OPS</t>
        </is>
      </c>
      <c r="C3371" s="5" t="n">
        <v>46269</v>
      </c>
      <c r="D3371" t="inlineStr">
        <is>
          <t>Stripe patient 52347</t>
        </is>
      </c>
      <c r="E3371" t="inlineStr">
        <is>
          <t>INV/2026/05045</t>
        </is>
      </c>
      <c r="F3371" t="inlineStr">
        <is>
          <t>Customer payment INV/2026/05045</t>
        </is>
      </c>
      <c r="G3371" s="9" t="n">
        <v>65</v>
      </c>
      <c r="H3371" t="inlineStr">
        <is>
          <t>customer_payment</t>
        </is>
      </c>
      <c r="I3371" t="inlineStr"/>
      <c r="J3371" t="inlineStr">
        <is>
          <t>G00063</t>
        </is>
      </c>
      <c r="K3371" t="str">
        <f>INDEX('Match Groups'!$D$5:$D$1326,MATCH(J3371,'Match Groups'!$A$5:$A$1326,0))</f>
        <v>STRIPE-FEE</v>
      </c>
    </row>
    <row r="3372">
      <c r="A3372" t="inlineStr">
        <is>
          <t>JI-03204</t>
        </is>
      </c>
      <c r="B3372" t="inlineStr">
        <is>
          <t>OPS</t>
        </is>
      </c>
      <c r="C3372" s="5" t="n">
        <v>46269</v>
      </c>
      <c r="D3372" t="inlineStr">
        <is>
          <t>Stripe patient 40943</t>
        </is>
      </c>
      <c r="E3372" t="inlineStr">
        <is>
          <t>INV/2026/05046</t>
        </is>
      </c>
      <c r="F3372" t="inlineStr">
        <is>
          <t>Customer payment INV/2026/05046</t>
        </is>
      </c>
      <c r="G3372" s="9" t="n">
        <v>95</v>
      </c>
      <c r="H3372" t="inlineStr">
        <is>
          <t>customer_payment</t>
        </is>
      </c>
      <c r="I3372" t="inlineStr"/>
      <c r="J3372" t="inlineStr">
        <is>
          <t>G00063</t>
        </is>
      </c>
      <c r="K3372" t="str">
        <f>INDEX('Match Groups'!$D$5:$D$1326,MATCH(J3372,'Match Groups'!$A$5:$A$1326,0))</f>
        <v>STRIPE-FEE</v>
      </c>
    </row>
    <row r="3373">
      <c r="A3373" t="inlineStr">
        <is>
          <t>JI-03205</t>
        </is>
      </c>
      <c r="B3373" t="inlineStr">
        <is>
          <t>OPS</t>
        </is>
      </c>
      <c r="C3373" s="5" t="n">
        <v>46269</v>
      </c>
      <c r="D3373" t="inlineStr">
        <is>
          <t>Stripe patient 83692</t>
        </is>
      </c>
      <c r="E3373" t="inlineStr">
        <is>
          <t>INV/2026/05047</t>
        </is>
      </c>
      <c r="F3373" t="inlineStr">
        <is>
          <t>Customer payment INV/2026/05047</t>
        </is>
      </c>
      <c r="G3373" s="9" t="n">
        <v>95</v>
      </c>
      <c r="H3373" t="inlineStr">
        <is>
          <t>customer_payment</t>
        </is>
      </c>
      <c r="I3373" t="inlineStr"/>
      <c r="J3373" t="inlineStr">
        <is>
          <t>G00063</t>
        </is>
      </c>
      <c r="K3373" t="str">
        <f>INDEX('Match Groups'!$D$5:$D$1326,MATCH(J3373,'Match Groups'!$A$5:$A$1326,0))</f>
        <v>STRIPE-FEE</v>
      </c>
    </row>
    <row r="3374">
      <c r="A3374" t="inlineStr">
        <is>
          <t>JI-03206</t>
        </is>
      </c>
      <c r="B3374" t="inlineStr">
        <is>
          <t>OPS</t>
        </is>
      </c>
      <c r="C3374" s="5" t="n">
        <v>46269</v>
      </c>
      <c r="D3374" t="inlineStr">
        <is>
          <t>Stripe patient 75242</t>
        </is>
      </c>
      <c r="E3374" t="inlineStr">
        <is>
          <t>INV/2026/05048</t>
        </is>
      </c>
      <c r="F3374" t="inlineStr">
        <is>
          <t>Customer payment INV/2026/05048</t>
        </is>
      </c>
      <c r="G3374" s="9" t="n">
        <v>120</v>
      </c>
      <c r="H3374" t="inlineStr">
        <is>
          <t>customer_payment</t>
        </is>
      </c>
      <c r="I3374" t="inlineStr"/>
      <c r="J3374" t="inlineStr">
        <is>
          <t>G00063</t>
        </is>
      </c>
      <c r="K3374" t="str">
        <f>INDEX('Match Groups'!$D$5:$D$1326,MATCH(J3374,'Match Groups'!$A$5:$A$1326,0))</f>
        <v>STRIPE-FEE</v>
      </c>
    </row>
    <row r="3375">
      <c r="A3375" t="inlineStr">
        <is>
          <t>JI-03207</t>
        </is>
      </c>
      <c r="B3375" t="inlineStr">
        <is>
          <t>OPS</t>
        </is>
      </c>
      <c r="C3375" s="5" t="n">
        <v>46269</v>
      </c>
      <c r="D3375" t="inlineStr">
        <is>
          <t>Stripe patient 59531</t>
        </is>
      </c>
      <c r="E3375" t="inlineStr">
        <is>
          <t>INV/2026/05049</t>
        </is>
      </c>
      <c r="F3375" t="inlineStr">
        <is>
          <t>Customer payment INV/2026/05049</t>
        </is>
      </c>
      <c r="G3375" s="9" t="n">
        <v>220</v>
      </c>
      <c r="H3375" t="inlineStr">
        <is>
          <t>customer_payment</t>
        </is>
      </c>
      <c r="I3375" t="inlineStr"/>
      <c r="J3375" t="inlineStr">
        <is>
          <t>G00063</t>
        </is>
      </c>
      <c r="K3375" t="str">
        <f>INDEX('Match Groups'!$D$5:$D$1326,MATCH(J3375,'Match Groups'!$A$5:$A$1326,0))</f>
        <v>STRIPE-FEE</v>
      </c>
    </row>
    <row r="3376">
      <c r="A3376" t="inlineStr">
        <is>
          <t>JI-03928</t>
        </is>
      </c>
      <c r="B3376" t="inlineStr">
        <is>
          <t>OPS</t>
        </is>
      </c>
      <c r="C3376" s="5" t="n">
        <v>46269</v>
      </c>
      <c r="D3376" t="inlineStr">
        <is>
          <t>Harbour IT Support</t>
        </is>
      </c>
      <c r="E3376" t="inlineStr">
        <is>
          <t>CHQ 000410</t>
        </is>
      </c>
      <c r="F3376" t="inlineStr">
        <is>
          <t>Cheque 000410 Harbour IT Support</t>
        </is>
      </c>
      <c r="G3376" s="9" t="n">
        <v>-550</v>
      </c>
      <c r="H3376" t="inlineStr">
        <is>
          <t>supplier_payment</t>
        </is>
      </c>
      <c r="I3376" t="inlineStr"/>
      <c r="J3376" t="inlineStr">
        <is>
          <t>G00544</t>
        </is>
      </c>
      <c r="K3376" t="str">
        <f>INDEX('Match Groups'!$D$5:$D$1326,MATCH(J3376,'Match Groups'!$A$5:$A$1326,0))</f>
        <v>MATCH</v>
      </c>
    </row>
    <row r="3377">
      <c r="A3377" t="inlineStr">
        <is>
          <t>JI-01680</t>
        </is>
      </c>
      <c r="B3377" t="inlineStr">
        <is>
          <t>OPS</t>
        </is>
      </c>
      <c r="C3377" s="5" t="n">
        <v>46270</v>
      </c>
      <c r="D3377" t="inlineStr">
        <is>
          <t>Marlowe Print &amp; Pack</t>
        </is>
      </c>
      <c r="E3377" t="inlineStr">
        <is>
          <t>INV/2026/03528</t>
        </is>
      </c>
      <c r="F3377" t="inlineStr">
        <is>
          <t>Customer payment INV/2026/03528</t>
        </is>
      </c>
      <c r="G3377" s="9" t="n">
        <v>2117.5</v>
      </c>
      <c r="H3377" t="inlineStr">
        <is>
          <t>customer_payment</t>
        </is>
      </c>
      <c r="I3377" t="inlineStr"/>
      <c r="J3377" t="inlineStr">
        <is>
          <t>G01154</t>
        </is>
      </c>
      <c r="K3377" t="str">
        <f>INDEX('Match Groups'!$D$5:$D$1326,MATCH(J3377,'Match Groups'!$A$5:$A$1326,0))</f>
        <v>MATCH</v>
      </c>
    </row>
    <row r="3378">
      <c r="A3378" t="inlineStr">
        <is>
          <t>JI-03208</t>
        </is>
      </c>
      <c r="B3378" t="inlineStr">
        <is>
          <t>OPS</t>
        </is>
      </c>
      <c r="C3378" s="5" t="n">
        <v>46270</v>
      </c>
      <c r="D3378" t="inlineStr">
        <is>
          <t>Stripe patient 81539</t>
        </is>
      </c>
      <c r="E3378" t="inlineStr">
        <is>
          <t>INV/2026/05050</t>
        </is>
      </c>
      <c r="F3378" t="inlineStr">
        <is>
          <t>Customer payment INV/2026/05050</t>
        </is>
      </c>
      <c r="G3378" s="9" t="n">
        <v>135</v>
      </c>
      <c r="H3378" t="inlineStr">
        <is>
          <t>customer_payment</t>
        </is>
      </c>
      <c r="I3378" t="inlineStr"/>
      <c r="J3378" t="inlineStr">
        <is>
          <t>G00063</t>
        </is>
      </c>
      <c r="K3378" t="str">
        <f>INDEX('Match Groups'!$D$5:$D$1326,MATCH(J3378,'Match Groups'!$A$5:$A$1326,0))</f>
        <v>STRIPE-FEE</v>
      </c>
    </row>
    <row r="3379">
      <c r="A3379" t="inlineStr">
        <is>
          <t>JI-03209</t>
        </is>
      </c>
      <c r="B3379" t="inlineStr">
        <is>
          <t>OPS</t>
        </is>
      </c>
      <c r="C3379" s="5" t="n">
        <v>46270</v>
      </c>
      <c r="D3379" t="inlineStr">
        <is>
          <t>Stripe patient 56143</t>
        </is>
      </c>
      <c r="E3379" t="inlineStr">
        <is>
          <t>INV/2026/05051</t>
        </is>
      </c>
      <c r="F3379" t="inlineStr">
        <is>
          <t>Customer payment INV/2026/05051</t>
        </is>
      </c>
      <c r="G3379" s="9" t="n">
        <v>65</v>
      </c>
      <c r="H3379" t="inlineStr">
        <is>
          <t>customer_payment</t>
        </is>
      </c>
      <c r="I3379" t="inlineStr"/>
      <c r="J3379" t="inlineStr">
        <is>
          <t>G00063</t>
        </is>
      </c>
      <c r="K3379" t="str">
        <f>INDEX('Match Groups'!$D$5:$D$1326,MATCH(J3379,'Match Groups'!$A$5:$A$1326,0))</f>
        <v>STRIPE-FEE</v>
      </c>
    </row>
    <row r="3380">
      <c r="A3380" t="inlineStr">
        <is>
          <t>JI-03210</t>
        </is>
      </c>
      <c r="B3380" t="inlineStr">
        <is>
          <t>OPS</t>
        </is>
      </c>
      <c r="C3380" s="5" t="n">
        <v>46270</v>
      </c>
      <c r="D3380" t="inlineStr">
        <is>
          <t>Stripe patient 70048</t>
        </is>
      </c>
      <c r="E3380" t="inlineStr">
        <is>
          <t>INV/2026/05052</t>
        </is>
      </c>
      <c r="F3380" t="inlineStr">
        <is>
          <t>Customer payment INV/2026/05052</t>
        </is>
      </c>
      <c r="G3380" s="9" t="n">
        <v>220</v>
      </c>
      <c r="H3380" t="inlineStr">
        <is>
          <t>customer_payment</t>
        </is>
      </c>
      <c r="I3380" t="inlineStr"/>
      <c r="J3380" t="inlineStr">
        <is>
          <t>G00063</t>
        </is>
      </c>
      <c r="K3380" t="str">
        <f>INDEX('Match Groups'!$D$5:$D$1326,MATCH(J3380,'Match Groups'!$A$5:$A$1326,0))</f>
        <v>STRIPE-FEE</v>
      </c>
    </row>
    <row r="3381">
      <c r="A3381" t="inlineStr">
        <is>
          <t>JI-03211</t>
        </is>
      </c>
      <c r="B3381" t="inlineStr">
        <is>
          <t>OPS</t>
        </is>
      </c>
      <c r="C3381" s="5" t="n">
        <v>46270</v>
      </c>
      <c r="D3381" t="inlineStr">
        <is>
          <t>Stripe patient 95332</t>
        </is>
      </c>
      <c r="E3381" t="inlineStr">
        <is>
          <t>INV/2026/05053</t>
        </is>
      </c>
      <c r="F3381" t="inlineStr">
        <is>
          <t>Customer payment INV/2026/05053</t>
        </is>
      </c>
      <c r="G3381" s="9" t="n">
        <v>95</v>
      </c>
      <c r="H3381" t="inlineStr">
        <is>
          <t>customer_payment</t>
        </is>
      </c>
      <c r="I3381" t="inlineStr"/>
      <c r="J3381" t="inlineStr">
        <is>
          <t>G00063</t>
        </is>
      </c>
      <c r="K3381" t="str">
        <f>INDEX('Match Groups'!$D$5:$D$1326,MATCH(J3381,'Match Groups'!$A$5:$A$1326,0))</f>
        <v>STRIPE-FEE</v>
      </c>
    </row>
    <row r="3382">
      <c r="A3382" t="inlineStr">
        <is>
          <t>JI-03212</t>
        </is>
      </c>
      <c r="B3382" t="inlineStr">
        <is>
          <t>OPS</t>
        </is>
      </c>
      <c r="C3382" s="5" t="n">
        <v>46270</v>
      </c>
      <c r="D3382" t="inlineStr">
        <is>
          <t>Stripe patient 46645</t>
        </is>
      </c>
      <c r="E3382" t="inlineStr">
        <is>
          <t>INV/2026/05054</t>
        </is>
      </c>
      <c r="F3382" t="inlineStr">
        <is>
          <t>Customer payment INV/2026/05054</t>
        </is>
      </c>
      <c r="G3382" s="9" t="n">
        <v>85</v>
      </c>
      <c r="H3382" t="inlineStr">
        <is>
          <t>customer_payment</t>
        </is>
      </c>
      <c r="I3382" t="inlineStr"/>
      <c r="J3382" t="inlineStr">
        <is>
          <t>G00063</t>
        </is>
      </c>
      <c r="K3382" t="str">
        <f>INDEX('Match Groups'!$D$5:$D$1326,MATCH(J3382,'Match Groups'!$A$5:$A$1326,0))</f>
        <v>STRIPE-FEE</v>
      </c>
    </row>
    <row r="3383">
      <c r="A3383" t="inlineStr">
        <is>
          <t>JI-03213</t>
        </is>
      </c>
      <c r="B3383" t="inlineStr">
        <is>
          <t>OPS</t>
        </is>
      </c>
      <c r="C3383" s="5" t="n">
        <v>46270</v>
      </c>
      <c r="D3383" t="inlineStr">
        <is>
          <t>Stripe patient 28294</t>
        </is>
      </c>
      <c r="E3383" t="inlineStr">
        <is>
          <t>INV/2026/05055</t>
        </is>
      </c>
      <c r="F3383" t="inlineStr">
        <is>
          <t>Customer payment INV/2026/05055</t>
        </is>
      </c>
      <c r="G3383" s="9" t="n">
        <v>120</v>
      </c>
      <c r="H3383" t="inlineStr">
        <is>
          <t>customer_payment</t>
        </is>
      </c>
      <c r="I3383" t="inlineStr"/>
      <c r="J3383" t="inlineStr">
        <is>
          <t>G00063</t>
        </is>
      </c>
      <c r="K3383" t="str">
        <f>INDEX('Match Groups'!$D$5:$D$1326,MATCH(J3383,'Match Groups'!$A$5:$A$1326,0))</f>
        <v>STRIPE-FEE</v>
      </c>
    </row>
    <row r="3384">
      <c r="A3384" t="inlineStr">
        <is>
          <t>JI-01246</t>
        </is>
      </c>
      <c r="B3384" t="inlineStr">
        <is>
          <t>OPS</t>
        </is>
      </c>
      <c r="C3384" s="5" t="n">
        <v>46272</v>
      </c>
      <c r="D3384" t="inlineStr">
        <is>
          <t>Riverbend Plan Partners</t>
        </is>
      </c>
      <c r="E3384" t="inlineStr">
        <is>
          <t>INV/2026/02885</t>
        </is>
      </c>
      <c r="F3384" t="inlineStr">
        <is>
          <t>Customer payment INV/2026/02885</t>
        </is>
      </c>
      <c r="G3384" s="9" t="n">
        <v>290.98</v>
      </c>
      <c r="H3384" t="inlineStr">
        <is>
          <t>customer_payment</t>
        </is>
      </c>
      <c r="I3384" t="inlineStr"/>
      <c r="J3384" t="inlineStr">
        <is>
          <t>G00397</t>
        </is>
      </c>
      <c r="K3384" t="str">
        <f>INDEX('Match Groups'!$D$5:$D$1326,MATCH(J3384,'Match Groups'!$A$5:$A$1326,0))</f>
        <v>MATCH</v>
      </c>
    </row>
    <row r="3385">
      <c r="A3385" t="inlineStr">
        <is>
          <t>JI-01247</t>
        </is>
      </c>
      <c r="B3385" t="inlineStr">
        <is>
          <t>OPS</t>
        </is>
      </c>
      <c r="C3385" s="5" t="n">
        <v>46272</v>
      </c>
      <c r="D3385" t="inlineStr">
        <is>
          <t>Riverbend Plan Partners</t>
        </is>
      </c>
      <c r="E3385" t="inlineStr">
        <is>
          <t>INV/2026/02904</t>
        </is>
      </c>
      <c r="F3385" t="inlineStr">
        <is>
          <t>Customer payment INV/2026/02904</t>
        </is>
      </c>
      <c r="G3385" s="9" t="n">
        <v>387.98</v>
      </c>
      <c r="H3385" t="inlineStr">
        <is>
          <t>customer_payment</t>
        </is>
      </c>
      <c r="I3385" t="inlineStr"/>
      <c r="J3385" t="inlineStr">
        <is>
          <t>G00397</t>
        </is>
      </c>
      <c r="K3385" t="str">
        <f>INDEX('Match Groups'!$D$5:$D$1326,MATCH(J3385,'Match Groups'!$A$5:$A$1326,0))</f>
        <v>MATCH</v>
      </c>
    </row>
    <row r="3386">
      <c r="A3386" t="inlineStr">
        <is>
          <t>JI-01248</t>
        </is>
      </c>
      <c r="B3386" t="inlineStr">
        <is>
          <t>OPS</t>
        </is>
      </c>
      <c r="C3386" s="5" t="n">
        <v>46272</v>
      </c>
      <c r="D3386" t="inlineStr">
        <is>
          <t>Riverbend Plan Partners</t>
        </is>
      </c>
      <c r="E3386" t="inlineStr">
        <is>
          <t>INV/2026/02905</t>
        </is>
      </c>
      <c r="F3386" t="inlineStr">
        <is>
          <t>Customer payment INV/2026/02905</t>
        </is>
      </c>
      <c r="G3386" s="9" t="n">
        <v>126.99</v>
      </c>
      <c r="H3386" t="inlineStr">
        <is>
          <t>customer_payment</t>
        </is>
      </c>
      <c r="I3386" t="inlineStr"/>
      <c r="J3386" t="inlineStr">
        <is>
          <t>G00397</t>
        </is>
      </c>
      <c r="K3386" t="str">
        <f>INDEX('Match Groups'!$D$5:$D$1326,MATCH(J3386,'Match Groups'!$A$5:$A$1326,0))</f>
        <v>MATCH</v>
      </c>
    </row>
    <row r="3387">
      <c r="A3387" t="inlineStr">
        <is>
          <t>JI-01249</t>
        </is>
      </c>
      <c r="B3387" t="inlineStr">
        <is>
          <t>OPS</t>
        </is>
      </c>
      <c r="C3387" s="5" t="n">
        <v>46272</v>
      </c>
      <c r="D3387" t="inlineStr">
        <is>
          <t>Riverbend Plan Partners</t>
        </is>
      </c>
      <c r="E3387" t="inlineStr">
        <is>
          <t>INV/2026/02931</t>
        </is>
      </c>
      <c r="F3387" t="inlineStr">
        <is>
          <t>Customer payment INV/2026/02931</t>
        </is>
      </c>
      <c r="G3387" s="9" t="n">
        <v>223.99</v>
      </c>
      <c r="H3387" t="inlineStr">
        <is>
          <t>customer_payment</t>
        </is>
      </c>
      <c r="I3387" t="inlineStr"/>
      <c r="J3387" t="inlineStr">
        <is>
          <t>G00397</t>
        </is>
      </c>
      <c r="K3387" t="str">
        <f>INDEX('Match Groups'!$D$5:$D$1326,MATCH(J3387,'Match Groups'!$A$5:$A$1326,0))</f>
        <v>MATCH</v>
      </c>
    </row>
    <row r="3388">
      <c r="A3388" t="inlineStr">
        <is>
          <t>JI-01250</t>
        </is>
      </c>
      <c r="B3388" t="inlineStr">
        <is>
          <t>OPS</t>
        </is>
      </c>
      <c r="C3388" s="5" t="n">
        <v>46272</v>
      </c>
      <c r="D3388" t="inlineStr">
        <is>
          <t>Riverbend Plan Partners</t>
        </is>
      </c>
      <c r="E3388" t="inlineStr">
        <is>
          <t>INV/2026/02952</t>
        </is>
      </c>
      <c r="F3388" t="inlineStr">
        <is>
          <t>Customer payment INV/2026/02952</t>
        </is>
      </c>
      <c r="G3388" s="9" t="n">
        <v>193.99</v>
      </c>
      <c r="H3388" t="inlineStr">
        <is>
          <t>customer_payment</t>
        </is>
      </c>
      <c r="I3388" t="inlineStr"/>
      <c r="J3388" t="inlineStr">
        <is>
          <t>G00397</t>
        </is>
      </c>
      <c r="K3388" t="str">
        <f>INDEX('Match Groups'!$D$5:$D$1326,MATCH(J3388,'Match Groups'!$A$5:$A$1326,0))</f>
        <v>MATCH</v>
      </c>
    </row>
    <row r="3389">
      <c r="A3389" t="inlineStr">
        <is>
          <t>JI-01251</t>
        </is>
      </c>
      <c r="B3389" t="inlineStr">
        <is>
          <t>OPS</t>
        </is>
      </c>
      <c r="C3389" s="5" t="n">
        <v>46272</v>
      </c>
      <c r="D3389" t="inlineStr">
        <is>
          <t>Riverbend Plan Partners</t>
        </is>
      </c>
      <c r="E3389" t="inlineStr">
        <is>
          <t>INV/2026/02953</t>
        </is>
      </c>
      <c r="F3389" t="inlineStr">
        <is>
          <t>Customer payment INV/2026/02953</t>
        </is>
      </c>
      <c r="G3389" s="9" t="n">
        <v>193.99</v>
      </c>
      <c r="H3389" t="inlineStr">
        <is>
          <t>customer_payment</t>
        </is>
      </c>
      <c r="I3389" t="inlineStr"/>
      <c r="J3389" t="inlineStr">
        <is>
          <t>G00397</t>
        </is>
      </c>
      <c r="K3389" t="str">
        <f>INDEX('Match Groups'!$D$5:$D$1326,MATCH(J3389,'Match Groups'!$A$5:$A$1326,0))</f>
        <v>MATCH</v>
      </c>
    </row>
    <row r="3390">
      <c r="A3390" t="inlineStr">
        <is>
          <t>JI-01252</t>
        </is>
      </c>
      <c r="B3390" t="inlineStr">
        <is>
          <t>OPS</t>
        </is>
      </c>
      <c r="C3390" s="5" t="n">
        <v>46272</v>
      </c>
      <c r="D3390" t="inlineStr">
        <is>
          <t>Wattle Plan Services</t>
        </is>
      </c>
      <c r="E3390" t="inlineStr">
        <is>
          <t>INV/2026/02890</t>
        </is>
      </c>
      <c r="F3390" t="inlineStr">
        <is>
          <t>Customer payment INV/2026/02890</t>
        </is>
      </c>
      <c r="G3390" s="9" t="n">
        <v>387.98</v>
      </c>
      <c r="H3390" t="inlineStr">
        <is>
          <t>customer_payment</t>
        </is>
      </c>
      <c r="I3390" t="inlineStr"/>
      <c r="J3390" t="inlineStr">
        <is>
          <t>G00398</t>
        </is>
      </c>
      <c r="K3390" t="str">
        <f>INDEX('Match Groups'!$D$5:$D$1326,MATCH(J3390,'Match Groups'!$A$5:$A$1326,0))</f>
        <v>MATCH</v>
      </c>
    </row>
    <row r="3391">
      <c r="A3391" t="inlineStr">
        <is>
          <t>JI-01253</t>
        </is>
      </c>
      <c r="B3391" t="inlineStr">
        <is>
          <t>OPS</t>
        </is>
      </c>
      <c r="C3391" s="5" t="n">
        <v>46272</v>
      </c>
      <c r="D3391" t="inlineStr">
        <is>
          <t>Wattle Plan Services</t>
        </is>
      </c>
      <c r="E3391" t="inlineStr">
        <is>
          <t>INV/2026/02908</t>
        </is>
      </c>
      <c r="F3391" t="inlineStr">
        <is>
          <t>Customer payment INV/2026/02908</t>
        </is>
      </c>
      <c r="G3391" s="9" t="n">
        <v>145.49</v>
      </c>
      <c r="H3391" t="inlineStr">
        <is>
          <t>customer_payment</t>
        </is>
      </c>
      <c r="I3391" t="inlineStr"/>
      <c r="J3391" t="inlineStr">
        <is>
          <t>G00398</t>
        </is>
      </c>
      <c r="K3391" t="str">
        <f>INDEX('Match Groups'!$D$5:$D$1326,MATCH(J3391,'Match Groups'!$A$5:$A$1326,0))</f>
        <v>MATCH</v>
      </c>
    </row>
    <row r="3392">
      <c r="A3392" t="inlineStr">
        <is>
          <t>JI-01254</t>
        </is>
      </c>
      <c r="B3392" t="inlineStr">
        <is>
          <t>OPS</t>
        </is>
      </c>
      <c r="C3392" s="5" t="n">
        <v>46272</v>
      </c>
      <c r="D3392" t="inlineStr">
        <is>
          <t>Wattle Plan Services</t>
        </is>
      </c>
      <c r="E3392" t="inlineStr">
        <is>
          <t>INV/2026/02934</t>
        </is>
      </c>
      <c r="F3392" t="inlineStr">
        <is>
          <t>Customer payment INV/2026/02934</t>
        </is>
      </c>
      <c r="G3392" s="9" t="n">
        <v>126.99</v>
      </c>
      <c r="H3392" t="inlineStr">
        <is>
          <t>customer_payment</t>
        </is>
      </c>
      <c r="I3392" t="inlineStr"/>
      <c r="J3392" t="inlineStr">
        <is>
          <t>G00398</t>
        </is>
      </c>
      <c r="K3392" t="str">
        <f>INDEX('Match Groups'!$D$5:$D$1326,MATCH(J3392,'Match Groups'!$A$5:$A$1326,0))</f>
        <v>MATCH</v>
      </c>
    </row>
    <row r="3393">
      <c r="A3393" t="inlineStr">
        <is>
          <t>JI-01255</t>
        </is>
      </c>
      <c r="B3393" t="inlineStr">
        <is>
          <t>OPS</t>
        </is>
      </c>
      <c r="C3393" s="5" t="n">
        <v>46272</v>
      </c>
      <c r="D3393" t="inlineStr">
        <is>
          <t>Kookaburra Plan Support</t>
        </is>
      </c>
      <c r="E3393" t="inlineStr">
        <is>
          <t>INV/2026/02849</t>
        </is>
      </c>
      <c r="F3393" t="inlineStr">
        <is>
          <t>Customer payment INV/2026/02849</t>
        </is>
      </c>
      <c r="G3393" s="9" t="n">
        <v>96.98999999999999</v>
      </c>
      <c r="H3393" t="inlineStr">
        <is>
          <t>customer_payment</t>
        </is>
      </c>
      <c r="I3393" t="inlineStr"/>
      <c r="J3393" t="inlineStr">
        <is>
          <t>G00399</t>
        </is>
      </c>
      <c r="K3393" t="str">
        <f>INDEX('Match Groups'!$D$5:$D$1326,MATCH(J3393,'Match Groups'!$A$5:$A$1326,0))</f>
        <v>MATCH</v>
      </c>
    </row>
    <row r="3394">
      <c r="A3394" t="inlineStr">
        <is>
          <t>JI-01256</t>
        </is>
      </c>
      <c r="B3394" t="inlineStr">
        <is>
          <t>OPS</t>
        </is>
      </c>
      <c r="C3394" s="5" t="n">
        <v>46272</v>
      </c>
      <c r="D3394" t="inlineStr">
        <is>
          <t>Kookaburra Plan Support</t>
        </is>
      </c>
      <c r="E3394" t="inlineStr">
        <is>
          <t>INV/2026/02873</t>
        </is>
      </c>
      <c r="F3394" t="inlineStr">
        <is>
          <t>Customer payment INV/2026/02873</t>
        </is>
      </c>
      <c r="G3394" s="9" t="n">
        <v>272.49</v>
      </c>
      <c r="H3394" t="inlineStr">
        <is>
          <t>customer_payment</t>
        </is>
      </c>
      <c r="I3394" t="inlineStr"/>
      <c r="J3394" t="inlineStr">
        <is>
          <t>G00399</t>
        </is>
      </c>
      <c r="K3394" t="str">
        <f>INDEX('Match Groups'!$D$5:$D$1326,MATCH(J3394,'Match Groups'!$A$5:$A$1326,0))</f>
        <v>MATCH</v>
      </c>
    </row>
    <row r="3395">
      <c r="A3395" t="inlineStr">
        <is>
          <t>JI-01257</t>
        </is>
      </c>
      <c r="B3395" t="inlineStr">
        <is>
          <t>OPS</t>
        </is>
      </c>
      <c r="C3395" s="5" t="n">
        <v>46272</v>
      </c>
      <c r="D3395" t="inlineStr">
        <is>
          <t>Kookaburra Plan Support</t>
        </is>
      </c>
      <c r="E3395" t="inlineStr">
        <is>
          <t>INV/2026/02894</t>
        </is>
      </c>
      <c r="F3395" t="inlineStr">
        <is>
          <t>Customer payment INV/2026/02894</t>
        </is>
      </c>
      <c r="G3395" s="9" t="n">
        <v>203.69</v>
      </c>
      <c r="H3395" t="inlineStr">
        <is>
          <t>customer_payment</t>
        </is>
      </c>
      <c r="I3395" t="inlineStr"/>
      <c r="J3395" t="inlineStr">
        <is>
          <t>G00399</t>
        </is>
      </c>
      <c r="K3395" t="str">
        <f>INDEX('Match Groups'!$D$5:$D$1326,MATCH(J3395,'Match Groups'!$A$5:$A$1326,0))</f>
        <v>MATCH</v>
      </c>
    </row>
    <row r="3396">
      <c r="A3396" t="inlineStr">
        <is>
          <t>JI-01258</t>
        </is>
      </c>
      <c r="B3396" t="inlineStr">
        <is>
          <t>OPS</t>
        </is>
      </c>
      <c r="C3396" s="5" t="n">
        <v>46272</v>
      </c>
      <c r="D3396" t="inlineStr">
        <is>
          <t>Kookaburra Plan Support</t>
        </is>
      </c>
      <c r="E3396" t="inlineStr">
        <is>
          <t>INV/2026/02895</t>
        </is>
      </c>
      <c r="F3396" t="inlineStr">
        <is>
          <t>Customer payment INV/2026/02895</t>
        </is>
      </c>
      <c r="G3396" s="9" t="n">
        <v>203.69</v>
      </c>
      <c r="H3396" t="inlineStr">
        <is>
          <t>customer_payment</t>
        </is>
      </c>
      <c r="I3396" t="inlineStr"/>
      <c r="J3396" t="inlineStr">
        <is>
          <t>G00399</t>
        </is>
      </c>
      <c r="K3396" t="str">
        <f>INDEX('Match Groups'!$D$5:$D$1326,MATCH(J3396,'Match Groups'!$A$5:$A$1326,0))</f>
        <v>MATCH</v>
      </c>
    </row>
    <row r="3397">
      <c r="A3397" t="inlineStr">
        <is>
          <t>JI-01259</t>
        </is>
      </c>
      <c r="B3397" t="inlineStr">
        <is>
          <t>OPS</t>
        </is>
      </c>
      <c r="C3397" s="5" t="n">
        <v>46272</v>
      </c>
      <c r="D3397" t="inlineStr">
        <is>
          <t>Saltbush Plan Managers</t>
        </is>
      </c>
      <c r="E3397" t="inlineStr">
        <is>
          <t>INV/2026/02941</t>
        </is>
      </c>
      <c r="F3397" t="inlineStr">
        <is>
          <t>Customer payment INV/2026/02941</t>
        </is>
      </c>
      <c r="G3397" s="9" t="n">
        <v>349.18</v>
      </c>
      <c r="H3397" t="inlineStr">
        <is>
          <t>customer_payment</t>
        </is>
      </c>
      <c r="I3397" t="inlineStr"/>
      <c r="J3397" t="inlineStr">
        <is>
          <t>G00400</t>
        </is>
      </c>
      <c r="K3397" t="str">
        <f>INDEX('Match Groups'!$D$5:$D$1326,MATCH(J3397,'Match Groups'!$A$5:$A$1326,0))</f>
        <v>MATCH</v>
      </c>
    </row>
    <row r="3398">
      <c r="A3398" t="inlineStr">
        <is>
          <t>JI-01260</t>
        </is>
      </c>
      <c r="B3398" t="inlineStr">
        <is>
          <t>OPS</t>
        </is>
      </c>
      <c r="C3398" s="5" t="n">
        <v>46272</v>
      </c>
      <c r="D3398" t="inlineStr">
        <is>
          <t>Saltbush Plan Managers</t>
        </is>
      </c>
      <c r="E3398" t="inlineStr">
        <is>
          <t>INV/2026/02942</t>
        </is>
      </c>
      <c r="F3398" t="inlineStr">
        <is>
          <t>Customer payment INV/2026/02942</t>
        </is>
      </c>
      <c r="G3398" s="9" t="n">
        <v>387.98</v>
      </c>
      <c r="H3398" t="inlineStr">
        <is>
          <t>customer_payment</t>
        </is>
      </c>
      <c r="I3398" t="inlineStr"/>
      <c r="J3398" t="inlineStr">
        <is>
          <t>G00400</t>
        </is>
      </c>
      <c r="K3398" t="str">
        <f>INDEX('Match Groups'!$D$5:$D$1326,MATCH(J3398,'Match Groups'!$A$5:$A$1326,0))</f>
        <v>MATCH</v>
      </c>
    </row>
    <row r="3399">
      <c r="A3399" t="inlineStr">
        <is>
          <t>JI-01261</t>
        </is>
      </c>
      <c r="B3399" t="inlineStr">
        <is>
          <t>OPS</t>
        </is>
      </c>
      <c r="C3399" s="5" t="n">
        <v>46272</v>
      </c>
      <c r="D3399" t="inlineStr">
        <is>
          <t>Saltbush Plan Managers</t>
        </is>
      </c>
      <c r="E3399" t="inlineStr">
        <is>
          <t>INV/2026/02960</t>
        </is>
      </c>
      <c r="F3399" t="inlineStr">
        <is>
          <t>Customer payment INV/2026/02960</t>
        </is>
      </c>
      <c r="G3399" s="9" t="n">
        <v>446.18</v>
      </c>
      <c r="H3399" t="inlineStr">
        <is>
          <t>customer_payment</t>
        </is>
      </c>
      <c r="I3399" t="inlineStr"/>
      <c r="J3399" t="inlineStr">
        <is>
          <t>G00400</t>
        </is>
      </c>
      <c r="K3399" t="str">
        <f>INDEX('Match Groups'!$D$5:$D$1326,MATCH(J3399,'Match Groups'!$A$5:$A$1326,0))</f>
        <v>MATCH</v>
      </c>
    </row>
    <row r="3400">
      <c r="A3400" t="inlineStr">
        <is>
          <t>JI-01262</t>
        </is>
      </c>
      <c r="B3400" t="inlineStr">
        <is>
          <t>OPS</t>
        </is>
      </c>
      <c r="C3400" s="5" t="n">
        <v>46272</v>
      </c>
      <c r="D3400" t="inlineStr">
        <is>
          <t>Saltbush Plan Managers</t>
        </is>
      </c>
      <c r="E3400" t="inlineStr">
        <is>
          <t>INV/2026/02976</t>
        </is>
      </c>
      <c r="F3400" t="inlineStr">
        <is>
          <t>Customer payment INV/2026/02976</t>
        </is>
      </c>
      <c r="G3400" s="9" t="n">
        <v>387.98</v>
      </c>
      <c r="H3400" t="inlineStr">
        <is>
          <t>customer_payment</t>
        </is>
      </c>
      <c r="I3400" t="inlineStr"/>
      <c r="J3400" t="inlineStr">
        <is>
          <t>G00400</t>
        </is>
      </c>
      <c r="K3400" t="str">
        <f>INDEX('Match Groups'!$D$5:$D$1326,MATCH(J3400,'Match Groups'!$A$5:$A$1326,0))</f>
        <v>MATCH</v>
      </c>
    </row>
    <row r="3401">
      <c r="A3401" t="inlineStr">
        <is>
          <t>JI-01263</t>
        </is>
      </c>
      <c r="B3401" t="inlineStr">
        <is>
          <t>OPS</t>
        </is>
      </c>
      <c r="C3401" s="5" t="n">
        <v>46272</v>
      </c>
      <c r="D3401" t="inlineStr">
        <is>
          <t>Saltbush Plan Managers</t>
        </is>
      </c>
      <c r="E3401" t="inlineStr">
        <is>
          <t>INV/2026/02978</t>
        </is>
      </c>
      <c r="F3401" t="inlineStr">
        <is>
          <t>Customer payment INV/2026/02978</t>
        </is>
      </c>
      <c r="G3401" s="9" t="n">
        <v>193.99</v>
      </c>
      <c r="H3401" t="inlineStr">
        <is>
          <t>customer_payment</t>
        </is>
      </c>
      <c r="I3401" t="inlineStr"/>
      <c r="J3401" t="inlineStr">
        <is>
          <t>G00400</t>
        </is>
      </c>
      <c r="K3401" t="str">
        <f>INDEX('Match Groups'!$D$5:$D$1326,MATCH(J3401,'Match Groups'!$A$5:$A$1326,0))</f>
        <v>MATCH</v>
      </c>
    </row>
    <row r="3402">
      <c r="A3402" t="inlineStr">
        <is>
          <t>JI-01264</t>
        </is>
      </c>
      <c r="B3402" t="inlineStr">
        <is>
          <t>OPS</t>
        </is>
      </c>
      <c r="C3402" s="5" t="n">
        <v>46272</v>
      </c>
      <c r="D3402" t="inlineStr">
        <is>
          <t>Redgum Plan Admin</t>
        </is>
      </c>
      <c r="E3402" t="inlineStr">
        <is>
          <t>INV/2026/02915</t>
        </is>
      </c>
      <c r="F3402" t="inlineStr">
        <is>
          <t>Customer payment INV/2026/02915</t>
        </is>
      </c>
      <c r="G3402" s="9" t="n">
        <v>300.69</v>
      </c>
      <c r="H3402" t="inlineStr">
        <is>
          <t>customer_payment</t>
        </is>
      </c>
      <c r="I3402" t="inlineStr"/>
      <c r="J3402" t="inlineStr">
        <is>
          <t>G00401</t>
        </is>
      </c>
      <c r="K3402" t="str">
        <f>INDEX('Match Groups'!$D$5:$D$1326,MATCH(J3402,'Match Groups'!$A$5:$A$1326,0))</f>
        <v>MATCH</v>
      </c>
    </row>
    <row r="3403">
      <c r="A3403" t="inlineStr">
        <is>
          <t>JI-01265</t>
        </is>
      </c>
      <c r="B3403" t="inlineStr">
        <is>
          <t>OPS</t>
        </is>
      </c>
      <c r="C3403" s="5" t="n">
        <v>46272</v>
      </c>
      <c r="D3403" t="inlineStr">
        <is>
          <t>Redgum Plan Admin</t>
        </is>
      </c>
      <c r="E3403" t="inlineStr">
        <is>
          <t>INV/2026/02961</t>
        </is>
      </c>
      <c r="F3403" t="inlineStr">
        <is>
          <t>Customer payment INV/2026/02961</t>
        </is>
      </c>
      <c r="G3403" s="9" t="n">
        <v>145.49</v>
      </c>
      <c r="H3403" t="inlineStr">
        <is>
          <t>customer_payment</t>
        </is>
      </c>
      <c r="I3403" t="inlineStr"/>
      <c r="J3403" t="inlineStr">
        <is>
          <t>G00401</t>
        </is>
      </c>
      <c r="K3403" t="str">
        <f>INDEX('Match Groups'!$D$5:$D$1326,MATCH(J3403,'Match Groups'!$A$5:$A$1326,0))</f>
        <v>MATCH</v>
      </c>
    </row>
    <row r="3404">
      <c r="A3404" t="inlineStr">
        <is>
          <t>JI-01266</t>
        </is>
      </c>
      <c r="B3404" t="inlineStr">
        <is>
          <t>OPS</t>
        </is>
      </c>
      <c r="C3404" s="5" t="n">
        <v>46272</v>
      </c>
      <c r="D3404" t="inlineStr">
        <is>
          <t>Redgum Plan Admin</t>
        </is>
      </c>
      <c r="E3404" t="inlineStr">
        <is>
          <t>INV/2026/02962</t>
        </is>
      </c>
      <c r="F3404" t="inlineStr">
        <is>
          <t>Customer payment INV/2026/02962</t>
        </is>
      </c>
      <c r="G3404" s="9" t="n">
        <v>203.69</v>
      </c>
      <c r="H3404" t="inlineStr">
        <is>
          <t>customer_payment</t>
        </is>
      </c>
      <c r="I3404" t="inlineStr"/>
      <c r="J3404" t="inlineStr">
        <is>
          <t>G00401</t>
        </is>
      </c>
      <c r="K3404" t="str">
        <f>INDEX('Match Groups'!$D$5:$D$1326,MATCH(J3404,'Match Groups'!$A$5:$A$1326,0))</f>
        <v>MATCH</v>
      </c>
    </row>
    <row r="3405">
      <c r="A3405" t="inlineStr">
        <is>
          <t>JI-01267</t>
        </is>
      </c>
      <c r="B3405" t="inlineStr">
        <is>
          <t>OPS</t>
        </is>
      </c>
      <c r="C3405" s="5" t="n">
        <v>46272</v>
      </c>
      <c r="D3405" t="inlineStr">
        <is>
          <t>Lyrebird Plan Management</t>
        </is>
      </c>
      <c r="E3405" t="inlineStr">
        <is>
          <t>INV/2026/02945</t>
        </is>
      </c>
      <c r="F3405" t="inlineStr">
        <is>
          <t>Customer payment INV/2026/02945</t>
        </is>
      </c>
      <c r="G3405" s="9" t="n">
        <v>387.98</v>
      </c>
      <c r="H3405" t="inlineStr">
        <is>
          <t>customer_payment</t>
        </is>
      </c>
      <c r="I3405" t="inlineStr"/>
      <c r="J3405" t="inlineStr">
        <is>
          <t>G00402</t>
        </is>
      </c>
      <c r="K3405" t="str">
        <f>INDEX('Match Groups'!$D$5:$D$1326,MATCH(J3405,'Match Groups'!$A$5:$A$1326,0))</f>
        <v>MATCH</v>
      </c>
    </row>
    <row r="3406">
      <c r="A3406" t="inlineStr">
        <is>
          <t>JI-01268</t>
        </is>
      </c>
      <c r="B3406" t="inlineStr">
        <is>
          <t>OPS</t>
        </is>
      </c>
      <c r="C3406" s="5" t="n">
        <v>46272</v>
      </c>
      <c r="D3406" t="inlineStr">
        <is>
          <t>Lyrebird Plan Management</t>
        </is>
      </c>
      <c r="E3406" t="inlineStr">
        <is>
          <t>INV/2026/02966</t>
        </is>
      </c>
      <c r="F3406" t="inlineStr">
        <is>
          <t>Customer payment INV/2026/02966</t>
        </is>
      </c>
      <c r="G3406" s="9" t="n">
        <v>300.69</v>
      </c>
      <c r="H3406" t="inlineStr">
        <is>
          <t>customer_payment</t>
        </is>
      </c>
      <c r="I3406" t="inlineStr"/>
      <c r="J3406" t="inlineStr">
        <is>
          <t>G00402</t>
        </is>
      </c>
      <c r="K3406" t="str">
        <f>INDEX('Match Groups'!$D$5:$D$1326,MATCH(J3406,'Match Groups'!$A$5:$A$1326,0))</f>
        <v>MATCH</v>
      </c>
    </row>
    <row r="3407">
      <c r="A3407" t="inlineStr">
        <is>
          <t>JI-03214</t>
        </is>
      </c>
      <c r="B3407" t="inlineStr">
        <is>
          <t>OPS</t>
        </is>
      </c>
      <c r="C3407" s="5" t="n">
        <v>46272</v>
      </c>
      <c r="D3407" t="inlineStr">
        <is>
          <t>Stripe patient 32234</t>
        </is>
      </c>
      <c r="E3407" t="inlineStr">
        <is>
          <t>INV/2026/05056</t>
        </is>
      </c>
      <c r="F3407" t="inlineStr">
        <is>
          <t>Customer payment INV/2026/05056</t>
        </is>
      </c>
      <c r="G3407" s="9" t="n">
        <v>180</v>
      </c>
      <c r="H3407" t="inlineStr">
        <is>
          <t>customer_payment</t>
        </is>
      </c>
      <c r="I3407" t="inlineStr"/>
      <c r="J3407" t="inlineStr">
        <is>
          <t>G00064</t>
        </is>
      </c>
      <c r="K3407" t="str">
        <f>INDEX('Match Groups'!$D$5:$D$1326,MATCH(J3407,'Match Groups'!$A$5:$A$1326,0))</f>
        <v>STRIPE-FEE</v>
      </c>
    </row>
    <row r="3408">
      <c r="A3408" t="inlineStr">
        <is>
          <t>JI-03215</t>
        </is>
      </c>
      <c r="B3408" t="inlineStr">
        <is>
          <t>OPS</t>
        </is>
      </c>
      <c r="C3408" s="5" t="n">
        <v>46272</v>
      </c>
      <c r="D3408" t="inlineStr">
        <is>
          <t>Stripe patient 48032</t>
        </is>
      </c>
      <c r="E3408" t="inlineStr">
        <is>
          <t>INV/2026/05057</t>
        </is>
      </c>
      <c r="F3408" t="inlineStr">
        <is>
          <t>Customer payment INV/2026/05057</t>
        </is>
      </c>
      <c r="G3408" s="9" t="n">
        <v>220</v>
      </c>
      <c r="H3408" t="inlineStr">
        <is>
          <t>customer_payment</t>
        </is>
      </c>
      <c r="I3408" t="inlineStr"/>
      <c r="J3408" t="inlineStr">
        <is>
          <t>G00064</t>
        </is>
      </c>
      <c r="K3408" t="str">
        <f>INDEX('Match Groups'!$D$5:$D$1326,MATCH(J3408,'Match Groups'!$A$5:$A$1326,0))</f>
        <v>STRIPE-FEE</v>
      </c>
    </row>
    <row r="3409">
      <c r="A3409" t="inlineStr">
        <is>
          <t>JI-03216</t>
        </is>
      </c>
      <c r="B3409" t="inlineStr">
        <is>
          <t>OPS</t>
        </is>
      </c>
      <c r="C3409" s="5" t="n">
        <v>46272</v>
      </c>
      <c r="D3409" t="inlineStr">
        <is>
          <t>Stripe patient 71064</t>
        </is>
      </c>
      <c r="E3409" t="inlineStr">
        <is>
          <t>INV/2026/05058</t>
        </is>
      </c>
      <c r="F3409" t="inlineStr">
        <is>
          <t>Customer payment INV/2026/05058</t>
        </is>
      </c>
      <c r="G3409" s="9" t="n">
        <v>220</v>
      </c>
      <c r="H3409" t="inlineStr">
        <is>
          <t>customer_payment</t>
        </is>
      </c>
      <c r="I3409" t="inlineStr"/>
      <c r="J3409" t="inlineStr">
        <is>
          <t>G00064</t>
        </is>
      </c>
      <c r="K3409" t="str">
        <f>INDEX('Match Groups'!$D$5:$D$1326,MATCH(J3409,'Match Groups'!$A$5:$A$1326,0))</f>
        <v>STRIPE-FEE</v>
      </c>
    </row>
    <row r="3410">
      <c r="A3410" t="inlineStr">
        <is>
          <t>JI-03217</t>
        </is>
      </c>
      <c r="B3410" t="inlineStr">
        <is>
          <t>OPS</t>
        </is>
      </c>
      <c r="C3410" s="5" t="n">
        <v>46272</v>
      </c>
      <c r="D3410" t="inlineStr">
        <is>
          <t>Stripe patient 18408</t>
        </is>
      </c>
      <c r="E3410" t="inlineStr">
        <is>
          <t>INV/2026/05059</t>
        </is>
      </c>
      <c r="F3410" t="inlineStr">
        <is>
          <t>Customer payment INV/2026/05059</t>
        </is>
      </c>
      <c r="G3410" s="9" t="n">
        <v>150</v>
      </c>
      <c r="H3410" t="inlineStr">
        <is>
          <t>customer_payment</t>
        </is>
      </c>
      <c r="I3410" t="inlineStr"/>
      <c r="J3410" t="inlineStr">
        <is>
          <t>G00064</t>
        </is>
      </c>
      <c r="K3410" t="str">
        <f>INDEX('Match Groups'!$D$5:$D$1326,MATCH(J3410,'Match Groups'!$A$5:$A$1326,0))</f>
        <v>STRIPE-FEE</v>
      </c>
    </row>
    <row r="3411">
      <c r="A3411" t="inlineStr">
        <is>
          <t>JI-03218</t>
        </is>
      </c>
      <c r="B3411" t="inlineStr">
        <is>
          <t>OPS</t>
        </is>
      </c>
      <c r="C3411" s="5" t="n">
        <v>46272</v>
      </c>
      <c r="D3411" t="inlineStr">
        <is>
          <t>Stripe patient 97865</t>
        </is>
      </c>
      <c r="E3411" t="inlineStr">
        <is>
          <t>INV/2026/05060</t>
        </is>
      </c>
      <c r="F3411" t="inlineStr">
        <is>
          <t>Customer payment INV/2026/05060</t>
        </is>
      </c>
      <c r="G3411" s="9" t="n">
        <v>95</v>
      </c>
      <c r="H3411" t="inlineStr">
        <is>
          <t>customer_payment</t>
        </is>
      </c>
      <c r="I3411" t="inlineStr"/>
      <c r="J3411" t="inlineStr">
        <is>
          <t>G00064</t>
        </is>
      </c>
      <c r="K3411" t="str">
        <f>INDEX('Match Groups'!$D$5:$D$1326,MATCH(J3411,'Match Groups'!$A$5:$A$1326,0))</f>
        <v>STRIPE-FEE</v>
      </c>
    </row>
    <row r="3412">
      <c r="A3412" t="inlineStr">
        <is>
          <t>JI-03219</t>
        </is>
      </c>
      <c r="B3412" t="inlineStr">
        <is>
          <t>OPS</t>
        </is>
      </c>
      <c r="C3412" s="5" t="n">
        <v>46272</v>
      </c>
      <c r="D3412" t="inlineStr">
        <is>
          <t>Stripe patient 88995</t>
        </is>
      </c>
      <c r="E3412" t="inlineStr">
        <is>
          <t>INV/2026/05061</t>
        </is>
      </c>
      <c r="F3412" t="inlineStr">
        <is>
          <t>Customer payment INV/2026/05061</t>
        </is>
      </c>
      <c r="G3412" s="9" t="n">
        <v>150</v>
      </c>
      <c r="H3412" t="inlineStr">
        <is>
          <t>customer_payment</t>
        </is>
      </c>
      <c r="I3412" t="inlineStr"/>
      <c r="J3412" t="inlineStr">
        <is>
          <t>G00064</t>
        </is>
      </c>
      <c r="K3412" t="str">
        <f>INDEX('Match Groups'!$D$5:$D$1326,MATCH(J3412,'Match Groups'!$A$5:$A$1326,0))</f>
        <v>STRIPE-FEE</v>
      </c>
    </row>
    <row r="3413">
      <c r="A3413" t="inlineStr">
        <is>
          <t>JI-03220</t>
        </is>
      </c>
      <c r="B3413" t="inlineStr">
        <is>
          <t>OPS</t>
        </is>
      </c>
      <c r="C3413" s="5" t="n">
        <v>46272</v>
      </c>
      <c r="D3413" t="inlineStr">
        <is>
          <t>Stripe patient 93563</t>
        </is>
      </c>
      <c r="E3413" t="inlineStr">
        <is>
          <t>INV/2026/05062</t>
        </is>
      </c>
      <c r="F3413" t="inlineStr">
        <is>
          <t>Customer payment INV/2026/05062</t>
        </is>
      </c>
      <c r="G3413" s="9" t="n">
        <v>110</v>
      </c>
      <c r="H3413" t="inlineStr">
        <is>
          <t>customer_payment</t>
        </is>
      </c>
      <c r="I3413" t="inlineStr"/>
      <c r="J3413" t="inlineStr">
        <is>
          <t>G00064</t>
        </is>
      </c>
      <c r="K3413" t="str">
        <f>INDEX('Match Groups'!$D$5:$D$1326,MATCH(J3413,'Match Groups'!$A$5:$A$1326,0))</f>
        <v>STRIPE-FEE</v>
      </c>
    </row>
    <row r="3414">
      <c r="A3414" t="inlineStr">
        <is>
          <t>JI-03221</t>
        </is>
      </c>
      <c r="B3414" t="inlineStr">
        <is>
          <t>OPS</t>
        </is>
      </c>
      <c r="C3414" s="5" t="n">
        <v>46272</v>
      </c>
      <c r="D3414" t="inlineStr">
        <is>
          <t>Stripe patient 95414</t>
        </is>
      </c>
      <c r="E3414" t="inlineStr">
        <is>
          <t>INV/2026/05063</t>
        </is>
      </c>
      <c r="F3414" t="inlineStr">
        <is>
          <t>Customer payment INV/2026/05063</t>
        </is>
      </c>
      <c r="G3414" s="9" t="n">
        <v>220</v>
      </c>
      <c r="H3414" t="inlineStr">
        <is>
          <t>customer_payment</t>
        </is>
      </c>
      <c r="I3414" t="inlineStr"/>
      <c r="J3414" t="inlineStr">
        <is>
          <t>G00064</t>
        </is>
      </c>
      <c r="K3414" t="str">
        <f>INDEX('Match Groups'!$D$5:$D$1326,MATCH(J3414,'Match Groups'!$A$5:$A$1326,0))</f>
        <v>STRIPE-FEE</v>
      </c>
    </row>
    <row r="3415">
      <c r="A3415" t="inlineStr">
        <is>
          <t>JI-03222</t>
        </is>
      </c>
      <c r="B3415" t="inlineStr">
        <is>
          <t>OPS</t>
        </is>
      </c>
      <c r="C3415" s="5" t="n">
        <v>46272</v>
      </c>
      <c r="D3415" t="inlineStr">
        <is>
          <t>Stripe patient 35811</t>
        </is>
      </c>
      <c r="E3415" t="inlineStr">
        <is>
          <t>INV/2026/05064</t>
        </is>
      </c>
      <c r="F3415" t="inlineStr">
        <is>
          <t>Customer payment INV/2026/05064</t>
        </is>
      </c>
      <c r="G3415" s="9" t="n">
        <v>120</v>
      </c>
      <c r="H3415" t="inlineStr">
        <is>
          <t>customer_payment</t>
        </is>
      </c>
      <c r="I3415" t="inlineStr"/>
      <c r="J3415" t="inlineStr">
        <is>
          <t>G00064</t>
        </is>
      </c>
      <c r="K3415" t="str">
        <f>INDEX('Match Groups'!$D$5:$D$1326,MATCH(J3415,'Match Groups'!$A$5:$A$1326,0))</f>
        <v>STRIPE-FEE</v>
      </c>
    </row>
    <row r="3416">
      <c r="A3416" t="inlineStr">
        <is>
          <t>JI-03223</t>
        </is>
      </c>
      <c r="B3416" t="inlineStr">
        <is>
          <t>OPS</t>
        </is>
      </c>
      <c r="C3416" s="5" t="n">
        <v>46272</v>
      </c>
      <c r="D3416" t="inlineStr">
        <is>
          <t>Stripe patient 76653</t>
        </is>
      </c>
      <c r="E3416" t="inlineStr">
        <is>
          <t>INV/2026/05065</t>
        </is>
      </c>
      <c r="F3416" t="inlineStr">
        <is>
          <t>Customer payment INV/2026/05065</t>
        </is>
      </c>
      <c r="G3416" s="9" t="n">
        <v>110</v>
      </c>
      <c r="H3416" t="inlineStr">
        <is>
          <t>customer_payment</t>
        </is>
      </c>
      <c r="I3416" t="inlineStr"/>
      <c r="J3416" t="inlineStr">
        <is>
          <t>G00064</t>
        </is>
      </c>
      <c r="K3416" t="str">
        <f>INDEX('Match Groups'!$D$5:$D$1326,MATCH(J3416,'Match Groups'!$A$5:$A$1326,0))</f>
        <v>STRIPE-FEE</v>
      </c>
    </row>
    <row r="3417">
      <c r="A3417" t="inlineStr">
        <is>
          <t>JI-03224</t>
        </is>
      </c>
      <c r="B3417" t="inlineStr">
        <is>
          <t>OPS</t>
        </is>
      </c>
      <c r="C3417" s="5" t="n">
        <v>46272</v>
      </c>
      <c r="D3417" t="inlineStr">
        <is>
          <t>Stripe patient 43917</t>
        </is>
      </c>
      <c r="E3417" t="inlineStr">
        <is>
          <t>INV/2026/05066</t>
        </is>
      </c>
      <c r="F3417" t="inlineStr">
        <is>
          <t>Customer payment INV/2026/05066</t>
        </is>
      </c>
      <c r="G3417" s="9" t="n">
        <v>85</v>
      </c>
      <c r="H3417" t="inlineStr">
        <is>
          <t>customer_payment</t>
        </is>
      </c>
      <c r="I3417" t="inlineStr"/>
      <c r="J3417" t="inlineStr">
        <is>
          <t>G00064</t>
        </is>
      </c>
      <c r="K3417" t="str">
        <f>INDEX('Match Groups'!$D$5:$D$1326,MATCH(J3417,'Match Groups'!$A$5:$A$1326,0))</f>
        <v>STRIPE-FEE</v>
      </c>
    </row>
    <row r="3418">
      <c r="A3418" t="inlineStr">
        <is>
          <t>JI-03225</t>
        </is>
      </c>
      <c r="B3418" t="inlineStr">
        <is>
          <t>OPS</t>
        </is>
      </c>
      <c r="C3418" s="5" t="n">
        <v>46272</v>
      </c>
      <c r="D3418" t="inlineStr">
        <is>
          <t>Stripe patient 71315</t>
        </is>
      </c>
      <c r="E3418" t="inlineStr">
        <is>
          <t>INV/2026/05067</t>
        </is>
      </c>
      <c r="F3418" t="inlineStr">
        <is>
          <t>Customer payment INV/2026/05067</t>
        </is>
      </c>
      <c r="G3418" s="9" t="n">
        <v>65</v>
      </c>
      <c r="H3418" t="inlineStr">
        <is>
          <t>customer_payment</t>
        </is>
      </c>
      <c r="I3418" t="inlineStr"/>
      <c r="J3418" t="inlineStr">
        <is>
          <t>G00064</t>
        </is>
      </c>
      <c r="K3418" t="str">
        <f>INDEX('Match Groups'!$D$5:$D$1326,MATCH(J3418,'Match Groups'!$A$5:$A$1326,0))</f>
        <v>STRIPE-FEE</v>
      </c>
    </row>
    <row r="3419">
      <c r="A3419" t="inlineStr">
        <is>
          <t>JI-03226</t>
        </is>
      </c>
      <c r="B3419" t="inlineStr">
        <is>
          <t>OPS</t>
        </is>
      </c>
      <c r="C3419" s="5" t="n">
        <v>46272</v>
      </c>
      <c r="D3419" t="inlineStr">
        <is>
          <t>Stripe patient 22322</t>
        </is>
      </c>
      <c r="E3419" t="inlineStr">
        <is>
          <t>INV/2026/05068</t>
        </is>
      </c>
      <c r="F3419" t="inlineStr">
        <is>
          <t>Customer payment INV/2026/05068</t>
        </is>
      </c>
      <c r="G3419" s="9" t="n">
        <v>120</v>
      </c>
      <c r="H3419" t="inlineStr">
        <is>
          <t>customer_payment</t>
        </is>
      </c>
      <c r="I3419" t="inlineStr"/>
      <c r="J3419" t="inlineStr">
        <is>
          <t>G00064</t>
        </is>
      </c>
      <c r="K3419" t="str">
        <f>INDEX('Match Groups'!$D$5:$D$1326,MATCH(J3419,'Match Groups'!$A$5:$A$1326,0))</f>
        <v>STRIPE-FEE</v>
      </c>
    </row>
    <row r="3420">
      <c r="A3420" t="inlineStr">
        <is>
          <t>JI-03227</t>
        </is>
      </c>
      <c r="B3420" t="inlineStr">
        <is>
          <t>OPS</t>
        </is>
      </c>
      <c r="C3420" s="5" t="n">
        <v>46272</v>
      </c>
      <c r="D3420" t="inlineStr">
        <is>
          <t>Stripe patient 34446</t>
        </is>
      </c>
      <c r="E3420" t="inlineStr">
        <is>
          <t>INV/2026/05069</t>
        </is>
      </c>
      <c r="F3420" t="inlineStr">
        <is>
          <t>Customer payment INV/2026/05069</t>
        </is>
      </c>
      <c r="G3420" s="9" t="n">
        <v>110</v>
      </c>
      <c r="H3420" t="inlineStr">
        <is>
          <t>customer_payment</t>
        </is>
      </c>
      <c r="I3420" t="inlineStr"/>
      <c r="J3420" t="inlineStr">
        <is>
          <t>G00064</t>
        </is>
      </c>
      <c r="K3420" t="str">
        <f>INDEX('Match Groups'!$D$5:$D$1326,MATCH(J3420,'Match Groups'!$A$5:$A$1326,0))</f>
        <v>STRIPE-FEE</v>
      </c>
    </row>
    <row r="3421">
      <c r="A3421" t="inlineStr">
        <is>
          <t>JI-03228</t>
        </is>
      </c>
      <c r="B3421" t="inlineStr">
        <is>
          <t>OPS</t>
        </is>
      </c>
      <c r="C3421" s="5" t="n">
        <v>46272</v>
      </c>
      <c r="D3421" t="inlineStr">
        <is>
          <t>Stripe patient 60702</t>
        </is>
      </c>
      <c r="E3421" t="inlineStr">
        <is>
          <t>INV/2026/05070</t>
        </is>
      </c>
      <c r="F3421" t="inlineStr">
        <is>
          <t>Customer payment INV/2026/05070</t>
        </is>
      </c>
      <c r="G3421" s="9" t="n">
        <v>180</v>
      </c>
      <c r="H3421" t="inlineStr">
        <is>
          <t>customer_payment</t>
        </is>
      </c>
      <c r="I3421" t="inlineStr"/>
      <c r="J3421" t="inlineStr">
        <is>
          <t>G00064</t>
        </is>
      </c>
      <c r="K3421" t="str">
        <f>INDEX('Match Groups'!$D$5:$D$1326,MATCH(J3421,'Match Groups'!$A$5:$A$1326,0))</f>
        <v>STRIPE-FEE</v>
      </c>
    </row>
    <row r="3422">
      <c r="A3422" t="inlineStr">
        <is>
          <t>JI-03229</t>
        </is>
      </c>
      <c r="B3422" t="inlineStr">
        <is>
          <t>OPS</t>
        </is>
      </c>
      <c r="C3422" s="5" t="n">
        <v>46272</v>
      </c>
      <c r="D3422" t="inlineStr">
        <is>
          <t>Stripe patient 76758</t>
        </is>
      </c>
      <c r="E3422" t="inlineStr">
        <is>
          <t>INV/2026/05071</t>
        </is>
      </c>
      <c r="F3422" t="inlineStr">
        <is>
          <t>Customer payment INV/2026/05071</t>
        </is>
      </c>
      <c r="G3422" s="9" t="n">
        <v>220</v>
      </c>
      <c r="H3422" t="inlineStr">
        <is>
          <t>customer_payment</t>
        </is>
      </c>
      <c r="I3422" t="inlineStr"/>
      <c r="J3422" t="inlineStr">
        <is>
          <t>G00064</t>
        </is>
      </c>
      <c r="K3422" t="str">
        <f>INDEX('Match Groups'!$D$5:$D$1326,MATCH(J3422,'Match Groups'!$A$5:$A$1326,0))</f>
        <v>STRIPE-FEE</v>
      </c>
    </row>
    <row r="3423">
      <c r="A3423" t="inlineStr">
        <is>
          <t>JI-03230</t>
        </is>
      </c>
      <c r="B3423" t="inlineStr">
        <is>
          <t>OPS</t>
        </is>
      </c>
      <c r="C3423" s="5" t="n">
        <v>46272</v>
      </c>
      <c r="D3423" t="inlineStr">
        <is>
          <t>Stripe patient 33583</t>
        </is>
      </c>
      <c r="E3423" t="inlineStr">
        <is>
          <t>INV/2026/05072</t>
        </is>
      </c>
      <c r="F3423" t="inlineStr">
        <is>
          <t>Customer payment INV/2026/05072</t>
        </is>
      </c>
      <c r="G3423" s="9" t="n">
        <v>220</v>
      </c>
      <c r="H3423" t="inlineStr">
        <is>
          <t>customer_payment</t>
        </is>
      </c>
      <c r="I3423" t="inlineStr"/>
      <c r="J3423" t="inlineStr">
        <is>
          <t>G00064</t>
        </is>
      </c>
      <c r="K3423" t="str">
        <f>INDEX('Match Groups'!$D$5:$D$1326,MATCH(J3423,'Match Groups'!$A$5:$A$1326,0))</f>
        <v>STRIPE-FEE</v>
      </c>
    </row>
    <row r="3424">
      <c r="A3424" t="inlineStr">
        <is>
          <t>JI-03231</t>
        </is>
      </c>
      <c r="B3424" t="inlineStr">
        <is>
          <t>OPS</t>
        </is>
      </c>
      <c r="C3424" s="5" t="n">
        <v>46272</v>
      </c>
      <c r="D3424" t="inlineStr">
        <is>
          <t>Stripe patient 85676</t>
        </is>
      </c>
      <c r="E3424" t="inlineStr">
        <is>
          <t>INV/2026/05073</t>
        </is>
      </c>
      <c r="F3424" t="inlineStr">
        <is>
          <t>Customer payment INV/2026/05073</t>
        </is>
      </c>
      <c r="G3424" s="9" t="n">
        <v>85</v>
      </c>
      <c r="H3424" t="inlineStr">
        <is>
          <t>customer_payment</t>
        </is>
      </c>
      <c r="I3424" t="inlineStr"/>
      <c r="J3424" t="inlineStr">
        <is>
          <t>G00064</t>
        </is>
      </c>
      <c r="K3424" t="str">
        <f>INDEX('Match Groups'!$D$5:$D$1326,MATCH(J3424,'Match Groups'!$A$5:$A$1326,0))</f>
        <v>STRIPE-FEE</v>
      </c>
    </row>
    <row r="3425">
      <c r="A3425" t="inlineStr">
        <is>
          <t>JI-03232</t>
        </is>
      </c>
      <c r="B3425" t="inlineStr">
        <is>
          <t>OPS</t>
        </is>
      </c>
      <c r="C3425" s="5" t="n">
        <v>46272</v>
      </c>
      <c r="D3425" t="inlineStr">
        <is>
          <t>Stripe patient 68067</t>
        </is>
      </c>
      <c r="E3425" t="inlineStr">
        <is>
          <t>INV/2026/05074</t>
        </is>
      </c>
      <c r="F3425" t="inlineStr">
        <is>
          <t>Customer payment INV/2026/05074</t>
        </is>
      </c>
      <c r="G3425" s="9" t="n">
        <v>120</v>
      </c>
      <c r="H3425" t="inlineStr">
        <is>
          <t>customer_payment</t>
        </is>
      </c>
      <c r="I3425" t="inlineStr"/>
      <c r="J3425" t="inlineStr">
        <is>
          <t>G00064</t>
        </is>
      </c>
      <c r="K3425" t="str">
        <f>INDEX('Match Groups'!$D$5:$D$1326,MATCH(J3425,'Match Groups'!$A$5:$A$1326,0))</f>
        <v>STRIPE-FEE</v>
      </c>
    </row>
    <row r="3426">
      <c r="A3426" t="inlineStr">
        <is>
          <t>JI-03233</t>
        </is>
      </c>
      <c r="B3426" t="inlineStr">
        <is>
          <t>OPS</t>
        </is>
      </c>
      <c r="C3426" s="5" t="n">
        <v>46272</v>
      </c>
      <c r="D3426" t="inlineStr">
        <is>
          <t>Stripe patient 67909</t>
        </is>
      </c>
      <c r="E3426" t="inlineStr">
        <is>
          <t>INV/2026/05075</t>
        </is>
      </c>
      <c r="F3426" t="inlineStr">
        <is>
          <t>Customer payment INV/2026/05075</t>
        </is>
      </c>
      <c r="G3426" s="9" t="n">
        <v>110</v>
      </c>
      <c r="H3426" t="inlineStr">
        <is>
          <t>customer_payment</t>
        </is>
      </c>
      <c r="I3426" t="inlineStr"/>
      <c r="J3426" t="inlineStr">
        <is>
          <t>G00064</t>
        </is>
      </c>
      <c r="K3426" t="str">
        <f>INDEX('Match Groups'!$D$5:$D$1326,MATCH(J3426,'Match Groups'!$A$5:$A$1326,0))</f>
        <v>STRIPE-FEE</v>
      </c>
    </row>
    <row r="3427">
      <c r="A3427" t="inlineStr">
        <is>
          <t>JI-03234</t>
        </is>
      </c>
      <c r="B3427" t="inlineStr">
        <is>
          <t>OPS</t>
        </is>
      </c>
      <c r="C3427" s="5" t="n">
        <v>46272</v>
      </c>
      <c r="D3427" t="inlineStr">
        <is>
          <t>Stripe patient 96118</t>
        </is>
      </c>
      <c r="E3427" t="inlineStr">
        <is>
          <t>INV/2026/05076</t>
        </is>
      </c>
      <c r="F3427" t="inlineStr">
        <is>
          <t>Customer payment INV/2026/05076</t>
        </is>
      </c>
      <c r="G3427" s="9" t="n">
        <v>110</v>
      </c>
      <c r="H3427" t="inlineStr">
        <is>
          <t>customer_payment</t>
        </is>
      </c>
      <c r="I3427" t="inlineStr"/>
      <c r="J3427" t="inlineStr">
        <is>
          <t>G00064</t>
        </is>
      </c>
      <c r="K3427" t="str">
        <f>INDEX('Match Groups'!$D$5:$D$1326,MATCH(J3427,'Match Groups'!$A$5:$A$1326,0))</f>
        <v>STRIPE-FEE</v>
      </c>
    </row>
    <row r="3428">
      <c r="A3428" t="inlineStr">
        <is>
          <t>JI-03235</t>
        </is>
      </c>
      <c r="B3428" t="inlineStr">
        <is>
          <t>OPS</t>
        </is>
      </c>
      <c r="C3428" s="5" t="n">
        <v>46272</v>
      </c>
      <c r="D3428" t="inlineStr">
        <is>
          <t>Stripe patient 34884</t>
        </is>
      </c>
      <c r="E3428" t="inlineStr">
        <is>
          <t>INV/2026/05077</t>
        </is>
      </c>
      <c r="F3428" t="inlineStr">
        <is>
          <t>Customer payment INV/2026/05077</t>
        </is>
      </c>
      <c r="G3428" s="9" t="n">
        <v>220</v>
      </c>
      <c r="H3428" t="inlineStr">
        <is>
          <t>customer_payment</t>
        </is>
      </c>
      <c r="I3428" t="inlineStr"/>
      <c r="J3428" t="inlineStr">
        <is>
          <t>G00064</t>
        </is>
      </c>
      <c r="K3428" t="str">
        <f>INDEX('Match Groups'!$D$5:$D$1326,MATCH(J3428,'Match Groups'!$A$5:$A$1326,0))</f>
        <v>STRIPE-FEE</v>
      </c>
    </row>
    <row r="3429">
      <c r="A3429" t="inlineStr">
        <is>
          <t>JI-03920</t>
        </is>
      </c>
      <c r="B3429" t="inlineStr">
        <is>
          <t>OPS</t>
        </is>
      </c>
      <c r="C3429" s="5" t="n">
        <v>46272</v>
      </c>
      <c r="D3429" t="inlineStr">
        <is>
          <t>Cloud Payroll Pty Ltd</t>
        </is>
      </c>
      <c r="E3429" t="inlineStr">
        <is>
          <t>BILL/2026/1031</t>
        </is>
      </c>
      <c r="F3429" t="inlineStr">
        <is>
          <t>Vendor payment BILL/2026/1031</t>
        </is>
      </c>
      <c r="G3429" s="9" t="n">
        <v>-495</v>
      </c>
      <c r="H3429" t="inlineStr">
        <is>
          <t>supplier_payment</t>
        </is>
      </c>
      <c r="I3429" t="inlineStr"/>
      <c r="J3429" t="inlineStr">
        <is>
          <t>G01159</t>
        </is>
      </c>
      <c r="K3429" t="str">
        <f>INDEX('Match Groups'!$D$5:$D$1326,MATCH(J3429,'Match Groups'!$A$5:$A$1326,0))</f>
        <v>MATCH</v>
      </c>
    </row>
    <row r="3430">
      <c r="A3430" t="inlineStr">
        <is>
          <t>JI-04301</t>
        </is>
      </c>
      <c r="B3430" t="inlineStr">
        <is>
          <t>OPS</t>
        </is>
      </c>
      <c r="C3430" s="5" t="n">
        <v>46272</v>
      </c>
      <c r="D3430" t="inlineStr">
        <is>
          <t>Internal transfer</t>
        </is>
      </c>
      <c r="E3430" t="inlineStr">
        <is>
          <t>SWEEP 0709</t>
        </is>
      </c>
      <c r="F3430" t="inlineStr">
        <is>
          <t>Sweep from merchant account</t>
        </is>
      </c>
      <c r="G3430" s="9" t="n">
        <v>22000</v>
      </c>
      <c r="H3430" t="inlineStr">
        <is>
          <t>transfer</t>
        </is>
      </c>
      <c r="I3430" t="inlineStr"/>
      <c r="J3430" t="inlineStr">
        <is>
          <t>G00536</t>
        </is>
      </c>
      <c r="K3430" t="str">
        <f>INDEX('Match Groups'!$D$5:$D$1326,MATCH(J3430,'Match Groups'!$A$5:$A$1326,0))</f>
        <v>MATCH</v>
      </c>
    </row>
    <row r="3431">
      <c r="A3431" t="inlineStr">
        <is>
          <t>JI-01269</t>
        </is>
      </c>
      <c r="B3431" t="inlineStr">
        <is>
          <t>OPS</t>
        </is>
      </c>
      <c r="C3431" s="5" t="n">
        <v>46273</v>
      </c>
      <c r="D3431" t="inlineStr">
        <is>
          <t>Clearpath NDIS Plans</t>
        </is>
      </c>
      <c r="E3431" t="inlineStr">
        <is>
          <t>INV/2026/02866</t>
        </is>
      </c>
      <c r="F3431" t="inlineStr">
        <is>
          <t>Customer payment INV/2026/02866</t>
        </is>
      </c>
      <c r="G3431" s="9" t="n">
        <v>242.49</v>
      </c>
      <c r="H3431" t="inlineStr">
        <is>
          <t>customer_payment</t>
        </is>
      </c>
      <c r="I3431" t="inlineStr"/>
      <c r="J3431" t="inlineStr">
        <is>
          <t>G00404</t>
        </is>
      </c>
      <c r="K3431" t="str">
        <f>INDEX('Match Groups'!$D$5:$D$1326,MATCH(J3431,'Match Groups'!$A$5:$A$1326,0))</f>
        <v>MATCH</v>
      </c>
    </row>
    <row r="3432">
      <c r="A3432" t="inlineStr">
        <is>
          <t>JI-01270</t>
        </is>
      </c>
      <c r="B3432" t="inlineStr">
        <is>
          <t>OPS</t>
        </is>
      </c>
      <c r="C3432" s="5" t="n">
        <v>46273</v>
      </c>
      <c r="D3432" t="inlineStr">
        <is>
          <t>Clearpath NDIS Plans</t>
        </is>
      </c>
      <c r="E3432" t="inlineStr">
        <is>
          <t>INV/2026/02887</t>
        </is>
      </c>
      <c r="F3432" t="inlineStr">
        <is>
          <t>Customer payment INV/2026/02887</t>
        </is>
      </c>
      <c r="G3432" s="9" t="n">
        <v>252.19</v>
      </c>
      <c r="H3432" t="inlineStr">
        <is>
          <t>customer_payment</t>
        </is>
      </c>
      <c r="I3432" t="inlineStr"/>
      <c r="J3432" t="inlineStr">
        <is>
          <t>G00404</t>
        </is>
      </c>
      <c r="K3432" t="str">
        <f>INDEX('Match Groups'!$D$5:$D$1326,MATCH(J3432,'Match Groups'!$A$5:$A$1326,0))</f>
        <v>MATCH</v>
      </c>
    </row>
    <row r="3433">
      <c r="A3433" t="inlineStr">
        <is>
          <t>JI-01271</t>
        </is>
      </c>
      <c r="B3433" t="inlineStr">
        <is>
          <t>OPS</t>
        </is>
      </c>
      <c r="C3433" s="5" t="n">
        <v>46273</v>
      </c>
      <c r="D3433" t="inlineStr">
        <is>
          <t>Clearpath NDIS Plans</t>
        </is>
      </c>
      <c r="E3433" t="inlineStr">
        <is>
          <t>INV/2026/02888</t>
        </is>
      </c>
      <c r="F3433" t="inlineStr">
        <is>
          <t>Customer payment INV/2026/02888</t>
        </is>
      </c>
      <c r="G3433" s="9" t="n">
        <v>145.49</v>
      </c>
      <c r="H3433" t="inlineStr">
        <is>
          <t>customer_payment</t>
        </is>
      </c>
      <c r="I3433" t="inlineStr"/>
      <c r="J3433" t="inlineStr">
        <is>
          <t>G00404</t>
        </is>
      </c>
      <c r="K3433" t="str">
        <f>INDEX('Match Groups'!$D$5:$D$1326,MATCH(J3433,'Match Groups'!$A$5:$A$1326,0))</f>
        <v>MATCH</v>
      </c>
    </row>
    <row r="3434">
      <c r="A3434" t="inlineStr">
        <is>
          <t>JI-01272</t>
        </is>
      </c>
      <c r="B3434" t="inlineStr">
        <is>
          <t>OPS</t>
        </is>
      </c>
      <c r="C3434" s="5" t="n">
        <v>46273</v>
      </c>
      <c r="D3434" t="inlineStr">
        <is>
          <t>Wattle Plan Services</t>
        </is>
      </c>
      <c r="E3434" t="inlineStr">
        <is>
          <t>INV/2026/02933</t>
        </is>
      </c>
      <c r="F3434" t="inlineStr">
        <is>
          <t>Customer payment INV/2026/02933</t>
        </is>
      </c>
      <c r="G3434" s="9" t="n">
        <v>96.98999999999999</v>
      </c>
      <c r="H3434" t="inlineStr">
        <is>
          <t>customer_payment</t>
        </is>
      </c>
      <c r="I3434" t="inlineStr"/>
      <c r="J3434" t="inlineStr">
        <is>
          <t>G00405</t>
        </is>
      </c>
      <c r="K3434" t="str">
        <f>INDEX('Match Groups'!$D$5:$D$1326,MATCH(J3434,'Match Groups'!$A$5:$A$1326,0))</f>
        <v>MATCH</v>
      </c>
    </row>
    <row r="3435">
      <c r="A3435" t="inlineStr">
        <is>
          <t>JI-01273</t>
        </is>
      </c>
      <c r="B3435" t="inlineStr">
        <is>
          <t>OPS</t>
        </is>
      </c>
      <c r="C3435" s="5" t="n">
        <v>46273</v>
      </c>
      <c r="D3435" t="inlineStr">
        <is>
          <t>Wattle Plan Services</t>
        </is>
      </c>
      <c r="E3435" t="inlineStr">
        <is>
          <t>INV/2026/02954</t>
        </is>
      </c>
      <c r="F3435" t="inlineStr">
        <is>
          <t>Customer payment INV/2026/02954</t>
        </is>
      </c>
      <c r="G3435" s="9" t="n">
        <v>349.18</v>
      </c>
      <c r="H3435" t="inlineStr">
        <is>
          <t>customer_payment</t>
        </is>
      </c>
      <c r="I3435" t="inlineStr"/>
      <c r="J3435" t="inlineStr">
        <is>
          <t>G00405</t>
        </is>
      </c>
      <c r="K3435" t="str">
        <f>INDEX('Match Groups'!$D$5:$D$1326,MATCH(J3435,'Match Groups'!$A$5:$A$1326,0))</f>
        <v>MATCH</v>
      </c>
    </row>
    <row r="3436">
      <c r="A3436" t="inlineStr">
        <is>
          <t>JI-01274</t>
        </is>
      </c>
      <c r="B3436" t="inlineStr">
        <is>
          <t>OPS</t>
        </is>
      </c>
      <c r="C3436" s="5" t="n">
        <v>46273</v>
      </c>
      <c r="D3436" t="inlineStr">
        <is>
          <t>Wattle Plan Services</t>
        </is>
      </c>
      <c r="E3436" t="inlineStr">
        <is>
          <t>INV/2026/02972</t>
        </is>
      </c>
      <c r="F3436" t="inlineStr">
        <is>
          <t>Customer payment INV/2026/02972</t>
        </is>
      </c>
      <c r="G3436" s="9" t="n">
        <v>387.98</v>
      </c>
      <c r="H3436" t="inlineStr">
        <is>
          <t>customer_payment</t>
        </is>
      </c>
      <c r="I3436" t="inlineStr"/>
      <c r="J3436" t="inlineStr">
        <is>
          <t>G00405</t>
        </is>
      </c>
      <c r="K3436" t="str">
        <f>INDEX('Match Groups'!$D$5:$D$1326,MATCH(J3436,'Match Groups'!$A$5:$A$1326,0))</f>
        <v>MATCH</v>
      </c>
    </row>
    <row r="3437">
      <c r="A3437" t="inlineStr">
        <is>
          <t>JI-01275</t>
        </is>
      </c>
      <c r="B3437" t="inlineStr">
        <is>
          <t>OPS</t>
        </is>
      </c>
      <c r="C3437" s="5" t="n">
        <v>46273</v>
      </c>
      <c r="D3437" t="inlineStr">
        <is>
          <t>Southern Cross Plan Mgmt</t>
        </is>
      </c>
      <c r="E3437" t="inlineStr">
        <is>
          <t>INV/2026/02554</t>
        </is>
      </c>
      <c r="F3437" t="inlineStr">
        <is>
          <t>Customer payment INV/2026/02554</t>
        </is>
      </c>
      <c r="G3437" s="9" t="n">
        <v>203.69</v>
      </c>
      <c r="H3437" t="inlineStr">
        <is>
          <t>customer_payment</t>
        </is>
      </c>
      <c r="I3437" t="inlineStr"/>
      <c r="J3437" t="inlineStr">
        <is>
          <t>G00407</t>
        </is>
      </c>
      <c r="K3437" t="str">
        <f>INDEX('Match Groups'!$D$5:$D$1326,MATCH(J3437,'Match Groups'!$A$5:$A$1326,0))</f>
        <v>MATCH</v>
      </c>
    </row>
    <row r="3438">
      <c r="A3438" t="inlineStr">
        <is>
          <t>JI-01276</t>
        </is>
      </c>
      <c r="B3438" t="inlineStr">
        <is>
          <t>OPS</t>
        </is>
      </c>
      <c r="C3438" s="5" t="n">
        <v>46273</v>
      </c>
      <c r="D3438" t="inlineStr">
        <is>
          <t>Southern Cross Plan Mgmt</t>
        </is>
      </c>
      <c r="E3438" t="inlineStr">
        <is>
          <t>INV/2026/02598</t>
        </is>
      </c>
      <c r="F3438" t="inlineStr">
        <is>
          <t>Customer payment INV/2026/02598</t>
        </is>
      </c>
      <c r="G3438" s="9" t="n">
        <v>242.49</v>
      </c>
      <c r="H3438" t="inlineStr">
        <is>
          <t>customer_payment</t>
        </is>
      </c>
      <c r="I3438" t="inlineStr"/>
      <c r="J3438" t="inlineStr">
        <is>
          <t>G00407</t>
        </is>
      </c>
      <c r="K3438" t="str">
        <f>INDEX('Match Groups'!$D$5:$D$1326,MATCH(J3438,'Match Groups'!$A$5:$A$1326,0))</f>
        <v>MATCH</v>
      </c>
    </row>
    <row r="3439">
      <c r="A3439" t="inlineStr">
        <is>
          <t>JI-01277</t>
        </is>
      </c>
      <c r="B3439" t="inlineStr">
        <is>
          <t>OPS</t>
        </is>
      </c>
      <c r="C3439" s="5" t="n">
        <v>46273</v>
      </c>
      <c r="D3439" t="inlineStr">
        <is>
          <t>Southern Cross Plan Mgmt</t>
        </is>
      </c>
      <c r="E3439" t="inlineStr">
        <is>
          <t>INV/2026/02599</t>
        </is>
      </c>
      <c r="F3439" t="inlineStr">
        <is>
          <t>Customer payment INV/2026/02599</t>
        </is>
      </c>
      <c r="G3439" s="9" t="n">
        <v>242.49</v>
      </c>
      <c r="H3439" t="inlineStr">
        <is>
          <t>customer_payment</t>
        </is>
      </c>
      <c r="I3439" t="inlineStr"/>
      <c r="J3439" t="inlineStr">
        <is>
          <t>G00407</t>
        </is>
      </c>
      <c r="K3439" t="str">
        <f>INDEX('Match Groups'!$D$5:$D$1326,MATCH(J3439,'Match Groups'!$A$5:$A$1326,0))</f>
        <v>MATCH</v>
      </c>
    </row>
    <row r="3440">
      <c r="A3440" t="inlineStr">
        <is>
          <t>JI-01278</t>
        </is>
      </c>
      <c r="B3440" t="inlineStr">
        <is>
          <t>OPS</t>
        </is>
      </c>
      <c r="C3440" s="5" t="n">
        <v>46273</v>
      </c>
      <c r="D3440" t="inlineStr">
        <is>
          <t>Southern Cross Plan Mgmt</t>
        </is>
      </c>
      <c r="E3440" t="inlineStr">
        <is>
          <t>INV/2026/02623</t>
        </is>
      </c>
      <c r="F3440" t="inlineStr">
        <is>
          <t>Customer payment INV/2026/02623</t>
        </is>
      </c>
      <c r="G3440" s="9" t="n">
        <v>446.18</v>
      </c>
      <c r="H3440" t="inlineStr">
        <is>
          <t>customer_payment</t>
        </is>
      </c>
      <c r="I3440" t="inlineStr"/>
      <c r="J3440" t="inlineStr">
        <is>
          <t>G00407</t>
        </is>
      </c>
      <c r="K3440" t="str">
        <f>INDEX('Match Groups'!$D$5:$D$1326,MATCH(J3440,'Match Groups'!$A$5:$A$1326,0))</f>
        <v>MATCH</v>
      </c>
    </row>
    <row r="3441">
      <c r="A3441" t="inlineStr">
        <is>
          <t>JI-01279</t>
        </is>
      </c>
      <c r="B3441" t="inlineStr">
        <is>
          <t>OPS</t>
        </is>
      </c>
      <c r="C3441" s="5" t="n">
        <v>46273</v>
      </c>
      <c r="D3441" t="inlineStr">
        <is>
          <t>Southern Cross Plan Mgmt</t>
        </is>
      </c>
      <c r="E3441" t="inlineStr">
        <is>
          <t>INV/2026/02624</t>
        </is>
      </c>
      <c r="F3441" t="inlineStr">
        <is>
          <t>Customer payment INV/2026/02624</t>
        </is>
      </c>
      <c r="G3441" s="9" t="n">
        <v>242.49</v>
      </c>
      <c r="H3441" t="inlineStr">
        <is>
          <t>customer_payment</t>
        </is>
      </c>
      <c r="I3441" t="inlineStr"/>
      <c r="J3441" t="inlineStr">
        <is>
          <t>G00407</t>
        </is>
      </c>
      <c r="K3441" t="str">
        <f>INDEX('Match Groups'!$D$5:$D$1326,MATCH(J3441,'Match Groups'!$A$5:$A$1326,0))</f>
        <v>MATCH</v>
      </c>
    </row>
    <row r="3442">
      <c r="A3442" t="inlineStr">
        <is>
          <t>JI-01280</t>
        </is>
      </c>
      <c r="B3442" t="inlineStr">
        <is>
          <t>OPS</t>
        </is>
      </c>
      <c r="C3442" s="5" t="n">
        <v>46273</v>
      </c>
      <c r="D3442" t="inlineStr">
        <is>
          <t>Southern Cross Plan Mgmt</t>
        </is>
      </c>
      <c r="E3442" t="inlineStr">
        <is>
          <t>INV/2026/02625</t>
        </is>
      </c>
      <c r="F3442" t="inlineStr">
        <is>
          <t>Customer payment INV/2026/02625</t>
        </is>
      </c>
      <c r="G3442" s="9" t="n">
        <v>242.49</v>
      </c>
      <c r="H3442" t="inlineStr">
        <is>
          <t>customer_payment</t>
        </is>
      </c>
      <c r="I3442" t="inlineStr"/>
      <c r="J3442" t="inlineStr">
        <is>
          <t>G00407</t>
        </is>
      </c>
      <c r="K3442" t="str">
        <f>INDEX('Match Groups'!$D$5:$D$1326,MATCH(J3442,'Match Groups'!$A$5:$A$1326,0))</f>
        <v>MATCH</v>
      </c>
    </row>
    <row r="3443">
      <c r="A3443" t="inlineStr">
        <is>
          <t>JI-01281</t>
        </is>
      </c>
      <c r="B3443" t="inlineStr">
        <is>
          <t>OPS</t>
        </is>
      </c>
      <c r="C3443" s="5" t="n">
        <v>46273</v>
      </c>
      <c r="D3443" t="inlineStr">
        <is>
          <t>Southern Cross Plan Mgmt</t>
        </is>
      </c>
      <c r="E3443" t="inlineStr">
        <is>
          <t>INV/2026/02644</t>
        </is>
      </c>
      <c r="F3443" t="inlineStr">
        <is>
          <t>Customer payment INV/2026/02644</t>
        </is>
      </c>
      <c r="G3443" s="9" t="n">
        <v>300.69</v>
      </c>
      <c r="H3443" t="inlineStr">
        <is>
          <t>customer_payment</t>
        </is>
      </c>
      <c r="I3443" t="inlineStr"/>
      <c r="J3443" t="inlineStr">
        <is>
          <t>G00407</t>
        </is>
      </c>
      <c r="K3443" t="str">
        <f>INDEX('Match Groups'!$D$5:$D$1326,MATCH(J3443,'Match Groups'!$A$5:$A$1326,0))</f>
        <v>MATCH</v>
      </c>
    </row>
    <row r="3444">
      <c r="A3444" t="inlineStr">
        <is>
          <t>JI-01282</t>
        </is>
      </c>
      <c r="B3444" t="inlineStr">
        <is>
          <t>OPS</t>
        </is>
      </c>
      <c r="C3444" s="5" t="n">
        <v>46273</v>
      </c>
      <c r="D3444" t="inlineStr">
        <is>
          <t>Southern Cross Plan Mgmt</t>
        </is>
      </c>
      <c r="E3444" t="inlineStr">
        <is>
          <t>INV/2026/02676</t>
        </is>
      </c>
      <c r="F3444" t="inlineStr">
        <is>
          <t>Customer payment INV/2026/02676</t>
        </is>
      </c>
      <c r="G3444" s="9" t="n">
        <v>223.99</v>
      </c>
      <c r="H3444" t="inlineStr">
        <is>
          <t>customer_payment</t>
        </is>
      </c>
      <c r="I3444" t="inlineStr"/>
      <c r="J3444" t="inlineStr">
        <is>
          <t>G00407</t>
        </is>
      </c>
      <c r="K3444" t="str">
        <f>INDEX('Match Groups'!$D$5:$D$1326,MATCH(J3444,'Match Groups'!$A$5:$A$1326,0))</f>
        <v>MATCH</v>
      </c>
    </row>
    <row r="3445">
      <c r="A3445" t="inlineStr">
        <is>
          <t>JI-01283</t>
        </is>
      </c>
      <c r="B3445" t="inlineStr">
        <is>
          <t>OPS</t>
        </is>
      </c>
      <c r="C3445" s="5" t="n">
        <v>46273</v>
      </c>
      <c r="D3445" t="inlineStr">
        <is>
          <t>Southern Cross Plan Mgmt</t>
        </is>
      </c>
      <c r="E3445" t="inlineStr">
        <is>
          <t>INV/2026/02701</t>
        </is>
      </c>
      <c r="F3445" t="inlineStr">
        <is>
          <t>Customer payment INV/2026/02701</t>
        </is>
      </c>
      <c r="G3445" s="9" t="n">
        <v>349.18</v>
      </c>
      <c r="H3445" t="inlineStr">
        <is>
          <t>customer_payment</t>
        </is>
      </c>
      <c r="I3445" t="inlineStr"/>
      <c r="J3445" t="inlineStr">
        <is>
          <t>G00407</t>
        </is>
      </c>
      <c r="K3445" t="str">
        <f>INDEX('Match Groups'!$D$5:$D$1326,MATCH(J3445,'Match Groups'!$A$5:$A$1326,0))</f>
        <v>MATCH</v>
      </c>
    </row>
    <row r="3446">
      <c r="A3446" t="inlineStr">
        <is>
          <t>JI-01284</t>
        </is>
      </c>
      <c r="B3446" t="inlineStr">
        <is>
          <t>OPS</t>
        </is>
      </c>
      <c r="C3446" s="5" t="n">
        <v>46273</v>
      </c>
      <c r="D3446" t="inlineStr">
        <is>
          <t>Southern Cross Plan Mgmt</t>
        </is>
      </c>
      <c r="E3446" t="inlineStr">
        <is>
          <t>INV/2026/02702</t>
        </is>
      </c>
      <c r="F3446" t="inlineStr">
        <is>
          <t>Customer payment INV/2026/02702</t>
        </is>
      </c>
      <c r="G3446" s="9" t="n">
        <v>290.98</v>
      </c>
      <c r="H3446" t="inlineStr">
        <is>
          <t>customer_payment</t>
        </is>
      </c>
      <c r="I3446" t="inlineStr"/>
      <c r="J3446" t="inlineStr">
        <is>
          <t>G00407</t>
        </is>
      </c>
      <c r="K3446" t="str">
        <f>INDEX('Match Groups'!$D$5:$D$1326,MATCH(J3446,'Match Groups'!$A$5:$A$1326,0))</f>
        <v>MATCH</v>
      </c>
    </row>
    <row r="3447">
      <c r="A3447" t="inlineStr">
        <is>
          <t>JI-01285</t>
        </is>
      </c>
      <c r="B3447" t="inlineStr">
        <is>
          <t>OPS</t>
        </is>
      </c>
      <c r="C3447" s="5" t="n">
        <v>46273</v>
      </c>
      <c r="D3447" t="inlineStr">
        <is>
          <t>Southern Cross Plan Mgmt</t>
        </is>
      </c>
      <c r="E3447" t="inlineStr">
        <is>
          <t>INV/2026/02745</t>
        </is>
      </c>
      <c r="F3447" t="inlineStr">
        <is>
          <t>Customer payment INV/2026/02745</t>
        </is>
      </c>
      <c r="G3447" s="9" t="n">
        <v>145.49</v>
      </c>
      <c r="H3447" t="inlineStr">
        <is>
          <t>customer_payment</t>
        </is>
      </c>
      <c r="I3447" t="inlineStr"/>
      <c r="J3447" t="inlineStr">
        <is>
          <t>G00407</t>
        </is>
      </c>
      <c r="K3447" t="str">
        <f>INDEX('Match Groups'!$D$5:$D$1326,MATCH(J3447,'Match Groups'!$A$5:$A$1326,0))</f>
        <v>MATCH</v>
      </c>
    </row>
    <row r="3448">
      <c r="A3448" t="inlineStr">
        <is>
          <t>JI-01286</t>
        </is>
      </c>
      <c r="B3448" t="inlineStr">
        <is>
          <t>OPS</t>
        </is>
      </c>
      <c r="C3448" s="5" t="n">
        <v>46273</v>
      </c>
      <c r="D3448" t="inlineStr">
        <is>
          <t>Southern Cross Plan Mgmt</t>
        </is>
      </c>
      <c r="E3448" t="inlineStr">
        <is>
          <t>INV/2026/02746</t>
        </is>
      </c>
      <c r="F3448" t="inlineStr">
        <is>
          <t>Customer payment INV/2026/02746</t>
        </is>
      </c>
      <c r="G3448" s="9" t="n">
        <v>272.49</v>
      </c>
      <c r="H3448" t="inlineStr">
        <is>
          <t>customer_payment</t>
        </is>
      </c>
      <c r="I3448" t="inlineStr"/>
      <c r="J3448" t="inlineStr">
        <is>
          <t>G00407</t>
        </is>
      </c>
      <c r="K3448" t="str">
        <f>INDEX('Match Groups'!$D$5:$D$1326,MATCH(J3448,'Match Groups'!$A$5:$A$1326,0))</f>
        <v>MATCH</v>
      </c>
    </row>
    <row r="3449">
      <c r="A3449" t="inlineStr">
        <is>
          <t>JI-01287</t>
        </is>
      </c>
      <c r="B3449" t="inlineStr">
        <is>
          <t>OPS</t>
        </is>
      </c>
      <c r="C3449" s="5" t="n">
        <v>46273</v>
      </c>
      <c r="D3449" t="inlineStr">
        <is>
          <t>Tallowwood Plans</t>
        </is>
      </c>
      <c r="E3449" t="inlineStr">
        <is>
          <t>INV/2026/02920</t>
        </is>
      </c>
      <c r="F3449" t="inlineStr">
        <is>
          <t>Customer payment INV/2026/02920</t>
        </is>
      </c>
      <c r="G3449" s="9" t="n">
        <v>349.18</v>
      </c>
      <c r="H3449" t="inlineStr">
        <is>
          <t>customer_payment</t>
        </is>
      </c>
      <c r="I3449" t="inlineStr"/>
      <c r="J3449" t="inlineStr">
        <is>
          <t>G00408</t>
        </is>
      </c>
      <c r="K3449" t="str">
        <f>INDEX('Match Groups'!$D$5:$D$1326,MATCH(J3449,'Match Groups'!$A$5:$A$1326,0))</f>
        <v>MATCH</v>
      </c>
    </row>
    <row r="3450">
      <c r="A3450" t="inlineStr">
        <is>
          <t>JI-01288</t>
        </is>
      </c>
      <c r="B3450" t="inlineStr">
        <is>
          <t>OPS</t>
        </is>
      </c>
      <c r="C3450" s="5" t="n">
        <v>46273</v>
      </c>
      <c r="D3450" t="inlineStr">
        <is>
          <t>Tallowwood Plans</t>
        </is>
      </c>
      <c r="E3450" t="inlineStr">
        <is>
          <t>INV/2026/02948</t>
        </is>
      </c>
      <c r="F3450" t="inlineStr">
        <is>
          <t>Customer payment INV/2026/02948</t>
        </is>
      </c>
      <c r="G3450" s="9" t="n">
        <v>203.69</v>
      </c>
      <c r="H3450" t="inlineStr">
        <is>
          <t>customer_payment</t>
        </is>
      </c>
      <c r="I3450" t="inlineStr"/>
      <c r="J3450" t="inlineStr">
        <is>
          <t>G00408</t>
        </is>
      </c>
      <c r="K3450" t="str">
        <f>INDEX('Match Groups'!$D$5:$D$1326,MATCH(J3450,'Match Groups'!$A$5:$A$1326,0))</f>
        <v>MATCH</v>
      </c>
    </row>
    <row r="3451">
      <c r="A3451" t="inlineStr">
        <is>
          <t>JI-01289</t>
        </is>
      </c>
      <c r="B3451" t="inlineStr">
        <is>
          <t>OPS</t>
        </is>
      </c>
      <c r="C3451" s="5" t="n">
        <v>46273</v>
      </c>
      <c r="D3451" t="inlineStr">
        <is>
          <t>Tallowwood Plans</t>
        </is>
      </c>
      <c r="E3451" t="inlineStr">
        <is>
          <t>INV/2026/02984</t>
        </is>
      </c>
      <c r="F3451" t="inlineStr">
        <is>
          <t>Customer payment INV/2026/02984</t>
        </is>
      </c>
      <c r="G3451" s="9" t="n">
        <v>242.49</v>
      </c>
      <c r="H3451" t="inlineStr">
        <is>
          <t>customer_payment</t>
        </is>
      </c>
      <c r="I3451" t="inlineStr"/>
      <c r="J3451" t="inlineStr">
        <is>
          <t>G00408</t>
        </is>
      </c>
      <c r="K3451" t="str">
        <f>INDEX('Match Groups'!$D$5:$D$1326,MATCH(J3451,'Match Groups'!$A$5:$A$1326,0))</f>
        <v>MATCH</v>
      </c>
    </row>
    <row r="3452">
      <c r="A3452" t="inlineStr">
        <is>
          <t>JI-01290</t>
        </is>
      </c>
      <c r="B3452" t="inlineStr">
        <is>
          <t>OPS</t>
        </is>
      </c>
      <c r="C3452" s="5" t="n">
        <v>46273</v>
      </c>
      <c r="D3452" t="inlineStr">
        <is>
          <t>Tallowwood Plans</t>
        </is>
      </c>
      <c r="E3452" t="inlineStr">
        <is>
          <t>INV/2026/02985</t>
        </is>
      </c>
      <c r="F3452" t="inlineStr">
        <is>
          <t>Customer payment INV/2026/02985</t>
        </is>
      </c>
      <c r="G3452" s="9" t="n">
        <v>320.98</v>
      </c>
      <c r="H3452" t="inlineStr">
        <is>
          <t>customer_payment</t>
        </is>
      </c>
      <c r="I3452" t="inlineStr"/>
      <c r="J3452" t="inlineStr">
        <is>
          <t>G00408</t>
        </is>
      </c>
      <c r="K3452" t="str">
        <f>INDEX('Match Groups'!$D$5:$D$1326,MATCH(J3452,'Match Groups'!$A$5:$A$1326,0))</f>
        <v>MATCH</v>
      </c>
    </row>
    <row r="3453">
      <c r="A3453" t="inlineStr">
        <is>
          <t>JI-01291</t>
        </is>
      </c>
      <c r="B3453" t="inlineStr">
        <is>
          <t>OPS</t>
        </is>
      </c>
      <c r="C3453" s="5" t="n">
        <v>46273</v>
      </c>
      <c r="D3453" t="inlineStr">
        <is>
          <t>Acacia Plan Partners</t>
        </is>
      </c>
      <c r="E3453" t="inlineStr">
        <is>
          <t>INV/2026/02922</t>
        </is>
      </c>
      <c r="F3453" t="inlineStr">
        <is>
          <t>Customer payment INV/2026/02922</t>
        </is>
      </c>
      <c r="G3453" s="9" t="n">
        <v>193.99</v>
      </c>
      <c r="H3453" t="inlineStr">
        <is>
          <t>customer_payment</t>
        </is>
      </c>
      <c r="I3453" t="inlineStr"/>
      <c r="J3453" t="inlineStr">
        <is>
          <t>G00409</t>
        </is>
      </c>
      <c r="K3453" t="str">
        <f>INDEX('Match Groups'!$D$5:$D$1326,MATCH(J3453,'Match Groups'!$A$5:$A$1326,0))</f>
        <v>MATCH</v>
      </c>
    </row>
    <row r="3454">
      <c r="A3454" t="inlineStr">
        <is>
          <t>JI-01292</t>
        </is>
      </c>
      <c r="B3454" t="inlineStr">
        <is>
          <t>OPS</t>
        </is>
      </c>
      <c r="C3454" s="5" t="n">
        <v>46273</v>
      </c>
      <c r="D3454" t="inlineStr">
        <is>
          <t>Acacia Plan Partners</t>
        </is>
      </c>
      <c r="E3454" t="inlineStr">
        <is>
          <t>INV/2026/02968</t>
        </is>
      </c>
      <c r="F3454" t="inlineStr">
        <is>
          <t>Customer payment INV/2026/02968</t>
        </is>
      </c>
      <c r="G3454" s="9" t="n">
        <v>252.19</v>
      </c>
      <c r="H3454" t="inlineStr">
        <is>
          <t>customer_payment</t>
        </is>
      </c>
      <c r="I3454" t="inlineStr"/>
      <c r="J3454" t="inlineStr">
        <is>
          <t>G00409</t>
        </is>
      </c>
      <c r="K3454" t="str">
        <f>INDEX('Match Groups'!$D$5:$D$1326,MATCH(J3454,'Match Groups'!$A$5:$A$1326,0))</f>
        <v>MATCH</v>
      </c>
    </row>
    <row r="3455">
      <c r="A3455" t="inlineStr">
        <is>
          <t>JI-01293</t>
        </is>
      </c>
      <c r="B3455" t="inlineStr">
        <is>
          <t>OPS</t>
        </is>
      </c>
      <c r="C3455" s="5" t="n">
        <v>46273</v>
      </c>
      <c r="D3455" t="inlineStr">
        <is>
          <t>Acacia Plan Partners</t>
        </is>
      </c>
      <c r="E3455" t="inlineStr">
        <is>
          <t>INV/2026/02969</t>
        </is>
      </c>
      <c r="F3455" t="inlineStr">
        <is>
          <t>Customer payment INV/2026/02969</t>
        </is>
      </c>
      <c r="G3455" s="9" t="n">
        <v>417.98</v>
      </c>
      <c r="H3455" t="inlineStr">
        <is>
          <t>customer_payment</t>
        </is>
      </c>
      <c r="I3455" t="inlineStr"/>
      <c r="J3455" t="inlineStr">
        <is>
          <t>G00409</t>
        </is>
      </c>
      <c r="K3455" t="str">
        <f>INDEX('Match Groups'!$D$5:$D$1326,MATCH(J3455,'Match Groups'!$A$5:$A$1326,0))</f>
        <v>MATCH</v>
      </c>
    </row>
    <row r="3456">
      <c r="A3456" t="inlineStr">
        <is>
          <t>JI-01294</t>
        </is>
      </c>
      <c r="B3456" t="inlineStr">
        <is>
          <t>OPS</t>
        </is>
      </c>
      <c r="C3456" s="5" t="n">
        <v>46273</v>
      </c>
      <c r="D3456" t="inlineStr">
        <is>
          <t>Acacia Plan Partners</t>
        </is>
      </c>
      <c r="E3456" t="inlineStr">
        <is>
          <t>INV/2026/03003</t>
        </is>
      </c>
      <c r="F3456" t="inlineStr">
        <is>
          <t>Customer payment INV/2026/03003</t>
        </is>
      </c>
      <c r="G3456" s="9" t="n">
        <v>387.98</v>
      </c>
      <c r="H3456" t="inlineStr">
        <is>
          <t>customer_payment</t>
        </is>
      </c>
      <c r="I3456" t="inlineStr"/>
      <c r="J3456" t="inlineStr">
        <is>
          <t>G00409</t>
        </is>
      </c>
      <c r="K3456" t="str">
        <f>INDEX('Match Groups'!$D$5:$D$1326,MATCH(J3456,'Match Groups'!$A$5:$A$1326,0))</f>
        <v>MATCH</v>
      </c>
    </row>
    <row r="3457">
      <c r="A3457" t="inlineStr">
        <is>
          <t>JI-01295</t>
        </is>
      </c>
      <c r="B3457" t="inlineStr">
        <is>
          <t>OPS</t>
        </is>
      </c>
      <c r="C3457" s="5" t="n">
        <v>46273</v>
      </c>
      <c r="D3457" t="inlineStr">
        <is>
          <t>Acacia Plan Partners</t>
        </is>
      </c>
      <c r="E3457" t="inlineStr">
        <is>
          <t>INV/2026/03004</t>
        </is>
      </c>
      <c r="F3457" t="inlineStr">
        <is>
          <t>Customer payment INV/2026/03004</t>
        </is>
      </c>
      <c r="G3457" s="9" t="n">
        <v>203.69</v>
      </c>
      <c r="H3457" t="inlineStr">
        <is>
          <t>customer_payment</t>
        </is>
      </c>
      <c r="I3457" t="inlineStr"/>
      <c r="J3457" t="inlineStr">
        <is>
          <t>G00409</t>
        </is>
      </c>
      <c r="K3457" t="str">
        <f>INDEX('Match Groups'!$D$5:$D$1326,MATCH(J3457,'Match Groups'!$A$5:$A$1326,0))</f>
        <v>MATCH</v>
      </c>
    </row>
    <row r="3458">
      <c r="A3458" t="inlineStr">
        <is>
          <t>JI-01298</t>
        </is>
      </c>
      <c r="B3458" t="inlineStr">
        <is>
          <t>OPS</t>
        </is>
      </c>
      <c r="C3458" s="5" t="n">
        <v>46273</v>
      </c>
      <c r="D3458" t="inlineStr">
        <is>
          <t>Southern Cross Plan Mgmt</t>
        </is>
      </c>
      <c r="E3458" t="inlineStr">
        <is>
          <t>INV/2026/02770</t>
        </is>
      </c>
      <c r="F3458" t="inlineStr">
        <is>
          <t>Customer payment INV/2026/02770</t>
        </is>
      </c>
      <c r="G3458" s="9" t="n">
        <v>193.99</v>
      </c>
      <c r="H3458" t="inlineStr">
        <is>
          <t>customer_payment</t>
        </is>
      </c>
      <c r="I3458" t="inlineStr"/>
      <c r="J3458" t="inlineStr">
        <is>
          <t>G00412</t>
        </is>
      </c>
      <c r="K3458" t="str">
        <f>INDEX('Match Groups'!$D$5:$D$1326,MATCH(J3458,'Match Groups'!$A$5:$A$1326,0))</f>
        <v>MATCH</v>
      </c>
    </row>
    <row r="3459">
      <c r="A3459" t="inlineStr">
        <is>
          <t>JI-01299</t>
        </is>
      </c>
      <c r="B3459" t="inlineStr">
        <is>
          <t>OPS</t>
        </is>
      </c>
      <c r="C3459" s="5" t="n">
        <v>46273</v>
      </c>
      <c r="D3459" t="inlineStr">
        <is>
          <t>Southern Cross Plan Mgmt</t>
        </is>
      </c>
      <c r="E3459" t="inlineStr">
        <is>
          <t>INV/2026/02789</t>
        </is>
      </c>
      <c r="F3459" t="inlineStr">
        <is>
          <t>Customer payment INV/2026/02789</t>
        </is>
      </c>
      <c r="G3459" s="9" t="n">
        <v>193.99</v>
      </c>
      <c r="H3459" t="inlineStr">
        <is>
          <t>customer_payment</t>
        </is>
      </c>
      <c r="I3459" t="inlineStr"/>
      <c r="J3459" t="inlineStr">
        <is>
          <t>G00412</t>
        </is>
      </c>
      <c r="K3459" t="str">
        <f>INDEX('Match Groups'!$D$5:$D$1326,MATCH(J3459,'Match Groups'!$A$5:$A$1326,0))</f>
        <v>MATCH</v>
      </c>
    </row>
    <row r="3460">
      <c r="A3460" t="inlineStr">
        <is>
          <t>JI-01300</t>
        </is>
      </c>
      <c r="B3460" t="inlineStr">
        <is>
          <t>OPS</t>
        </is>
      </c>
      <c r="C3460" s="5" t="n">
        <v>46273</v>
      </c>
      <c r="D3460" t="inlineStr">
        <is>
          <t>Southern Cross Plan Mgmt</t>
        </is>
      </c>
      <c r="E3460" t="inlineStr">
        <is>
          <t>INV/2026/02812</t>
        </is>
      </c>
      <c r="F3460" t="inlineStr">
        <is>
          <t>Customer payment INV/2026/02812</t>
        </is>
      </c>
      <c r="G3460" s="9" t="n">
        <v>96.98999999999999</v>
      </c>
      <c r="H3460" t="inlineStr">
        <is>
          <t>customer_payment</t>
        </is>
      </c>
      <c r="I3460" t="inlineStr"/>
      <c r="J3460" t="inlineStr">
        <is>
          <t>G00412</t>
        </is>
      </c>
      <c r="K3460" t="str">
        <f>INDEX('Match Groups'!$D$5:$D$1326,MATCH(J3460,'Match Groups'!$A$5:$A$1326,0))</f>
        <v>MATCH</v>
      </c>
    </row>
    <row r="3461">
      <c r="A3461" t="inlineStr">
        <is>
          <t>JI-01723</t>
        </is>
      </c>
      <c r="B3461" t="inlineStr">
        <is>
          <t>OPS</t>
        </is>
      </c>
      <c r="C3461" s="5" t="n">
        <v>46273</v>
      </c>
      <c r="D3461" t="inlineStr">
        <is>
          <t>Fairlie Bros Plumbing</t>
        </is>
      </c>
      <c r="E3461" t="inlineStr">
        <is>
          <t>INV/2026/03495</t>
        </is>
      </c>
      <c r="F3461" t="inlineStr">
        <is>
          <t>Customer payment INV/2026/03495</t>
        </is>
      </c>
      <c r="G3461" s="9" t="n">
        <v>1402.5</v>
      </c>
      <c r="H3461" t="inlineStr">
        <is>
          <t>customer_payment</t>
        </is>
      </c>
      <c r="I3461" t="inlineStr"/>
      <c r="J3461" t="inlineStr">
        <is>
          <t>G01056</t>
        </is>
      </c>
      <c r="K3461" t="str">
        <f>INDEX('Match Groups'!$D$5:$D$1326,MATCH(J3461,'Match Groups'!$A$5:$A$1326,0))</f>
        <v>MATCH</v>
      </c>
    </row>
    <row r="3462">
      <c r="A3462" t="inlineStr">
        <is>
          <t>JI-01741</t>
        </is>
      </c>
      <c r="B3462" t="inlineStr">
        <is>
          <t>OPS</t>
        </is>
      </c>
      <c r="C3462" s="5" t="n">
        <v>46273</v>
      </c>
      <c r="D3462" t="inlineStr">
        <is>
          <t>Kinross Medical Couriers</t>
        </is>
      </c>
      <c r="E3462" t="inlineStr">
        <is>
          <t>INV/2026/03448</t>
        </is>
      </c>
      <c r="F3462" t="inlineStr">
        <is>
          <t>Customer payment INV/2026/03448</t>
        </is>
      </c>
      <c r="G3462" s="9" t="n">
        <v>10876.25</v>
      </c>
      <c r="H3462" t="inlineStr">
        <is>
          <t>customer_payment</t>
        </is>
      </c>
      <c r="I3462" t="inlineStr"/>
      <c r="J3462" t="inlineStr">
        <is>
          <t>G01158</t>
        </is>
      </c>
      <c r="K3462" t="str">
        <f>INDEX('Match Groups'!$D$5:$D$1326,MATCH(J3462,'Match Groups'!$A$5:$A$1326,0))</f>
        <v>MATCH</v>
      </c>
    </row>
    <row r="3463">
      <c r="A3463" t="inlineStr">
        <is>
          <t>JI-01742</t>
        </is>
      </c>
      <c r="B3463" t="inlineStr">
        <is>
          <t>OPS</t>
        </is>
      </c>
      <c r="C3463" s="5" t="n">
        <v>46273</v>
      </c>
      <c r="D3463" t="inlineStr">
        <is>
          <t>Kinross Medical Couriers</t>
        </is>
      </c>
      <c r="E3463" t="inlineStr">
        <is>
          <t>INV/2026/03502</t>
        </is>
      </c>
      <c r="F3463" t="inlineStr">
        <is>
          <t>Customer payment INV/2026/03502</t>
        </is>
      </c>
      <c r="G3463" s="9" t="n">
        <v>1320</v>
      </c>
      <c r="H3463" t="inlineStr">
        <is>
          <t>customer_payment</t>
        </is>
      </c>
      <c r="I3463" t="inlineStr"/>
      <c r="J3463" t="inlineStr">
        <is>
          <t>G01158</t>
        </is>
      </c>
      <c r="K3463" t="str">
        <f>INDEX('Match Groups'!$D$5:$D$1326,MATCH(J3463,'Match Groups'!$A$5:$A$1326,0))</f>
        <v>MATCH</v>
      </c>
    </row>
    <row r="3464">
      <c r="A3464" t="inlineStr">
        <is>
          <t>JI-01743</t>
        </is>
      </c>
      <c r="B3464" t="inlineStr">
        <is>
          <t>OPS</t>
        </is>
      </c>
      <c r="C3464" s="5" t="n">
        <v>46273</v>
      </c>
      <c r="D3464" t="inlineStr">
        <is>
          <t>Kinross Medical Couriers</t>
        </is>
      </c>
      <c r="E3464" t="inlineStr">
        <is>
          <t>INV/2026/03557</t>
        </is>
      </c>
      <c r="F3464" t="inlineStr">
        <is>
          <t>Customer payment INV/2026/03557</t>
        </is>
      </c>
      <c r="G3464" s="9" t="n">
        <v>10725</v>
      </c>
      <c r="H3464" t="inlineStr">
        <is>
          <t>customer_payment</t>
        </is>
      </c>
      <c r="I3464" t="inlineStr"/>
      <c r="J3464" t="inlineStr">
        <is>
          <t>G01158</t>
        </is>
      </c>
      <c r="K3464" t="str">
        <f>INDEX('Match Groups'!$D$5:$D$1326,MATCH(J3464,'Match Groups'!$A$5:$A$1326,0))</f>
        <v>MATCH</v>
      </c>
    </row>
    <row r="3465">
      <c r="A3465" t="inlineStr">
        <is>
          <t>JI-03237</t>
        </is>
      </c>
      <c r="B3465" t="inlineStr">
        <is>
          <t>OPS</t>
        </is>
      </c>
      <c r="C3465" s="5" t="n">
        <v>46273</v>
      </c>
      <c r="D3465" t="inlineStr">
        <is>
          <t>Stripe patient 31160</t>
        </is>
      </c>
      <c r="E3465" t="inlineStr">
        <is>
          <t>INV/2026/05078</t>
        </is>
      </c>
      <c r="F3465" t="inlineStr">
        <is>
          <t>Customer payment INV/2026/05078</t>
        </is>
      </c>
      <c r="G3465" s="9" t="n">
        <v>135</v>
      </c>
      <c r="H3465" t="inlineStr">
        <is>
          <t>customer_payment</t>
        </is>
      </c>
      <c r="I3465" t="inlineStr"/>
      <c r="J3465" t="inlineStr">
        <is>
          <t>G00065</t>
        </is>
      </c>
      <c r="K3465" t="str">
        <f>INDEX('Match Groups'!$D$5:$D$1326,MATCH(J3465,'Match Groups'!$A$5:$A$1326,0))</f>
        <v>STRIPE-FEE</v>
      </c>
    </row>
    <row r="3466">
      <c r="A3466" t="inlineStr">
        <is>
          <t>JI-03238</t>
        </is>
      </c>
      <c r="B3466" t="inlineStr">
        <is>
          <t>OPS</t>
        </is>
      </c>
      <c r="C3466" s="5" t="n">
        <v>46273</v>
      </c>
      <c r="D3466" t="inlineStr">
        <is>
          <t>Stripe patient 58538</t>
        </is>
      </c>
      <c r="E3466" t="inlineStr">
        <is>
          <t>INV/2026/05079</t>
        </is>
      </c>
      <c r="F3466" t="inlineStr">
        <is>
          <t>Customer payment INV/2026/05079</t>
        </is>
      </c>
      <c r="G3466" s="9" t="n">
        <v>120</v>
      </c>
      <c r="H3466" t="inlineStr">
        <is>
          <t>customer_payment</t>
        </is>
      </c>
      <c r="I3466" t="inlineStr"/>
      <c r="J3466" t="inlineStr">
        <is>
          <t>G00065</t>
        </is>
      </c>
      <c r="K3466" t="str">
        <f>INDEX('Match Groups'!$D$5:$D$1326,MATCH(J3466,'Match Groups'!$A$5:$A$1326,0))</f>
        <v>STRIPE-FEE</v>
      </c>
    </row>
    <row r="3467">
      <c r="A3467" t="inlineStr">
        <is>
          <t>JI-03239</t>
        </is>
      </c>
      <c r="B3467" t="inlineStr">
        <is>
          <t>OPS</t>
        </is>
      </c>
      <c r="C3467" s="5" t="n">
        <v>46273</v>
      </c>
      <c r="D3467" t="inlineStr">
        <is>
          <t>Stripe patient 85394</t>
        </is>
      </c>
      <c r="E3467" t="inlineStr">
        <is>
          <t>INV/2026/05080</t>
        </is>
      </c>
      <c r="F3467" t="inlineStr">
        <is>
          <t>Customer payment INV/2026/05080</t>
        </is>
      </c>
      <c r="G3467" s="9" t="n">
        <v>150</v>
      </c>
      <c r="H3467" t="inlineStr">
        <is>
          <t>customer_payment</t>
        </is>
      </c>
      <c r="I3467" t="inlineStr"/>
      <c r="J3467" t="inlineStr">
        <is>
          <t>G00065</t>
        </is>
      </c>
      <c r="K3467" t="str">
        <f>INDEX('Match Groups'!$D$5:$D$1326,MATCH(J3467,'Match Groups'!$A$5:$A$1326,0))</f>
        <v>STRIPE-FEE</v>
      </c>
    </row>
    <row r="3468">
      <c r="A3468" t="inlineStr">
        <is>
          <t>JI-03240</t>
        </is>
      </c>
      <c r="B3468" t="inlineStr">
        <is>
          <t>OPS</t>
        </is>
      </c>
      <c r="C3468" s="5" t="n">
        <v>46273</v>
      </c>
      <c r="D3468" t="inlineStr">
        <is>
          <t>Stripe patient 42505</t>
        </is>
      </c>
      <c r="E3468" t="inlineStr">
        <is>
          <t>INV/2026/05081</t>
        </is>
      </c>
      <c r="F3468" t="inlineStr">
        <is>
          <t>Customer payment INV/2026/05081</t>
        </is>
      </c>
      <c r="G3468" s="9" t="n">
        <v>85</v>
      </c>
      <c r="H3468" t="inlineStr">
        <is>
          <t>customer_payment</t>
        </is>
      </c>
      <c r="I3468" t="inlineStr"/>
      <c r="J3468" t="inlineStr">
        <is>
          <t>G00065</t>
        </is>
      </c>
      <c r="K3468" t="str">
        <f>INDEX('Match Groups'!$D$5:$D$1326,MATCH(J3468,'Match Groups'!$A$5:$A$1326,0))</f>
        <v>STRIPE-FEE</v>
      </c>
    </row>
    <row r="3469">
      <c r="A3469" t="inlineStr">
        <is>
          <t>JI-03241</t>
        </is>
      </c>
      <c r="B3469" t="inlineStr">
        <is>
          <t>OPS</t>
        </is>
      </c>
      <c r="C3469" s="5" t="n">
        <v>46273</v>
      </c>
      <c r="D3469" t="inlineStr">
        <is>
          <t>Stripe patient 56965</t>
        </is>
      </c>
      <c r="E3469" t="inlineStr">
        <is>
          <t>INV/2026/05082</t>
        </is>
      </c>
      <c r="F3469" t="inlineStr">
        <is>
          <t>Customer payment INV/2026/05082</t>
        </is>
      </c>
      <c r="G3469" s="9" t="n">
        <v>180</v>
      </c>
      <c r="H3469" t="inlineStr">
        <is>
          <t>customer_payment</t>
        </is>
      </c>
      <c r="I3469" t="inlineStr"/>
      <c r="J3469" t="inlineStr">
        <is>
          <t>G00065</t>
        </is>
      </c>
      <c r="K3469" t="str">
        <f>INDEX('Match Groups'!$D$5:$D$1326,MATCH(J3469,'Match Groups'!$A$5:$A$1326,0))</f>
        <v>STRIPE-FEE</v>
      </c>
    </row>
    <row r="3470">
      <c r="A3470" t="inlineStr">
        <is>
          <t>JI-03242</t>
        </is>
      </c>
      <c r="B3470" t="inlineStr">
        <is>
          <t>OPS</t>
        </is>
      </c>
      <c r="C3470" s="5" t="n">
        <v>46273</v>
      </c>
      <c r="D3470" t="inlineStr">
        <is>
          <t>Stripe patient 21839</t>
        </is>
      </c>
      <c r="E3470" t="inlineStr">
        <is>
          <t>INV/2026/05083</t>
        </is>
      </c>
      <c r="F3470" t="inlineStr">
        <is>
          <t>Customer payment INV/2026/05083</t>
        </is>
      </c>
      <c r="G3470" s="9" t="n">
        <v>95</v>
      </c>
      <c r="H3470" t="inlineStr">
        <is>
          <t>customer_payment</t>
        </is>
      </c>
      <c r="I3470" t="inlineStr"/>
      <c r="J3470" t="inlineStr">
        <is>
          <t>G00065</t>
        </is>
      </c>
      <c r="K3470" t="str">
        <f>INDEX('Match Groups'!$D$5:$D$1326,MATCH(J3470,'Match Groups'!$A$5:$A$1326,0))</f>
        <v>STRIPE-FEE</v>
      </c>
    </row>
    <row r="3471">
      <c r="A3471" t="inlineStr">
        <is>
          <t>JI-03243</t>
        </is>
      </c>
      <c r="B3471" t="inlineStr">
        <is>
          <t>OPS</t>
        </is>
      </c>
      <c r="C3471" s="5" t="n">
        <v>46273</v>
      </c>
      <c r="D3471" t="inlineStr">
        <is>
          <t>Stripe patient 68373</t>
        </is>
      </c>
      <c r="E3471" t="inlineStr">
        <is>
          <t>INV/2026/05084</t>
        </is>
      </c>
      <c r="F3471" t="inlineStr">
        <is>
          <t>Customer payment INV/2026/05084</t>
        </is>
      </c>
      <c r="G3471" s="9" t="n">
        <v>150</v>
      </c>
      <c r="H3471" t="inlineStr">
        <is>
          <t>customer_payment</t>
        </is>
      </c>
      <c r="I3471" t="inlineStr"/>
      <c r="J3471" t="inlineStr">
        <is>
          <t>G00065</t>
        </is>
      </c>
      <c r="K3471" t="str">
        <f>INDEX('Match Groups'!$D$5:$D$1326,MATCH(J3471,'Match Groups'!$A$5:$A$1326,0))</f>
        <v>STRIPE-FEE</v>
      </c>
    </row>
    <row r="3472">
      <c r="A3472" t="inlineStr">
        <is>
          <t>JI-03244</t>
        </is>
      </c>
      <c r="B3472" t="inlineStr">
        <is>
          <t>OPS</t>
        </is>
      </c>
      <c r="C3472" s="5" t="n">
        <v>46273</v>
      </c>
      <c r="D3472" t="inlineStr">
        <is>
          <t>Stripe patient 95814</t>
        </is>
      </c>
      <c r="E3472" t="inlineStr">
        <is>
          <t>INV/2026/05085</t>
        </is>
      </c>
      <c r="F3472" t="inlineStr">
        <is>
          <t>Customer payment INV/2026/05085</t>
        </is>
      </c>
      <c r="G3472" s="9" t="n">
        <v>65</v>
      </c>
      <c r="H3472" t="inlineStr">
        <is>
          <t>customer_payment</t>
        </is>
      </c>
      <c r="I3472" t="inlineStr"/>
      <c r="J3472" t="inlineStr">
        <is>
          <t>G00065</t>
        </is>
      </c>
      <c r="K3472" t="str">
        <f>INDEX('Match Groups'!$D$5:$D$1326,MATCH(J3472,'Match Groups'!$A$5:$A$1326,0))</f>
        <v>STRIPE-FEE</v>
      </c>
    </row>
    <row r="3473">
      <c r="A3473" t="inlineStr">
        <is>
          <t>JI-03245</t>
        </is>
      </c>
      <c r="B3473" t="inlineStr">
        <is>
          <t>OPS</t>
        </is>
      </c>
      <c r="C3473" s="5" t="n">
        <v>46273</v>
      </c>
      <c r="D3473" t="inlineStr">
        <is>
          <t>Stripe patient 78162</t>
        </is>
      </c>
      <c r="E3473" t="inlineStr">
        <is>
          <t>INV/2026/05086</t>
        </is>
      </c>
      <c r="F3473" t="inlineStr">
        <is>
          <t>Customer payment INV/2026/05086</t>
        </is>
      </c>
      <c r="G3473" s="9" t="n">
        <v>95</v>
      </c>
      <c r="H3473" t="inlineStr">
        <is>
          <t>customer_payment</t>
        </is>
      </c>
      <c r="I3473" t="inlineStr"/>
      <c r="J3473" t="inlineStr">
        <is>
          <t>G00065</t>
        </is>
      </c>
      <c r="K3473" t="str">
        <f>INDEX('Match Groups'!$D$5:$D$1326,MATCH(J3473,'Match Groups'!$A$5:$A$1326,0))</f>
        <v>STRIPE-FEE</v>
      </c>
    </row>
    <row r="3474">
      <c r="A3474" t="inlineStr">
        <is>
          <t>JI-03246</t>
        </is>
      </c>
      <c r="B3474" t="inlineStr">
        <is>
          <t>OPS</t>
        </is>
      </c>
      <c r="C3474" s="5" t="n">
        <v>46273</v>
      </c>
      <c r="D3474" t="inlineStr">
        <is>
          <t>Stripe patient 41331</t>
        </is>
      </c>
      <c r="E3474" t="inlineStr">
        <is>
          <t>INV/2026/05087</t>
        </is>
      </c>
      <c r="F3474" t="inlineStr">
        <is>
          <t>Customer payment INV/2026/05087</t>
        </is>
      </c>
      <c r="G3474" s="9" t="n">
        <v>150</v>
      </c>
      <c r="H3474" t="inlineStr">
        <is>
          <t>customer_payment</t>
        </is>
      </c>
      <c r="I3474" t="inlineStr"/>
      <c r="J3474" t="inlineStr">
        <is>
          <t>G00065</t>
        </is>
      </c>
      <c r="K3474" t="str">
        <f>INDEX('Match Groups'!$D$5:$D$1326,MATCH(J3474,'Match Groups'!$A$5:$A$1326,0))</f>
        <v>STRIPE-FEE</v>
      </c>
    </row>
    <row r="3475">
      <c r="A3475" t="inlineStr">
        <is>
          <t>JI-03247</t>
        </is>
      </c>
      <c r="B3475" t="inlineStr">
        <is>
          <t>OPS</t>
        </is>
      </c>
      <c r="C3475" s="5" t="n">
        <v>46273</v>
      </c>
      <c r="D3475" t="inlineStr">
        <is>
          <t>Stripe patient 20720</t>
        </is>
      </c>
      <c r="E3475" t="inlineStr">
        <is>
          <t>INV/2026/05088</t>
        </is>
      </c>
      <c r="F3475" t="inlineStr">
        <is>
          <t>Customer payment INV/2026/05088</t>
        </is>
      </c>
      <c r="G3475" s="9" t="n">
        <v>65</v>
      </c>
      <c r="H3475" t="inlineStr">
        <is>
          <t>customer_payment</t>
        </is>
      </c>
      <c r="I3475" t="inlineStr"/>
      <c r="J3475" t="inlineStr">
        <is>
          <t>G00065</t>
        </is>
      </c>
      <c r="K3475" t="str">
        <f>INDEX('Match Groups'!$D$5:$D$1326,MATCH(J3475,'Match Groups'!$A$5:$A$1326,0))</f>
        <v>STRIPE-FEE</v>
      </c>
    </row>
    <row r="3476">
      <c r="A3476" t="inlineStr">
        <is>
          <t>JI-03248</t>
        </is>
      </c>
      <c r="B3476" t="inlineStr">
        <is>
          <t>OPS</t>
        </is>
      </c>
      <c r="C3476" s="5" t="n">
        <v>46273</v>
      </c>
      <c r="D3476" t="inlineStr">
        <is>
          <t>Stripe patient 40889</t>
        </is>
      </c>
      <c r="E3476" t="inlineStr">
        <is>
          <t>INV/2026/05089</t>
        </is>
      </c>
      <c r="F3476" t="inlineStr">
        <is>
          <t>Customer payment INV/2026/05089</t>
        </is>
      </c>
      <c r="G3476" s="9" t="n">
        <v>110</v>
      </c>
      <c r="H3476" t="inlineStr">
        <is>
          <t>customer_payment</t>
        </is>
      </c>
      <c r="I3476" t="inlineStr"/>
      <c r="J3476" t="inlineStr">
        <is>
          <t>G00065</t>
        </is>
      </c>
      <c r="K3476" t="str">
        <f>INDEX('Match Groups'!$D$5:$D$1326,MATCH(J3476,'Match Groups'!$A$5:$A$1326,0))</f>
        <v>STRIPE-FEE</v>
      </c>
    </row>
    <row r="3477">
      <c r="A3477" t="inlineStr">
        <is>
          <t>JI-03249</t>
        </is>
      </c>
      <c r="B3477" t="inlineStr">
        <is>
          <t>OPS</t>
        </is>
      </c>
      <c r="C3477" s="5" t="n">
        <v>46273</v>
      </c>
      <c r="D3477" t="inlineStr">
        <is>
          <t>Stripe patient 71195</t>
        </is>
      </c>
      <c r="E3477" t="inlineStr">
        <is>
          <t>INV/2026/05090</t>
        </is>
      </c>
      <c r="F3477" t="inlineStr">
        <is>
          <t>Customer payment INV/2026/05090</t>
        </is>
      </c>
      <c r="G3477" s="9" t="n">
        <v>65</v>
      </c>
      <c r="H3477" t="inlineStr">
        <is>
          <t>customer_payment</t>
        </is>
      </c>
      <c r="I3477" t="inlineStr"/>
      <c r="J3477" t="inlineStr">
        <is>
          <t>G00065</t>
        </is>
      </c>
      <c r="K3477" t="str">
        <f>INDEX('Match Groups'!$D$5:$D$1326,MATCH(J3477,'Match Groups'!$A$5:$A$1326,0))</f>
        <v>STRIPE-FEE</v>
      </c>
    </row>
    <row r="3478">
      <c r="A3478" t="inlineStr">
        <is>
          <t>JI-03250</t>
        </is>
      </c>
      <c r="B3478" t="inlineStr">
        <is>
          <t>OPS</t>
        </is>
      </c>
      <c r="C3478" s="5" t="n">
        <v>46273</v>
      </c>
      <c r="D3478" t="inlineStr">
        <is>
          <t>Stripe patient 21034</t>
        </is>
      </c>
      <c r="E3478" t="inlineStr">
        <is>
          <t>INV/2026/05091</t>
        </is>
      </c>
      <c r="F3478" t="inlineStr">
        <is>
          <t>Customer payment INV/2026/05091</t>
        </is>
      </c>
      <c r="G3478" s="9" t="n">
        <v>95</v>
      </c>
      <c r="H3478" t="inlineStr">
        <is>
          <t>customer_payment</t>
        </is>
      </c>
      <c r="I3478" t="inlineStr"/>
      <c r="J3478" t="inlineStr">
        <is>
          <t>G00065</t>
        </is>
      </c>
      <c r="K3478" t="str">
        <f>INDEX('Match Groups'!$D$5:$D$1326,MATCH(J3478,'Match Groups'!$A$5:$A$1326,0))</f>
        <v>STRIPE-FEE</v>
      </c>
    </row>
    <row r="3479">
      <c r="A3479" t="inlineStr">
        <is>
          <t>JI-03251</t>
        </is>
      </c>
      <c r="B3479" t="inlineStr">
        <is>
          <t>OPS</t>
        </is>
      </c>
      <c r="C3479" s="5" t="n">
        <v>46273</v>
      </c>
      <c r="D3479" t="inlineStr">
        <is>
          <t>Stripe patient 72364</t>
        </is>
      </c>
      <c r="E3479" t="inlineStr">
        <is>
          <t>INV/2026/05092</t>
        </is>
      </c>
      <c r="F3479" t="inlineStr">
        <is>
          <t>Customer payment INV/2026/05092</t>
        </is>
      </c>
      <c r="G3479" s="9" t="n">
        <v>150</v>
      </c>
      <c r="H3479" t="inlineStr">
        <is>
          <t>customer_payment</t>
        </is>
      </c>
      <c r="I3479" t="inlineStr"/>
      <c r="J3479" t="inlineStr">
        <is>
          <t>G00065</t>
        </is>
      </c>
      <c r="K3479" t="str">
        <f>INDEX('Match Groups'!$D$5:$D$1326,MATCH(J3479,'Match Groups'!$A$5:$A$1326,0))</f>
        <v>STRIPE-FEE</v>
      </c>
    </row>
    <row r="3480">
      <c r="A3480" t="inlineStr">
        <is>
          <t>JI-03252</t>
        </is>
      </c>
      <c r="B3480" t="inlineStr">
        <is>
          <t>OPS</t>
        </is>
      </c>
      <c r="C3480" s="5" t="n">
        <v>46273</v>
      </c>
      <c r="D3480" t="inlineStr">
        <is>
          <t>Stripe patient 84159</t>
        </is>
      </c>
      <c r="E3480" t="inlineStr">
        <is>
          <t>INV/2026/05093</t>
        </is>
      </c>
      <c r="F3480" t="inlineStr">
        <is>
          <t>Customer payment INV/2026/05093</t>
        </is>
      </c>
      <c r="G3480" s="9" t="n">
        <v>120</v>
      </c>
      <c r="H3480" t="inlineStr">
        <is>
          <t>customer_payment</t>
        </is>
      </c>
      <c r="I3480" t="inlineStr"/>
      <c r="J3480" t="inlineStr">
        <is>
          <t>G00065</t>
        </is>
      </c>
      <c r="K3480" t="str">
        <f>INDEX('Match Groups'!$D$5:$D$1326,MATCH(J3480,'Match Groups'!$A$5:$A$1326,0))</f>
        <v>STRIPE-FEE</v>
      </c>
    </row>
    <row r="3481">
      <c r="A3481" t="inlineStr">
        <is>
          <t>JI-03253</t>
        </is>
      </c>
      <c r="B3481" t="inlineStr">
        <is>
          <t>OPS</t>
        </is>
      </c>
      <c r="C3481" s="5" t="n">
        <v>46273</v>
      </c>
      <c r="D3481" t="inlineStr">
        <is>
          <t>Stripe patient 84734</t>
        </is>
      </c>
      <c r="E3481" t="inlineStr">
        <is>
          <t>INV/2026/05094</t>
        </is>
      </c>
      <c r="F3481" t="inlineStr">
        <is>
          <t>Customer payment INV/2026/05094</t>
        </is>
      </c>
      <c r="G3481" s="9" t="n">
        <v>135</v>
      </c>
      <c r="H3481" t="inlineStr">
        <is>
          <t>customer_payment</t>
        </is>
      </c>
      <c r="I3481" t="inlineStr"/>
      <c r="J3481" t="inlineStr">
        <is>
          <t>G00065</t>
        </is>
      </c>
      <c r="K3481" t="str">
        <f>INDEX('Match Groups'!$D$5:$D$1326,MATCH(J3481,'Match Groups'!$A$5:$A$1326,0))</f>
        <v>STRIPE-FEE</v>
      </c>
    </row>
    <row r="3482">
      <c r="A3482" t="inlineStr">
        <is>
          <t>JI-03254</t>
        </is>
      </c>
      <c r="B3482" t="inlineStr">
        <is>
          <t>OPS</t>
        </is>
      </c>
      <c r="C3482" s="5" t="n">
        <v>46273</v>
      </c>
      <c r="D3482" t="inlineStr">
        <is>
          <t>Stripe patient 32629</t>
        </is>
      </c>
      <c r="E3482" t="inlineStr">
        <is>
          <t>INV/2026/05095</t>
        </is>
      </c>
      <c r="F3482" t="inlineStr">
        <is>
          <t>Customer payment INV/2026/05095</t>
        </is>
      </c>
      <c r="G3482" s="9" t="n">
        <v>150</v>
      </c>
      <c r="H3482" t="inlineStr">
        <is>
          <t>customer_payment</t>
        </is>
      </c>
      <c r="I3482" t="inlineStr"/>
      <c r="J3482" t="inlineStr">
        <is>
          <t>G00065</t>
        </is>
      </c>
      <c r="K3482" t="str">
        <f>INDEX('Match Groups'!$D$5:$D$1326,MATCH(J3482,'Match Groups'!$A$5:$A$1326,0))</f>
        <v>STRIPE-FEE</v>
      </c>
    </row>
    <row r="3483">
      <c r="A3483" t="inlineStr">
        <is>
          <t>JI-03255</t>
        </is>
      </c>
      <c r="B3483" t="inlineStr">
        <is>
          <t>OPS</t>
        </is>
      </c>
      <c r="C3483" s="5" t="n">
        <v>46273</v>
      </c>
      <c r="D3483" t="inlineStr">
        <is>
          <t>Stripe patient 68387</t>
        </is>
      </c>
      <c r="E3483" t="inlineStr">
        <is>
          <t>INV/2026/05096</t>
        </is>
      </c>
      <c r="F3483" t="inlineStr">
        <is>
          <t>Customer payment INV/2026/05096</t>
        </is>
      </c>
      <c r="G3483" s="9" t="n">
        <v>95</v>
      </c>
      <c r="H3483" t="inlineStr">
        <is>
          <t>customer_payment</t>
        </is>
      </c>
      <c r="I3483" t="inlineStr"/>
      <c r="J3483" t="inlineStr">
        <is>
          <t>G00065</t>
        </is>
      </c>
      <c r="K3483" t="str">
        <f>INDEX('Match Groups'!$D$5:$D$1326,MATCH(J3483,'Match Groups'!$A$5:$A$1326,0))</f>
        <v>STRIPE-FEE</v>
      </c>
    </row>
    <row r="3484">
      <c r="A3484" t="inlineStr">
        <is>
          <t>JI-03256</t>
        </is>
      </c>
      <c r="B3484" t="inlineStr">
        <is>
          <t>OPS</t>
        </is>
      </c>
      <c r="C3484" s="5" t="n">
        <v>46273</v>
      </c>
      <c r="D3484" t="inlineStr">
        <is>
          <t>Stripe patient 22477</t>
        </is>
      </c>
      <c r="E3484" t="inlineStr">
        <is>
          <t>INV/2026/05097</t>
        </is>
      </c>
      <c r="F3484" t="inlineStr">
        <is>
          <t>Customer payment INV/2026/05097</t>
        </is>
      </c>
      <c r="G3484" s="9" t="n">
        <v>110</v>
      </c>
      <c r="H3484" t="inlineStr">
        <is>
          <t>customer_payment</t>
        </is>
      </c>
      <c r="I3484" t="inlineStr"/>
      <c r="J3484" t="inlineStr">
        <is>
          <t>G00065</t>
        </is>
      </c>
      <c r="K3484" t="str">
        <f>INDEX('Match Groups'!$D$5:$D$1326,MATCH(J3484,'Match Groups'!$A$5:$A$1326,0))</f>
        <v>STRIPE-FEE</v>
      </c>
    </row>
    <row r="3485">
      <c r="A3485" t="inlineStr">
        <is>
          <t>JI-01296</t>
        </is>
      </c>
      <c r="B3485" t="inlineStr">
        <is>
          <t>OPS</t>
        </is>
      </c>
      <c r="C3485" s="5" t="n">
        <v>46274</v>
      </c>
      <c r="D3485" t="inlineStr">
        <is>
          <t>Redgum Plan Admin</t>
        </is>
      </c>
      <c r="E3485" t="inlineStr">
        <is>
          <t>INV/2026/02979</t>
        </is>
      </c>
      <c r="F3485" t="inlineStr">
        <is>
          <t>Customer payment INV/2026/02979</t>
        </is>
      </c>
      <c r="G3485" s="9" t="n">
        <v>145.49</v>
      </c>
      <c r="H3485" t="inlineStr">
        <is>
          <t>customer_payment</t>
        </is>
      </c>
      <c r="I3485" t="inlineStr"/>
      <c r="J3485" t="inlineStr">
        <is>
          <t>G00411</t>
        </is>
      </c>
      <c r="K3485" t="str">
        <f>INDEX('Match Groups'!$D$5:$D$1326,MATCH(J3485,'Match Groups'!$A$5:$A$1326,0))</f>
        <v>MATCH</v>
      </c>
    </row>
    <row r="3486">
      <c r="A3486" t="inlineStr">
        <is>
          <t>JI-01297</t>
        </is>
      </c>
      <c r="B3486" t="inlineStr">
        <is>
          <t>OPS</t>
        </is>
      </c>
      <c r="C3486" s="5" t="n">
        <v>46274</v>
      </c>
      <c r="D3486" t="inlineStr">
        <is>
          <t>Redgum Plan Admin</t>
        </is>
      </c>
      <c r="E3486" t="inlineStr">
        <is>
          <t>INV/2026/02980</t>
        </is>
      </c>
      <c r="F3486" t="inlineStr">
        <is>
          <t>Customer payment INV/2026/02980</t>
        </is>
      </c>
      <c r="G3486" s="9" t="n">
        <v>145.49</v>
      </c>
      <c r="H3486" t="inlineStr">
        <is>
          <t>customer_payment</t>
        </is>
      </c>
      <c r="I3486" t="inlineStr"/>
      <c r="J3486" t="inlineStr">
        <is>
          <t>G00411</t>
        </is>
      </c>
      <c r="K3486" t="str">
        <f>INDEX('Match Groups'!$D$5:$D$1326,MATCH(J3486,'Match Groups'!$A$5:$A$1326,0))</f>
        <v>MATCH</v>
      </c>
    </row>
    <row r="3487">
      <c r="A3487" t="inlineStr">
        <is>
          <t>JI-01301</t>
        </is>
      </c>
      <c r="B3487" t="inlineStr">
        <is>
          <t>OPS</t>
        </is>
      </c>
      <c r="C3487" s="5" t="n">
        <v>46274</v>
      </c>
      <c r="D3487" t="inlineStr">
        <is>
          <t>Lyrebird Plan Management</t>
        </is>
      </c>
      <c r="E3487" t="inlineStr">
        <is>
          <t>INV/2026/02919</t>
        </is>
      </c>
      <c r="F3487" t="inlineStr">
        <is>
          <t>Customer payment INV/2026/02919</t>
        </is>
      </c>
      <c r="G3487" s="9" t="n">
        <v>203.69</v>
      </c>
      <c r="H3487" t="inlineStr">
        <is>
          <t>customer_payment</t>
        </is>
      </c>
      <c r="I3487" t="inlineStr"/>
      <c r="J3487" t="inlineStr">
        <is>
          <t>G00413</t>
        </is>
      </c>
      <c r="K3487" t="str">
        <f>INDEX('Match Groups'!$D$5:$D$1326,MATCH(J3487,'Match Groups'!$A$5:$A$1326,0))</f>
        <v>MATCH</v>
      </c>
    </row>
    <row r="3488">
      <c r="A3488" t="inlineStr">
        <is>
          <t>JI-01302</t>
        </is>
      </c>
      <c r="B3488" t="inlineStr">
        <is>
          <t>OPS</t>
        </is>
      </c>
      <c r="C3488" s="5" t="n">
        <v>46274</v>
      </c>
      <c r="D3488" t="inlineStr">
        <is>
          <t>Lyrebird Plan Management</t>
        </is>
      </c>
      <c r="E3488" t="inlineStr">
        <is>
          <t>INV/2026/02965</t>
        </is>
      </c>
      <c r="F3488" t="inlineStr">
        <is>
          <t>Customer payment INV/2026/02965</t>
        </is>
      </c>
      <c r="G3488" s="9" t="n">
        <v>387.98</v>
      </c>
      <c r="H3488" t="inlineStr">
        <is>
          <t>customer_payment</t>
        </is>
      </c>
      <c r="I3488" t="inlineStr"/>
      <c r="J3488" t="inlineStr">
        <is>
          <t>G00413</t>
        </is>
      </c>
      <c r="K3488" t="str">
        <f>INDEX('Match Groups'!$D$5:$D$1326,MATCH(J3488,'Match Groups'!$A$5:$A$1326,0))</f>
        <v>MATCH</v>
      </c>
    </row>
    <row r="3489">
      <c r="A3489" t="inlineStr">
        <is>
          <t>JI-01303</t>
        </is>
      </c>
      <c r="B3489" t="inlineStr">
        <is>
          <t>OPS</t>
        </is>
      </c>
      <c r="C3489" s="5" t="n">
        <v>46274</v>
      </c>
      <c r="D3489" t="inlineStr">
        <is>
          <t>Lyrebird Plan Management</t>
        </is>
      </c>
      <c r="E3489" t="inlineStr">
        <is>
          <t>INV/2026/02982</t>
        </is>
      </c>
      <c r="F3489" t="inlineStr">
        <is>
          <t>Customer payment INV/2026/02982</t>
        </is>
      </c>
      <c r="G3489" s="9" t="n">
        <v>242.49</v>
      </c>
      <c r="H3489" t="inlineStr">
        <is>
          <t>customer_payment</t>
        </is>
      </c>
      <c r="I3489" t="inlineStr"/>
      <c r="J3489" t="inlineStr">
        <is>
          <t>G00413</t>
        </is>
      </c>
      <c r="K3489" t="str">
        <f>INDEX('Match Groups'!$D$5:$D$1326,MATCH(J3489,'Match Groups'!$A$5:$A$1326,0))</f>
        <v>MATCH</v>
      </c>
    </row>
    <row r="3490">
      <c r="A3490" t="inlineStr">
        <is>
          <t>JI-01304</t>
        </is>
      </c>
      <c r="B3490" t="inlineStr">
        <is>
          <t>OPS</t>
        </is>
      </c>
      <c r="C3490" s="5" t="n">
        <v>46274</v>
      </c>
      <c r="D3490" t="inlineStr">
        <is>
          <t>Lyrebird Plan Management</t>
        </is>
      </c>
      <c r="E3490" t="inlineStr">
        <is>
          <t>INV/2026/02983</t>
        </is>
      </c>
      <c r="F3490" t="inlineStr">
        <is>
          <t>Customer payment INV/2026/02983</t>
        </is>
      </c>
      <c r="G3490" s="9" t="n">
        <v>193.99</v>
      </c>
      <c r="H3490" t="inlineStr">
        <is>
          <t>customer_payment</t>
        </is>
      </c>
      <c r="I3490" t="inlineStr"/>
      <c r="J3490" t="inlineStr">
        <is>
          <t>G00413</t>
        </is>
      </c>
      <c r="K3490" t="str">
        <f>INDEX('Match Groups'!$D$5:$D$1326,MATCH(J3490,'Match Groups'!$A$5:$A$1326,0))</f>
        <v>MATCH</v>
      </c>
    </row>
    <row r="3491">
      <c r="A3491" t="inlineStr">
        <is>
          <t>JI-01305</t>
        </is>
      </c>
      <c r="B3491" t="inlineStr">
        <is>
          <t>OPS</t>
        </is>
      </c>
      <c r="C3491" s="5" t="n">
        <v>46274</v>
      </c>
      <c r="D3491" t="inlineStr">
        <is>
          <t>Mallee Plan Services</t>
        </is>
      </c>
      <c r="E3491" t="inlineStr">
        <is>
          <t>INV/2026/02924</t>
        </is>
      </c>
      <c r="F3491" t="inlineStr">
        <is>
          <t>Customer payment INV/2026/02924</t>
        </is>
      </c>
      <c r="G3491" s="9" t="n">
        <v>387.98</v>
      </c>
      <c r="H3491" t="inlineStr">
        <is>
          <t>customer_payment</t>
        </is>
      </c>
      <c r="I3491" t="inlineStr"/>
      <c r="J3491" t="inlineStr">
        <is>
          <t>G00414</t>
        </is>
      </c>
      <c r="K3491" t="str">
        <f>INDEX('Match Groups'!$D$5:$D$1326,MATCH(J3491,'Match Groups'!$A$5:$A$1326,0))</f>
        <v>MATCH</v>
      </c>
    </row>
    <row r="3492">
      <c r="A3492" t="inlineStr">
        <is>
          <t>JI-01306</t>
        </is>
      </c>
      <c r="B3492" t="inlineStr">
        <is>
          <t>OPS</t>
        </is>
      </c>
      <c r="C3492" s="5" t="n">
        <v>46274</v>
      </c>
      <c r="D3492" t="inlineStr">
        <is>
          <t>Mallee Plan Services</t>
        </is>
      </c>
      <c r="E3492" t="inlineStr">
        <is>
          <t>INV/2026/02986</t>
        </is>
      </c>
      <c r="F3492" t="inlineStr">
        <is>
          <t>Customer payment INV/2026/02986</t>
        </is>
      </c>
      <c r="G3492" s="9" t="n">
        <v>387.98</v>
      </c>
      <c r="H3492" t="inlineStr">
        <is>
          <t>customer_payment</t>
        </is>
      </c>
      <c r="I3492" t="inlineStr"/>
      <c r="J3492" t="inlineStr">
        <is>
          <t>G00414</t>
        </is>
      </c>
      <c r="K3492" t="str">
        <f>INDEX('Match Groups'!$D$5:$D$1326,MATCH(J3492,'Match Groups'!$A$5:$A$1326,0))</f>
        <v>MATCH</v>
      </c>
    </row>
    <row r="3493">
      <c r="A3493" t="inlineStr">
        <is>
          <t>JI-01307</t>
        </is>
      </c>
      <c r="B3493" t="inlineStr">
        <is>
          <t>OPS</t>
        </is>
      </c>
      <c r="C3493" s="5" t="n">
        <v>46274</v>
      </c>
      <c r="D3493" t="inlineStr">
        <is>
          <t>Clearpath NDIS Plans</t>
        </is>
      </c>
      <c r="E3493" t="inlineStr">
        <is>
          <t>INV/2026/02906</t>
        </is>
      </c>
      <c r="F3493" t="inlineStr">
        <is>
          <t>Customer payment INV/2026/02906</t>
        </is>
      </c>
      <c r="G3493" s="9" t="n">
        <v>320.98</v>
      </c>
      <c r="H3493" t="inlineStr">
        <is>
          <t>customer_payment</t>
        </is>
      </c>
      <c r="I3493" t="inlineStr"/>
      <c r="J3493" t="inlineStr">
        <is>
          <t>G00415</t>
        </is>
      </c>
      <c r="K3493" t="str">
        <f>INDEX('Match Groups'!$D$5:$D$1326,MATCH(J3493,'Match Groups'!$A$5:$A$1326,0))</f>
        <v>MATCH</v>
      </c>
    </row>
    <row r="3494">
      <c r="A3494" t="inlineStr">
        <is>
          <t>JI-01308</t>
        </is>
      </c>
      <c r="B3494" t="inlineStr">
        <is>
          <t>OPS</t>
        </is>
      </c>
      <c r="C3494" s="5" t="n">
        <v>46274</v>
      </c>
      <c r="D3494" t="inlineStr">
        <is>
          <t>Clearpath NDIS Plans</t>
        </is>
      </c>
      <c r="E3494" t="inlineStr">
        <is>
          <t>INV/2026/02907</t>
        </is>
      </c>
      <c r="F3494" t="inlineStr">
        <is>
          <t>Customer payment INV/2026/02907</t>
        </is>
      </c>
      <c r="G3494" s="9" t="n">
        <v>446.18</v>
      </c>
      <c r="H3494" t="inlineStr">
        <is>
          <t>customer_payment</t>
        </is>
      </c>
      <c r="I3494" t="inlineStr"/>
      <c r="J3494" t="inlineStr">
        <is>
          <t>G00415</t>
        </is>
      </c>
      <c r="K3494" t="str">
        <f>INDEX('Match Groups'!$D$5:$D$1326,MATCH(J3494,'Match Groups'!$A$5:$A$1326,0))</f>
        <v>MATCH</v>
      </c>
    </row>
    <row r="3495">
      <c r="A3495" t="inlineStr">
        <is>
          <t>JI-01309</t>
        </is>
      </c>
      <c r="B3495" t="inlineStr">
        <is>
          <t>OPS</t>
        </is>
      </c>
      <c r="C3495" s="5" t="n">
        <v>46274</v>
      </c>
      <c r="D3495" t="inlineStr">
        <is>
          <t>Clearpath NDIS Plans</t>
        </is>
      </c>
      <c r="E3495" t="inlineStr">
        <is>
          <t>INV/2026/02932</t>
        </is>
      </c>
      <c r="F3495" t="inlineStr">
        <is>
          <t>Customer payment INV/2026/02932</t>
        </is>
      </c>
      <c r="G3495" s="9" t="n">
        <v>145.49</v>
      </c>
      <c r="H3495" t="inlineStr">
        <is>
          <t>customer_payment</t>
        </is>
      </c>
      <c r="I3495" t="inlineStr"/>
      <c r="J3495" t="inlineStr">
        <is>
          <t>G00415</t>
        </is>
      </c>
      <c r="K3495" t="str">
        <f>INDEX('Match Groups'!$D$5:$D$1326,MATCH(J3495,'Match Groups'!$A$5:$A$1326,0))</f>
        <v>MATCH</v>
      </c>
    </row>
    <row r="3496">
      <c r="A3496" t="inlineStr">
        <is>
          <t>JI-01310</t>
        </is>
      </c>
      <c r="B3496" t="inlineStr">
        <is>
          <t>OPS</t>
        </is>
      </c>
      <c r="C3496" s="5" t="n">
        <v>46274</v>
      </c>
      <c r="D3496" t="inlineStr">
        <is>
          <t>Clearpath NDIS Plans</t>
        </is>
      </c>
      <c r="E3496" t="inlineStr">
        <is>
          <t>INV/2026/02970</t>
        </is>
      </c>
      <c r="F3496" t="inlineStr">
        <is>
          <t>Customer payment INV/2026/02970</t>
        </is>
      </c>
      <c r="G3496" s="9" t="n">
        <v>145.49</v>
      </c>
      <c r="H3496" t="inlineStr">
        <is>
          <t>customer_payment</t>
        </is>
      </c>
      <c r="I3496" t="inlineStr"/>
      <c r="J3496" t="inlineStr">
        <is>
          <t>G00415</t>
        </is>
      </c>
      <c r="K3496" t="str">
        <f>INDEX('Match Groups'!$D$5:$D$1326,MATCH(J3496,'Match Groups'!$A$5:$A$1326,0))</f>
        <v>MATCH</v>
      </c>
    </row>
    <row r="3497">
      <c r="A3497" t="inlineStr">
        <is>
          <t>JI-01549</t>
        </is>
      </c>
      <c r="B3497" t="inlineStr">
        <is>
          <t>OPS</t>
        </is>
      </c>
      <c r="C3497" s="5" t="n">
        <v>46274</v>
      </c>
      <c r="D3497" t="inlineStr">
        <is>
          <t>Harbour Mutual Health</t>
        </is>
      </c>
      <c r="E3497" t="inlineStr">
        <is>
          <t>INV/2026/02752</t>
        </is>
      </c>
      <c r="F3497" t="inlineStr">
        <is>
          <t>Customer payment INV/2026/02752</t>
        </is>
      </c>
      <c r="G3497" s="9" t="n">
        <v>88</v>
      </c>
      <c r="H3497" t="inlineStr">
        <is>
          <t>customer_payment</t>
        </is>
      </c>
      <c r="I3497" t="inlineStr"/>
      <c r="J3497" t="inlineStr">
        <is>
          <t>G01051</t>
        </is>
      </c>
      <c r="K3497" t="str">
        <f>INDEX('Match Groups'!$D$5:$D$1326,MATCH(J3497,'Match Groups'!$A$5:$A$1326,0))</f>
        <v>MATCH</v>
      </c>
    </row>
    <row r="3498">
      <c r="A3498" t="inlineStr">
        <is>
          <t>JI-01568</t>
        </is>
      </c>
      <c r="B3498" t="inlineStr">
        <is>
          <t>OPS</t>
        </is>
      </c>
      <c r="C3498" s="5" t="n">
        <v>46274</v>
      </c>
      <c r="D3498" t="inlineStr">
        <is>
          <t>Coastline Health Fund</t>
        </is>
      </c>
      <c r="E3498" t="inlineStr">
        <is>
          <t>INV/2026/02819</t>
        </is>
      </c>
      <c r="F3498" t="inlineStr">
        <is>
          <t>Customer payment INV/2026/02819</t>
        </is>
      </c>
      <c r="G3498" s="9" t="n">
        <v>264</v>
      </c>
      <c r="H3498" t="inlineStr">
        <is>
          <t>customer_payment</t>
        </is>
      </c>
      <c r="I3498" t="inlineStr"/>
      <c r="J3498" t="inlineStr">
        <is>
          <t>G01053</t>
        </is>
      </c>
      <c r="K3498" t="str">
        <f>INDEX('Match Groups'!$D$5:$D$1326,MATCH(J3498,'Match Groups'!$A$5:$A$1326,0))</f>
        <v>MATCH</v>
      </c>
    </row>
    <row r="3499">
      <c r="A3499" t="inlineStr">
        <is>
          <t>JI-01584</t>
        </is>
      </c>
      <c r="B3499" t="inlineStr">
        <is>
          <t>OPS</t>
        </is>
      </c>
      <c r="C3499" s="5" t="n">
        <v>46274</v>
      </c>
      <c r="D3499" t="inlineStr">
        <is>
          <t>Unity Workcover Agents</t>
        </is>
      </c>
      <c r="E3499" t="inlineStr">
        <is>
          <t>INV/2026/02864</t>
        </is>
      </c>
      <c r="F3499" t="inlineStr">
        <is>
          <t>Customer payment INV/2026/02864</t>
        </is>
      </c>
      <c r="G3499" s="9" t="n">
        <v>990</v>
      </c>
      <c r="H3499" t="inlineStr">
        <is>
          <t>customer_payment</t>
        </is>
      </c>
      <c r="I3499" t="inlineStr"/>
      <c r="J3499" t="inlineStr">
        <is>
          <t>G01050</t>
        </is>
      </c>
      <c r="K3499" t="str">
        <f>INDEX('Match Groups'!$D$5:$D$1326,MATCH(J3499,'Match Groups'!$A$5:$A$1326,0))</f>
        <v>MATCH</v>
      </c>
    </row>
    <row r="3500">
      <c r="A3500" t="inlineStr">
        <is>
          <t>JI-01625</t>
        </is>
      </c>
      <c r="B3500" t="inlineStr">
        <is>
          <t>OPS</t>
        </is>
      </c>
      <c r="C3500" s="5" t="n">
        <v>46274</v>
      </c>
      <c r="D3500" t="inlineStr">
        <is>
          <t>Meridian Health Cover</t>
        </is>
      </c>
      <c r="E3500" t="inlineStr">
        <is>
          <t>INV/2026/02776</t>
        </is>
      </c>
      <c r="F3500" t="inlineStr">
        <is>
          <t>Customer payment INV/2026/02776</t>
        </is>
      </c>
      <c r="G3500" s="9" t="n">
        <v>264</v>
      </c>
      <c r="H3500" t="inlineStr">
        <is>
          <t>customer_payment</t>
        </is>
      </c>
      <c r="I3500" t="inlineStr"/>
      <c r="J3500" t="inlineStr">
        <is>
          <t>G01054</t>
        </is>
      </c>
      <c r="K3500" t="str">
        <f>INDEX('Match Groups'!$D$5:$D$1326,MATCH(J3500,'Match Groups'!$A$5:$A$1326,0))</f>
        <v>MATCH</v>
      </c>
    </row>
    <row r="3501">
      <c r="A3501" t="inlineStr">
        <is>
          <t>JI-01650</t>
        </is>
      </c>
      <c r="B3501" t="inlineStr">
        <is>
          <t>OPS</t>
        </is>
      </c>
      <c r="C3501" s="5" t="n">
        <v>46274</v>
      </c>
      <c r="D3501" t="inlineStr">
        <is>
          <t>Varga &amp; Holt Logistics</t>
        </is>
      </c>
      <c r="E3501" t="inlineStr">
        <is>
          <t>INV/2026/03514</t>
        </is>
      </c>
      <c r="F3501" t="inlineStr">
        <is>
          <t>Customer payment INV/2026/03514</t>
        </is>
      </c>
      <c r="G3501" s="9" t="n">
        <v>3465</v>
      </c>
      <c r="H3501" t="inlineStr">
        <is>
          <t>customer_payment</t>
        </is>
      </c>
      <c r="I3501" t="inlineStr"/>
      <c r="J3501" t="inlineStr">
        <is>
          <t>G01055</t>
        </is>
      </c>
      <c r="K3501" t="str">
        <f>INDEX('Match Groups'!$D$5:$D$1326,MATCH(J3501,'Match Groups'!$A$5:$A$1326,0))</f>
        <v>MATCH</v>
      </c>
    </row>
    <row r="3502">
      <c r="A3502" t="inlineStr">
        <is>
          <t>JI-01751</t>
        </is>
      </c>
      <c r="B3502" t="inlineStr">
        <is>
          <t>OPS</t>
        </is>
      </c>
      <c r="C3502" s="5" t="n">
        <v>46274</v>
      </c>
      <c r="D3502" t="inlineStr">
        <is>
          <t>Mornane Electrical</t>
        </is>
      </c>
      <c r="E3502" t="inlineStr">
        <is>
          <t>INV/2026/03505</t>
        </is>
      </c>
      <c r="F3502" t="inlineStr">
        <is>
          <t>Customer payment INV/2026/03505</t>
        </is>
      </c>
      <c r="G3502" s="9" t="n">
        <v>5280</v>
      </c>
      <c r="H3502" t="inlineStr">
        <is>
          <t>customer_payment</t>
        </is>
      </c>
      <c r="I3502" t="inlineStr"/>
      <c r="J3502" t="inlineStr">
        <is>
          <t>G01058</t>
        </is>
      </c>
      <c r="K3502" t="str">
        <f>INDEX('Match Groups'!$D$5:$D$1326,MATCH(J3502,'Match Groups'!$A$5:$A$1326,0))</f>
        <v>MATCH</v>
      </c>
    </row>
    <row r="3503">
      <c r="A3503" t="inlineStr">
        <is>
          <t>JI-03236</t>
        </is>
      </c>
      <c r="B3503" t="inlineStr">
        <is>
          <t>OPS</t>
        </is>
      </c>
      <c r="C3503" s="5" t="n">
        <v>46274</v>
      </c>
      <c r="D3503" t="inlineStr">
        <is>
          <t>Stripe patient 35811</t>
        </is>
      </c>
      <c r="E3503" t="inlineStr">
        <is>
          <t>INV/2026/05064</t>
        </is>
      </c>
      <c r="F3503" t="inlineStr">
        <is>
          <t>Refund INV/2026/05064</t>
        </is>
      </c>
      <c r="G3503" s="9" t="n">
        <v>-120</v>
      </c>
      <c r="H3503" t="inlineStr">
        <is>
          <t>customer_refund</t>
        </is>
      </c>
      <c r="I3503" t="inlineStr"/>
      <c r="J3503" t="inlineStr">
        <is>
          <t>G00064</t>
        </is>
      </c>
      <c r="K3503" t="str">
        <f>INDEX('Match Groups'!$D$5:$D$1326,MATCH(J3503,'Match Groups'!$A$5:$A$1326,0))</f>
        <v>STRIPE-FEE</v>
      </c>
    </row>
    <row r="3504">
      <c r="A3504" t="inlineStr">
        <is>
          <t>JI-03257</t>
        </is>
      </c>
      <c r="B3504" t="inlineStr">
        <is>
          <t>OPS</t>
        </is>
      </c>
      <c r="C3504" s="5" t="n">
        <v>46274</v>
      </c>
      <c r="D3504" t="inlineStr">
        <is>
          <t>Stripe patient 26322</t>
        </is>
      </c>
      <c r="E3504" t="inlineStr">
        <is>
          <t>INV/2026/05098</t>
        </is>
      </c>
      <c r="F3504" t="inlineStr">
        <is>
          <t>Customer payment INV/2026/05098</t>
        </is>
      </c>
      <c r="G3504" s="9" t="n">
        <v>85</v>
      </c>
      <c r="H3504" t="inlineStr">
        <is>
          <t>customer_payment</t>
        </is>
      </c>
      <c r="I3504" t="inlineStr"/>
      <c r="J3504" t="inlineStr">
        <is>
          <t>G00066</t>
        </is>
      </c>
      <c r="K3504" t="str">
        <f>INDEX('Match Groups'!$D$5:$D$1326,MATCH(J3504,'Match Groups'!$A$5:$A$1326,0))</f>
        <v>STRIPE-FEE</v>
      </c>
    </row>
    <row r="3505">
      <c r="A3505" t="inlineStr">
        <is>
          <t>JI-03258</t>
        </is>
      </c>
      <c r="B3505" t="inlineStr">
        <is>
          <t>OPS</t>
        </is>
      </c>
      <c r="C3505" s="5" t="n">
        <v>46274</v>
      </c>
      <c r="D3505" t="inlineStr">
        <is>
          <t>Stripe patient 93023</t>
        </is>
      </c>
      <c r="E3505" t="inlineStr">
        <is>
          <t>INV/2026/05099</t>
        </is>
      </c>
      <c r="F3505" t="inlineStr">
        <is>
          <t>Customer payment INV/2026/05099</t>
        </is>
      </c>
      <c r="G3505" s="9" t="n">
        <v>85</v>
      </c>
      <c r="H3505" t="inlineStr">
        <is>
          <t>customer_payment</t>
        </is>
      </c>
      <c r="I3505" t="inlineStr"/>
      <c r="J3505" t="inlineStr">
        <is>
          <t>G00066</t>
        </is>
      </c>
      <c r="K3505" t="str">
        <f>INDEX('Match Groups'!$D$5:$D$1326,MATCH(J3505,'Match Groups'!$A$5:$A$1326,0))</f>
        <v>STRIPE-FEE</v>
      </c>
    </row>
    <row r="3506">
      <c r="A3506" t="inlineStr">
        <is>
          <t>JI-03259</t>
        </is>
      </c>
      <c r="B3506" t="inlineStr">
        <is>
          <t>OPS</t>
        </is>
      </c>
      <c r="C3506" s="5" t="n">
        <v>46274</v>
      </c>
      <c r="D3506" t="inlineStr">
        <is>
          <t>Stripe patient 19495</t>
        </is>
      </c>
      <c r="E3506" t="inlineStr">
        <is>
          <t>INV/2026/05100</t>
        </is>
      </c>
      <c r="F3506" t="inlineStr">
        <is>
          <t>Customer payment INV/2026/05100</t>
        </is>
      </c>
      <c r="G3506" s="9" t="n">
        <v>110</v>
      </c>
      <c r="H3506" t="inlineStr">
        <is>
          <t>customer_payment</t>
        </is>
      </c>
      <c r="I3506" t="inlineStr"/>
      <c r="J3506" t="inlineStr">
        <is>
          <t>G00066</t>
        </is>
      </c>
      <c r="K3506" t="str">
        <f>INDEX('Match Groups'!$D$5:$D$1326,MATCH(J3506,'Match Groups'!$A$5:$A$1326,0))</f>
        <v>STRIPE-FEE</v>
      </c>
    </row>
    <row r="3507">
      <c r="A3507" t="inlineStr">
        <is>
          <t>JI-03260</t>
        </is>
      </c>
      <c r="B3507" t="inlineStr">
        <is>
          <t>OPS</t>
        </is>
      </c>
      <c r="C3507" s="5" t="n">
        <v>46274</v>
      </c>
      <c r="D3507" t="inlineStr">
        <is>
          <t>Stripe patient 60484</t>
        </is>
      </c>
      <c r="E3507" t="inlineStr">
        <is>
          <t>INV/2026/05101</t>
        </is>
      </c>
      <c r="F3507" t="inlineStr">
        <is>
          <t>Customer payment INV/2026/05101</t>
        </is>
      </c>
      <c r="G3507" s="9" t="n">
        <v>135</v>
      </c>
      <c r="H3507" t="inlineStr">
        <is>
          <t>customer_payment</t>
        </is>
      </c>
      <c r="I3507" t="inlineStr"/>
      <c r="J3507" t="inlineStr">
        <is>
          <t>G00066</t>
        </is>
      </c>
      <c r="K3507" t="str">
        <f>INDEX('Match Groups'!$D$5:$D$1326,MATCH(J3507,'Match Groups'!$A$5:$A$1326,0))</f>
        <v>STRIPE-FEE</v>
      </c>
    </row>
    <row r="3508">
      <c r="A3508" t="inlineStr">
        <is>
          <t>JI-03261</t>
        </is>
      </c>
      <c r="B3508" t="inlineStr">
        <is>
          <t>OPS</t>
        </is>
      </c>
      <c r="C3508" s="5" t="n">
        <v>46274</v>
      </c>
      <c r="D3508" t="inlineStr">
        <is>
          <t>Stripe patient 87008</t>
        </is>
      </c>
      <c r="E3508" t="inlineStr">
        <is>
          <t>INV/2026/05102</t>
        </is>
      </c>
      <c r="F3508" t="inlineStr">
        <is>
          <t>Customer payment INV/2026/05102</t>
        </is>
      </c>
      <c r="G3508" s="9" t="n">
        <v>95</v>
      </c>
      <c r="H3508" t="inlineStr">
        <is>
          <t>customer_payment</t>
        </is>
      </c>
      <c r="I3508" t="inlineStr"/>
      <c r="J3508" t="inlineStr">
        <is>
          <t>G00066</t>
        </is>
      </c>
      <c r="K3508" t="str">
        <f>INDEX('Match Groups'!$D$5:$D$1326,MATCH(J3508,'Match Groups'!$A$5:$A$1326,0))</f>
        <v>STRIPE-FEE</v>
      </c>
    </row>
    <row r="3509">
      <c r="A3509" t="inlineStr">
        <is>
          <t>JI-03262</t>
        </is>
      </c>
      <c r="B3509" t="inlineStr">
        <is>
          <t>OPS</t>
        </is>
      </c>
      <c r="C3509" s="5" t="n">
        <v>46274</v>
      </c>
      <c r="D3509" t="inlineStr">
        <is>
          <t>Stripe patient 15362</t>
        </is>
      </c>
      <c r="E3509" t="inlineStr">
        <is>
          <t>INV/2026/05103</t>
        </is>
      </c>
      <c r="F3509" t="inlineStr">
        <is>
          <t>Customer payment INV/2026/05103</t>
        </is>
      </c>
      <c r="G3509" s="9" t="n">
        <v>65</v>
      </c>
      <c r="H3509" t="inlineStr">
        <is>
          <t>customer_payment</t>
        </is>
      </c>
      <c r="I3509" t="inlineStr"/>
      <c r="J3509" t="inlineStr">
        <is>
          <t>G00066</t>
        </is>
      </c>
      <c r="K3509" t="str">
        <f>INDEX('Match Groups'!$D$5:$D$1326,MATCH(J3509,'Match Groups'!$A$5:$A$1326,0))</f>
        <v>STRIPE-FEE</v>
      </c>
    </row>
    <row r="3510">
      <c r="A3510" t="inlineStr">
        <is>
          <t>JI-03263</t>
        </is>
      </c>
      <c r="B3510" t="inlineStr">
        <is>
          <t>OPS</t>
        </is>
      </c>
      <c r="C3510" s="5" t="n">
        <v>46274</v>
      </c>
      <c r="D3510" t="inlineStr">
        <is>
          <t>Stripe patient 11033</t>
        </is>
      </c>
      <c r="E3510" t="inlineStr">
        <is>
          <t>INV/2026/05104</t>
        </is>
      </c>
      <c r="F3510" t="inlineStr">
        <is>
          <t>Customer payment INV/2026/05104</t>
        </is>
      </c>
      <c r="G3510" s="9" t="n">
        <v>180</v>
      </c>
      <c r="H3510" t="inlineStr">
        <is>
          <t>customer_payment</t>
        </is>
      </c>
      <c r="I3510" t="inlineStr"/>
      <c r="J3510" t="inlineStr">
        <is>
          <t>G00066</t>
        </is>
      </c>
      <c r="K3510" t="str">
        <f>INDEX('Match Groups'!$D$5:$D$1326,MATCH(J3510,'Match Groups'!$A$5:$A$1326,0))</f>
        <v>STRIPE-FEE</v>
      </c>
    </row>
    <row r="3511">
      <c r="A3511" t="inlineStr">
        <is>
          <t>JI-03264</t>
        </is>
      </c>
      <c r="B3511" t="inlineStr">
        <is>
          <t>OPS</t>
        </is>
      </c>
      <c r="C3511" s="5" t="n">
        <v>46274</v>
      </c>
      <c r="D3511" t="inlineStr">
        <is>
          <t>Stripe patient 52307</t>
        </is>
      </c>
      <c r="E3511" t="inlineStr">
        <is>
          <t>INV/2026/05105</t>
        </is>
      </c>
      <c r="F3511" t="inlineStr">
        <is>
          <t>Customer payment INV/2026/05105</t>
        </is>
      </c>
      <c r="G3511" s="9" t="n">
        <v>120</v>
      </c>
      <c r="H3511" t="inlineStr">
        <is>
          <t>customer_payment</t>
        </is>
      </c>
      <c r="I3511" t="inlineStr"/>
      <c r="J3511" t="inlineStr">
        <is>
          <t>G00066</t>
        </is>
      </c>
      <c r="K3511" t="str">
        <f>INDEX('Match Groups'!$D$5:$D$1326,MATCH(J3511,'Match Groups'!$A$5:$A$1326,0))</f>
        <v>STRIPE-FEE</v>
      </c>
    </row>
    <row r="3512">
      <c r="A3512" t="inlineStr">
        <is>
          <t>JI-03265</t>
        </is>
      </c>
      <c r="B3512" t="inlineStr">
        <is>
          <t>OPS</t>
        </is>
      </c>
      <c r="C3512" s="5" t="n">
        <v>46274</v>
      </c>
      <c r="D3512" t="inlineStr">
        <is>
          <t>Stripe patient 77670</t>
        </is>
      </c>
      <c r="E3512" t="inlineStr">
        <is>
          <t>INV/2026/05106</t>
        </is>
      </c>
      <c r="F3512" t="inlineStr">
        <is>
          <t>Customer payment INV/2026/05106</t>
        </is>
      </c>
      <c r="G3512" s="9" t="n">
        <v>85</v>
      </c>
      <c r="H3512" t="inlineStr">
        <is>
          <t>customer_payment</t>
        </is>
      </c>
      <c r="I3512" t="inlineStr"/>
      <c r="J3512" t="inlineStr">
        <is>
          <t>G00066</t>
        </is>
      </c>
      <c r="K3512" t="str">
        <f>INDEX('Match Groups'!$D$5:$D$1326,MATCH(J3512,'Match Groups'!$A$5:$A$1326,0))</f>
        <v>STRIPE-FEE</v>
      </c>
    </row>
    <row r="3513">
      <c r="A3513" t="inlineStr">
        <is>
          <t>JI-03266</t>
        </is>
      </c>
      <c r="B3513" t="inlineStr">
        <is>
          <t>OPS</t>
        </is>
      </c>
      <c r="C3513" s="5" t="n">
        <v>46274</v>
      </c>
      <c r="D3513" t="inlineStr">
        <is>
          <t>Stripe patient 76119</t>
        </is>
      </c>
      <c r="E3513" t="inlineStr">
        <is>
          <t>INV/2026/05107</t>
        </is>
      </c>
      <c r="F3513" t="inlineStr">
        <is>
          <t>Customer payment INV/2026/05107</t>
        </is>
      </c>
      <c r="G3513" s="9" t="n">
        <v>120</v>
      </c>
      <c r="H3513" t="inlineStr">
        <is>
          <t>customer_payment</t>
        </is>
      </c>
      <c r="I3513" t="inlineStr"/>
      <c r="J3513" t="inlineStr">
        <is>
          <t>G00066</t>
        </is>
      </c>
      <c r="K3513" t="str">
        <f>INDEX('Match Groups'!$D$5:$D$1326,MATCH(J3513,'Match Groups'!$A$5:$A$1326,0))</f>
        <v>STRIPE-FEE</v>
      </c>
    </row>
    <row r="3514">
      <c r="A3514" t="inlineStr">
        <is>
          <t>JI-03267</t>
        </is>
      </c>
      <c r="B3514" t="inlineStr">
        <is>
          <t>OPS</t>
        </is>
      </c>
      <c r="C3514" s="5" t="n">
        <v>46274</v>
      </c>
      <c r="D3514" t="inlineStr">
        <is>
          <t>Stripe patient 91910</t>
        </is>
      </c>
      <c r="E3514" t="inlineStr">
        <is>
          <t>INV/2026/05108</t>
        </is>
      </c>
      <c r="F3514" t="inlineStr">
        <is>
          <t>Customer payment INV/2026/05108</t>
        </is>
      </c>
      <c r="G3514" s="9" t="n">
        <v>220</v>
      </c>
      <c r="H3514" t="inlineStr">
        <is>
          <t>customer_payment</t>
        </is>
      </c>
      <c r="I3514" t="inlineStr"/>
      <c r="J3514" t="inlineStr">
        <is>
          <t>G00066</t>
        </is>
      </c>
      <c r="K3514" t="str">
        <f>INDEX('Match Groups'!$D$5:$D$1326,MATCH(J3514,'Match Groups'!$A$5:$A$1326,0))</f>
        <v>STRIPE-FEE</v>
      </c>
    </row>
    <row r="3515">
      <c r="A3515" t="inlineStr">
        <is>
          <t>JI-03268</t>
        </is>
      </c>
      <c r="B3515" t="inlineStr">
        <is>
          <t>OPS</t>
        </is>
      </c>
      <c r="C3515" s="5" t="n">
        <v>46274</v>
      </c>
      <c r="D3515" t="inlineStr">
        <is>
          <t>Stripe patient 88756</t>
        </is>
      </c>
      <c r="E3515" t="inlineStr">
        <is>
          <t>INV/2026/05109</t>
        </is>
      </c>
      <c r="F3515" t="inlineStr">
        <is>
          <t>Customer payment INV/2026/05109</t>
        </is>
      </c>
      <c r="G3515" s="9" t="n">
        <v>150</v>
      </c>
      <c r="H3515" t="inlineStr">
        <is>
          <t>customer_payment</t>
        </is>
      </c>
      <c r="I3515" t="inlineStr"/>
      <c r="J3515" t="inlineStr">
        <is>
          <t>G00066</t>
        </is>
      </c>
      <c r="K3515" t="str">
        <f>INDEX('Match Groups'!$D$5:$D$1326,MATCH(J3515,'Match Groups'!$A$5:$A$1326,0))</f>
        <v>STRIPE-FEE</v>
      </c>
    </row>
    <row r="3516">
      <c r="A3516" t="inlineStr">
        <is>
          <t>JI-03269</t>
        </is>
      </c>
      <c r="B3516" t="inlineStr">
        <is>
          <t>OPS</t>
        </is>
      </c>
      <c r="C3516" s="5" t="n">
        <v>46274</v>
      </c>
      <c r="D3516" t="inlineStr">
        <is>
          <t>Stripe patient 97203</t>
        </is>
      </c>
      <c r="E3516" t="inlineStr">
        <is>
          <t>INV/2026/05110</t>
        </is>
      </c>
      <c r="F3516" t="inlineStr">
        <is>
          <t>Customer payment INV/2026/05110</t>
        </is>
      </c>
      <c r="G3516" s="9" t="n">
        <v>135</v>
      </c>
      <c r="H3516" t="inlineStr">
        <is>
          <t>customer_payment</t>
        </is>
      </c>
      <c r="I3516" t="inlineStr"/>
      <c r="J3516" t="inlineStr">
        <is>
          <t>G00066</t>
        </is>
      </c>
      <c r="K3516" t="str">
        <f>INDEX('Match Groups'!$D$5:$D$1326,MATCH(J3516,'Match Groups'!$A$5:$A$1326,0))</f>
        <v>STRIPE-FEE</v>
      </c>
    </row>
    <row r="3517">
      <c r="A3517" t="inlineStr">
        <is>
          <t>JI-03270</t>
        </is>
      </c>
      <c r="B3517" t="inlineStr">
        <is>
          <t>OPS</t>
        </is>
      </c>
      <c r="C3517" s="5" t="n">
        <v>46274</v>
      </c>
      <c r="D3517" t="inlineStr">
        <is>
          <t>Stripe patient 30777</t>
        </is>
      </c>
      <c r="E3517" t="inlineStr">
        <is>
          <t>INV/2026/05111</t>
        </is>
      </c>
      <c r="F3517" t="inlineStr">
        <is>
          <t>Customer payment INV/2026/05111</t>
        </is>
      </c>
      <c r="G3517" s="9" t="n">
        <v>110</v>
      </c>
      <c r="H3517" t="inlineStr">
        <is>
          <t>customer_payment</t>
        </is>
      </c>
      <c r="I3517" t="inlineStr"/>
      <c r="J3517" t="inlineStr">
        <is>
          <t>G00066</t>
        </is>
      </c>
      <c r="K3517" t="str">
        <f>INDEX('Match Groups'!$D$5:$D$1326,MATCH(J3517,'Match Groups'!$A$5:$A$1326,0))</f>
        <v>STRIPE-FEE</v>
      </c>
    </row>
    <row r="3518">
      <c r="A3518" t="inlineStr">
        <is>
          <t>JI-03271</t>
        </is>
      </c>
      <c r="B3518" t="inlineStr">
        <is>
          <t>OPS</t>
        </is>
      </c>
      <c r="C3518" s="5" t="n">
        <v>46274</v>
      </c>
      <c r="D3518" t="inlineStr">
        <is>
          <t>Stripe patient 89874</t>
        </is>
      </c>
      <c r="E3518" t="inlineStr">
        <is>
          <t>INV/2026/05112</t>
        </is>
      </c>
      <c r="F3518" t="inlineStr">
        <is>
          <t>Customer payment INV/2026/05112</t>
        </is>
      </c>
      <c r="G3518" s="9" t="n">
        <v>95</v>
      </c>
      <c r="H3518" t="inlineStr">
        <is>
          <t>customer_payment</t>
        </is>
      </c>
      <c r="I3518" t="inlineStr"/>
      <c r="J3518" t="inlineStr">
        <is>
          <t>G00066</t>
        </is>
      </c>
      <c r="K3518" t="str">
        <f>INDEX('Match Groups'!$D$5:$D$1326,MATCH(J3518,'Match Groups'!$A$5:$A$1326,0))</f>
        <v>STRIPE-FEE</v>
      </c>
    </row>
    <row r="3519">
      <c r="A3519" t="inlineStr">
        <is>
          <t>JI-03272</t>
        </is>
      </c>
      <c r="B3519" t="inlineStr">
        <is>
          <t>OPS</t>
        </is>
      </c>
      <c r="C3519" s="5" t="n">
        <v>46274</v>
      </c>
      <c r="D3519" t="inlineStr">
        <is>
          <t>Stripe patient 60306</t>
        </is>
      </c>
      <c r="E3519" t="inlineStr">
        <is>
          <t>INV/2026/05113</t>
        </is>
      </c>
      <c r="F3519" t="inlineStr">
        <is>
          <t>Customer payment INV/2026/05113</t>
        </is>
      </c>
      <c r="G3519" s="9" t="n">
        <v>95</v>
      </c>
      <c r="H3519" t="inlineStr">
        <is>
          <t>customer_payment</t>
        </is>
      </c>
      <c r="I3519" t="inlineStr"/>
      <c r="J3519" t="inlineStr">
        <is>
          <t>G00066</t>
        </is>
      </c>
      <c r="K3519" t="str">
        <f>INDEX('Match Groups'!$D$5:$D$1326,MATCH(J3519,'Match Groups'!$A$5:$A$1326,0))</f>
        <v>STRIPE-FEE</v>
      </c>
    </row>
    <row r="3520">
      <c r="A3520" t="inlineStr">
        <is>
          <t>JI-03273</t>
        </is>
      </c>
      <c r="B3520" t="inlineStr">
        <is>
          <t>OPS</t>
        </is>
      </c>
      <c r="C3520" s="5" t="n">
        <v>46274</v>
      </c>
      <c r="D3520" t="inlineStr">
        <is>
          <t>Stripe patient 94993</t>
        </is>
      </c>
      <c r="E3520" t="inlineStr">
        <is>
          <t>INV/2026/05114</t>
        </is>
      </c>
      <c r="F3520" t="inlineStr">
        <is>
          <t>Customer payment INV/2026/05114</t>
        </is>
      </c>
      <c r="G3520" s="9" t="n">
        <v>180</v>
      </c>
      <c r="H3520" t="inlineStr">
        <is>
          <t>customer_payment</t>
        </is>
      </c>
      <c r="I3520" t="inlineStr"/>
      <c r="J3520" t="inlineStr">
        <is>
          <t>G00066</t>
        </is>
      </c>
      <c r="K3520" t="str">
        <f>INDEX('Match Groups'!$D$5:$D$1326,MATCH(J3520,'Match Groups'!$A$5:$A$1326,0))</f>
        <v>STRIPE-FEE</v>
      </c>
    </row>
    <row r="3521">
      <c r="A3521" t="inlineStr">
        <is>
          <t>JI-03274</t>
        </is>
      </c>
      <c r="B3521" t="inlineStr">
        <is>
          <t>OPS</t>
        </is>
      </c>
      <c r="C3521" s="5" t="n">
        <v>46274</v>
      </c>
      <c r="D3521" t="inlineStr">
        <is>
          <t>Stripe patient 85906</t>
        </is>
      </c>
      <c r="E3521" t="inlineStr">
        <is>
          <t>INV/2026/05115</t>
        </is>
      </c>
      <c r="F3521" t="inlineStr">
        <is>
          <t>Customer payment INV/2026/05115</t>
        </is>
      </c>
      <c r="G3521" s="9" t="n">
        <v>150</v>
      </c>
      <c r="H3521" t="inlineStr">
        <is>
          <t>customer_payment</t>
        </is>
      </c>
      <c r="I3521" t="inlineStr"/>
      <c r="J3521" t="inlineStr">
        <is>
          <t>G00066</t>
        </is>
      </c>
      <c r="K3521" t="str">
        <f>INDEX('Match Groups'!$D$5:$D$1326,MATCH(J3521,'Match Groups'!$A$5:$A$1326,0))</f>
        <v>STRIPE-FEE</v>
      </c>
    </row>
    <row r="3522">
      <c r="A3522" t="inlineStr">
        <is>
          <t>JI-03275</t>
        </is>
      </c>
      <c r="B3522" t="inlineStr">
        <is>
          <t>OPS</t>
        </is>
      </c>
      <c r="C3522" s="5" t="n">
        <v>46274</v>
      </c>
      <c r="D3522" t="inlineStr">
        <is>
          <t>Stripe patient 32365</t>
        </is>
      </c>
      <c r="E3522" t="inlineStr">
        <is>
          <t>INV/2026/05116</t>
        </is>
      </c>
      <c r="F3522" t="inlineStr">
        <is>
          <t>Customer payment INV/2026/05116</t>
        </is>
      </c>
      <c r="G3522" s="9" t="n">
        <v>110</v>
      </c>
      <c r="H3522" t="inlineStr">
        <is>
          <t>customer_payment</t>
        </is>
      </c>
      <c r="I3522" t="inlineStr"/>
      <c r="J3522" t="inlineStr">
        <is>
          <t>G00066</t>
        </is>
      </c>
      <c r="K3522" t="str">
        <f>INDEX('Match Groups'!$D$5:$D$1326,MATCH(J3522,'Match Groups'!$A$5:$A$1326,0))</f>
        <v>STRIPE-FEE</v>
      </c>
    </row>
    <row r="3523">
      <c r="A3523" t="inlineStr">
        <is>
          <t>JI-03276</t>
        </is>
      </c>
      <c r="B3523" t="inlineStr">
        <is>
          <t>OPS</t>
        </is>
      </c>
      <c r="C3523" s="5" t="n">
        <v>46274</v>
      </c>
      <c r="D3523" t="inlineStr">
        <is>
          <t>Stripe patient 39053</t>
        </is>
      </c>
      <c r="E3523" t="inlineStr">
        <is>
          <t>INV/2026/05117</t>
        </is>
      </c>
      <c r="F3523" t="inlineStr">
        <is>
          <t>Customer payment INV/2026/05117</t>
        </is>
      </c>
      <c r="G3523" s="9" t="n">
        <v>85</v>
      </c>
      <c r="H3523" t="inlineStr">
        <is>
          <t>customer_payment</t>
        </is>
      </c>
      <c r="I3523" t="inlineStr"/>
      <c r="J3523" t="inlineStr">
        <is>
          <t>G00066</t>
        </is>
      </c>
      <c r="K3523" t="str">
        <f>INDEX('Match Groups'!$D$5:$D$1326,MATCH(J3523,'Match Groups'!$A$5:$A$1326,0))</f>
        <v>STRIPE-FEE</v>
      </c>
    </row>
    <row r="3524">
      <c r="A3524" t="inlineStr">
        <is>
          <t>JI-03277</t>
        </is>
      </c>
      <c r="B3524" t="inlineStr">
        <is>
          <t>OPS</t>
        </is>
      </c>
      <c r="C3524" s="5" t="n">
        <v>46274</v>
      </c>
      <c r="D3524" t="inlineStr">
        <is>
          <t>Stripe patient 85927</t>
        </is>
      </c>
      <c r="E3524" t="inlineStr">
        <is>
          <t>INV/2026/05118</t>
        </is>
      </c>
      <c r="F3524" t="inlineStr">
        <is>
          <t>Customer payment INV/2026/05118</t>
        </is>
      </c>
      <c r="G3524" s="9" t="n">
        <v>110</v>
      </c>
      <c r="H3524" t="inlineStr">
        <is>
          <t>customer_payment</t>
        </is>
      </c>
      <c r="I3524" t="inlineStr"/>
      <c r="J3524" t="inlineStr">
        <is>
          <t>G00066</t>
        </is>
      </c>
      <c r="K3524" t="str">
        <f>INDEX('Match Groups'!$D$5:$D$1326,MATCH(J3524,'Match Groups'!$A$5:$A$1326,0))</f>
        <v>STRIPE-FEE</v>
      </c>
    </row>
    <row r="3525">
      <c r="A3525" t="inlineStr">
        <is>
          <t>JI-03278</t>
        </is>
      </c>
      <c r="B3525" t="inlineStr">
        <is>
          <t>OPS</t>
        </is>
      </c>
      <c r="C3525" s="5" t="n">
        <v>46274</v>
      </c>
      <c r="D3525" t="inlineStr">
        <is>
          <t>Stripe patient 65314</t>
        </is>
      </c>
      <c r="E3525" t="inlineStr">
        <is>
          <t>INV/2026/05119</t>
        </is>
      </c>
      <c r="F3525" t="inlineStr">
        <is>
          <t>Customer payment INV/2026/05119</t>
        </is>
      </c>
      <c r="G3525" s="9" t="n">
        <v>65</v>
      </c>
      <c r="H3525" t="inlineStr">
        <is>
          <t>customer_payment</t>
        </is>
      </c>
      <c r="I3525" t="inlineStr"/>
      <c r="J3525" t="inlineStr">
        <is>
          <t>G00066</t>
        </is>
      </c>
      <c r="K3525" t="str">
        <f>INDEX('Match Groups'!$D$5:$D$1326,MATCH(J3525,'Match Groups'!$A$5:$A$1326,0))</f>
        <v>STRIPE-FEE</v>
      </c>
    </row>
    <row r="3526">
      <c r="A3526" t="inlineStr">
        <is>
          <t>JI-03279</t>
        </is>
      </c>
      <c r="B3526" t="inlineStr">
        <is>
          <t>OPS</t>
        </is>
      </c>
      <c r="C3526" s="5" t="n">
        <v>46274</v>
      </c>
      <c r="D3526" t="inlineStr">
        <is>
          <t>Stripe patient 74188</t>
        </is>
      </c>
      <c r="E3526" t="inlineStr">
        <is>
          <t>INV/2026/05120</t>
        </is>
      </c>
      <c r="F3526" t="inlineStr">
        <is>
          <t>Customer payment INV/2026/05120</t>
        </is>
      </c>
      <c r="G3526" s="9" t="n">
        <v>180</v>
      </c>
      <c r="H3526" t="inlineStr">
        <is>
          <t>customer_payment</t>
        </is>
      </c>
      <c r="I3526" t="inlineStr"/>
      <c r="J3526" t="inlineStr">
        <is>
          <t>G00066</t>
        </is>
      </c>
      <c r="K3526" t="str">
        <f>INDEX('Match Groups'!$D$5:$D$1326,MATCH(J3526,'Match Groups'!$A$5:$A$1326,0))</f>
        <v>STRIPE-FEE</v>
      </c>
    </row>
    <row r="3527">
      <c r="A3527" t="inlineStr">
        <is>
          <t>JI-03280</t>
        </is>
      </c>
      <c r="B3527" t="inlineStr">
        <is>
          <t>OPS</t>
        </is>
      </c>
      <c r="C3527" s="5" t="n">
        <v>46274</v>
      </c>
      <c r="D3527" t="inlineStr">
        <is>
          <t>Stripe patient 50230</t>
        </is>
      </c>
      <c r="E3527" t="inlineStr">
        <is>
          <t>INV/2026/05121</t>
        </is>
      </c>
      <c r="F3527" t="inlineStr">
        <is>
          <t>Customer payment INV/2026/05121</t>
        </is>
      </c>
      <c r="G3527" s="9" t="n">
        <v>135</v>
      </c>
      <c r="H3527" t="inlineStr">
        <is>
          <t>customer_payment</t>
        </is>
      </c>
      <c r="I3527" t="inlineStr"/>
      <c r="J3527" t="inlineStr">
        <is>
          <t>G00066</t>
        </is>
      </c>
      <c r="K3527" t="str">
        <f>INDEX('Match Groups'!$D$5:$D$1326,MATCH(J3527,'Match Groups'!$A$5:$A$1326,0))</f>
        <v>STRIPE-FEE</v>
      </c>
    </row>
    <row r="3528">
      <c r="A3528" t="inlineStr">
        <is>
          <t>JI-03281</t>
        </is>
      </c>
      <c r="B3528" t="inlineStr">
        <is>
          <t>OPS</t>
        </is>
      </c>
      <c r="C3528" s="5" t="n">
        <v>46274</v>
      </c>
      <c r="D3528" t="inlineStr">
        <is>
          <t>Stripe patient 44791</t>
        </is>
      </c>
      <c r="E3528" t="inlineStr">
        <is>
          <t>INV/2026/05122</t>
        </is>
      </c>
      <c r="F3528" t="inlineStr">
        <is>
          <t>Customer payment INV/2026/05122</t>
        </is>
      </c>
      <c r="G3528" s="9" t="n">
        <v>110</v>
      </c>
      <c r="H3528" t="inlineStr">
        <is>
          <t>customer_payment</t>
        </is>
      </c>
      <c r="I3528" t="inlineStr"/>
      <c r="J3528" t="inlineStr">
        <is>
          <t>G00066</t>
        </is>
      </c>
      <c r="K3528" t="str">
        <f>INDEX('Match Groups'!$D$5:$D$1326,MATCH(J3528,'Match Groups'!$A$5:$A$1326,0))</f>
        <v>STRIPE-FEE</v>
      </c>
    </row>
    <row r="3529">
      <c r="A3529" t="inlineStr">
        <is>
          <t>JI-03282</t>
        </is>
      </c>
      <c r="B3529" t="inlineStr">
        <is>
          <t>OPS</t>
        </is>
      </c>
      <c r="C3529" s="5" t="n">
        <v>46274</v>
      </c>
      <c r="D3529" t="inlineStr">
        <is>
          <t>Stripe patient 29703</t>
        </is>
      </c>
      <c r="E3529" t="inlineStr">
        <is>
          <t>INV/2026/05123</t>
        </is>
      </c>
      <c r="F3529" t="inlineStr">
        <is>
          <t>Customer payment INV/2026/05123</t>
        </is>
      </c>
      <c r="G3529" s="9" t="n">
        <v>135</v>
      </c>
      <c r="H3529" t="inlineStr">
        <is>
          <t>customer_payment</t>
        </is>
      </c>
      <c r="I3529" t="inlineStr"/>
      <c r="J3529" t="inlineStr">
        <is>
          <t>G00066</t>
        </is>
      </c>
      <c r="K3529" t="str">
        <f>INDEX('Match Groups'!$D$5:$D$1326,MATCH(J3529,'Match Groups'!$A$5:$A$1326,0))</f>
        <v>STRIPE-FEE</v>
      </c>
    </row>
    <row r="3530">
      <c r="A3530" t="inlineStr">
        <is>
          <t>JI-03283</t>
        </is>
      </c>
      <c r="B3530" t="inlineStr">
        <is>
          <t>OPS</t>
        </is>
      </c>
      <c r="C3530" s="5" t="n">
        <v>46274</v>
      </c>
      <c r="D3530" t="inlineStr">
        <is>
          <t>Stripe patient 79876</t>
        </is>
      </c>
      <c r="E3530" t="inlineStr">
        <is>
          <t>INV/2026/05124</t>
        </is>
      </c>
      <c r="F3530" t="inlineStr">
        <is>
          <t>Customer payment INV/2026/05124</t>
        </is>
      </c>
      <c r="G3530" s="9" t="n">
        <v>85</v>
      </c>
      <c r="H3530" t="inlineStr">
        <is>
          <t>customer_payment</t>
        </is>
      </c>
      <c r="I3530" t="inlineStr"/>
      <c r="J3530" t="inlineStr">
        <is>
          <t>G00066</t>
        </is>
      </c>
      <c r="K3530" t="str">
        <f>INDEX('Match Groups'!$D$5:$D$1326,MATCH(J3530,'Match Groups'!$A$5:$A$1326,0))</f>
        <v>STRIPE-FEE</v>
      </c>
    </row>
    <row r="3531">
      <c r="A3531" t="inlineStr">
        <is>
          <t>JI-03284</t>
        </is>
      </c>
      <c r="B3531" t="inlineStr">
        <is>
          <t>OPS</t>
        </is>
      </c>
      <c r="C3531" s="5" t="n">
        <v>46274</v>
      </c>
      <c r="D3531" t="inlineStr">
        <is>
          <t>Stripe patient 65133</t>
        </is>
      </c>
      <c r="E3531" t="inlineStr">
        <is>
          <t>INV/2026/05125</t>
        </is>
      </c>
      <c r="F3531" t="inlineStr">
        <is>
          <t>Customer payment INV/2026/05125</t>
        </is>
      </c>
      <c r="G3531" s="9" t="n">
        <v>95</v>
      </c>
      <c r="H3531" t="inlineStr">
        <is>
          <t>customer_payment</t>
        </is>
      </c>
      <c r="I3531" t="inlineStr"/>
      <c r="J3531" t="inlineStr">
        <is>
          <t>G00066</t>
        </is>
      </c>
      <c r="K3531" t="str">
        <f>INDEX('Match Groups'!$D$5:$D$1326,MATCH(J3531,'Match Groups'!$A$5:$A$1326,0))</f>
        <v>STRIPE-FEE</v>
      </c>
    </row>
    <row r="3532">
      <c r="A3532" t="inlineStr">
        <is>
          <t>JI-03285</t>
        </is>
      </c>
      <c r="B3532" t="inlineStr">
        <is>
          <t>OPS</t>
        </is>
      </c>
      <c r="C3532" s="5" t="n">
        <v>46274</v>
      </c>
      <c r="D3532" t="inlineStr">
        <is>
          <t>Stripe patient 51023</t>
        </is>
      </c>
      <c r="E3532" t="inlineStr">
        <is>
          <t>INV/2026/05126</t>
        </is>
      </c>
      <c r="F3532" t="inlineStr">
        <is>
          <t>Customer payment INV/2026/05126</t>
        </is>
      </c>
      <c r="G3532" s="9" t="n">
        <v>110</v>
      </c>
      <c r="H3532" t="inlineStr">
        <is>
          <t>customer_payment</t>
        </is>
      </c>
      <c r="I3532" t="inlineStr"/>
      <c r="J3532" t="inlineStr">
        <is>
          <t>G00066</t>
        </is>
      </c>
      <c r="K3532" t="str">
        <f>INDEX('Match Groups'!$D$5:$D$1326,MATCH(J3532,'Match Groups'!$A$5:$A$1326,0))</f>
        <v>STRIPE-FEE</v>
      </c>
    </row>
    <row r="3533">
      <c r="A3533" t="inlineStr">
        <is>
          <t>JI-03849</t>
        </is>
      </c>
      <c r="B3533" t="inlineStr">
        <is>
          <t>OPS</t>
        </is>
      </c>
      <c r="C3533" s="5" t="n">
        <v>46274</v>
      </c>
      <c r="D3533" t="inlineStr">
        <is>
          <t>Clinicare Linen Service</t>
        </is>
      </c>
      <c r="E3533" t="inlineStr">
        <is>
          <t>BILL/2026/0948</t>
        </is>
      </c>
      <c r="F3533" t="inlineStr">
        <is>
          <t>Vendor payment BILL/2026/0948 (BATCH/2026/0421)</t>
        </is>
      </c>
      <c r="G3533" s="9" t="n">
        <v>-507.1</v>
      </c>
      <c r="H3533" t="inlineStr">
        <is>
          <t>supplier_payment</t>
        </is>
      </c>
      <c r="I3533" t="inlineStr">
        <is>
          <t>BATCH/2026/0421</t>
        </is>
      </c>
      <c r="J3533" t="inlineStr">
        <is>
          <t>G00537</t>
        </is>
      </c>
      <c r="K3533" t="str">
        <f>INDEX('Match Groups'!$D$5:$D$1326,MATCH(J3533,'Match Groups'!$A$5:$A$1326,0))</f>
        <v>MATCH</v>
      </c>
    </row>
    <row r="3534">
      <c r="A3534" t="inlineStr">
        <is>
          <t>JI-03850</t>
        </is>
      </c>
      <c r="B3534" t="inlineStr">
        <is>
          <t>OPS</t>
        </is>
      </c>
      <c r="C3534" s="5" t="n">
        <v>46274</v>
      </c>
      <c r="D3534" t="inlineStr">
        <is>
          <t>Bayside Cleaning Co</t>
        </is>
      </c>
      <c r="E3534" t="inlineStr">
        <is>
          <t>BILL/2026/0947</t>
        </is>
      </c>
      <c r="F3534" t="inlineStr">
        <is>
          <t>Vendor payment BILL/2026/0947 (BATCH/2026/0421)</t>
        </is>
      </c>
      <c r="G3534" s="9" t="n">
        <v>-1222.1</v>
      </c>
      <c r="H3534" t="inlineStr">
        <is>
          <t>supplier_payment</t>
        </is>
      </c>
      <c r="I3534" t="inlineStr">
        <is>
          <t>BATCH/2026/0421</t>
        </is>
      </c>
      <c r="J3534" t="inlineStr">
        <is>
          <t>G00537</t>
        </is>
      </c>
      <c r="K3534" t="str">
        <f>INDEX('Match Groups'!$D$5:$D$1326,MATCH(J3534,'Match Groups'!$A$5:$A$1326,0))</f>
        <v>MATCH</v>
      </c>
    </row>
    <row r="3535">
      <c r="A3535" t="inlineStr">
        <is>
          <t>JI-03851</t>
        </is>
      </c>
      <c r="B3535" t="inlineStr">
        <is>
          <t>OPS</t>
        </is>
      </c>
      <c r="C3535" s="5" t="n">
        <v>46274</v>
      </c>
      <c r="D3535" t="inlineStr">
        <is>
          <t>Metro Waste Removal</t>
        </is>
      </c>
      <c r="E3535" t="inlineStr">
        <is>
          <t>BILL/2026/0950</t>
        </is>
      </c>
      <c r="F3535" t="inlineStr">
        <is>
          <t>Vendor payment BILL/2026/0950 (BATCH/2026/0421)</t>
        </is>
      </c>
      <c r="G3535" s="9" t="n">
        <v>-2432.1</v>
      </c>
      <c r="H3535" t="inlineStr">
        <is>
          <t>supplier_payment</t>
        </is>
      </c>
      <c r="I3535" t="inlineStr">
        <is>
          <t>BATCH/2026/0421</t>
        </is>
      </c>
      <c r="J3535" t="inlineStr">
        <is>
          <t>G00537</t>
        </is>
      </c>
      <c r="K3535" t="str">
        <f>INDEX('Match Groups'!$D$5:$D$1326,MATCH(J3535,'Match Groups'!$A$5:$A$1326,0))</f>
        <v>MATCH</v>
      </c>
    </row>
    <row r="3536">
      <c r="A3536" t="inlineStr">
        <is>
          <t>JI-03852</t>
        </is>
      </c>
      <c r="B3536" t="inlineStr">
        <is>
          <t>OPS</t>
        </is>
      </c>
      <c r="C3536" s="5" t="n">
        <v>46274</v>
      </c>
      <c r="D3536" t="inlineStr">
        <is>
          <t>Paperline Stationery Pty</t>
        </is>
      </c>
      <c r="E3536" t="inlineStr">
        <is>
          <t>BILL/2026/0946</t>
        </is>
      </c>
      <c r="F3536" t="inlineStr">
        <is>
          <t>Vendor payment BILL/2026/0946 (BATCH/2026/0421)</t>
        </is>
      </c>
      <c r="G3536" s="9" t="n">
        <v>-5940</v>
      </c>
      <c r="H3536" t="inlineStr">
        <is>
          <t>supplier_payment</t>
        </is>
      </c>
      <c r="I3536" t="inlineStr">
        <is>
          <t>BATCH/2026/0421</t>
        </is>
      </c>
      <c r="J3536" t="inlineStr">
        <is>
          <t>G00537</t>
        </is>
      </c>
      <c r="K3536" t="str">
        <f>INDEX('Match Groups'!$D$5:$D$1326,MATCH(J3536,'Match Groups'!$A$5:$A$1326,0))</f>
        <v>MATCH</v>
      </c>
    </row>
    <row r="3537">
      <c r="A3537" t="inlineStr">
        <is>
          <t>JI-03853</t>
        </is>
      </c>
      <c r="B3537" t="inlineStr">
        <is>
          <t>OPS</t>
        </is>
      </c>
      <c r="C3537" s="5" t="n">
        <v>46274</v>
      </c>
      <c r="D3537" t="inlineStr">
        <is>
          <t>Kinetic Gym Equipment</t>
        </is>
      </c>
      <c r="E3537" t="inlineStr">
        <is>
          <t>BILL/2026/0942</t>
        </is>
      </c>
      <c r="F3537" t="inlineStr">
        <is>
          <t>Vendor payment BILL/2026/0942 (BATCH/2026/0421)</t>
        </is>
      </c>
      <c r="G3537" s="9" t="n">
        <v>-385</v>
      </c>
      <c r="H3537" t="inlineStr">
        <is>
          <t>supplier_payment</t>
        </is>
      </c>
      <c r="I3537" t="inlineStr">
        <is>
          <t>BATCH/2026/0421</t>
        </is>
      </c>
      <c r="J3537" t="inlineStr">
        <is>
          <t>G00537</t>
        </is>
      </c>
      <c r="K3537" t="str">
        <f>INDEX('Match Groups'!$D$5:$D$1326,MATCH(J3537,'Match Groups'!$A$5:$A$1326,0))</f>
        <v>MATCH</v>
      </c>
    </row>
    <row r="3538">
      <c r="A3538" t="inlineStr">
        <is>
          <t>JI-03854</t>
        </is>
      </c>
      <c r="B3538" t="inlineStr">
        <is>
          <t>OPS</t>
        </is>
      </c>
      <c r="C3538" s="5" t="n">
        <v>46274</v>
      </c>
      <c r="D3538" t="inlineStr">
        <is>
          <t>Locum Physio Agency</t>
        </is>
      </c>
      <c r="E3538" t="inlineStr">
        <is>
          <t>BILL/2026/0952</t>
        </is>
      </c>
      <c r="F3538" t="inlineStr">
        <is>
          <t>Vendor payment BILL/2026/0952 (BATCH/2026/0421)</t>
        </is>
      </c>
      <c r="G3538" s="9" t="n">
        <v>-242</v>
      </c>
      <c r="H3538" t="inlineStr">
        <is>
          <t>supplier_payment</t>
        </is>
      </c>
      <c r="I3538" t="inlineStr">
        <is>
          <t>BATCH/2026/0421</t>
        </is>
      </c>
      <c r="J3538" t="inlineStr">
        <is>
          <t>G00537</t>
        </is>
      </c>
      <c r="K3538" t="str">
        <f>INDEX('Match Groups'!$D$5:$D$1326,MATCH(J3538,'Match Groups'!$A$5:$A$1326,0))</f>
        <v>MATCH</v>
      </c>
    </row>
    <row r="3539">
      <c r="A3539" t="inlineStr">
        <is>
          <t>JI-03855</t>
        </is>
      </c>
      <c r="B3539" t="inlineStr">
        <is>
          <t>OPS</t>
        </is>
      </c>
      <c r="C3539" s="5" t="n">
        <v>46274</v>
      </c>
      <c r="D3539" t="inlineStr">
        <is>
          <t>CityFix Maintenance</t>
        </is>
      </c>
      <c r="E3539" t="inlineStr">
        <is>
          <t>BILL/2026/0949</t>
        </is>
      </c>
      <c r="F3539" t="inlineStr">
        <is>
          <t>Vendor payment BILL/2026/0949 (BATCH/2026/0421)</t>
        </is>
      </c>
      <c r="G3539" s="9" t="n">
        <v>-892.1</v>
      </c>
      <c r="H3539" t="inlineStr">
        <is>
          <t>supplier_payment</t>
        </is>
      </c>
      <c r="I3539" t="inlineStr">
        <is>
          <t>BATCH/2026/0421</t>
        </is>
      </c>
      <c r="J3539" t="inlineStr">
        <is>
          <t>G00537</t>
        </is>
      </c>
      <c r="K3539" t="str">
        <f>INDEX('Match Groups'!$D$5:$D$1326,MATCH(J3539,'Match Groups'!$A$5:$A$1326,0))</f>
        <v>MATCH</v>
      </c>
    </row>
    <row r="3540">
      <c r="A3540" t="inlineStr">
        <is>
          <t>JI-03856</t>
        </is>
      </c>
      <c r="B3540" t="inlineStr">
        <is>
          <t>OPS</t>
        </is>
      </c>
      <c r="C3540" s="5" t="n">
        <v>46274</v>
      </c>
      <c r="D3540" t="inlineStr">
        <is>
          <t>Secure Shred Australia</t>
        </is>
      </c>
      <c r="E3540" t="inlineStr">
        <is>
          <t>BILL/2026/0943</t>
        </is>
      </c>
      <c r="F3540" t="inlineStr">
        <is>
          <t>Vendor payment BILL/2026/0943 (BATCH/2026/0421)</t>
        </is>
      </c>
      <c r="G3540" s="9" t="n">
        <v>-397.1</v>
      </c>
      <c r="H3540" t="inlineStr">
        <is>
          <t>supplier_payment</t>
        </is>
      </c>
      <c r="I3540" t="inlineStr">
        <is>
          <t>BATCH/2026/0421</t>
        </is>
      </c>
      <c r="J3540" t="inlineStr">
        <is>
          <t>G00537</t>
        </is>
      </c>
      <c r="K3540" t="str">
        <f>INDEX('Match Groups'!$D$5:$D$1326,MATCH(J3540,'Match Groups'!$A$5:$A$1326,0))</f>
        <v>MATCH</v>
      </c>
    </row>
    <row r="3541">
      <c r="A3541" t="inlineStr">
        <is>
          <t>JI-03857</t>
        </is>
      </c>
      <c r="B3541" t="inlineStr">
        <is>
          <t>OPS</t>
        </is>
      </c>
      <c r="C3541" s="5" t="n">
        <v>46274</v>
      </c>
      <c r="D3541" t="inlineStr">
        <is>
          <t>Strategic HR Partners</t>
        </is>
      </c>
      <c r="E3541" t="inlineStr">
        <is>
          <t>BILL/2026/0953</t>
        </is>
      </c>
      <c r="F3541" t="inlineStr">
        <is>
          <t>Vendor payment BILL/2026/0953 (BATCH/2026/0421)</t>
        </is>
      </c>
      <c r="G3541" s="9" t="n">
        <v>-3850</v>
      </c>
      <c r="H3541" t="inlineStr">
        <is>
          <t>supplier_payment</t>
        </is>
      </c>
      <c r="I3541" t="inlineStr">
        <is>
          <t>BATCH/2026/0421</t>
        </is>
      </c>
      <c r="J3541" t="inlineStr">
        <is>
          <t>G00537</t>
        </is>
      </c>
      <c r="K3541" t="str">
        <f>INDEX('Match Groups'!$D$5:$D$1326,MATCH(J3541,'Match Groups'!$A$5:$A$1326,0))</f>
        <v>MATCH</v>
      </c>
    </row>
    <row r="3542">
      <c r="A3542" t="inlineStr">
        <is>
          <t>JI-03858</t>
        </is>
      </c>
      <c r="B3542" t="inlineStr">
        <is>
          <t>OPS</t>
        </is>
      </c>
      <c r="C3542" s="5" t="n">
        <v>46274</v>
      </c>
      <c r="D3542" t="inlineStr">
        <is>
          <t>Alpine Water Coolers</t>
        </is>
      </c>
      <c r="E3542" t="inlineStr">
        <is>
          <t>BILL/2026/0945</t>
        </is>
      </c>
      <c r="F3542" t="inlineStr">
        <is>
          <t>Vendor payment BILL/2026/0945 (BATCH/2026/0421)</t>
        </is>
      </c>
      <c r="G3542" s="9" t="n">
        <v>-165</v>
      </c>
      <c r="H3542" t="inlineStr">
        <is>
          <t>supplier_payment</t>
        </is>
      </c>
      <c r="I3542" t="inlineStr">
        <is>
          <t>BATCH/2026/0421</t>
        </is>
      </c>
      <c r="J3542" t="inlineStr">
        <is>
          <t>G00537</t>
        </is>
      </c>
      <c r="K3542" t="str">
        <f>INDEX('Match Groups'!$D$5:$D$1326,MATCH(J3542,'Match Groups'!$A$5:$A$1326,0))</f>
        <v>MATCH</v>
      </c>
    </row>
    <row r="3543">
      <c r="A3543" t="inlineStr">
        <is>
          <t>JI-03859</t>
        </is>
      </c>
      <c r="B3543" t="inlineStr">
        <is>
          <t>OPS</t>
        </is>
      </c>
      <c r="C3543" s="5" t="n">
        <v>46274</v>
      </c>
      <c r="D3543" t="inlineStr">
        <is>
          <t>Alpine Water Coolers</t>
        </is>
      </c>
      <c r="E3543" t="inlineStr">
        <is>
          <t>BILL/2026/0951</t>
        </is>
      </c>
      <c r="F3543" t="inlineStr">
        <is>
          <t>Vendor payment BILL/2026/0951 (BATCH/2026/0421)</t>
        </is>
      </c>
      <c r="G3543" s="9" t="n">
        <v>-507.1</v>
      </c>
      <c r="H3543" t="inlineStr">
        <is>
          <t>supplier_payment</t>
        </is>
      </c>
      <c r="I3543" t="inlineStr">
        <is>
          <t>BATCH/2026/0421</t>
        </is>
      </c>
      <c r="J3543" t="inlineStr">
        <is>
          <t>G00537</t>
        </is>
      </c>
      <c r="K3543" t="str">
        <f>INDEX('Match Groups'!$D$5:$D$1326,MATCH(J3543,'Match Groups'!$A$5:$A$1326,0))</f>
        <v>MATCH</v>
      </c>
    </row>
    <row r="3544">
      <c r="A3544" t="inlineStr">
        <is>
          <t>JI-03860</t>
        </is>
      </c>
      <c r="B3544" t="inlineStr">
        <is>
          <t>OPS</t>
        </is>
      </c>
      <c r="C3544" s="5" t="n">
        <v>46274</v>
      </c>
      <c r="D3544" t="inlineStr">
        <is>
          <t>Alpine Water Coolers</t>
        </is>
      </c>
      <c r="E3544" t="inlineStr">
        <is>
          <t>BILL/2026/0954</t>
        </is>
      </c>
      <c r="F3544" t="inlineStr">
        <is>
          <t>Vendor payment BILL/2026/0954 (BATCH/2026/0421)</t>
        </is>
      </c>
      <c r="G3544" s="9" t="n">
        <v>-1686.3</v>
      </c>
      <c r="H3544" t="inlineStr">
        <is>
          <t>supplier_payment</t>
        </is>
      </c>
      <c r="I3544" t="inlineStr">
        <is>
          <t>BATCH/2026/0421</t>
        </is>
      </c>
      <c r="J3544" t="inlineStr">
        <is>
          <t>G00537</t>
        </is>
      </c>
      <c r="K3544" t="str">
        <f>INDEX('Match Groups'!$D$5:$D$1326,MATCH(J3544,'Match Groups'!$A$5:$A$1326,0))</f>
        <v>MATCH</v>
      </c>
    </row>
    <row r="3545">
      <c r="A3545" t="inlineStr">
        <is>
          <t>JI-03861</t>
        </is>
      </c>
      <c r="B3545" t="inlineStr">
        <is>
          <t>OPS</t>
        </is>
      </c>
      <c r="C3545" s="5" t="n">
        <v>46274</v>
      </c>
      <c r="D3545" t="inlineStr">
        <is>
          <t>Statewide Uniforms</t>
        </is>
      </c>
      <c r="E3545" t="inlineStr">
        <is>
          <t>BILL/2026/0944</t>
        </is>
      </c>
      <c r="F3545" t="inlineStr">
        <is>
          <t>Vendor payment BILL/2026/0944 (BATCH/2026/0421)</t>
        </is>
      </c>
      <c r="G3545" s="9" t="n">
        <v>-3862.1</v>
      </c>
      <c r="H3545" t="inlineStr">
        <is>
          <t>supplier_payment</t>
        </is>
      </c>
      <c r="I3545" t="inlineStr">
        <is>
          <t>BATCH/2026/0421</t>
        </is>
      </c>
      <c r="J3545" t="inlineStr">
        <is>
          <t>G00537</t>
        </is>
      </c>
      <c r="K3545" t="str">
        <f>INDEX('Match Groups'!$D$5:$D$1326,MATCH(J3545,'Match Groups'!$A$5:$A$1326,0))</f>
        <v>MATCH</v>
      </c>
    </row>
    <row r="3546">
      <c r="A3546" t="inlineStr">
        <is>
          <t>JI-03953</t>
        </is>
      </c>
      <c r="B3546" t="inlineStr">
        <is>
          <t>OPS</t>
        </is>
      </c>
      <c r="C3546" s="5" t="n">
        <v>46274</v>
      </c>
      <c r="D3546" t="inlineStr">
        <is>
          <t>Internal transfer</t>
        </is>
      </c>
      <c r="E3546" t="inlineStr">
        <is>
          <t>TFR PR260910</t>
        </is>
      </c>
      <c r="F3546" t="inlineStr">
        <is>
          <t>Transfer to payroll clearing PR260910</t>
        </is>
      </c>
      <c r="G3546" s="9" t="n">
        <v>-205404.05</v>
      </c>
      <c r="H3546" t="inlineStr">
        <is>
          <t>transfer</t>
        </is>
      </c>
      <c r="I3546" t="inlineStr"/>
      <c r="J3546" t="inlineStr">
        <is>
          <t>G00538</t>
        </is>
      </c>
      <c r="K3546" t="str">
        <f>INDEX('Match Groups'!$D$5:$D$1326,MATCH(J3546,'Match Groups'!$A$5:$A$1326,0))</f>
        <v>MATCH</v>
      </c>
    </row>
    <row r="3547">
      <c r="A3547" t="inlineStr">
        <is>
          <t>JI-01311</t>
        </is>
      </c>
      <c r="B3547" t="inlineStr">
        <is>
          <t>OPS</t>
        </is>
      </c>
      <c r="C3547" s="5" t="n">
        <v>46275</v>
      </c>
      <c r="D3547" t="inlineStr">
        <is>
          <t>Tallowwood Plans</t>
        </is>
      </c>
      <c r="E3547" t="inlineStr">
        <is>
          <t>INV/2026/02946</t>
        </is>
      </c>
      <c r="F3547" t="inlineStr">
        <is>
          <t>Customer payment INV/2026/02946</t>
        </is>
      </c>
      <c r="G3547" s="9" t="n">
        <v>175.49</v>
      </c>
      <c r="H3547" t="inlineStr">
        <is>
          <t>customer_payment</t>
        </is>
      </c>
      <c r="I3547" t="inlineStr"/>
      <c r="J3547" t="inlineStr">
        <is>
          <t>G00417</t>
        </is>
      </c>
      <c r="K3547" t="str">
        <f>INDEX('Match Groups'!$D$5:$D$1326,MATCH(J3547,'Match Groups'!$A$5:$A$1326,0))</f>
        <v>MATCH</v>
      </c>
    </row>
    <row r="3548">
      <c r="A3548" t="inlineStr">
        <is>
          <t>JI-01552</t>
        </is>
      </c>
      <c r="B3548" t="inlineStr">
        <is>
          <t>OPS</t>
        </is>
      </c>
      <c r="C3548" s="5" t="n">
        <v>46275</v>
      </c>
      <c r="D3548" t="inlineStr">
        <is>
          <t>Harbour Mutual Health</t>
        </is>
      </c>
      <c r="E3548" t="inlineStr">
        <is>
          <t>INV/2026/02925</t>
        </is>
      </c>
      <c r="F3548" t="inlineStr">
        <is>
          <t>Customer payment INV/2026/02925</t>
        </is>
      </c>
      <c r="G3548" s="9" t="n">
        <v>88</v>
      </c>
      <c r="H3548" t="inlineStr">
        <is>
          <t>customer_payment</t>
        </is>
      </c>
      <c r="I3548" t="inlineStr"/>
      <c r="J3548" t="inlineStr">
        <is>
          <t>G01052</t>
        </is>
      </c>
      <c r="K3548" t="str">
        <f>INDEX('Match Groups'!$D$5:$D$1326,MATCH(J3548,'Match Groups'!$A$5:$A$1326,0))</f>
        <v>MATCH</v>
      </c>
    </row>
    <row r="3549">
      <c r="A3549" t="inlineStr">
        <is>
          <t>JI-01642</t>
        </is>
      </c>
      <c r="B3549" t="inlineStr">
        <is>
          <t>OPS</t>
        </is>
      </c>
      <c r="C3549" s="5" t="n">
        <v>46275</v>
      </c>
      <c r="D3549" t="inlineStr">
        <is>
          <t>Northline Injury Claims</t>
        </is>
      </c>
      <c r="E3549" t="inlineStr">
        <is>
          <t>INV/2026/02820</t>
        </is>
      </c>
      <c r="F3549" t="inlineStr">
        <is>
          <t>Customer payment INV/2026/02820</t>
        </is>
      </c>
      <c r="G3549" s="9" t="n">
        <v>176</v>
      </c>
      <c r="H3549" t="inlineStr">
        <is>
          <t>customer_payment</t>
        </is>
      </c>
      <c r="I3549" t="inlineStr"/>
      <c r="J3549" t="inlineStr">
        <is>
          <t>G01059</t>
        </is>
      </c>
      <c r="K3549" t="str">
        <f>INDEX('Match Groups'!$D$5:$D$1326,MATCH(J3549,'Match Groups'!$A$5:$A$1326,0))</f>
        <v>MATCH</v>
      </c>
    </row>
    <row r="3550">
      <c r="A3550" t="inlineStr">
        <is>
          <t>JI-01669</t>
        </is>
      </c>
      <c r="B3550" t="inlineStr">
        <is>
          <t>OPS</t>
        </is>
      </c>
      <c r="C3550" s="5" t="n">
        <v>46275</v>
      </c>
      <c r="D3550" t="inlineStr">
        <is>
          <t>Ostrander Manufacturing</t>
        </is>
      </c>
      <c r="E3550" t="inlineStr">
        <is>
          <t>INV/2026/03522</t>
        </is>
      </c>
      <c r="F3550" t="inlineStr">
        <is>
          <t>Customer payment INV/2026/03522</t>
        </is>
      </c>
      <c r="G3550" s="9" t="n">
        <v>1320</v>
      </c>
      <c r="H3550" t="inlineStr">
        <is>
          <t>customer_payment</t>
        </is>
      </c>
      <c r="I3550" t="inlineStr"/>
      <c r="J3550" t="inlineStr">
        <is>
          <t>G01160</t>
        </is>
      </c>
      <c r="K3550" t="str">
        <f>INDEX('Match Groups'!$D$5:$D$1326,MATCH(J3550,'Match Groups'!$A$5:$A$1326,0))</f>
        <v>MATCH</v>
      </c>
    </row>
    <row r="3551">
      <c r="A3551" t="inlineStr">
        <is>
          <t>JI-01730</t>
        </is>
      </c>
      <c r="B3551" t="inlineStr">
        <is>
          <t>OPS</t>
        </is>
      </c>
      <c r="C3551" s="5" t="n">
        <v>46275</v>
      </c>
      <c r="D3551" t="inlineStr">
        <is>
          <t>Hollis &amp; Fry Architects</t>
        </is>
      </c>
      <c r="E3551" t="inlineStr">
        <is>
          <t>INV/2026/03552</t>
        </is>
      </c>
      <c r="F3551" t="inlineStr">
        <is>
          <t>Customer payment INV/2026/03552</t>
        </is>
      </c>
      <c r="G3551" s="9" t="n">
        <v>6820</v>
      </c>
      <c r="H3551" t="inlineStr">
        <is>
          <t>customer_payment</t>
        </is>
      </c>
      <c r="I3551" t="inlineStr"/>
      <c r="J3551" t="inlineStr">
        <is>
          <t>G01057</t>
        </is>
      </c>
      <c r="K3551" t="str">
        <f>INDEX('Match Groups'!$D$5:$D$1326,MATCH(J3551,'Match Groups'!$A$5:$A$1326,0))</f>
        <v>MATCH</v>
      </c>
    </row>
    <row r="3552">
      <c r="A3552" t="inlineStr">
        <is>
          <t>JI-03286</t>
        </is>
      </c>
      <c r="B3552" t="inlineStr">
        <is>
          <t>OPS</t>
        </is>
      </c>
      <c r="C3552" s="5" t="n">
        <v>46275</v>
      </c>
      <c r="D3552" t="inlineStr">
        <is>
          <t>Stripe patient 52629</t>
        </is>
      </c>
      <c r="E3552" t="inlineStr">
        <is>
          <t>INV/2026/05127</t>
        </is>
      </c>
      <c r="F3552" t="inlineStr">
        <is>
          <t>Customer payment INV/2026/05127</t>
        </is>
      </c>
      <c r="G3552" s="9" t="n">
        <v>180</v>
      </c>
      <c r="H3552" t="inlineStr">
        <is>
          <t>customer_payment</t>
        </is>
      </c>
      <c r="I3552" t="inlineStr"/>
      <c r="J3552" t="inlineStr">
        <is>
          <t>G00067</t>
        </is>
      </c>
      <c r="K3552" t="str">
        <f>INDEX('Match Groups'!$D$5:$D$1326,MATCH(J3552,'Match Groups'!$A$5:$A$1326,0))</f>
        <v>STRIPE-FEE</v>
      </c>
    </row>
    <row r="3553">
      <c r="A3553" t="inlineStr">
        <is>
          <t>JI-03287</t>
        </is>
      </c>
      <c r="B3553" t="inlineStr">
        <is>
          <t>OPS</t>
        </is>
      </c>
      <c r="C3553" s="5" t="n">
        <v>46275</v>
      </c>
      <c r="D3553" t="inlineStr">
        <is>
          <t>Stripe patient 36263</t>
        </is>
      </c>
      <c r="E3553" t="inlineStr">
        <is>
          <t>INV/2026/05128</t>
        </is>
      </c>
      <c r="F3553" t="inlineStr">
        <is>
          <t>Customer payment INV/2026/05128</t>
        </is>
      </c>
      <c r="G3553" s="9" t="n">
        <v>135</v>
      </c>
      <c r="H3553" t="inlineStr">
        <is>
          <t>customer_payment</t>
        </is>
      </c>
      <c r="I3553" t="inlineStr"/>
      <c r="J3553" t="inlineStr">
        <is>
          <t>G00067</t>
        </is>
      </c>
      <c r="K3553" t="str">
        <f>INDEX('Match Groups'!$D$5:$D$1326,MATCH(J3553,'Match Groups'!$A$5:$A$1326,0))</f>
        <v>STRIPE-FEE</v>
      </c>
    </row>
    <row r="3554">
      <c r="A3554" t="inlineStr">
        <is>
          <t>JI-03288</t>
        </is>
      </c>
      <c r="B3554" t="inlineStr">
        <is>
          <t>OPS</t>
        </is>
      </c>
      <c r="C3554" s="5" t="n">
        <v>46275</v>
      </c>
      <c r="D3554" t="inlineStr">
        <is>
          <t>Stripe patient 55331</t>
        </is>
      </c>
      <c r="E3554" t="inlineStr">
        <is>
          <t>INV/2026/05129</t>
        </is>
      </c>
      <c r="F3554" t="inlineStr">
        <is>
          <t>Customer payment INV/2026/05129</t>
        </is>
      </c>
      <c r="G3554" s="9" t="n">
        <v>150</v>
      </c>
      <c r="H3554" t="inlineStr">
        <is>
          <t>customer_payment</t>
        </is>
      </c>
      <c r="I3554" t="inlineStr"/>
      <c r="J3554" t="inlineStr">
        <is>
          <t>G00067</t>
        </is>
      </c>
      <c r="K3554" t="str">
        <f>INDEX('Match Groups'!$D$5:$D$1326,MATCH(J3554,'Match Groups'!$A$5:$A$1326,0))</f>
        <v>STRIPE-FEE</v>
      </c>
    </row>
    <row r="3555">
      <c r="A3555" t="inlineStr">
        <is>
          <t>JI-03289</t>
        </is>
      </c>
      <c r="B3555" t="inlineStr">
        <is>
          <t>OPS</t>
        </is>
      </c>
      <c r="C3555" s="5" t="n">
        <v>46275</v>
      </c>
      <c r="D3555" t="inlineStr">
        <is>
          <t>Stripe patient 38705</t>
        </is>
      </c>
      <c r="E3555" t="inlineStr">
        <is>
          <t>INV/2026/05130</t>
        </is>
      </c>
      <c r="F3555" t="inlineStr">
        <is>
          <t>Customer payment INV/2026/05130</t>
        </is>
      </c>
      <c r="G3555" s="9" t="n">
        <v>220</v>
      </c>
      <c r="H3555" t="inlineStr">
        <is>
          <t>customer_payment</t>
        </is>
      </c>
      <c r="I3555" t="inlineStr"/>
      <c r="J3555" t="inlineStr">
        <is>
          <t>G00067</t>
        </is>
      </c>
      <c r="K3555" t="str">
        <f>INDEX('Match Groups'!$D$5:$D$1326,MATCH(J3555,'Match Groups'!$A$5:$A$1326,0))</f>
        <v>STRIPE-FEE</v>
      </c>
    </row>
    <row r="3556">
      <c r="A3556" t="inlineStr">
        <is>
          <t>JI-03290</t>
        </is>
      </c>
      <c r="B3556" t="inlineStr">
        <is>
          <t>OPS</t>
        </is>
      </c>
      <c r="C3556" s="5" t="n">
        <v>46275</v>
      </c>
      <c r="D3556" t="inlineStr">
        <is>
          <t>Stripe patient 21450</t>
        </is>
      </c>
      <c r="E3556" t="inlineStr">
        <is>
          <t>INV/2026/05131</t>
        </is>
      </c>
      <c r="F3556" t="inlineStr">
        <is>
          <t>Customer payment INV/2026/05131</t>
        </is>
      </c>
      <c r="G3556" s="9" t="n">
        <v>135</v>
      </c>
      <c r="H3556" t="inlineStr">
        <is>
          <t>customer_payment</t>
        </is>
      </c>
      <c r="I3556" t="inlineStr"/>
      <c r="J3556" t="inlineStr">
        <is>
          <t>G00067</t>
        </is>
      </c>
      <c r="K3556" t="str">
        <f>INDEX('Match Groups'!$D$5:$D$1326,MATCH(J3556,'Match Groups'!$A$5:$A$1326,0))</f>
        <v>STRIPE-FEE</v>
      </c>
    </row>
    <row r="3557">
      <c r="A3557" t="inlineStr">
        <is>
          <t>JI-03291</t>
        </is>
      </c>
      <c r="B3557" t="inlineStr">
        <is>
          <t>OPS</t>
        </is>
      </c>
      <c r="C3557" s="5" t="n">
        <v>46275</v>
      </c>
      <c r="D3557" t="inlineStr">
        <is>
          <t>Stripe patient 65910</t>
        </is>
      </c>
      <c r="E3557" t="inlineStr">
        <is>
          <t>INV/2026/05132</t>
        </is>
      </c>
      <c r="F3557" t="inlineStr">
        <is>
          <t>Customer payment INV/2026/05132</t>
        </is>
      </c>
      <c r="G3557" s="9" t="n">
        <v>110</v>
      </c>
      <c r="H3557" t="inlineStr">
        <is>
          <t>customer_payment</t>
        </is>
      </c>
      <c r="I3557" t="inlineStr"/>
      <c r="J3557" t="inlineStr">
        <is>
          <t>G00067</t>
        </is>
      </c>
      <c r="K3557" t="str">
        <f>INDEX('Match Groups'!$D$5:$D$1326,MATCH(J3557,'Match Groups'!$A$5:$A$1326,0))</f>
        <v>STRIPE-FEE</v>
      </c>
    </row>
    <row r="3558">
      <c r="A3558" t="inlineStr">
        <is>
          <t>JI-03292</t>
        </is>
      </c>
      <c r="B3558" t="inlineStr">
        <is>
          <t>OPS</t>
        </is>
      </c>
      <c r="C3558" s="5" t="n">
        <v>46275</v>
      </c>
      <c r="D3558" t="inlineStr">
        <is>
          <t>Stripe patient 96123</t>
        </is>
      </c>
      <c r="E3558" t="inlineStr">
        <is>
          <t>INV/2026/05133</t>
        </is>
      </c>
      <c r="F3558" t="inlineStr">
        <is>
          <t>Customer payment INV/2026/05133</t>
        </is>
      </c>
      <c r="G3558" s="9" t="n">
        <v>220</v>
      </c>
      <c r="H3558" t="inlineStr">
        <is>
          <t>customer_payment</t>
        </is>
      </c>
      <c r="I3558" t="inlineStr"/>
      <c r="J3558" t="inlineStr">
        <is>
          <t>G00067</t>
        </is>
      </c>
      <c r="K3558" t="str">
        <f>INDEX('Match Groups'!$D$5:$D$1326,MATCH(J3558,'Match Groups'!$A$5:$A$1326,0))</f>
        <v>STRIPE-FEE</v>
      </c>
    </row>
    <row r="3559">
      <c r="A3559" t="inlineStr">
        <is>
          <t>JI-03293</t>
        </is>
      </c>
      <c r="B3559" t="inlineStr">
        <is>
          <t>OPS</t>
        </is>
      </c>
      <c r="C3559" s="5" t="n">
        <v>46275</v>
      </c>
      <c r="D3559" t="inlineStr">
        <is>
          <t>Stripe patient 98682</t>
        </is>
      </c>
      <c r="E3559" t="inlineStr">
        <is>
          <t>INV/2026/05134</t>
        </is>
      </c>
      <c r="F3559" t="inlineStr">
        <is>
          <t>Customer payment INV/2026/05134</t>
        </is>
      </c>
      <c r="G3559" s="9" t="n">
        <v>135</v>
      </c>
      <c r="H3559" t="inlineStr">
        <is>
          <t>customer_payment</t>
        </is>
      </c>
      <c r="I3559" t="inlineStr"/>
      <c r="J3559" t="inlineStr">
        <is>
          <t>G00067</t>
        </is>
      </c>
      <c r="K3559" t="str">
        <f>INDEX('Match Groups'!$D$5:$D$1326,MATCH(J3559,'Match Groups'!$A$5:$A$1326,0))</f>
        <v>STRIPE-FEE</v>
      </c>
    </row>
    <row r="3560">
      <c r="A3560" t="inlineStr">
        <is>
          <t>JI-03294</t>
        </is>
      </c>
      <c r="B3560" t="inlineStr">
        <is>
          <t>OPS</t>
        </is>
      </c>
      <c r="C3560" s="5" t="n">
        <v>46275</v>
      </c>
      <c r="D3560" t="inlineStr">
        <is>
          <t>Stripe patient 46820</t>
        </is>
      </c>
      <c r="E3560" t="inlineStr">
        <is>
          <t>INV/2026/05135</t>
        </is>
      </c>
      <c r="F3560" t="inlineStr">
        <is>
          <t>Customer payment INV/2026/05135</t>
        </is>
      </c>
      <c r="G3560" s="9" t="n">
        <v>150</v>
      </c>
      <c r="H3560" t="inlineStr">
        <is>
          <t>customer_payment</t>
        </is>
      </c>
      <c r="I3560" t="inlineStr"/>
      <c r="J3560" t="inlineStr">
        <is>
          <t>G00067</t>
        </is>
      </c>
      <c r="K3560" t="str">
        <f>INDEX('Match Groups'!$D$5:$D$1326,MATCH(J3560,'Match Groups'!$A$5:$A$1326,0))</f>
        <v>STRIPE-FEE</v>
      </c>
    </row>
    <row r="3561">
      <c r="A3561" t="inlineStr">
        <is>
          <t>JI-03295</t>
        </is>
      </c>
      <c r="B3561" t="inlineStr">
        <is>
          <t>OPS</t>
        </is>
      </c>
      <c r="C3561" s="5" t="n">
        <v>46275</v>
      </c>
      <c r="D3561" t="inlineStr">
        <is>
          <t>Stripe patient 13596</t>
        </is>
      </c>
      <c r="E3561" t="inlineStr">
        <is>
          <t>INV/2026/05136</t>
        </is>
      </c>
      <c r="F3561" t="inlineStr">
        <is>
          <t>Customer payment INV/2026/05136</t>
        </is>
      </c>
      <c r="G3561" s="9" t="n">
        <v>95</v>
      </c>
      <c r="H3561" t="inlineStr">
        <is>
          <t>customer_payment</t>
        </is>
      </c>
      <c r="I3561" t="inlineStr"/>
      <c r="J3561" t="inlineStr">
        <is>
          <t>G00067</t>
        </is>
      </c>
      <c r="K3561" t="str">
        <f>INDEX('Match Groups'!$D$5:$D$1326,MATCH(J3561,'Match Groups'!$A$5:$A$1326,0))</f>
        <v>STRIPE-FEE</v>
      </c>
    </row>
    <row r="3562">
      <c r="A3562" t="inlineStr">
        <is>
          <t>JI-03296</t>
        </is>
      </c>
      <c r="B3562" t="inlineStr">
        <is>
          <t>OPS</t>
        </is>
      </c>
      <c r="C3562" s="5" t="n">
        <v>46275</v>
      </c>
      <c r="D3562" t="inlineStr">
        <is>
          <t>Stripe patient 51080</t>
        </is>
      </c>
      <c r="E3562" t="inlineStr">
        <is>
          <t>INV/2026/05137</t>
        </is>
      </c>
      <c r="F3562" t="inlineStr">
        <is>
          <t>Customer payment INV/2026/05137</t>
        </is>
      </c>
      <c r="G3562" s="9" t="n">
        <v>180</v>
      </c>
      <c r="H3562" t="inlineStr">
        <is>
          <t>customer_payment</t>
        </is>
      </c>
      <c r="I3562" t="inlineStr"/>
      <c r="J3562" t="inlineStr">
        <is>
          <t>G00067</t>
        </is>
      </c>
      <c r="K3562" t="str">
        <f>INDEX('Match Groups'!$D$5:$D$1326,MATCH(J3562,'Match Groups'!$A$5:$A$1326,0))</f>
        <v>STRIPE-FEE</v>
      </c>
    </row>
    <row r="3563">
      <c r="A3563" t="inlineStr">
        <is>
          <t>JI-03297</t>
        </is>
      </c>
      <c r="B3563" t="inlineStr">
        <is>
          <t>OPS</t>
        </is>
      </c>
      <c r="C3563" s="5" t="n">
        <v>46275</v>
      </c>
      <c r="D3563" t="inlineStr">
        <is>
          <t>Stripe patient 35914</t>
        </is>
      </c>
      <c r="E3563" t="inlineStr">
        <is>
          <t>INV/2026/05138</t>
        </is>
      </c>
      <c r="F3563" t="inlineStr">
        <is>
          <t>Customer payment INV/2026/05138</t>
        </is>
      </c>
      <c r="G3563" s="9" t="n">
        <v>120</v>
      </c>
      <c r="H3563" t="inlineStr">
        <is>
          <t>customer_payment</t>
        </is>
      </c>
      <c r="I3563" t="inlineStr"/>
      <c r="J3563" t="inlineStr">
        <is>
          <t>G00067</t>
        </is>
      </c>
      <c r="K3563" t="str">
        <f>INDEX('Match Groups'!$D$5:$D$1326,MATCH(J3563,'Match Groups'!$A$5:$A$1326,0))</f>
        <v>STRIPE-FEE</v>
      </c>
    </row>
    <row r="3564">
      <c r="A3564" t="inlineStr">
        <is>
          <t>JI-03298</t>
        </is>
      </c>
      <c r="B3564" t="inlineStr">
        <is>
          <t>OPS</t>
        </is>
      </c>
      <c r="C3564" s="5" t="n">
        <v>46275</v>
      </c>
      <c r="D3564" t="inlineStr">
        <is>
          <t>Stripe patient 58305</t>
        </is>
      </c>
      <c r="E3564" t="inlineStr">
        <is>
          <t>INV/2026/05139</t>
        </is>
      </c>
      <c r="F3564" t="inlineStr">
        <is>
          <t>Customer payment INV/2026/05139</t>
        </is>
      </c>
      <c r="G3564" s="9" t="n">
        <v>220</v>
      </c>
      <c r="H3564" t="inlineStr">
        <is>
          <t>customer_payment</t>
        </is>
      </c>
      <c r="I3564" t="inlineStr"/>
      <c r="J3564" t="inlineStr">
        <is>
          <t>G00067</t>
        </is>
      </c>
      <c r="K3564" t="str">
        <f>INDEX('Match Groups'!$D$5:$D$1326,MATCH(J3564,'Match Groups'!$A$5:$A$1326,0))</f>
        <v>STRIPE-FEE</v>
      </c>
    </row>
    <row r="3565">
      <c r="A3565" t="inlineStr">
        <is>
          <t>JI-03299</t>
        </is>
      </c>
      <c r="B3565" t="inlineStr">
        <is>
          <t>OPS</t>
        </is>
      </c>
      <c r="C3565" s="5" t="n">
        <v>46275</v>
      </c>
      <c r="D3565" t="inlineStr">
        <is>
          <t>Stripe patient 90350</t>
        </is>
      </c>
      <c r="E3565" t="inlineStr">
        <is>
          <t>INV/2026/05140</t>
        </is>
      </c>
      <c r="F3565" t="inlineStr">
        <is>
          <t>Customer payment INV/2026/05140</t>
        </is>
      </c>
      <c r="G3565" s="9" t="n">
        <v>135</v>
      </c>
      <c r="H3565" t="inlineStr">
        <is>
          <t>customer_payment</t>
        </is>
      </c>
      <c r="I3565" t="inlineStr"/>
      <c r="J3565" t="inlineStr">
        <is>
          <t>G00067</t>
        </is>
      </c>
      <c r="K3565" t="str">
        <f>INDEX('Match Groups'!$D$5:$D$1326,MATCH(J3565,'Match Groups'!$A$5:$A$1326,0))</f>
        <v>STRIPE-FEE</v>
      </c>
    </row>
    <row r="3566">
      <c r="A3566" t="inlineStr">
        <is>
          <t>JI-03300</t>
        </is>
      </c>
      <c r="B3566" t="inlineStr">
        <is>
          <t>OPS</t>
        </is>
      </c>
      <c r="C3566" s="5" t="n">
        <v>46275</v>
      </c>
      <c r="D3566" t="inlineStr">
        <is>
          <t>Stripe patient 30421</t>
        </is>
      </c>
      <c r="E3566" t="inlineStr">
        <is>
          <t>INV/2026/05141</t>
        </is>
      </c>
      <c r="F3566" t="inlineStr">
        <is>
          <t>Customer payment INV/2026/05141</t>
        </is>
      </c>
      <c r="G3566" s="9" t="n">
        <v>95</v>
      </c>
      <c r="H3566" t="inlineStr">
        <is>
          <t>customer_payment</t>
        </is>
      </c>
      <c r="I3566" t="inlineStr"/>
      <c r="J3566" t="inlineStr">
        <is>
          <t>G00067</t>
        </is>
      </c>
      <c r="K3566" t="str">
        <f>INDEX('Match Groups'!$D$5:$D$1326,MATCH(J3566,'Match Groups'!$A$5:$A$1326,0))</f>
        <v>STRIPE-FEE</v>
      </c>
    </row>
    <row r="3567">
      <c r="A3567" t="inlineStr">
        <is>
          <t>JI-03301</t>
        </is>
      </c>
      <c r="B3567" t="inlineStr">
        <is>
          <t>OPS</t>
        </is>
      </c>
      <c r="C3567" s="5" t="n">
        <v>46275</v>
      </c>
      <c r="D3567" t="inlineStr">
        <is>
          <t>Stripe patient 93806</t>
        </is>
      </c>
      <c r="E3567" t="inlineStr">
        <is>
          <t>INV/2026/05142</t>
        </is>
      </c>
      <c r="F3567" t="inlineStr">
        <is>
          <t>Customer payment INV/2026/05142</t>
        </is>
      </c>
      <c r="G3567" s="9" t="n">
        <v>180</v>
      </c>
      <c r="H3567" t="inlineStr">
        <is>
          <t>customer_payment</t>
        </is>
      </c>
      <c r="I3567" t="inlineStr"/>
      <c r="J3567" t="inlineStr">
        <is>
          <t>G00067</t>
        </is>
      </c>
      <c r="K3567" t="str">
        <f>INDEX('Match Groups'!$D$5:$D$1326,MATCH(J3567,'Match Groups'!$A$5:$A$1326,0))</f>
        <v>STRIPE-FEE</v>
      </c>
    </row>
    <row r="3568">
      <c r="A3568" t="inlineStr">
        <is>
          <t>JI-03302</t>
        </is>
      </c>
      <c r="B3568" t="inlineStr">
        <is>
          <t>OPS</t>
        </is>
      </c>
      <c r="C3568" s="5" t="n">
        <v>46275</v>
      </c>
      <c r="D3568" t="inlineStr">
        <is>
          <t>Stripe patient 21518</t>
        </is>
      </c>
      <c r="E3568" t="inlineStr">
        <is>
          <t>INV/2026/05143</t>
        </is>
      </c>
      <c r="F3568" t="inlineStr">
        <is>
          <t>Customer payment INV/2026/05143</t>
        </is>
      </c>
      <c r="G3568" s="9" t="n">
        <v>85</v>
      </c>
      <c r="H3568" t="inlineStr">
        <is>
          <t>customer_payment</t>
        </is>
      </c>
      <c r="I3568" t="inlineStr"/>
      <c r="J3568" t="inlineStr">
        <is>
          <t>G00067</t>
        </is>
      </c>
      <c r="K3568" t="str">
        <f>INDEX('Match Groups'!$D$5:$D$1326,MATCH(J3568,'Match Groups'!$A$5:$A$1326,0))</f>
        <v>STRIPE-FEE</v>
      </c>
    </row>
    <row r="3569">
      <c r="A3569" t="inlineStr">
        <is>
          <t>JI-03303</t>
        </is>
      </c>
      <c r="B3569" t="inlineStr">
        <is>
          <t>OPS</t>
        </is>
      </c>
      <c r="C3569" s="5" t="n">
        <v>46275</v>
      </c>
      <c r="D3569" t="inlineStr">
        <is>
          <t>Stripe patient 60063</t>
        </is>
      </c>
      <c r="E3569" t="inlineStr">
        <is>
          <t>INV/2026/05144</t>
        </is>
      </c>
      <c r="F3569" t="inlineStr">
        <is>
          <t>Customer payment INV/2026/05144</t>
        </is>
      </c>
      <c r="G3569" s="9" t="n">
        <v>135</v>
      </c>
      <c r="H3569" t="inlineStr">
        <is>
          <t>customer_payment</t>
        </is>
      </c>
      <c r="I3569" t="inlineStr"/>
      <c r="J3569" t="inlineStr">
        <is>
          <t>G00067</t>
        </is>
      </c>
      <c r="K3569" t="str">
        <f>INDEX('Match Groups'!$D$5:$D$1326,MATCH(J3569,'Match Groups'!$A$5:$A$1326,0))</f>
        <v>STRIPE-FEE</v>
      </c>
    </row>
    <row r="3570">
      <c r="A3570" t="inlineStr">
        <is>
          <t>JI-03304</t>
        </is>
      </c>
      <c r="B3570" t="inlineStr">
        <is>
          <t>OPS</t>
        </is>
      </c>
      <c r="C3570" s="5" t="n">
        <v>46275</v>
      </c>
      <c r="D3570" t="inlineStr">
        <is>
          <t>Stripe patient 25453</t>
        </is>
      </c>
      <c r="E3570" t="inlineStr">
        <is>
          <t>INV/2026/05145</t>
        </is>
      </c>
      <c r="F3570" t="inlineStr">
        <is>
          <t>Customer payment INV/2026/05145</t>
        </is>
      </c>
      <c r="G3570" s="9" t="n">
        <v>135</v>
      </c>
      <c r="H3570" t="inlineStr">
        <is>
          <t>customer_payment</t>
        </is>
      </c>
      <c r="I3570" t="inlineStr"/>
      <c r="J3570" t="inlineStr">
        <is>
          <t>G00067</t>
        </is>
      </c>
      <c r="K3570" t="str">
        <f>INDEX('Match Groups'!$D$5:$D$1326,MATCH(J3570,'Match Groups'!$A$5:$A$1326,0))</f>
        <v>STRIPE-FEE</v>
      </c>
    </row>
    <row r="3571">
      <c r="A3571" t="inlineStr">
        <is>
          <t>JI-03305</t>
        </is>
      </c>
      <c r="B3571" t="inlineStr">
        <is>
          <t>OPS</t>
        </is>
      </c>
      <c r="C3571" s="5" t="n">
        <v>46275</v>
      </c>
      <c r="D3571" t="inlineStr">
        <is>
          <t>Stripe patient 74081</t>
        </is>
      </c>
      <c r="E3571" t="inlineStr">
        <is>
          <t>INV/2026/05146</t>
        </is>
      </c>
      <c r="F3571" t="inlineStr">
        <is>
          <t>Customer payment INV/2026/05146</t>
        </is>
      </c>
      <c r="G3571" s="9" t="n">
        <v>65</v>
      </c>
      <c r="H3571" t="inlineStr">
        <is>
          <t>customer_payment</t>
        </is>
      </c>
      <c r="I3571" t="inlineStr"/>
      <c r="J3571" t="inlineStr">
        <is>
          <t>G00067</t>
        </is>
      </c>
      <c r="K3571" t="str">
        <f>INDEX('Match Groups'!$D$5:$D$1326,MATCH(J3571,'Match Groups'!$A$5:$A$1326,0))</f>
        <v>STRIPE-FEE</v>
      </c>
    </row>
    <row r="3572">
      <c r="A3572" t="inlineStr">
        <is>
          <t>JI-03306</t>
        </is>
      </c>
      <c r="B3572" t="inlineStr">
        <is>
          <t>OPS</t>
        </is>
      </c>
      <c r="C3572" s="5" t="n">
        <v>46275</v>
      </c>
      <c r="D3572" t="inlineStr">
        <is>
          <t>Stripe patient 78724</t>
        </is>
      </c>
      <c r="E3572" t="inlineStr">
        <is>
          <t>INV/2026/05147</t>
        </is>
      </c>
      <c r="F3572" t="inlineStr">
        <is>
          <t>Customer payment INV/2026/05147</t>
        </is>
      </c>
      <c r="G3572" s="9" t="n">
        <v>110</v>
      </c>
      <c r="H3572" t="inlineStr">
        <is>
          <t>customer_payment</t>
        </is>
      </c>
      <c r="I3572" t="inlineStr"/>
      <c r="J3572" t="inlineStr">
        <is>
          <t>G00067</t>
        </is>
      </c>
      <c r="K3572" t="str">
        <f>INDEX('Match Groups'!$D$5:$D$1326,MATCH(J3572,'Match Groups'!$A$5:$A$1326,0))</f>
        <v>STRIPE-FEE</v>
      </c>
    </row>
    <row r="3573">
      <c r="A3573" t="inlineStr">
        <is>
          <t>JI-03307</t>
        </is>
      </c>
      <c r="B3573" t="inlineStr">
        <is>
          <t>OPS</t>
        </is>
      </c>
      <c r="C3573" s="5" t="n">
        <v>46275</v>
      </c>
      <c r="D3573" t="inlineStr">
        <is>
          <t>Stripe patient 33997</t>
        </is>
      </c>
      <c r="E3573" t="inlineStr">
        <is>
          <t>INV/2026/05148</t>
        </is>
      </c>
      <c r="F3573" t="inlineStr">
        <is>
          <t>Customer payment INV/2026/05148</t>
        </is>
      </c>
      <c r="G3573" s="9" t="n">
        <v>180</v>
      </c>
      <c r="H3573" t="inlineStr">
        <is>
          <t>customer_payment</t>
        </is>
      </c>
      <c r="I3573" t="inlineStr"/>
      <c r="J3573" t="inlineStr">
        <is>
          <t>G00067</t>
        </is>
      </c>
      <c r="K3573" t="str">
        <f>INDEX('Match Groups'!$D$5:$D$1326,MATCH(J3573,'Match Groups'!$A$5:$A$1326,0))</f>
        <v>STRIPE-FEE</v>
      </c>
    </row>
    <row r="3574">
      <c r="A3574" t="inlineStr">
        <is>
          <t>JI-03308</t>
        </is>
      </c>
      <c r="B3574" t="inlineStr">
        <is>
          <t>OPS</t>
        </is>
      </c>
      <c r="C3574" s="5" t="n">
        <v>46275</v>
      </c>
      <c r="D3574" t="inlineStr">
        <is>
          <t>Stripe patient 33077</t>
        </is>
      </c>
      <c r="E3574" t="inlineStr">
        <is>
          <t>INV/2026/05149</t>
        </is>
      </c>
      <c r="F3574" t="inlineStr">
        <is>
          <t>Customer payment INV/2026/05149</t>
        </is>
      </c>
      <c r="G3574" s="9" t="n">
        <v>65</v>
      </c>
      <c r="H3574" t="inlineStr">
        <is>
          <t>customer_payment</t>
        </is>
      </c>
      <c r="I3574" t="inlineStr"/>
      <c r="J3574" t="inlineStr">
        <is>
          <t>G00067</t>
        </is>
      </c>
      <c r="K3574" t="str">
        <f>INDEX('Match Groups'!$D$5:$D$1326,MATCH(J3574,'Match Groups'!$A$5:$A$1326,0))</f>
        <v>STRIPE-FEE</v>
      </c>
    </row>
    <row r="3575">
      <c r="A3575" t="inlineStr">
        <is>
          <t>JI-03309</t>
        </is>
      </c>
      <c r="B3575" t="inlineStr">
        <is>
          <t>OPS</t>
        </is>
      </c>
      <c r="C3575" s="5" t="n">
        <v>46275</v>
      </c>
      <c r="D3575" t="inlineStr">
        <is>
          <t>Stripe patient 92552</t>
        </is>
      </c>
      <c r="E3575" t="inlineStr">
        <is>
          <t>INV/2026/05150</t>
        </is>
      </c>
      <c r="F3575" t="inlineStr">
        <is>
          <t>Customer payment INV/2026/05150</t>
        </is>
      </c>
      <c r="G3575" s="9" t="n">
        <v>135</v>
      </c>
      <c r="H3575" t="inlineStr">
        <is>
          <t>customer_payment</t>
        </is>
      </c>
      <c r="I3575" t="inlineStr"/>
      <c r="J3575" t="inlineStr">
        <is>
          <t>G00067</t>
        </is>
      </c>
      <c r="K3575" t="str">
        <f>INDEX('Match Groups'!$D$5:$D$1326,MATCH(J3575,'Match Groups'!$A$5:$A$1326,0))</f>
        <v>STRIPE-FEE</v>
      </c>
    </row>
    <row r="3576">
      <c r="A3576" t="inlineStr">
        <is>
          <t>JI-04312</t>
        </is>
      </c>
      <c r="B3576" t="inlineStr">
        <is>
          <t>OPS</t>
        </is>
      </c>
      <c r="C3576" s="5" t="n">
        <v>46275</v>
      </c>
      <c r="D3576" t="inlineStr">
        <is>
          <t>Internal transfer</t>
        </is>
      </c>
      <c r="E3576" t="inlineStr">
        <is>
          <t>FX0910</t>
        </is>
      </c>
      <c r="F3576" t="inlineStr">
        <is>
          <t>Transfer to USD account (USD 9,000.00 @ 0.6612)</t>
        </is>
      </c>
      <c r="G3576" s="9" t="n">
        <v>-13611.62</v>
      </c>
      <c r="H3576" t="inlineStr">
        <is>
          <t>transfer</t>
        </is>
      </c>
      <c r="I3576" t="inlineStr"/>
      <c r="J3576" t="inlineStr">
        <is>
          <t>G00539</t>
        </is>
      </c>
      <c r="K3576" t="str">
        <f>INDEX('Match Groups'!$D$5:$D$1326,MATCH(J3576,'Match Groups'!$A$5:$A$1326,0))</f>
        <v>FXR</v>
      </c>
    </row>
    <row r="3577">
      <c r="A3577" t="inlineStr">
        <is>
          <t>JI-01312</t>
        </is>
      </c>
      <c r="B3577" t="inlineStr">
        <is>
          <t>OPS</t>
        </is>
      </c>
      <c r="C3577" s="5" t="n">
        <v>46276</v>
      </c>
      <c r="D3577" t="inlineStr">
        <is>
          <t>Riverbend Plan Partners</t>
        </is>
      </c>
      <c r="E3577" t="inlineStr">
        <is>
          <t>INV/2026/02930</t>
        </is>
      </c>
      <c r="F3577" t="inlineStr">
        <is>
          <t>Customer payment INV/2026/02930</t>
        </is>
      </c>
      <c r="G3577" s="9" t="n">
        <v>417.98</v>
      </c>
      <c r="H3577" t="inlineStr">
        <is>
          <t>customer_payment</t>
        </is>
      </c>
      <c r="I3577" t="inlineStr"/>
      <c r="J3577" t="inlineStr">
        <is>
          <t>G00418</t>
        </is>
      </c>
      <c r="K3577" t="str">
        <f>INDEX('Match Groups'!$D$5:$D$1326,MATCH(J3577,'Match Groups'!$A$5:$A$1326,0))</f>
        <v>MATCH</v>
      </c>
    </row>
    <row r="3578">
      <c r="A3578" t="inlineStr">
        <is>
          <t>JI-01313</t>
        </is>
      </c>
      <c r="B3578" t="inlineStr">
        <is>
          <t>OPS</t>
        </is>
      </c>
      <c r="C3578" s="5" t="n">
        <v>46276</v>
      </c>
      <c r="D3578" t="inlineStr">
        <is>
          <t>Riverbend Plan Partners</t>
        </is>
      </c>
      <c r="E3578" t="inlineStr">
        <is>
          <t>INV/2026/02988</t>
        </is>
      </c>
      <c r="F3578" t="inlineStr">
        <is>
          <t>Customer payment INV/2026/02988</t>
        </is>
      </c>
      <c r="G3578" s="9" t="n">
        <v>242.49</v>
      </c>
      <c r="H3578" t="inlineStr">
        <is>
          <t>customer_payment</t>
        </is>
      </c>
      <c r="I3578" t="inlineStr"/>
      <c r="J3578" t="inlineStr">
        <is>
          <t>G00418</t>
        </is>
      </c>
      <c r="K3578" t="str">
        <f>INDEX('Match Groups'!$D$5:$D$1326,MATCH(J3578,'Match Groups'!$A$5:$A$1326,0))</f>
        <v>MATCH</v>
      </c>
    </row>
    <row r="3579">
      <c r="A3579" t="inlineStr">
        <is>
          <t>JI-01314</t>
        </is>
      </c>
      <c r="B3579" t="inlineStr">
        <is>
          <t>OPS</t>
        </is>
      </c>
      <c r="C3579" s="5" t="n">
        <v>46276</v>
      </c>
      <c r="D3579" t="inlineStr">
        <is>
          <t>Riverbend Plan Partners</t>
        </is>
      </c>
      <c r="E3579" t="inlineStr">
        <is>
          <t>INV/2026/03014</t>
        </is>
      </c>
      <c r="F3579" t="inlineStr">
        <is>
          <t>Customer payment INV/2026/03014</t>
        </is>
      </c>
      <c r="G3579" s="9" t="n">
        <v>175.49</v>
      </c>
      <c r="H3579" t="inlineStr">
        <is>
          <t>customer_payment</t>
        </is>
      </c>
      <c r="I3579" t="inlineStr"/>
      <c r="J3579" t="inlineStr">
        <is>
          <t>G00418</t>
        </is>
      </c>
      <c r="K3579" t="str">
        <f>INDEX('Match Groups'!$D$5:$D$1326,MATCH(J3579,'Match Groups'!$A$5:$A$1326,0))</f>
        <v>MATCH</v>
      </c>
    </row>
    <row r="3580">
      <c r="A3580" t="inlineStr">
        <is>
          <t>JI-01315</t>
        </is>
      </c>
      <c r="B3580" t="inlineStr">
        <is>
          <t>OPS</t>
        </is>
      </c>
      <c r="C3580" s="5" t="n">
        <v>46276</v>
      </c>
      <c r="D3580" t="inlineStr">
        <is>
          <t>Banksia Plan Co</t>
        </is>
      </c>
      <c r="E3580" t="inlineStr">
        <is>
          <t>INV/2026/03039</t>
        </is>
      </c>
      <c r="F3580" t="inlineStr">
        <is>
          <t>Customer payment INV/2026/03039</t>
        </is>
      </c>
      <c r="G3580" s="9" t="n">
        <v>145.49</v>
      </c>
      <c r="H3580" t="inlineStr">
        <is>
          <t>customer_payment</t>
        </is>
      </c>
      <c r="I3580" t="inlineStr"/>
      <c r="J3580" t="inlineStr">
        <is>
          <t>G00419</t>
        </is>
      </c>
      <c r="K3580" t="str">
        <f>INDEX('Match Groups'!$D$5:$D$1326,MATCH(J3580,'Match Groups'!$A$5:$A$1326,0))</f>
        <v>MATCH</v>
      </c>
    </row>
    <row r="3581">
      <c r="A3581" t="inlineStr">
        <is>
          <t>JI-01316</t>
        </is>
      </c>
      <c r="B3581" t="inlineStr">
        <is>
          <t>OPS</t>
        </is>
      </c>
      <c r="C3581" s="5" t="n">
        <v>46276</v>
      </c>
      <c r="D3581" t="inlineStr">
        <is>
          <t>Saltbush Plan Managers</t>
        </is>
      </c>
      <c r="E3581" t="inlineStr">
        <is>
          <t>INV/2026/02977</t>
        </is>
      </c>
      <c r="F3581" t="inlineStr">
        <is>
          <t>Customer payment INV/2026/02977</t>
        </is>
      </c>
      <c r="G3581" s="9" t="n">
        <v>242.49</v>
      </c>
      <c r="H3581" t="inlineStr">
        <is>
          <t>customer_payment</t>
        </is>
      </c>
      <c r="I3581" t="inlineStr"/>
      <c r="J3581" t="inlineStr">
        <is>
          <t>G00420</t>
        </is>
      </c>
      <c r="K3581" t="str">
        <f>INDEX('Match Groups'!$D$5:$D$1326,MATCH(J3581,'Match Groups'!$A$5:$A$1326,0))</f>
        <v>MATCH</v>
      </c>
    </row>
    <row r="3582">
      <c r="A3582" t="inlineStr">
        <is>
          <t>JI-01317</t>
        </is>
      </c>
      <c r="B3582" t="inlineStr">
        <is>
          <t>OPS</t>
        </is>
      </c>
      <c r="C3582" s="5" t="n">
        <v>46276</v>
      </c>
      <c r="D3582" t="inlineStr">
        <is>
          <t>Saltbush Plan Managers</t>
        </is>
      </c>
      <c r="E3582" t="inlineStr">
        <is>
          <t>INV/2026/02998</t>
        </is>
      </c>
      <c r="F3582" t="inlineStr">
        <is>
          <t>Customer payment INV/2026/02998</t>
        </is>
      </c>
      <c r="G3582" s="9" t="n">
        <v>126.99</v>
      </c>
      <c r="H3582" t="inlineStr">
        <is>
          <t>customer_payment</t>
        </is>
      </c>
      <c r="I3582" t="inlineStr"/>
      <c r="J3582" t="inlineStr">
        <is>
          <t>G00420</t>
        </is>
      </c>
      <c r="K3582" t="str">
        <f>INDEX('Match Groups'!$D$5:$D$1326,MATCH(J3582,'Match Groups'!$A$5:$A$1326,0))</f>
        <v>MATCH</v>
      </c>
    </row>
    <row r="3583">
      <c r="A3583" t="inlineStr">
        <is>
          <t>JI-01626</t>
        </is>
      </c>
      <c r="B3583" t="inlineStr">
        <is>
          <t>OPS</t>
        </is>
      </c>
      <c r="C3583" s="5" t="n">
        <v>46276</v>
      </c>
      <c r="D3583" t="inlineStr">
        <is>
          <t>Meridian Health Cover</t>
        </is>
      </c>
      <c r="E3583" t="inlineStr">
        <is>
          <t>INV/2026/02797</t>
        </is>
      </c>
      <c r="F3583" t="inlineStr">
        <is>
          <t>Customer payment INV/2026/02797</t>
        </is>
      </c>
      <c r="G3583" s="9" t="n">
        <v>88</v>
      </c>
      <c r="H3583" t="inlineStr">
        <is>
          <t>customer_payment</t>
        </is>
      </c>
      <c r="I3583" t="inlineStr"/>
      <c r="J3583" t="inlineStr">
        <is>
          <t>G01060</t>
        </is>
      </c>
      <c r="K3583" t="str">
        <f>INDEX('Match Groups'!$D$5:$D$1326,MATCH(J3583,'Match Groups'!$A$5:$A$1326,0))</f>
        <v>MATCH</v>
      </c>
    </row>
    <row r="3584">
      <c r="A3584" t="inlineStr">
        <is>
          <t>JI-01644</t>
        </is>
      </c>
      <c r="B3584" t="inlineStr">
        <is>
          <t>OPS</t>
        </is>
      </c>
      <c r="C3584" s="5" t="n">
        <v>46276</v>
      </c>
      <c r="D3584" t="inlineStr">
        <is>
          <t>Northline Injury Claims</t>
        </is>
      </c>
      <c r="E3584" t="inlineStr">
        <is>
          <t>INV/2026/02884</t>
        </is>
      </c>
      <c r="F3584" t="inlineStr">
        <is>
          <t>Customer payment INV/2026/02884</t>
        </is>
      </c>
      <c r="G3584" s="9" t="n">
        <v>132</v>
      </c>
      <c r="H3584" t="inlineStr">
        <is>
          <t>customer_payment</t>
        </is>
      </c>
      <c r="I3584" t="inlineStr"/>
      <c r="J3584" t="inlineStr">
        <is>
          <t>G01061</t>
        </is>
      </c>
      <c r="K3584" t="str">
        <f>INDEX('Match Groups'!$D$5:$D$1326,MATCH(J3584,'Match Groups'!$A$5:$A$1326,0))</f>
        <v>MATCH</v>
      </c>
    </row>
    <row r="3585">
      <c r="A3585" t="inlineStr">
        <is>
          <t>JI-01686</t>
        </is>
      </c>
      <c r="B3585" t="inlineStr">
        <is>
          <t>OPS</t>
        </is>
      </c>
      <c r="C3585" s="5" t="n">
        <v>46276</v>
      </c>
      <c r="D3585" t="inlineStr">
        <is>
          <t>Quillon Engineering</t>
        </is>
      </c>
      <c r="E3585" t="inlineStr">
        <is>
          <t>INV/2026/03531</t>
        </is>
      </c>
      <c r="F3585" t="inlineStr">
        <is>
          <t>Customer payment INV/2026/03531</t>
        </is>
      </c>
      <c r="G3585" s="9" t="n">
        <v>2186.25</v>
      </c>
      <c r="H3585" t="inlineStr">
        <is>
          <t>customer_payment</t>
        </is>
      </c>
      <c r="I3585" t="inlineStr"/>
      <c r="J3585" t="inlineStr">
        <is>
          <t>G01062</t>
        </is>
      </c>
      <c r="K3585" t="str">
        <f>INDEX('Match Groups'!$D$5:$D$1326,MATCH(J3585,'Match Groups'!$A$5:$A$1326,0))</f>
        <v>MATCH</v>
      </c>
    </row>
    <row r="3586">
      <c r="A3586" t="inlineStr">
        <is>
          <t>JI-01772</t>
        </is>
      </c>
      <c r="B3586" t="inlineStr">
        <is>
          <t>OPS</t>
        </is>
      </c>
      <c r="C3586" s="5" t="n">
        <v>46276</v>
      </c>
      <c r="D3586" t="inlineStr">
        <is>
          <t>Stanhope Trucking</t>
        </is>
      </c>
      <c r="E3586" t="inlineStr">
        <is>
          <t>INV/2026/03567</t>
        </is>
      </c>
      <c r="F3586" t="inlineStr">
        <is>
          <t>Customer payment INV/2026/03567</t>
        </is>
      </c>
      <c r="G3586" s="9" t="n">
        <v>5280</v>
      </c>
      <c r="H3586" t="inlineStr">
        <is>
          <t>customer_payment</t>
        </is>
      </c>
      <c r="I3586" t="inlineStr"/>
      <c r="J3586" t="inlineStr">
        <is>
          <t>G01063</t>
        </is>
      </c>
      <c r="K3586" t="str">
        <f>INDEX('Match Groups'!$D$5:$D$1326,MATCH(J3586,'Match Groups'!$A$5:$A$1326,0))</f>
        <v>MATCH</v>
      </c>
    </row>
    <row r="3587">
      <c r="A3587" t="inlineStr">
        <is>
          <t>JI-03310</t>
        </is>
      </c>
      <c r="B3587" t="inlineStr">
        <is>
          <t>OPS</t>
        </is>
      </c>
      <c r="C3587" s="5" t="n">
        <v>46276</v>
      </c>
      <c r="D3587" t="inlineStr">
        <is>
          <t>Stripe patient 78800</t>
        </is>
      </c>
      <c r="E3587" t="inlineStr">
        <is>
          <t>INV/2026/05151</t>
        </is>
      </c>
      <c r="F3587" t="inlineStr">
        <is>
          <t>Customer payment INV/2026/05151</t>
        </is>
      </c>
      <c r="G3587" s="9" t="n">
        <v>180</v>
      </c>
      <c r="H3587" t="inlineStr">
        <is>
          <t>customer_payment</t>
        </is>
      </c>
      <c r="I3587" t="inlineStr"/>
      <c r="J3587" t="inlineStr">
        <is>
          <t>G00068</t>
        </is>
      </c>
      <c r="K3587" t="str">
        <f>INDEX('Match Groups'!$D$5:$D$1326,MATCH(J3587,'Match Groups'!$A$5:$A$1326,0))</f>
        <v>STRIPE-FEE</v>
      </c>
    </row>
    <row r="3588">
      <c r="A3588" t="inlineStr">
        <is>
          <t>JI-03311</t>
        </is>
      </c>
      <c r="B3588" t="inlineStr">
        <is>
          <t>OPS</t>
        </is>
      </c>
      <c r="C3588" s="5" t="n">
        <v>46276</v>
      </c>
      <c r="D3588" t="inlineStr">
        <is>
          <t>Stripe patient 80889</t>
        </is>
      </c>
      <c r="E3588" t="inlineStr">
        <is>
          <t>INV/2026/05152</t>
        </is>
      </c>
      <c r="F3588" t="inlineStr">
        <is>
          <t>Customer payment INV/2026/05152</t>
        </is>
      </c>
      <c r="G3588" s="9" t="n">
        <v>65</v>
      </c>
      <c r="H3588" t="inlineStr">
        <is>
          <t>customer_payment</t>
        </is>
      </c>
      <c r="I3588" t="inlineStr"/>
      <c r="J3588" t="inlineStr">
        <is>
          <t>G00068</t>
        </is>
      </c>
      <c r="K3588" t="str">
        <f>INDEX('Match Groups'!$D$5:$D$1326,MATCH(J3588,'Match Groups'!$A$5:$A$1326,0))</f>
        <v>STRIPE-FEE</v>
      </c>
    </row>
    <row r="3589">
      <c r="A3589" t="inlineStr">
        <is>
          <t>JI-03312</t>
        </is>
      </c>
      <c r="B3589" t="inlineStr">
        <is>
          <t>OPS</t>
        </is>
      </c>
      <c r="C3589" s="5" t="n">
        <v>46276</v>
      </c>
      <c r="D3589" t="inlineStr">
        <is>
          <t>Stripe patient 53426</t>
        </is>
      </c>
      <c r="E3589" t="inlineStr">
        <is>
          <t>INV/2026/05153</t>
        </is>
      </c>
      <c r="F3589" t="inlineStr">
        <is>
          <t>Customer payment INV/2026/05153</t>
        </is>
      </c>
      <c r="G3589" s="9" t="n">
        <v>220</v>
      </c>
      <c r="H3589" t="inlineStr">
        <is>
          <t>customer_payment</t>
        </is>
      </c>
      <c r="I3589" t="inlineStr"/>
      <c r="J3589" t="inlineStr">
        <is>
          <t>G00068</t>
        </is>
      </c>
      <c r="K3589" t="str">
        <f>INDEX('Match Groups'!$D$5:$D$1326,MATCH(J3589,'Match Groups'!$A$5:$A$1326,0))</f>
        <v>STRIPE-FEE</v>
      </c>
    </row>
    <row r="3590">
      <c r="A3590" t="inlineStr">
        <is>
          <t>JI-03313</t>
        </is>
      </c>
      <c r="B3590" t="inlineStr">
        <is>
          <t>OPS</t>
        </is>
      </c>
      <c r="C3590" s="5" t="n">
        <v>46276</v>
      </c>
      <c r="D3590" t="inlineStr">
        <is>
          <t>Stripe patient 93644</t>
        </is>
      </c>
      <c r="E3590" t="inlineStr">
        <is>
          <t>INV/2026/05154</t>
        </is>
      </c>
      <c r="F3590" t="inlineStr">
        <is>
          <t>Customer payment INV/2026/05154</t>
        </is>
      </c>
      <c r="G3590" s="9" t="n">
        <v>150</v>
      </c>
      <c r="H3590" t="inlineStr">
        <is>
          <t>customer_payment</t>
        </is>
      </c>
      <c r="I3590" t="inlineStr"/>
      <c r="J3590" t="inlineStr">
        <is>
          <t>G00068</t>
        </is>
      </c>
      <c r="K3590" t="str">
        <f>INDEX('Match Groups'!$D$5:$D$1326,MATCH(J3590,'Match Groups'!$A$5:$A$1326,0))</f>
        <v>STRIPE-FEE</v>
      </c>
    </row>
    <row r="3591">
      <c r="A3591" t="inlineStr">
        <is>
          <t>JI-03314</t>
        </is>
      </c>
      <c r="B3591" t="inlineStr">
        <is>
          <t>OPS</t>
        </is>
      </c>
      <c r="C3591" s="5" t="n">
        <v>46276</v>
      </c>
      <c r="D3591" t="inlineStr">
        <is>
          <t>Stripe patient 40209</t>
        </is>
      </c>
      <c r="E3591" t="inlineStr">
        <is>
          <t>INV/2026/05155</t>
        </is>
      </c>
      <c r="F3591" t="inlineStr">
        <is>
          <t>Customer payment INV/2026/05155</t>
        </is>
      </c>
      <c r="G3591" s="9" t="n">
        <v>220</v>
      </c>
      <c r="H3591" t="inlineStr">
        <is>
          <t>customer_payment</t>
        </is>
      </c>
      <c r="I3591" t="inlineStr"/>
      <c r="J3591" t="inlineStr">
        <is>
          <t>G00068</t>
        </is>
      </c>
      <c r="K3591" t="str">
        <f>INDEX('Match Groups'!$D$5:$D$1326,MATCH(J3591,'Match Groups'!$A$5:$A$1326,0))</f>
        <v>STRIPE-FEE</v>
      </c>
    </row>
    <row r="3592">
      <c r="A3592" t="inlineStr">
        <is>
          <t>JI-03315</t>
        </is>
      </c>
      <c r="B3592" t="inlineStr">
        <is>
          <t>OPS</t>
        </is>
      </c>
      <c r="C3592" s="5" t="n">
        <v>46276</v>
      </c>
      <c r="D3592" t="inlineStr">
        <is>
          <t>Stripe patient 24860</t>
        </is>
      </c>
      <c r="E3592" t="inlineStr">
        <is>
          <t>INV/2026/05156</t>
        </is>
      </c>
      <c r="F3592" t="inlineStr">
        <is>
          <t>Customer payment INV/2026/05156</t>
        </is>
      </c>
      <c r="G3592" s="9" t="n">
        <v>95</v>
      </c>
      <c r="H3592" t="inlineStr">
        <is>
          <t>customer_payment</t>
        </is>
      </c>
      <c r="I3592" t="inlineStr"/>
      <c r="J3592" t="inlineStr">
        <is>
          <t>G00068</t>
        </is>
      </c>
      <c r="K3592" t="str">
        <f>INDEX('Match Groups'!$D$5:$D$1326,MATCH(J3592,'Match Groups'!$A$5:$A$1326,0))</f>
        <v>STRIPE-FEE</v>
      </c>
    </row>
    <row r="3593">
      <c r="A3593" t="inlineStr">
        <is>
          <t>JI-03316</t>
        </is>
      </c>
      <c r="B3593" t="inlineStr">
        <is>
          <t>OPS</t>
        </is>
      </c>
      <c r="C3593" s="5" t="n">
        <v>46276</v>
      </c>
      <c r="D3593" t="inlineStr">
        <is>
          <t>Stripe patient 82073</t>
        </is>
      </c>
      <c r="E3593" t="inlineStr">
        <is>
          <t>INV/2026/05157</t>
        </is>
      </c>
      <c r="F3593" t="inlineStr">
        <is>
          <t>Customer payment INV/2026/05157</t>
        </is>
      </c>
      <c r="G3593" s="9" t="n">
        <v>85</v>
      </c>
      <c r="H3593" t="inlineStr">
        <is>
          <t>customer_payment</t>
        </is>
      </c>
      <c r="I3593" t="inlineStr"/>
      <c r="J3593" t="inlineStr">
        <is>
          <t>G00068</t>
        </is>
      </c>
      <c r="K3593" t="str">
        <f>INDEX('Match Groups'!$D$5:$D$1326,MATCH(J3593,'Match Groups'!$A$5:$A$1326,0))</f>
        <v>STRIPE-FEE</v>
      </c>
    </row>
    <row r="3594">
      <c r="A3594" t="inlineStr">
        <is>
          <t>JI-03317</t>
        </is>
      </c>
      <c r="B3594" t="inlineStr">
        <is>
          <t>OPS</t>
        </is>
      </c>
      <c r="C3594" s="5" t="n">
        <v>46276</v>
      </c>
      <c r="D3594" t="inlineStr">
        <is>
          <t>Stripe patient 60435</t>
        </is>
      </c>
      <c r="E3594" t="inlineStr">
        <is>
          <t>INV/2026/05158</t>
        </is>
      </c>
      <c r="F3594" t="inlineStr">
        <is>
          <t>Customer payment INV/2026/05158</t>
        </is>
      </c>
      <c r="G3594" s="9" t="n">
        <v>85</v>
      </c>
      <c r="H3594" t="inlineStr">
        <is>
          <t>customer_payment</t>
        </is>
      </c>
      <c r="I3594" t="inlineStr"/>
      <c r="J3594" t="inlineStr">
        <is>
          <t>G00068</t>
        </is>
      </c>
      <c r="K3594" t="str">
        <f>INDEX('Match Groups'!$D$5:$D$1326,MATCH(J3594,'Match Groups'!$A$5:$A$1326,0))</f>
        <v>STRIPE-FEE</v>
      </c>
    </row>
    <row r="3595">
      <c r="A3595" t="inlineStr">
        <is>
          <t>JI-03318</t>
        </is>
      </c>
      <c r="B3595" t="inlineStr">
        <is>
          <t>OPS</t>
        </is>
      </c>
      <c r="C3595" s="5" t="n">
        <v>46276</v>
      </c>
      <c r="D3595" t="inlineStr">
        <is>
          <t>Stripe patient 11468</t>
        </is>
      </c>
      <c r="E3595" t="inlineStr">
        <is>
          <t>INV/2026/05159</t>
        </is>
      </c>
      <c r="F3595" t="inlineStr">
        <is>
          <t>Customer payment INV/2026/05159</t>
        </is>
      </c>
      <c r="G3595" s="9" t="n">
        <v>110</v>
      </c>
      <c r="H3595" t="inlineStr">
        <is>
          <t>customer_payment</t>
        </is>
      </c>
      <c r="I3595" t="inlineStr"/>
      <c r="J3595" t="inlineStr">
        <is>
          <t>G00068</t>
        </is>
      </c>
      <c r="K3595" t="str">
        <f>INDEX('Match Groups'!$D$5:$D$1326,MATCH(J3595,'Match Groups'!$A$5:$A$1326,0))</f>
        <v>STRIPE-FEE</v>
      </c>
    </row>
    <row r="3596">
      <c r="A3596" t="inlineStr">
        <is>
          <t>JI-03319</t>
        </is>
      </c>
      <c r="B3596" t="inlineStr">
        <is>
          <t>OPS</t>
        </is>
      </c>
      <c r="C3596" s="5" t="n">
        <v>46276</v>
      </c>
      <c r="D3596" t="inlineStr">
        <is>
          <t>Stripe patient 32579</t>
        </is>
      </c>
      <c r="E3596" t="inlineStr">
        <is>
          <t>INV/2026/05160</t>
        </is>
      </c>
      <c r="F3596" t="inlineStr">
        <is>
          <t>Customer payment INV/2026/05160</t>
        </is>
      </c>
      <c r="G3596" s="9" t="n">
        <v>150</v>
      </c>
      <c r="H3596" t="inlineStr">
        <is>
          <t>customer_payment</t>
        </is>
      </c>
      <c r="I3596" t="inlineStr"/>
      <c r="J3596" t="inlineStr">
        <is>
          <t>G00068</t>
        </is>
      </c>
      <c r="K3596" t="str">
        <f>INDEX('Match Groups'!$D$5:$D$1326,MATCH(J3596,'Match Groups'!$A$5:$A$1326,0))</f>
        <v>STRIPE-FEE</v>
      </c>
    </row>
    <row r="3597">
      <c r="A3597" t="inlineStr">
        <is>
          <t>JI-03320</t>
        </is>
      </c>
      <c r="B3597" t="inlineStr">
        <is>
          <t>OPS</t>
        </is>
      </c>
      <c r="C3597" s="5" t="n">
        <v>46276</v>
      </c>
      <c r="D3597" t="inlineStr">
        <is>
          <t>Stripe patient 10874</t>
        </is>
      </c>
      <c r="E3597" t="inlineStr">
        <is>
          <t>INV/2026/05161</t>
        </is>
      </c>
      <c r="F3597" t="inlineStr">
        <is>
          <t>Customer payment INV/2026/05161</t>
        </is>
      </c>
      <c r="G3597" s="9" t="n">
        <v>65</v>
      </c>
      <c r="H3597" t="inlineStr">
        <is>
          <t>customer_payment</t>
        </is>
      </c>
      <c r="I3597" t="inlineStr"/>
      <c r="J3597" t="inlineStr">
        <is>
          <t>G00068</t>
        </is>
      </c>
      <c r="K3597" t="str">
        <f>INDEX('Match Groups'!$D$5:$D$1326,MATCH(J3597,'Match Groups'!$A$5:$A$1326,0))</f>
        <v>STRIPE-FEE</v>
      </c>
    </row>
    <row r="3598">
      <c r="A3598" t="inlineStr">
        <is>
          <t>JI-03321</t>
        </is>
      </c>
      <c r="B3598" t="inlineStr">
        <is>
          <t>OPS</t>
        </is>
      </c>
      <c r="C3598" s="5" t="n">
        <v>46276</v>
      </c>
      <c r="D3598" t="inlineStr">
        <is>
          <t>Stripe patient 59698</t>
        </is>
      </c>
      <c r="E3598" t="inlineStr">
        <is>
          <t>INV/2026/05162</t>
        </is>
      </c>
      <c r="F3598" t="inlineStr">
        <is>
          <t>Customer payment INV/2026/05162</t>
        </is>
      </c>
      <c r="G3598" s="9" t="n">
        <v>110</v>
      </c>
      <c r="H3598" t="inlineStr">
        <is>
          <t>customer_payment</t>
        </is>
      </c>
      <c r="I3598" t="inlineStr"/>
      <c r="J3598" t="inlineStr">
        <is>
          <t>G00068</t>
        </is>
      </c>
      <c r="K3598" t="str">
        <f>INDEX('Match Groups'!$D$5:$D$1326,MATCH(J3598,'Match Groups'!$A$5:$A$1326,0))</f>
        <v>STRIPE-FEE</v>
      </c>
    </row>
    <row r="3599">
      <c r="A3599" t="inlineStr">
        <is>
          <t>JI-03322</t>
        </is>
      </c>
      <c r="B3599" t="inlineStr">
        <is>
          <t>OPS</t>
        </is>
      </c>
      <c r="C3599" s="5" t="n">
        <v>46276</v>
      </c>
      <c r="D3599" t="inlineStr">
        <is>
          <t>Stripe patient 16400</t>
        </is>
      </c>
      <c r="E3599" t="inlineStr">
        <is>
          <t>INV/2026/05163</t>
        </is>
      </c>
      <c r="F3599" t="inlineStr">
        <is>
          <t>Customer payment INV/2026/05163</t>
        </is>
      </c>
      <c r="G3599" s="9" t="n">
        <v>135</v>
      </c>
      <c r="H3599" t="inlineStr">
        <is>
          <t>customer_payment</t>
        </is>
      </c>
      <c r="I3599" t="inlineStr"/>
      <c r="J3599" t="inlineStr">
        <is>
          <t>G00068</t>
        </is>
      </c>
      <c r="K3599" t="str">
        <f>INDEX('Match Groups'!$D$5:$D$1326,MATCH(J3599,'Match Groups'!$A$5:$A$1326,0))</f>
        <v>STRIPE-FEE</v>
      </c>
    </row>
    <row r="3600">
      <c r="A3600" t="inlineStr">
        <is>
          <t>JI-03323</t>
        </is>
      </c>
      <c r="B3600" t="inlineStr">
        <is>
          <t>OPS</t>
        </is>
      </c>
      <c r="C3600" s="5" t="n">
        <v>46276</v>
      </c>
      <c r="D3600" t="inlineStr">
        <is>
          <t>Stripe patient 26575</t>
        </is>
      </c>
      <c r="E3600" t="inlineStr">
        <is>
          <t>INV/2026/05164</t>
        </is>
      </c>
      <c r="F3600" t="inlineStr">
        <is>
          <t>Customer payment INV/2026/05164</t>
        </is>
      </c>
      <c r="G3600" s="9" t="n">
        <v>65</v>
      </c>
      <c r="H3600" t="inlineStr">
        <is>
          <t>customer_payment</t>
        </is>
      </c>
      <c r="I3600" t="inlineStr"/>
      <c r="J3600" t="inlineStr">
        <is>
          <t>G00068</t>
        </is>
      </c>
      <c r="K3600" t="str">
        <f>INDEX('Match Groups'!$D$5:$D$1326,MATCH(J3600,'Match Groups'!$A$5:$A$1326,0))</f>
        <v>STRIPE-FEE</v>
      </c>
    </row>
    <row r="3601">
      <c r="A3601" t="inlineStr">
        <is>
          <t>JI-03324</t>
        </is>
      </c>
      <c r="B3601" t="inlineStr">
        <is>
          <t>OPS</t>
        </is>
      </c>
      <c r="C3601" s="5" t="n">
        <v>46276</v>
      </c>
      <c r="D3601" t="inlineStr">
        <is>
          <t>Stripe patient 70560</t>
        </is>
      </c>
      <c r="E3601" t="inlineStr">
        <is>
          <t>INV/2026/05165</t>
        </is>
      </c>
      <c r="F3601" t="inlineStr">
        <is>
          <t>Customer payment INV/2026/05165</t>
        </is>
      </c>
      <c r="G3601" s="9" t="n">
        <v>120</v>
      </c>
      <c r="H3601" t="inlineStr">
        <is>
          <t>customer_payment</t>
        </is>
      </c>
      <c r="I3601" t="inlineStr"/>
      <c r="J3601" t="inlineStr">
        <is>
          <t>G00068</t>
        </is>
      </c>
      <c r="K3601" t="str">
        <f>INDEX('Match Groups'!$D$5:$D$1326,MATCH(J3601,'Match Groups'!$A$5:$A$1326,0))</f>
        <v>STRIPE-FEE</v>
      </c>
    </row>
    <row r="3602">
      <c r="A3602" t="inlineStr">
        <is>
          <t>JI-03325</t>
        </is>
      </c>
      <c r="B3602" t="inlineStr">
        <is>
          <t>OPS</t>
        </is>
      </c>
      <c r="C3602" s="5" t="n">
        <v>46276</v>
      </c>
      <c r="D3602" t="inlineStr">
        <is>
          <t>Stripe patient 52960</t>
        </is>
      </c>
      <c r="E3602" t="inlineStr">
        <is>
          <t>INV/2026/05166</t>
        </is>
      </c>
      <c r="F3602" t="inlineStr">
        <is>
          <t>Customer payment INV/2026/05166</t>
        </is>
      </c>
      <c r="G3602" s="9" t="n">
        <v>150</v>
      </c>
      <c r="H3602" t="inlineStr">
        <is>
          <t>customer_payment</t>
        </is>
      </c>
      <c r="I3602" t="inlineStr"/>
      <c r="J3602" t="inlineStr">
        <is>
          <t>G00068</t>
        </is>
      </c>
      <c r="K3602" t="str">
        <f>INDEX('Match Groups'!$D$5:$D$1326,MATCH(J3602,'Match Groups'!$A$5:$A$1326,0))</f>
        <v>STRIPE-FEE</v>
      </c>
    </row>
    <row r="3603">
      <c r="A3603" t="inlineStr">
        <is>
          <t>JI-03326</t>
        </is>
      </c>
      <c r="B3603" t="inlineStr">
        <is>
          <t>OPS</t>
        </is>
      </c>
      <c r="C3603" s="5" t="n">
        <v>46276</v>
      </c>
      <c r="D3603" t="inlineStr">
        <is>
          <t>Stripe patient 74562</t>
        </is>
      </c>
      <c r="E3603" t="inlineStr">
        <is>
          <t>INV/2026/05167</t>
        </is>
      </c>
      <c r="F3603" t="inlineStr">
        <is>
          <t>Customer payment INV/2026/05167</t>
        </is>
      </c>
      <c r="G3603" s="9" t="n">
        <v>120</v>
      </c>
      <c r="H3603" t="inlineStr">
        <is>
          <t>customer_payment</t>
        </is>
      </c>
      <c r="I3603" t="inlineStr"/>
      <c r="J3603" t="inlineStr">
        <is>
          <t>G00068</t>
        </is>
      </c>
      <c r="K3603" t="str">
        <f>INDEX('Match Groups'!$D$5:$D$1326,MATCH(J3603,'Match Groups'!$A$5:$A$1326,0))</f>
        <v>STRIPE-FEE</v>
      </c>
    </row>
    <row r="3604">
      <c r="A3604" t="inlineStr">
        <is>
          <t>JI-03327</t>
        </is>
      </c>
      <c r="B3604" t="inlineStr">
        <is>
          <t>OPS</t>
        </is>
      </c>
      <c r="C3604" s="5" t="n">
        <v>46276</v>
      </c>
      <c r="D3604" t="inlineStr">
        <is>
          <t>Stripe patient 16123</t>
        </is>
      </c>
      <c r="E3604" t="inlineStr">
        <is>
          <t>INV/2026/05168</t>
        </is>
      </c>
      <c r="F3604" t="inlineStr">
        <is>
          <t>Customer payment INV/2026/05168</t>
        </is>
      </c>
      <c r="G3604" s="9" t="n">
        <v>85</v>
      </c>
      <c r="H3604" t="inlineStr">
        <is>
          <t>customer_payment</t>
        </is>
      </c>
      <c r="I3604" t="inlineStr"/>
      <c r="J3604" t="inlineStr">
        <is>
          <t>G00068</t>
        </is>
      </c>
      <c r="K3604" t="str">
        <f>INDEX('Match Groups'!$D$5:$D$1326,MATCH(J3604,'Match Groups'!$A$5:$A$1326,0))</f>
        <v>STRIPE-FEE</v>
      </c>
    </row>
    <row r="3605">
      <c r="A3605" t="inlineStr">
        <is>
          <t>JI-03328</t>
        </is>
      </c>
      <c r="B3605" t="inlineStr">
        <is>
          <t>OPS</t>
        </is>
      </c>
      <c r="C3605" s="5" t="n">
        <v>46276</v>
      </c>
      <c r="D3605" t="inlineStr">
        <is>
          <t>Stripe patient 55417</t>
        </is>
      </c>
      <c r="E3605" t="inlineStr">
        <is>
          <t>INV/2026/05169</t>
        </is>
      </c>
      <c r="F3605" t="inlineStr">
        <is>
          <t>Customer payment INV/2026/05169</t>
        </is>
      </c>
      <c r="G3605" s="9" t="n">
        <v>180</v>
      </c>
      <c r="H3605" t="inlineStr">
        <is>
          <t>customer_payment</t>
        </is>
      </c>
      <c r="I3605" t="inlineStr"/>
      <c r="J3605" t="inlineStr">
        <is>
          <t>G00068</t>
        </is>
      </c>
      <c r="K3605" t="str">
        <f>INDEX('Match Groups'!$D$5:$D$1326,MATCH(J3605,'Match Groups'!$A$5:$A$1326,0))</f>
        <v>STRIPE-FEE</v>
      </c>
    </row>
    <row r="3606">
      <c r="A3606" t="inlineStr">
        <is>
          <t>JI-03329</t>
        </is>
      </c>
      <c r="B3606" t="inlineStr">
        <is>
          <t>OPS</t>
        </is>
      </c>
      <c r="C3606" s="5" t="n">
        <v>46276</v>
      </c>
      <c r="D3606" t="inlineStr">
        <is>
          <t>Stripe patient 44470</t>
        </is>
      </c>
      <c r="E3606" t="inlineStr">
        <is>
          <t>INV/2026/05170</t>
        </is>
      </c>
      <c r="F3606" t="inlineStr">
        <is>
          <t>Customer payment INV/2026/05170</t>
        </is>
      </c>
      <c r="G3606" s="9" t="n">
        <v>180</v>
      </c>
      <c r="H3606" t="inlineStr">
        <is>
          <t>customer_payment</t>
        </is>
      </c>
      <c r="I3606" t="inlineStr"/>
      <c r="J3606" t="inlineStr">
        <is>
          <t>G00068</t>
        </is>
      </c>
      <c r="K3606" t="str">
        <f>INDEX('Match Groups'!$D$5:$D$1326,MATCH(J3606,'Match Groups'!$A$5:$A$1326,0))</f>
        <v>STRIPE-FEE</v>
      </c>
    </row>
    <row r="3607">
      <c r="A3607" t="inlineStr">
        <is>
          <t>JI-03330</t>
        </is>
      </c>
      <c r="B3607" t="inlineStr">
        <is>
          <t>OPS</t>
        </is>
      </c>
      <c r="C3607" s="5" t="n">
        <v>46276</v>
      </c>
      <c r="D3607" t="inlineStr">
        <is>
          <t>Stripe patient 19111</t>
        </is>
      </c>
      <c r="E3607" t="inlineStr">
        <is>
          <t>INV/2026/05171</t>
        </is>
      </c>
      <c r="F3607" t="inlineStr">
        <is>
          <t>Customer payment INV/2026/05171</t>
        </is>
      </c>
      <c r="G3607" s="9" t="n">
        <v>110</v>
      </c>
      <c r="H3607" t="inlineStr">
        <is>
          <t>customer_payment</t>
        </is>
      </c>
      <c r="I3607" t="inlineStr"/>
      <c r="J3607" t="inlineStr">
        <is>
          <t>G00068</t>
        </is>
      </c>
      <c r="K3607" t="str">
        <f>INDEX('Match Groups'!$D$5:$D$1326,MATCH(J3607,'Match Groups'!$A$5:$A$1326,0))</f>
        <v>STRIPE-FEE</v>
      </c>
    </row>
    <row r="3608">
      <c r="A3608" t="inlineStr">
        <is>
          <t>JI-03331</t>
        </is>
      </c>
      <c r="B3608" t="inlineStr">
        <is>
          <t>OPS</t>
        </is>
      </c>
      <c r="C3608" s="5" t="n">
        <v>46276</v>
      </c>
      <c r="D3608" t="inlineStr">
        <is>
          <t>Stripe patient 56523</t>
        </is>
      </c>
      <c r="E3608" t="inlineStr">
        <is>
          <t>INV/2026/05172</t>
        </is>
      </c>
      <c r="F3608" t="inlineStr">
        <is>
          <t>Customer payment INV/2026/05172</t>
        </is>
      </c>
      <c r="G3608" s="9" t="n">
        <v>95</v>
      </c>
      <c r="H3608" t="inlineStr">
        <is>
          <t>customer_payment</t>
        </is>
      </c>
      <c r="I3608" t="inlineStr"/>
      <c r="J3608" t="inlineStr">
        <is>
          <t>G00068</t>
        </is>
      </c>
      <c r="K3608" t="str">
        <f>INDEX('Match Groups'!$D$5:$D$1326,MATCH(J3608,'Match Groups'!$A$5:$A$1326,0))</f>
        <v>STRIPE-FEE</v>
      </c>
    </row>
    <row r="3609">
      <c r="A3609" t="inlineStr">
        <is>
          <t>JI-03332</t>
        </is>
      </c>
      <c r="B3609" t="inlineStr">
        <is>
          <t>OPS</t>
        </is>
      </c>
      <c r="C3609" s="5" t="n">
        <v>46276</v>
      </c>
      <c r="D3609" t="inlineStr">
        <is>
          <t>Stripe patient 66847</t>
        </is>
      </c>
      <c r="E3609" t="inlineStr">
        <is>
          <t>INV/2026/05173</t>
        </is>
      </c>
      <c r="F3609" t="inlineStr">
        <is>
          <t>Customer payment INV/2026/05173</t>
        </is>
      </c>
      <c r="G3609" s="9" t="n">
        <v>65</v>
      </c>
      <c r="H3609" t="inlineStr">
        <is>
          <t>customer_payment</t>
        </is>
      </c>
      <c r="I3609" t="inlineStr"/>
      <c r="J3609" t="inlineStr">
        <is>
          <t>G00068</t>
        </is>
      </c>
      <c r="K3609" t="str">
        <f>INDEX('Match Groups'!$D$5:$D$1326,MATCH(J3609,'Match Groups'!$A$5:$A$1326,0))</f>
        <v>STRIPE-FEE</v>
      </c>
    </row>
    <row r="3610">
      <c r="A3610" t="inlineStr">
        <is>
          <t>JI-03333</t>
        </is>
      </c>
      <c r="B3610" t="inlineStr">
        <is>
          <t>OPS</t>
        </is>
      </c>
      <c r="C3610" s="5" t="n">
        <v>46276</v>
      </c>
      <c r="D3610" t="inlineStr">
        <is>
          <t>Stripe patient 32533</t>
        </is>
      </c>
      <c r="E3610" t="inlineStr">
        <is>
          <t>INV/2026/05174</t>
        </is>
      </c>
      <c r="F3610" t="inlineStr">
        <is>
          <t>Customer payment INV/2026/05174</t>
        </is>
      </c>
      <c r="G3610" s="9" t="n">
        <v>95</v>
      </c>
      <c r="H3610" t="inlineStr">
        <is>
          <t>customer_payment</t>
        </is>
      </c>
      <c r="I3610" t="inlineStr"/>
      <c r="J3610" t="inlineStr">
        <is>
          <t>G00068</t>
        </is>
      </c>
      <c r="K3610" t="str">
        <f>INDEX('Match Groups'!$D$5:$D$1326,MATCH(J3610,'Match Groups'!$A$5:$A$1326,0))</f>
        <v>STRIPE-FEE</v>
      </c>
    </row>
    <row r="3611">
      <c r="A3611" t="inlineStr">
        <is>
          <t>JI-03334</t>
        </is>
      </c>
      <c r="B3611" t="inlineStr">
        <is>
          <t>OPS</t>
        </is>
      </c>
      <c r="C3611" s="5" t="n">
        <v>46276</v>
      </c>
      <c r="D3611" t="inlineStr">
        <is>
          <t>Stripe patient 28648</t>
        </is>
      </c>
      <c r="E3611" t="inlineStr">
        <is>
          <t>INV/2026/05175</t>
        </is>
      </c>
      <c r="F3611" t="inlineStr">
        <is>
          <t>Customer payment INV/2026/05175</t>
        </is>
      </c>
      <c r="G3611" s="9" t="n">
        <v>95</v>
      </c>
      <c r="H3611" t="inlineStr">
        <is>
          <t>customer_payment</t>
        </is>
      </c>
      <c r="I3611" t="inlineStr"/>
      <c r="J3611" t="inlineStr">
        <is>
          <t>G00068</t>
        </is>
      </c>
      <c r="K3611" t="str">
        <f>INDEX('Match Groups'!$D$5:$D$1326,MATCH(J3611,'Match Groups'!$A$5:$A$1326,0))</f>
        <v>STRIPE-FEE</v>
      </c>
    </row>
    <row r="3612">
      <c r="A3612" t="inlineStr">
        <is>
          <t>JI-03335</t>
        </is>
      </c>
      <c r="B3612" t="inlineStr">
        <is>
          <t>OPS</t>
        </is>
      </c>
      <c r="C3612" s="5" t="n">
        <v>46276</v>
      </c>
      <c r="D3612" t="inlineStr">
        <is>
          <t>Stripe patient 80565</t>
        </is>
      </c>
      <c r="E3612" t="inlineStr">
        <is>
          <t>INV/2026/05176</t>
        </is>
      </c>
      <c r="F3612" t="inlineStr">
        <is>
          <t>Customer payment INV/2026/05176</t>
        </is>
      </c>
      <c r="G3612" s="9" t="n">
        <v>220</v>
      </c>
      <c r="H3612" t="inlineStr">
        <is>
          <t>customer_payment</t>
        </is>
      </c>
      <c r="I3612" t="inlineStr"/>
      <c r="J3612" t="inlineStr">
        <is>
          <t>G00068</t>
        </is>
      </c>
      <c r="K3612" t="str">
        <f>INDEX('Match Groups'!$D$5:$D$1326,MATCH(J3612,'Match Groups'!$A$5:$A$1326,0))</f>
        <v>STRIPE-FEE</v>
      </c>
    </row>
    <row r="3613">
      <c r="A3613" t="inlineStr">
        <is>
          <t>JI-03336</t>
        </is>
      </c>
      <c r="B3613" t="inlineStr">
        <is>
          <t>OPS</t>
        </is>
      </c>
      <c r="C3613" s="5" t="n">
        <v>46276</v>
      </c>
      <c r="D3613" t="inlineStr">
        <is>
          <t>Stripe patient 82228</t>
        </is>
      </c>
      <c r="E3613" t="inlineStr">
        <is>
          <t>INV/2026/05177</t>
        </is>
      </c>
      <c r="F3613" t="inlineStr">
        <is>
          <t>Customer payment INV/2026/05177</t>
        </is>
      </c>
      <c r="G3613" s="9" t="n">
        <v>95</v>
      </c>
      <c r="H3613" t="inlineStr">
        <is>
          <t>customer_payment</t>
        </is>
      </c>
      <c r="I3613" t="inlineStr"/>
      <c r="J3613" t="inlineStr">
        <is>
          <t>G00068</t>
        </is>
      </c>
      <c r="K3613" t="str">
        <f>INDEX('Match Groups'!$D$5:$D$1326,MATCH(J3613,'Match Groups'!$A$5:$A$1326,0))</f>
        <v>STRIPE-FEE</v>
      </c>
    </row>
    <row r="3614">
      <c r="A3614" t="inlineStr">
        <is>
          <t>JI-03337</t>
        </is>
      </c>
      <c r="B3614" t="inlineStr">
        <is>
          <t>OPS</t>
        </is>
      </c>
      <c r="C3614" s="5" t="n">
        <v>46276</v>
      </c>
      <c r="D3614" t="inlineStr">
        <is>
          <t>Stripe patient 28992</t>
        </is>
      </c>
      <c r="E3614" t="inlineStr">
        <is>
          <t>INV/2026/05178</t>
        </is>
      </c>
      <c r="F3614" t="inlineStr">
        <is>
          <t>Customer payment INV/2026/05178</t>
        </is>
      </c>
      <c r="G3614" s="9" t="n">
        <v>150</v>
      </c>
      <c r="H3614" t="inlineStr">
        <is>
          <t>customer_payment</t>
        </is>
      </c>
      <c r="I3614" t="inlineStr"/>
      <c r="J3614" t="inlineStr">
        <is>
          <t>G00068</t>
        </is>
      </c>
      <c r="K3614" t="str">
        <f>INDEX('Match Groups'!$D$5:$D$1326,MATCH(J3614,'Match Groups'!$A$5:$A$1326,0))</f>
        <v>STRIPE-FEE</v>
      </c>
    </row>
    <row r="3615">
      <c r="A3615" t="inlineStr">
        <is>
          <t>JI-03338</t>
        </is>
      </c>
      <c r="B3615" t="inlineStr">
        <is>
          <t>OPS</t>
        </is>
      </c>
      <c r="C3615" s="5" t="n">
        <v>46276</v>
      </c>
      <c r="D3615" t="inlineStr">
        <is>
          <t>Stripe patient 40963</t>
        </is>
      </c>
      <c r="E3615" t="inlineStr">
        <is>
          <t>INV/2026/05179</t>
        </is>
      </c>
      <c r="F3615" t="inlineStr">
        <is>
          <t>Customer payment INV/2026/05179</t>
        </is>
      </c>
      <c r="G3615" s="9" t="n">
        <v>220</v>
      </c>
      <c r="H3615" t="inlineStr">
        <is>
          <t>customer_payment</t>
        </is>
      </c>
      <c r="I3615" t="inlineStr"/>
      <c r="J3615" t="inlineStr">
        <is>
          <t>G00068</t>
        </is>
      </c>
      <c r="K3615" t="str">
        <f>INDEX('Match Groups'!$D$5:$D$1326,MATCH(J3615,'Match Groups'!$A$5:$A$1326,0))</f>
        <v>STRIPE-FEE</v>
      </c>
    </row>
    <row r="3616">
      <c r="A3616" t="inlineStr">
        <is>
          <t>JI-03339</t>
        </is>
      </c>
      <c r="B3616" t="inlineStr">
        <is>
          <t>OPS</t>
        </is>
      </c>
      <c r="C3616" s="5" t="n">
        <v>46276</v>
      </c>
      <c r="D3616" t="inlineStr">
        <is>
          <t>Stripe patient 60538</t>
        </is>
      </c>
      <c r="E3616" t="inlineStr">
        <is>
          <t>INV/2026/05180</t>
        </is>
      </c>
      <c r="F3616" t="inlineStr">
        <is>
          <t>Customer payment INV/2026/05180</t>
        </is>
      </c>
      <c r="G3616" s="9" t="n">
        <v>120</v>
      </c>
      <c r="H3616" t="inlineStr">
        <is>
          <t>customer_payment</t>
        </is>
      </c>
      <c r="I3616" t="inlineStr"/>
      <c r="J3616" t="inlineStr">
        <is>
          <t>G00068</t>
        </is>
      </c>
      <c r="K3616" t="str">
        <f>INDEX('Match Groups'!$D$5:$D$1326,MATCH(J3616,'Match Groups'!$A$5:$A$1326,0))</f>
        <v>STRIPE-FEE</v>
      </c>
    </row>
    <row r="3617">
      <c r="A3617" t="inlineStr">
        <is>
          <t>JI-03927</t>
        </is>
      </c>
      <c r="B3617" t="inlineStr">
        <is>
          <t>OPS</t>
        </is>
      </c>
      <c r="C3617" s="5" t="n">
        <v>46276</v>
      </c>
      <c r="D3617" t="inlineStr">
        <is>
          <t>Fibrewire Networks</t>
        </is>
      </c>
      <c r="E3617" t="inlineStr">
        <is>
          <t>CHQ 000409</t>
        </is>
      </c>
      <c r="F3617" t="inlineStr">
        <is>
          <t>Cheque 000409 Fibrewire Networks</t>
        </is>
      </c>
      <c r="G3617" s="9" t="n">
        <v>-550</v>
      </c>
      <c r="H3617" t="inlineStr">
        <is>
          <t>supplier_payment</t>
        </is>
      </c>
      <c r="I3617" t="inlineStr"/>
      <c r="J3617" t="inlineStr">
        <is>
          <t>G00548</t>
        </is>
      </c>
      <c r="K3617" t="str">
        <f>INDEX('Match Groups'!$D$5:$D$1326,MATCH(J3617,'Match Groups'!$A$5:$A$1326,0))</f>
        <v>MATCH</v>
      </c>
    </row>
    <row r="3618">
      <c r="A3618" t="inlineStr">
        <is>
          <t>JI-03929</t>
        </is>
      </c>
      <c r="B3618" t="inlineStr">
        <is>
          <t>OPS</t>
        </is>
      </c>
      <c r="C3618" s="5" t="n">
        <v>46276</v>
      </c>
      <c r="D3618" t="inlineStr">
        <is>
          <t>Harbour IT Support</t>
        </is>
      </c>
      <c r="E3618" t="inlineStr">
        <is>
          <t>CHQ 000411</t>
        </is>
      </c>
      <c r="F3618" t="inlineStr">
        <is>
          <t>Cheque 000411 Harbour IT Support</t>
        </is>
      </c>
      <c r="G3618" s="9" t="n">
        <v>-924</v>
      </c>
      <c r="H3618" t="inlineStr">
        <is>
          <t>supplier_payment</t>
        </is>
      </c>
      <c r="I3618" t="inlineStr"/>
      <c r="J3618" t="inlineStr">
        <is>
          <t>G00542</t>
        </is>
      </c>
      <c r="K3618" t="str">
        <f>INDEX('Match Groups'!$D$5:$D$1326,MATCH(J3618,'Match Groups'!$A$5:$A$1326,0))</f>
        <v>MATCH</v>
      </c>
    </row>
    <row r="3619">
      <c r="A3619" t="inlineStr">
        <is>
          <t>JI-03340</t>
        </is>
      </c>
      <c r="B3619" t="inlineStr">
        <is>
          <t>OPS</t>
        </is>
      </c>
      <c r="C3619" s="5" t="n">
        <v>46277</v>
      </c>
      <c r="D3619" t="inlineStr">
        <is>
          <t>Stripe patient 93110</t>
        </is>
      </c>
      <c r="E3619" t="inlineStr">
        <is>
          <t>INV/2026/05181</t>
        </is>
      </c>
      <c r="F3619" t="inlineStr">
        <is>
          <t>Customer payment INV/2026/05181</t>
        </is>
      </c>
      <c r="G3619" s="9" t="n">
        <v>95</v>
      </c>
      <c r="H3619" t="inlineStr">
        <is>
          <t>customer_payment</t>
        </is>
      </c>
      <c r="I3619" t="inlineStr"/>
      <c r="J3619" t="inlineStr">
        <is>
          <t>G00068</t>
        </is>
      </c>
      <c r="K3619" t="str">
        <f>INDEX('Match Groups'!$D$5:$D$1326,MATCH(J3619,'Match Groups'!$A$5:$A$1326,0))</f>
        <v>STRIPE-FEE</v>
      </c>
    </row>
    <row r="3620">
      <c r="A3620" t="inlineStr">
        <is>
          <t>JI-03341</t>
        </is>
      </c>
      <c r="B3620" t="inlineStr">
        <is>
          <t>OPS</t>
        </is>
      </c>
      <c r="C3620" s="5" t="n">
        <v>46277</v>
      </c>
      <c r="D3620" t="inlineStr">
        <is>
          <t>Stripe patient 93611</t>
        </is>
      </c>
      <c r="E3620" t="inlineStr">
        <is>
          <t>INV/2026/05182</t>
        </is>
      </c>
      <c r="F3620" t="inlineStr">
        <is>
          <t>Customer payment INV/2026/05182</t>
        </is>
      </c>
      <c r="G3620" s="9" t="n">
        <v>120</v>
      </c>
      <c r="H3620" t="inlineStr">
        <is>
          <t>customer_payment</t>
        </is>
      </c>
      <c r="I3620" t="inlineStr"/>
      <c r="J3620" t="inlineStr">
        <is>
          <t>G00068</t>
        </is>
      </c>
      <c r="K3620" t="str">
        <f>INDEX('Match Groups'!$D$5:$D$1326,MATCH(J3620,'Match Groups'!$A$5:$A$1326,0))</f>
        <v>STRIPE-FEE</v>
      </c>
    </row>
    <row r="3621">
      <c r="A3621" t="inlineStr">
        <is>
          <t>JI-03342</t>
        </is>
      </c>
      <c r="B3621" t="inlineStr">
        <is>
          <t>OPS</t>
        </is>
      </c>
      <c r="C3621" s="5" t="n">
        <v>46277</v>
      </c>
      <c r="D3621" t="inlineStr">
        <is>
          <t>Stripe patient 95807</t>
        </is>
      </c>
      <c r="E3621" t="inlineStr">
        <is>
          <t>INV/2026/05183</t>
        </is>
      </c>
      <c r="F3621" t="inlineStr">
        <is>
          <t>Customer payment INV/2026/05183</t>
        </is>
      </c>
      <c r="G3621" s="9" t="n">
        <v>180</v>
      </c>
      <c r="H3621" t="inlineStr">
        <is>
          <t>customer_payment</t>
        </is>
      </c>
      <c r="I3621" t="inlineStr"/>
      <c r="J3621" t="inlineStr">
        <is>
          <t>G00068</t>
        </is>
      </c>
      <c r="K3621" t="str">
        <f>INDEX('Match Groups'!$D$5:$D$1326,MATCH(J3621,'Match Groups'!$A$5:$A$1326,0))</f>
        <v>STRIPE-FEE</v>
      </c>
    </row>
    <row r="3622">
      <c r="A3622" t="inlineStr">
        <is>
          <t>JI-03343</t>
        </is>
      </c>
      <c r="B3622" t="inlineStr">
        <is>
          <t>OPS</t>
        </is>
      </c>
      <c r="C3622" s="5" t="n">
        <v>46277</v>
      </c>
      <c r="D3622" t="inlineStr">
        <is>
          <t>Stripe patient 43511</t>
        </is>
      </c>
      <c r="E3622" t="inlineStr">
        <is>
          <t>INV/2026/05184</t>
        </is>
      </c>
      <c r="F3622" t="inlineStr">
        <is>
          <t>Customer payment INV/2026/05184</t>
        </is>
      </c>
      <c r="G3622" s="9" t="n">
        <v>95</v>
      </c>
      <c r="H3622" t="inlineStr">
        <is>
          <t>customer_payment</t>
        </is>
      </c>
      <c r="I3622" t="inlineStr"/>
      <c r="J3622" t="inlineStr">
        <is>
          <t>G00068</t>
        </is>
      </c>
      <c r="K3622" t="str">
        <f>INDEX('Match Groups'!$D$5:$D$1326,MATCH(J3622,'Match Groups'!$A$5:$A$1326,0))</f>
        <v>STRIPE-FEE</v>
      </c>
    </row>
    <row r="3623">
      <c r="A3623" t="inlineStr">
        <is>
          <t>JI-03344</t>
        </is>
      </c>
      <c r="B3623" t="inlineStr">
        <is>
          <t>OPS</t>
        </is>
      </c>
      <c r="C3623" s="5" t="n">
        <v>46277</v>
      </c>
      <c r="D3623" t="inlineStr">
        <is>
          <t>Stripe patient 96078</t>
        </is>
      </c>
      <c r="E3623" t="inlineStr">
        <is>
          <t>INV/2026/05185</t>
        </is>
      </c>
      <c r="F3623" t="inlineStr">
        <is>
          <t>Customer payment INV/2026/05185</t>
        </is>
      </c>
      <c r="G3623" s="9" t="n">
        <v>135</v>
      </c>
      <c r="H3623" t="inlineStr">
        <is>
          <t>customer_payment</t>
        </is>
      </c>
      <c r="I3623" t="inlineStr"/>
      <c r="J3623" t="inlineStr">
        <is>
          <t>G00068</t>
        </is>
      </c>
      <c r="K3623" t="str">
        <f>INDEX('Match Groups'!$D$5:$D$1326,MATCH(J3623,'Match Groups'!$A$5:$A$1326,0))</f>
        <v>STRIPE-FEE</v>
      </c>
    </row>
    <row r="3624">
      <c r="A3624" t="inlineStr">
        <is>
          <t>JI-03345</t>
        </is>
      </c>
      <c r="B3624" t="inlineStr">
        <is>
          <t>OPS</t>
        </is>
      </c>
      <c r="C3624" s="5" t="n">
        <v>46277</v>
      </c>
      <c r="D3624" t="inlineStr">
        <is>
          <t>Stripe patient 13103</t>
        </is>
      </c>
      <c r="E3624" t="inlineStr">
        <is>
          <t>INV/2026/05186</t>
        </is>
      </c>
      <c r="F3624" t="inlineStr">
        <is>
          <t>Customer payment INV/2026/05186</t>
        </is>
      </c>
      <c r="G3624" s="9" t="n">
        <v>95</v>
      </c>
      <c r="H3624" t="inlineStr">
        <is>
          <t>customer_payment</t>
        </is>
      </c>
      <c r="I3624" t="inlineStr"/>
      <c r="J3624" t="inlineStr">
        <is>
          <t>G00068</t>
        </is>
      </c>
      <c r="K3624" t="str">
        <f>INDEX('Match Groups'!$D$5:$D$1326,MATCH(J3624,'Match Groups'!$A$5:$A$1326,0))</f>
        <v>STRIPE-FEE</v>
      </c>
    </row>
    <row r="3625">
      <c r="A3625" t="inlineStr">
        <is>
          <t>JI-03346</t>
        </is>
      </c>
      <c r="B3625" t="inlineStr">
        <is>
          <t>OPS</t>
        </is>
      </c>
      <c r="C3625" s="5" t="n">
        <v>46277</v>
      </c>
      <c r="D3625" t="inlineStr">
        <is>
          <t>Stripe patient 96545</t>
        </is>
      </c>
      <c r="E3625" t="inlineStr">
        <is>
          <t>INV/2026/05187</t>
        </is>
      </c>
      <c r="F3625" t="inlineStr">
        <is>
          <t>Customer payment INV/2026/05187</t>
        </is>
      </c>
      <c r="G3625" s="9" t="n">
        <v>65</v>
      </c>
      <c r="H3625" t="inlineStr">
        <is>
          <t>customer_payment</t>
        </is>
      </c>
      <c r="I3625" t="inlineStr"/>
      <c r="J3625" t="inlineStr">
        <is>
          <t>G00068</t>
        </is>
      </c>
      <c r="K3625" t="str">
        <f>INDEX('Match Groups'!$D$5:$D$1326,MATCH(J3625,'Match Groups'!$A$5:$A$1326,0))</f>
        <v>STRIPE-FEE</v>
      </c>
    </row>
    <row r="3626">
      <c r="A3626" t="inlineStr">
        <is>
          <t>JI-03347</t>
        </is>
      </c>
      <c r="B3626" t="inlineStr">
        <is>
          <t>OPS</t>
        </is>
      </c>
      <c r="C3626" s="5" t="n">
        <v>46277</v>
      </c>
      <c r="D3626" t="inlineStr">
        <is>
          <t>Stripe patient 47564</t>
        </is>
      </c>
      <c r="E3626" t="inlineStr">
        <is>
          <t>INV/2026/05188</t>
        </is>
      </c>
      <c r="F3626" t="inlineStr">
        <is>
          <t>Customer payment INV/2026/05188</t>
        </is>
      </c>
      <c r="G3626" s="9" t="n">
        <v>150</v>
      </c>
      <c r="H3626" t="inlineStr">
        <is>
          <t>customer_payment</t>
        </is>
      </c>
      <c r="I3626" t="inlineStr"/>
      <c r="J3626" t="inlineStr">
        <is>
          <t>G00068</t>
        </is>
      </c>
      <c r="K3626" t="str">
        <f>INDEX('Match Groups'!$D$5:$D$1326,MATCH(J3626,'Match Groups'!$A$5:$A$1326,0))</f>
        <v>STRIPE-FEE</v>
      </c>
    </row>
    <row r="3627">
      <c r="A3627" t="inlineStr">
        <is>
          <t>JI-01318</t>
        </is>
      </c>
      <c r="B3627" t="inlineStr">
        <is>
          <t>OPS</t>
        </is>
      </c>
      <c r="C3627" s="5" t="n">
        <v>46279</v>
      </c>
      <c r="D3627" t="inlineStr">
        <is>
          <t>Bluegum Plan Management</t>
        </is>
      </c>
      <c r="E3627" t="inlineStr">
        <is>
          <t>INV/2026/02903</t>
        </is>
      </c>
      <c r="F3627" t="inlineStr">
        <is>
          <t>Customer payment INV/2026/02903</t>
        </is>
      </c>
      <c r="G3627" s="9" t="n">
        <v>227.94</v>
      </c>
      <c r="H3627" t="inlineStr">
        <is>
          <t>customer_payment</t>
        </is>
      </c>
      <c r="I3627" t="inlineStr"/>
      <c r="J3627" t="inlineStr">
        <is>
          <t>G00422</t>
        </is>
      </c>
      <c r="K3627" t="str">
        <f>INDEX('Match Groups'!$D$5:$D$1326,MATCH(J3627,'Match Groups'!$A$5:$A$1326,0))</f>
        <v>MATCH</v>
      </c>
    </row>
    <row r="3628">
      <c r="A3628" t="inlineStr">
        <is>
          <t>JI-01319</t>
        </is>
      </c>
      <c r="B3628" t="inlineStr">
        <is>
          <t>OPS</t>
        </is>
      </c>
      <c r="C3628" s="5" t="n">
        <v>46279</v>
      </c>
      <c r="D3628" t="inlineStr">
        <is>
          <t>Bluegum Plan Management</t>
        </is>
      </c>
      <c r="E3628" t="inlineStr">
        <is>
          <t>INV/2026/03011</t>
        </is>
      </c>
      <c r="F3628" t="inlineStr">
        <is>
          <t>Customer payment INV/2026/03011</t>
        </is>
      </c>
      <c r="G3628" s="9" t="n">
        <v>300.69</v>
      </c>
      <c r="H3628" t="inlineStr">
        <is>
          <t>customer_payment</t>
        </is>
      </c>
      <c r="I3628" t="inlineStr"/>
      <c r="J3628" t="inlineStr">
        <is>
          <t>G00422</t>
        </is>
      </c>
      <c r="K3628" t="str">
        <f>INDEX('Match Groups'!$D$5:$D$1326,MATCH(J3628,'Match Groups'!$A$5:$A$1326,0))</f>
        <v>MATCH</v>
      </c>
    </row>
    <row r="3629">
      <c r="A3629" t="inlineStr">
        <is>
          <t>JI-01320</t>
        </is>
      </c>
      <c r="B3629" t="inlineStr">
        <is>
          <t>OPS</t>
        </is>
      </c>
      <c r="C3629" s="5" t="n">
        <v>46279</v>
      </c>
      <c r="D3629" t="inlineStr">
        <is>
          <t>Bluegum Plan Management</t>
        </is>
      </c>
      <c r="E3629" t="inlineStr">
        <is>
          <t>INV/2026/03032</t>
        </is>
      </c>
      <c r="F3629" t="inlineStr">
        <is>
          <t>Customer payment INV/2026/03032</t>
        </is>
      </c>
      <c r="G3629" s="9" t="n">
        <v>387.98</v>
      </c>
      <c r="H3629" t="inlineStr">
        <is>
          <t>customer_payment</t>
        </is>
      </c>
      <c r="I3629" t="inlineStr"/>
      <c r="J3629" t="inlineStr">
        <is>
          <t>G00422</t>
        </is>
      </c>
      <c r="K3629" t="str">
        <f>INDEX('Match Groups'!$D$5:$D$1326,MATCH(J3629,'Match Groups'!$A$5:$A$1326,0))</f>
        <v>MATCH</v>
      </c>
    </row>
    <row r="3630">
      <c r="A3630" t="inlineStr">
        <is>
          <t>JI-01321</t>
        </is>
      </c>
      <c r="B3630" t="inlineStr">
        <is>
          <t>OPS</t>
        </is>
      </c>
      <c r="C3630" s="5" t="n">
        <v>46279</v>
      </c>
      <c r="D3630" t="inlineStr">
        <is>
          <t>Bluegum Plan Management</t>
        </is>
      </c>
      <c r="E3630" t="inlineStr">
        <is>
          <t>INV/2026/03033</t>
        </is>
      </c>
      <c r="F3630" t="inlineStr">
        <is>
          <t>Customer payment INV/2026/03033</t>
        </is>
      </c>
      <c r="G3630" s="9" t="n">
        <v>193.99</v>
      </c>
      <c r="H3630" t="inlineStr">
        <is>
          <t>customer_payment</t>
        </is>
      </c>
      <c r="I3630" t="inlineStr"/>
      <c r="J3630" t="inlineStr">
        <is>
          <t>G00422</t>
        </is>
      </c>
      <c r="K3630" t="str">
        <f>INDEX('Match Groups'!$D$5:$D$1326,MATCH(J3630,'Match Groups'!$A$5:$A$1326,0))</f>
        <v>MATCH</v>
      </c>
    </row>
    <row r="3631">
      <c r="A3631" t="inlineStr">
        <is>
          <t>JI-01322</t>
        </is>
      </c>
      <c r="B3631" t="inlineStr">
        <is>
          <t>OPS</t>
        </is>
      </c>
      <c r="C3631" s="5" t="n">
        <v>46279</v>
      </c>
      <c r="D3631" t="inlineStr">
        <is>
          <t>Bluegum Plan Management</t>
        </is>
      </c>
      <c r="E3631" t="inlineStr">
        <is>
          <t>INV/2026/03053</t>
        </is>
      </c>
      <c r="F3631" t="inlineStr">
        <is>
          <t>Customer payment INV/2026/03053</t>
        </is>
      </c>
      <c r="G3631" s="9" t="n">
        <v>290.98</v>
      </c>
      <c r="H3631" t="inlineStr">
        <is>
          <t>customer_payment</t>
        </is>
      </c>
      <c r="I3631" t="inlineStr"/>
      <c r="J3631" t="inlineStr">
        <is>
          <t>G00422</t>
        </is>
      </c>
      <c r="K3631" t="str">
        <f>INDEX('Match Groups'!$D$5:$D$1326,MATCH(J3631,'Match Groups'!$A$5:$A$1326,0))</f>
        <v>MATCH</v>
      </c>
    </row>
    <row r="3632">
      <c r="A3632" t="inlineStr">
        <is>
          <t>JI-01323</t>
        </is>
      </c>
      <c r="B3632" t="inlineStr">
        <is>
          <t>OPS</t>
        </is>
      </c>
      <c r="C3632" s="5" t="n">
        <v>46279</v>
      </c>
      <c r="D3632" t="inlineStr">
        <is>
          <t>Bluegum Plan Management</t>
        </is>
      </c>
      <c r="E3632" t="inlineStr">
        <is>
          <t>INV/2026/03054</t>
        </is>
      </c>
      <c r="F3632" t="inlineStr">
        <is>
          <t>Customer payment INV/2026/03054</t>
        </is>
      </c>
      <c r="G3632" s="9" t="n">
        <v>242.49</v>
      </c>
      <c r="H3632" t="inlineStr">
        <is>
          <t>customer_payment</t>
        </is>
      </c>
      <c r="I3632" t="inlineStr"/>
      <c r="J3632" t="inlineStr">
        <is>
          <t>G00422</t>
        </is>
      </c>
      <c r="K3632" t="str">
        <f>INDEX('Match Groups'!$D$5:$D$1326,MATCH(J3632,'Match Groups'!$A$5:$A$1326,0))</f>
        <v>MATCH</v>
      </c>
    </row>
    <row r="3633">
      <c r="A3633" t="inlineStr">
        <is>
          <t>JI-01324</t>
        </is>
      </c>
      <c r="B3633" t="inlineStr">
        <is>
          <t>OPS</t>
        </is>
      </c>
      <c r="C3633" s="5" t="n">
        <v>46279</v>
      </c>
      <c r="D3633" t="inlineStr">
        <is>
          <t>Wattle Plan Services</t>
        </is>
      </c>
      <c r="E3633" t="inlineStr">
        <is>
          <t>INV/2026/02955</t>
        </is>
      </c>
      <c r="F3633" t="inlineStr">
        <is>
          <t>Customer payment INV/2026/02955</t>
        </is>
      </c>
      <c r="G3633" s="9" t="n">
        <v>96.98999999999999</v>
      </c>
      <c r="H3633" t="inlineStr">
        <is>
          <t>customer_payment</t>
        </is>
      </c>
      <c r="I3633" t="inlineStr"/>
      <c r="J3633" t="inlineStr">
        <is>
          <t>G00423</t>
        </is>
      </c>
      <c r="K3633" t="str">
        <f>INDEX('Match Groups'!$D$5:$D$1326,MATCH(J3633,'Match Groups'!$A$5:$A$1326,0))</f>
        <v>MATCH</v>
      </c>
    </row>
    <row r="3634">
      <c r="A3634" t="inlineStr">
        <is>
          <t>JI-01325</t>
        </is>
      </c>
      <c r="B3634" t="inlineStr">
        <is>
          <t>OPS</t>
        </is>
      </c>
      <c r="C3634" s="5" t="n">
        <v>46279</v>
      </c>
      <c r="D3634" t="inlineStr">
        <is>
          <t>Wattle Plan Services</t>
        </is>
      </c>
      <c r="E3634" t="inlineStr">
        <is>
          <t>INV/2026/02971</t>
        </is>
      </c>
      <c r="F3634" t="inlineStr">
        <is>
          <t>Customer payment INV/2026/02971</t>
        </is>
      </c>
      <c r="G3634" s="9" t="n">
        <v>96.98999999999999</v>
      </c>
      <c r="H3634" t="inlineStr">
        <is>
          <t>customer_payment</t>
        </is>
      </c>
      <c r="I3634" t="inlineStr"/>
      <c r="J3634" t="inlineStr">
        <is>
          <t>G00423</t>
        </is>
      </c>
      <c r="K3634" t="str">
        <f>INDEX('Match Groups'!$D$5:$D$1326,MATCH(J3634,'Match Groups'!$A$5:$A$1326,0))</f>
        <v>MATCH</v>
      </c>
    </row>
    <row r="3635">
      <c r="A3635" t="inlineStr">
        <is>
          <t>JI-01326</t>
        </is>
      </c>
      <c r="B3635" t="inlineStr">
        <is>
          <t>OPS</t>
        </is>
      </c>
      <c r="C3635" s="5" t="n">
        <v>46279</v>
      </c>
      <c r="D3635" t="inlineStr">
        <is>
          <t>Wattle Plan Services</t>
        </is>
      </c>
      <c r="E3635" t="inlineStr">
        <is>
          <t>INV/2026/02990</t>
        </is>
      </c>
      <c r="F3635" t="inlineStr">
        <is>
          <t>Customer payment INV/2026/02990</t>
        </is>
      </c>
      <c r="G3635" s="9" t="n">
        <v>290.98</v>
      </c>
      <c r="H3635" t="inlineStr">
        <is>
          <t>customer_payment</t>
        </is>
      </c>
      <c r="I3635" t="inlineStr"/>
      <c r="J3635" t="inlineStr">
        <is>
          <t>G00423</t>
        </is>
      </c>
      <c r="K3635" t="str">
        <f>INDEX('Match Groups'!$D$5:$D$1326,MATCH(J3635,'Match Groups'!$A$5:$A$1326,0))</f>
        <v>MATCH</v>
      </c>
    </row>
    <row r="3636">
      <c r="A3636" t="inlineStr">
        <is>
          <t>JI-01327</t>
        </is>
      </c>
      <c r="B3636" t="inlineStr">
        <is>
          <t>OPS</t>
        </is>
      </c>
      <c r="C3636" s="5" t="n">
        <v>46279</v>
      </c>
      <c r="D3636" t="inlineStr">
        <is>
          <t>Wattle Plan Services</t>
        </is>
      </c>
      <c r="E3636" t="inlineStr">
        <is>
          <t>INV/2026/03038</t>
        </is>
      </c>
      <c r="F3636" t="inlineStr">
        <is>
          <t>Customer payment INV/2026/03038</t>
        </is>
      </c>
      <c r="G3636" s="9" t="n">
        <v>290.98</v>
      </c>
      <c r="H3636" t="inlineStr">
        <is>
          <t>customer_payment</t>
        </is>
      </c>
      <c r="I3636" t="inlineStr"/>
      <c r="J3636" t="inlineStr">
        <is>
          <t>G00423</t>
        </is>
      </c>
      <c r="K3636" t="str">
        <f>INDEX('Match Groups'!$D$5:$D$1326,MATCH(J3636,'Match Groups'!$A$5:$A$1326,0))</f>
        <v>MATCH</v>
      </c>
    </row>
    <row r="3637">
      <c r="A3637" t="inlineStr">
        <is>
          <t>JI-01328</t>
        </is>
      </c>
      <c r="B3637" t="inlineStr">
        <is>
          <t>OPS</t>
        </is>
      </c>
      <c r="C3637" s="5" t="n">
        <v>46279</v>
      </c>
      <c r="D3637" t="inlineStr">
        <is>
          <t>Banksia Plan Co</t>
        </is>
      </c>
      <c r="E3637" t="inlineStr">
        <is>
          <t>INV/2026/03058</t>
        </is>
      </c>
      <c r="F3637" t="inlineStr">
        <is>
          <t>Customer payment INV/2026/03058</t>
        </is>
      </c>
      <c r="G3637" s="9" t="n">
        <v>349.18</v>
      </c>
      <c r="H3637" t="inlineStr">
        <is>
          <t>customer_payment</t>
        </is>
      </c>
      <c r="I3637" t="inlineStr"/>
      <c r="J3637" t="inlineStr">
        <is>
          <t>G00424</t>
        </is>
      </c>
      <c r="K3637" t="str">
        <f>INDEX('Match Groups'!$D$5:$D$1326,MATCH(J3637,'Match Groups'!$A$5:$A$1326,0))</f>
        <v>MATCH</v>
      </c>
    </row>
    <row r="3638">
      <c r="A3638" t="inlineStr">
        <is>
          <t>JI-01329</t>
        </is>
      </c>
      <c r="B3638" t="inlineStr">
        <is>
          <t>OPS</t>
        </is>
      </c>
      <c r="C3638" s="5" t="n">
        <v>46279</v>
      </c>
      <c r="D3638" t="inlineStr">
        <is>
          <t>Banksia Plan Co</t>
        </is>
      </c>
      <c r="E3638" t="inlineStr">
        <is>
          <t>INV/2026/03059</t>
        </is>
      </c>
      <c r="F3638" t="inlineStr">
        <is>
          <t>Customer payment INV/2026/03059</t>
        </is>
      </c>
      <c r="G3638" s="9" t="n">
        <v>242.49</v>
      </c>
      <c r="H3638" t="inlineStr">
        <is>
          <t>customer_payment</t>
        </is>
      </c>
      <c r="I3638" t="inlineStr"/>
      <c r="J3638" t="inlineStr">
        <is>
          <t>G00424</t>
        </is>
      </c>
      <c r="K3638" t="str">
        <f>INDEX('Match Groups'!$D$5:$D$1326,MATCH(J3638,'Match Groups'!$A$5:$A$1326,0))</f>
        <v>MATCH</v>
      </c>
    </row>
    <row r="3639">
      <c r="A3639" t="inlineStr">
        <is>
          <t>JI-01330</t>
        </is>
      </c>
      <c r="B3639" t="inlineStr">
        <is>
          <t>OPS</t>
        </is>
      </c>
      <c r="C3639" s="5" t="n">
        <v>46279</v>
      </c>
      <c r="D3639" t="inlineStr">
        <is>
          <t>Ironbark Plan Management</t>
        </is>
      </c>
      <c r="E3639" t="inlineStr">
        <is>
          <t>INV/2026/02871</t>
        </is>
      </c>
      <c r="F3639" t="inlineStr">
        <is>
          <t>Customer payment INV/2026/02871</t>
        </is>
      </c>
      <c r="G3639" s="9" t="n">
        <v>242.49</v>
      </c>
      <c r="H3639" t="inlineStr">
        <is>
          <t>customer_payment</t>
        </is>
      </c>
      <c r="I3639" t="inlineStr"/>
      <c r="J3639" t="inlineStr">
        <is>
          <t>G00425</t>
        </is>
      </c>
      <c r="K3639" t="str">
        <f>INDEX('Match Groups'!$D$5:$D$1326,MATCH(J3639,'Match Groups'!$A$5:$A$1326,0))</f>
        <v>MATCH</v>
      </c>
    </row>
    <row r="3640">
      <c r="A3640" t="inlineStr">
        <is>
          <t>JI-01331</t>
        </is>
      </c>
      <c r="B3640" t="inlineStr">
        <is>
          <t>OPS</t>
        </is>
      </c>
      <c r="C3640" s="5" t="n">
        <v>46279</v>
      </c>
      <c r="D3640" t="inlineStr">
        <is>
          <t>Ironbark Plan Management</t>
        </is>
      </c>
      <c r="E3640" t="inlineStr">
        <is>
          <t>INV/2026/02910</t>
        </is>
      </c>
      <c r="F3640" t="inlineStr">
        <is>
          <t>Customer payment INV/2026/02910</t>
        </is>
      </c>
      <c r="G3640" s="9" t="n">
        <v>387.98</v>
      </c>
      <c r="H3640" t="inlineStr">
        <is>
          <t>customer_payment</t>
        </is>
      </c>
      <c r="I3640" t="inlineStr"/>
      <c r="J3640" t="inlineStr">
        <is>
          <t>G00425</t>
        </is>
      </c>
      <c r="K3640" t="str">
        <f>INDEX('Match Groups'!$D$5:$D$1326,MATCH(J3640,'Match Groups'!$A$5:$A$1326,0))</f>
        <v>MATCH</v>
      </c>
    </row>
    <row r="3641">
      <c r="A3641" t="inlineStr">
        <is>
          <t>JI-01332</t>
        </is>
      </c>
      <c r="B3641" t="inlineStr">
        <is>
          <t>OPS</t>
        </is>
      </c>
      <c r="C3641" s="5" t="n">
        <v>46279</v>
      </c>
      <c r="D3641" t="inlineStr">
        <is>
          <t>Ironbark Plan Management</t>
        </is>
      </c>
      <c r="E3641" t="inlineStr">
        <is>
          <t>INV/2026/02937</t>
        </is>
      </c>
      <c r="F3641" t="inlineStr">
        <is>
          <t>Customer payment INV/2026/02937</t>
        </is>
      </c>
      <c r="G3641" s="9" t="n">
        <v>242.49</v>
      </c>
      <c r="H3641" t="inlineStr">
        <is>
          <t>customer_payment</t>
        </is>
      </c>
      <c r="I3641" t="inlineStr"/>
      <c r="J3641" t="inlineStr">
        <is>
          <t>G00425</t>
        </is>
      </c>
      <c r="K3641" t="str">
        <f>INDEX('Match Groups'!$D$5:$D$1326,MATCH(J3641,'Match Groups'!$A$5:$A$1326,0))</f>
        <v>MATCH</v>
      </c>
    </row>
    <row r="3642">
      <c r="A3642" t="inlineStr">
        <is>
          <t>JI-01333</t>
        </is>
      </c>
      <c r="B3642" t="inlineStr">
        <is>
          <t>OPS</t>
        </is>
      </c>
      <c r="C3642" s="5" t="n">
        <v>46279</v>
      </c>
      <c r="D3642" t="inlineStr">
        <is>
          <t>Ironbark Plan Management</t>
        </is>
      </c>
      <c r="E3642" t="inlineStr">
        <is>
          <t>INV/2026/02957</t>
        </is>
      </c>
      <c r="F3642" t="inlineStr">
        <is>
          <t>Customer payment INV/2026/02957</t>
        </is>
      </c>
      <c r="G3642" s="9" t="n">
        <v>417.98</v>
      </c>
      <c r="H3642" t="inlineStr">
        <is>
          <t>customer_payment</t>
        </is>
      </c>
      <c r="I3642" t="inlineStr"/>
      <c r="J3642" t="inlineStr">
        <is>
          <t>G00425</t>
        </is>
      </c>
      <c r="K3642" t="str">
        <f>INDEX('Match Groups'!$D$5:$D$1326,MATCH(J3642,'Match Groups'!$A$5:$A$1326,0))</f>
        <v>MATCH</v>
      </c>
    </row>
    <row r="3643">
      <c r="A3643" t="inlineStr">
        <is>
          <t>JI-01334</t>
        </is>
      </c>
      <c r="B3643" t="inlineStr">
        <is>
          <t>OPS</t>
        </is>
      </c>
      <c r="C3643" s="5" t="n">
        <v>46279</v>
      </c>
      <c r="D3643" t="inlineStr">
        <is>
          <t>Saltbush Plan Managers</t>
        </is>
      </c>
      <c r="E3643" t="inlineStr">
        <is>
          <t>INV/2026/02999</t>
        </is>
      </c>
      <c r="F3643" t="inlineStr">
        <is>
          <t>Customer payment INV/2026/02999</t>
        </is>
      </c>
      <c r="G3643" s="9" t="n">
        <v>387.98</v>
      </c>
      <c r="H3643" t="inlineStr">
        <is>
          <t>customer_payment</t>
        </is>
      </c>
      <c r="I3643" t="inlineStr"/>
      <c r="J3643" t="inlineStr">
        <is>
          <t>G00426</t>
        </is>
      </c>
      <c r="K3643" t="str">
        <f>INDEX('Match Groups'!$D$5:$D$1326,MATCH(J3643,'Match Groups'!$A$5:$A$1326,0))</f>
        <v>MATCH</v>
      </c>
    </row>
    <row r="3644">
      <c r="A3644" t="inlineStr">
        <is>
          <t>JI-01335</t>
        </is>
      </c>
      <c r="B3644" t="inlineStr">
        <is>
          <t>OPS</t>
        </is>
      </c>
      <c r="C3644" s="5" t="n">
        <v>46279</v>
      </c>
      <c r="D3644" t="inlineStr">
        <is>
          <t>Saltbush Plan Managers</t>
        </is>
      </c>
      <c r="E3644" t="inlineStr">
        <is>
          <t>INV/2026/03026</t>
        </is>
      </c>
      <c r="F3644" t="inlineStr">
        <is>
          <t>Customer payment INV/2026/03026</t>
        </is>
      </c>
      <c r="G3644" s="9" t="n">
        <v>252.19</v>
      </c>
      <c r="H3644" t="inlineStr">
        <is>
          <t>customer_payment</t>
        </is>
      </c>
      <c r="I3644" t="inlineStr"/>
      <c r="J3644" t="inlineStr">
        <is>
          <t>G00426</t>
        </is>
      </c>
      <c r="K3644" t="str">
        <f>INDEX('Match Groups'!$D$5:$D$1326,MATCH(J3644,'Match Groups'!$A$5:$A$1326,0))</f>
        <v>MATCH</v>
      </c>
    </row>
    <row r="3645">
      <c r="A3645" t="inlineStr">
        <is>
          <t>JI-01336</t>
        </is>
      </c>
      <c r="B3645" t="inlineStr">
        <is>
          <t>OPS</t>
        </is>
      </c>
      <c r="C3645" s="5" t="n">
        <v>46279</v>
      </c>
      <c r="D3645" t="inlineStr">
        <is>
          <t>Saltbush Plan Managers</t>
        </is>
      </c>
      <c r="E3645" t="inlineStr">
        <is>
          <t>INV/2026/03040</t>
        </is>
      </c>
      <c r="F3645" t="inlineStr">
        <is>
          <t>Customer payment INV/2026/03040</t>
        </is>
      </c>
      <c r="G3645" s="9" t="n">
        <v>290.98</v>
      </c>
      <c r="H3645" t="inlineStr">
        <is>
          <t>customer_payment</t>
        </is>
      </c>
      <c r="I3645" t="inlineStr"/>
      <c r="J3645" t="inlineStr">
        <is>
          <t>G00426</t>
        </is>
      </c>
      <c r="K3645" t="str">
        <f>INDEX('Match Groups'!$D$5:$D$1326,MATCH(J3645,'Match Groups'!$A$5:$A$1326,0))</f>
        <v>MATCH</v>
      </c>
    </row>
    <row r="3646">
      <c r="A3646" t="inlineStr">
        <is>
          <t>JI-01337</t>
        </is>
      </c>
      <c r="B3646" t="inlineStr">
        <is>
          <t>OPS</t>
        </is>
      </c>
      <c r="C3646" s="5" t="n">
        <v>46279</v>
      </c>
      <c r="D3646" t="inlineStr">
        <is>
          <t>Saltbush Plan Managers</t>
        </is>
      </c>
      <c r="E3646" t="inlineStr">
        <is>
          <t>INV/2026/03041</t>
        </is>
      </c>
      <c r="F3646" t="inlineStr">
        <is>
          <t>Customer payment INV/2026/03041</t>
        </is>
      </c>
      <c r="G3646" s="9" t="n">
        <v>272.49</v>
      </c>
      <c r="H3646" t="inlineStr">
        <is>
          <t>customer_payment</t>
        </is>
      </c>
      <c r="I3646" t="inlineStr"/>
      <c r="J3646" t="inlineStr">
        <is>
          <t>G00426</t>
        </is>
      </c>
      <c r="K3646" t="str">
        <f>INDEX('Match Groups'!$D$5:$D$1326,MATCH(J3646,'Match Groups'!$A$5:$A$1326,0))</f>
        <v>MATCH</v>
      </c>
    </row>
    <row r="3647">
      <c r="A3647" t="inlineStr">
        <is>
          <t>JI-01338</t>
        </is>
      </c>
      <c r="B3647" t="inlineStr">
        <is>
          <t>OPS</t>
        </is>
      </c>
      <c r="C3647" s="5" t="n">
        <v>46279</v>
      </c>
      <c r="D3647" t="inlineStr">
        <is>
          <t>Saltbush Plan Managers</t>
        </is>
      </c>
      <c r="E3647" t="inlineStr">
        <is>
          <t>INV/2026/03042</t>
        </is>
      </c>
      <c r="F3647" t="inlineStr">
        <is>
          <t>Customer payment INV/2026/03042</t>
        </is>
      </c>
      <c r="G3647" s="9" t="n">
        <v>193.99</v>
      </c>
      <c r="H3647" t="inlineStr">
        <is>
          <t>customer_payment</t>
        </is>
      </c>
      <c r="I3647" t="inlineStr"/>
      <c r="J3647" t="inlineStr">
        <is>
          <t>G00426</t>
        </is>
      </c>
      <c r="K3647" t="str">
        <f>INDEX('Match Groups'!$D$5:$D$1326,MATCH(J3647,'Match Groups'!$A$5:$A$1326,0))</f>
        <v>MATCH</v>
      </c>
    </row>
    <row r="3648">
      <c r="A3648" t="inlineStr">
        <is>
          <t>JI-01339</t>
        </is>
      </c>
      <c r="B3648" t="inlineStr">
        <is>
          <t>OPS</t>
        </is>
      </c>
      <c r="C3648" s="5" t="n">
        <v>46279</v>
      </c>
      <c r="D3648" t="inlineStr">
        <is>
          <t>Saltbush Plan Managers</t>
        </is>
      </c>
      <c r="E3648" t="inlineStr">
        <is>
          <t>INV/2026/03063</t>
        </is>
      </c>
      <c r="F3648" t="inlineStr">
        <is>
          <t>Customer payment INV/2026/03063</t>
        </is>
      </c>
      <c r="G3648" s="9" t="n">
        <v>145.49</v>
      </c>
      <c r="H3648" t="inlineStr">
        <is>
          <t>customer_payment</t>
        </is>
      </c>
      <c r="I3648" t="inlineStr"/>
      <c r="J3648" t="inlineStr">
        <is>
          <t>G00426</t>
        </is>
      </c>
      <c r="K3648" t="str">
        <f>INDEX('Match Groups'!$D$5:$D$1326,MATCH(J3648,'Match Groups'!$A$5:$A$1326,0))</f>
        <v>MATCH</v>
      </c>
    </row>
    <row r="3649">
      <c r="A3649" t="inlineStr">
        <is>
          <t>JI-01340</t>
        </is>
      </c>
      <c r="B3649" t="inlineStr">
        <is>
          <t>OPS</t>
        </is>
      </c>
      <c r="C3649" s="5" t="n">
        <v>46279</v>
      </c>
      <c r="D3649" t="inlineStr">
        <is>
          <t>Southern Cross Plan Mgmt</t>
        </is>
      </c>
      <c r="E3649" t="inlineStr">
        <is>
          <t>INV/2026/02964</t>
        </is>
      </c>
      <c r="F3649" t="inlineStr">
        <is>
          <t>Customer payment INV/2026/02964</t>
        </is>
      </c>
      <c r="G3649" s="9" t="n">
        <v>242.49</v>
      </c>
      <c r="H3649" t="inlineStr">
        <is>
          <t>customer_payment</t>
        </is>
      </c>
      <c r="I3649" t="inlineStr"/>
      <c r="J3649" t="inlineStr">
        <is>
          <t>G00427</t>
        </is>
      </c>
      <c r="K3649" t="str">
        <f>INDEX('Match Groups'!$D$5:$D$1326,MATCH(J3649,'Match Groups'!$A$5:$A$1326,0))</f>
        <v>MATCH</v>
      </c>
    </row>
    <row r="3650">
      <c r="A3650" t="inlineStr">
        <is>
          <t>JI-01341</t>
        </is>
      </c>
      <c r="B3650" t="inlineStr">
        <is>
          <t>OPS</t>
        </is>
      </c>
      <c r="C3650" s="5" t="n">
        <v>46279</v>
      </c>
      <c r="D3650" t="inlineStr">
        <is>
          <t>Southern Cross Plan Mgmt</t>
        </is>
      </c>
      <c r="E3650" t="inlineStr">
        <is>
          <t>INV/2026/02981</t>
        </is>
      </c>
      <c r="F3650" t="inlineStr">
        <is>
          <t>Customer payment INV/2026/02981</t>
        </is>
      </c>
      <c r="G3650" s="9" t="n">
        <v>320.98</v>
      </c>
      <c r="H3650" t="inlineStr">
        <is>
          <t>customer_payment</t>
        </is>
      </c>
      <c r="I3650" t="inlineStr"/>
      <c r="J3650" t="inlineStr">
        <is>
          <t>G00427</t>
        </is>
      </c>
      <c r="K3650" t="str">
        <f>INDEX('Match Groups'!$D$5:$D$1326,MATCH(J3650,'Match Groups'!$A$5:$A$1326,0))</f>
        <v>MATCH</v>
      </c>
    </row>
    <row r="3651">
      <c r="A3651" t="inlineStr">
        <is>
          <t>JI-01342</t>
        </is>
      </c>
      <c r="B3651" t="inlineStr">
        <is>
          <t>OPS</t>
        </is>
      </c>
      <c r="C3651" s="5" t="n">
        <v>46279</v>
      </c>
      <c r="D3651" t="inlineStr">
        <is>
          <t>Southern Cross Plan Mgmt</t>
        </is>
      </c>
      <c r="E3651" t="inlineStr">
        <is>
          <t>INV/2026/03000</t>
        </is>
      </c>
      <c r="F3651" t="inlineStr">
        <is>
          <t>Customer payment INV/2026/03000</t>
        </is>
      </c>
      <c r="G3651" s="9" t="n">
        <v>387.98</v>
      </c>
      <c r="H3651" t="inlineStr">
        <is>
          <t>customer_payment</t>
        </is>
      </c>
      <c r="I3651" t="inlineStr"/>
      <c r="J3651" t="inlineStr">
        <is>
          <t>G00427</t>
        </is>
      </c>
      <c r="K3651" t="str">
        <f>INDEX('Match Groups'!$D$5:$D$1326,MATCH(J3651,'Match Groups'!$A$5:$A$1326,0))</f>
        <v>MATCH</v>
      </c>
    </row>
    <row r="3652">
      <c r="A3652" t="inlineStr">
        <is>
          <t>JI-01343</t>
        </is>
      </c>
      <c r="B3652" t="inlineStr">
        <is>
          <t>OPS</t>
        </is>
      </c>
      <c r="C3652" s="5" t="n">
        <v>46279</v>
      </c>
      <c r="D3652" t="inlineStr">
        <is>
          <t>Southern Cross Plan Mgmt</t>
        </is>
      </c>
      <c r="E3652" t="inlineStr">
        <is>
          <t>INV/2026/03027</t>
        </is>
      </c>
      <c r="F3652" t="inlineStr">
        <is>
          <t>Customer payment INV/2026/03027</t>
        </is>
      </c>
      <c r="G3652" s="9" t="n">
        <v>387.98</v>
      </c>
      <c r="H3652" t="inlineStr">
        <is>
          <t>customer_payment</t>
        </is>
      </c>
      <c r="I3652" t="inlineStr"/>
      <c r="J3652" t="inlineStr">
        <is>
          <t>G00427</t>
        </is>
      </c>
      <c r="K3652" t="str">
        <f>INDEX('Match Groups'!$D$5:$D$1326,MATCH(J3652,'Match Groups'!$A$5:$A$1326,0))</f>
        <v>MATCH</v>
      </c>
    </row>
    <row r="3653">
      <c r="A3653" t="inlineStr">
        <is>
          <t>JI-01344</t>
        </is>
      </c>
      <c r="B3653" t="inlineStr">
        <is>
          <t>OPS</t>
        </is>
      </c>
      <c r="C3653" s="5" t="n">
        <v>46279</v>
      </c>
      <c r="D3653" t="inlineStr">
        <is>
          <t>Lyrebird Plan Management</t>
        </is>
      </c>
      <c r="E3653" t="inlineStr">
        <is>
          <t>INV/2026/02967</t>
        </is>
      </c>
      <c r="F3653" t="inlineStr">
        <is>
          <t>Customer payment INV/2026/02967</t>
        </is>
      </c>
      <c r="G3653" s="9" t="n">
        <v>290.98</v>
      </c>
      <c r="H3653" t="inlineStr">
        <is>
          <t>customer_payment</t>
        </is>
      </c>
      <c r="I3653" t="inlineStr"/>
      <c r="J3653" t="inlineStr">
        <is>
          <t>G00428</t>
        </is>
      </c>
      <c r="K3653" t="str">
        <f>INDEX('Match Groups'!$D$5:$D$1326,MATCH(J3653,'Match Groups'!$A$5:$A$1326,0))</f>
        <v>MATCH</v>
      </c>
    </row>
    <row r="3654">
      <c r="A3654" t="inlineStr">
        <is>
          <t>JI-01345</t>
        </is>
      </c>
      <c r="B3654" t="inlineStr">
        <is>
          <t>OPS</t>
        </is>
      </c>
      <c r="C3654" s="5" t="n">
        <v>46279</v>
      </c>
      <c r="D3654" t="inlineStr">
        <is>
          <t>Lyrebird Plan Management</t>
        </is>
      </c>
      <c r="E3654" t="inlineStr">
        <is>
          <t>INV/2026/03001</t>
        </is>
      </c>
      <c r="F3654" t="inlineStr">
        <is>
          <t>Customer payment INV/2026/03001</t>
        </is>
      </c>
      <c r="G3654" s="9" t="n">
        <v>193.99</v>
      </c>
      <c r="H3654" t="inlineStr">
        <is>
          <t>customer_payment</t>
        </is>
      </c>
      <c r="I3654" t="inlineStr"/>
      <c r="J3654" t="inlineStr">
        <is>
          <t>G00428</t>
        </is>
      </c>
      <c r="K3654" t="str">
        <f>INDEX('Match Groups'!$D$5:$D$1326,MATCH(J3654,'Match Groups'!$A$5:$A$1326,0))</f>
        <v>MATCH</v>
      </c>
    </row>
    <row r="3655">
      <c r="A3655" t="inlineStr">
        <is>
          <t>JI-01346</t>
        </is>
      </c>
      <c r="B3655" t="inlineStr">
        <is>
          <t>OPS</t>
        </is>
      </c>
      <c r="C3655" s="5" t="n">
        <v>46279</v>
      </c>
      <c r="D3655" t="inlineStr">
        <is>
          <t>Lyrebird Plan Management</t>
        </is>
      </c>
      <c r="E3655" t="inlineStr">
        <is>
          <t>INV/2026/03002</t>
        </is>
      </c>
      <c r="F3655" t="inlineStr">
        <is>
          <t>Customer payment INV/2026/03002</t>
        </is>
      </c>
      <c r="G3655" s="9" t="n">
        <v>272.49</v>
      </c>
      <c r="H3655" t="inlineStr">
        <is>
          <t>customer_payment</t>
        </is>
      </c>
      <c r="I3655" t="inlineStr"/>
      <c r="J3655" t="inlineStr">
        <is>
          <t>G00428</t>
        </is>
      </c>
      <c r="K3655" t="str">
        <f>INDEX('Match Groups'!$D$5:$D$1326,MATCH(J3655,'Match Groups'!$A$5:$A$1326,0))</f>
        <v>MATCH</v>
      </c>
    </row>
    <row r="3656">
      <c r="A3656" t="inlineStr">
        <is>
          <t>JI-01569</t>
        </is>
      </c>
      <c r="B3656" t="inlineStr">
        <is>
          <t>OPS</t>
        </is>
      </c>
      <c r="C3656" s="5" t="n">
        <v>46279</v>
      </c>
      <c r="D3656" t="inlineStr">
        <is>
          <t>Coastline Health Fund</t>
        </is>
      </c>
      <c r="E3656" t="inlineStr">
        <is>
          <t>INV/2026/02863</t>
        </is>
      </c>
      <c r="F3656" t="inlineStr">
        <is>
          <t>Customer payment INV/2026/02863</t>
        </is>
      </c>
      <c r="G3656" s="9" t="n">
        <v>88</v>
      </c>
      <c r="H3656" t="inlineStr">
        <is>
          <t>customer_payment</t>
        </is>
      </c>
      <c r="I3656" t="inlineStr"/>
      <c r="J3656" t="inlineStr">
        <is>
          <t>G01064</t>
        </is>
      </c>
      <c r="K3656" t="str">
        <f>INDEX('Match Groups'!$D$5:$D$1326,MATCH(J3656,'Match Groups'!$A$5:$A$1326,0))</f>
        <v>MATCH</v>
      </c>
    </row>
    <row r="3657">
      <c r="A3657" t="inlineStr">
        <is>
          <t>JI-01583</t>
        </is>
      </c>
      <c r="B3657" t="inlineStr">
        <is>
          <t>OPS</t>
        </is>
      </c>
      <c r="C3657" s="5" t="n">
        <v>46279</v>
      </c>
      <c r="D3657" t="inlineStr">
        <is>
          <t>Unity Workcover Agents</t>
        </is>
      </c>
      <c r="E3657" t="inlineStr">
        <is>
          <t>INV/2026/02839</t>
        </is>
      </c>
      <c r="F3657" t="inlineStr">
        <is>
          <t>Customer payment INV/2026/02839</t>
        </is>
      </c>
      <c r="G3657" s="9" t="n">
        <v>132</v>
      </c>
      <c r="H3657" t="inlineStr">
        <is>
          <t>customer_payment</t>
        </is>
      </c>
      <c r="I3657" t="inlineStr"/>
      <c r="J3657" t="inlineStr">
        <is>
          <t>G01065</t>
        </is>
      </c>
      <c r="K3657" t="str">
        <f>INDEX('Match Groups'!$D$5:$D$1326,MATCH(J3657,'Match Groups'!$A$5:$A$1326,0))</f>
        <v>MATCH</v>
      </c>
    </row>
    <row r="3658">
      <c r="A3658" t="inlineStr">
        <is>
          <t>JI-01604</t>
        </is>
      </c>
      <c r="B3658" t="inlineStr">
        <is>
          <t>OPS</t>
        </is>
      </c>
      <c r="C3658" s="5" t="n">
        <v>46279</v>
      </c>
      <c r="D3658" t="inlineStr">
        <is>
          <t>Pinnacle Claims Services</t>
        </is>
      </c>
      <c r="E3658" t="inlineStr">
        <is>
          <t>INV/2026/02927</t>
        </is>
      </c>
      <c r="F3658" t="inlineStr">
        <is>
          <t>Customer payment INV/2026/02927</t>
        </is>
      </c>
      <c r="G3658" s="9" t="n">
        <v>412.5</v>
      </c>
      <c r="H3658" t="inlineStr">
        <is>
          <t>customer_payment</t>
        </is>
      </c>
      <c r="I3658" t="inlineStr"/>
      <c r="J3658" t="inlineStr">
        <is>
          <t>G01066</t>
        </is>
      </c>
      <c r="K3658" t="str">
        <f>INDEX('Match Groups'!$D$5:$D$1326,MATCH(J3658,'Match Groups'!$A$5:$A$1326,0))</f>
        <v>MATCH</v>
      </c>
    </row>
    <row r="3659">
      <c r="A3659" t="inlineStr">
        <is>
          <t>JI-03348</t>
        </is>
      </c>
      <c r="B3659" t="inlineStr">
        <is>
          <t>OPS</t>
        </is>
      </c>
      <c r="C3659" s="5" t="n">
        <v>46279</v>
      </c>
      <c r="D3659" t="inlineStr">
        <is>
          <t>Stripe patient 30463</t>
        </is>
      </c>
      <c r="E3659" t="inlineStr">
        <is>
          <t>INV/2026/05189</t>
        </is>
      </c>
      <c r="F3659" t="inlineStr">
        <is>
          <t>Customer payment INV/2026/05189</t>
        </is>
      </c>
      <c r="G3659" s="9" t="n">
        <v>150</v>
      </c>
      <c r="H3659" t="inlineStr">
        <is>
          <t>customer_payment</t>
        </is>
      </c>
      <c r="I3659" t="inlineStr"/>
      <c r="J3659" t="inlineStr">
        <is>
          <t>G00069</t>
        </is>
      </c>
      <c r="K3659" t="str">
        <f>INDEX('Match Groups'!$D$5:$D$1326,MATCH(J3659,'Match Groups'!$A$5:$A$1326,0))</f>
        <v>STRIPE-FEE</v>
      </c>
    </row>
    <row r="3660">
      <c r="A3660" t="inlineStr">
        <is>
          <t>JI-03349</t>
        </is>
      </c>
      <c r="B3660" t="inlineStr">
        <is>
          <t>OPS</t>
        </is>
      </c>
      <c r="C3660" s="5" t="n">
        <v>46279</v>
      </c>
      <c r="D3660" t="inlineStr">
        <is>
          <t>Stripe patient 97120</t>
        </is>
      </c>
      <c r="E3660" t="inlineStr">
        <is>
          <t>INV/2026/05190</t>
        </is>
      </c>
      <c r="F3660" t="inlineStr">
        <is>
          <t>Customer payment INV/2026/05190</t>
        </is>
      </c>
      <c r="G3660" s="9" t="n">
        <v>65</v>
      </c>
      <c r="H3660" t="inlineStr">
        <is>
          <t>customer_payment</t>
        </is>
      </c>
      <c r="I3660" t="inlineStr"/>
      <c r="J3660" t="inlineStr">
        <is>
          <t>G00069</t>
        </is>
      </c>
      <c r="K3660" t="str">
        <f>INDEX('Match Groups'!$D$5:$D$1326,MATCH(J3660,'Match Groups'!$A$5:$A$1326,0))</f>
        <v>STRIPE-FEE</v>
      </c>
    </row>
    <row r="3661">
      <c r="A3661" t="inlineStr">
        <is>
          <t>JI-03350</t>
        </is>
      </c>
      <c r="B3661" t="inlineStr">
        <is>
          <t>OPS</t>
        </is>
      </c>
      <c r="C3661" s="5" t="n">
        <v>46279</v>
      </c>
      <c r="D3661" t="inlineStr">
        <is>
          <t>Stripe patient 55703</t>
        </is>
      </c>
      <c r="E3661" t="inlineStr">
        <is>
          <t>INV/2026/05191</t>
        </is>
      </c>
      <c r="F3661" t="inlineStr">
        <is>
          <t>Customer payment INV/2026/05191</t>
        </is>
      </c>
      <c r="G3661" s="9" t="n">
        <v>85</v>
      </c>
      <c r="H3661" t="inlineStr">
        <is>
          <t>customer_payment</t>
        </is>
      </c>
      <c r="I3661" t="inlineStr"/>
      <c r="J3661" t="inlineStr">
        <is>
          <t>G00069</t>
        </is>
      </c>
      <c r="K3661" t="str">
        <f>INDEX('Match Groups'!$D$5:$D$1326,MATCH(J3661,'Match Groups'!$A$5:$A$1326,0))</f>
        <v>STRIPE-FEE</v>
      </c>
    </row>
    <row r="3662">
      <c r="A3662" t="inlineStr">
        <is>
          <t>JI-03351</t>
        </is>
      </c>
      <c r="B3662" t="inlineStr">
        <is>
          <t>OPS</t>
        </is>
      </c>
      <c r="C3662" s="5" t="n">
        <v>46279</v>
      </c>
      <c r="D3662" t="inlineStr">
        <is>
          <t>Stripe patient 32968</t>
        </is>
      </c>
      <c r="E3662" t="inlineStr">
        <is>
          <t>INV/2026/05192</t>
        </is>
      </c>
      <c r="F3662" t="inlineStr">
        <is>
          <t>Customer payment INV/2026/05192</t>
        </is>
      </c>
      <c r="G3662" s="9" t="n">
        <v>120</v>
      </c>
      <c r="H3662" t="inlineStr">
        <is>
          <t>customer_payment</t>
        </is>
      </c>
      <c r="I3662" t="inlineStr"/>
      <c r="J3662" t="inlineStr">
        <is>
          <t>G00069</t>
        </is>
      </c>
      <c r="K3662" t="str">
        <f>INDEX('Match Groups'!$D$5:$D$1326,MATCH(J3662,'Match Groups'!$A$5:$A$1326,0))</f>
        <v>STRIPE-FEE</v>
      </c>
    </row>
    <row r="3663">
      <c r="A3663" t="inlineStr">
        <is>
          <t>JI-03352</t>
        </is>
      </c>
      <c r="B3663" t="inlineStr">
        <is>
          <t>OPS</t>
        </is>
      </c>
      <c r="C3663" s="5" t="n">
        <v>46279</v>
      </c>
      <c r="D3663" t="inlineStr">
        <is>
          <t>Stripe patient 12639</t>
        </is>
      </c>
      <c r="E3663" t="inlineStr">
        <is>
          <t>INV/2026/05193</t>
        </is>
      </c>
      <c r="F3663" t="inlineStr">
        <is>
          <t>Customer payment INV/2026/05193</t>
        </is>
      </c>
      <c r="G3663" s="9" t="n">
        <v>135</v>
      </c>
      <c r="H3663" t="inlineStr">
        <is>
          <t>customer_payment</t>
        </is>
      </c>
      <c r="I3663" t="inlineStr"/>
      <c r="J3663" t="inlineStr">
        <is>
          <t>G00069</t>
        </is>
      </c>
      <c r="K3663" t="str">
        <f>INDEX('Match Groups'!$D$5:$D$1326,MATCH(J3663,'Match Groups'!$A$5:$A$1326,0))</f>
        <v>STRIPE-FEE</v>
      </c>
    </row>
    <row r="3664">
      <c r="A3664" t="inlineStr">
        <is>
          <t>JI-03353</t>
        </is>
      </c>
      <c r="B3664" t="inlineStr">
        <is>
          <t>OPS</t>
        </is>
      </c>
      <c r="C3664" s="5" t="n">
        <v>46279</v>
      </c>
      <c r="D3664" t="inlineStr">
        <is>
          <t>Stripe patient 11770</t>
        </is>
      </c>
      <c r="E3664" t="inlineStr">
        <is>
          <t>INV/2026/05194</t>
        </is>
      </c>
      <c r="F3664" t="inlineStr">
        <is>
          <t>Customer payment INV/2026/05194</t>
        </is>
      </c>
      <c r="G3664" s="9" t="n">
        <v>150</v>
      </c>
      <c r="H3664" t="inlineStr">
        <is>
          <t>customer_payment</t>
        </is>
      </c>
      <c r="I3664" t="inlineStr"/>
      <c r="J3664" t="inlineStr">
        <is>
          <t>G00069</t>
        </is>
      </c>
      <c r="K3664" t="str">
        <f>INDEX('Match Groups'!$D$5:$D$1326,MATCH(J3664,'Match Groups'!$A$5:$A$1326,0))</f>
        <v>STRIPE-FEE</v>
      </c>
    </row>
    <row r="3665">
      <c r="A3665" t="inlineStr">
        <is>
          <t>JI-03354</t>
        </is>
      </c>
      <c r="B3665" t="inlineStr">
        <is>
          <t>OPS</t>
        </is>
      </c>
      <c r="C3665" s="5" t="n">
        <v>46279</v>
      </c>
      <c r="D3665" t="inlineStr">
        <is>
          <t>Stripe patient 37689</t>
        </is>
      </c>
      <c r="E3665" t="inlineStr">
        <is>
          <t>INV/2026/05195</t>
        </is>
      </c>
      <c r="F3665" t="inlineStr">
        <is>
          <t>Customer payment INV/2026/05195</t>
        </is>
      </c>
      <c r="G3665" s="9" t="n">
        <v>85</v>
      </c>
      <c r="H3665" t="inlineStr">
        <is>
          <t>customer_payment</t>
        </is>
      </c>
      <c r="I3665" t="inlineStr"/>
      <c r="J3665" t="inlineStr">
        <is>
          <t>G00069</t>
        </is>
      </c>
      <c r="K3665" t="str">
        <f>INDEX('Match Groups'!$D$5:$D$1326,MATCH(J3665,'Match Groups'!$A$5:$A$1326,0))</f>
        <v>STRIPE-FEE</v>
      </c>
    </row>
    <row r="3666">
      <c r="A3666" t="inlineStr">
        <is>
          <t>JI-03355</t>
        </is>
      </c>
      <c r="B3666" t="inlineStr">
        <is>
          <t>OPS</t>
        </is>
      </c>
      <c r="C3666" s="5" t="n">
        <v>46279</v>
      </c>
      <c r="D3666" t="inlineStr">
        <is>
          <t>Stripe patient 57519</t>
        </is>
      </c>
      <c r="E3666" t="inlineStr">
        <is>
          <t>INV/2026/05196</t>
        </is>
      </c>
      <c r="F3666" t="inlineStr">
        <is>
          <t>Customer payment INV/2026/05196</t>
        </is>
      </c>
      <c r="G3666" s="9" t="n">
        <v>110</v>
      </c>
      <c r="H3666" t="inlineStr">
        <is>
          <t>customer_payment</t>
        </is>
      </c>
      <c r="I3666" t="inlineStr"/>
      <c r="J3666" t="inlineStr">
        <is>
          <t>G00069</t>
        </is>
      </c>
      <c r="K3666" t="str">
        <f>INDEX('Match Groups'!$D$5:$D$1326,MATCH(J3666,'Match Groups'!$A$5:$A$1326,0))</f>
        <v>STRIPE-FEE</v>
      </c>
    </row>
    <row r="3667">
      <c r="A3667" t="inlineStr">
        <is>
          <t>JI-03356</t>
        </is>
      </c>
      <c r="B3667" t="inlineStr">
        <is>
          <t>OPS</t>
        </is>
      </c>
      <c r="C3667" s="5" t="n">
        <v>46279</v>
      </c>
      <c r="D3667" t="inlineStr">
        <is>
          <t>Stripe patient 17831</t>
        </is>
      </c>
      <c r="E3667" t="inlineStr">
        <is>
          <t>INV/2026/05197</t>
        </is>
      </c>
      <c r="F3667" t="inlineStr">
        <is>
          <t>Customer payment INV/2026/05197</t>
        </is>
      </c>
      <c r="G3667" s="9" t="n">
        <v>110</v>
      </c>
      <c r="H3667" t="inlineStr">
        <is>
          <t>customer_payment</t>
        </is>
      </c>
      <c r="I3667" t="inlineStr"/>
      <c r="J3667" t="inlineStr">
        <is>
          <t>G00069</t>
        </is>
      </c>
      <c r="K3667" t="str">
        <f>INDEX('Match Groups'!$D$5:$D$1326,MATCH(J3667,'Match Groups'!$A$5:$A$1326,0))</f>
        <v>STRIPE-FEE</v>
      </c>
    </row>
    <row r="3668">
      <c r="A3668" t="inlineStr">
        <is>
          <t>JI-03357</t>
        </is>
      </c>
      <c r="B3668" t="inlineStr">
        <is>
          <t>OPS</t>
        </is>
      </c>
      <c r="C3668" s="5" t="n">
        <v>46279</v>
      </c>
      <c r="D3668" t="inlineStr">
        <is>
          <t>Stripe patient 40413</t>
        </is>
      </c>
      <c r="E3668" t="inlineStr">
        <is>
          <t>INV/2026/05198</t>
        </is>
      </c>
      <c r="F3668" t="inlineStr">
        <is>
          <t>Customer payment INV/2026/05198</t>
        </is>
      </c>
      <c r="G3668" s="9" t="n">
        <v>65</v>
      </c>
      <c r="H3668" t="inlineStr">
        <is>
          <t>customer_payment</t>
        </is>
      </c>
      <c r="I3668" t="inlineStr"/>
      <c r="J3668" t="inlineStr">
        <is>
          <t>G00069</t>
        </is>
      </c>
      <c r="K3668" t="str">
        <f>INDEX('Match Groups'!$D$5:$D$1326,MATCH(J3668,'Match Groups'!$A$5:$A$1326,0))</f>
        <v>STRIPE-FEE</v>
      </c>
    </row>
    <row r="3669">
      <c r="A3669" t="inlineStr">
        <is>
          <t>JI-03358</t>
        </is>
      </c>
      <c r="B3669" t="inlineStr">
        <is>
          <t>OPS</t>
        </is>
      </c>
      <c r="C3669" s="5" t="n">
        <v>46279</v>
      </c>
      <c r="D3669" t="inlineStr">
        <is>
          <t>Stripe patient 27449</t>
        </is>
      </c>
      <c r="E3669" t="inlineStr">
        <is>
          <t>INV/2026/05199</t>
        </is>
      </c>
      <c r="F3669" t="inlineStr">
        <is>
          <t>Customer payment INV/2026/05199</t>
        </is>
      </c>
      <c r="G3669" s="9" t="n">
        <v>150</v>
      </c>
      <c r="H3669" t="inlineStr">
        <is>
          <t>customer_payment</t>
        </is>
      </c>
      <c r="I3669" t="inlineStr"/>
      <c r="J3669" t="inlineStr">
        <is>
          <t>G00069</t>
        </is>
      </c>
      <c r="K3669" t="str">
        <f>INDEX('Match Groups'!$D$5:$D$1326,MATCH(J3669,'Match Groups'!$A$5:$A$1326,0))</f>
        <v>STRIPE-FEE</v>
      </c>
    </row>
    <row r="3670">
      <c r="A3670" t="inlineStr">
        <is>
          <t>JI-03359</t>
        </is>
      </c>
      <c r="B3670" t="inlineStr">
        <is>
          <t>OPS</t>
        </is>
      </c>
      <c r="C3670" s="5" t="n">
        <v>46279</v>
      </c>
      <c r="D3670" t="inlineStr">
        <is>
          <t>Stripe patient 31828</t>
        </is>
      </c>
      <c r="E3670" t="inlineStr">
        <is>
          <t>INV/2026/05200</t>
        </is>
      </c>
      <c r="F3670" t="inlineStr">
        <is>
          <t>Customer payment INV/2026/05200</t>
        </is>
      </c>
      <c r="G3670" s="9" t="n">
        <v>150</v>
      </c>
      <c r="H3670" t="inlineStr">
        <is>
          <t>customer_payment</t>
        </is>
      </c>
      <c r="I3670" t="inlineStr"/>
      <c r="J3670" t="inlineStr">
        <is>
          <t>G00069</t>
        </is>
      </c>
      <c r="K3670" t="str">
        <f>INDEX('Match Groups'!$D$5:$D$1326,MATCH(J3670,'Match Groups'!$A$5:$A$1326,0))</f>
        <v>STRIPE-FEE</v>
      </c>
    </row>
    <row r="3671">
      <c r="A3671" t="inlineStr">
        <is>
          <t>JI-03360</t>
        </is>
      </c>
      <c r="B3671" t="inlineStr">
        <is>
          <t>OPS</t>
        </is>
      </c>
      <c r="C3671" s="5" t="n">
        <v>46279</v>
      </c>
      <c r="D3671" t="inlineStr">
        <is>
          <t>Stripe patient 97603</t>
        </is>
      </c>
      <c r="E3671" t="inlineStr">
        <is>
          <t>INV/2026/05201</t>
        </is>
      </c>
      <c r="F3671" t="inlineStr">
        <is>
          <t>Customer payment INV/2026/05201</t>
        </is>
      </c>
      <c r="G3671" s="9" t="n">
        <v>65</v>
      </c>
      <c r="H3671" t="inlineStr">
        <is>
          <t>customer_payment</t>
        </is>
      </c>
      <c r="I3671" t="inlineStr"/>
      <c r="J3671" t="inlineStr">
        <is>
          <t>G00069</t>
        </is>
      </c>
      <c r="K3671" t="str">
        <f>INDEX('Match Groups'!$D$5:$D$1326,MATCH(J3671,'Match Groups'!$A$5:$A$1326,0))</f>
        <v>STRIPE-FEE</v>
      </c>
    </row>
    <row r="3672">
      <c r="A3672" t="inlineStr">
        <is>
          <t>JI-03361</t>
        </is>
      </c>
      <c r="B3672" t="inlineStr">
        <is>
          <t>OPS</t>
        </is>
      </c>
      <c r="C3672" s="5" t="n">
        <v>46279</v>
      </c>
      <c r="D3672" t="inlineStr">
        <is>
          <t>Stripe patient 30648</t>
        </is>
      </c>
      <c r="E3672" t="inlineStr">
        <is>
          <t>INV/2026/05202</t>
        </is>
      </c>
      <c r="F3672" t="inlineStr">
        <is>
          <t>Customer payment INV/2026/05202</t>
        </is>
      </c>
      <c r="G3672" s="9" t="n">
        <v>135</v>
      </c>
      <c r="H3672" t="inlineStr">
        <is>
          <t>customer_payment</t>
        </is>
      </c>
      <c r="I3672" t="inlineStr"/>
      <c r="J3672" t="inlineStr">
        <is>
          <t>G00069</t>
        </is>
      </c>
      <c r="K3672" t="str">
        <f>INDEX('Match Groups'!$D$5:$D$1326,MATCH(J3672,'Match Groups'!$A$5:$A$1326,0))</f>
        <v>STRIPE-FEE</v>
      </c>
    </row>
    <row r="3673">
      <c r="A3673" t="inlineStr">
        <is>
          <t>JI-03362</t>
        </is>
      </c>
      <c r="B3673" t="inlineStr">
        <is>
          <t>OPS</t>
        </is>
      </c>
      <c r="C3673" s="5" t="n">
        <v>46279</v>
      </c>
      <c r="D3673" t="inlineStr">
        <is>
          <t>Stripe patient 54420</t>
        </is>
      </c>
      <c r="E3673" t="inlineStr">
        <is>
          <t>INV/2026/05203</t>
        </is>
      </c>
      <c r="F3673" t="inlineStr">
        <is>
          <t>Customer payment INV/2026/05203</t>
        </is>
      </c>
      <c r="G3673" s="9" t="n">
        <v>110</v>
      </c>
      <c r="H3673" t="inlineStr">
        <is>
          <t>customer_payment</t>
        </is>
      </c>
      <c r="I3673" t="inlineStr"/>
      <c r="J3673" t="inlineStr">
        <is>
          <t>G00069</t>
        </is>
      </c>
      <c r="K3673" t="str">
        <f>INDEX('Match Groups'!$D$5:$D$1326,MATCH(J3673,'Match Groups'!$A$5:$A$1326,0))</f>
        <v>STRIPE-FEE</v>
      </c>
    </row>
    <row r="3674">
      <c r="A3674" t="inlineStr">
        <is>
          <t>JI-03363</t>
        </is>
      </c>
      <c r="B3674" t="inlineStr">
        <is>
          <t>OPS</t>
        </is>
      </c>
      <c r="C3674" s="5" t="n">
        <v>46279</v>
      </c>
      <c r="D3674" t="inlineStr">
        <is>
          <t>Stripe patient 11189</t>
        </is>
      </c>
      <c r="E3674" t="inlineStr">
        <is>
          <t>INV/2026/05204</t>
        </is>
      </c>
      <c r="F3674" t="inlineStr">
        <is>
          <t>Customer payment INV/2026/05204</t>
        </is>
      </c>
      <c r="G3674" s="9" t="n">
        <v>110</v>
      </c>
      <c r="H3674" t="inlineStr">
        <is>
          <t>customer_payment</t>
        </is>
      </c>
      <c r="I3674" t="inlineStr"/>
      <c r="J3674" t="inlineStr">
        <is>
          <t>G00069</t>
        </is>
      </c>
      <c r="K3674" t="str">
        <f>INDEX('Match Groups'!$D$5:$D$1326,MATCH(J3674,'Match Groups'!$A$5:$A$1326,0))</f>
        <v>STRIPE-FEE</v>
      </c>
    </row>
    <row r="3675">
      <c r="A3675" t="inlineStr">
        <is>
          <t>JI-03364</t>
        </is>
      </c>
      <c r="B3675" t="inlineStr">
        <is>
          <t>OPS</t>
        </is>
      </c>
      <c r="C3675" s="5" t="n">
        <v>46279</v>
      </c>
      <c r="D3675" t="inlineStr">
        <is>
          <t>Stripe patient 75344</t>
        </is>
      </c>
      <c r="E3675" t="inlineStr">
        <is>
          <t>INV/2026/05205</t>
        </is>
      </c>
      <c r="F3675" t="inlineStr">
        <is>
          <t>Customer payment INV/2026/05205</t>
        </is>
      </c>
      <c r="G3675" s="9" t="n">
        <v>180</v>
      </c>
      <c r="H3675" t="inlineStr">
        <is>
          <t>customer_payment</t>
        </is>
      </c>
      <c r="I3675" t="inlineStr"/>
      <c r="J3675" t="inlineStr">
        <is>
          <t>G00069</t>
        </is>
      </c>
      <c r="K3675" t="str">
        <f>INDEX('Match Groups'!$D$5:$D$1326,MATCH(J3675,'Match Groups'!$A$5:$A$1326,0))</f>
        <v>STRIPE-FEE</v>
      </c>
    </row>
    <row r="3676">
      <c r="A3676" t="inlineStr">
        <is>
          <t>JI-03365</t>
        </is>
      </c>
      <c r="B3676" t="inlineStr">
        <is>
          <t>OPS</t>
        </is>
      </c>
      <c r="C3676" s="5" t="n">
        <v>46279</v>
      </c>
      <c r="D3676" t="inlineStr">
        <is>
          <t>Stripe patient 41355</t>
        </is>
      </c>
      <c r="E3676" t="inlineStr">
        <is>
          <t>INV/2026/05206</t>
        </is>
      </c>
      <c r="F3676" t="inlineStr">
        <is>
          <t>Customer payment INV/2026/05206</t>
        </is>
      </c>
      <c r="G3676" s="9" t="n">
        <v>135</v>
      </c>
      <c r="H3676" t="inlineStr">
        <is>
          <t>customer_payment</t>
        </is>
      </c>
      <c r="I3676" t="inlineStr"/>
      <c r="J3676" t="inlineStr">
        <is>
          <t>G00069</t>
        </is>
      </c>
      <c r="K3676" t="str">
        <f>INDEX('Match Groups'!$D$5:$D$1326,MATCH(J3676,'Match Groups'!$A$5:$A$1326,0))</f>
        <v>STRIPE-FEE</v>
      </c>
    </row>
    <row r="3677">
      <c r="A3677" t="inlineStr">
        <is>
          <t>JI-03366</t>
        </is>
      </c>
      <c r="B3677" t="inlineStr">
        <is>
          <t>OPS</t>
        </is>
      </c>
      <c r="C3677" s="5" t="n">
        <v>46279</v>
      </c>
      <c r="D3677" t="inlineStr">
        <is>
          <t>Stripe patient 84816</t>
        </is>
      </c>
      <c r="E3677" t="inlineStr">
        <is>
          <t>INV/2026/05207</t>
        </is>
      </c>
      <c r="F3677" t="inlineStr">
        <is>
          <t>Customer payment INV/2026/05207</t>
        </is>
      </c>
      <c r="G3677" s="9" t="n">
        <v>85</v>
      </c>
      <c r="H3677" t="inlineStr">
        <is>
          <t>customer_payment</t>
        </is>
      </c>
      <c r="I3677" t="inlineStr"/>
      <c r="J3677" t="inlineStr">
        <is>
          <t>G00069</t>
        </is>
      </c>
      <c r="K3677" t="str">
        <f>INDEX('Match Groups'!$D$5:$D$1326,MATCH(J3677,'Match Groups'!$A$5:$A$1326,0))</f>
        <v>STRIPE-FEE</v>
      </c>
    </row>
    <row r="3678">
      <c r="A3678" t="inlineStr">
        <is>
          <t>JI-03367</t>
        </is>
      </c>
      <c r="B3678" t="inlineStr">
        <is>
          <t>OPS</t>
        </is>
      </c>
      <c r="C3678" s="5" t="n">
        <v>46279</v>
      </c>
      <c r="D3678" t="inlineStr">
        <is>
          <t>Stripe patient 55523</t>
        </is>
      </c>
      <c r="E3678" t="inlineStr">
        <is>
          <t>INV/2026/05208</t>
        </is>
      </c>
      <c r="F3678" t="inlineStr">
        <is>
          <t>Customer payment INV/2026/05208</t>
        </is>
      </c>
      <c r="G3678" s="9" t="n">
        <v>65</v>
      </c>
      <c r="H3678" t="inlineStr">
        <is>
          <t>customer_payment</t>
        </is>
      </c>
      <c r="I3678" t="inlineStr"/>
      <c r="J3678" t="inlineStr">
        <is>
          <t>G00069</t>
        </is>
      </c>
      <c r="K3678" t="str">
        <f>INDEX('Match Groups'!$D$5:$D$1326,MATCH(J3678,'Match Groups'!$A$5:$A$1326,0))</f>
        <v>STRIPE-FEE</v>
      </c>
    </row>
    <row r="3679">
      <c r="A3679" t="inlineStr">
        <is>
          <t>JI-04303</t>
        </is>
      </c>
      <c r="B3679" t="inlineStr">
        <is>
          <t>OPS</t>
        </is>
      </c>
      <c r="C3679" s="5" t="n">
        <v>46279</v>
      </c>
      <c r="D3679" t="inlineStr">
        <is>
          <t>Internal transfer</t>
        </is>
      </c>
      <c r="E3679" t="inlineStr">
        <is>
          <t>SWEEP 1409</t>
        </is>
      </c>
      <c r="F3679" t="inlineStr">
        <is>
          <t>Sweep from merchant account</t>
        </is>
      </c>
      <c r="G3679" s="9" t="n">
        <v>22000</v>
      </c>
      <c r="H3679" t="inlineStr">
        <is>
          <t>transfer</t>
        </is>
      </c>
      <c r="I3679" t="inlineStr"/>
      <c r="J3679" t="inlineStr">
        <is>
          <t>G00540</t>
        </is>
      </c>
      <c r="K3679" t="str">
        <f>INDEX('Match Groups'!$D$5:$D$1326,MATCH(J3679,'Match Groups'!$A$5:$A$1326,0))</f>
        <v>MATCH</v>
      </c>
    </row>
    <row r="3680">
      <c r="A3680" t="inlineStr">
        <is>
          <t>JI-01347</t>
        </is>
      </c>
      <c r="B3680" t="inlineStr">
        <is>
          <t>OPS</t>
        </is>
      </c>
      <c r="C3680" s="5" t="n">
        <v>46280</v>
      </c>
      <c r="D3680" t="inlineStr">
        <is>
          <t>Riverbend Plan Partners</t>
        </is>
      </c>
      <c r="E3680" t="inlineStr">
        <is>
          <t>INV/2026/03013</t>
        </is>
      </c>
      <c r="F3680" t="inlineStr">
        <is>
          <t>Customer payment INV/2026/03013</t>
        </is>
      </c>
      <c r="G3680" s="9" t="n">
        <v>387.98</v>
      </c>
      <c r="H3680" t="inlineStr">
        <is>
          <t>customer_payment</t>
        </is>
      </c>
      <c r="I3680" t="inlineStr"/>
      <c r="J3680" t="inlineStr">
        <is>
          <t>G00430</t>
        </is>
      </c>
      <c r="K3680" t="str">
        <f>INDEX('Match Groups'!$D$5:$D$1326,MATCH(J3680,'Match Groups'!$A$5:$A$1326,0))</f>
        <v>MATCH</v>
      </c>
    </row>
    <row r="3681">
      <c r="A3681" t="inlineStr">
        <is>
          <t>JI-01348</t>
        </is>
      </c>
      <c r="B3681" t="inlineStr">
        <is>
          <t>OPS</t>
        </is>
      </c>
      <c r="C3681" s="5" t="n">
        <v>46280</v>
      </c>
      <c r="D3681" t="inlineStr">
        <is>
          <t>Riverbend Plan Partners</t>
        </is>
      </c>
      <c r="E3681" t="inlineStr">
        <is>
          <t>INV/2026/03015</t>
        </is>
      </c>
      <c r="F3681" t="inlineStr">
        <is>
          <t>Customer payment INV/2026/03015</t>
        </is>
      </c>
      <c r="G3681" s="9" t="n">
        <v>446.18</v>
      </c>
      <c r="H3681" t="inlineStr">
        <is>
          <t>customer_payment</t>
        </is>
      </c>
      <c r="I3681" t="inlineStr"/>
      <c r="J3681" t="inlineStr">
        <is>
          <t>G00430</t>
        </is>
      </c>
      <c r="K3681" t="str">
        <f>INDEX('Match Groups'!$D$5:$D$1326,MATCH(J3681,'Match Groups'!$A$5:$A$1326,0))</f>
        <v>MATCH</v>
      </c>
    </row>
    <row r="3682">
      <c r="A3682" t="inlineStr">
        <is>
          <t>JI-01349</t>
        </is>
      </c>
      <c r="B3682" t="inlineStr">
        <is>
          <t>OPS</t>
        </is>
      </c>
      <c r="C3682" s="5" t="n">
        <v>46280</v>
      </c>
      <c r="D3682" t="inlineStr">
        <is>
          <t>Riverbend Plan Partners</t>
        </is>
      </c>
      <c r="E3682" t="inlineStr">
        <is>
          <t>INV/2026/03034</t>
        </is>
      </c>
      <c r="F3682" t="inlineStr">
        <is>
          <t>Customer payment INV/2026/03034</t>
        </is>
      </c>
      <c r="G3682" s="9" t="n">
        <v>242.49</v>
      </c>
      <c r="H3682" t="inlineStr">
        <is>
          <t>customer_payment</t>
        </is>
      </c>
      <c r="I3682" t="inlineStr"/>
      <c r="J3682" t="inlineStr">
        <is>
          <t>G00430</t>
        </is>
      </c>
      <c r="K3682" t="str">
        <f>INDEX('Match Groups'!$D$5:$D$1326,MATCH(J3682,'Match Groups'!$A$5:$A$1326,0))</f>
        <v>MATCH</v>
      </c>
    </row>
    <row r="3683">
      <c r="A3683" t="inlineStr">
        <is>
          <t>JI-01350</t>
        </is>
      </c>
      <c r="B3683" t="inlineStr">
        <is>
          <t>OPS</t>
        </is>
      </c>
      <c r="C3683" s="5" t="n">
        <v>46280</v>
      </c>
      <c r="D3683" t="inlineStr">
        <is>
          <t>Riverbend Plan Partners</t>
        </is>
      </c>
      <c r="E3683" t="inlineStr">
        <is>
          <t>INV/2026/03075</t>
        </is>
      </c>
      <c r="F3683" t="inlineStr">
        <is>
          <t>Customer payment INV/2026/03075</t>
        </is>
      </c>
      <c r="G3683" s="9" t="n">
        <v>155.19</v>
      </c>
      <c r="H3683" t="inlineStr">
        <is>
          <t>customer_payment</t>
        </is>
      </c>
      <c r="I3683" t="inlineStr"/>
      <c r="J3683" t="inlineStr">
        <is>
          <t>G00430</t>
        </is>
      </c>
      <c r="K3683" t="str">
        <f>INDEX('Match Groups'!$D$5:$D$1326,MATCH(J3683,'Match Groups'!$A$5:$A$1326,0))</f>
        <v>MATCH</v>
      </c>
    </row>
    <row r="3684">
      <c r="A3684" t="inlineStr">
        <is>
          <t>JI-01351</t>
        </is>
      </c>
      <c r="B3684" t="inlineStr">
        <is>
          <t>OPS</t>
        </is>
      </c>
      <c r="C3684" s="5" t="n">
        <v>46280</v>
      </c>
      <c r="D3684" t="inlineStr">
        <is>
          <t>Clearpath NDIS Plans</t>
        </is>
      </c>
      <c r="E3684" t="inlineStr">
        <is>
          <t>INV/2026/02989</t>
        </is>
      </c>
      <c r="F3684" t="inlineStr">
        <is>
          <t>Customer payment INV/2026/02989</t>
        </is>
      </c>
      <c r="G3684" s="9" t="n">
        <v>290.98</v>
      </c>
      <c r="H3684" t="inlineStr">
        <is>
          <t>customer_payment</t>
        </is>
      </c>
      <c r="I3684" t="inlineStr"/>
      <c r="J3684" t="inlineStr">
        <is>
          <t>G00431</t>
        </is>
      </c>
      <c r="K3684" t="str">
        <f>INDEX('Match Groups'!$D$5:$D$1326,MATCH(J3684,'Match Groups'!$A$5:$A$1326,0))</f>
        <v>MATCH</v>
      </c>
    </row>
    <row r="3685">
      <c r="A3685" t="inlineStr">
        <is>
          <t>JI-01352</t>
        </is>
      </c>
      <c r="B3685" t="inlineStr">
        <is>
          <t>OPS</t>
        </is>
      </c>
      <c r="C3685" s="5" t="n">
        <v>46280</v>
      </c>
      <c r="D3685" t="inlineStr">
        <is>
          <t>Clearpath NDIS Plans</t>
        </is>
      </c>
      <c r="E3685" t="inlineStr">
        <is>
          <t>INV/2026/03016</t>
        </is>
      </c>
      <c r="F3685" t="inlineStr">
        <is>
          <t>Customer payment INV/2026/03016</t>
        </is>
      </c>
      <c r="G3685" s="9" t="n">
        <v>175.49</v>
      </c>
      <c r="H3685" t="inlineStr">
        <is>
          <t>customer_payment</t>
        </is>
      </c>
      <c r="I3685" t="inlineStr"/>
      <c r="J3685" t="inlineStr">
        <is>
          <t>G00431</t>
        </is>
      </c>
      <c r="K3685" t="str">
        <f>INDEX('Match Groups'!$D$5:$D$1326,MATCH(J3685,'Match Groups'!$A$5:$A$1326,0))</f>
        <v>MATCH</v>
      </c>
    </row>
    <row r="3686">
      <c r="A3686" t="inlineStr">
        <is>
          <t>JI-01353</t>
        </is>
      </c>
      <c r="B3686" t="inlineStr">
        <is>
          <t>OPS</t>
        </is>
      </c>
      <c r="C3686" s="5" t="n">
        <v>46280</v>
      </c>
      <c r="D3686" t="inlineStr">
        <is>
          <t>Banksia Plan Co</t>
        </is>
      </c>
      <c r="E3686" t="inlineStr">
        <is>
          <t>INV/2026/03080</t>
        </is>
      </c>
      <c r="F3686" t="inlineStr">
        <is>
          <t>Customer payment INV/2026/03080</t>
        </is>
      </c>
      <c r="G3686" s="9" t="n">
        <v>242.49</v>
      </c>
      <c r="H3686" t="inlineStr">
        <is>
          <t>customer_payment</t>
        </is>
      </c>
      <c r="I3686" t="inlineStr"/>
      <c r="J3686" t="inlineStr">
        <is>
          <t>G00432</t>
        </is>
      </c>
      <c r="K3686" t="str">
        <f>INDEX('Match Groups'!$D$5:$D$1326,MATCH(J3686,'Match Groups'!$A$5:$A$1326,0))</f>
        <v>MATCH</v>
      </c>
    </row>
    <row r="3687">
      <c r="A3687" t="inlineStr">
        <is>
          <t>JI-01354</t>
        </is>
      </c>
      <c r="B3687" t="inlineStr">
        <is>
          <t>OPS</t>
        </is>
      </c>
      <c r="C3687" s="5" t="n">
        <v>46280</v>
      </c>
      <c r="D3687" t="inlineStr">
        <is>
          <t>Ironbark Plan Management</t>
        </is>
      </c>
      <c r="E3687" t="inlineStr">
        <is>
          <t>INV/2026/02992</t>
        </is>
      </c>
      <c r="F3687" t="inlineStr">
        <is>
          <t>Customer payment INV/2026/02992</t>
        </is>
      </c>
      <c r="G3687" s="9" t="n">
        <v>290.98</v>
      </c>
      <c r="H3687" t="inlineStr">
        <is>
          <t>customer_payment</t>
        </is>
      </c>
      <c r="I3687" t="inlineStr"/>
      <c r="J3687" t="inlineStr">
        <is>
          <t>G00433</t>
        </is>
      </c>
      <c r="K3687" t="str">
        <f>INDEX('Match Groups'!$D$5:$D$1326,MATCH(J3687,'Match Groups'!$A$5:$A$1326,0))</f>
        <v>MATCH</v>
      </c>
    </row>
    <row r="3688">
      <c r="A3688" t="inlineStr">
        <is>
          <t>JI-01355</t>
        </is>
      </c>
      <c r="B3688" t="inlineStr">
        <is>
          <t>OPS</t>
        </is>
      </c>
      <c r="C3688" s="5" t="n">
        <v>46280</v>
      </c>
      <c r="D3688" t="inlineStr">
        <is>
          <t>Ironbark Plan Management</t>
        </is>
      </c>
      <c r="E3688" t="inlineStr">
        <is>
          <t>INV/2026/02993</t>
        </is>
      </c>
      <c r="F3688" t="inlineStr">
        <is>
          <t>Customer payment INV/2026/02993</t>
        </is>
      </c>
      <c r="G3688" s="9" t="n">
        <v>290.98</v>
      </c>
      <c r="H3688" t="inlineStr">
        <is>
          <t>customer_payment</t>
        </is>
      </c>
      <c r="I3688" t="inlineStr"/>
      <c r="J3688" t="inlineStr">
        <is>
          <t>G00433</t>
        </is>
      </c>
      <c r="K3688" t="str">
        <f>INDEX('Match Groups'!$D$5:$D$1326,MATCH(J3688,'Match Groups'!$A$5:$A$1326,0))</f>
        <v>MATCH</v>
      </c>
    </row>
    <row r="3689">
      <c r="A3689" t="inlineStr">
        <is>
          <t>JI-01356</t>
        </is>
      </c>
      <c r="B3689" t="inlineStr">
        <is>
          <t>OPS</t>
        </is>
      </c>
      <c r="C3689" s="5" t="n">
        <v>46280</v>
      </c>
      <c r="D3689" t="inlineStr">
        <is>
          <t>Ironbark Plan Management</t>
        </is>
      </c>
      <c r="E3689" t="inlineStr">
        <is>
          <t>INV/2026/02994</t>
        </is>
      </c>
      <c r="F3689" t="inlineStr">
        <is>
          <t>Customer payment INV/2026/02994</t>
        </is>
      </c>
      <c r="G3689" s="9" t="n">
        <v>223.99</v>
      </c>
      <c r="H3689" t="inlineStr">
        <is>
          <t>customer_payment</t>
        </is>
      </c>
      <c r="I3689" t="inlineStr"/>
      <c r="J3689" t="inlineStr">
        <is>
          <t>G00433</t>
        </is>
      </c>
      <c r="K3689" t="str">
        <f>INDEX('Match Groups'!$D$5:$D$1326,MATCH(J3689,'Match Groups'!$A$5:$A$1326,0))</f>
        <v>MATCH</v>
      </c>
    </row>
    <row r="3690">
      <c r="A3690" t="inlineStr">
        <is>
          <t>JI-01357</t>
        </is>
      </c>
      <c r="B3690" t="inlineStr">
        <is>
          <t>OPS</t>
        </is>
      </c>
      <c r="C3690" s="5" t="n">
        <v>46280</v>
      </c>
      <c r="D3690" t="inlineStr">
        <is>
          <t>Ironbark Plan Management</t>
        </is>
      </c>
      <c r="E3690" t="inlineStr">
        <is>
          <t>INV/2026/03020</t>
        </is>
      </c>
      <c r="F3690" t="inlineStr">
        <is>
          <t>Customer payment INV/2026/03020</t>
        </is>
      </c>
      <c r="G3690" s="9" t="n">
        <v>300.69</v>
      </c>
      <c r="H3690" t="inlineStr">
        <is>
          <t>customer_payment</t>
        </is>
      </c>
      <c r="I3690" t="inlineStr"/>
      <c r="J3690" t="inlineStr">
        <is>
          <t>G00433</t>
        </is>
      </c>
      <c r="K3690" t="str">
        <f>INDEX('Match Groups'!$D$5:$D$1326,MATCH(J3690,'Match Groups'!$A$5:$A$1326,0))</f>
        <v>MATCH</v>
      </c>
    </row>
    <row r="3691">
      <c r="A3691" t="inlineStr">
        <is>
          <t>JI-01358</t>
        </is>
      </c>
      <c r="B3691" t="inlineStr">
        <is>
          <t>OPS</t>
        </is>
      </c>
      <c r="C3691" s="5" t="n">
        <v>46280</v>
      </c>
      <c r="D3691" t="inlineStr">
        <is>
          <t>Redgum Plan Admin</t>
        </is>
      </c>
      <c r="E3691" t="inlineStr">
        <is>
          <t>INV/2026/03043</t>
        </is>
      </c>
      <c r="F3691" t="inlineStr">
        <is>
          <t>Customer payment INV/2026/03043</t>
        </is>
      </c>
      <c r="G3691" s="9" t="n">
        <v>96.98999999999999</v>
      </c>
      <c r="H3691" t="inlineStr">
        <is>
          <t>customer_payment</t>
        </is>
      </c>
      <c r="I3691" t="inlineStr"/>
      <c r="J3691" t="inlineStr">
        <is>
          <t>G00434</t>
        </is>
      </c>
      <c r="K3691" t="str">
        <f>INDEX('Match Groups'!$D$5:$D$1326,MATCH(J3691,'Match Groups'!$A$5:$A$1326,0))</f>
        <v>MATCH</v>
      </c>
    </row>
    <row r="3692">
      <c r="A3692" t="inlineStr">
        <is>
          <t>JI-01359</t>
        </is>
      </c>
      <c r="B3692" t="inlineStr">
        <is>
          <t>OPS</t>
        </is>
      </c>
      <c r="C3692" s="5" t="n">
        <v>46280</v>
      </c>
      <c r="D3692" t="inlineStr">
        <is>
          <t>Redgum Plan Admin</t>
        </is>
      </c>
      <c r="E3692" t="inlineStr">
        <is>
          <t>INV/2026/03067</t>
        </is>
      </c>
      <c r="F3692" t="inlineStr">
        <is>
          <t>Customer payment INV/2026/03067</t>
        </is>
      </c>
      <c r="G3692" s="9" t="n">
        <v>417.98</v>
      </c>
      <c r="H3692" t="inlineStr">
        <is>
          <t>customer_payment</t>
        </is>
      </c>
      <c r="I3692" t="inlineStr"/>
      <c r="J3692" t="inlineStr">
        <is>
          <t>G00434</t>
        </is>
      </c>
      <c r="K3692" t="str">
        <f>INDEX('Match Groups'!$D$5:$D$1326,MATCH(J3692,'Match Groups'!$A$5:$A$1326,0))</f>
        <v>MATCH</v>
      </c>
    </row>
    <row r="3693">
      <c r="A3693" t="inlineStr">
        <is>
          <t>JI-01360</t>
        </is>
      </c>
      <c r="B3693" t="inlineStr">
        <is>
          <t>OPS</t>
        </is>
      </c>
      <c r="C3693" s="5" t="n">
        <v>46280</v>
      </c>
      <c r="D3693" t="inlineStr">
        <is>
          <t>Redgum Plan Admin</t>
        </is>
      </c>
      <c r="E3693" t="inlineStr">
        <is>
          <t>INV/2026/03084</t>
        </is>
      </c>
      <c r="F3693" t="inlineStr">
        <is>
          <t>Customer payment INV/2026/03084</t>
        </is>
      </c>
      <c r="G3693" s="9" t="n">
        <v>203.69</v>
      </c>
      <c r="H3693" t="inlineStr">
        <is>
          <t>customer_payment</t>
        </is>
      </c>
      <c r="I3693" t="inlineStr"/>
      <c r="J3693" t="inlineStr">
        <is>
          <t>G00434</t>
        </is>
      </c>
      <c r="K3693" t="str">
        <f>INDEX('Match Groups'!$D$5:$D$1326,MATCH(J3693,'Match Groups'!$A$5:$A$1326,0))</f>
        <v>MATCH</v>
      </c>
    </row>
    <row r="3694">
      <c r="A3694" t="inlineStr">
        <is>
          <t>JI-01361</t>
        </is>
      </c>
      <c r="B3694" t="inlineStr">
        <is>
          <t>OPS</t>
        </is>
      </c>
      <c r="C3694" s="5" t="n">
        <v>46280</v>
      </c>
      <c r="D3694" t="inlineStr">
        <is>
          <t>Redgum Plan Admin</t>
        </is>
      </c>
      <c r="E3694" t="inlineStr">
        <is>
          <t>INV/2026/03085</t>
        </is>
      </c>
      <c r="F3694" t="inlineStr">
        <is>
          <t>Customer payment INV/2026/03085</t>
        </is>
      </c>
      <c r="G3694" s="9" t="n">
        <v>446.18</v>
      </c>
      <c r="H3694" t="inlineStr">
        <is>
          <t>customer_payment</t>
        </is>
      </c>
      <c r="I3694" t="inlineStr"/>
      <c r="J3694" t="inlineStr">
        <is>
          <t>G00434</t>
        </is>
      </c>
      <c r="K3694" t="str">
        <f>INDEX('Match Groups'!$D$5:$D$1326,MATCH(J3694,'Match Groups'!$A$5:$A$1326,0))</f>
        <v>MATCH</v>
      </c>
    </row>
    <row r="3695">
      <c r="A3695" t="inlineStr">
        <is>
          <t>JI-01362</t>
        </is>
      </c>
      <c r="B3695" t="inlineStr">
        <is>
          <t>OPS</t>
        </is>
      </c>
      <c r="C3695" s="5" t="n">
        <v>46280</v>
      </c>
      <c r="D3695" t="inlineStr">
        <is>
          <t>Lyrebird Plan Management</t>
        </is>
      </c>
      <c r="E3695" t="inlineStr">
        <is>
          <t>INV/2026/03030</t>
        </is>
      </c>
      <c r="F3695" t="inlineStr">
        <is>
          <t>Customer payment INV/2026/03030</t>
        </is>
      </c>
      <c r="G3695" s="9" t="n">
        <v>417.98</v>
      </c>
      <c r="H3695" t="inlineStr">
        <is>
          <t>customer_payment</t>
        </is>
      </c>
      <c r="I3695" t="inlineStr"/>
      <c r="J3695" t="inlineStr">
        <is>
          <t>G00435</t>
        </is>
      </c>
      <c r="K3695" t="str">
        <f>INDEX('Match Groups'!$D$5:$D$1326,MATCH(J3695,'Match Groups'!$A$5:$A$1326,0))</f>
        <v>MATCH</v>
      </c>
    </row>
    <row r="3696">
      <c r="A3696" t="inlineStr">
        <is>
          <t>JI-01363</t>
        </is>
      </c>
      <c r="B3696" t="inlineStr">
        <is>
          <t>OPS</t>
        </is>
      </c>
      <c r="C3696" s="5" t="n">
        <v>46280</v>
      </c>
      <c r="D3696" t="inlineStr">
        <is>
          <t>Lyrebird Plan Management</t>
        </is>
      </c>
      <c r="E3696" t="inlineStr">
        <is>
          <t>INV/2026/03069</t>
        </is>
      </c>
      <c r="F3696" t="inlineStr">
        <is>
          <t>Customer payment INV/2026/03069</t>
        </is>
      </c>
      <c r="G3696" s="9" t="n">
        <v>387.98</v>
      </c>
      <c r="H3696" t="inlineStr">
        <is>
          <t>customer_payment</t>
        </is>
      </c>
      <c r="I3696" t="inlineStr"/>
      <c r="J3696" t="inlineStr">
        <is>
          <t>G00435</t>
        </is>
      </c>
      <c r="K3696" t="str">
        <f>INDEX('Match Groups'!$D$5:$D$1326,MATCH(J3696,'Match Groups'!$A$5:$A$1326,0))</f>
        <v>MATCH</v>
      </c>
    </row>
    <row r="3697">
      <c r="A3697" t="inlineStr">
        <is>
          <t>JI-01364</t>
        </is>
      </c>
      <c r="B3697" t="inlineStr">
        <is>
          <t>OPS</t>
        </is>
      </c>
      <c r="C3697" s="5" t="n">
        <v>46280</v>
      </c>
      <c r="D3697" t="inlineStr">
        <is>
          <t>Lyrebird Plan Management</t>
        </is>
      </c>
      <c r="E3697" t="inlineStr">
        <is>
          <t>INV/2026/03088</t>
        </is>
      </c>
      <c r="F3697" t="inlineStr">
        <is>
          <t>Customer payment INV/2026/03088</t>
        </is>
      </c>
      <c r="G3697" s="9" t="n">
        <v>193.99</v>
      </c>
      <c r="H3697" t="inlineStr">
        <is>
          <t>customer_payment</t>
        </is>
      </c>
      <c r="I3697" t="inlineStr"/>
      <c r="J3697" t="inlineStr">
        <is>
          <t>G00435</t>
        </is>
      </c>
      <c r="K3697" t="str">
        <f>INDEX('Match Groups'!$D$5:$D$1326,MATCH(J3697,'Match Groups'!$A$5:$A$1326,0))</f>
        <v>MATCH</v>
      </c>
    </row>
    <row r="3698">
      <c r="A3698" t="inlineStr">
        <is>
          <t>JI-01365</t>
        </is>
      </c>
      <c r="B3698" t="inlineStr">
        <is>
          <t>OPS</t>
        </is>
      </c>
      <c r="C3698" s="5" t="n">
        <v>46280</v>
      </c>
      <c r="D3698" t="inlineStr">
        <is>
          <t>Acacia Plan Partners</t>
        </is>
      </c>
      <c r="E3698" t="inlineStr">
        <is>
          <t>INV/2026/03049</t>
        </is>
      </c>
      <c r="F3698" t="inlineStr">
        <is>
          <t>Customer payment INV/2026/03049</t>
        </is>
      </c>
      <c r="G3698" s="9" t="n">
        <v>145.49</v>
      </c>
      <c r="H3698" t="inlineStr">
        <is>
          <t>customer_payment</t>
        </is>
      </c>
      <c r="I3698" t="inlineStr"/>
      <c r="J3698" t="inlineStr">
        <is>
          <t>G00437</t>
        </is>
      </c>
      <c r="K3698" t="str">
        <f>INDEX('Match Groups'!$D$5:$D$1326,MATCH(J3698,'Match Groups'!$A$5:$A$1326,0))</f>
        <v>MATCH</v>
      </c>
    </row>
    <row r="3699">
      <c r="A3699" t="inlineStr">
        <is>
          <t>JI-01366</t>
        </is>
      </c>
      <c r="B3699" t="inlineStr">
        <is>
          <t>OPS</t>
        </is>
      </c>
      <c r="C3699" s="5" t="n">
        <v>46280</v>
      </c>
      <c r="D3699" t="inlineStr">
        <is>
          <t>Acacia Plan Partners</t>
        </is>
      </c>
      <c r="E3699" t="inlineStr">
        <is>
          <t>INV/2026/03115</t>
        </is>
      </c>
      <c r="F3699" t="inlineStr">
        <is>
          <t>Customer payment INV/2026/03115</t>
        </is>
      </c>
      <c r="G3699" s="9" t="n">
        <v>387.98</v>
      </c>
      <c r="H3699" t="inlineStr">
        <is>
          <t>customer_payment</t>
        </is>
      </c>
      <c r="I3699" t="inlineStr"/>
      <c r="J3699" t="inlineStr">
        <is>
          <t>G00437</t>
        </is>
      </c>
      <c r="K3699" t="str">
        <f>INDEX('Match Groups'!$D$5:$D$1326,MATCH(J3699,'Match Groups'!$A$5:$A$1326,0))</f>
        <v>MATCH</v>
      </c>
    </row>
    <row r="3700">
      <c r="A3700" t="inlineStr">
        <is>
          <t>JI-01367</t>
        </is>
      </c>
      <c r="B3700" t="inlineStr">
        <is>
          <t>OPS</t>
        </is>
      </c>
      <c r="C3700" s="5" t="n">
        <v>46280</v>
      </c>
      <c r="D3700" t="inlineStr">
        <is>
          <t>Mallee Plan Services</t>
        </is>
      </c>
      <c r="E3700" t="inlineStr">
        <is>
          <t>INV/2026/03006</t>
        </is>
      </c>
      <c r="F3700" t="inlineStr">
        <is>
          <t>Customer payment INV/2026/03006</t>
        </is>
      </c>
      <c r="G3700" s="9" t="n">
        <v>242.49</v>
      </c>
      <c r="H3700" t="inlineStr">
        <is>
          <t>customer_payment</t>
        </is>
      </c>
      <c r="I3700" t="inlineStr"/>
      <c r="J3700" t="inlineStr">
        <is>
          <t>G00438</t>
        </is>
      </c>
      <c r="K3700" t="str">
        <f>INDEX('Match Groups'!$D$5:$D$1326,MATCH(J3700,'Match Groups'!$A$5:$A$1326,0))</f>
        <v>MATCH</v>
      </c>
    </row>
    <row r="3701">
      <c r="A3701" t="inlineStr">
        <is>
          <t>JI-01368</t>
        </is>
      </c>
      <c r="B3701" t="inlineStr">
        <is>
          <t>OPS</t>
        </is>
      </c>
      <c r="C3701" s="5" t="n">
        <v>46280</v>
      </c>
      <c r="D3701" t="inlineStr">
        <is>
          <t>Mallee Plan Services</t>
        </is>
      </c>
      <c r="E3701" t="inlineStr">
        <is>
          <t>INV/2026/03073</t>
        </is>
      </c>
      <c r="F3701" t="inlineStr">
        <is>
          <t>Customer payment INV/2026/03073</t>
        </is>
      </c>
      <c r="G3701" s="9" t="n">
        <v>290.98</v>
      </c>
      <c r="H3701" t="inlineStr">
        <is>
          <t>customer_payment</t>
        </is>
      </c>
      <c r="I3701" t="inlineStr"/>
      <c r="J3701" t="inlineStr">
        <is>
          <t>G00438</t>
        </is>
      </c>
      <c r="K3701" t="str">
        <f>INDEX('Match Groups'!$D$5:$D$1326,MATCH(J3701,'Match Groups'!$A$5:$A$1326,0))</f>
        <v>MATCH</v>
      </c>
    </row>
    <row r="3702">
      <c r="A3702" t="inlineStr">
        <is>
          <t>JI-01369</t>
        </is>
      </c>
      <c r="B3702" t="inlineStr">
        <is>
          <t>OPS</t>
        </is>
      </c>
      <c r="C3702" s="5" t="n">
        <v>46280</v>
      </c>
      <c r="D3702" t="inlineStr">
        <is>
          <t>Mallee Plan Services</t>
        </is>
      </c>
      <c r="E3702" t="inlineStr">
        <is>
          <t>INV/2026/03093</t>
        </is>
      </c>
      <c r="F3702" t="inlineStr">
        <is>
          <t>Customer payment INV/2026/03093</t>
        </is>
      </c>
      <c r="G3702" s="9" t="n">
        <v>387.98</v>
      </c>
      <c r="H3702" t="inlineStr">
        <is>
          <t>customer_payment</t>
        </is>
      </c>
      <c r="I3702" t="inlineStr"/>
      <c r="J3702" t="inlineStr">
        <is>
          <t>G00438</t>
        </is>
      </c>
      <c r="K3702" t="str">
        <f>INDEX('Match Groups'!$D$5:$D$1326,MATCH(J3702,'Match Groups'!$A$5:$A$1326,0))</f>
        <v>MATCH</v>
      </c>
    </row>
    <row r="3703">
      <c r="A3703" t="inlineStr">
        <is>
          <t>JI-01370</t>
        </is>
      </c>
      <c r="B3703" t="inlineStr">
        <is>
          <t>OPS</t>
        </is>
      </c>
      <c r="C3703" s="5" t="n">
        <v>46280</v>
      </c>
      <c r="D3703" t="inlineStr">
        <is>
          <t>Clearpath NDIS Plans</t>
        </is>
      </c>
      <c r="E3703" t="inlineStr">
        <is>
          <t>INV/2026/03036</t>
        </is>
      </c>
      <c r="F3703" t="inlineStr">
        <is>
          <t>Customer payment INV/2026/03036</t>
        </is>
      </c>
      <c r="G3703" s="9" t="n">
        <v>126.99</v>
      </c>
      <c r="H3703" t="inlineStr">
        <is>
          <t>customer_payment</t>
        </is>
      </c>
      <c r="I3703" t="inlineStr"/>
      <c r="J3703" t="inlineStr">
        <is>
          <t>G00439</t>
        </is>
      </c>
      <c r="K3703" t="str">
        <f>INDEX('Match Groups'!$D$5:$D$1326,MATCH(J3703,'Match Groups'!$A$5:$A$1326,0))</f>
        <v>MATCH</v>
      </c>
    </row>
    <row r="3704">
      <c r="A3704" t="inlineStr">
        <is>
          <t>JI-01371</t>
        </is>
      </c>
      <c r="B3704" t="inlineStr">
        <is>
          <t>OPS</t>
        </is>
      </c>
      <c r="C3704" s="5" t="n">
        <v>46280</v>
      </c>
      <c r="D3704" t="inlineStr">
        <is>
          <t>Clearpath NDIS Plans</t>
        </is>
      </c>
      <c r="E3704" t="inlineStr">
        <is>
          <t>INV/2026/03037</t>
        </is>
      </c>
      <c r="F3704" t="inlineStr">
        <is>
          <t>Customer payment INV/2026/03037</t>
        </is>
      </c>
      <c r="G3704" s="9" t="n">
        <v>290.98</v>
      </c>
      <c r="H3704" t="inlineStr">
        <is>
          <t>customer_payment</t>
        </is>
      </c>
      <c r="I3704" t="inlineStr"/>
      <c r="J3704" t="inlineStr">
        <is>
          <t>G00439</t>
        </is>
      </c>
      <c r="K3704" t="str">
        <f>INDEX('Match Groups'!$D$5:$D$1326,MATCH(J3704,'Match Groups'!$A$5:$A$1326,0))</f>
        <v>MATCH</v>
      </c>
    </row>
    <row r="3705">
      <c r="A3705" t="inlineStr">
        <is>
          <t>JI-01372</t>
        </is>
      </c>
      <c r="B3705" t="inlineStr">
        <is>
          <t>OPS</t>
        </is>
      </c>
      <c r="C3705" s="5" t="n">
        <v>46280</v>
      </c>
      <c r="D3705" t="inlineStr">
        <is>
          <t>Clearpath NDIS Plans</t>
        </is>
      </c>
      <c r="E3705" t="inlineStr">
        <is>
          <t>INV/2026/03055</t>
        </is>
      </c>
      <c r="F3705" t="inlineStr">
        <is>
          <t>Customer payment INV/2026/03055</t>
        </is>
      </c>
      <c r="G3705" s="9" t="n">
        <v>96.98999999999999</v>
      </c>
      <c r="H3705" t="inlineStr">
        <is>
          <t>customer_payment</t>
        </is>
      </c>
      <c r="I3705" t="inlineStr"/>
      <c r="J3705" t="inlineStr">
        <is>
          <t>G00439</t>
        </is>
      </c>
      <c r="K3705" t="str">
        <f>INDEX('Match Groups'!$D$5:$D$1326,MATCH(J3705,'Match Groups'!$A$5:$A$1326,0))</f>
        <v>MATCH</v>
      </c>
    </row>
    <row r="3706">
      <c r="A3706" t="inlineStr">
        <is>
          <t>JI-01373</t>
        </is>
      </c>
      <c r="B3706" t="inlineStr">
        <is>
          <t>OPS</t>
        </is>
      </c>
      <c r="C3706" s="5" t="n">
        <v>46280</v>
      </c>
      <c r="D3706" t="inlineStr">
        <is>
          <t>Clearpath NDIS Plans</t>
        </is>
      </c>
      <c r="E3706" t="inlineStr">
        <is>
          <t>INV/2026/03056</t>
        </is>
      </c>
      <c r="F3706" t="inlineStr">
        <is>
          <t>Customer payment INV/2026/03056</t>
        </is>
      </c>
      <c r="G3706" s="9" t="n">
        <v>242.49</v>
      </c>
      <c r="H3706" t="inlineStr">
        <is>
          <t>customer_payment</t>
        </is>
      </c>
      <c r="I3706" t="inlineStr"/>
      <c r="J3706" t="inlineStr">
        <is>
          <t>G00439</t>
        </is>
      </c>
      <c r="K3706" t="str">
        <f>INDEX('Match Groups'!$D$5:$D$1326,MATCH(J3706,'Match Groups'!$A$5:$A$1326,0))</f>
        <v>MATCH</v>
      </c>
    </row>
    <row r="3707">
      <c r="A3707" t="inlineStr">
        <is>
          <t>JI-03368</t>
        </is>
      </c>
      <c r="B3707" t="inlineStr">
        <is>
          <t>OPS</t>
        </is>
      </c>
      <c r="C3707" s="5" t="n">
        <v>46280</v>
      </c>
      <c r="D3707" t="inlineStr">
        <is>
          <t>Stripe patient 24517</t>
        </is>
      </c>
      <c r="E3707" t="inlineStr">
        <is>
          <t>INV/2026/05209</t>
        </is>
      </c>
      <c r="F3707" t="inlineStr">
        <is>
          <t>Customer payment INV/2026/05209</t>
        </is>
      </c>
      <c r="G3707" s="9" t="n">
        <v>65</v>
      </c>
      <c r="H3707" t="inlineStr">
        <is>
          <t>customer_payment</t>
        </is>
      </c>
      <c r="I3707" t="inlineStr"/>
      <c r="J3707" t="inlineStr">
        <is>
          <t>G00070</t>
        </is>
      </c>
      <c r="K3707" t="str">
        <f>INDEX('Match Groups'!$D$5:$D$1326,MATCH(J3707,'Match Groups'!$A$5:$A$1326,0))</f>
        <v>STRIPE-FEE</v>
      </c>
    </row>
    <row r="3708">
      <c r="A3708" t="inlineStr">
        <is>
          <t>JI-03369</t>
        </is>
      </c>
      <c r="B3708" t="inlineStr">
        <is>
          <t>OPS</t>
        </is>
      </c>
      <c r="C3708" s="5" t="n">
        <v>46280</v>
      </c>
      <c r="D3708" t="inlineStr">
        <is>
          <t>Stripe patient 26639</t>
        </is>
      </c>
      <c r="E3708" t="inlineStr">
        <is>
          <t>INV/2026/05210</t>
        </is>
      </c>
      <c r="F3708" t="inlineStr">
        <is>
          <t>Customer payment INV/2026/05210</t>
        </is>
      </c>
      <c r="G3708" s="9" t="n">
        <v>85</v>
      </c>
      <c r="H3708" t="inlineStr">
        <is>
          <t>customer_payment</t>
        </is>
      </c>
      <c r="I3708" t="inlineStr"/>
      <c r="J3708" t="inlineStr">
        <is>
          <t>G00070</t>
        </is>
      </c>
      <c r="K3708" t="str">
        <f>INDEX('Match Groups'!$D$5:$D$1326,MATCH(J3708,'Match Groups'!$A$5:$A$1326,0))</f>
        <v>STRIPE-FEE</v>
      </c>
    </row>
    <row r="3709">
      <c r="A3709" t="inlineStr">
        <is>
          <t>JI-03370</t>
        </is>
      </c>
      <c r="B3709" t="inlineStr">
        <is>
          <t>OPS</t>
        </is>
      </c>
      <c r="C3709" s="5" t="n">
        <v>46280</v>
      </c>
      <c r="D3709" t="inlineStr">
        <is>
          <t>Stripe patient 43122</t>
        </is>
      </c>
      <c r="E3709" t="inlineStr">
        <is>
          <t>INV/2026/05211</t>
        </is>
      </c>
      <c r="F3709" t="inlineStr">
        <is>
          <t>Customer payment INV/2026/05211</t>
        </is>
      </c>
      <c r="G3709" s="9" t="n">
        <v>220</v>
      </c>
      <c r="H3709" t="inlineStr">
        <is>
          <t>customer_payment</t>
        </is>
      </c>
      <c r="I3709" t="inlineStr"/>
      <c r="J3709" t="inlineStr">
        <is>
          <t>G00070</t>
        </is>
      </c>
      <c r="K3709" t="str">
        <f>INDEX('Match Groups'!$D$5:$D$1326,MATCH(J3709,'Match Groups'!$A$5:$A$1326,0))</f>
        <v>STRIPE-FEE</v>
      </c>
    </row>
    <row r="3710">
      <c r="A3710" t="inlineStr">
        <is>
          <t>JI-03371</t>
        </is>
      </c>
      <c r="B3710" t="inlineStr">
        <is>
          <t>OPS</t>
        </is>
      </c>
      <c r="C3710" s="5" t="n">
        <v>46280</v>
      </c>
      <c r="D3710" t="inlineStr">
        <is>
          <t>Stripe patient 41526</t>
        </is>
      </c>
      <c r="E3710" t="inlineStr">
        <is>
          <t>INV/2026/05212</t>
        </is>
      </c>
      <c r="F3710" t="inlineStr">
        <is>
          <t>Customer payment INV/2026/05212</t>
        </is>
      </c>
      <c r="G3710" s="9" t="n">
        <v>220</v>
      </c>
      <c r="H3710" t="inlineStr">
        <is>
          <t>customer_payment</t>
        </is>
      </c>
      <c r="I3710" t="inlineStr"/>
      <c r="J3710" t="inlineStr">
        <is>
          <t>G00070</t>
        </is>
      </c>
      <c r="K3710" t="str">
        <f>INDEX('Match Groups'!$D$5:$D$1326,MATCH(J3710,'Match Groups'!$A$5:$A$1326,0))</f>
        <v>STRIPE-FEE</v>
      </c>
    </row>
    <row r="3711">
      <c r="A3711" t="inlineStr">
        <is>
          <t>JI-03372</t>
        </is>
      </c>
      <c r="B3711" t="inlineStr">
        <is>
          <t>OPS</t>
        </is>
      </c>
      <c r="C3711" s="5" t="n">
        <v>46280</v>
      </c>
      <c r="D3711" t="inlineStr">
        <is>
          <t>Stripe patient 59437</t>
        </is>
      </c>
      <c r="E3711" t="inlineStr">
        <is>
          <t>INV/2026/05213</t>
        </is>
      </c>
      <c r="F3711" t="inlineStr">
        <is>
          <t>Customer payment INV/2026/05213</t>
        </is>
      </c>
      <c r="G3711" s="9" t="n">
        <v>120</v>
      </c>
      <c r="H3711" t="inlineStr">
        <is>
          <t>customer_payment</t>
        </is>
      </c>
      <c r="I3711" t="inlineStr"/>
      <c r="J3711" t="inlineStr">
        <is>
          <t>G00070</t>
        </is>
      </c>
      <c r="K3711" t="str">
        <f>INDEX('Match Groups'!$D$5:$D$1326,MATCH(J3711,'Match Groups'!$A$5:$A$1326,0))</f>
        <v>STRIPE-FEE</v>
      </c>
    </row>
    <row r="3712">
      <c r="A3712" t="inlineStr">
        <is>
          <t>JI-03373</t>
        </is>
      </c>
      <c r="B3712" t="inlineStr">
        <is>
          <t>OPS</t>
        </is>
      </c>
      <c r="C3712" s="5" t="n">
        <v>46280</v>
      </c>
      <c r="D3712" t="inlineStr">
        <is>
          <t>Stripe patient 99958</t>
        </is>
      </c>
      <c r="E3712" t="inlineStr">
        <is>
          <t>INV/2026/05214</t>
        </is>
      </c>
      <c r="F3712" t="inlineStr">
        <is>
          <t>Customer payment INV/2026/05214</t>
        </is>
      </c>
      <c r="G3712" s="9" t="n">
        <v>95</v>
      </c>
      <c r="H3712" t="inlineStr">
        <is>
          <t>customer_payment</t>
        </is>
      </c>
      <c r="I3712" t="inlineStr"/>
      <c r="J3712" t="inlineStr">
        <is>
          <t>G00070</t>
        </is>
      </c>
      <c r="K3712" t="str">
        <f>INDEX('Match Groups'!$D$5:$D$1326,MATCH(J3712,'Match Groups'!$A$5:$A$1326,0))</f>
        <v>STRIPE-FEE</v>
      </c>
    </row>
    <row r="3713">
      <c r="A3713" t="inlineStr">
        <is>
          <t>JI-03374</t>
        </is>
      </c>
      <c r="B3713" t="inlineStr">
        <is>
          <t>OPS</t>
        </is>
      </c>
      <c r="C3713" s="5" t="n">
        <v>46280</v>
      </c>
      <c r="D3713" t="inlineStr">
        <is>
          <t>Stripe patient 62783</t>
        </is>
      </c>
      <c r="E3713" t="inlineStr">
        <is>
          <t>INV/2026/05215</t>
        </is>
      </c>
      <c r="F3713" t="inlineStr">
        <is>
          <t>Customer payment INV/2026/05215</t>
        </is>
      </c>
      <c r="G3713" s="9" t="n">
        <v>85</v>
      </c>
      <c r="H3713" t="inlineStr">
        <is>
          <t>customer_payment</t>
        </is>
      </c>
      <c r="I3713" t="inlineStr"/>
      <c r="J3713" t="inlineStr">
        <is>
          <t>G00070</t>
        </is>
      </c>
      <c r="K3713" t="str">
        <f>INDEX('Match Groups'!$D$5:$D$1326,MATCH(J3713,'Match Groups'!$A$5:$A$1326,0))</f>
        <v>STRIPE-FEE</v>
      </c>
    </row>
    <row r="3714">
      <c r="A3714" t="inlineStr">
        <is>
          <t>JI-03375</t>
        </is>
      </c>
      <c r="B3714" t="inlineStr">
        <is>
          <t>OPS</t>
        </is>
      </c>
      <c r="C3714" s="5" t="n">
        <v>46280</v>
      </c>
      <c r="D3714" t="inlineStr">
        <is>
          <t>Stripe patient 12263</t>
        </is>
      </c>
      <c r="E3714" t="inlineStr">
        <is>
          <t>INV/2026/05216</t>
        </is>
      </c>
      <c r="F3714" t="inlineStr">
        <is>
          <t>Customer payment INV/2026/05216</t>
        </is>
      </c>
      <c r="G3714" s="9" t="n">
        <v>135</v>
      </c>
      <c r="H3714" t="inlineStr">
        <is>
          <t>customer_payment</t>
        </is>
      </c>
      <c r="I3714" t="inlineStr"/>
      <c r="J3714" t="inlineStr">
        <is>
          <t>G00070</t>
        </is>
      </c>
      <c r="K3714" t="str">
        <f>INDEX('Match Groups'!$D$5:$D$1326,MATCH(J3714,'Match Groups'!$A$5:$A$1326,0))</f>
        <v>STRIPE-FEE</v>
      </c>
    </row>
    <row r="3715">
      <c r="A3715" t="inlineStr">
        <is>
          <t>JI-03376</t>
        </is>
      </c>
      <c r="B3715" t="inlineStr">
        <is>
          <t>OPS</t>
        </is>
      </c>
      <c r="C3715" s="5" t="n">
        <v>46280</v>
      </c>
      <c r="D3715" t="inlineStr">
        <is>
          <t>Stripe patient 46083</t>
        </is>
      </c>
      <c r="E3715" t="inlineStr">
        <is>
          <t>INV/2026/05217</t>
        </is>
      </c>
      <c r="F3715" t="inlineStr">
        <is>
          <t>Customer payment INV/2026/05217</t>
        </is>
      </c>
      <c r="G3715" s="9" t="n">
        <v>85</v>
      </c>
      <c r="H3715" t="inlineStr">
        <is>
          <t>customer_payment</t>
        </is>
      </c>
      <c r="I3715" t="inlineStr"/>
      <c r="J3715" t="inlineStr">
        <is>
          <t>G00070</t>
        </is>
      </c>
      <c r="K3715" t="str">
        <f>INDEX('Match Groups'!$D$5:$D$1326,MATCH(J3715,'Match Groups'!$A$5:$A$1326,0))</f>
        <v>STRIPE-FEE</v>
      </c>
    </row>
    <row r="3716">
      <c r="A3716" t="inlineStr">
        <is>
          <t>JI-03377</t>
        </is>
      </c>
      <c r="B3716" t="inlineStr">
        <is>
          <t>OPS</t>
        </is>
      </c>
      <c r="C3716" s="5" t="n">
        <v>46280</v>
      </c>
      <c r="D3716" t="inlineStr">
        <is>
          <t>Stripe patient 55360</t>
        </is>
      </c>
      <c r="E3716" t="inlineStr">
        <is>
          <t>INV/2026/05218</t>
        </is>
      </c>
      <c r="F3716" t="inlineStr">
        <is>
          <t>Customer payment INV/2026/05218</t>
        </is>
      </c>
      <c r="G3716" s="9" t="n">
        <v>180</v>
      </c>
      <c r="H3716" t="inlineStr">
        <is>
          <t>customer_payment</t>
        </is>
      </c>
      <c r="I3716" t="inlineStr"/>
      <c r="J3716" t="inlineStr">
        <is>
          <t>G00070</t>
        </is>
      </c>
      <c r="K3716" t="str">
        <f>INDEX('Match Groups'!$D$5:$D$1326,MATCH(J3716,'Match Groups'!$A$5:$A$1326,0))</f>
        <v>STRIPE-FEE</v>
      </c>
    </row>
    <row r="3717">
      <c r="A3717" t="inlineStr">
        <is>
          <t>JI-03378</t>
        </is>
      </c>
      <c r="B3717" t="inlineStr">
        <is>
          <t>OPS</t>
        </is>
      </c>
      <c r="C3717" s="5" t="n">
        <v>46280</v>
      </c>
      <c r="D3717" t="inlineStr">
        <is>
          <t>Stripe patient 21825</t>
        </is>
      </c>
      <c r="E3717" t="inlineStr">
        <is>
          <t>INV/2026/05219</t>
        </is>
      </c>
      <c r="F3717" t="inlineStr">
        <is>
          <t>Customer payment INV/2026/05219</t>
        </is>
      </c>
      <c r="G3717" s="9" t="n">
        <v>180</v>
      </c>
      <c r="H3717" t="inlineStr">
        <is>
          <t>customer_payment</t>
        </is>
      </c>
      <c r="I3717" t="inlineStr"/>
      <c r="J3717" t="inlineStr">
        <is>
          <t>G00070</t>
        </is>
      </c>
      <c r="K3717" t="str">
        <f>INDEX('Match Groups'!$D$5:$D$1326,MATCH(J3717,'Match Groups'!$A$5:$A$1326,0))</f>
        <v>STRIPE-FEE</v>
      </c>
    </row>
    <row r="3718">
      <c r="A3718" t="inlineStr">
        <is>
          <t>JI-03379</t>
        </is>
      </c>
      <c r="B3718" t="inlineStr">
        <is>
          <t>OPS</t>
        </is>
      </c>
      <c r="C3718" s="5" t="n">
        <v>46280</v>
      </c>
      <c r="D3718" t="inlineStr">
        <is>
          <t>Stripe patient 41283</t>
        </is>
      </c>
      <c r="E3718" t="inlineStr">
        <is>
          <t>INV/2026/05220</t>
        </is>
      </c>
      <c r="F3718" t="inlineStr">
        <is>
          <t>Customer payment INV/2026/05220</t>
        </is>
      </c>
      <c r="G3718" s="9" t="n">
        <v>120</v>
      </c>
      <c r="H3718" t="inlineStr">
        <is>
          <t>customer_payment</t>
        </is>
      </c>
      <c r="I3718" t="inlineStr"/>
      <c r="J3718" t="inlineStr">
        <is>
          <t>G00070</t>
        </is>
      </c>
      <c r="K3718" t="str">
        <f>INDEX('Match Groups'!$D$5:$D$1326,MATCH(J3718,'Match Groups'!$A$5:$A$1326,0))</f>
        <v>STRIPE-FEE</v>
      </c>
    </row>
    <row r="3719">
      <c r="A3719" t="inlineStr">
        <is>
          <t>JI-03380</t>
        </is>
      </c>
      <c r="B3719" t="inlineStr">
        <is>
          <t>OPS</t>
        </is>
      </c>
      <c r="C3719" s="5" t="n">
        <v>46280</v>
      </c>
      <c r="D3719" t="inlineStr">
        <is>
          <t>Stripe patient 20221</t>
        </is>
      </c>
      <c r="E3719" t="inlineStr">
        <is>
          <t>INV/2026/05221</t>
        </is>
      </c>
      <c r="F3719" t="inlineStr">
        <is>
          <t>Customer payment INV/2026/05221</t>
        </is>
      </c>
      <c r="G3719" s="9" t="n">
        <v>65</v>
      </c>
      <c r="H3719" t="inlineStr">
        <is>
          <t>customer_payment</t>
        </is>
      </c>
      <c r="I3719" t="inlineStr"/>
      <c r="J3719" t="inlineStr">
        <is>
          <t>G00070</t>
        </is>
      </c>
      <c r="K3719" t="str">
        <f>INDEX('Match Groups'!$D$5:$D$1326,MATCH(J3719,'Match Groups'!$A$5:$A$1326,0))</f>
        <v>STRIPE-FEE</v>
      </c>
    </row>
    <row r="3720">
      <c r="A3720" t="inlineStr">
        <is>
          <t>JI-03381</t>
        </is>
      </c>
      <c r="B3720" t="inlineStr">
        <is>
          <t>OPS</t>
        </is>
      </c>
      <c r="C3720" s="5" t="n">
        <v>46280</v>
      </c>
      <c r="D3720" t="inlineStr">
        <is>
          <t>Stripe patient 78344</t>
        </is>
      </c>
      <c r="E3720" t="inlineStr">
        <is>
          <t>INV/2026/05222</t>
        </is>
      </c>
      <c r="F3720" t="inlineStr">
        <is>
          <t>Customer payment INV/2026/05222</t>
        </is>
      </c>
      <c r="G3720" s="9" t="n">
        <v>110</v>
      </c>
      <c r="H3720" t="inlineStr">
        <is>
          <t>customer_payment</t>
        </is>
      </c>
      <c r="I3720" t="inlineStr"/>
      <c r="J3720" t="inlineStr">
        <is>
          <t>G00070</t>
        </is>
      </c>
      <c r="K3720" t="str">
        <f>INDEX('Match Groups'!$D$5:$D$1326,MATCH(J3720,'Match Groups'!$A$5:$A$1326,0))</f>
        <v>STRIPE-FEE</v>
      </c>
    </row>
    <row r="3721">
      <c r="A3721" t="inlineStr">
        <is>
          <t>JI-03382</t>
        </is>
      </c>
      <c r="B3721" t="inlineStr">
        <is>
          <t>OPS</t>
        </is>
      </c>
      <c r="C3721" s="5" t="n">
        <v>46280</v>
      </c>
      <c r="D3721" t="inlineStr">
        <is>
          <t>Stripe patient 26559</t>
        </is>
      </c>
      <c r="E3721" t="inlineStr">
        <is>
          <t>INV/2026/05223</t>
        </is>
      </c>
      <c r="F3721" t="inlineStr">
        <is>
          <t>Customer payment INV/2026/05223</t>
        </is>
      </c>
      <c r="G3721" s="9" t="n">
        <v>135</v>
      </c>
      <c r="H3721" t="inlineStr">
        <is>
          <t>customer_payment</t>
        </is>
      </c>
      <c r="I3721" t="inlineStr"/>
      <c r="J3721" t="inlineStr">
        <is>
          <t>G00070</t>
        </is>
      </c>
      <c r="K3721" t="str">
        <f>INDEX('Match Groups'!$D$5:$D$1326,MATCH(J3721,'Match Groups'!$A$5:$A$1326,0))</f>
        <v>STRIPE-FEE</v>
      </c>
    </row>
    <row r="3722">
      <c r="A3722" t="inlineStr">
        <is>
          <t>JI-03383</t>
        </is>
      </c>
      <c r="B3722" t="inlineStr">
        <is>
          <t>OPS</t>
        </is>
      </c>
      <c r="C3722" s="5" t="n">
        <v>46280</v>
      </c>
      <c r="D3722" t="inlineStr">
        <is>
          <t>Stripe patient 71162</t>
        </is>
      </c>
      <c r="E3722" t="inlineStr">
        <is>
          <t>INV/2026/05224</t>
        </is>
      </c>
      <c r="F3722" t="inlineStr">
        <is>
          <t>Customer payment INV/2026/05224</t>
        </is>
      </c>
      <c r="G3722" s="9" t="n">
        <v>150</v>
      </c>
      <c r="H3722" t="inlineStr">
        <is>
          <t>customer_payment</t>
        </is>
      </c>
      <c r="I3722" t="inlineStr"/>
      <c r="J3722" t="inlineStr">
        <is>
          <t>G00070</t>
        </is>
      </c>
      <c r="K3722" t="str">
        <f>INDEX('Match Groups'!$D$5:$D$1326,MATCH(J3722,'Match Groups'!$A$5:$A$1326,0))</f>
        <v>STRIPE-FEE</v>
      </c>
    </row>
    <row r="3723">
      <c r="A3723" t="inlineStr">
        <is>
          <t>JI-03384</t>
        </is>
      </c>
      <c r="B3723" t="inlineStr">
        <is>
          <t>OPS</t>
        </is>
      </c>
      <c r="C3723" s="5" t="n">
        <v>46280</v>
      </c>
      <c r="D3723" t="inlineStr">
        <is>
          <t>Stripe patient 21441</t>
        </is>
      </c>
      <c r="E3723" t="inlineStr">
        <is>
          <t>INV/2026/05225</t>
        </is>
      </c>
      <c r="F3723" t="inlineStr">
        <is>
          <t>Customer payment INV/2026/05225</t>
        </is>
      </c>
      <c r="G3723" s="9" t="n">
        <v>135</v>
      </c>
      <c r="H3723" t="inlineStr">
        <is>
          <t>customer_payment</t>
        </is>
      </c>
      <c r="I3723" t="inlineStr"/>
      <c r="J3723" t="inlineStr">
        <is>
          <t>G00070</t>
        </is>
      </c>
      <c r="K3723" t="str">
        <f>INDEX('Match Groups'!$D$5:$D$1326,MATCH(J3723,'Match Groups'!$A$5:$A$1326,0))</f>
        <v>STRIPE-FEE</v>
      </c>
    </row>
    <row r="3724">
      <c r="A3724" t="inlineStr">
        <is>
          <t>JI-03385</t>
        </is>
      </c>
      <c r="B3724" t="inlineStr">
        <is>
          <t>OPS</t>
        </is>
      </c>
      <c r="C3724" s="5" t="n">
        <v>46280</v>
      </c>
      <c r="D3724" t="inlineStr">
        <is>
          <t>Stripe patient 87073</t>
        </is>
      </c>
      <c r="E3724" t="inlineStr">
        <is>
          <t>INV/2026/05226</t>
        </is>
      </c>
      <c r="F3724" t="inlineStr">
        <is>
          <t>Customer payment INV/2026/05226</t>
        </is>
      </c>
      <c r="G3724" s="9" t="n">
        <v>135</v>
      </c>
      <c r="H3724" t="inlineStr">
        <is>
          <t>customer_payment</t>
        </is>
      </c>
      <c r="I3724" t="inlineStr"/>
      <c r="J3724" t="inlineStr">
        <is>
          <t>G00070</t>
        </is>
      </c>
      <c r="K3724" t="str">
        <f>INDEX('Match Groups'!$D$5:$D$1326,MATCH(J3724,'Match Groups'!$A$5:$A$1326,0))</f>
        <v>STRIPE-FEE</v>
      </c>
    </row>
    <row r="3725">
      <c r="A3725" t="inlineStr">
        <is>
          <t>JI-03386</t>
        </is>
      </c>
      <c r="B3725" t="inlineStr">
        <is>
          <t>OPS</t>
        </is>
      </c>
      <c r="C3725" s="5" t="n">
        <v>46280</v>
      </c>
      <c r="D3725" t="inlineStr">
        <is>
          <t>Stripe patient 47034</t>
        </is>
      </c>
      <c r="E3725" t="inlineStr">
        <is>
          <t>INV/2026/05227</t>
        </is>
      </c>
      <c r="F3725" t="inlineStr">
        <is>
          <t>Customer payment INV/2026/05227</t>
        </is>
      </c>
      <c r="G3725" s="9" t="n">
        <v>150</v>
      </c>
      <c r="H3725" t="inlineStr">
        <is>
          <t>customer_payment</t>
        </is>
      </c>
      <c r="I3725" t="inlineStr"/>
      <c r="J3725" t="inlineStr">
        <is>
          <t>G00070</t>
        </is>
      </c>
      <c r="K3725" t="str">
        <f>INDEX('Match Groups'!$D$5:$D$1326,MATCH(J3725,'Match Groups'!$A$5:$A$1326,0))</f>
        <v>STRIPE-FEE</v>
      </c>
    </row>
    <row r="3726">
      <c r="A3726" t="inlineStr">
        <is>
          <t>JI-03387</t>
        </is>
      </c>
      <c r="B3726" t="inlineStr">
        <is>
          <t>OPS</t>
        </is>
      </c>
      <c r="C3726" s="5" t="n">
        <v>46280</v>
      </c>
      <c r="D3726" t="inlineStr">
        <is>
          <t>Stripe patient 91241</t>
        </is>
      </c>
      <c r="E3726" t="inlineStr">
        <is>
          <t>INV/2026/05228</t>
        </is>
      </c>
      <c r="F3726" t="inlineStr">
        <is>
          <t>Customer payment INV/2026/05228</t>
        </is>
      </c>
      <c r="G3726" s="9" t="n">
        <v>135</v>
      </c>
      <c r="H3726" t="inlineStr">
        <is>
          <t>customer_payment</t>
        </is>
      </c>
      <c r="I3726" t="inlineStr"/>
      <c r="J3726" t="inlineStr">
        <is>
          <t>G00070</t>
        </is>
      </c>
      <c r="K3726" t="str">
        <f>INDEX('Match Groups'!$D$5:$D$1326,MATCH(J3726,'Match Groups'!$A$5:$A$1326,0))</f>
        <v>STRIPE-FEE</v>
      </c>
    </row>
    <row r="3727">
      <c r="A3727" t="inlineStr">
        <is>
          <t>JI-03388</t>
        </is>
      </c>
      <c r="B3727" t="inlineStr">
        <is>
          <t>OPS</t>
        </is>
      </c>
      <c r="C3727" s="5" t="n">
        <v>46280</v>
      </c>
      <c r="D3727" t="inlineStr">
        <is>
          <t>Stripe patient 13632</t>
        </is>
      </c>
      <c r="E3727" t="inlineStr">
        <is>
          <t>INV/2026/05229</t>
        </is>
      </c>
      <c r="F3727" t="inlineStr">
        <is>
          <t>Customer payment INV/2026/05229</t>
        </is>
      </c>
      <c r="G3727" s="9" t="n">
        <v>150</v>
      </c>
      <c r="H3727" t="inlineStr">
        <is>
          <t>customer_payment</t>
        </is>
      </c>
      <c r="I3727" t="inlineStr"/>
      <c r="J3727" t="inlineStr">
        <is>
          <t>G00070</t>
        </is>
      </c>
      <c r="K3727" t="str">
        <f>INDEX('Match Groups'!$D$5:$D$1326,MATCH(J3727,'Match Groups'!$A$5:$A$1326,0))</f>
        <v>STRIPE-FEE</v>
      </c>
    </row>
    <row r="3728">
      <c r="A3728" t="inlineStr">
        <is>
          <t>JI-03389</t>
        </is>
      </c>
      <c r="B3728" t="inlineStr">
        <is>
          <t>OPS</t>
        </is>
      </c>
      <c r="C3728" s="5" t="n">
        <v>46280</v>
      </c>
      <c r="D3728" t="inlineStr">
        <is>
          <t>Stripe patient 49347</t>
        </is>
      </c>
      <c r="E3728" t="inlineStr">
        <is>
          <t>INV/2026/05230</t>
        </is>
      </c>
      <c r="F3728" t="inlineStr">
        <is>
          <t>Customer payment INV/2026/05230</t>
        </is>
      </c>
      <c r="G3728" s="9" t="n">
        <v>120</v>
      </c>
      <c r="H3728" t="inlineStr">
        <is>
          <t>customer_payment</t>
        </is>
      </c>
      <c r="I3728" t="inlineStr"/>
      <c r="J3728" t="inlineStr">
        <is>
          <t>G00070</t>
        </is>
      </c>
      <c r="K3728" t="str">
        <f>INDEX('Match Groups'!$D$5:$D$1326,MATCH(J3728,'Match Groups'!$A$5:$A$1326,0))</f>
        <v>STRIPE-FEE</v>
      </c>
    </row>
    <row r="3729">
      <c r="A3729" t="inlineStr">
        <is>
          <t>JI-03390</t>
        </is>
      </c>
      <c r="B3729" t="inlineStr">
        <is>
          <t>OPS</t>
        </is>
      </c>
      <c r="C3729" s="5" t="n">
        <v>46280</v>
      </c>
      <c r="D3729" t="inlineStr">
        <is>
          <t>Stripe patient 91329</t>
        </is>
      </c>
      <c r="E3729" t="inlineStr">
        <is>
          <t>INV/2026/05231</t>
        </is>
      </c>
      <c r="F3729" t="inlineStr">
        <is>
          <t>Customer payment INV/2026/05231</t>
        </is>
      </c>
      <c r="G3729" s="9" t="n">
        <v>135</v>
      </c>
      <c r="H3729" t="inlineStr">
        <is>
          <t>customer_payment</t>
        </is>
      </c>
      <c r="I3729" t="inlineStr"/>
      <c r="J3729" t="inlineStr">
        <is>
          <t>G00070</t>
        </is>
      </c>
      <c r="K3729" t="str">
        <f>INDEX('Match Groups'!$D$5:$D$1326,MATCH(J3729,'Match Groups'!$A$5:$A$1326,0))</f>
        <v>STRIPE-FEE</v>
      </c>
    </row>
    <row r="3730">
      <c r="A3730" t="inlineStr">
        <is>
          <t>JI-03391</t>
        </is>
      </c>
      <c r="B3730" t="inlineStr">
        <is>
          <t>OPS</t>
        </is>
      </c>
      <c r="C3730" s="5" t="n">
        <v>46280</v>
      </c>
      <c r="D3730" t="inlineStr">
        <is>
          <t>Stripe patient 34243</t>
        </is>
      </c>
      <c r="E3730" t="inlineStr">
        <is>
          <t>INV/2026/05232</t>
        </is>
      </c>
      <c r="F3730" t="inlineStr">
        <is>
          <t>Customer payment INV/2026/05232</t>
        </is>
      </c>
      <c r="G3730" s="9" t="n">
        <v>120</v>
      </c>
      <c r="H3730" t="inlineStr">
        <is>
          <t>customer_payment</t>
        </is>
      </c>
      <c r="I3730" t="inlineStr"/>
      <c r="J3730" t="inlineStr">
        <is>
          <t>G00070</t>
        </is>
      </c>
      <c r="K3730" t="str">
        <f>INDEX('Match Groups'!$D$5:$D$1326,MATCH(J3730,'Match Groups'!$A$5:$A$1326,0))</f>
        <v>STRIPE-FEE</v>
      </c>
    </row>
    <row r="3731">
      <c r="A3731" t="inlineStr">
        <is>
          <t>JI-03392</t>
        </is>
      </c>
      <c r="B3731" t="inlineStr">
        <is>
          <t>OPS</t>
        </is>
      </c>
      <c r="C3731" s="5" t="n">
        <v>46280</v>
      </c>
      <c r="D3731" t="inlineStr">
        <is>
          <t>Stripe patient 58970</t>
        </is>
      </c>
      <c r="E3731" t="inlineStr">
        <is>
          <t>INV/2026/05233</t>
        </is>
      </c>
      <c r="F3731" t="inlineStr">
        <is>
          <t>Customer payment INV/2026/05233</t>
        </is>
      </c>
      <c r="G3731" s="9" t="n">
        <v>110</v>
      </c>
      <c r="H3731" t="inlineStr">
        <is>
          <t>customer_payment</t>
        </is>
      </c>
      <c r="I3731" t="inlineStr"/>
      <c r="J3731" t="inlineStr">
        <is>
          <t>G00070</t>
        </is>
      </c>
      <c r="K3731" t="str">
        <f>INDEX('Match Groups'!$D$5:$D$1326,MATCH(J3731,'Match Groups'!$A$5:$A$1326,0))</f>
        <v>STRIPE-FEE</v>
      </c>
    </row>
    <row r="3732">
      <c r="A3732" t="inlineStr">
        <is>
          <t>JI-03393</t>
        </is>
      </c>
      <c r="B3732" t="inlineStr">
        <is>
          <t>OPS</t>
        </is>
      </c>
      <c r="C3732" s="5" t="n">
        <v>46280</v>
      </c>
      <c r="D3732" t="inlineStr">
        <is>
          <t>Stripe patient 84805</t>
        </is>
      </c>
      <c r="E3732" t="inlineStr">
        <is>
          <t>INV/2026/05234</t>
        </is>
      </c>
      <c r="F3732" t="inlineStr">
        <is>
          <t>Customer payment INV/2026/05234</t>
        </is>
      </c>
      <c r="G3732" s="9" t="n">
        <v>85</v>
      </c>
      <c r="H3732" t="inlineStr">
        <is>
          <t>customer_payment</t>
        </is>
      </c>
      <c r="I3732" t="inlineStr"/>
      <c r="J3732" t="inlineStr">
        <is>
          <t>G00070</t>
        </is>
      </c>
      <c r="K3732" t="str">
        <f>INDEX('Match Groups'!$D$5:$D$1326,MATCH(J3732,'Match Groups'!$A$5:$A$1326,0))</f>
        <v>STRIPE-FEE</v>
      </c>
    </row>
    <row r="3733">
      <c r="A3733" t="inlineStr">
        <is>
          <t>JI-03394</t>
        </is>
      </c>
      <c r="B3733" t="inlineStr">
        <is>
          <t>OPS</t>
        </is>
      </c>
      <c r="C3733" s="5" t="n">
        <v>46280</v>
      </c>
      <c r="D3733" t="inlineStr">
        <is>
          <t>Stripe patient 73665</t>
        </is>
      </c>
      <c r="E3733" t="inlineStr">
        <is>
          <t>INV/2026/05235</t>
        </is>
      </c>
      <c r="F3733" t="inlineStr">
        <is>
          <t>Customer payment INV/2026/05235</t>
        </is>
      </c>
      <c r="G3733" s="9" t="n">
        <v>150</v>
      </c>
      <c r="H3733" t="inlineStr">
        <is>
          <t>customer_payment</t>
        </is>
      </c>
      <c r="I3733" t="inlineStr"/>
      <c r="J3733" t="inlineStr">
        <is>
          <t>G00070</t>
        </is>
      </c>
      <c r="K3733" t="str">
        <f>INDEX('Match Groups'!$D$5:$D$1326,MATCH(J3733,'Match Groups'!$A$5:$A$1326,0))</f>
        <v>STRIPE-FEE</v>
      </c>
    </row>
    <row r="3734">
      <c r="A3734" t="inlineStr">
        <is>
          <t>JI-03395</t>
        </is>
      </c>
      <c r="B3734" t="inlineStr">
        <is>
          <t>OPS</t>
        </is>
      </c>
      <c r="C3734" s="5" t="n">
        <v>46280</v>
      </c>
      <c r="D3734" t="inlineStr">
        <is>
          <t>Stripe patient 94755</t>
        </is>
      </c>
      <c r="E3734" t="inlineStr">
        <is>
          <t>INV/2026/05236</t>
        </is>
      </c>
      <c r="F3734" t="inlineStr">
        <is>
          <t>Customer payment INV/2026/05236</t>
        </is>
      </c>
      <c r="G3734" s="9" t="n">
        <v>135</v>
      </c>
      <c r="H3734" t="inlineStr">
        <is>
          <t>customer_payment</t>
        </is>
      </c>
      <c r="I3734" t="inlineStr"/>
      <c r="J3734" t="inlineStr">
        <is>
          <t>G00070</t>
        </is>
      </c>
      <c r="K3734" t="str">
        <f>INDEX('Match Groups'!$D$5:$D$1326,MATCH(J3734,'Match Groups'!$A$5:$A$1326,0))</f>
        <v>STRIPE-FEE</v>
      </c>
    </row>
    <row r="3735">
      <c r="A3735" t="inlineStr">
        <is>
          <t>JI-01374</t>
        </is>
      </c>
      <c r="B3735" t="inlineStr">
        <is>
          <t>OPS</t>
        </is>
      </c>
      <c r="C3735" s="5" t="n">
        <v>46281</v>
      </c>
      <c r="D3735" t="inlineStr">
        <is>
          <t>Banksia Plan Co</t>
        </is>
      </c>
      <c r="E3735" t="inlineStr">
        <is>
          <t>INV/2026/03101</t>
        </is>
      </c>
      <c r="F3735" t="inlineStr">
        <is>
          <t>Customer payment INV/2026/03101</t>
        </is>
      </c>
      <c r="G3735" s="9" t="n">
        <v>242.49</v>
      </c>
      <c r="H3735" t="inlineStr">
        <is>
          <t>customer_payment</t>
        </is>
      </c>
      <c r="I3735" t="inlineStr"/>
      <c r="J3735" t="inlineStr">
        <is>
          <t>G00440</t>
        </is>
      </c>
      <c r="K3735" t="str">
        <f>INDEX('Match Groups'!$D$5:$D$1326,MATCH(J3735,'Match Groups'!$A$5:$A$1326,0))</f>
        <v>MATCH</v>
      </c>
    </row>
    <row r="3736">
      <c r="A3736" t="inlineStr">
        <is>
          <t>JI-01375</t>
        </is>
      </c>
      <c r="B3736" t="inlineStr">
        <is>
          <t>OPS</t>
        </is>
      </c>
      <c r="C3736" s="5" t="n">
        <v>46281</v>
      </c>
      <c r="D3736" t="inlineStr">
        <is>
          <t>Banksia Plan Co</t>
        </is>
      </c>
      <c r="E3736" t="inlineStr">
        <is>
          <t>INV/2026/03102</t>
        </is>
      </c>
      <c r="F3736" t="inlineStr">
        <is>
          <t>Customer payment INV/2026/03102</t>
        </is>
      </c>
      <c r="G3736" s="9" t="n">
        <v>126.99</v>
      </c>
      <c r="H3736" t="inlineStr">
        <is>
          <t>customer_payment</t>
        </is>
      </c>
      <c r="I3736" t="inlineStr"/>
      <c r="J3736" t="inlineStr">
        <is>
          <t>G00440</t>
        </is>
      </c>
      <c r="K3736" t="str">
        <f>INDEX('Match Groups'!$D$5:$D$1326,MATCH(J3736,'Match Groups'!$A$5:$A$1326,0))</f>
        <v>MATCH</v>
      </c>
    </row>
    <row r="3737">
      <c r="A3737" t="inlineStr">
        <is>
          <t>JI-01376</t>
        </is>
      </c>
      <c r="B3737" t="inlineStr">
        <is>
          <t>OPS</t>
        </is>
      </c>
      <c r="C3737" s="5" t="n">
        <v>46281</v>
      </c>
      <c r="D3737" t="inlineStr">
        <is>
          <t>Saltbush Plan Managers</t>
        </is>
      </c>
      <c r="E3737" t="inlineStr">
        <is>
          <t>INV/2026/03025</t>
        </is>
      </c>
      <c r="F3737" t="inlineStr">
        <is>
          <t>Customer payment INV/2026/03025</t>
        </is>
      </c>
      <c r="G3737" s="9" t="n">
        <v>223.99</v>
      </c>
      <c r="H3737" t="inlineStr">
        <is>
          <t>customer_payment</t>
        </is>
      </c>
      <c r="I3737" t="inlineStr"/>
      <c r="J3737" t="inlineStr">
        <is>
          <t>G00441</t>
        </is>
      </c>
      <c r="K3737" t="str">
        <f>INDEX('Match Groups'!$D$5:$D$1326,MATCH(J3737,'Match Groups'!$A$5:$A$1326,0))</f>
        <v>MATCH</v>
      </c>
    </row>
    <row r="3738">
      <c r="A3738" t="inlineStr">
        <is>
          <t>JI-01377</t>
        </is>
      </c>
      <c r="B3738" t="inlineStr">
        <is>
          <t>OPS</t>
        </is>
      </c>
      <c r="C3738" s="5" t="n">
        <v>46281</v>
      </c>
      <c r="D3738" t="inlineStr">
        <is>
          <t>Saltbush Plan Managers</t>
        </is>
      </c>
      <c r="E3738" t="inlineStr">
        <is>
          <t>INV/2026/03064</t>
        </is>
      </c>
      <c r="F3738" t="inlineStr">
        <is>
          <t>Customer payment INV/2026/03064</t>
        </is>
      </c>
      <c r="G3738" s="9" t="n">
        <v>320.98</v>
      </c>
      <c r="H3738" t="inlineStr">
        <is>
          <t>customer_payment</t>
        </is>
      </c>
      <c r="I3738" t="inlineStr"/>
      <c r="J3738" t="inlineStr">
        <is>
          <t>G00441</t>
        </is>
      </c>
      <c r="K3738" t="str">
        <f>INDEX('Match Groups'!$D$5:$D$1326,MATCH(J3738,'Match Groups'!$A$5:$A$1326,0))</f>
        <v>MATCH</v>
      </c>
    </row>
    <row r="3739">
      <c r="A3739" t="inlineStr">
        <is>
          <t>JI-01378</t>
        </is>
      </c>
      <c r="B3739" t="inlineStr">
        <is>
          <t>OPS</t>
        </is>
      </c>
      <c r="C3739" s="5" t="n">
        <v>46281</v>
      </c>
      <c r="D3739" t="inlineStr">
        <is>
          <t>Saltbush Plan Managers</t>
        </is>
      </c>
      <c r="E3739" t="inlineStr">
        <is>
          <t>INV/2026/03107</t>
        </is>
      </c>
      <c r="F3739" t="inlineStr">
        <is>
          <t>Customer payment INV/2026/03107</t>
        </is>
      </c>
      <c r="G3739" s="9" t="n">
        <v>290.98</v>
      </c>
      <c r="H3739" t="inlineStr">
        <is>
          <t>customer_payment</t>
        </is>
      </c>
      <c r="I3739" t="inlineStr"/>
      <c r="J3739" t="inlineStr">
        <is>
          <t>G00441</t>
        </is>
      </c>
      <c r="K3739" t="str">
        <f>INDEX('Match Groups'!$D$5:$D$1326,MATCH(J3739,'Match Groups'!$A$5:$A$1326,0))</f>
        <v>MATCH</v>
      </c>
    </row>
    <row r="3740">
      <c r="A3740" t="inlineStr">
        <is>
          <t>JI-01379</t>
        </is>
      </c>
      <c r="B3740" t="inlineStr">
        <is>
          <t>OPS</t>
        </is>
      </c>
      <c r="C3740" s="5" t="n">
        <v>46281</v>
      </c>
      <c r="D3740" t="inlineStr">
        <is>
          <t>Redgum Plan Admin</t>
        </is>
      </c>
      <c r="E3740" t="inlineStr">
        <is>
          <t>INV/2026/03044</t>
        </is>
      </c>
      <c r="F3740" t="inlineStr">
        <is>
          <t>Customer payment INV/2026/03044</t>
        </is>
      </c>
      <c r="G3740" s="9" t="n">
        <v>155.19</v>
      </c>
      <c r="H3740" t="inlineStr">
        <is>
          <t>customer_payment</t>
        </is>
      </c>
      <c r="I3740" t="inlineStr"/>
      <c r="J3740" t="inlineStr">
        <is>
          <t>G00442</t>
        </is>
      </c>
      <c r="K3740" t="str">
        <f>INDEX('Match Groups'!$D$5:$D$1326,MATCH(J3740,'Match Groups'!$A$5:$A$1326,0))</f>
        <v>MATCH</v>
      </c>
    </row>
    <row r="3741">
      <c r="A3741" t="inlineStr">
        <is>
          <t>JI-01380</t>
        </is>
      </c>
      <c r="B3741" t="inlineStr">
        <is>
          <t>OPS</t>
        </is>
      </c>
      <c r="C3741" s="5" t="n">
        <v>46281</v>
      </c>
      <c r="D3741" t="inlineStr">
        <is>
          <t>Redgum Plan Admin</t>
        </is>
      </c>
      <c r="E3741" t="inlineStr">
        <is>
          <t>INV/2026/03066</t>
        </is>
      </c>
      <c r="F3741" t="inlineStr">
        <is>
          <t>Customer payment INV/2026/03066</t>
        </is>
      </c>
      <c r="G3741" s="9" t="n">
        <v>349.18</v>
      </c>
      <c r="H3741" t="inlineStr">
        <is>
          <t>customer_payment</t>
        </is>
      </c>
      <c r="I3741" t="inlineStr"/>
      <c r="J3741" t="inlineStr">
        <is>
          <t>G00442</t>
        </is>
      </c>
      <c r="K3741" t="str">
        <f>INDEX('Match Groups'!$D$5:$D$1326,MATCH(J3741,'Match Groups'!$A$5:$A$1326,0))</f>
        <v>MATCH</v>
      </c>
    </row>
    <row r="3742">
      <c r="A3742" t="inlineStr">
        <is>
          <t>JI-01381</t>
        </is>
      </c>
      <c r="B3742" t="inlineStr">
        <is>
          <t>OPS</t>
        </is>
      </c>
      <c r="C3742" s="5" t="n">
        <v>46281</v>
      </c>
      <c r="D3742" t="inlineStr">
        <is>
          <t>Southern Cross Plan Mgmt</t>
        </is>
      </c>
      <c r="E3742" t="inlineStr">
        <is>
          <t>INV/2026/03028</t>
        </is>
      </c>
      <c r="F3742" t="inlineStr">
        <is>
          <t>Customer payment INV/2026/03028</t>
        </is>
      </c>
      <c r="G3742" s="9" t="n">
        <v>252.19</v>
      </c>
      <c r="H3742" t="inlineStr">
        <is>
          <t>customer_payment</t>
        </is>
      </c>
      <c r="I3742" t="inlineStr"/>
      <c r="J3742" t="inlineStr">
        <is>
          <t>G00443</t>
        </is>
      </c>
      <c r="K3742" t="str">
        <f>INDEX('Match Groups'!$D$5:$D$1326,MATCH(J3742,'Match Groups'!$A$5:$A$1326,0))</f>
        <v>MATCH</v>
      </c>
    </row>
    <row r="3743">
      <c r="A3743" t="inlineStr">
        <is>
          <t>JI-01382</t>
        </is>
      </c>
      <c r="B3743" t="inlineStr">
        <is>
          <t>OPS</t>
        </is>
      </c>
      <c r="C3743" s="5" t="n">
        <v>46281</v>
      </c>
      <c r="D3743" t="inlineStr">
        <is>
          <t>Southern Cross Plan Mgmt</t>
        </is>
      </c>
      <c r="E3743" t="inlineStr">
        <is>
          <t>INV/2026/03029</t>
        </is>
      </c>
      <c r="F3743" t="inlineStr">
        <is>
          <t>Customer payment INV/2026/03029</t>
        </is>
      </c>
      <c r="G3743" s="9" t="n">
        <v>300.69</v>
      </c>
      <c r="H3743" t="inlineStr">
        <is>
          <t>customer_payment</t>
        </is>
      </c>
      <c r="I3743" t="inlineStr"/>
      <c r="J3743" t="inlineStr">
        <is>
          <t>G00443</t>
        </is>
      </c>
      <c r="K3743" t="str">
        <f>INDEX('Match Groups'!$D$5:$D$1326,MATCH(J3743,'Match Groups'!$A$5:$A$1326,0))</f>
        <v>MATCH</v>
      </c>
    </row>
    <row r="3744">
      <c r="A3744" t="inlineStr">
        <is>
          <t>JI-01383</t>
        </is>
      </c>
      <c r="B3744" t="inlineStr">
        <is>
          <t>OPS</t>
        </is>
      </c>
      <c r="C3744" s="5" t="n">
        <v>46281</v>
      </c>
      <c r="D3744" t="inlineStr">
        <is>
          <t>Southern Cross Plan Mgmt</t>
        </is>
      </c>
      <c r="E3744" t="inlineStr">
        <is>
          <t>INV/2026/03045</t>
        </is>
      </c>
      <c r="F3744" t="inlineStr">
        <is>
          <t>Customer payment INV/2026/03045</t>
        </is>
      </c>
      <c r="G3744" s="9" t="n">
        <v>145.49</v>
      </c>
      <c r="H3744" t="inlineStr">
        <is>
          <t>customer_payment</t>
        </is>
      </c>
      <c r="I3744" t="inlineStr"/>
      <c r="J3744" t="inlineStr">
        <is>
          <t>G00443</t>
        </is>
      </c>
      <c r="K3744" t="str">
        <f>INDEX('Match Groups'!$D$5:$D$1326,MATCH(J3744,'Match Groups'!$A$5:$A$1326,0))</f>
        <v>MATCH</v>
      </c>
    </row>
    <row r="3745">
      <c r="A3745" t="inlineStr">
        <is>
          <t>JI-01384</t>
        </is>
      </c>
      <c r="B3745" t="inlineStr">
        <is>
          <t>OPS</t>
        </is>
      </c>
      <c r="C3745" s="5" t="n">
        <v>46281</v>
      </c>
      <c r="D3745" t="inlineStr">
        <is>
          <t>Acacia Plan Partners</t>
        </is>
      </c>
      <c r="E3745" t="inlineStr">
        <is>
          <t>INV/2026/03050</t>
        </is>
      </c>
      <c r="F3745" t="inlineStr">
        <is>
          <t>Customer payment INV/2026/03050</t>
        </is>
      </c>
      <c r="G3745" s="9" t="n">
        <v>145.49</v>
      </c>
      <c r="H3745" t="inlineStr">
        <is>
          <t>customer_payment</t>
        </is>
      </c>
      <c r="I3745" t="inlineStr"/>
      <c r="J3745" t="inlineStr">
        <is>
          <t>G00444</t>
        </is>
      </c>
      <c r="K3745" t="str">
        <f>INDEX('Match Groups'!$D$5:$D$1326,MATCH(J3745,'Match Groups'!$A$5:$A$1326,0))</f>
        <v>MATCH</v>
      </c>
    </row>
    <row r="3746">
      <c r="A3746" t="inlineStr">
        <is>
          <t>JI-01385</t>
        </is>
      </c>
      <c r="B3746" t="inlineStr">
        <is>
          <t>OPS</t>
        </is>
      </c>
      <c r="C3746" s="5" t="n">
        <v>46281</v>
      </c>
      <c r="D3746" t="inlineStr">
        <is>
          <t>Acacia Plan Partners</t>
        </is>
      </c>
      <c r="E3746" t="inlineStr">
        <is>
          <t>INV/2026/03092</t>
        </is>
      </c>
      <c r="F3746" t="inlineStr">
        <is>
          <t>Customer payment INV/2026/03092</t>
        </is>
      </c>
      <c r="G3746" s="9" t="n">
        <v>145.49</v>
      </c>
      <c r="H3746" t="inlineStr">
        <is>
          <t>customer_payment</t>
        </is>
      </c>
      <c r="I3746" t="inlineStr"/>
      <c r="J3746" t="inlineStr">
        <is>
          <t>G00444</t>
        </is>
      </c>
      <c r="K3746" t="str">
        <f>INDEX('Match Groups'!$D$5:$D$1326,MATCH(J3746,'Match Groups'!$A$5:$A$1326,0))</f>
        <v>MATCH</v>
      </c>
    </row>
    <row r="3747">
      <c r="A3747" t="inlineStr">
        <is>
          <t>JI-01386</t>
        </is>
      </c>
      <c r="B3747" t="inlineStr">
        <is>
          <t>OPS</t>
        </is>
      </c>
      <c r="C3747" s="5" t="n">
        <v>46281</v>
      </c>
      <c r="D3747" t="inlineStr">
        <is>
          <t>Mallee Plan Services</t>
        </is>
      </c>
      <c r="E3747" t="inlineStr">
        <is>
          <t>INV/2026/03051</t>
        </is>
      </c>
      <c r="F3747" t="inlineStr">
        <is>
          <t>Customer payment INV/2026/03051</t>
        </is>
      </c>
      <c r="G3747" s="9" t="n">
        <v>193.99</v>
      </c>
      <c r="H3747" t="inlineStr">
        <is>
          <t>customer_payment</t>
        </is>
      </c>
      <c r="I3747" t="inlineStr"/>
      <c r="J3747" t="inlineStr">
        <is>
          <t>G00445</t>
        </is>
      </c>
      <c r="K3747" t="str">
        <f>INDEX('Match Groups'!$D$5:$D$1326,MATCH(J3747,'Match Groups'!$A$5:$A$1326,0))</f>
        <v>MATCH</v>
      </c>
    </row>
    <row r="3748">
      <c r="A3748" t="inlineStr">
        <is>
          <t>JI-01387</t>
        </is>
      </c>
      <c r="B3748" t="inlineStr">
        <is>
          <t>OPS</t>
        </is>
      </c>
      <c r="C3748" s="5" t="n">
        <v>46281</v>
      </c>
      <c r="D3748" t="inlineStr">
        <is>
          <t>Mallee Plan Services</t>
        </is>
      </c>
      <c r="E3748" t="inlineStr">
        <is>
          <t>INV/2026/03117</t>
        </is>
      </c>
      <c r="F3748" t="inlineStr">
        <is>
          <t>Customer payment INV/2026/03117</t>
        </is>
      </c>
      <c r="G3748" s="9" t="n">
        <v>387.98</v>
      </c>
      <c r="H3748" t="inlineStr">
        <is>
          <t>customer_payment</t>
        </is>
      </c>
      <c r="I3748" t="inlineStr"/>
      <c r="J3748" t="inlineStr">
        <is>
          <t>G00445</t>
        </is>
      </c>
      <c r="K3748" t="str">
        <f>INDEX('Match Groups'!$D$5:$D$1326,MATCH(J3748,'Match Groups'!$A$5:$A$1326,0))</f>
        <v>MATCH</v>
      </c>
    </row>
    <row r="3749">
      <c r="A3749" t="inlineStr">
        <is>
          <t>JI-01388</t>
        </is>
      </c>
      <c r="B3749" t="inlineStr">
        <is>
          <t>OPS</t>
        </is>
      </c>
      <c r="C3749" s="5" t="n">
        <v>46281</v>
      </c>
      <c r="D3749" t="inlineStr">
        <is>
          <t>Mallee Plan Services</t>
        </is>
      </c>
      <c r="E3749" t="inlineStr">
        <is>
          <t>INV/2026/03118</t>
        </is>
      </c>
      <c r="F3749" t="inlineStr">
        <is>
          <t>Customer payment INV/2026/03118</t>
        </is>
      </c>
      <c r="G3749" s="9" t="n">
        <v>155.19</v>
      </c>
      <c r="H3749" t="inlineStr">
        <is>
          <t>customer_payment</t>
        </is>
      </c>
      <c r="I3749" t="inlineStr"/>
      <c r="J3749" t="inlineStr">
        <is>
          <t>G00445</t>
        </is>
      </c>
      <c r="K3749" t="str">
        <f>INDEX('Match Groups'!$D$5:$D$1326,MATCH(J3749,'Match Groups'!$A$5:$A$1326,0))</f>
        <v>MATCH</v>
      </c>
    </row>
    <row r="3750">
      <c r="A3750" t="inlineStr">
        <is>
          <t>JI-01645</t>
        </is>
      </c>
      <c r="B3750" t="inlineStr">
        <is>
          <t>OPS</t>
        </is>
      </c>
      <c r="C3750" s="5" t="n">
        <v>46281</v>
      </c>
      <c r="D3750" t="inlineStr">
        <is>
          <t>Northline Injury Claims</t>
        </is>
      </c>
      <c r="E3750" t="inlineStr">
        <is>
          <t>INV/2026/02928</t>
        </is>
      </c>
      <c r="F3750" t="inlineStr">
        <is>
          <t>Customer payment INV/2026/02928</t>
        </is>
      </c>
      <c r="G3750" s="9" t="n">
        <v>264</v>
      </c>
      <c r="H3750" t="inlineStr">
        <is>
          <t>customer_payment</t>
        </is>
      </c>
      <c r="I3750" t="inlineStr"/>
      <c r="J3750" t="inlineStr">
        <is>
          <t>G01068</t>
        </is>
      </c>
      <c r="K3750" t="str">
        <f>INDEX('Match Groups'!$D$5:$D$1326,MATCH(J3750,'Match Groups'!$A$5:$A$1326,0))</f>
        <v>MATCH</v>
      </c>
    </row>
    <row r="3751">
      <c r="A3751" t="inlineStr">
        <is>
          <t>JI-03396</t>
        </is>
      </c>
      <c r="B3751" t="inlineStr">
        <is>
          <t>OPS</t>
        </is>
      </c>
      <c r="C3751" s="5" t="n">
        <v>46281</v>
      </c>
      <c r="D3751" t="inlineStr">
        <is>
          <t>Stripe patient 27870</t>
        </is>
      </c>
      <c r="E3751" t="inlineStr">
        <is>
          <t>INV/2026/05237</t>
        </is>
      </c>
      <c r="F3751" t="inlineStr">
        <is>
          <t>Customer payment INV/2026/05237</t>
        </is>
      </c>
      <c r="G3751" s="9" t="n">
        <v>65</v>
      </c>
      <c r="H3751" t="inlineStr">
        <is>
          <t>customer_payment</t>
        </is>
      </c>
      <c r="I3751" t="inlineStr"/>
      <c r="J3751" t="inlineStr">
        <is>
          <t>G00071</t>
        </is>
      </c>
      <c r="K3751" t="str">
        <f>INDEX('Match Groups'!$D$5:$D$1326,MATCH(J3751,'Match Groups'!$A$5:$A$1326,0))</f>
        <v>STRIPE-FEE</v>
      </c>
    </row>
    <row r="3752">
      <c r="A3752" t="inlineStr">
        <is>
          <t>JI-03397</t>
        </is>
      </c>
      <c r="B3752" t="inlineStr">
        <is>
          <t>OPS</t>
        </is>
      </c>
      <c r="C3752" s="5" t="n">
        <v>46281</v>
      </c>
      <c r="D3752" t="inlineStr">
        <is>
          <t>Stripe patient 67226</t>
        </is>
      </c>
      <c r="E3752" t="inlineStr">
        <is>
          <t>INV/2026/05238</t>
        </is>
      </c>
      <c r="F3752" t="inlineStr">
        <is>
          <t>Customer payment INV/2026/05238</t>
        </is>
      </c>
      <c r="G3752" s="9" t="n">
        <v>85</v>
      </c>
      <c r="H3752" t="inlineStr">
        <is>
          <t>customer_payment</t>
        </is>
      </c>
      <c r="I3752" t="inlineStr"/>
      <c r="J3752" t="inlineStr">
        <is>
          <t>G00071</t>
        </is>
      </c>
      <c r="K3752" t="str">
        <f>INDEX('Match Groups'!$D$5:$D$1326,MATCH(J3752,'Match Groups'!$A$5:$A$1326,0))</f>
        <v>STRIPE-FEE</v>
      </c>
    </row>
    <row r="3753">
      <c r="A3753" t="inlineStr">
        <is>
          <t>JI-03398</t>
        </is>
      </c>
      <c r="B3753" t="inlineStr">
        <is>
          <t>OPS</t>
        </is>
      </c>
      <c r="C3753" s="5" t="n">
        <v>46281</v>
      </c>
      <c r="D3753" t="inlineStr">
        <is>
          <t>Stripe patient 98698</t>
        </is>
      </c>
      <c r="E3753" t="inlineStr">
        <is>
          <t>INV/2026/05239</t>
        </is>
      </c>
      <c r="F3753" t="inlineStr">
        <is>
          <t>Customer payment INV/2026/05239</t>
        </is>
      </c>
      <c r="G3753" s="9" t="n">
        <v>110</v>
      </c>
      <c r="H3753" t="inlineStr">
        <is>
          <t>customer_payment</t>
        </is>
      </c>
      <c r="I3753" t="inlineStr"/>
      <c r="J3753" t="inlineStr">
        <is>
          <t>G00071</t>
        </is>
      </c>
      <c r="K3753" t="str">
        <f>INDEX('Match Groups'!$D$5:$D$1326,MATCH(J3753,'Match Groups'!$A$5:$A$1326,0))</f>
        <v>STRIPE-FEE</v>
      </c>
    </row>
    <row r="3754">
      <c r="A3754" t="inlineStr">
        <is>
          <t>JI-03399</t>
        </is>
      </c>
      <c r="B3754" t="inlineStr">
        <is>
          <t>OPS</t>
        </is>
      </c>
      <c r="C3754" s="5" t="n">
        <v>46281</v>
      </c>
      <c r="D3754" t="inlineStr">
        <is>
          <t>Stripe patient 74659</t>
        </is>
      </c>
      <c r="E3754" t="inlineStr">
        <is>
          <t>INV/2026/05240</t>
        </is>
      </c>
      <c r="F3754" t="inlineStr">
        <is>
          <t>Customer payment INV/2026/05240</t>
        </is>
      </c>
      <c r="G3754" s="9" t="n">
        <v>135</v>
      </c>
      <c r="H3754" t="inlineStr">
        <is>
          <t>customer_payment</t>
        </is>
      </c>
      <c r="I3754" t="inlineStr"/>
      <c r="J3754" t="inlineStr">
        <is>
          <t>G00071</t>
        </is>
      </c>
      <c r="K3754" t="str">
        <f>INDEX('Match Groups'!$D$5:$D$1326,MATCH(J3754,'Match Groups'!$A$5:$A$1326,0))</f>
        <v>STRIPE-FEE</v>
      </c>
    </row>
    <row r="3755">
      <c r="A3755" t="inlineStr">
        <is>
          <t>JI-03400</t>
        </is>
      </c>
      <c r="B3755" t="inlineStr">
        <is>
          <t>OPS</t>
        </is>
      </c>
      <c r="C3755" s="5" t="n">
        <v>46281</v>
      </c>
      <c r="D3755" t="inlineStr">
        <is>
          <t>Stripe patient 60060</t>
        </is>
      </c>
      <c r="E3755" t="inlineStr">
        <is>
          <t>INV/2026/05241</t>
        </is>
      </c>
      <c r="F3755" t="inlineStr">
        <is>
          <t>Customer payment INV/2026/05241</t>
        </is>
      </c>
      <c r="G3755" s="9" t="n">
        <v>110</v>
      </c>
      <c r="H3755" t="inlineStr">
        <is>
          <t>customer_payment</t>
        </is>
      </c>
      <c r="I3755" t="inlineStr"/>
      <c r="J3755" t="inlineStr">
        <is>
          <t>G00071</t>
        </is>
      </c>
      <c r="K3755" t="str">
        <f>INDEX('Match Groups'!$D$5:$D$1326,MATCH(J3755,'Match Groups'!$A$5:$A$1326,0))</f>
        <v>STRIPE-FEE</v>
      </c>
    </row>
    <row r="3756">
      <c r="A3756" t="inlineStr">
        <is>
          <t>JI-03401</t>
        </is>
      </c>
      <c r="B3756" t="inlineStr">
        <is>
          <t>OPS</t>
        </is>
      </c>
      <c r="C3756" s="5" t="n">
        <v>46281</v>
      </c>
      <c r="D3756" t="inlineStr">
        <is>
          <t>Stripe patient 67368</t>
        </is>
      </c>
      <c r="E3756" t="inlineStr">
        <is>
          <t>INV/2026/05242</t>
        </is>
      </c>
      <c r="F3756" t="inlineStr">
        <is>
          <t>Customer payment INV/2026/05242</t>
        </is>
      </c>
      <c r="G3756" s="9" t="n">
        <v>65</v>
      </c>
      <c r="H3756" t="inlineStr">
        <is>
          <t>customer_payment</t>
        </is>
      </c>
      <c r="I3756" t="inlineStr"/>
      <c r="J3756" t="inlineStr">
        <is>
          <t>G00071</t>
        </is>
      </c>
      <c r="K3756" t="str">
        <f>INDEX('Match Groups'!$D$5:$D$1326,MATCH(J3756,'Match Groups'!$A$5:$A$1326,0))</f>
        <v>STRIPE-FEE</v>
      </c>
    </row>
    <row r="3757">
      <c r="A3757" t="inlineStr">
        <is>
          <t>JI-03402</t>
        </is>
      </c>
      <c r="B3757" t="inlineStr">
        <is>
          <t>OPS</t>
        </is>
      </c>
      <c r="C3757" s="5" t="n">
        <v>46281</v>
      </c>
      <c r="D3757" t="inlineStr">
        <is>
          <t>Stripe patient 56498</t>
        </is>
      </c>
      <c r="E3757" t="inlineStr">
        <is>
          <t>INV/2026/05243</t>
        </is>
      </c>
      <c r="F3757" t="inlineStr">
        <is>
          <t>Customer payment INV/2026/05243</t>
        </is>
      </c>
      <c r="G3757" s="9" t="n">
        <v>65</v>
      </c>
      <c r="H3757" t="inlineStr">
        <is>
          <t>customer_payment</t>
        </is>
      </c>
      <c r="I3757" t="inlineStr"/>
      <c r="J3757" t="inlineStr">
        <is>
          <t>G00071</t>
        </is>
      </c>
      <c r="K3757" t="str">
        <f>INDEX('Match Groups'!$D$5:$D$1326,MATCH(J3757,'Match Groups'!$A$5:$A$1326,0))</f>
        <v>STRIPE-FEE</v>
      </c>
    </row>
    <row r="3758">
      <c r="A3758" t="inlineStr">
        <is>
          <t>JI-03403</t>
        </is>
      </c>
      <c r="B3758" t="inlineStr">
        <is>
          <t>OPS</t>
        </is>
      </c>
      <c r="C3758" s="5" t="n">
        <v>46281</v>
      </c>
      <c r="D3758" t="inlineStr">
        <is>
          <t>Stripe patient 94859</t>
        </is>
      </c>
      <c r="E3758" t="inlineStr">
        <is>
          <t>INV/2026/05244</t>
        </is>
      </c>
      <c r="F3758" t="inlineStr">
        <is>
          <t>Customer payment INV/2026/05244</t>
        </is>
      </c>
      <c r="G3758" s="9" t="n">
        <v>180</v>
      </c>
      <c r="H3758" t="inlineStr">
        <is>
          <t>customer_payment</t>
        </is>
      </c>
      <c r="I3758" t="inlineStr"/>
      <c r="J3758" t="inlineStr">
        <is>
          <t>G00071</t>
        </is>
      </c>
      <c r="K3758" t="str">
        <f>INDEX('Match Groups'!$D$5:$D$1326,MATCH(J3758,'Match Groups'!$A$5:$A$1326,0))</f>
        <v>STRIPE-FEE</v>
      </c>
    </row>
    <row r="3759">
      <c r="A3759" t="inlineStr">
        <is>
          <t>JI-03404</t>
        </is>
      </c>
      <c r="B3759" t="inlineStr">
        <is>
          <t>OPS</t>
        </is>
      </c>
      <c r="C3759" s="5" t="n">
        <v>46281</v>
      </c>
      <c r="D3759" t="inlineStr">
        <is>
          <t>Stripe patient 50993</t>
        </is>
      </c>
      <c r="E3759" t="inlineStr">
        <is>
          <t>INV/2026/05245</t>
        </is>
      </c>
      <c r="F3759" t="inlineStr">
        <is>
          <t>Customer payment INV/2026/05245</t>
        </is>
      </c>
      <c r="G3759" s="9" t="n">
        <v>150</v>
      </c>
      <c r="H3759" t="inlineStr">
        <is>
          <t>customer_payment</t>
        </is>
      </c>
      <c r="I3759" t="inlineStr"/>
      <c r="J3759" t="inlineStr">
        <is>
          <t>G00071</t>
        </is>
      </c>
      <c r="K3759" t="str">
        <f>INDEX('Match Groups'!$D$5:$D$1326,MATCH(J3759,'Match Groups'!$A$5:$A$1326,0))</f>
        <v>STRIPE-FEE</v>
      </c>
    </row>
    <row r="3760">
      <c r="A3760" t="inlineStr">
        <is>
          <t>JI-03405</t>
        </is>
      </c>
      <c r="B3760" t="inlineStr">
        <is>
          <t>OPS</t>
        </is>
      </c>
      <c r="C3760" s="5" t="n">
        <v>46281</v>
      </c>
      <c r="D3760" t="inlineStr">
        <is>
          <t>Stripe patient 81254</t>
        </is>
      </c>
      <c r="E3760" t="inlineStr">
        <is>
          <t>INV/2026/05246</t>
        </is>
      </c>
      <c r="F3760" t="inlineStr">
        <is>
          <t>Customer payment INV/2026/05246</t>
        </is>
      </c>
      <c r="G3760" s="9" t="n">
        <v>150</v>
      </c>
      <c r="H3760" t="inlineStr">
        <is>
          <t>customer_payment</t>
        </is>
      </c>
      <c r="I3760" t="inlineStr"/>
      <c r="J3760" t="inlineStr">
        <is>
          <t>G00071</t>
        </is>
      </c>
      <c r="K3760" t="str">
        <f>INDEX('Match Groups'!$D$5:$D$1326,MATCH(J3760,'Match Groups'!$A$5:$A$1326,0))</f>
        <v>STRIPE-FEE</v>
      </c>
    </row>
    <row r="3761">
      <c r="A3761" t="inlineStr">
        <is>
          <t>JI-03406</t>
        </is>
      </c>
      <c r="B3761" t="inlineStr">
        <is>
          <t>OPS</t>
        </is>
      </c>
      <c r="C3761" s="5" t="n">
        <v>46281</v>
      </c>
      <c r="D3761" t="inlineStr">
        <is>
          <t>Stripe patient 61126</t>
        </is>
      </c>
      <c r="E3761" t="inlineStr">
        <is>
          <t>INV/2026/05247</t>
        </is>
      </c>
      <c r="F3761" t="inlineStr">
        <is>
          <t>Customer payment INV/2026/05247</t>
        </is>
      </c>
      <c r="G3761" s="9" t="n">
        <v>120</v>
      </c>
      <c r="H3761" t="inlineStr">
        <is>
          <t>customer_payment</t>
        </is>
      </c>
      <c r="I3761" t="inlineStr"/>
      <c r="J3761" t="inlineStr">
        <is>
          <t>G00071</t>
        </is>
      </c>
      <c r="K3761" t="str">
        <f>INDEX('Match Groups'!$D$5:$D$1326,MATCH(J3761,'Match Groups'!$A$5:$A$1326,0))</f>
        <v>STRIPE-FEE</v>
      </c>
    </row>
    <row r="3762">
      <c r="A3762" t="inlineStr">
        <is>
          <t>JI-03407</t>
        </is>
      </c>
      <c r="B3762" t="inlineStr">
        <is>
          <t>OPS</t>
        </is>
      </c>
      <c r="C3762" s="5" t="n">
        <v>46281</v>
      </c>
      <c r="D3762" t="inlineStr">
        <is>
          <t>Stripe patient 79632</t>
        </is>
      </c>
      <c r="E3762" t="inlineStr">
        <is>
          <t>INV/2026/05248</t>
        </is>
      </c>
      <c r="F3762" t="inlineStr">
        <is>
          <t>Customer payment INV/2026/05248</t>
        </is>
      </c>
      <c r="G3762" s="9" t="n">
        <v>135</v>
      </c>
      <c r="H3762" t="inlineStr">
        <is>
          <t>customer_payment</t>
        </is>
      </c>
      <c r="I3762" t="inlineStr"/>
      <c r="J3762" t="inlineStr">
        <is>
          <t>G00071</t>
        </is>
      </c>
      <c r="K3762" t="str">
        <f>INDEX('Match Groups'!$D$5:$D$1326,MATCH(J3762,'Match Groups'!$A$5:$A$1326,0))</f>
        <v>STRIPE-FEE</v>
      </c>
    </row>
    <row r="3763">
      <c r="A3763" t="inlineStr">
        <is>
          <t>JI-03408</t>
        </is>
      </c>
      <c r="B3763" t="inlineStr">
        <is>
          <t>OPS</t>
        </is>
      </c>
      <c r="C3763" s="5" t="n">
        <v>46281</v>
      </c>
      <c r="D3763" t="inlineStr">
        <is>
          <t>Stripe patient 82604</t>
        </is>
      </c>
      <c r="E3763" t="inlineStr">
        <is>
          <t>INV/2026/05249</t>
        </is>
      </c>
      <c r="F3763" t="inlineStr">
        <is>
          <t>Customer payment INV/2026/05249</t>
        </is>
      </c>
      <c r="G3763" s="9" t="n">
        <v>85</v>
      </c>
      <c r="H3763" t="inlineStr">
        <is>
          <t>customer_payment</t>
        </is>
      </c>
      <c r="I3763" t="inlineStr"/>
      <c r="J3763" t="inlineStr">
        <is>
          <t>G00071</t>
        </is>
      </c>
      <c r="K3763" t="str">
        <f>INDEX('Match Groups'!$D$5:$D$1326,MATCH(J3763,'Match Groups'!$A$5:$A$1326,0))</f>
        <v>STRIPE-FEE</v>
      </c>
    </row>
    <row r="3764">
      <c r="A3764" t="inlineStr">
        <is>
          <t>JI-03409</t>
        </is>
      </c>
      <c r="B3764" t="inlineStr">
        <is>
          <t>OPS</t>
        </is>
      </c>
      <c r="C3764" s="5" t="n">
        <v>46281</v>
      </c>
      <c r="D3764" t="inlineStr">
        <is>
          <t>Stripe patient 58208</t>
        </is>
      </c>
      <c r="E3764" t="inlineStr">
        <is>
          <t>INV/2026/05250</t>
        </is>
      </c>
      <c r="F3764" t="inlineStr">
        <is>
          <t>Customer payment INV/2026/05250</t>
        </is>
      </c>
      <c r="G3764" s="9" t="n">
        <v>120</v>
      </c>
      <c r="H3764" t="inlineStr">
        <is>
          <t>customer_payment</t>
        </is>
      </c>
      <c r="I3764" t="inlineStr"/>
      <c r="J3764" t="inlineStr">
        <is>
          <t>G00071</t>
        </is>
      </c>
      <c r="K3764" t="str">
        <f>INDEX('Match Groups'!$D$5:$D$1326,MATCH(J3764,'Match Groups'!$A$5:$A$1326,0))</f>
        <v>STRIPE-FEE</v>
      </c>
    </row>
    <row r="3765">
      <c r="A3765" t="inlineStr">
        <is>
          <t>JI-03410</t>
        </is>
      </c>
      <c r="B3765" t="inlineStr">
        <is>
          <t>OPS</t>
        </is>
      </c>
      <c r="C3765" s="5" t="n">
        <v>46281</v>
      </c>
      <c r="D3765" t="inlineStr">
        <is>
          <t>Stripe patient 20332</t>
        </is>
      </c>
      <c r="E3765" t="inlineStr">
        <is>
          <t>INV/2026/05251</t>
        </is>
      </c>
      <c r="F3765" t="inlineStr">
        <is>
          <t>Customer payment INV/2026/05251</t>
        </is>
      </c>
      <c r="G3765" s="9" t="n">
        <v>120</v>
      </c>
      <c r="H3765" t="inlineStr">
        <is>
          <t>customer_payment</t>
        </is>
      </c>
      <c r="I3765" t="inlineStr"/>
      <c r="J3765" t="inlineStr">
        <is>
          <t>G00071</t>
        </is>
      </c>
      <c r="K3765" t="str">
        <f>INDEX('Match Groups'!$D$5:$D$1326,MATCH(J3765,'Match Groups'!$A$5:$A$1326,0))</f>
        <v>STRIPE-FEE</v>
      </c>
    </row>
    <row r="3766">
      <c r="A3766" t="inlineStr">
        <is>
          <t>JI-03411</t>
        </is>
      </c>
      <c r="B3766" t="inlineStr">
        <is>
          <t>OPS</t>
        </is>
      </c>
      <c r="C3766" s="5" t="n">
        <v>46281</v>
      </c>
      <c r="D3766" t="inlineStr">
        <is>
          <t>Stripe patient 56196</t>
        </is>
      </c>
      <c r="E3766" t="inlineStr">
        <is>
          <t>INV/2026/05252</t>
        </is>
      </c>
      <c r="F3766" t="inlineStr">
        <is>
          <t>Customer payment INV/2026/05252</t>
        </is>
      </c>
      <c r="G3766" s="9" t="n">
        <v>85</v>
      </c>
      <c r="H3766" t="inlineStr">
        <is>
          <t>customer_payment</t>
        </is>
      </c>
      <c r="I3766" t="inlineStr"/>
      <c r="J3766" t="inlineStr">
        <is>
          <t>G00071</t>
        </is>
      </c>
      <c r="K3766" t="str">
        <f>INDEX('Match Groups'!$D$5:$D$1326,MATCH(J3766,'Match Groups'!$A$5:$A$1326,0))</f>
        <v>STRIPE-FEE</v>
      </c>
    </row>
    <row r="3767">
      <c r="A3767" t="inlineStr">
        <is>
          <t>JI-03412</t>
        </is>
      </c>
      <c r="B3767" t="inlineStr">
        <is>
          <t>OPS</t>
        </is>
      </c>
      <c r="C3767" s="5" t="n">
        <v>46281</v>
      </c>
      <c r="D3767" t="inlineStr">
        <is>
          <t>Stripe patient 25414</t>
        </is>
      </c>
      <c r="E3767" t="inlineStr">
        <is>
          <t>INV/2026/05253</t>
        </is>
      </c>
      <c r="F3767" t="inlineStr">
        <is>
          <t>Customer payment INV/2026/05253</t>
        </is>
      </c>
      <c r="G3767" s="9" t="n">
        <v>220</v>
      </c>
      <c r="H3767" t="inlineStr">
        <is>
          <t>customer_payment</t>
        </is>
      </c>
      <c r="I3767" t="inlineStr"/>
      <c r="J3767" t="inlineStr">
        <is>
          <t>G00071</t>
        </is>
      </c>
      <c r="K3767" t="str">
        <f>INDEX('Match Groups'!$D$5:$D$1326,MATCH(J3767,'Match Groups'!$A$5:$A$1326,0))</f>
        <v>STRIPE-FEE</v>
      </c>
    </row>
    <row r="3768">
      <c r="A3768" t="inlineStr">
        <is>
          <t>JI-03413</t>
        </is>
      </c>
      <c r="B3768" t="inlineStr">
        <is>
          <t>OPS</t>
        </is>
      </c>
      <c r="C3768" s="5" t="n">
        <v>46281</v>
      </c>
      <c r="D3768" t="inlineStr">
        <is>
          <t>Stripe patient 41869</t>
        </is>
      </c>
      <c r="E3768" t="inlineStr">
        <is>
          <t>INV/2026/05254</t>
        </is>
      </c>
      <c r="F3768" t="inlineStr">
        <is>
          <t>Customer payment INV/2026/05254</t>
        </is>
      </c>
      <c r="G3768" s="9" t="n">
        <v>180</v>
      </c>
      <c r="H3768" t="inlineStr">
        <is>
          <t>customer_payment</t>
        </is>
      </c>
      <c r="I3768" t="inlineStr"/>
      <c r="J3768" t="inlineStr">
        <is>
          <t>G00071</t>
        </is>
      </c>
      <c r="K3768" t="str">
        <f>INDEX('Match Groups'!$D$5:$D$1326,MATCH(J3768,'Match Groups'!$A$5:$A$1326,0))</f>
        <v>STRIPE-FEE</v>
      </c>
    </row>
    <row r="3769">
      <c r="A3769" t="inlineStr">
        <is>
          <t>JI-03414</t>
        </is>
      </c>
      <c r="B3769" t="inlineStr">
        <is>
          <t>OPS</t>
        </is>
      </c>
      <c r="C3769" s="5" t="n">
        <v>46281</v>
      </c>
      <c r="D3769" t="inlineStr">
        <is>
          <t>Stripe patient 69609</t>
        </is>
      </c>
      <c r="E3769" t="inlineStr">
        <is>
          <t>INV/2026/05255</t>
        </is>
      </c>
      <c r="F3769" t="inlineStr">
        <is>
          <t>Customer payment INV/2026/05255</t>
        </is>
      </c>
      <c r="G3769" s="9" t="n">
        <v>220</v>
      </c>
      <c r="H3769" t="inlineStr">
        <is>
          <t>customer_payment</t>
        </is>
      </c>
      <c r="I3769" t="inlineStr"/>
      <c r="J3769" t="inlineStr">
        <is>
          <t>G00071</t>
        </is>
      </c>
      <c r="K3769" t="str">
        <f>INDEX('Match Groups'!$D$5:$D$1326,MATCH(J3769,'Match Groups'!$A$5:$A$1326,0))</f>
        <v>STRIPE-FEE</v>
      </c>
    </row>
    <row r="3770">
      <c r="A3770" t="inlineStr">
        <is>
          <t>JI-03862</t>
        </is>
      </c>
      <c r="B3770" t="inlineStr">
        <is>
          <t>OPS</t>
        </is>
      </c>
      <c r="C3770" s="5" t="n">
        <v>46281</v>
      </c>
      <c r="D3770" t="inlineStr">
        <is>
          <t>Physio Supplies Direct</t>
        </is>
      </c>
      <c r="E3770" t="inlineStr">
        <is>
          <t>BILL/2026/0955</t>
        </is>
      </c>
      <c r="F3770" t="inlineStr">
        <is>
          <t>Vendor payment BILL/2026/0955 (BATCH/2026/0422)</t>
        </is>
      </c>
      <c r="G3770" s="9" t="n">
        <v>-696.3</v>
      </c>
      <c r="H3770" t="inlineStr">
        <is>
          <t>supplier_payment</t>
        </is>
      </c>
      <c r="I3770" t="inlineStr">
        <is>
          <t>BATCH/2026/0422</t>
        </is>
      </c>
      <c r="J3770" t="inlineStr">
        <is>
          <t>G00541</t>
        </is>
      </c>
      <c r="K3770" t="str">
        <f>INDEX('Match Groups'!$D$5:$D$1326,MATCH(J3770,'Match Groups'!$A$5:$A$1326,0))</f>
        <v>MATCH</v>
      </c>
    </row>
    <row r="3771">
      <c r="A3771" t="inlineStr">
        <is>
          <t>JI-03863</t>
        </is>
      </c>
      <c r="B3771" t="inlineStr">
        <is>
          <t>OPS</t>
        </is>
      </c>
      <c r="C3771" s="5" t="n">
        <v>46281</v>
      </c>
      <c r="D3771" t="inlineStr">
        <is>
          <t>Clinicare Linen Service</t>
        </is>
      </c>
      <c r="E3771" t="inlineStr">
        <is>
          <t>BILL/2026/0957</t>
        </is>
      </c>
      <c r="F3771" t="inlineStr">
        <is>
          <t>Vendor payment BILL/2026/0957 (BATCH/2026/0422)</t>
        </is>
      </c>
      <c r="G3771" s="9" t="n">
        <v>-672.1</v>
      </c>
      <c r="H3771" t="inlineStr">
        <is>
          <t>supplier_payment</t>
        </is>
      </c>
      <c r="I3771" t="inlineStr">
        <is>
          <t>BATCH/2026/0422</t>
        </is>
      </c>
      <c r="J3771" t="inlineStr">
        <is>
          <t>G00541</t>
        </is>
      </c>
      <c r="K3771" t="str">
        <f>INDEX('Match Groups'!$D$5:$D$1326,MATCH(J3771,'Match Groups'!$A$5:$A$1326,0))</f>
        <v>MATCH</v>
      </c>
    </row>
    <row r="3772">
      <c r="A3772" t="inlineStr">
        <is>
          <t>JI-03864</t>
        </is>
      </c>
      <c r="B3772" t="inlineStr">
        <is>
          <t>OPS</t>
        </is>
      </c>
      <c r="C3772" s="5" t="n">
        <v>46281</v>
      </c>
      <c r="D3772" t="inlineStr">
        <is>
          <t>Bayside Cleaning Co</t>
        </is>
      </c>
      <c r="E3772" t="inlineStr">
        <is>
          <t>BILL/2026/0956</t>
        </is>
      </c>
      <c r="F3772" t="inlineStr">
        <is>
          <t>Vendor payment BILL/2026/0956 (BATCH/2026/0422)</t>
        </is>
      </c>
      <c r="G3772" s="9" t="n">
        <v>-421.3</v>
      </c>
      <c r="H3772" t="inlineStr">
        <is>
          <t>supplier_payment</t>
        </is>
      </c>
      <c r="I3772" t="inlineStr">
        <is>
          <t>BATCH/2026/0422</t>
        </is>
      </c>
      <c r="J3772" t="inlineStr">
        <is>
          <t>G00541</t>
        </is>
      </c>
      <c r="K3772" t="str">
        <f>INDEX('Match Groups'!$D$5:$D$1326,MATCH(J3772,'Match Groups'!$A$5:$A$1326,0))</f>
        <v>MATCH</v>
      </c>
    </row>
    <row r="3773">
      <c r="A3773" t="inlineStr">
        <is>
          <t>JI-03865</t>
        </is>
      </c>
      <c r="B3773" t="inlineStr">
        <is>
          <t>OPS</t>
        </is>
      </c>
      <c r="C3773" s="5" t="n">
        <v>46281</v>
      </c>
      <c r="D3773" t="inlineStr">
        <is>
          <t>Practice Fitout Joinery</t>
        </is>
      </c>
      <c r="E3773" t="inlineStr">
        <is>
          <t>BILL/2026/0964</t>
        </is>
      </c>
      <c r="F3773" t="inlineStr">
        <is>
          <t>Vendor payment BILL/2026/0964 (BATCH/2026/0422)</t>
        </is>
      </c>
      <c r="G3773" s="9" t="n">
        <v>-892.1</v>
      </c>
      <c r="H3773" t="inlineStr">
        <is>
          <t>supplier_payment</t>
        </is>
      </c>
      <c r="I3773" t="inlineStr">
        <is>
          <t>BATCH/2026/0422</t>
        </is>
      </c>
      <c r="J3773" t="inlineStr">
        <is>
          <t>G00541</t>
        </is>
      </c>
      <c r="K3773" t="str">
        <f>INDEX('Match Groups'!$D$5:$D$1326,MATCH(J3773,'Match Groups'!$A$5:$A$1326,0))</f>
        <v>MATCH</v>
      </c>
    </row>
    <row r="3774">
      <c r="A3774" t="inlineStr">
        <is>
          <t>JI-03866</t>
        </is>
      </c>
      <c r="B3774" t="inlineStr">
        <is>
          <t>OPS</t>
        </is>
      </c>
      <c r="C3774" s="5" t="n">
        <v>46281</v>
      </c>
      <c r="D3774" t="inlineStr">
        <is>
          <t>Clinical Education Hub</t>
        </is>
      </c>
      <c r="E3774" t="inlineStr">
        <is>
          <t>BILL/2026/0963</t>
        </is>
      </c>
      <c r="F3774" t="inlineStr">
        <is>
          <t>Vendor payment BILL/2026/0963 (BATCH/2026/0422)</t>
        </is>
      </c>
      <c r="G3774" s="9" t="n">
        <v>-1246.3</v>
      </c>
      <c r="H3774" t="inlineStr">
        <is>
          <t>supplier_payment</t>
        </is>
      </c>
      <c r="I3774" t="inlineStr">
        <is>
          <t>BATCH/2026/0422</t>
        </is>
      </c>
      <c r="J3774" t="inlineStr">
        <is>
          <t>G00541</t>
        </is>
      </c>
      <c r="K3774" t="str">
        <f>INDEX('Match Groups'!$D$5:$D$1326,MATCH(J3774,'Match Groups'!$A$5:$A$1326,0))</f>
        <v>MATCH</v>
      </c>
    </row>
    <row r="3775">
      <c r="A3775" t="inlineStr">
        <is>
          <t>JI-03867</t>
        </is>
      </c>
      <c r="B3775" t="inlineStr">
        <is>
          <t>OPS</t>
        </is>
      </c>
      <c r="C3775" s="5" t="n">
        <v>46281</v>
      </c>
      <c r="D3775" t="inlineStr">
        <is>
          <t>Ergo Furniture Co</t>
        </is>
      </c>
      <c r="E3775" t="inlineStr">
        <is>
          <t>BILL/2026/0965</t>
        </is>
      </c>
      <c r="F3775" t="inlineStr">
        <is>
          <t>Vendor payment BILL/2026/0965 (BATCH/2026/0422)</t>
        </is>
      </c>
      <c r="G3775" s="9" t="n">
        <v>-254.1</v>
      </c>
      <c r="H3775" t="inlineStr">
        <is>
          <t>supplier_payment</t>
        </is>
      </c>
      <c r="I3775" t="inlineStr">
        <is>
          <t>BATCH/2026/0422</t>
        </is>
      </c>
      <c r="J3775" t="inlineStr">
        <is>
          <t>G00541</t>
        </is>
      </c>
      <c r="K3775" t="str">
        <f>INDEX('Match Groups'!$D$5:$D$1326,MATCH(J3775,'Match Groups'!$A$5:$A$1326,0))</f>
        <v>MATCH</v>
      </c>
    </row>
    <row r="3776">
      <c r="A3776" t="inlineStr">
        <is>
          <t>JI-03868</t>
        </is>
      </c>
      <c r="B3776" t="inlineStr">
        <is>
          <t>OPS</t>
        </is>
      </c>
      <c r="C3776" s="5" t="n">
        <v>46281</v>
      </c>
      <c r="D3776" t="inlineStr">
        <is>
          <t>CityFix Maintenance</t>
        </is>
      </c>
      <c r="E3776" t="inlineStr">
        <is>
          <t>BILL/2026/0962</t>
        </is>
      </c>
      <c r="F3776" t="inlineStr">
        <is>
          <t>Vendor payment BILL/2026/0962 (BATCH/2026/0422)</t>
        </is>
      </c>
      <c r="G3776" s="9" t="n">
        <v>-5952.1</v>
      </c>
      <c r="H3776" t="inlineStr">
        <is>
          <t>supplier_payment</t>
        </is>
      </c>
      <c r="I3776" t="inlineStr">
        <is>
          <t>BATCH/2026/0422</t>
        </is>
      </c>
      <c r="J3776" t="inlineStr">
        <is>
          <t>G00541</t>
        </is>
      </c>
      <c r="K3776" t="str">
        <f>INDEX('Match Groups'!$D$5:$D$1326,MATCH(J3776,'Match Groups'!$A$5:$A$1326,0))</f>
        <v>MATCH</v>
      </c>
    </row>
    <row r="3777">
      <c r="A3777" t="inlineStr">
        <is>
          <t>JI-03869</t>
        </is>
      </c>
      <c r="B3777" t="inlineStr">
        <is>
          <t>OPS</t>
        </is>
      </c>
      <c r="C3777" s="5" t="n">
        <v>46281</v>
      </c>
      <c r="D3777" t="inlineStr">
        <is>
          <t>Compass Insurance Brokers</t>
        </is>
      </c>
      <c r="E3777" t="inlineStr">
        <is>
          <t>BILL/2026/0961</t>
        </is>
      </c>
      <c r="F3777" t="inlineStr">
        <is>
          <t>Vendor payment BILL/2026/0961 (BATCH/2026/0422)</t>
        </is>
      </c>
      <c r="G3777" s="9" t="n">
        <v>-2456.3</v>
      </c>
      <c r="H3777" t="inlineStr">
        <is>
          <t>supplier_payment</t>
        </is>
      </c>
      <c r="I3777" t="inlineStr">
        <is>
          <t>BATCH/2026/0422</t>
        </is>
      </c>
      <c r="J3777" t="inlineStr">
        <is>
          <t>G00541</t>
        </is>
      </c>
      <c r="K3777" t="str">
        <f>INDEX('Match Groups'!$D$5:$D$1326,MATCH(J3777,'Match Groups'!$A$5:$A$1326,0))</f>
        <v>MATCH</v>
      </c>
    </row>
    <row r="3778">
      <c r="A3778" t="inlineStr">
        <is>
          <t>JI-03870</t>
        </is>
      </c>
      <c r="B3778" t="inlineStr">
        <is>
          <t>OPS</t>
        </is>
      </c>
      <c r="C3778" s="5" t="n">
        <v>46281</v>
      </c>
      <c r="D3778" t="inlineStr">
        <is>
          <t>Ledgerline Tax Advisers</t>
        </is>
      </c>
      <c r="E3778" t="inlineStr">
        <is>
          <t>BILL/2026/0958</t>
        </is>
      </c>
      <c r="F3778" t="inlineStr">
        <is>
          <t>Vendor payment BILL/2026/0958 (BATCH/2026/0422)</t>
        </is>
      </c>
      <c r="G3778" s="9" t="n">
        <v>-278.3</v>
      </c>
      <c r="H3778" t="inlineStr">
        <is>
          <t>supplier_payment</t>
        </is>
      </c>
      <c r="I3778" t="inlineStr">
        <is>
          <t>BATCH/2026/0422</t>
        </is>
      </c>
      <c r="J3778" t="inlineStr">
        <is>
          <t>G00541</t>
        </is>
      </c>
      <c r="K3778" t="str">
        <f>INDEX('Match Groups'!$D$5:$D$1326,MATCH(J3778,'Match Groups'!$A$5:$A$1326,0))</f>
        <v>MATCH</v>
      </c>
    </row>
    <row r="3779">
      <c r="A3779" t="inlineStr">
        <is>
          <t>JI-03871</t>
        </is>
      </c>
      <c r="B3779" t="inlineStr">
        <is>
          <t>OPS</t>
        </is>
      </c>
      <c r="C3779" s="5" t="n">
        <v>46281</v>
      </c>
      <c r="D3779" t="inlineStr">
        <is>
          <t>Ledgerline Tax Advisers</t>
        </is>
      </c>
      <c r="E3779" t="inlineStr">
        <is>
          <t>BILL/2026/0959</t>
        </is>
      </c>
      <c r="F3779" t="inlineStr">
        <is>
          <t>Vendor payment BILL/2026/0959 (BATCH/2026/0422)</t>
        </is>
      </c>
      <c r="G3779" s="9" t="n">
        <v>-1686.3</v>
      </c>
      <c r="H3779" t="inlineStr">
        <is>
          <t>supplier_payment</t>
        </is>
      </c>
      <c r="I3779" t="inlineStr">
        <is>
          <t>BATCH/2026/0422</t>
        </is>
      </c>
      <c r="J3779" t="inlineStr">
        <is>
          <t>G00541</t>
        </is>
      </c>
      <c r="K3779" t="str">
        <f>INDEX('Match Groups'!$D$5:$D$1326,MATCH(J3779,'Match Groups'!$A$5:$A$1326,0))</f>
        <v>MATCH</v>
      </c>
    </row>
    <row r="3780">
      <c r="A3780" t="inlineStr">
        <is>
          <t>JI-03872</t>
        </is>
      </c>
      <c r="B3780" t="inlineStr">
        <is>
          <t>OPS</t>
        </is>
      </c>
      <c r="C3780" s="5" t="n">
        <v>46281</v>
      </c>
      <c r="D3780" t="inlineStr">
        <is>
          <t>Ledgerline Tax Advisers</t>
        </is>
      </c>
      <c r="E3780" t="inlineStr">
        <is>
          <t>BILL/2026/0960</t>
        </is>
      </c>
      <c r="F3780" t="inlineStr">
        <is>
          <t>Vendor payment BILL/2026/0960 (BATCH/2026/0422)</t>
        </is>
      </c>
      <c r="G3780" s="9" t="n">
        <v>-2420</v>
      </c>
      <c r="H3780" t="inlineStr">
        <is>
          <t>supplier_payment</t>
        </is>
      </c>
      <c r="I3780" t="inlineStr">
        <is>
          <t>BATCH/2026/0422</t>
        </is>
      </c>
      <c r="J3780" t="inlineStr">
        <is>
          <t>G00541</t>
        </is>
      </c>
      <c r="K3780" t="str">
        <f>INDEX('Match Groups'!$D$5:$D$1326,MATCH(J3780,'Match Groups'!$A$5:$A$1326,0))</f>
        <v>MATCH</v>
      </c>
    </row>
    <row r="3781">
      <c r="A3781" t="inlineStr">
        <is>
          <t>JI-03873</t>
        </is>
      </c>
      <c r="B3781" t="inlineStr">
        <is>
          <t>OPS</t>
        </is>
      </c>
      <c r="C3781" s="5" t="n">
        <v>46281</v>
      </c>
      <c r="D3781" t="inlineStr">
        <is>
          <t>Ledgerline Tax Advisers</t>
        </is>
      </c>
      <c r="E3781" t="inlineStr">
        <is>
          <t>BILL/2026/0966</t>
        </is>
      </c>
      <c r="F3781" t="inlineStr">
        <is>
          <t>Vendor payment BILL/2026/0966 (BATCH/2026/0422)</t>
        </is>
      </c>
      <c r="G3781" s="9" t="n">
        <v>-495</v>
      </c>
      <c r="H3781" t="inlineStr">
        <is>
          <t>supplier_payment</t>
        </is>
      </c>
      <c r="I3781" t="inlineStr">
        <is>
          <t>BATCH/2026/0422</t>
        </is>
      </c>
      <c r="J3781" t="inlineStr">
        <is>
          <t>G00541</t>
        </is>
      </c>
      <c r="K3781" t="str">
        <f>INDEX('Match Groups'!$D$5:$D$1326,MATCH(J3781,'Match Groups'!$A$5:$A$1326,0))</f>
        <v>MATCH</v>
      </c>
    </row>
    <row r="3782">
      <c r="A3782" t="inlineStr">
        <is>
          <t>JI-03917</t>
        </is>
      </c>
      <c r="B3782" t="inlineStr">
        <is>
          <t>OPS</t>
        </is>
      </c>
      <c r="C3782" s="5" t="n">
        <v>46281</v>
      </c>
      <c r="D3782" t="inlineStr">
        <is>
          <t>Telwave Business Mobile</t>
        </is>
      </c>
      <c r="E3782" t="inlineStr">
        <is>
          <t>BILL/2026/1027</t>
        </is>
      </c>
      <c r="F3782" t="inlineStr">
        <is>
          <t>Vendor payment BILL/2026/1027</t>
        </is>
      </c>
      <c r="G3782" s="9" t="n">
        <v>-1189.3</v>
      </c>
      <c r="H3782" t="inlineStr">
        <is>
          <t>supplier_payment</t>
        </is>
      </c>
      <c r="I3782" t="inlineStr"/>
      <c r="J3782" t="inlineStr">
        <is>
          <t>G01161</t>
        </is>
      </c>
      <c r="K3782" t="str">
        <f>INDEX('Match Groups'!$D$5:$D$1326,MATCH(J3782,'Match Groups'!$A$5:$A$1326,0))</f>
        <v>MATCH</v>
      </c>
    </row>
    <row r="3783">
      <c r="A3783" t="inlineStr">
        <is>
          <t>JI-01389</t>
        </is>
      </c>
      <c r="B3783" t="inlineStr">
        <is>
          <t>OPS</t>
        </is>
      </c>
      <c r="C3783" s="5" t="n">
        <v>46282</v>
      </c>
      <c r="D3783" t="inlineStr">
        <is>
          <t>Riverbend Plan Partners</t>
        </is>
      </c>
      <c r="E3783" t="inlineStr">
        <is>
          <t>INV/2026/03035</t>
        </is>
      </c>
      <c r="F3783" t="inlineStr">
        <is>
          <t>Customer payment INV/2026/03035</t>
        </is>
      </c>
      <c r="G3783" s="9" t="n">
        <v>223.99</v>
      </c>
      <c r="H3783" t="inlineStr">
        <is>
          <t>customer_payment</t>
        </is>
      </c>
      <c r="I3783" t="inlineStr"/>
      <c r="J3783" t="inlineStr">
        <is>
          <t>G00446</t>
        </is>
      </c>
      <c r="K3783" t="str">
        <f>INDEX('Match Groups'!$D$5:$D$1326,MATCH(J3783,'Match Groups'!$A$5:$A$1326,0))</f>
        <v>MATCH</v>
      </c>
    </row>
    <row r="3784">
      <c r="A3784" t="inlineStr">
        <is>
          <t>JI-01390</t>
        </is>
      </c>
      <c r="B3784" t="inlineStr">
        <is>
          <t>OPS</t>
        </is>
      </c>
      <c r="C3784" s="5" t="n">
        <v>46282</v>
      </c>
      <c r="D3784" t="inlineStr">
        <is>
          <t>Riverbend Plan Partners</t>
        </is>
      </c>
      <c r="E3784" t="inlineStr">
        <is>
          <t>INV/2026/03097</t>
        </is>
      </c>
      <c r="F3784" t="inlineStr">
        <is>
          <t>Customer payment INV/2026/03097</t>
        </is>
      </c>
      <c r="G3784" s="9" t="n">
        <v>155.19</v>
      </c>
      <c r="H3784" t="inlineStr">
        <is>
          <t>customer_payment</t>
        </is>
      </c>
      <c r="I3784" t="inlineStr"/>
      <c r="J3784" t="inlineStr">
        <is>
          <t>G00446</t>
        </is>
      </c>
      <c r="K3784" t="str">
        <f>INDEX('Match Groups'!$D$5:$D$1326,MATCH(J3784,'Match Groups'!$A$5:$A$1326,0))</f>
        <v>MATCH</v>
      </c>
    </row>
    <row r="3785">
      <c r="A3785" t="inlineStr">
        <is>
          <t>JI-01391</t>
        </is>
      </c>
      <c r="B3785" t="inlineStr">
        <is>
          <t>OPS</t>
        </is>
      </c>
      <c r="C3785" s="5" t="n">
        <v>46282</v>
      </c>
      <c r="D3785" t="inlineStr">
        <is>
          <t>Kookaburra Plan Support</t>
        </is>
      </c>
      <c r="E3785" t="inlineStr">
        <is>
          <t>INV/2026/02938</t>
        </is>
      </c>
      <c r="F3785" t="inlineStr">
        <is>
          <t>Customer payment INV/2026/02938</t>
        </is>
      </c>
      <c r="G3785" s="9" t="n">
        <v>446.18</v>
      </c>
      <c r="H3785" t="inlineStr">
        <is>
          <t>customer_payment</t>
        </is>
      </c>
      <c r="I3785" t="inlineStr"/>
      <c r="J3785" t="inlineStr">
        <is>
          <t>G00447</t>
        </is>
      </c>
      <c r="K3785" t="str">
        <f>INDEX('Match Groups'!$D$5:$D$1326,MATCH(J3785,'Match Groups'!$A$5:$A$1326,0))</f>
        <v>MATCH</v>
      </c>
    </row>
    <row r="3786">
      <c r="A3786" t="inlineStr">
        <is>
          <t>JI-01392</t>
        </is>
      </c>
      <c r="B3786" t="inlineStr">
        <is>
          <t>OPS</t>
        </is>
      </c>
      <c r="C3786" s="5" t="n">
        <v>46282</v>
      </c>
      <c r="D3786" t="inlineStr">
        <is>
          <t>Kookaburra Plan Support</t>
        </is>
      </c>
      <c r="E3786" t="inlineStr">
        <is>
          <t>INV/2026/02939</t>
        </is>
      </c>
      <c r="F3786" t="inlineStr">
        <is>
          <t>Customer payment INV/2026/02939</t>
        </is>
      </c>
      <c r="G3786" s="9" t="n">
        <v>145.49</v>
      </c>
      <c r="H3786" t="inlineStr">
        <is>
          <t>customer_payment</t>
        </is>
      </c>
      <c r="I3786" t="inlineStr"/>
      <c r="J3786" t="inlineStr">
        <is>
          <t>G00447</t>
        </is>
      </c>
      <c r="K3786" t="str">
        <f>INDEX('Match Groups'!$D$5:$D$1326,MATCH(J3786,'Match Groups'!$A$5:$A$1326,0))</f>
        <v>MATCH</v>
      </c>
    </row>
    <row r="3787">
      <c r="A3787" t="inlineStr">
        <is>
          <t>JI-01393</t>
        </is>
      </c>
      <c r="B3787" t="inlineStr">
        <is>
          <t>OPS</t>
        </is>
      </c>
      <c r="C3787" s="5" t="n">
        <v>46282</v>
      </c>
      <c r="D3787" t="inlineStr">
        <is>
          <t>Kookaburra Plan Support</t>
        </is>
      </c>
      <c r="E3787" t="inlineStr">
        <is>
          <t>INV/2026/02958</t>
        </is>
      </c>
      <c r="F3787" t="inlineStr">
        <is>
          <t>Customer payment INV/2026/02958</t>
        </is>
      </c>
      <c r="G3787" s="9" t="n">
        <v>417.98</v>
      </c>
      <c r="H3787" t="inlineStr">
        <is>
          <t>customer_payment</t>
        </is>
      </c>
      <c r="I3787" t="inlineStr"/>
      <c r="J3787" t="inlineStr">
        <is>
          <t>G00447</t>
        </is>
      </c>
      <c r="K3787" t="str">
        <f>INDEX('Match Groups'!$D$5:$D$1326,MATCH(J3787,'Match Groups'!$A$5:$A$1326,0))</f>
        <v>MATCH</v>
      </c>
    </row>
    <row r="3788">
      <c r="A3788" t="inlineStr">
        <is>
          <t>JI-01394</t>
        </is>
      </c>
      <c r="B3788" t="inlineStr">
        <is>
          <t>OPS</t>
        </is>
      </c>
      <c r="C3788" s="5" t="n">
        <v>46282</v>
      </c>
      <c r="D3788" t="inlineStr">
        <is>
          <t>Kookaburra Plan Support</t>
        </is>
      </c>
      <c r="E3788" t="inlineStr">
        <is>
          <t>INV/2026/02959</t>
        </is>
      </c>
      <c r="F3788" t="inlineStr">
        <is>
          <t>Customer payment INV/2026/02959</t>
        </is>
      </c>
      <c r="G3788" s="9" t="n">
        <v>175.49</v>
      </c>
      <c r="H3788" t="inlineStr">
        <is>
          <t>customer_payment</t>
        </is>
      </c>
      <c r="I3788" t="inlineStr"/>
      <c r="J3788" t="inlineStr">
        <is>
          <t>G00447</t>
        </is>
      </c>
      <c r="K3788" t="str">
        <f>INDEX('Match Groups'!$D$5:$D$1326,MATCH(J3788,'Match Groups'!$A$5:$A$1326,0))</f>
        <v>MATCH</v>
      </c>
    </row>
    <row r="3789">
      <c r="A3789" t="inlineStr">
        <is>
          <t>JI-01395</t>
        </is>
      </c>
      <c r="B3789" t="inlineStr">
        <is>
          <t>OPS</t>
        </is>
      </c>
      <c r="C3789" s="5" t="n">
        <v>46282</v>
      </c>
      <c r="D3789" t="inlineStr">
        <is>
          <t>Kookaburra Plan Support</t>
        </is>
      </c>
      <c r="E3789" t="inlineStr">
        <is>
          <t>INV/2026/02975</t>
        </is>
      </c>
      <c r="F3789" t="inlineStr">
        <is>
          <t>Customer payment INV/2026/02975</t>
        </is>
      </c>
      <c r="G3789" s="9" t="n">
        <v>417.98</v>
      </c>
      <c r="H3789" t="inlineStr">
        <is>
          <t>customer_payment</t>
        </is>
      </c>
      <c r="I3789" t="inlineStr"/>
      <c r="J3789" t="inlineStr">
        <is>
          <t>G00447</t>
        </is>
      </c>
      <c r="K3789" t="str">
        <f>INDEX('Match Groups'!$D$5:$D$1326,MATCH(J3789,'Match Groups'!$A$5:$A$1326,0))</f>
        <v>MATCH</v>
      </c>
    </row>
    <row r="3790">
      <c r="A3790" t="inlineStr">
        <is>
          <t>JI-01396</t>
        </is>
      </c>
      <c r="B3790" t="inlineStr">
        <is>
          <t>OPS</t>
        </is>
      </c>
      <c r="C3790" s="5" t="n">
        <v>46282</v>
      </c>
      <c r="D3790" t="inlineStr">
        <is>
          <t>Kookaburra Plan Support</t>
        </is>
      </c>
      <c r="E3790" t="inlineStr">
        <is>
          <t>INV/2026/02995</t>
        </is>
      </c>
      <c r="F3790" t="inlineStr">
        <is>
          <t>Customer payment INV/2026/02995</t>
        </is>
      </c>
      <c r="G3790" s="9" t="n">
        <v>387.98</v>
      </c>
      <c r="H3790" t="inlineStr">
        <is>
          <t>customer_payment</t>
        </is>
      </c>
      <c r="I3790" t="inlineStr"/>
      <c r="J3790" t="inlineStr">
        <is>
          <t>G00447</t>
        </is>
      </c>
      <c r="K3790" t="str">
        <f>INDEX('Match Groups'!$D$5:$D$1326,MATCH(J3790,'Match Groups'!$A$5:$A$1326,0))</f>
        <v>MATCH</v>
      </c>
    </row>
    <row r="3791">
      <c r="A3791" t="inlineStr">
        <is>
          <t>JI-01397</t>
        </is>
      </c>
      <c r="B3791" t="inlineStr">
        <is>
          <t>OPS</t>
        </is>
      </c>
      <c r="C3791" s="5" t="n">
        <v>46282</v>
      </c>
      <c r="D3791" t="inlineStr">
        <is>
          <t>Kookaburra Plan Support</t>
        </is>
      </c>
      <c r="E3791" t="inlineStr">
        <is>
          <t>INV/2026/02996</t>
        </is>
      </c>
      <c r="F3791" t="inlineStr">
        <is>
          <t>Customer payment INV/2026/02996</t>
        </is>
      </c>
      <c r="G3791" s="9" t="n">
        <v>145.49</v>
      </c>
      <c r="H3791" t="inlineStr">
        <is>
          <t>customer_payment</t>
        </is>
      </c>
      <c r="I3791" t="inlineStr"/>
      <c r="J3791" t="inlineStr">
        <is>
          <t>G00447</t>
        </is>
      </c>
      <c r="K3791" t="str">
        <f>INDEX('Match Groups'!$D$5:$D$1326,MATCH(J3791,'Match Groups'!$A$5:$A$1326,0))</f>
        <v>MATCH</v>
      </c>
    </row>
    <row r="3792">
      <c r="A3792" t="inlineStr">
        <is>
          <t>JI-01398</t>
        </is>
      </c>
      <c r="B3792" t="inlineStr">
        <is>
          <t>OPS</t>
        </is>
      </c>
      <c r="C3792" s="5" t="n">
        <v>46282</v>
      </c>
      <c r="D3792" t="inlineStr">
        <is>
          <t>Kookaburra Plan Support</t>
        </is>
      </c>
      <c r="E3792" t="inlineStr">
        <is>
          <t>INV/2026/02997</t>
        </is>
      </c>
      <c r="F3792" t="inlineStr">
        <is>
          <t>Customer payment INV/2026/02997</t>
        </is>
      </c>
      <c r="G3792" s="9" t="n">
        <v>242.49</v>
      </c>
      <c r="H3792" t="inlineStr">
        <is>
          <t>customer_payment</t>
        </is>
      </c>
      <c r="I3792" t="inlineStr"/>
      <c r="J3792" t="inlineStr">
        <is>
          <t>G00447</t>
        </is>
      </c>
      <c r="K3792" t="str">
        <f>INDEX('Match Groups'!$D$5:$D$1326,MATCH(J3792,'Match Groups'!$A$5:$A$1326,0))</f>
        <v>MATCH</v>
      </c>
    </row>
    <row r="3793">
      <c r="A3793" t="inlineStr">
        <is>
          <t>JI-01399</t>
        </is>
      </c>
      <c r="B3793" t="inlineStr">
        <is>
          <t>OPS</t>
        </is>
      </c>
      <c r="C3793" s="5" t="n">
        <v>46282</v>
      </c>
      <c r="D3793" t="inlineStr">
        <is>
          <t>Kookaburra Plan Support</t>
        </is>
      </c>
      <c r="E3793" t="inlineStr">
        <is>
          <t>INV/2026/03023</t>
        </is>
      </c>
      <c r="F3793" t="inlineStr">
        <is>
          <t>Customer payment INV/2026/03023</t>
        </is>
      </c>
      <c r="G3793" s="9" t="n">
        <v>387.98</v>
      </c>
      <c r="H3793" t="inlineStr">
        <is>
          <t>customer_payment</t>
        </is>
      </c>
      <c r="I3793" t="inlineStr"/>
      <c r="J3793" t="inlineStr">
        <is>
          <t>G00447</t>
        </is>
      </c>
      <c r="K3793" t="str">
        <f>INDEX('Match Groups'!$D$5:$D$1326,MATCH(J3793,'Match Groups'!$A$5:$A$1326,0))</f>
        <v>MATCH</v>
      </c>
    </row>
    <row r="3794">
      <c r="A3794" t="inlineStr">
        <is>
          <t>JI-01400</t>
        </is>
      </c>
      <c r="B3794" t="inlineStr">
        <is>
          <t>OPS</t>
        </is>
      </c>
      <c r="C3794" s="5" t="n">
        <v>46282</v>
      </c>
      <c r="D3794" t="inlineStr">
        <is>
          <t>Kookaburra Plan Support</t>
        </is>
      </c>
      <c r="E3794" t="inlineStr">
        <is>
          <t>INV/2026/03024</t>
        </is>
      </c>
      <c r="F3794" t="inlineStr">
        <is>
          <t>Customer payment INV/2026/03024</t>
        </is>
      </c>
      <c r="G3794" s="9" t="n">
        <v>300.69</v>
      </c>
      <c r="H3794" t="inlineStr">
        <is>
          <t>customer_payment</t>
        </is>
      </c>
      <c r="I3794" t="inlineStr"/>
      <c r="J3794" t="inlineStr">
        <is>
          <t>G00447</t>
        </is>
      </c>
      <c r="K3794" t="str">
        <f>INDEX('Match Groups'!$D$5:$D$1326,MATCH(J3794,'Match Groups'!$A$5:$A$1326,0))</f>
        <v>MATCH</v>
      </c>
    </row>
    <row r="3795">
      <c r="A3795" t="inlineStr">
        <is>
          <t>JI-01401</t>
        </is>
      </c>
      <c r="B3795" t="inlineStr">
        <is>
          <t>OPS</t>
        </is>
      </c>
      <c r="C3795" s="5" t="n">
        <v>46282</v>
      </c>
      <c r="D3795" t="inlineStr">
        <is>
          <t>Kookaburra Plan Support</t>
        </is>
      </c>
      <c r="E3795" t="inlineStr">
        <is>
          <t>INV/2026/03062</t>
        </is>
      </c>
      <c r="F3795" t="inlineStr">
        <is>
          <t>Customer payment INV/2026/03062</t>
        </is>
      </c>
      <c r="G3795" s="9" t="n">
        <v>290.98</v>
      </c>
      <c r="H3795" t="inlineStr">
        <is>
          <t>customer_payment</t>
        </is>
      </c>
      <c r="I3795" t="inlineStr"/>
      <c r="J3795" t="inlineStr">
        <is>
          <t>G00447</t>
        </is>
      </c>
      <c r="K3795" t="str">
        <f>INDEX('Match Groups'!$D$5:$D$1326,MATCH(J3795,'Match Groups'!$A$5:$A$1326,0))</f>
        <v>MATCH</v>
      </c>
    </row>
    <row r="3796">
      <c r="A3796" t="inlineStr">
        <is>
          <t>JI-01402</t>
        </is>
      </c>
      <c r="B3796" t="inlineStr">
        <is>
          <t>OPS</t>
        </is>
      </c>
      <c r="C3796" s="5" t="n">
        <v>46282</v>
      </c>
      <c r="D3796" t="inlineStr">
        <is>
          <t>Kookaburra Plan Support</t>
        </is>
      </c>
      <c r="E3796" t="inlineStr">
        <is>
          <t>INV/2026/03082</t>
        </is>
      </c>
      <c r="F3796" t="inlineStr">
        <is>
          <t>Customer payment INV/2026/03082</t>
        </is>
      </c>
      <c r="G3796" s="9" t="n">
        <v>155.19</v>
      </c>
      <c r="H3796" t="inlineStr">
        <is>
          <t>customer_payment</t>
        </is>
      </c>
      <c r="I3796" t="inlineStr"/>
      <c r="J3796" t="inlineStr">
        <is>
          <t>G00447</t>
        </is>
      </c>
      <c r="K3796" t="str">
        <f>INDEX('Match Groups'!$D$5:$D$1326,MATCH(J3796,'Match Groups'!$A$5:$A$1326,0))</f>
        <v>MATCH</v>
      </c>
    </row>
    <row r="3797">
      <c r="A3797" t="inlineStr">
        <is>
          <t>JI-01403</t>
        </is>
      </c>
      <c r="B3797" t="inlineStr">
        <is>
          <t>OPS</t>
        </is>
      </c>
      <c r="C3797" s="5" t="n">
        <v>46282</v>
      </c>
      <c r="D3797" t="inlineStr">
        <is>
          <t>Lyrebird Plan Management</t>
        </is>
      </c>
      <c r="E3797" t="inlineStr">
        <is>
          <t>INV/2026/03089</t>
        </is>
      </c>
      <c r="F3797" t="inlineStr">
        <is>
          <t>Customer payment INV/2026/03089</t>
        </is>
      </c>
      <c r="G3797" s="9" t="n">
        <v>193.99</v>
      </c>
      <c r="H3797" t="inlineStr">
        <is>
          <t>customer_payment</t>
        </is>
      </c>
      <c r="I3797" t="inlineStr"/>
      <c r="J3797" t="inlineStr">
        <is>
          <t>G00448</t>
        </is>
      </c>
      <c r="K3797" t="str">
        <f>INDEX('Match Groups'!$D$5:$D$1326,MATCH(J3797,'Match Groups'!$A$5:$A$1326,0))</f>
        <v>MATCH</v>
      </c>
    </row>
    <row r="3798">
      <c r="A3798" t="inlineStr">
        <is>
          <t>JI-01404</t>
        </is>
      </c>
      <c r="B3798" t="inlineStr">
        <is>
          <t>OPS</t>
        </is>
      </c>
      <c r="C3798" s="5" t="n">
        <v>46282</v>
      </c>
      <c r="D3798" t="inlineStr">
        <is>
          <t>Lyrebird Plan Management</t>
        </is>
      </c>
      <c r="E3798" t="inlineStr">
        <is>
          <t>INV/2026/03111</t>
        </is>
      </c>
      <c r="F3798" t="inlineStr">
        <is>
          <t>Customer payment INV/2026/03111</t>
        </is>
      </c>
      <c r="G3798" s="9" t="n">
        <v>145.49</v>
      </c>
      <c r="H3798" t="inlineStr">
        <is>
          <t>customer_payment</t>
        </is>
      </c>
      <c r="I3798" t="inlineStr"/>
      <c r="J3798" t="inlineStr">
        <is>
          <t>G00448</t>
        </is>
      </c>
      <c r="K3798" t="str">
        <f>INDEX('Match Groups'!$D$5:$D$1326,MATCH(J3798,'Match Groups'!$A$5:$A$1326,0))</f>
        <v>MATCH</v>
      </c>
    </row>
    <row r="3799">
      <c r="A3799" t="inlineStr">
        <is>
          <t>JI-01536</t>
        </is>
      </c>
      <c r="B3799" t="inlineStr">
        <is>
          <t>OPS</t>
        </is>
      </c>
      <c r="C3799" s="5" t="n">
        <v>46282</v>
      </c>
      <c r="D3799" t="inlineStr">
        <is>
          <t>Mallee Plan Services</t>
        </is>
      </c>
      <c r="E3799" t="inlineStr">
        <is>
          <t>INV/2026/03118</t>
        </is>
      </c>
      <c r="F3799" t="inlineStr">
        <is>
          <t>Customer payment INV/2026/03118</t>
        </is>
      </c>
      <c r="G3799" s="9" t="n">
        <v>155.19</v>
      </c>
      <c r="H3799" t="inlineStr">
        <is>
          <t>customer_payment</t>
        </is>
      </c>
      <c r="I3799" t="inlineStr"/>
      <c r="J3799" t="inlineStr">
        <is>
          <t>G01251</t>
        </is>
      </c>
      <c r="K3799" t="str">
        <f>INDEX('Match Groups'!$D$5:$D$1326,MATCH(J3799,'Match Groups'!$A$5:$A$1326,0))</f>
        <v>DUPL</v>
      </c>
    </row>
    <row r="3800">
      <c r="A3800" t="inlineStr">
        <is>
          <t>JI-01643</t>
        </is>
      </c>
      <c r="B3800" t="inlineStr">
        <is>
          <t>OPS</t>
        </is>
      </c>
      <c r="C3800" s="5" t="n">
        <v>46282</v>
      </c>
      <c r="D3800" t="inlineStr">
        <is>
          <t>Northline Injury Claims</t>
        </is>
      </c>
      <c r="E3800" t="inlineStr">
        <is>
          <t>INV/2026/02840</t>
        </is>
      </c>
      <c r="F3800" t="inlineStr">
        <is>
          <t>Customer payment INV/2026/02840</t>
        </is>
      </c>
      <c r="G3800" s="9" t="n">
        <v>412.5</v>
      </c>
      <c r="H3800" t="inlineStr">
        <is>
          <t>customer_payment</t>
        </is>
      </c>
      <c r="I3800" t="inlineStr"/>
      <c r="J3800" t="inlineStr">
        <is>
          <t>G01067</t>
        </is>
      </c>
      <c r="K3800" t="str">
        <f>INDEX('Match Groups'!$D$5:$D$1326,MATCH(J3800,'Match Groups'!$A$5:$A$1326,0))</f>
        <v>MATCH</v>
      </c>
    </row>
    <row r="3801">
      <c r="A3801" t="inlineStr">
        <is>
          <t>JI-01658</t>
        </is>
      </c>
      <c r="B3801" t="inlineStr">
        <is>
          <t>OPS</t>
        </is>
      </c>
      <c r="C3801" s="5" t="n">
        <v>46282</v>
      </c>
      <c r="D3801" t="inlineStr">
        <is>
          <t>Brightwater Civil Pty Ltd</t>
        </is>
      </c>
      <c r="E3801" t="inlineStr">
        <is>
          <t>INV/2026/03517</t>
        </is>
      </c>
      <c r="F3801" t="inlineStr">
        <is>
          <t>Customer payment INV/2026/03517</t>
        </is>
      </c>
      <c r="G3801" s="9" t="n">
        <v>3465</v>
      </c>
      <c r="H3801" t="inlineStr">
        <is>
          <t>customer_payment</t>
        </is>
      </c>
      <c r="I3801" t="inlineStr"/>
      <c r="J3801" t="inlineStr">
        <is>
          <t>G01072</t>
        </is>
      </c>
      <c r="K3801" t="str">
        <f>INDEX('Match Groups'!$D$5:$D$1326,MATCH(J3801,'Match Groups'!$A$5:$A$1326,0))</f>
        <v>MATCH</v>
      </c>
    </row>
    <row r="3802">
      <c r="A3802" t="inlineStr">
        <is>
          <t>JI-01687</t>
        </is>
      </c>
      <c r="B3802" t="inlineStr">
        <is>
          <t>OPS</t>
        </is>
      </c>
      <c r="C3802" s="5" t="n">
        <v>46282</v>
      </c>
      <c r="D3802" t="inlineStr">
        <is>
          <t>Quillon Engineering</t>
        </is>
      </c>
      <c r="E3802" t="inlineStr">
        <is>
          <t>INV/2026/03530</t>
        </is>
      </c>
      <c r="F3802" t="inlineStr">
        <is>
          <t>Customer payment INV/2026/03530</t>
        </is>
      </c>
      <c r="G3802" s="9" t="n">
        <v>2186.25</v>
      </c>
      <c r="H3802" t="inlineStr">
        <is>
          <t>customer_payment</t>
        </is>
      </c>
      <c r="I3802" t="inlineStr"/>
      <c r="J3802" t="inlineStr">
        <is>
          <t>G01073</t>
        </is>
      </c>
      <c r="K3802" t="str">
        <f>INDEX('Match Groups'!$D$5:$D$1326,MATCH(J3802,'Match Groups'!$A$5:$A$1326,0))</f>
        <v>MATCH</v>
      </c>
    </row>
    <row r="3803">
      <c r="A3803" t="inlineStr">
        <is>
          <t>JI-01694</t>
        </is>
      </c>
      <c r="B3803" t="inlineStr">
        <is>
          <t>OPS</t>
        </is>
      </c>
      <c r="C3803" s="5" t="n">
        <v>46282</v>
      </c>
      <c r="D3803" t="inlineStr">
        <is>
          <t>Copperleaf Childcare</t>
        </is>
      </c>
      <c r="E3803" t="inlineStr">
        <is>
          <t>INV/2026/03533</t>
        </is>
      </c>
      <c r="F3803" t="inlineStr">
        <is>
          <t>Customer payment INV/2026/03533</t>
        </is>
      </c>
      <c r="G3803" s="9" t="n">
        <v>1471.25</v>
      </c>
      <c r="H3803" t="inlineStr">
        <is>
          <t>customer_payment</t>
        </is>
      </c>
      <c r="I3803" t="inlineStr"/>
      <c r="J3803" t="inlineStr">
        <is>
          <t>G01069</t>
        </is>
      </c>
      <c r="K3803" t="str">
        <f>INDEX('Match Groups'!$D$5:$D$1326,MATCH(J3803,'Match Groups'!$A$5:$A$1326,0))</f>
        <v>MATCH</v>
      </c>
    </row>
    <row r="3804">
      <c r="A3804" t="inlineStr">
        <is>
          <t>JI-01695</t>
        </is>
      </c>
      <c r="B3804" t="inlineStr">
        <is>
          <t>OPS</t>
        </is>
      </c>
      <c r="C3804" s="5" t="n">
        <v>46282</v>
      </c>
      <c r="D3804" t="inlineStr">
        <is>
          <t>Copperleaf Childcare</t>
        </is>
      </c>
      <c r="E3804" t="inlineStr">
        <is>
          <t>INV/2026/03534</t>
        </is>
      </c>
      <c r="F3804" t="inlineStr">
        <is>
          <t>Customer payment INV/2026/03534</t>
        </is>
      </c>
      <c r="G3804" s="9" t="n">
        <v>3465</v>
      </c>
      <c r="H3804" t="inlineStr">
        <is>
          <t>customer_payment</t>
        </is>
      </c>
      <c r="I3804" t="inlineStr"/>
      <c r="J3804" t="inlineStr">
        <is>
          <t>G01074</t>
        </is>
      </c>
      <c r="K3804" t="str">
        <f>INDEX('Match Groups'!$D$5:$D$1326,MATCH(J3804,'Match Groups'!$A$5:$A$1326,0))</f>
        <v>MATCH</v>
      </c>
    </row>
    <row r="3805">
      <c r="A3805" t="inlineStr">
        <is>
          <t>JI-01716</t>
        </is>
      </c>
      <c r="B3805" t="inlineStr">
        <is>
          <t>OPS</t>
        </is>
      </c>
      <c r="C3805" s="5" t="n">
        <v>46282</v>
      </c>
      <c r="D3805" t="inlineStr">
        <is>
          <t>Cobblestone Retail Group</t>
        </is>
      </c>
      <c r="E3805" t="inlineStr">
        <is>
          <t>INV/2026/03545</t>
        </is>
      </c>
      <c r="F3805" t="inlineStr">
        <is>
          <t>Customer payment INV/2026/03545</t>
        </is>
      </c>
      <c r="G3805" s="9" t="n">
        <v>15950</v>
      </c>
      <c r="H3805" t="inlineStr">
        <is>
          <t>customer_payment</t>
        </is>
      </c>
      <c r="I3805" t="inlineStr"/>
      <c r="J3805" t="inlineStr">
        <is>
          <t>G01070</t>
        </is>
      </c>
      <c r="K3805" t="str">
        <f>INDEX('Match Groups'!$D$5:$D$1326,MATCH(J3805,'Match Groups'!$A$5:$A$1326,0))</f>
        <v>MATCH</v>
      </c>
    </row>
    <row r="3806">
      <c r="A3806" t="inlineStr">
        <is>
          <t>JI-01724</t>
        </is>
      </c>
      <c r="B3806" t="inlineStr">
        <is>
          <t>OPS</t>
        </is>
      </c>
      <c r="C3806" s="5" t="n">
        <v>46282</v>
      </c>
      <c r="D3806" t="inlineStr">
        <is>
          <t>Fairlie Bros Plumbing</t>
        </is>
      </c>
      <c r="E3806" t="inlineStr">
        <is>
          <t>INV/2026/03550</t>
        </is>
      </c>
      <c r="F3806" t="inlineStr">
        <is>
          <t>Customer payment INV/2026/03550</t>
        </is>
      </c>
      <c r="G3806" s="9" t="n">
        <v>10807.5</v>
      </c>
      <c r="H3806" t="inlineStr">
        <is>
          <t>customer_payment</t>
        </is>
      </c>
      <c r="I3806" t="inlineStr"/>
      <c r="J3806" t="inlineStr">
        <is>
          <t>G01071</t>
        </is>
      </c>
      <c r="K3806" t="str">
        <f>INDEX('Match Groups'!$D$5:$D$1326,MATCH(J3806,'Match Groups'!$A$5:$A$1326,0))</f>
        <v>MATCH</v>
      </c>
    </row>
    <row r="3807">
      <c r="A3807" t="inlineStr">
        <is>
          <t>JI-03415</t>
        </is>
      </c>
      <c r="B3807" t="inlineStr">
        <is>
          <t>OPS</t>
        </is>
      </c>
      <c r="C3807" s="5" t="n">
        <v>46282</v>
      </c>
      <c r="D3807" t="inlineStr">
        <is>
          <t>Stripe patient 73543</t>
        </is>
      </c>
      <c r="E3807" t="inlineStr">
        <is>
          <t>INV/2026/05256</t>
        </is>
      </c>
      <c r="F3807" t="inlineStr">
        <is>
          <t>Customer payment INV/2026/05256</t>
        </is>
      </c>
      <c r="G3807" s="9" t="n">
        <v>85</v>
      </c>
      <c r="H3807" t="inlineStr">
        <is>
          <t>customer_payment</t>
        </is>
      </c>
      <c r="I3807" t="inlineStr"/>
      <c r="J3807" t="inlineStr">
        <is>
          <t>G00072</t>
        </is>
      </c>
      <c r="K3807" t="str">
        <f>INDEX('Match Groups'!$D$5:$D$1326,MATCH(J3807,'Match Groups'!$A$5:$A$1326,0))</f>
        <v>STRIPE-FEE</v>
      </c>
    </row>
    <row r="3808">
      <c r="A3808" t="inlineStr">
        <is>
          <t>JI-03416</t>
        </is>
      </c>
      <c r="B3808" t="inlineStr">
        <is>
          <t>OPS</t>
        </is>
      </c>
      <c r="C3808" s="5" t="n">
        <v>46282</v>
      </c>
      <c r="D3808" t="inlineStr">
        <is>
          <t>Stripe patient 70359</t>
        </is>
      </c>
      <c r="E3808" t="inlineStr">
        <is>
          <t>INV/2026/05257</t>
        </is>
      </c>
      <c r="F3808" t="inlineStr">
        <is>
          <t>Customer payment INV/2026/05257</t>
        </is>
      </c>
      <c r="G3808" s="9" t="n">
        <v>135</v>
      </c>
      <c r="H3808" t="inlineStr">
        <is>
          <t>customer_payment</t>
        </is>
      </c>
      <c r="I3808" t="inlineStr"/>
      <c r="J3808" t="inlineStr">
        <is>
          <t>G00072</t>
        </is>
      </c>
      <c r="K3808" t="str">
        <f>INDEX('Match Groups'!$D$5:$D$1326,MATCH(J3808,'Match Groups'!$A$5:$A$1326,0))</f>
        <v>STRIPE-FEE</v>
      </c>
    </row>
    <row r="3809">
      <c r="A3809" t="inlineStr">
        <is>
          <t>JI-03417</t>
        </is>
      </c>
      <c r="B3809" t="inlineStr">
        <is>
          <t>OPS</t>
        </is>
      </c>
      <c r="C3809" s="5" t="n">
        <v>46282</v>
      </c>
      <c r="D3809" t="inlineStr">
        <is>
          <t>Stripe patient 67870</t>
        </is>
      </c>
      <c r="E3809" t="inlineStr">
        <is>
          <t>INV/2026/05258</t>
        </is>
      </c>
      <c r="F3809" t="inlineStr">
        <is>
          <t>Customer payment INV/2026/05258</t>
        </is>
      </c>
      <c r="G3809" s="9" t="n">
        <v>180</v>
      </c>
      <c r="H3809" t="inlineStr">
        <is>
          <t>customer_payment</t>
        </is>
      </c>
      <c r="I3809" t="inlineStr"/>
      <c r="J3809" t="inlineStr">
        <is>
          <t>G00072</t>
        </is>
      </c>
      <c r="K3809" t="str">
        <f>INDEX('Match Groups'!$D$5:$D$1326,MATCH(J3809,'Match Groups'!$A$5:$A$1326,0))</f>
        <v>STRIPE-FEE</v>
      </c>
    </row>
    <row r="3810">
      <c r="A3810" t="inlineStr">
        <is>
          <t>JI-03418</t>
        </is>
      </c>
      <c r="B3810" t="inlineStr">
        <is>
          <t>OPS</t>
        </is>
      </c>
      <c r="C3810" s="5" t="n">
        <v>46282</v>
      </c>
      <c r="D3810" t="inlineStr">
        <is>
          <t>Stripe patient 25867</t>
        </is>
      </c>
      <c r="E3810" t="inlineStr">
        <is>
          <t>INV/2026/05259</t>
        </is>
      </c>
      <c r="F3810" t="inlineStr">
        <is>
          <t>Customer payment INV/2026/05259</t>
        </is>
      </c>
      <c r="G3810" s="9" t="n">
        <v>180</v>
      </c>
      <c r="H3810" t="inlineStr">
        <is>
          <t>customer_payment</t>
        </is>
      </c>
      <c r="I3810" t="inlineStr"/>
      <c r="J3810" t="inlineStr">
        <is>
          <t>G00072</t>
        </is>
      </c>
      <c r="K3810" t="str">
        <f>INDEX('Match Groups'!$D$5:$D$1326,MATCH(J3810,'Match Groups'!$A$5:$A$1326,0))</f>
        <v>STRIPE-FEE</v>
      </c>
    </row>
    <row r="3811">
      <c r="A3811" t="inlineStr">
        <is>
          <t>JI-03419</t>
        </is>
      </c>
      <c r="B3811" t="inlineStr">
        <is>
          <t>OPS</t>
        </is>
      </c>
      <c r="C3811" s="5" t="n">
        <v>46282</v>
      </c>
      <c r="D3811" t="inlineStr">
        <is>
          <t>Stripe patient 28816</t>
        </is>
      </c>
      <c r="E3811" t="inlineStr">
        <is>
          <t>INV/2026/05260</t>
        </is>
      </c>
      <c r="F3811" t="inlineStr">
        <is>
          <t>Customer payment INV/2026/05260</t>
        </is>
      </c>
      <c r="G3811" s="9" t="n">
        <v>135</v>
      </c>
      <c r="H3811" t="inlineStr">
        <is>
          <t>customer_payment</t>
        </is>
      </c>
      <c r="I3811" t="inlineStr"/>
      <c r="J3811" t="inlineStr">
        <is>
          <t>G00072</t>
        </is>
      </c>
      <c r="K3811" t="str">
        <f>INDEX('Match Groups'!$D$5:$D$1326,MATCH(J3811,'Match Groups'!$A$5:$A$1326,0))</f>
        <v>STRIPE-FEE</v>
      </c>
    </row>
    <row r="3812">
      <c r="A3812" t="inlineStr">
        <is>
          <t>JI-03420</t>
        </is>
      </c>
      <c r="B3812" t="inlineStr">
        <is>
          <t>OPS</t>
        </is>
      </c>
      <c r="C3812" s="5" t="n">
        <v>46282</v>
      </c>
      <c r="D3812" t="inlineStr">
        <is>
          <t>Stripe patient 92204</t>
        </is>
      </c>
      <c r="E3812" t="inlineStr">
        <is>
          <t>INV/2026/05261</t>
        </is>
      </c>
      <c r="F3812" t="inlineStr">
        <is>
          <t>Customer payment INV/2026/05261</t>
        </is>
      </c>
      <c r="G3812" s="9" t="n">
        <v>85</v>
      </c>
      <c r="H3812" t="inlineStr">
        <is>
          <t>customer_payment</t>
        </is>
      </c>
      <c r="I3812" t="inlineStr"/>
      <c r="J3812" t="inlineStr">
        <is>
          <t>G00072</t>
        </is>
      </c>
      <c r="K3812" t="str">
        <f>INDEX('Match Groups'!$D$5:$D$1326,MATCH(J3812,'Match Groups'!$A$5:$A$1326,0))</f>
        <v>STRIPE-FEE</v>
      </c>
    </row>
    <row r="3813">
      <c r="A3813" t="inlineStr">
        <is>
          <t>JI-03421</t>
        </is>
      </c>
      <c r="B3813" t="inlineStr">
        <is>
          <t>OPS</t>
        </is>
      </c>
      <c r="C3813" s="5" t="n">
        <v>46282</v>
      </c>
      <c r="D3813" t="inlineStr">
        <is>
          <t>Stripe patient 53882</t>
        </is>
      </c>
      <c r="E3813" t="inlineStr">
        <is>
          <t>INV/2026/05262</t>
        </is>
      </c>
      <c r="F3813" t="inlineStr">
        <is>
          <t>Customer payment INV/2026/05262</t>
        </is>
      </c>
      <c r="G3813" s="9" t="n">
        <v>220</v>
      </c>
      <c r="H3813" t="inlineStr">
        <is>
          <t>customer_payment</t>
        </is>
      </c>
      <c r="I3813" t="inlineStr"/>
      <c r="J3813" t="inlineStr">
        <is>
          <t>G00072</t>
        </is>
      </c>
      <c r="K3813" t="str">
        <f>INDEX('Match Groups'!$D$5:$D$1326,MATCH(J3813,'Match Groups'!$A$5:$A$1326,0))</f>
        <v>STRIPE-FEE</v>
      </c>
    </row>
    <row r="3814">
      <c r="A3814" t="inlineStr">
        <is>
          <t>JI-03422</t>
        </is>
      </c>
      <c r="B3814" t="inlineStr">
        <is>
          <t>OPS</t>
        </is>
      </c>
      <c r="C3814" s="5" t="n">
        <v>46282</v>
      </c>
      <c r="D3814" t="inlineStr">
        <is>
          <t>Stripe patient 58090</t>
        </is>
      </c>
      <c r="E3814" t="inlineStr">
        <is>
          <t>INV/2026/05263</t>
        </is>
      </c>
      <c r="F3814" t="inlineStr">
        <is>
          <t>Customer payment INV/2026/05263</t>
        </is>
      </c>
      <c r="G3814" s="9" t="n">
        <v>65</v>
      </c>
      <c r="H3814" t="inlineStr">
        <is>
          <t>customer_payment</t>
        </is>
      </c>
      <c r="I3814" t="inlineStr"/>
      <c r="J3814" t="inlineStr">
        <is>
          <t>G00072</t>
        </is>
      </c>
      <c r="K3814" t="str">
        <f>INDEX('Match Groups'!$D$5:$D$1326,MATCH(J3814,'Match Groups'!$A$5:$A$1326,0))</f>
        <v>STRIPE-FEE</v>
      </c>
    </row>
    <row r="3815">
      <c r="A3815" t="inlineStr">
        <is>
          <t>JI-03423</t>
        </is>
      </c>
      <c r="B3815" t="inlineStr">
        <is>
          <t>OPS</t>
        </is>
      </c>
      <c r="C3815" s="5" t="n">
        <v>46282</v>
      </c>
      <c r="D3815" t="inlineStr">
        <is>
          <t>Stripe patient 47000</t>
        </is>
      </c>
      <c r="E3815" t="inlineStr">
        <is>
          <t>INV/2026/05264</t>
        </is>
      </c>
      <c r="F3815" t="inlineStr">
        <is>
          <t>Customer payment INV/2026/05264</t>
        </is>
      </c>
      <c r="G3815" s="9" t="n">
        <v>220</v>
      </c>
      <c r="H3815" t="inlineStr">
        <is>
          <t>customer_payment</t>
        </is>
      </c>
      <c r="I3815" t="inlineStr"/>
      <c r="J3815" t="inlineStr">
        <is>
          <t>G00072</t>
        </is>
      </c>
      <c r="K3815" t="str">
        <f>INDEX('Match Groups'!$D$5:$D$1326,MATCH(J3815,'Match Groups'!$A$5:$A$1326,0))</f>
        <v>STRIPE-FEE</v>
      </c>
    </row>
    <row r="3816">
      <c r="A3816" t="inlineStr">
        <is>
          <t>JI-03424</t>
        </is>
      </c>
      <c r="B3816" t="inlineStr">
        <is>
          <t>OPS</t>
        </is>
      </c>
      <c r="C3816" s="5" t="n">
        <v>46282</v>
      </c>
      <c r="D3816" t="inlineStr">
        <is>
          <t>Stripe patient 48915</t>
        </is>
      </c>
      <c r="E3816" t="inlineStr">
        <is>
          <t>INV/2026/05265</t>
        </is>
      </c>
      <c r="F3816" t="inlineStr">
        <is>
          <t>Customer payment INV/2026/05265</t>
        </is>
      </c>
      <c r="G3816" s="9" t="n">
        <v>120</v>
      </c>
      <c r="H3816" t="inlineStr">
        <is>
          <t>customer_payment</t>
        </is>
      </c>
      <c r="I3816" t="inlineStr"/>
      <c r="J3816" t="inlineStr">
        <is>
          <t>G00072</t>
        </is>
      </c>
      <c r="K3816" t="str">
        <f>INDEX('Match Groups'!$D$5:$D$1326,MATCH(J3816,'Match Groups'!$A$5:$A$1326,0))</f>
        <v>STRIPE-FEE</v>
      </c>
    </row>
    <row r="3817">
      <c r="A3817" t="inlineStr">
        <is>
          <t>JI-03425</t>
        </is>
      </c>
      <c r="B3817" t="inlineStr">
        <is>
          <t>OPS</t>
        </is>
      </c>
      <c r="C3817" s="5" t="n">
        <v>46282</v>
      </c>
      <c r="D3817" t="inlineStr">
        <is>
          <t>Stripe patient 81576</t>
        </is>
      </c>
      <c r="E3817" t="inlineStr">
        <is>
          <t>INV/2026/05266</t>
        </is>
      </c>
      <c r="F3817" t="inlineStr">
        <is>
          <t>Customer payment INV/2026/05266</t>
        </is>
      </c>
      <c r="G3817" s="9" t="n">
        <v>150</v>
      </c>
      <c r="H3817" t="inlineStr">
        <is>
          <t>customer_payment</t>
        </is>
      </c>
      <c r="I3817" t="inlineStr"/>
      <c r="J3817" t="inlineStr">
        <is>
          <t>G00072</t>
        </is>
      </c>
      <c r="K3817" t="str">
        <f>INDEX('Match Groups'!$D$5:$D$1326,MATCH(J3817,'Match Groups'!$A$5:$A$1326,0))</f>
        <v>STRIPE-FEE</v>
      </c>
    </row>
    <row r="3818">
      <c r="A3818" t="inlineStr">
        <is>
          <t>JI-03426</t>
        </is>
      </c>
      <c r="B3818" t="inlineStr">
        <is>
          <t>OPS</t>
        </is>
      </c>
      <c r="C3818" s="5" t="n">
        <v>46282</v>
      </c>
      <c r="D3818" t="inlineStr">
        <is>
          <t>Stripe patient 83735</t>
        </is>
      </c>
      <c r="E3818" t="inlineStr">
        <is>
          <t>INV/2026/05267</t>
        </is>
      </c>
      <c r="F3818" t="inlineStr">
        <is>
          <t>Customer payment INV/2026/05267</t>
        </is>
      </c>
      <c r="G3818" s="9" t="n">
        <v>150</v>
      </c>
      <c r="H3818" t="inlineStr">
        <is>
          <t>customer_payment</t>
        </is>
      </c>
      <c r="I3818" t="inlineStr"/>
      <c r="J3818" t="inlineStr">
        <is>
          <t>G00072</t>
        </is>
      </c>
      <c r="K3818" t="str">
        <f>INDEX('Match Groups'!$D$5:$D$1326,MATCH(J3818,'Match Groups'!$A$5:$A$1326,0))</f>
        <v>STRIPE-FEE</v>
      </c>
    </row>
    <row r="3819">
      <c r="A3819" t="inlineStr">
        <is>
          <t>JI-03427</t>
        </is>
      </c>
      <c r="B3819" t="inlineStr">
        <is>
          <t>OPS</t>
        </is>
      </c>
      <c r="C3819" s="5" t="n">
        <v>46282</v>
      </c>
      <c r="D3819" t="inlineStr">
        <is>
          <t>Stripe patient 65649</t>
        </is>
      </c>
      <c r="E3819" t="inlineStr">
        <is>
          <t>INV/2026/05268</t>
        </is>
      </c>
      <c r="F3819" t="inlineStr">
        <is>
          <t>Customer payment INV/2026/05268</t>
        </is>
      </c>
      <c r="G3819" s="9" t="n">
        <v>220</v>
      </c>
      <c r="H3819" t="inlineStr">
        <is>
          <t>customer_payment</t>
        </is>
      </c>
      <c r="I3819" t="inlineStr"/>
      <c r="J3819" t="inlineStr">
        <is>
          <t>G00072</t>
        </is>
      </c>
      <c r="K3819" t="str">
        <f>INDEX('Match Groups'!$D$5:$D$1326,MATCH(J3819,'Match Groups'!$A$5:$A$1326,0))</f>
        <v>STRIPE-FEE</v>
      </c>
    </row>
    <row r="3820">
      <c r="A3820" t="inlineStr">
        <is>
          <t>JI-03428</t>
        </is>
      </c>
      <c r="B3820" t="inlineStr">
        <is>
          <t>OPS</t>
        </is>
      </c>
      <c r="C3820" s="5" t="n">
        <v>46282</v>
      </c>
      <c r="D3820" t="inlineStr">
        <is>
          <t>Stripe patient 87846</t>
        </is>
      </c>
      <c r="E3820" t="inlineStr">
        <is>
          <t>INV/2026/05269</t>
        </is>
      </c>
      <c r="F3820" t="inlineStr">
        <is>
          <t>Customer payment INV/2026/05269</t>
        </is>
      </c>
      <c r="G3820" s="9" t="n">
        <v>120</v>
      </c>
      <c r="H3820" t="inlineStr">
        <is>
          <t>customer_payment</t>
        </is>
      </c>
      <c r="I3820" t="inlineStr"/>
      <c r="J3820" t="inlineStr">
        <is>
          <t>G00072</t>
        </is>
      </c>
      <c r="K3820" t="str">
        <f>INDEX('Match Groups'!$D$5:$D$1326,MATCH(J3820,'Match Groups'!$A$5:$A$1326,0))</f>
        <v>STRIPE-FEE</v>
      </c>
    </row>
    <row r="3821">
      <c r="A3821" t="inlineStr">
        <is>
          <t>JI-03429</t>
        </is>
      </c>
      <c r="B3821" t="inlineStr">
        <is>
          <t>OPS</t>
        </is>
      </c>
      <c r="C3821" s="5" t="n">
        <v>46282</v>
      </c>
      <c r="D3821" t="inlineStr">
        <is>
          <t>Stripe patient 69768</t>
        </is>
      </c>
      <c r="E3821" t="inlineStr">
        <is>
          <t>INV/2026/05270</t>
        </is>
      </c>
      <c r="F3821" t="inlineStr">
        <is>
          <t>Customer payment INV/2026/05270</t>
        </is>
      </c>
      <c r="G3821" s="9" t="n">
        <v>220</v>
      </c>
      <c r="H3821" t="inlineStr">
        <is>
          <t>customer_payment</t>
        </is>
      </c>
      <c r="I3821" t="inlineStr"/>
      <c r="J3821" t="inlineStr">
        <is>
          <t>G00072</t>
        </is>
      </c>
      <c r="K3821" t="str">
        <f>INDEX('Match Groups'!$D$5:$D$1326,MATCH(J3821,'Match Groups'!$A$5:$A$1326,0))</f>
        <v>STRIPE-FEE</v>
      </c>
    </row>
    <row r="3822">
      <c r="A3822" t="inlineStr">
        <is>
          <t>JI-03430</t>
        </is>
      </c>
      <c r="B3822" t="inlineStr">
        <is>
          <t>OPS</t>
        </is>
      </c>
      <c r="C3822" s="5" t="n">
        <v>46282</v>
      </c>
      <c r="D3822" t="inlineStr">
        <is>
          <t>Stripe patient 51734</t>
        </is>
      </c>
      <c r="E3822" t="inlineStr">
        <is>
          <t>INV/2026/05271</t>
        </is>
      </c>
      <c r="F3822" t="inlineStr">
        <is>
          <t>Customer payment INV/2026/05271</t>
        </is>
      </c>
      <c r="G3822" s="9" t="n">
        <v>180</v>
      </c>
      <c r="H3822" t="inlineStr">
        <is>
          <t>customer_payment</t>
        </is>
      </c>
      <c r="I3822" t="inlineStr"/>
      <c r="J3822" t="inlineStr">
        <is>
          <t>G00072</t>
        </is>
      </c>
      <c r="K3822" t="str">
        <f>INDEX('Match Groups'!$D$5:$D$1326,MATCH(J3822,'Match Groups'!$A$5:$A$1326,0))</f>
        <v>STRIPE-FEE</v>
      </c>
    </row>
    <row r="3823">
      <c r="A3823" t="inlineStr">
        <is>
          <t>JI-03431</t>
        </is>
      </c>
      <c r="B3823" t="inlineStr">
        <is>
          <t>OPS</t>
        </is>
      </c>
      <c r="C3823" s="5" t="n">
        <v>46282</v>
      </c>
      <c r="D3823" t="inlineStr">
        <is>
          <t>Stripe patient 26453</t>
        </is>
      </c>
      <c r="E3823" t="inlineStr">
        <is>
          <t>INV/2026/05272</t>
        </is>
      </c>
      <c r="F3823" t="inlineStr">
        <is>
          <t>Customer payment INV/2026/05272</t>
        </is>
      </c>
      <c r="G3823" s="9" t="n">
        <v>135</v>
      </c>
      <c r="H3823" t="inlineStr">
        <is>
          <t>customer_payment</t>
        </is>
      </c>
      <c r="I3823" t="inlineStr"/>
      <c r="J3823" t="inlineStr">
        <is>
          <t>G00072</t>
        </is>
      </c>
      <c r="K3823" t="str">
        <f>INDEX('Match Groups'!$D$5:$D$1326,MATCH(J3823,'Match Groups'!$A$5:$A$1326,0))</f>
        <v>STRIPE-FEE</v>
      </c>
    </row>
    <row r="3824">
      <c r="A3824" t="inlineStr">
        <is>
          <t>JI-03432</t>
        </is>
      </c>
      <c r="B3824" t="inlineStr">
        <is>
          <t>OPS</t>
        </is>
      </c>
      <c r="C3824" s="5" t="n">
        <v>46282</v>
      </c>
      <c r="D3824" t="inlineStr">
        <is>
          <t>Stripe patient 85247</t>
        </is>
      </c>
      <c r="E3824" t="inlineStr">
        <is>
          <t>INV/2026/05273</t>
        </is>
      </c>
      <c r="F3824" t="inlineStr">
        <is>
          <t>Customer payment INV/2026/05273</t>
        </is>
      </c>
      <c r="G3824" s="9" t="n">
        <v>65</v>
      </c>
      <c r="H3824" t="inlineStr">
        <is>
          <t>customer_payment</t>
        </is>
      </c>
      <c r="I3824" t="inlineStr"/>
      <c r="J3824" t="inlineStr">
        <is>
          <t>G00072</t>
        </is>
      </c>
      <c r="K3824" t="str">
        <f>INDEX('Match Groups'!$D$5:$D$1326,MATCH(J3824,'Match Groups'!$A$5:$A$1326,0))</f>
        <v>STRIPE-FEE</v>
      </c>
    </row>
    <row r="3825">
      <c r="A3825" t="inlineStr">
        <is>
          <t>JI-03433</t>
        </is>
      </c>
      <c r="B3825" t="inlineStr">
        <is>
          <t>OPS</t>
        </is>
      </c>
      <c r="C3825" s="5" t="n">
        <v>46282</v>
      </c>
      <c r="D3825" t="inlineStr">
        <is>
          <t>Stripe patient 22439</t>
        </is>
      </c>
      <c r="E3825" t="inlineStr">
        <is>
          <t>INV/2026/05274</t>
        </is>
      </c>
      <c r="F3825" t="inlineStr">
        <is>
          <t>Customer payment INV/2026/05274</t>
        </is>
      </c>
      <c r="G3825" s="9" t="n">
        <v>85</v>
      </c>
      <c r="H3825" t="inlineStr">
        <is>
          <t>customer_payment</t>
        </is>
      </c>
      <c r="I3825" t="inlineStr"/>
      <c r="J3825" t="inlineStr">
        <is>
          <t>G00072</t>
        </is>
      </c>
      <c r="K3825" t="str">
        <f>INDEX('Match Groups'!$D$5:$D$1326,MATCH(J3825,'Match Groups'!$A$5:$A$1326,0))</f>
        <v>STRIPE-FEE</v>
      </c>
    </row>
    <row r="3826">
      <c r="A3826" t="inlineStr">
        <is>
          <t>JI-03434</t>
        </is>
      </c>
      <c r="B3826" t="inlineStr">
        <is>
          <t>OPS</t>
        </is>
      </c>
      <c r="C3826" s="5" t="n">
        <v>46282</v>
      </c>
      <c r="D3826" t="inlineStr">
        <is>
          <t>Stripe patient 37090</t>
        </is>
      </c>
      <c r="E3826" t="inlineStr">
        <is>
          <t>INV/2026/05275</t>
        </is>
      </c>
      <c r="F3826" t="inlineStr">
        <is>
          <t>Customer payment INV/2026/05275</t>
        </is>
      </c>
      <c r="G3826" s="9" t="n">
        <v>150</v>
      </c>
      <c r="H3826" t="inlineStr">
        <is>
          <t>customer_payment</t>
        </is>
      </c>
      <c r="I3826" t="inlineStr"/>
      <c r="J3826" t="inlineStr">
        <is>
          <t>G00072</t>
        </is>
      </c>
      <c r="K3826" t="str">
        <f>INDEX('Match Groups'!$D$5:$D$1326,MATCH(J3826,'Match Groups'!$A$5:$A$1326,0))</f>
        <v>STRIPE-FEE</v>
      </c>
    </row>
    <row r="3827">
      <c r="A3827" t="inlineStr">
        <is>
          <t>JI-03435</t>
        </is>
      </c>
      <c r="B3827" t="inlineStr">
        <is>
          <t>OPS</t>
        </is>
      </c>
      <c r="C3827" s="5" t="n">
        <v>46282</v>
      </c>
      <c r="D3827" t="inlineStr">
        <is>
          <t>Stripe patient 32281</t>
        </is>
      </c>
      <c r="E3827" t="inlineStr">
        <is>
          <t>INV/2026/05276</t>
        </is>
      </c>
      <c r="F3827" t="inlineStr">
        <is>
          <t>Customer payment INV/2026/05276</t>
        </is>
      </c>
      <c r="G3827" s="9" t="n">
        <v>120</v>
      </c>
      <c r="H3827" t="inlineStr">
        <is>
          <t>customer_payment</t>
        </is>
      </c>
      <c r="I3827" t="inlineStr"/>
      <c r="J3827" t="inlineStr">
        <is>
          <t>G00072</t>
        </is>
      </c>
      <c r="K3827" t="str">
        <f>INDEX('Match Groups'!$D$5:$D$1326,MATCH(J3827,'Match Groups'!$A$5:$A$1326,0))</f>
        <v>STRIPE-FEE</v>
      </c>
    </row>
    <row r="3828">
      <c r="A3828" t="inlineStr">
        <is>
          <t>JI-03436</t>
        </is>
      </c>
      <c r="B3828" t="inlineStr">
        <is>
          <t>OPS</t>
        </is>
      </c>
      <c r="C3828" s="5" t="n">
        <v>46282</v>
      </c>
      <c r="D3828" t="inlineStr">
        <is>
          <t>Stripe patient 98267</t>
        </is>
      </c>
      <c r="E3828" t="inlineStr">
        <is>
          <t>INV/2026/05277</t>
        </is>
      </c>
      <c r="F3828" t="inlineStr">
        <is>
          <t>Customer payment INV/2026/05277</t>
        </is>
      </c>
      <c r="G3828" s="9" t="n">
        <v>95</v>
      </c>
      <c r="H3828" t="inlineStr">
        <is>
          <t>customer_payment</t>
        </is>
      </c>
      <c r="I3828" t="inlineStr"/>
      <c r="J3828" t="inlineStr">
        <is>
          <t>G00072</t>
        </is>
      </c>
      <c r="K3828" t="str">
        <f>INDEX('Match Groups'!$D$5:$D$1326,MATCH(J3828,'Match Groups'!$A$5:$A$1326,0))</f>
        <v>STRIPE-FEE</v>
      </c>
    </row>
    <row r="3829">
      <c r="A3829" t="inlineStr">
        <is>
          <t>JI-01405</t>
        </is>
      </c>
      <c r="B3829" t="inlineStr">
        <is>
          <t>OPS</t>
        </is>
      </c>
      <c r="C3829" s="5" t="n">
        <v>46283</v>
      </c>
      <c r="D3829" t="inlineStr">
        <is>
          <t>Bluegum Plan Management</t>
        </is>
      </c>
      <c r="E3829" t="inlineStr">
        <is>
          <t>INV/2026/03095</t>
        </is>
      </c>
      <c r="F3829" t="inlineStr">
        <is>
          <t>Customer payment INV/2026/03095</t>
        </is>
      </c>
      <c r="G3829" s="9" t="n">
        <v>290.98</v>
      </c>
      <c r="H3829" t="inlineStr">
        <is>
          <t>customer_payment</t>
        </is>
      </c>
      <c r="I3829" t="inlineStr"/>
      <c r="J3829" t="inlineStr">
        <is>
          <t>G00449</t>
        </is>
      </c>
      <c r="K3829" t="str">
        <f>INDEX('Match Groups'!$D$5:$D$1326,MATCH(J3829,'Match Groups'!$A$5:$A$1326,0))</f>
        <v>MATCH</v>
      </c>
    </row>
    <row r="3830">
      <c r="A3830" t="inlineStr">
        <is>
          <t>JI-01406</t>
        </is>
      </c>
      <c r="B3830" t="inlineStr">
        <is>
          <t>OPS</t>
        </is>
      </c>
      <c r="C3830" s="5" t="n">
        <v>46283</v>
      </c>
      <c r="D3830" t="inlineStr">
        <is>
          <t>Bluegum Plan Management</t>
        </is>
      </c>
      <c r="E3830" t="inlineStr">
        <is>
          <t>INV/2026/03096</t>
        </is>
      </c>
      <c r="F3830" t="inlineStr">
        <is>
          <t>Customer payment INV/2026/03096</t>
        </is>
      </c>
      <c r="G3830" s="9" t="n">
        <v>252.19</v>
      </c>
      <c r="H3830" t="inlineStr">
        <is>
          <t>customer_payment</t>
        </is>
      </c>
      <c r="I3830" t="inlineStr"/>
      <c r="J3830" t="inlineStr">
        <is>
          <t>G00449</t>
        </is>
      </c>
      <c r="K3830" t="str">
        <f>INDEX('Match Groups'!$D$5:$D$1326,MATCH(J3830,'Match Groups'!$A$5:$A$1326,0))</f>
        <v>MATCH</v>
      </c>
    </row>
    <row r="3831">
      <c r="A3831" t="inlineStr">
        <is>
          <t>JI-01407</t>
        </is>
      </c>
      <c r="B3831" t="inlineStr">
        <is>
          <t>OPS</t>
        </is>
      </c>
      <c r="C3831" s="5" t="n">
        <v>46283</v>
      </c>
      <c r="D3831" t="inlineStr">
        <is>
          <t>Riverbend Plan Partners</t>
        </is>
      </c>
      <c r="E3831" t="inlineStr">
        <is>
          <t>INV/2026/03152</t>
        </is>
      </c>
      <c r="F3831" t="inlineStr">
        <is>
          <t>Customer payment INV/2026/03152</t>
        </is>
      </c>
      <c r="G3831" s="9" t="n">
        <v>193.99</v>
      </c>
      <c r="H3831" t="inlineStr">
        <is>
          <t>customer_payment</t>
        </is>
      </c>
      <c r="I3831" t="inlineStr"/>
      <c r="J3831" t="inlineStr">
        <is>
          <t>G00450</t>
        </is>
      </c>
      <c r="K3831" t="str">
        <f>INDEX('Match Groups'!$D$5:$D$1326,MATCH(J3831,'Match Groups'!$A$5:$A$1326,0))</f>
        <v>MATCH</v>
      </c>
    </row>
    <row r="3832">
      <c r="A3832" t="inlineStr">
        <is>
          <t>JI-01408</t>
        </is>
      </c>
      <c r="B3832" t="inlineStr">
        <is>
          <t>OPS</t>
        </is>
      </c>
      <c r="C3832" s="5" t="n">
        <v>46283</v>
      </c>
      <c r="D3832" t="inlineStr">
        <is>
          <t>Ironbark Plan Management</t>
        </is>
      </c>
      <c r="E3832" t="inlineStr">
        <is>
          <t>INV/2026/03021</t>
        </is>
      </c>
      <c r="F3832" t="inlineStr">
        <is>
          <t>Customer payment INV/2026/03021</t>
        </is>
      </c>
      <c r="G3832" s="9" t="n">
        <v>145.49</v>
      </c>
      <c r="H3832" t="inlineStr">
        <is>
          <t>customer_payment</t>
        </is>
      </c>
      <c r="I3832" t="inlineStr"/>
      <c r="J3832" t="inlineStr">
        <is>
          <t>G00453</t>
        </is>
      </c>
      <c r="K3832" t="str">
        <f>INDEX('Match Groups'!$D$5:$D$1326,MATCH(J3832,'Match Groups'!$A$5:$A$1326,0))</f>
        <v>MATCH</v>
      </c>
    </row>
    <row r="3833">
      <c r="A3833" t="inlineStr">
        <is>
          <t>JI-01409</t>
        </is>
      </c>
      <c r="B3833" t="inlineStr">
        <is>
          <t>OPS</t>
        </is>
      </c>
      <c r="C3833" s="5" t="n">
        <v>46283</v>
      </c>
      <c r="D3833" t="inlineStr">
        <is>
          <t>Ironbark Plan Management</t>
        </is>
      </c>
      <c r="E3833" t="inlineStr">
        <is>
          <t>INV/2026/03022</t>
        </is>
      </c>
      <c r="F3833" t="inlineStr">
        <is>
          <t>Customer payment INV/2026/03022</t>
        </is>
      </c>
      <c r="G3833" s="9" t="n">
        <v>145.49</v>
      </c>
      <c r="H3833" t="inlineStr">
        <is>
          <t>customer_payment</t>
        </is>
      </c>
      <c r="I3833" t="inlineStr"/>
      <c r="J3833" t="inlineStr">
        <is>
          <t>G00453</t>
        </is>
      </c>
      <c r="K3833" t="str">
        <f>INDEX('Match Groups'!$D$5:$D$1326,MATCH(J3833,'Match Groups'!$A$5:$A$1326,0))</f>
        <v>MATCH</v>
      </c>
    </row>
    <row r="3834">
      <c r="A3834" t="inlineStr">
        <is>
          <t>JI-01410</t>
        </is>
      </c>
      <c r="B3834" t="inlineStr">
        <is>
          <t>OPS</t>
        </is>
      </c>
      <c r="C3834" s="5" t="n">
        <v>46283</v>
      </c>
      <c r="D3834" t="inlineStr">
        <is>
          <t>Saltbush Plan Managers</t>
        </is>
      </c>
      <c r="E3834" t="inlineStr">
        <is>
          <t>INV/2026/03083</t>
        </is>
      </c>
      <c r="F3834" t="inlineStr">
        <is>
          <t>Customer payment INV/2026/03083</t>
        </is>
      </c>
      <c r="G3834" s="9" t="n">
        <v>242.49</v>
      </c>
      <c r="H3834" t="inlineStr">
        <is>
          <t>customer_payment</t>
        </is>
      </c>
      <c r="I3834" t="inlineStr"/>
      <c r="J3834" t="inlineStr">
        <is>
          <t>G00454</t>
        </is>
      </c>
      <c r="K3834" t="str">
        <f>INDEX('Match Groups'!$D$5:$D$1326,MATCH(J3834,'Match Groups'!$A$5:$A$1326,0))</f>
        <v>MATCH</v>
      </c>
    </row>
    <row r="3835">
      <c r="A3835" t="inlineStr">
        <is>
          <t>JI-01411</t>
        </is>
      </c>
      <c r="B3835" t="inlineStr">
        <is>
          <t>OPS</t>
        </is>
      </c>
      <c r="C3835" s="5" t="n">
        <v>46283</v>
      </c>
      <c r="D3835" t="inlineStr">
        <is>
          <t>Redgum Plan Admin</t>
        </is>
      </c>
      <c r="E3835" t="inlineStr">
        <is>
          <t>INV/2026/03065</t>
        </is>
      </c>
      <c r="F3835" t="inlineStr">
        <is>
          <t>Customer payment INV/2026/03065</t>
        </is>
      </c>
      <c r="G3835" s="9" t="n">
        <v>203.69</v>
      </c>
      <c r="H3835" t="inlineStr">
        <is>
          <t>customer_payment</t>
        </is>
      </c>
      <c r="I3835" t="inlineStr"/>
      <c r="J3835" t="inlineStr">
        <is>
          <t>G00455</t>
        </is>
      </c>
      <c r="K3835" t="str">
        <f>INDEX('Match Groups'!$D$5:$D$1326,MATCH(J3835,'Match Groups'!$A$5:$A$1326,0))</f>
        <v>MATCH</v>
      </c>
    </row>
    <row r="3836">
      <c r="A3836" t="inlineStr">
        <is>
          <t>JI-01412</t>
        </is>
      </c>
      <c r="B3836" t="inlineStr">
        <is>
          <t>OPS</t>
        </is>
      </c>
      <c r="C3836" s="5" t="n">
        <v>46283</v>
      </c>
      <c r="D3836" t="inlineStr">
        <is>
          <t>Redgum Plan Admin</t>
        </is>
      </c>
      <c r="E3836" t="inlineStr">
        <is>
          <t>INV/2026/03108</t>
        </is>
      </c>
      <c r="F3836" t="inlineStr">
        <is>
          <t>Customer payment INV/2026/03108</t>
        </is>
      </c>
      <c r="G3836" s="9" t="n">
        <v>290.98</v>
      </c>
      <c r="H3836" t="inlineStr">
        <is>
          <t>customer_payment</t>
        </is>
      </c>
      <c r="I3836" t="inlineStr"/>
      <c r="J3836" t="inlineStr">
        <is>
          <t>G00455</t>
        </is>
      </c>
      <c r="K3836" t="str">
        <f>INDEX('Match Groups'!$D$5:$D$1326,MATCH(J3836,'Match Groups'!$A$5:$A$1326,0))</f>
        <v>MATCH</v>
      </c>
    </row>
    <row r="3837">
      <c r="A3837" t="inlineStr">
        <is>
          <t>JI-01413</t>
        </is>
      </c>
      <c r="B3837" t="inlineStr">
        <is>
          <t>OPS</t>
        </is>
      </c>
      <c r="C3837" s="5" t="n">
        <v>46283</v>
      </c>
      <c r="D3837" t="inlineStr">
        <is>
          <t>Lyrebird Plan Management</t>
        </is>
      </c>
      <c r="E3837" t="inlineStr">
        <is>
          <t>INV/2026/03112</t>
        </is>
      </c>
      <c r="F3837" t="inlineStr">
        <is>
          <t>Customer payment INV/2026/03112</t>
        </is>
      </c>
      <c r="G3837" s="9" t="n">
        <v>446.18</v>
      </c>
      <c r="H3837" t="inlineStr">
        <is>
          <t>customer_payment</t>
        </is>
      </c>
      <c r="I3837" t="inlineStr"/>
      <c r="J3837" t="inlineStr">
        <is>
          <t>G00456</t>
        </is>
      </c>
      <c r="K3837" t="str">
        <f>INDEX('Match Groups'!$D$5:$D$1326,MATCH(J3837,'Match Groups'!$A$5:$A$1326,0))</f>
        <v>MATCH</v>
      </c>
    </row>
    <row r="3838">
      <c r="A3838" t="inlineStr">
        <is>
          <t>JI-01585</t>
        </is>
      </c>
      <c r="B3838" t="inlineStr">
        <is>
          <t>OPS</t>
        </is>
      </c>
      <c r="C3838" s="5" t="n">
        <v>46283</v>
      </c>
      <c r="D3838" t="inlineStr">
        <is>
          <t>Unity Workcover Agents</t>
        </is>
      </c>
      <c r="E3838" t="inlineStr">
        <is>
          <t>INV/2026/02902</t>
        </is>
      </c>
      <c r="F3838" t="inlineStr">
        <is>
          <t>Customer payment INV/2026/02902</t>
        </is>
      </c>
      <c r="G3838" s="9" t="n">
        <v>132</v>
      </c>
      <c r="H3838" t="inlineStr">
        <is>
          <t>customer_payment</t>
        </is>
      </c>
      <c r="I3838" t="inlineStr"/>
      <c r="J3838" t="inlineStr">
        <is>
          <t>G01075</t>
        </is>
      </c>
      <c r="K3838" t="str">
        <f>INDEX('Match Groups'!$D$5:$D$1326,MATCH(J3838,'Match Groups'!$A$5:$A$1326,0))</f>
        <v>MATCH</v>
      </c>
    </row>
    <row r="3839">
      <c r="A3839" t="inlineStr">
        <is>
          <t>JI-01697</t>
        </is>
      </c>
      <c r="B3839" t="inlineStr">
        <is>
          <t>OPS</t>
        </is>
      </c>
      <c r="C3839" s="5" t="n">
        <v>46283</v>
      </c>
      <c r="D3839" t="inlineStr">
        <is>
          <t>Arden Vale Schools</t>
        </is>
      </c>
      <c r="E3839" t="inlineStr">
        <is>
          <t>INV/2026/03432</t>
        </is>
      </c>
      <c r="F3839" t="inlineStr">
        <is>
          <t>Customer payment INV/2026/03432</t>
        </is>
      </c>
      <c r="G3839" s="9" t="n">
        <v>3616.25</v>
      </c>
      <c r="H3839" t="inlineStr">
        <is>
          <t>customer_payment</t>
        </is>
      </c>
      <c r="I3839" t="inlineStr"/>
      <c r="J3839" t="inlineStr">
        <is>
          <t>G01162</t>
        </is>
      </c>
      <c r="K3839" t="str">
        <f>INDEX('Match Groups'!$D$5:$D$1326,MATCH(J3839,'Match Groups'!$A$5:$A$1326,0))</f>
        <v>MATCH</v>
      </c>
    </row>
    <row r="3840">
      <c r="A3840" t="inlineStr">
        <is>
          <t>JI-01698</t>
        </is>
      </c>
      <c r="B3840" t="inlineStr">
        <is>
          <t>OPS</t>
        </is>
      </c>
      <c r="C3840" s="5" t="n">
        <v>46283</v>
      </c>
      <c r="D3840" t="inlineStr">
        <is>
          <t>Arden Vale Schools</t>
        </is>
      </c>
      <c r="E3840" t="inlineStr">
        <is>
          <t>INV/2026/03484</t>
        </is>
      </c>
      <c r="F3840" t="inlineStr">
        <is>
          <t>Customer payment INV/2026/03484</t>
        </is>
      </c>
      <c r="G3840" s="9" t="n">
        <v>16032.5</v>
      </c>
      <c r="H3840" t="inlineStr">
        <is>
          <t>customer_payment</t>
        </is>
      </c>
      <c r="I3840" t="inlineStr"/>
      <c r="J3840" t="inlineStr">
        <is>
          <t>G01162</t>
        </is>
      </c>
      <c r="K3840" t="str">
        <f>INDEX('Match Groups'!$D$5:$D$1326,MATCH(J3840,'Match Groups'!$A$5:$A$1326,0))</f>
        <v>MATCH</v>
      </c>
    </row>
    <row r="3841">
      <c r="A3841" t="inlineStr">
        <is>
          <t>JI-01699</t>
        </is>
      </c>
      <c r="B3841" t="inlineStr">
        <is>
          <t>OPS</t>
        </is>
      </c>
      <c r="C3841" s="5" t="n">
        <v>46283</v>
      </c>
      <c r="D3841" t="inlineStr">
        <is>
          <t>Arden Vale Schools</t>
        </is>
      </c>
      <c r="E3841" t="inlineStr">
        <is>
          <t>INV/2026/03537</t>
        </is>
      </c>
      <c r="F3841" t="inlineStr">
        <is>
          <t>Customer payment INV/2026/03537</t>
        </is>
      </c>
      <c r="G3841" s="9" t="n">
        <v>15950</v>
      </c>
      <c r="H3841" t="inlineStr">
        <is>
          <t>customer_payment</t>
        </is>
      </c>
      <c r="I3841" t="inlineStr"/>
      <c r="J3841" t="inlineStr">
        <is>
          <t>G01162</t>
        </is>
      </c>
      <c r="K3841" t="str">
        <f>INDEX('Match Groups'!$D$5:$D$1326,MATCH(J3841,'Match Groups'!$A$5:$A$1326,0))</f>
        <v>MATCH</v>
      </c>
    </row>
    <row r="3842">
      <c r="A3842" t="inlineStr">
        <is>
          <t>JI-03437</t>
        </is>
      </c>
      <c r="B3842" t="inlineStr">
        <is>
          <t>OPS</t>
        </is>
      </c>
      <c r="C3842" s="5" t="n">
        <v>46283</v>
      </c>
      <c r="D3842" t="inlineStr">
        <is>
          <t>Stripe patient 76550</t>
        </is>
      </c>
      <c r="E3842" t="inlineStr">
        <is>
          <t>INV/2026/05278</t>
        </is>
      </c>
      <c r="F3842" t="inlineStr">
        <is>
          <t>Customer payment INV/2026/05278</t>
        </is>
      </c>
      <c r="G3842" s="9" t="n">
        <v>110</v>
      </c>
      <c r="H3842" t="inlineStr">
        <is>
          <t>customer_payment</t>
        </is>
      </c>
      <c r="I3842" t="inlineStr"/>
      <c r="J3842" t="inlineStr">
        <is>
          <t>G00073</t>
        </is>
      </c>
      <c r="K3842" t="str">
        <f>INDEX('Match Groups'!$D$5:$D$1326,MATCH(J3842,'Match Groups'!$A$5:$A$1326,0))</f>
        <v>STRIPE-FEE</v>
      </c>
    </row>
    <row r="3843">
      <c r="A3843" t="inlineStr">
        <is>
          <t>JI-03438</t>
        </is>
      </c>
      <c r="B3843" t="inlineStr">
        <is>
          <t>OPS</t>
        </is>
      </c>
      <c r="C3843" s="5" t="n">
        <v>46283</v>
      </c>
      <c r="D3843" t="inlineStr">
        <is>
          <t>Stripe patient 63920</t>
        </is>
      </c>
      <c r="E3843" t="inlineStr">
        <is>
          <t>INV/2026/05279</t>
        </is>
      </c>
      <c r="F3843" t="inlineStr">
        <is>
          <t>Customer payment INV/2026/05279</t>
        </is>
      </c>
      <c r="G3843" s="9" t="n">
        <v>95</v>
      </c>
      <c r="H3843" t="inlineStr">
        <is>
          <t>customer_payment</t>
        </is>
      </c>
      <c r="I3843" t="inlineStr"/>
      <c r="J3843" t="inlineStr">
        <is>
          <t>G00073</t>
        </is>
      </c>
      <c r="K3843" t="str">
        <f>INDEX('Match Groups'!$D$5:$D$1326,MATCH(J3843,'Match Groups'!$A$5:$A$1326,0))</f>
        <v>STRIPE-FEE</v>
      </c>
    </row>
    <row r="3844">
      <c r="A3844" t="inlineStr">
        <is>
          <t>JI-03439</t>
        </is>
      </c>
      <c r="B3844" t="inlineStr">
        <is>
          <t>OPS</t>
        </is>
      </c>
      <c r="C3844" s="5" t="n">
        <v>46283</v>
      </c>
      <c r="D3844" t="inlineStr">
        <is>
          <t>Stripe patient 86782</t>
        </is>
      </c>
      <c r="E3844" t="inlineStr">
        <is>
          <t>INV/2026/05280</t>
        </is>
      </c>
      <c r="F3844" t="inlineStr">
        <is>
          <t>Customer payment INV/2026/05280</t>
        </is>
      </c>
      <c r="G3844" s="9" t="n">
        <v>85</v>
      </c>
      <c r="H3844" t="inlineStr">
        <is>
          <t>customer_payment</t>
        </is>
      </c>
      <c r="I3844" t="inlineStr"/>
      <c r="J3844" t="inlineStr">
        <is>
          <t>G00073</t>
        </is>
      </c>
      <c r="K3844" t="str">
        <f>INDEX('Match Groups'!$D$5:$D$1326,MATCH(J3844,'Match Groups'!$A$5:$A$1326,0))</f>
        <v>STRIPE-FEE</v>
      </c>
    </row>
    <row r="3845">
      <c r="A3845" t="inlineStr">
        <is>
          <t>JI-03440</t>
        </is>
      </c>
      <c r="B3845" t="inlineStr">
        <is>
          <t>OPS</t>
        </is>
      </c>
      <c r="C3845" s="5" t="n">
        <v>46283</v>
      </c>
      <c r="D3845" t="inlineStr">
        <is>
          <t>Stripe patient 59342</t>
        </is>
      </c>
      <c r="E3845" t="inlineStr">
        <is>
          <t>INV/2026/05281</t>
        </is>
      </c>
      <c r="F3845" t="inlineStr">
        <is>
          <t>Customer payment INV/2026/05281</t>
        </is>
      </c>
      <c r="G3845" s="9" t="n">
        <v>135</v>
      </c>
      <c r="H3845" t="inlineStr">
        <is>
          <t>customer_payment</t>
        </is>
      </c>
      <c r="I3845" t="inlineStr"/>
      <c r="J3845" t="inlineStr">
        <is>
          <t>G00073</t>
        </is>
      </c>
      <c r="K3845" t="str">
        <f>INDEX('Match Groups'!$D$5:$D$1326,MATCH(J3845,'Match Groups'!$A$5:$A$1326,0))</f>
        <v>STRIPE-FEE</v>
      </c>
    </row>
    <row r="3846">
      <c r="A3846" t="inlineStr">
        <is>
          <t>JI-03441</t>
        </is>
      </c>
      <c r="B3846" t="inlineStr">
        <is>
          <t>OPS</t>
        </is>
      </c>
      <c r="C3846" s="5" t="n">
        <v>46283</v>
      </c>
      <c r="D3846" t="inlineStr">
        <is>
          <t>Stripe patient 25785</t>
        </is>
      </c>
      <c r="E3846" t="inlineStr">
        <is>
          <t>INV/2026/05282</t>
        </is>
      </c>
      <c r="F3846" t="inlineStr">
        <is>
          <t>Customer payment INV/2026/05282</t>
        </is>
      </c>
      <c r="G3846" s="9" t="n">
        <v>150</v>
      </c>
      <c r="H3846" t="inlineStr">
        <is>
          <t>customer_payment</t>
        </is>
      </c>
      <c r="I3846" t="inlineStr"/>
      <c r="J3846" t="inlineStr">
        <is>
          <t>G00073</t>
        </is>
      </c>
      <c r="K3846" t="str">
        <f>INDEX('Match Groups'!$D$5:$D$1326,MATCH(J3846,'Match Groups'!$A$5:$A$1326,0))</f>
        <v>STRIPE-FEE</v>
      </c>
    </row>
    <row r="3847">
      <c r="A3847" t="inlineStr">
        <is>
          <t>JI-03442</t>
        </is>
      </c>
      <c r="B3847" t="inlineStr">
        <is>
          <t>OPS</t>
        </is>
      </c>
      <c r="C3847" s="5" t="n">
        <v>46283</v>
      </c>
      <c r="D3847" t="inlineStr">
        <is>
          <t>Stripe patient 10227</t>
        </is>
      </c>
      <c r="E3847" t="inlineStr">
        <is>
          <t>INV/2026/05283</t>
        </is>
      </c>
      <c r="F3847" t="inlineStr">
        <is>
          <t>Customer payment INV/2026/05283</t>
        </is>
      </c>
      <c r="G3847" s="9" t="n">
        <v>85</v>
      </c>
      <c r="H3847" t="inlineStr">
        <is>
          <t>customer_payment</t>
        </is>
      </c>
      <c r="I3847" t="inlineStr"/>
      <c r="J3847" t="inlineStr">
        <is>
          <t>G00073</t>
        </is>
      </c>
      <c r="K3847" t="str">
        <f>INDEX('Match Groups'!$D$5:$D$1326,MATCH(J3847,'Match Groups'!$A$5:$A$1326,0))</f>
        <v>STRIPE-FEE</v>
      </c>
    </row>
    <row r="3848">
      <c r="A3848" t="inlineStr">
        <is>
          <t>JI-03443</t>
        </is>
      </c>
      <c r="B3848" t="inlineStr">
        <is>
          <t>OPS</t>
        </is>
      </c>
      <c r="C3848" s="5" t="n">
        <v>46283</v>
      </c>
      <c r="D3848" t="inlineStr">
        <is>
          <t>Stripe patient 97058</t>
        </is>
      </c>
      <c r="E3848" t="inlineStr">
        <is>
          <t>INV/2026/05284</t>
        </is>
      </c>
      <c r="F3848" t="inlineStr">
        <is>
          <t>Customer payment INV/2026/05284</t>
        </is>
      </c>
      <c r="G3848" s="9" t="n">
        <v>150</v>
      </c>
      <c r="H3848" t="inlineStr">
        <is>
          <t>customer_payment</t>
        </is>
      </c>
      <c r="I3848" t="inlineStr"/>
      <c r="J3848" t="inlineStr">
        <is>
          <t>G00073</t>
        </is>
      </c>
      <c r="K3848" t="str">
        <f>INDEX('Match Groups'!$D$5:$D$1326,MATCH(J3848,'Match Groups'!$A$5:$A$1326,0))</f>
        <v>STRIPE-FEE</v>
      </c>
    </row>
    <row r="3849">
      <c r="A3849" t="inlineStr">
        <is>
          <t>JI-03444</t>
        </is>
      </c>
      <c r="B3849" t="inlineStr">
        <is>
          <t>OPS</t>
        </is>
      </c>
      <c r="C3849" s="5" t="n">
        <v>46283</v>
      </c>
      <c r="D3849" t="inlineStr">
        <is>
          <t>Stripe patient 97226</t>
        </is>
      </c>
      <c r="E3849" t="inlineStr">
        <is>
          <t>INV/2026/05285</t>
        </is>
      </c>
      <c r="F3849" t="inlineStr">
        <is>
          <t>Customer payment INV/2026/05285</t>
        </is>
      </c>
      <c r="G3849" s="9" t="n">
        <v>120</v>
      </c>
      <c r="H3849" t="inlineStr">
        <is>
          <t>customer_payment</t>
        </is>
      </c>
      <c r="I3849" t="inlineStr"/>
      <c r="J3849" t="inlineStr">
        <is>
          <t>G00073</t>
        </is>
      </c>
      <c r="K3849" t="str">
        <f>INDEX('Match Groups'!$D$5:$D$1326,MATCH(J3849,'Match Groups'!$A$5:$A$1326,0))</f>
        <v>STRIPE-FEE</v>
      </c>
    </row>
    <row r="3850">
      <c r="A3850" t="inlineStr">
        <is>
          <t>JI-03445</t>
        </is>
      </c>
      <c r="B3850" t="inlineStr">
        <is>
          <t>OPS</t>
        </is>
      </c>
      <c r="C3850" s="5" t="n">
        <v>46283</v>
      </c>
      <c r="D3850" t="inlineStr">
        <is>
          <t>Stripe patient 46278</t>
        </is>
      </c>
      <c r="E3850" t="inlineStr">
        <is>
          <t>INV/2026/05286</t>
        </is>
      </c>
      <c r="F3850" t="inlineStr">
        <is>
          <t>Customer payment INV/2026/05286</t>
        </is>
      </c>
      <c r="G3850" s="9" t="n">
        <v>180</v>
      </c>
      <c r="H3850" t="inlineStr">
        <is>
          <t>customer_payment</t>
        </is>
      </c>
      <c r="I3850" t="inlineStr"/>
      <c r="J3850" t="inlineStr">
        <is>
          <t>G00073</t>
        </is>
      </c>
      <c r="K3850" t="str">
        <f>INDEX('Match Groups'!$D$5:$D$1326,MATCH(J3850,'Match Groups'!$A$5:$A$1326,0))</f>
        <v>STRIPE-FEE</v>
      </c>
    </row>
    <row r="3851">
      <c r="A3851" t="inlineStr">
        <is>
          <t>JI-03446</t>
        </is>
      </c>
      <c r="B3851" t="inlineStr">
        <is>
          <t>OPS</t>
        </is>
      </c>
      <c r="C3851" s="5" t="n">
        <v>46283</v>
      </c>
      <c r="D3851" t="inlineStr">
        <is>
          <t>Stripe patient 33760</t>
        </is>
      </c>
      <c r="E3851" t="inlineStr">
        <is>
          <t>INV/2026/05287</t>
        </is>
      </c>
      <c r="F3851" t="inlineStr">
        <is>
          <t>Customer payment INV/2026/05287</t>
        </is>
      </c>
      <c r="G3851" s="9" t="n">
        <v>95</v>
      </c>
      <c r="H3851" t="inlineStr">
        <is>
          <t>customer_payment</t>
        </is>
      </c>
      <c r="I3851" t="inlineStr"/>
      <c r="J3851" t="inlineStr">
        <is>
          <t>G00073</t>
        </is>
      </c>
      <c r="K3851" t="str">
        <f>INDEX('Match Groups'!$D$5:$D$1326,MATCH(J3851,'Match Groups'!$A$5:$A$1326,0))</f>
        <v>STRIPE-FEE</v>
      </c>
    </row>
    <row r="3852">
      <c r="A3852" t="inlineStr">
        <is>
          <t>JI-03447</t>
        </is>
      </c>
      <c r="B3852" t="inlineStr">
        <is>
          <t>OPS</t>
        </is>
      </c>
      <c r="C3852" s="5" t="n">
        <v>46283</v>
      </c>
      <c r="D3852" t="inlineStr">
        <is>
          <t>Stripe patient 87951</t>
        </is>
      </c>
      <c r="E3852" t="inlineStr">
        <is>
          <t>INV/2026/05288</t>
        </is>
      </c>
      <c r="F3852" t="inlineStr">
        <is>
          <t>Customer payment INV/2026/05288</t>
        </is>
      </c>
      <c r="G3852" s="9" t="n">
        <v>85</v>
      </c>
      <c r="H3852" t="inlineStr">
        <is>
          <t>customer_payment</t>
        </is>
      </c>
      <c r="I3852" t="inlineStr"/>
      <c r="J3852" t="inlineStr">
        <is>
          <t>G00073</t>
        </is>
      </c>
      <c r="K3852" t="str">
        <f>INDEX('Match Groups'!$D$5:$D$1326,MATCH(J3852,'Match Groups'!$A$5:$A$1326,0))</f>
        <v>STRIPE-FEE</v>
      </c>
    </row>
    <row r="3853">
      <c r="A3853" t="inlineStr">
        <is>
          <t>JI-03448</t>
        </is>
      </c>
      <c r="B3853" t="inlineStr">
        <is>
          <t>OPS</t>
        </is>
      </c>
      <c r="C3853" s="5" t="n">
        <v>46283</v>
      </c>
      <c r="D3853" t="inlineStr">
        <is>
          <t>Stripe patient 76651</t>
        </is>
      </c>
      <c r="E3853" t="inlineStr">
        <is>
          <t>INV/2026/05289</t>
        </is>
      </c>
      <c r="F3853" t="inlineStr">
        <is>
          <t>Customer payment INV/2026/05289</t>
        </is>
      </c>
      <c r="G3853" s="9" t="n">
        <v>95</v>
      </c>
      <c r="H3853" t="inlineStr">
        <is>
          <t>customer_payment</t>
        </is>
      </c>
      <c r="I3853" t="inlineStr"/>
      <c r="J3853" t="inlineStr">
        <is>
          <t>G00073</t>
        </is>
      </c>
      <c r="K3853" t="str">
        <f>INDEX('Match Groups'!$D$5:$D$1326,MATCH(J3853,'Match Groups'!$A$5:$A$1326,0))</f>
        <v>STRIPE-FEE</v>
      </c>
    </row>
    <row r="3854">
      <c r="A3854" t="inlineStr">
        <is>
          <t>JI-03449</t>
        </is>
      </c>
      <c r="B3854" t="inlineStr">
        <is>
          <t>OPS</t>
        </is>
      </c>
      <c r="C3854" s="5" t="n">
        <v>46283</v>
      </c>
      <c r="D3854" t="inlineStr">
        <is>
          <t>Stripe patient 30230</t>
        </is>
      </c>
      <c r="E3854" t="inlineStr">
        <is>
          <t>INV/2026/05290</t>
        </is>
      </c>
      <c r="F3854" t="inlineStr">
        <is>
          <t>Customer payment INV/2026/05290</t>
        </is>
      </c>
      <c r="G3854" s="9" t="n">
        <v>110</v>
      </c>
      <c r="H3854" t="inlineStr">
        <is>
          <t>customer_payment</t>
        </is>
      </c>
      <c r="I3854" t="inlineStr"/>
      <c r="J3854" t="inlineStr">
        <is>
          <t>G00073</t>
        </is>
      </c>
      <c r="K3854" t="str">
        <f>INDEX('Match Groups'!$D$5:$D$1326,MATCH(J3854,'Match Groups'!$A$5:$A$1326,0))</f>
        <v>STRIPE-FEE</v>
      </c>
    </row>
    <row r="3855">
      <c r="A3855" t="inlineStr">
        <is>
          <t>JI-03450</t>
        </is>
      </c>
      <c r="B3855" t="inlineStr">
        <is>
          <t>OPS</t>
        </is>
      </c>
      <c r="C3855" s="5" t="n">
        <v>46283</v>
      </c>
      <c r="D3855" t="inlineStr">
        <is>
          <t>Stripe patient 85632</t>
        </is>
      </c>
      <c r="E3855" t="inlineStr">
        <is>
          <t>INV/2026/05291</t>
        </is>
      </c>
      <c r="F3855" t="inlineStr">
        <is>
          <t>Customer payment INV/2026/05291</t>
        </is>
      </c>
      <c r="G3855" s="9" t="n">
        <v>110</v>
      </c>
      <c r="H3855" t="inlineStr">
        <is>
          <t>customer_payment</t>
        </is>
      </c>
      <c r="I3855" t="inlineStr"/>
      <c r="J3855" t="inlineStr">
        <is>
          <t>G00073</t>
        </is>
      </c>
      <c r="K3855" t="str">
        <f>INDEX('Match Groups'!$D$5:$D$1326,MATCH(J3855,'Match Groups'!$A$5:$A$1326,0))</f>
        <v>STRIPE-FEE</v>
      </c>
    </row>
    <row r="3856">
      <c r="A3856" t="inlineStr">
        <is>
          <t>JI-03451</t>
        </is>
      </c>
      <c r="B3856" t="inlineStr">
        <is>
          <t>OPS</t>
        </is>
      </c>
      <c r="C3856" s="5" t="n">
        <v>46283</v>
      </c>
      <c r="D3856" t="inlineStr">
        <is>
          <t>Stripe patient 81088</t>
        </is>
      </c>
      <c r="E3856" t="inlineStr">
        <is>
          <t>INV/2026/05292</t>
        </is>
      </c>
      <c r="F3856" t="inlineStr">
        <is>
          <t>Customer payment INV/2026/05292</t>
        </is>
      </c>
      <c r="G3856" s="9" t="n">
        <v>180</v>
      </c>
      <c r="H3856" t="inlineStr">
        <is>
          <t>customer_payment</t>
        </is>
      </c>
      <c r="I3856" t="inlineStr"/>
      <c r="J3856" t="inlineStr">
        <is>
          <t>G00073</t>
        </is>
      </c>
      <c r="K3856" t="str">
        <f>INDEX('Match Groups'!$D$5:$D$1326,MATCH(J3856,'Match Groups'!$A$5:$A$1326,0))</f>
        <v>STRIPE-FEE</v>
      </c>
    </row>
    <row r="3857">
      <c r="A3857" t="inlineStr">
        <is>
          <t>JI-03452</t>
        </is>
      </c>
      <c r="B3857" t="inlineStr">
        <is>
          <t>OPS</t>
        </is>
      </c>
      <c r="C3857" s="5" t="n">
        <v>46283</v>
      </c>
      <c r="D3857" t="inlineStr">
        <is>
          <t>Stripe patient 23023</t>
        </is>
      </c>
      <c r="E3857" t="inlineStr">
        <is>
          <t>INV/2026/05293</t>
        </is>
      </c>
      <c r="F3857" t="inlineStr">
        <is>
          <t>Customer payment INV/2026/05293</t>
        </is>
      </c>
      <c r="G3857" s="9" t="n">
        <v>135</v>
      </c>
      <c r="H3857" t="inlineStr">
        <is>
          <t>customer_payment</t>
        </is>
      </c>
      <c r="I3857" t="inlineStr"/>
      <c r="J3857" t="inlineStr">
        <is>
          <t>G00073</t>
        </is>
      </c>
      <c r="K3857" t="str">
        <f>INDEX('Match Groups'!$D$5:$D$1326,MATCH(J3857,'Match Groups'!$A$5:$A$1326,0))</f>
        <v>STRIPE-FEE</v>
      </c>
    </row>
    <row r="3858">
      <c r="A3858" t="inlineStr">
        <is>
          <t>JI-03453</t>
        </is>
      </c>
      <c r="B3858" t="inlineStr">
        <is>
          <t>OPS</t>
        </is>
      </c>
      <c r="C3858" s="5" t="n">
        <v>46283</v>
      </c>
      <c r="D3858" t="inlineStr">
        <is>
          <t>Stripe patient 46985</t>
        </is>
      </c>
      <c r="E3858" t="inlineStr">
        <is>
          <t>INV/2026/05294</t>
        </is>
      </c>
      <c r="F3858" t="inlineStr">
        <is>
          <t>Customer payment INV/2026/05294</t>
        </is>
      </c>
      <c r="G3858" s="9" t="n">
        <v>65</v>
      </c>
      <c r="H3858" t="inlineStr">
        <is>
          <t>customer_payment</t>
        </is>
      </c>
      <c r="I3858" t="inlineStr"/>
      <c r="J3858" t="inlineStr">
        <is>
          <t>G00073</t>
        </is>
      </c>
      <c r="K3858" t="str">
        <f>INDEX('Match Groups'!$D$5:$D$1326,MATCH(J3858,'Match Groups'!$A$5:$A$1326,0))</f>
        <v>STRIPE-FEE</v>
      </c>
    </row>
    <row r="3859">
      <c r="A3859" t="inlineStr">
        <is>
          <t>JI-03454</t>
        </is>
      </c>
      <c r="B3859" t="inlineStr">
        <is>
          <t>OPS</t>
        </is>
      </c>
      <c r="C3859" s="5" t="n">
        <v>46283</v>
      </c>
      <c r="D3859" t="inlineStr">
        <is>
          <t>Stripe patient 11491</t>
        </is>
      </c>
      <c r="E3859" t="inlineStr">
        <is>
          <t>INV/2026/05295</t>
        </is>
      </c>
      <c r="F3859" t="inlineStr">
        <is>
          <t>Customer payment INV/2026/05295</t>
        </is>
      </c>
      <c r="G3859" s="9" t="n">
        <v>135</v>
      </c>
      <c r="H3859" t="inlineStr">
        <is>
          <t>customer_payment</t>
        </is>
      </c>
      <c r="I3859" t="inlineStr"/>
      <c r="J3859" t="inlineStr">
        <is>
          <t>G00073</t>
        </is>
      </c>
      <c r="K3859" t="str">
        <f>INDEX('Match Groups'!$D$5:$D$1326,MATCH(J3859,'Match Groups'!$A$5:$A$1326,0))</f>
        <v>STRIPE-FEE</v>
      </c>
    </row>
    <row r="3860">
      <c r="A3860" t="inlineStr">
        <is>
          <t>JI-03455</t>
        </is>
      </c>
      <c r="B3860" t="inlineStr">
        <is>
          <t>OPS</t>
        </is>
      </c>
      <c r="C3860" s="5" t="n">
        <v>46283</v>
      </c>
      <c r="D3860" t="inlineStr">
        <is>
          <t>Stripe patient 71631</t>
        </is>
      </c>
      <c r="E3860" t="inlineStr">
        <is>
          <t>INV/2026/05296</t>
        </is>
      </c>
      <c r="F3860" t="inlineStr">
        <is>
          <t>Customer payment INV/2026/05296</t>
        </is>
      </c>
      <c r="G3860" s="9" t="n">
        <v>220</v>
      </c>
      <c r="H3860" t="inlineStr">
        <is>
          <t>customer_payment</t>
        </is>
      </c>
      <c r="I3860" t="inlineStr"/>
      <c r="J3860" t="inlineStr">
        <is>
          <t>G00073</t>
        </is>
      </c>
      <c r="K3860" t="str">
        <f>INDEX('Match Groups'!$D$5:$D$1326,MATCH(J3860,'Match Groups'!$A$5:$A$1326,0))</f>
        <v>STRIPE-FEE</v>
      </c>
    </row>
    <row r="3861">
      <c r="A3861" t="inlineStr">
        <is>
          <t>JI-03456</t>
        </is>
      </c>
      <c r="B3861" t="inlineStr">
        <is>
          <t>OPS</t>
        </is>
      </c>
      <c r="C3861" s="5" t="n">
        <v>46283</v>
      </c>
      <c r="D3861" t="inlineStr">
        <is>
          <t>Stripe patient 54273</t>
        </is>
      </c>
      <c r="E3861" t="inlineStr">
        <is>
          <t>INV/2026/05297</t>
        </is>
      </c>
      <c r="F3861" t="inlineStr">
        <is>
          <t>Customer payment INV/2026/05297</t>
        </is>
      </c>
      <c r="G3861" s="9" t="n">
        <v>120</v>
      </c>
      <c r="H3861" t="inlineStr">
        <is>
          <t>customer_payment</t>
        </is>
      </c>
      <c r="I3861" t="inlineStr"/>
      <c r="J3861" t="inlineStr">
        <is>
          <t>G00073</t>
        </is>
      </c>
      <c r="K3861" t="str">
        <f>INDEX('Match Groups'!$D$5:$D$1326,MATCH(J3861,'Match Groups'!$A$5:$A$1326,0))</f>
        <v>STRIPE-FEE</v>
      </c>
    </row>
    <row r="3862">
      <c r="A3862" t="inlineStr">
        <is>
          <t>JI-03457</t>
        </is>
      </c>
      <c r="B3862" t="inlineStr">
        <is>
          <t>OPS</t>
        </is>
      </c>
      <c r="C3862" s="5" t="n">
        <v>46283</v>
      </c>
      <c r="D3862" t="inlineStr">
        <is>
          <t>Stripe patient 74876</t>
        </is>
      </c>
      <c r="E3862" t="inlineStr">
        <is>
          <t>INV/2026/05298</t>
        </is>
      </c>
      <c r="F3862" t="inlineStr">
        <is>
          <t>Customer payment INV/2026/05298</t>
        </is>
      </c>
      <c r="G3862" s="9" t="n">
        <v>110</v>
      </c>
      <c r="H3862" t="inlineStr">
        <is>
          <t>customer_payment</t>
        </is>
      </c>
      <c r="I3862" t="inlineStr"/>
      <c r="J3862" t="inlineStr">
        <is>
          <t>G00073</t>
        </is>
      </c>
      <c r="K3862" t="str">
        <f>INDEX('Match Groups'!$D$5:$D$1326,MATCH(J3862,'Match Groups'!$A$5:$A$1326,0))</f>
        <v>STRIPE-FEE</v>
      </c>
    </row>
    <row r="3863">
      <c r="A3863" t="inlineStr">
        <is>
          <t>JI-03458</t>
        </is>
      </c>
      <c r="B3863" t="inlineStr">
        <is>
          <t>OPS</t>
        </is>
      </c>
      <c r="C3863" s="5" t="n">
        <v>46283</v>
      </c>
      <c r="D3863" t="inlineStr">
        <is>
          <t>Stripe patient 82215</t>
        </is>
      </c>
      <c r="E3863" t="inlineStr">
        <is>
          <t>INV/2026/05299</t>
        </is>
      </c>
      <c r="F3863" t="inlineStr">
        <is>
          <t>Customer payment INV/2026/05299</t>
        </is>
      </c>
      <c r="G3863" s="9" t="n">
        <v>120</v>
      </c>
      <c r="H3863" t="inlineStr">
        <is>
          <t>customer_payment</t>
        </is>
      </c>
      <c r="I3863" t="inlineStr"/>
      <c r="J3863" t="inlineStr">
        <is>
          <t>G00073</t>
        </is>
      </c>
      <c r="K3863" t="str">
        <f>INDEX('Match Groups'!$D$5:$D$1326,MATCH(J3863,'Match Groups'!$A$5:$A$1326,0))</f>
        <v>STRIPE-FEE</v>
      </c>
    </row>
    <row r="3864">
      <c r="A3864" t="inlineStr">
        <is>
          <t>JI-03459</t>
        </is>
      </c>
      <c r="B3864" t="inlineStr">
        <is>
          <t>OPS</t>
        </is>
      </c>
      <c r="C3864" s="5" t="n">
        <v>46283</v>
      </c>
      <c r="D3864" t="inlineStr">
        <is>
          <t>Stripe patient 27768</t>
        </is>
      </c>
      <c r="E3864" t="inlineStr">
        <is>
          <t>INV/2026/05300</t>
        </is>
      </c>
      <c r="F3864" t="inlineStr">
        <is>
          <t>Customer payment INV/2026/05300</t>
        </is>
      </c>
      <c r="G3864" s="9" t="n">
        <v>65</v>
      </c>
      <c r="H3864" t="inlineStr">
        <is>
          <t>customer_payment</t>
        </is>
      </c>
      <c r="I3864" t="inlineStr"/>
      <c r="J3864" t="inlineStr">
        <is>
          <t>G00073</t>
        </is>
      </c>
      <c r="K3864" t="str">
        <f>INDEX('Match Groups'!$D$5:$D$1326,MATCH(J3864,'Match Groups'!$A$5:$A$1326,0))</f>
        <v>STRIPE-FEE</v>
      </c>
    </row>
    <row r="3865">
      <c r="A3865" t="inlineStr">
        <is>
          <t>JI-03460</t>
        </is>
      </c>
      <c r="B3865" t="inlineStr">
        <is>
          <t>OPS</t>
        </is>
      </c>
      <c r="C3865" s="5" t="n">
        <v>46283</v>
      </c>
      <c r="D3865" t="inlineStr">
        <is>
          <t>Stripe patient 56353</t>
        </is>
      </c>
      <c r="E3865" t="inlineStr">
        <is>
          <t>INV/2026/05301</t>
        </is>
      </c>
      <c r="F3865" t="inlineStr">
        <is>
          <t>Customer payment INV/2026/05301</t>
        </is>
      </c>
      <c r="G3865" s="9" t="n">
        <v>150</v>
      </c>
      <c r="H3865" t="inlineStr">
        <is>
          <t>customer_payment</t>
        </is>
      </c>
      <c r="I3865" t="inlineStr"/>
      <c r="J3865" t="inlineStr">
        <is>
          <t>G00073</t>
        </is>
      </c>
      <c r="K3865" t="str">
        <f>INDEX('Match Groups'!$D$5:$D$1326,MATCH(J3865,'Match Groups'!$A$5:$A$1326,0))</f>
        <v>STRIPE-FEE</v>
      </c>
    </row>
    <row r="3866">
      <c r="A3866" t="inlineStr">
        <is>
          <t>JI-03461</t>
        </is>
      </c>
      <c r="B3866" t="inlineStr">
        <is>
          <t>OPS</t>
        </is>
      </c>
      <c r="C3866" s="5" t="n">
        <v>46283</v>
      </c>
      <c r="D3866" t="inlineStr">
        <is>
          <t>Stripe patient 76380</t>
        </is>
      </c>
      <c r="E3866" t="inlineStr">
        <is>
          <t>INV/2026/05302</t>
        </is>
      </c>
      <c r="F3866" t="inlineStr">
        <is>
          <t>Customer payment INV/2026/05302</t>
        </is>
      </c>
      <c r="G3866" s="9" t="n">
        <v>95</v>
      </c>
      <c r="H3866" t="inlineStr">
        <is>
          <t>customer_payment</t>
        </is>
      </c>
      <c r="I3866" t="inlineStr"/>
      <c r="J3866" t="inlineStr">
        <is>
          <t>G00073</t>
        </is>
      </c>
      <c r="K3866" t="str">
        <f>INDEX('Match Groups'!$D$5:$D$1326,MATCH(J3866,'Match Groups'!$A$5:$A$1326,0))</f>
        <v>STRIPE-FEE</v>
      </c>
    </row>
    <row r="3867">
      <c r="A3867" t="inlineStr">
        <is>
          <t>JI-03462</t>
        </is>
      </c>
      <c r="B3867" t="inlineStr">
        <is>
          <t>OPS</t>
        </is>
      </c>
      <c r="C3867" s="5" t="n">
        <v>46283</v>
      </c>
      <c r="D3867" t="inlineStr">
        <is>
          <t>Stripe patient 95996</t>
        </is>
      </c>
      <c r="E3867" t="inlineStr">
        <is>
          <t>INV/2026/05303</t>
        </is>
      </c>
      <c r="F3867" t="inlineStr">
        <is>
          <t>Customer payment INV/2026/05303</t>
        </is>
      </c>
      <c r="G3867" s="9" t="n">
        <v>65</v>
      </c>
      <c r="H3867" t="inlineStr">
        <is>
          <t>customer_payment</t>
        </is>
      </c>
      <c r="I3867" t="inlineStr"/>
      <c r="J3867" t="inlineStr">
        <is>
          <t>G00073</t>
        </is>
      </c>
      <c r="K3867" t="str">
        <f>INDEX('Match Groups'!$D$5:$D$1326,MATCH(J3867,'Match Groups'!$A$5:$A$1326,0))</f>
        <v>STRIPE-FEE</v>
      </c>
    </row>
    <row r="3868">
      <c r="A3868" t="inlineStr">
        <is>
          <t>JI-03463</t>
        </is>
      </c>
      <c r="B3868" t="inlineStr">
        <is>
          <t>OPS</t>
        </is>
      </c>
      <c r="C3868" s="5" t="n">
        <v>46283</v>
      </c>
      <c r="D3868" t="inlineStr">
        <is>
          <t>Stripe patient 88315</t>
        </is>
      </c>
      <c r="E3868" t="inlineStr">
        <is>
          <t>INV/2026/05304</t>
        </is>
      </c>
      <c r="F3868" t="inlineStr">
        <is>
          <t>Customer payment INV/2026/05304</t>
        </is>
      </c>
      <c r="G3868" s="9" t="n">
        <v>85</v>
      </c>
      <c r="H3868" t="inlineStr">
        <is>
          <t>customer_payment</t>
        </is>
      </c>
      <c r="I3868" t="inlineStr"/>
      <c r="J3868" t="inlineStr">
        <is>
          <t>G00073</t>
        </is>
      </c>
      <c r="K3868" t="str">
        <f>INDEX('Match Groups'!$D$5:$D$1326,MATCH(J3868,'Match Groups'!$A$5:$A$1326,0))</f>
        <v>STRIPE-FEE</v>
      </c>
    </row>
    <row r="3869">
      <c r="A3869" t="inlineStr">
        <is>
          <t>JI-03464</t>
        </is>
      </c>
      <c r="B3869" t="inlineStr">
        <is>
          <t>OPS</t>
        </is>
      </c>
      <c r="C3869" s="5" t="n">
        <v>46283</v>
      </c>
      <c r="D3869" t="inlineStr">
        <is>
          <t>Stripe patient 14432</t>
        </is>
      </c>
      <c r="E3869" t="inlineStr">
        <is>
          <t>INV/2026/05305</t>
        </is>
      </c>
      <c r="F3869" t="inlineStr">
        <is>
          <t>Customer payment INV/2026/05305</t>
        </is>
      </c>
      <c r="G3869" s="9" t="n">
        <v>180</v>
      </c>
      <c r="H3869" t="inlineStr">
        <is>
          <t>customer_payment</t>
        </is>
      </c>
      <c r="I3869" t="inlineStr"/>
      <c r="J3869" t="inlineStr">
        <is>
          <t>G00073</t>
        </is>
      </c>
      <c r="K3869" t="str">
        <f>INDEX('Match Groups'!$D$5:$D$1326,MATCH(J3869,'Match Groups'!$A$5:$A$1326,0))</f>
        <v>STRIPE-FEE</v>
      </c>
    </row>
    <row r="3870">
      <c r="A3870" t="inlineStr">
        <is>
          <t>JI-03465</t>
        </is>
      </c>
      <c r="B3870" t="inlineStr">
        <is>
          <t>OPS</t>
        </is>
      </c>
      <c r="C3870" s="5" t="n">
        <v>46283</v>
      </c>
      <c r="D3870" t="inlineStr">
        <is>
          <t>Stripe patient 57465</t>
        </is>
      </c>
      <c r="E3870" t="inlineStr">
        <is>
          <t>INV/2026/05306</t>
        </is>
      </c>
      <c r="F3870" t="inlineStr">
        <is>
          <t>Customer payment INV/2026/05306</t>
        </is>
      </c>
      <c r="G3870" s="9" t="n">
        <v>95</v>
      </c>
      <c r="H3870" t="inlineStr">
        <is>
          <t>customer_payment</t>
        </is>
      </c>
      <c r="I3870" t="inlineStr"/>
      <c r="J3870" t="inlineStr">
        <is>
          <t>G00073</t>
        </is>
      </c>
      <c r="K3870" t="str">
        <f>INDEX('Match Groups'!$D$5:$D$1326,MATCH(J3870,'Match Groups'!$A$5:$A$1326,0))</f>
        <v>STRIPE-FEE</v>
      </c>
    </row>
    <row r="3871">
      <c r="A3871" t="inlineStr">
        <is>
          <t>JI-03466</t>
        </is>
      </c>
      <c r="B3871" t="inlineStr">
        <is>
          <t>OPS</t>
        </is>
      </c>
      <c r="C3871" s="5" t="n">
        <v>46283</v>
      </c>
      <c r="D3871" t="inlineStr">
        <is>
          <t>Stripe patient 16766</t>
        </is>
      </c>
      <c r="E3871" t="inlineStr">
        <is>
          <t>INV/2026/05307</t>
        </is>
      </c>
      <c r="F3871" t="inlineStr">
        <is>
          <t>Customer payment INV/2026/05307</t>
        </is>
      </c>
      <c r="G3871" s="9" t="n">
        <v>135</v>
      </c>
      <c r="H3871" t="inlineStr">
        <is>
          <t>customer_payment</t>
        </is>
      </c>
      <c r="I3871" t="inlineStr"/>
      <c r="J3871" t="inlineStr">
        <is>
          <t>G00073</t>
        </is>
      </c>
      <c r="K3871" t="str">
        <f>INDEX('Match Groups'!$D$5:$D$1326,MATCH(J3871,'Match Groups'!$A$5:$A$1326,0))</f>
        <v>STRIPE-FEE</v>
      </c>
    </row>
    <row r="3872">
      <c r="A3872" t="inlineStr">
        <is>
          <t>JI-03467</t>
        </is>
      </c>
      <c r="B3872" t="inlineStr">
        <is>
          <t>OPS</t>
        </is>
      </c>
      <c r="C3872" s="5" t="n">
        <v>46283</v>
      </c>
      <c r="D3872" t="inlineStr">
        <is>
          <t>Stripe patient 30889</t>
        </is>
      </c>
      <c r="E3872" t="inlineStr">
        <is>
          <t>INV/2026/05308</t>
        </is>
      </c>
      <c r="F3872" t="inlineStr">
        <is>
          <t>Customer payment INV/2026/05308</t>
        </is>
      </c>
      <c r="G3872" s="9" t="n">
        <v>110</v>
      </c>
      <c r="H3872" t="inlineStr">
        <is>
          <t>customer_payment</t>
        </is>
      </c>
      <c r="I3872" t="inlineStr"/>
      <c r="J3872" t="inlineStr">
        <is>
          <t>G00073</t>
        </is>
      </c>
      <c r="K3872" t="str">
        <f>INDEX('Match Groups'!$D$5:$D$1326,MATCH(J3872,'Match Groups'!$A$5:$A$1326,0))</f>
        <v>STRIPE-FEE</v>
      </c>
    </row>
    <row r="3873">
      <c r="A3873" t="inlineStr">
        <is>
          <t>JI-03468</t>
        </is>
      </c>
      <c r="B3873" t="inlineStr">
        <is>
          <t>OPS</t>
        </is>
      </c>
      <c r="C3873" s="5" t="n">
        <v>46284</v>
      </c>
      <c r="D3873" t="inlineStr">
        <is>
          <t>Stripe patient 77514</t>
        </is>
      </c>
      <c r="E3873" t="inlineStr">
        <is>
          <t>INV/2026/05309</t>
        </is>
      </c>
      <c r="F3873" t="inlineStr">
        <is>
          <t>Customer payment INV/2026/05309</t>
        </is>
      </c>
      <c r="G3873" s="9" t="n">
        <v>180</v>
      </c>
      <c r="H3873" t="inlineStr">
        <is>
          <t>customer_payment</t>
        </is>
      </c>
      <c r="I3873" t="inlineStr"/>
      <c r="J3873" t="inlineStr">
        <is>
          <t>G00073</t>
        </is>
      </c>
      <c r="K3873" t="str">
        <f>INDEX('Match Groups'!$D$5:$D$1326,MATCH(J3873,'Match Groups'!$A$5:$A$1326,0))</f>
        <v>STRIPE-FEE</v>
      </c>
    </row>
    <row r="3874">
      <c r="A3874" t="inlineStr">
        <is>
          <t>JI-03469</t>
        </is>
      </c>
      <c r="B3874" t="inlineStr">
        <is>
          <t>OPS</t>
        </is>
      </c>
      <c r="C3874" s="5" t="n">
        <v>46284</v>
      </c>
      <c r="D3874" t="inlineStr">
        <is>
          <t>Stripe patient 22222</t>
        </is>
      </c>
      <c r="E3874" t="inlineStr">
        <is>
          <t>INV/2026/05310</t>
        </is>
      </c>
      <c r="F3874" t="inlineStr">
        <is>
          <t>Customer payment INV/2026/05310</t>
        </is>
      </c>
      <c r="G3874" s="9" t="n">
        <v>180</v>
      </c>
      <c r="H3874" t="inlineStr">
        <is>
          <t>customer_payment</t>
        </is>
      </c>
      <c r="I3874" t="inlineStr"/>
      <c r="J3874" t="inlineStr">
        <is>
          <t>G00073</t>
        </is>
      </c>
      <c r="K3874" t="str">
        <f>INDEX('Match Groups'!$D$5:$D$1326,MATCH(J3874,'Match Groups'!$A$5:$A$1326,0))</f>
        <v>STRIPE-FEE</v>
      </c>
    </row>
    <row r="3875">
      <c r="A3875" t="inlineStr">
        <is>
          <t>JI-03470</t>
        </is>
      </c>
      <c r="B3875" t="inlineStr">
        <is>
          <t>OPS</t>
        </is>
      </c>
      <c r="C3875" s="5" t="n">
        <v>46284</v>
      </c>
      <c r="D3875" t="inlineStr">
        <is>
          <t>Stripe patient 22306</t>
        </is>
      </c>
      <c r="E3875" t="inlineStr">
        <is>
          <t>INV/2026/05311</t>
        </is>
      </c>
      <c r="F3875" t="inlineStr">
        <is>
          <t>Customer payment INV/2026/05311</t>
        </is>
      </c>
      <c r="G3875" s="9" t="n">
        <v>220</v>
      </c>
      <c r="H3875" t="inlineStr">
        <is>
          <t>customer_payment</t>
        </is>
      </c>
      <c r="I3875" t="inlineStr"/>
      <c r="J3875" t="inlineStr">
        <is>
          <t>G00073</t>
        </is>
      </c>
      <c r="K3875" t="str">
        <f>INDEX('Match Groups'!$D$5:$D$1326,MATCH(J3875,'Match Groups'!$A$5:$A$1326,0))</f>
        <v>STRIPE-FEE</v>
      </c>
    </row>
    <row r="3876">
      <c r="A3876" t="inlineStr">
        <is>
          <t>JI-03471</t>
        </is>
      </c>
      <c r="B3876" t="inlineStr">
        <is>
          <t>OPS</t>
        </is>
      </c>
      <c r="C3876" s="5" t="n">
        <v>46284</v>
      </c>
      <c r="D3876" t="inlineStr">
        <is>
          <t>Stripe patient 37936</t>
        </is>
      </c>
      <c r="E3876" t="inlineStr">
        <is>
          <t>INV/2026/05312</t>
        </is>
      </c>
      <c r="F3876" t="inlineStr">
        <is>
          <t>Customer payment INV/2026/05312</t>
        </is>
      </c>
      <c r="G3876" s="9" t="n">
        <v>180</v>
      </c>
      <c r="H3876" t="inlineStr">
        <is>
          <t>customer_payment</t>
        </is>
      </c>
      <c r="I3876" t="inlineStr"/>
      <c r="J3876" t="inlineStr">
        <is>
          <t>G00073</t>
        </is>
      </c>
      <c r="K3876" t="str">
        <f>INDEX('Match Groups'!$D$5:$D$1326,MATCH(J3876,'Match Groups'!$A$5:$A$1326,0))</f>
        <v>STRIPE-FEE</v>
      </c>
    </row>
    <row r="3877">
      <c r="A3877" t="inlineStr">
        <is>
          <t>JI-03472</t>
        </is>
      </c>
      <c r="B3877" t="inlineStr">
        <is>
          <t>OPS</t>
        </is>
      </c>
      <c r="C3877" s="5" t="n">
        <v>46284</v>
      </c>
      <c r="D3877" t="inlineStr">
        <is>
          <t>Stripe patient 79120</t>
        </is>
      </c>
      <c r="E3877" t="inlineStr">
        <is>
          <t>INV/2026/05313</t>
        </is>
      </c>
      <c r="F3877" t="inlineStr">
        <is>
          <t>Customer payment INV/2026/05313</t>
        </is>
      </c>
      <c r="G3877" s="9" t="n">
        <v>110</v>
      </c>
      <c r="H3877" t="inlineStr">
        <is>
          <t>customer_payment</t>
        </is>
      </c>
      <c r="I3877" t="inlineStr"/>
      <c r="J3877" t="inlineStr">
        <is>
          <t>G00073</t>
        </is>
      </c>
      <c r="K3877" t="str">
        <f>INDEX('Match Groups'!$D$5:$D$1326,MATCH(J3877,'Match Groups'!$A$5:$A$1326,0))</f>
        <v>STRIPE-FEE</v>
      </c>
    </row>
    <row r="3878">
      <c r="A3878" t="inlineStr">
        <is>
          <t>JI-03473</t>
        </is>
      </c>
      <c r="B3878" t="inlineStr">
        <is>
          <t>OPS</t>
        </is>
      </c>
      <c r="C3878" s="5" t="n">
        <v>46284</v>
      </c>
      <c r="D3878" t="inlineStr">
        <is>
          <t>Stripe patient 62485</t>
        </is>
      </c>
      <c r="E3878" t="inlineStr">
        <is>
          <t>INV/2026/05314</t>
        </is>
      </c>
      <c r="F3878" t="inlineStr">
        <is>
          <t>Customer payment INV/2026/05314</t>
        </is>
      </c>
      <c r="G3878" s="9" t="n">
        <v>150</v>
      </c>
      <c r="H3878" t="inlineStr">
        <is>
          <t>customer_payment</t>
        </is>
      </c>
      <c r="I3878" t="inlineStr"/>
      <c r="J3878" t="inlineStr">
        <is>
          <t>G00073</t>
        </is>
      </c>
      <c r="K3878" t="str">
        <f>INDEX('Match Groups'!$D$5:$D$1326,MATCH(J3878,'Match Groups'!$A$5:$A$1326,0))</f>
        <v>STRIPE-FEE</v>
      </c>
    </row>
    <row r="3879">
      <c r="A3879" t="inlineStr">
        <is>
          <t>JI-03474</t>
        </is>
      </c>
      <c r="B3879" t="inlineStr">
        <is>
          <t>OPS</t>
        </is>
      </c>
      <c r="C3879" s="5" t="n">
        <v>46284</v>
      </c>
      <c r="D3879" t="inlineStr">
        <is>
          <t>Stripe patient 66145</t>
        </is>
      </c>
      <c r="E3879" t="inlineStr">
        <is>
          <t>INV/2026/05315</t>
        </is>
      </c>
      <c r="F3879" t="inlineStr">
        <is>
          <t>Customer payment INV/2026/05315</t>
        </is>
      </c>
      <c r="G3879" s="9" t="n">
        <v>150</v>
      </c>
      <c r="H3879" t="inlineStr">
        <is>
          <t>customer_payment</t>
        </is>
      </c>
      <c r="I3879" t="inlineStr"/>
      <c r="J3879" t="inlineStr">
        <is>
          <t>G00073</t>
        </is>
      </c>
      <c r="K3879" t="str">
        <f>INDEX('Match Groups'!$D$5:$D$1326,MATCH(J3879,'Match Groups'!$A$5:$A$1326,0))</f>
        <v>STRIPE-FEE</v>
      </c>
    </row>
    <row r="3880">
      <c r="A3880" t="inlineStr">
        <is>
          <t>JI-03475</t>
        </is>
      </c>
      <c r="B3880" t="inlineStr">
        <is>
          <t>OPS</t>
        </is>
      </c>
      <c r="C3880" s="5" t="n">
        <v>46284</v>
      </c>
      <c r="D3880" t="inlineStr">
        <is>
          <t>Stripe patient 81510</t>
        </is>
      </c>
      <c r="E3880" t="inlineStr">
        <is>
          <t>INV/2026/05316</t>
        </is>
      </c>
      <c r="F3880" t="inlineStr">
        <is>
          <t>Customer payment INV/2026/05316</t>
        </is>
      </c>
      <c r="G3880" s="9" t="n">
        <v>120</v>
      </c>
      <c r="H3880" t="inlineStr">
        <is>
          <t>customer_payment</t>
        </is>
      </c>
      <c r="I3880" t="inlineStr"/>
      <c r="J3880" t="inlineStr">
        <is>
          <t>G00073</t>
        </is>
      </c>
      <c r="K3880" t="str">
        <f>INDEX('Match Groups'!$D$5:$D$1326,MATCH(J3880,'Match Groups'!$A$5:$A$1326,0))</f>
        <v>STRIPE-FEE</v>
      </c>
    </row>
    <row r="3881">
      <c r="A3881" t="inlineStr">
        <is>
          <t>JI-01647</t>
        </is>
      </c>
      <c r="B3881" t="inlineStr">
        <is>
          <t>OPS</t>
        </is>
      </c>
      <c r="C3881" s="5" t="n">
        <v>46285</v>
      </c>
      <c r="D3881" t="inlineStr">
        <is>
          <t>Northline Injury Claims</t>
        </is>
      </c>
      <c r="E3881" t="inlineStr">
        <is>
          <t>INV/2026/03121</t>
        </is>
      </c>
      <c r="F3881" t="inlineStr">
        <is>
          <t>Customer payment INV/2026/03121</t>
        </is>
      </c>
      <c r="G3881" s="9" t="n">
        <v>132</v>
      </c>
      <c r="H3881" t="inlineStr">
        <is>
          <t>customer_payment</t>
        </is>
      </c>
      <c r="I3881" t="inlineStr"/>
      <c r="J3881" t="inlineStr">
        <is>
          <t>G01076</t>
        </is>
      </c>
      <c r="K3881" t="str">
        <f>INDEX('Match Groups'!$D$5:$D$1326,MATCH(J3881,'Match Groups'!$A$5:$A$1326,0))</f>
        <v>MATCH</v>
      </c>
    </row>
    <row r="3882">
      <c r="A3882" t="inlineStr">
        <is>
          <t>JI-01414</t>
        </is>
      </c>
      <c r="B3882" t="inlineStr">
        <is>
          <t>OPS</t>
        </is>
      </c>
      <c r="C3882" s="5" t="n">
        <v>46286</v>
      </c>
      <c r="D3882" t="inlineStr">
        <is>
          <t>Bluegum Plan Management</t>
        </is>
      </c>
      <c r="E3882" t="inlineStr">
        <is>
          <t>INV/2026/03122</t>
        </is>
      </c>
      <c r="F3882" t="inlineStr">
        <is>
          <t>Customer payment INV/2026/03122</t>
        </is>
      </c>
      <c r="G3882" s="9" t="n">
        <v>67.89</v>
      </c>
      <c r="H3882" t="inlineStr">
        <is>
          <t>customer_payment</t>
        </is>
      </c>
      <c r="I3882" t="inlineStr"/>
      <c r="J3882" t="inlineStr">
        <is>
          <t>G00457</t>
        </is>
      </c>
      <c r="K3882" t="str">
        <f>INDEX('Match Groups'!$D$5:$D$1326,MATCH(J3882,'Match Groups'!$A$5:$A$1326,0))</f>
        <v>MATCH</v>
      </c>
    </row>
    <row r="3883">
      <c r="A3883" t="inlineStr">
        <is>
          <t>JI-01415</t>
        </is>
      </c>
      <c r="B3883" t="inlineStr">
        <is>
          <t>OPS</t>
        </is>
      </c>
      <c r="C3883" s="5" t="n">
        <v>46286</v>
      </c>
      <c r="D3883" t="inlineStr">
        <is>
          <t>Bluegum Plan Management</t>
        </is>
      </c>
      <c r="E3883" t="inlineStr">
        <is>
          <t>INV/2026/03123</t>
        </is>
      </c>
      <c r="F3883" t="inlineStr">
        <is>
          <t>Customer payment INV/2026/03123</t>
        </is>
      </c>
      <c r="G3883" s="9" t="n">
        <v>126.99</v>
      </c>
      <c r="H3883" t="inlineStr">
        <is>
          <t>customer_payment</t>
        </is>
      </c>
      <c r="I3883" t="inlineStr"/>
      <c r="J3883" t="inlineStr">
        <is>
          <t>G00457</t>
        </is>
      </c>
      <c r="K3883" t="str">
        <f>INDEX('Match Groups'!$D$5:$D$1326,MATCH(J3883,'Match Groups'!$A$5:$A$1326,0))</f>
        <v>MATCH</v>
      </c>
    </row>
    <row r="3884">
      <c r="A3884" t="inlineStr">
        <is>
          <t>JI-01416</t>
        </is>
      </c>
      <c r="B3884" t="inlineStr">
        <is>
          <t>OPS</t>
        </is>
      </c>
      <c r="C3884" s="5" t="n">
        <v>46286</v>
      </c>
      <c r="D3884" t="inlineStr">
        <is>
          <t>Wattle Plan Services</t>
        </is>
      </c>
      <c r="E3884" t="inlineStr">
        <is>
          <t>INV/2026/03128</t>
        </is>
      </c>
      <c r="F3884" t="inlineStr">
        <is>
          <t>Customer payment INV/2026/03128</t>
        </is>
      </c>
      <c r="G3884" s="9" t="n">
        <v>223.99</v>
      </c>
      <c r="H3884" t="inlineStr">
        <is>
          <t>customer_payment</t>
        </is>
      </c>
      <c r="I3884" t="inlineStr"/>
      <c r="J3884" t="inlineStr">
        <is>
          <t>G00458</t>
        </is>
      </c>
      <c r="K3884" t="str">
        <f>INDEX('Match Groups'!$D$5:$D$1326,MATCH(J3884,'Match Groups'!$A$5:$A$1326,0))</f>
        <v>MATCH</v>
      </c>
    </row>
    <row r="3885">
      <c r="A3885" t="inlineStr">
        <is>
          <t>JI-01417</t>
        </is>
      </c>
      <c r="B3885" t="inlineStr">
        <is>
          <t>OPS</t>
        </is>
      </c>
      <c r="C3885" s="5" t="n">
        <v>46286</v>
      </c>
      <c r="D3885" t="inlineStr">
        <is>
          <t>Wattle Plan Services</t>
        </is>
      </c>
      <c r="E3885" t="inlineStr">
        <is>
          <t>INV/2026/03129</t>
        </is>
      </c>
      <c r="F3885" t="inlineStr">
        <is>
          <t>Customer payment INV/2026/03129</t>
        </is>
      </c>
      <c r="G3885" s="9" t="n">
        <v>96.98999999999999</v>
      </c>
      <c r="H3885" t="inlineStr">
        <is>
          <t>customer_payment</t>
        </is>
      </c>
      <c r="I3885" t="inlineStr"/>
      <c r="J3885" t="inlineStr">
        <is>
          <t>G00458</t>
        </is>
      </c>
      <c r="K3885" t="str">
        <f>INDEX('Match Groups'!$D$5:$D$1326,MATCH(J3885,'Match Groups'!$A$5:$A$1326,0))</f>
        <v>MATCH</v>
      </c>
    </row>
    <row r="3886">
      <c r="A3886" t="inlineStr">
        <is>
          <t>JI-01418</t>
        </is>
      </c>
      <c r="B3886" t="inlineStr">
        <is>
          <t>OPS</t>
        </is>
      </c>
      <c r="C3886" s="5" t="n">
        <v>46286</v>
      </c>
      <c r="D3886" t="inlineStr">
        <is>
          <t>Banksia Plan Co</t>
        </is>
      </c>
      <c r="E3886" t="inlineStr">
        <is>
          <t>INV/2026/03079</t>
        </is>
      </c>
      <c r="F3886" t="inlineStr">
        <is>
          <t>Customer payment INV/2026/03079</t>
        </is>
      </c>
      <c r="G3886" s="9" t="n">
        <v>145.49</v>
      </c>
      <c r="H3886" t="inlineStr">
        <is>
          <t>customer_payment</t>
        </is>
      </c>
      <c r="I3886" t="inlineStr"/>
      <c r="J3886" t="inlineStr">
        <is>
          <t>G00459</t>
        </is>
      </c>
      <c r="K3886" t="str">
        <f>INDEX('Match Groups'!$D$5:$D$1326,MATCH(J3886,'Match Groups'!$A$5:$A$1326,0))</f>
        <v>MATCH</v>
      </c>
    </row>
    <row r="3887">
      <c r="A3887" t="inlineStr">
        <is>
          <t>JI-01419</t>
        </is>
      </c>
      <c r="B3887" t="inlineStr">
        <is>
          <t>OPS</t>
        </is>
      </c>
      <c r="C3887" s="5" t="n">
        <v>46286</v>
      </c>
      <c r="D3887" t="inlineStr">
        <is>
          <t>Banksia Plan Co</t>
        </is>
      </c>
      <c r="E3887" t="inlineStr">
        <is>
          <t>INV/2026/03130</t>
        </is>
      </c>
      <c r="F3887" t="inlineStr">
        <is>
          <t>Customer payment INV/2026/03130</t>
        </is>
      </c>
      <c r="G3887" s="9" t="n">
        <v>252.19</v>
      </c>
      <c r="H3887" t="inlineStr">
        <is>
          <t>customer_payment</t>
        </is>
      </c>
      <c r="I3887" t="inlineStr"/>
      <c r="J3887" t="inlineStr">
        <is>
          <t>G00459</t>
        </is>
      </c>
      <c r="K3887" t="str">
        <f>INDEX('Match Groups'!$D$5:$D$1326,MATCH(J3887,'Match Groups'!$A$5:$A$1326,0))</f>
        <v>MATCH</v>
      </c>
    </row>
    <row r="3888">
      <c r="A3888" t="inlineStr">
        <is>
          <t>JI-01420</t>
        </is>
      </c>
      <c r="B3888" t="inlineStr">
        <is>
          <t>OPS</t>
        </is>
      </c>
      <c r="C3888" s="5" t="n">
        <v>46286</v>
      </c>
      <c r="D3888" t="inlineStr">
        <is>
          <t>Ironbark Plan Management</t>
        </is>
      </c>
      <c r="E3888" t="inlineStr">
        <is>
          <t>INV/2026/03060</t>
        </is>
      </c>
      <c r="F3888" t="inlineStr">
        <is>
          <t>Customer payment INV/2026/03060</t>
        </is>
      </c>
      <c r="G3888" s="9" t="n">
        <v>145.49</v>
      </c>
      <c r="H3888" t="inlineStr">
        <is>
          <t>customer_payment</t>
        </is>
      </c>
      <c r="I3888" t="inlineStr"/>
      <c r="J3888" t="inlineStr">
        <is>
          <t>G00460</t>
        </is>
      </c>
      <c r="K3888" t="str">
        <f>INDEX('Match Groups'!$D$5:$D$1326,MATCH(J3888,'Match Groups'!$A$5:$A$1326,0))</f>
        <v>MATCH</v>
      </c>
    </row>
    <row r="3889">
      <c r="A3889" t="inlineStr">
        <is>
          <t>JI-01421</t>
        </is>
      </c>
      <c r="B3889" t="inlineStr">
        <is>
          <t>OPS</t>
        </is>
      </c>
      <c r="C3889" s="5" t="n">
        <v>46286</v>
      </c>
      <c r="D3889" t="inlineStr">
        <is>
          <t>Ironbark Plan Management</t>
        </is>
      </c>
      <c r="E3889" t="inlineStr">
        <is>
          <t>INV/2026/03061</t>
        </is>
      </c>
      <c r="F3889" t="inlineStr">
        <is>
          <t>Customer payment INV/2026/03061</t>
        </is>
      </c>
      <c r="G3889" s="9" t="n">
        <v>290.98</v>
      </c>
      <c r="H3889" t="inlineStr">
        <is>
          <t>customer_payment</t>
        </is>
      </c>
      <c r="I3889" t="inlineStr"/>
      <c r="J3889" t="inlineStr">
        <is>
          <t>G00460</t>
        </is>
      </c>
      <c r="K3889" t="str">
        <f>INDEX('Match Groups'!$D$5:$D$1326,MATCH(J3889,'Match Groups'!$A$5:$A$1326,0))</f>
        <v>MATCH</v>
      </c>
    </row>
    <row r="3890">
      <c r="A3890" t="inlineStr">
        <is>
          <t>JI-01422</t>
        </is>
      </c>
      <c r="B3890" t="inlineStr">
        <is>
          <t>OPS</t>
        </is>
      </c>
      <c r="C3890" s="5" t="n">
        <v>46286</v>
      </c>
      <c r="D3890" t="inlineStr">
        <is>
          <t>Ironbark Plan Management</t>
        </is>
      </c>
      <c r="E3890" t="inlineStr">
        <is>
          <t>INV/2026/03081</t>
        </is>
      </c>
      <c r="F3890" t="inlineStr">
        <is>
          <t>Customer payment INV/2026/03081</t>
        </is>
      </c>
      <c r="G3890" s="9" t="n">
        <v>446.18</v>
      </c>
      <c r="H3890" t="inlineStr">
        <is>
          <t>customer_payment</t>
        </is>
      </c>
      <c r="I3890" t="inlineStr"/>
      <c r="J3890" t="inlineStr">
        <is>
          <t>G00460</t>
        </is>
      </c>
      <c r="K3890" t="str">
        <f>INDEX('Match Groups'!$D$5:$D$1326,MATCH(J3890,'Match Groups'!$A$5:$A$1326,0))</f>
        <v>MATCH</v>
      </c>
    </row>
    <row r="3891">
      <c r="A3891" t="inlineStr">
        <is>
          <t>JI-01423</t>
        </is>
      </c>
      <c r="B3891" t="inlineStr">
        <is>
          <t>OPS</t>
        </is>
      </c>
      <c r="C3891" s="5" t="n">
        <v>46286</v>
      </c>
      <c r="D3891" t="inlineStr">
        <is>
          <t>Redgum Plan Admin</t>
        </is>
      </c>
      <c r="E3891" t="inlineStr">
        <is>
          <t>INV/2026/03140</t>
        </is>
      </c>
      <c r="F3891" t="inlineStr">
        <is>
          <t>Customer payment INV/2026/03140</t>
        </is>
      </c>
      <c r="G3891" s="9" t="n">
        <v>320.98</v>
      </c>
      <c r="H3891" t="inlineStr">
        <is>
          <t>customer_payment</t>
        </is>
      </c>
      <c r="I3891" t="inlineStr"/>
      <c r="J3891" t="inlineStr">
        <is>
          <t>G00461</t>
        </is>
      </c>
      <c r="K3891" t="str">
        <f>INDEX('Match Groups'!$D$5:$D$1326,MATCH(J3891,'Match Groups'!$A$5:$A$1326,0))</f>
        <v>MATCH</v>
      </c>
    </row>
    <row r="3892">
      <c r="A3892" t="inlineStr">
        <is>
          <t>JI-01424</t>
        </is>
      </c>
      <c r="B3892" t="inlineStr">
        <is>
          <t>OPS</t>
        </is>
      </c>
      <c r="C3892" s="5" t="n">
        <v>46286</v>
      </c>
      <c r="D3892" t="inlineStr">
        <is>
          <t>Redgum Plan Admin</t>
        </is>
      </c>
      <c r="E3892" t="inlineStr">
        <is>
          <t>INV/2026/03167</t>
        </is>
      </c>
      <c r="F3892" t="inlineStr">
        <is>
          <t>Customer payment INV/2026/03167</t>
        </is>
      </c>
      <c r="G3892" s="9" t="n">
        <v>96.98999999999999</v>
      </c>
      <c r="H3892" t="inlineStr">
        <is>
          <t>customer_payment</t>
        </is>
      </c>
      <c r="I3892" t="inlineStr"/>
      <c r="J3892" t="inlineStr">
        <is>
          <t>G00461</t>
        </is>
      </c>
      <c r="K3892" t="str">
        <f>INDEX('Match Groups'!$D$5:$D$1326,MATCH(J3892,'Match Groups'!$A$5:$A$1326,0))</f>
        <v>MATCH</v>
      </c>
    </row>
    <row r="3893">
      <c r="A3893" t="inlineStr">
        <is>
          <t>JI-01425</t>
        </is>
      </c>
      <c r="B3893" t="inlineStr">
        <is>
          <t>OPS</t>
        </is>
      </c>
      <c r="C3893" s="5" t="n">
        <v>46286</v>
      </c>
      <c r="D3893" t="inlineStr">
        <is>
          <t>Redgum Plan Admin</t>
        </is>
      </c>
      <c r="E3893" t="inlineStr">
        <is>
          <t>INV/2026/03184</t>
        </is>
      </c>
      <c r="F3893" t="inlineStr">
        <is>
          <t>Customer payment INV/2026/03184</t>
        </is>
      </c>
      <c r="G3893" s="9" t="n">
        <v>203.69</v>
      </c>
      <c r="H3893" t="inlineStr">
        <is>
          <t>customer_payment</t>
        </is>
      </c>
      <c r="I3893" t="inlineStr"/>
      <c r="J3893" t="inlineStr">
        <is>
          <t>G00461</t>
        </is>
      </c>
      <c r="K3893" t="str">
        <f>INDEX('Match Groups'!$D$5:$D$1326,MATCH(J3893,'Match Groups'!$A$5:$A$1326,0))</f>
        <v>MATCH</v>
      </c>
    </row>
    <row r="3894">
      <c r="A3894" t="inlineStr">
        <is>
          <t>JI-01426</t>
        </is>
      </c>
      <c r="B3894" t="inlineStr">
        <is>
          <t>OPS</t>
        </is>
      </c>
      <c r="C3894" s="5" t="n">
        <v>46286</v>
      </c>
      <c r="D3894" t="inlineStr">
        <is>
          <t>Southern Cross Plan Mgmt</t>
        </is>
      </c>
      <c r="E3894" t="inlineStr">
        <is>
          <t>INV/2026/03068</t>
        </is>
      </c>
      <c r="F3894" t="inlineStr">
        <is>
          <t>Customer payment INV/2026/03068</t>
        </is>
      </c>
      <c r="G3894" s="9" t="n">
        <v>96.98999999999999</v>
      </c>
      <c r="H3894" t="inlineStr">
        <is>
          <t>customer_payment</t>
        </is>
      </c>
      <c r="I3894" t="inlineStr"/>
      <c r="J3894" t="inlineStr">
        <is>
          <t>G00462</t>
        </is>
      </c>
      <c r="K3894" t="str">
        <f>INDEX('Match Groups'!$D$5:$D$1326,MATCH(J3894,'Match Groups'!$A$5:$A$1326,0))</f>
        <v>MATCH</v>
      </c>
    </row>
    <row r="3895">
      <c r="A3895" t="inlineStr">
        <is>
          <t>JI-01427</t>
        </is>
      </c>
      <c r="B3895" t="inlineStr">
        <is>
          <t>OPS</t>
        </is>
      </c>
      <c r="C3895" s="5" t="n">
        <v>46286</v>
      </c>
      <c r="D3895" t="inlineStr">
        <is>
          <t>Southern Cross Plan Mgmt</t>
        </is>
      </c>
      <c r="E3895" t="inlineStr">
        <is>
          <t>INV/2026/03086</t>
        </is>
      </c>
      <c r="F3895" t="inlineStr">
        <is>
          <t>Customer payment INV/2026/03086</t>
        </is>
      </c>
      <c r="G3895" s="9" t="n">
        <v>145.49</v>
      </c>
      <c r="H3895" t="inlineStr">
        <is>
          <t>customer_payment</t>
        </is>
      </c>
      <c r="I3895" t="inlineStr"/>
      <c r="J3895" t="inlineStr">
        <is>
          <t>G00462</t>
        </is>
      </c>
      <c r="K3895" t="str">
        <f>INDEX('Match Groups'!$D$5:$D$1326,MATCH(J3895,'Match Groups'!$A$5:$A$1326,0))</f>
        <v>MATCH</v>
      </c>
    </row>
    <row r="3896">
      <c r="A3896" t="inlineStr">
        <is>
          <t>JI-01428</t>
        </is>
      </c>
      <c r="B3896" t="inlineStr">
        <is>
          <t>OPS</t>
        </is>
      </c>
      <c r="C3896" s="5" t="n">
        <v>46286</v>
      </c>
      <c r="D3896" t="inlineStr">
        <is>
          <t>Southern Cross Plan Mgmt</t>
        </is>
      </c>
      <c r="E3896" t="inlineStr">
        <is>
          <t>INV/2026/03087</t>
        </is>
      </c>
      <c r="F3896" t="inlineStr">
        <is>
          <t>Customer payment INV/2026/03087</t>
        </is>
      </c>
      <c r="G3896" s="9" t="n">
        <v>145.49</v>
      </c>
      <c r="H3896" t="inlineStr">
        <is>
          <t>customer_payment</t>
        </is>
      </c>
      <c r="I3896" t="inlineStr"/>
      <c r="J3896" t="inlineStr">
        <is>
          <t>G00462</t>
        </is>
      </c>
      <c r="K3896" t="str">
        <f>INDEX('Match Groups'!$D$5:$D$1326,MATCH(J3896,'Match Groups'!$A$5:$A$1326,0))</f>
        <v>MATCH</v>
      </c>
    </row>
    <row r="3897">
      <c r="A3897" t="inlineStr">
        <is>
          <t>JI-01429</t>
        </is>
      </c>
      <c r="B3897" t="inlineStr">
        <is>
          <t>OPS</t>
        </is>
      </c>
      <c r="C3897" s="5" t="n">
        <v>46286</v>
      </c>
      <c r="D3897" t="inlineStr">
        <is>
          <t>Southern Cross Plan Mgmt</t>
        </is>
      </c>
      <c r="E3897" t="inlineStr">
        <is>
          <t>INV/2026/03109</t>
        </is>
      </c>
      <c r="F3897" t="inlineStr">
        <is>
          <t>Customer payment INV/2026/03109</t>
        </is>
      </c>
      <c r="G3897" s="9" t="n">
        <v>203.69</v>
      </c>
      <c r="H3897" t="inlineStr">
        <is>
          <t>customer_payment</t>
        </is>
      </c>
      <c r="I3897" t="inlineStr"/>
      <c r="J3897" t="inlineStr">
        <is>
          <t>G00462</t>
        </is>
      </c>
      <c r="K3897" t="str">
        <f>INDEX('Match Groups'!$D$5:$D$1326,MATCH(J3897,'Match Groups'!$A$5:$A$1326,0))</f>
        <v>MATCH</v>
      </c>
    </row>
    <row r="3898">
      <c r="A3898" t="inlineStr">
        <is>
          <t>JI-01430</t>
        </is>
      </c>
      <c r="B3898" t="inlineStr">
        <is>
          <t>OPS</t>
        </is>
      </c>
      <c r="C3898" s="5" t="n">
        <v>46286</v>
      </c>
      <c r="D3898" t="inlineStr">
        <is>
          <t>Southern Cross Plan Mgmt</t>
        </is>
      </c>
      <c r="E3898" t="inlineStr">
        <is>
          <t>INV/2026/03110</t>
        </is>
      </c>
      <c r="F3898" t="inlineStr">
        <is>
          <t>Customer payment INV/2026/03110</t>
        </is>
      </c>
      <c r="G3898" s="9" t="n">
        <v>203.69</v>
      </c>
      <c r="H3898" t="inlineStr">
        <is>
          <t>customer_payment</t>
        </is>
      </c>
      <c r="I3898" t="inlineStr"/>
      <c r="J3898" t="inlineStr">
        <is>
          <t>G00462</t>
        </is>
      </c>
      <c r="K3898" t="str">
        <f>INDEX('Match Groups'!$D$5:$D$1326,MATCH(J3898,'Match Groups'!$A$5:$A$1326,0))</f>
        <v>MATCH</v>
      </c>
    </row>
    <row r="3899">
      <c r="A3899" t="inlineStr">
        <is>
          <t>JI-01431</t>
        </is>
      </c>
      <c r="B3899" t="inlineStr">
        <is>
          <t>OPS</t>
        </is>
      </c>
      <c r="C3899" s="5" t="n">
        <v>46286</v>
      </c>
      <c r="D3899" t="inlineStr">
        <is>
          <t>Southern Cross Plan Mgmt</t>
        </is>
      </c>
      <c r="E3899" t="inlineStr">
        <is>
          <t>INV/2026/03141</t>
        </is>
      </c>
      <c r="F3899" t="inlineStr">
        <is>
          <t>Customer payment INV/2026/03141</t>
        </is>
      </c>
      <c r="G3899" s="9" t="n">
        <v>126.99</v>
      </c>
      <c r="H3899" t="inlineStr">
        <is>
          <t>customer_payment</t>
        </is>
      </c>
      <c r="I3899" t="inlineStr"/>
      <c r="J3899" t="inlineStr">
        <is>
          <t>G00462</t>
        </is>
      </c>
      <c r="K3899" t="str">
        <f>INDEX('Match Groups'!$D$5:$D$1326,MATCH(J3899,'Match Groups'!$A$5:$A$1326,0))</f>
        <v>MATCH</v>
      </c>
    </row>
    <row r="3900">
      <c r="A3900" t="inlineStr">
        <is>
          <t>JI-01432</t>
        </is>
      </c>
      <c r="B3900" t="inlineStr">
        <is>
          <t>OPS</t>
        </is>
      </c>
      <c r="C3900" s="5" t="n">
        <v>46286</v>
      </c>
      <c r="D3900" t="inlineStr">
        <is>
          <t>Southern Cross Plan Mgmt</t>
        </is>
      </c>
      <c r="E3900" t="inlineStr">
        <is>
          <t>INV/2026/03169</t>
        </is>
      </c>
      <c r="F3900" t="inlineStr">
        <is>
          <t>Customer payment INV/2026/03169</t>
        </is>
      </c>
      <c r="G3900" s="9" t="n">
        <v>290.98</v>
      </c>
      <c r="H3900" t="inlineStr">
        <is>
          <t>customer_payment</t>
        </is>
      </c>
      <c r="I3900" t="inlineStr"/>
      <c r="J3900" t="inlineStr">
        <is>
          <t>G00462</t>
        </is>
      </c>
      <c r="K3900" t="str">
        <f>INDEX('Match Groups'!$D$5:$D$1326,MATCH(J3900,'Match Groups'!$A$5:$A$1326,0))</f>
        <v>MATCH</v>
      </c>
    </row>
    <row r="3901">
      <c r="A3901" t="inlineStr">
        <is>
          <t>JI-01433</t>
        </is>
      </c>
      <c r="B3901" t="inlineStr">
        <is>
          <t>OPS</t>
        </is>
      </c>
      <c r="C3901" s="5" t="n">
        <v>46286</v>
      </c>
      <c r="D3901" t="inlineStr">
        <is>
          <t>Southern Cross Plan Mgmt</t>
        </is>
      </c>
      <c r="E3901" t="inlineStr">
        <is>
          <t>INV/2026/03185</t>
        </is>
      </c>
      <c r="F3901" t="inlineStr">
        <is>
          <t>Customer payment INV/2026/03185</t>
        </is>
      </c>
      <c r="G3901" s="9" t="n">
        <v>193.99</v>
      </c>
      <c r="H3901" t="inlineStr">
        <is>
          <t>customer_payment</t>
        </is>
      </c>
      <c r="I3901" t="inlineStr"/>
      <c r="J3901" t="inlineStr">
        <is>
          <t>G00462</t>
        </is>
      </c>
      <c r="K3901" t="str">
        <f>INDEX('Match Groups'!$D$5:$D$1326,MATCH(J3901,'Match Groups'!$A$5:$A$1326,0))</f>
        <v>MATCH</v>
      </c>
    </row>
    <row r="3902">
      <c r="A3902" t="inlineStr">
        <is>
          <t>JI-01439</t>
        </is>
      </c>
      <c r="B3902" t="inlineStr">
        <is>
          <t>OPS</t>
        </is>
      </c>
      <c r="C3902" s="5" t="n">
        <v>46286</v>
      </c>
      <c r="D3902" t="inlineStr">
        <is>
          <t>Redgum Plan Admin</t>
        </is>
      </c>
      <c r="E3902" t="inlineStr">
        <is>
          <t>INV/2026/03138</t>
        </is>
      </c>
      <c r="F3902" t="inlineStr">
        <is>
          <t>Customer payment INV/2026/03138</t>
        </is>
      </c>
      <c r="G3902" s="9" t="n">
        <v>272.49</v>
      </c>
      <c r="H3902" t="inlineStr">
        <is>
          <t>customer_payment</t>
        </is>
      </c>
      <c r="I3902" t="inlineStr"/>
      <c r="J3902" t="inlineStr">
        <is>
          <t>G00465</t>
        </is>
      </c>
      <c r="K3902" t="str">
        <f>INDEX('Match Groups'!$D$5:$D$1326,MATCH(J3902,'Match Groups'!$A$5:$A$1326,0))</f>
        <v>MATCH</v>
      </c>
    </row>
    <row r="3903">
      <c r="A3903" t="inlineStr">
        <is>
          <t>JI-01440</t>
        </is>
      </c>
      <c r="B3903" t="inlineStr">
        <is>
          <t>OPS</t>
        </is>
      </c>
      <c r="C3903" s="5" t="n">
        <v>46286</v>
      </c>
      <c r="D3903" t="inlineStr">
        <is>
          <t>Redgum Plan Admin</t>
        </is>
      </c>
      <c r="E3903" t="inlineStr">
        <is>
          <t>INV/2026/03139</t>
        </is>
      </c>
      <c r="F3903" t="inlineStr">
        <is>
          <t>Customer payment INV/2026/03139</t>
        </is>
      </c>
      <c r="G3903" s="9" t="n">
        <v>387.98</v>
      </c>
      <c r="H3903" t="inlineStr">
        <is>
          <t>customer_payment</t>
        </is>
      </c>
      <c r="I3903" t="inlineStr"/>
      <c r="J3903" t="inlineStr">
        <is>
          <t>G00465</t>
        </is>
      </c>
      <c r="K3903" t="str">
        <f>INDEX('Match Groups'!$D$5:$D$1326,MATCH(J3903,'Match Groups'!$A$5:$A$1326,0))</f>
        <v>MATCH</v>
      </c>
    </row>
    <row r="3904">
      <c r="A3904" t="inlineStr">
        <is>
          <t>JI-01441</t>
        </is>
      </c>
      <c r="B3904" t="inlineStr">
        <is>
          <t>OPS</t>
        </is>
      </c>
      <c r="C3904" s="5" t="n">
        <v>46286</v>
      </c>
      <c r="D3904" t="inlineStr">
        <is>
          <t>Redgum Plan Admin</t>
        </is>
      </c>
      <c r="E3904" t="inlineStr">
        <is>
          <t>INV/2026/03205</t>
        </is>
      </c>
      <c r="F3904" t="inlineStr">
        <is>
          <t>Customer payment INV/2026/03205</t>
        </is>
      </c>
      <c r="G3904" s="9" t="n">
        <v>203.69</v>
      </c>
      <c r="H3904" t="inlineStr">
        <is>
          <t>customer_payment</t>
        </is>
      </c>
      <c r="I3904" t="inlineStr"/>
      <c r="J3904" t="inlineStr">
        <is>
          <t>G00465</t>
        </is>
      </c>
      <c r="K3904" t="str">
        <f>INDEX('Match Groups'!$D$5:$D$1326,MATCH(J3904,'Match Groups'!$A$5:$A$1326,0))</f>
        <v>MATCH</v>
      </c>
    </row>
    <row r="3905">
      <c r="A3905" t="inlineStr">
        <is>
          <t>JI-01442</t>
        </is>
      </c>
      <c r="B3905" t="inlineStr">
        <is>
          <t>OPS</t>
        </is>
      </c>
      <c r="C3905" s="5" t="n">
        <v>46286</v>
      </c>
      <c r="D3905" t="inlineStr">
        <is>
          <t>Redgum Plan Admin</t>
        </is>
      </c>
      <c r="E3905" t="inlineStr">
        <is>
          <t>INV/2026/03206</t>
        </is>
      </c>
      <c r="F3905" t="inlineStr">
        <is>
          <t>Customer payment INV/2026/03206</t>
        </is>
      </c>
      <c r="G3905" s="9" t="n">
        <v>155.19</v>
      </c>
      <c r="H3905" t="inlineStr">
        <is>
          <t>customer_payment</t>
        </is>
      </c>
      <c r="I3905" t="inlineStr"/>
      <c r="J3905" t="inlineStr">
        <is>
          <t>G00465</t>
        </is>
      </c>
      <c r="K3905" t="str">
        <f>INDEX('Match Groups'!$D$5:$D$1326,MATCH(J3905,'Match Groups'!$A$5:$A$1326,0))</f>
        <v>MATCH</v>
      </c>
    </row>
    <row r="3906">
      <c r="A3906" t="inlineStr">
        <is>
          <t>JI-03476</t>
        </is>
      </c>
      <c r="B3906" t="inlineStr">
        <is>
          <t>OPS</t>
        </is>
      </c>
      <c r="C3906" s="5" t="n">
        <v>46286</v>
      </c>
      <c r="D3906" t="inlineStr">
        <is>
          <t>Stripe patient 12835</t>
        </is>
      </c>
      <c r="E3906" t="inlineStr">
        <is>
          <t>INV/2026/05317</t>
        </is>
      </c>
      <c r="F3906" t="inlineStr">
        <is>
          <t>Customer payment INV/2026/05317</t>
        </is>
      </c>
      <c r="G3906" s="9" t="n">
        <v>65</v>
      </c>
      <c r="H3906" t="inlineStr">
        <is>
          <t>customer_payment</t>
        </is>
      </c>
      <c r="I3906" t="inlineStr"/>
      <c r="J3906" t="inlineStr">
        <is>
          <t>G00074</t>
        </is>
      </c>
      <c r="K3906" t="str">
        <f>INDEX('Match Groups'!$D$5:$D$1326,MATCH(J3906,'Match Groups'!$A$5:$A$1326,0))</f>
        <v>STRIPE-FEE</v>
      </c>
    </row>
    <row r="3907">
      <c r="A3907" t="inlineStr">
        <is>
          <t>JI-03477</t>
        </is>
      </c>
      <c r="B3907" t="inlineStr">
        <is>
          <t>OPS</t>
        </is>
      </c>
      <c r="C3907" s="5" t="n">
        <v>46286</v>
      </c>
      <c r="D3907" t="inlineStr">
        <is>
          <t>Stripe patient 58853</t>
        </is>
      </c>
      <c r="E3907" t="inlineStr">
        <is>
          <t>INV/2026/05318</t>
        </is>
      </c>
      <c r="F3907" t="inlineStr">
        <is>
          <t>Customer payment INV/2026/05318</t>
        </is>
      </c>
      <c r="G3907" s="9" t="n">
        <v>135</v>
      </c>
      <c r="H3907" t="inlineStr">
        <is>
          <t>customer_payment</t>
        </is>
      </c>
      <c r="I3907" t="inlineStr"/>
      <c r="J3907" t="inlineStr">
        <is>
          <t>G00074</t>
        </is>
      </c>
      <c r="K3907" t="str">
        <f>INDEX('Match Groups'!$D$5:$D$1326,MATCH(J3907,'Match Groups'!$A$5:$A$1326,0))</f>
        <v>STRIPE-FEE</v>
      </c>
    </row>
    <row r="3908">
      <c r="A3908" t="inlineStr">
        <is>
          <t>JI-03478</t>
        </is>
      </c>
      <c r="B3908" t="inlineStr">
        <is>
          <t>OPS</t>
        </is>
      </c>
      <c r="C3908" s="5" t="n">
        <v>46286</v>
      </c>
      <c r="D3908" t="inlineStr">
        <is>
          <t>Stripe patient 36577</t>
        </is>
      </c>
      <c r="E3908" t="inlineStr">
        <is>
          <t>INV/2026/05319</t>
        </is>
      </c>
      <c r="F3908" t="inlineStr">
        <is>
          <t>Customer payment INV/2026/05319</t>
        </is>
      </c>
      <c r="G3908" s="9" t="n">
        <v>180</v>
      </c>
      <c r="H3908" t="inlineStr">
        <is>
          <t>customer_payment</t>
        </is>
      </c>
      <c r="I3908" t="inlineStr"/>
      <c r="J3908" t="inlineStr">
        <is>
          <t>G00074</t>
        </is>
      </c>
      <c r="K3908" t="str">
        <f>INDEX('Match Groups'!$D$5:$D$1326,MATCH(J3908,'Match Groups'!$A$5:$A$1326,0))</f>
        <v>STRIPE-FEE</v>
      </c>
    </row>
    <row r="3909">
      <c r="A3909" t="inlineStr">
        <is>
          <t>JI-03479</t>
        </is>
      </c>
      <c r="B3909" t="inlineStr">
        <is>
          <t>OPS</t>
        </is>
      </c>
      <c r="C3909" s="5" t="n">
        <v>46286</v>
      </c>
      <c r="D3909" t="inlineStr">
        <is>
          <t>Stripe patient 37586</t>
        </is>
      </c>
      <c r="E3909" t="inlineStr">
        <is>
          <t>INV/2026/05320</t>
        </is>
      </c>
      <c r="F3909" t="inlineStr">
        <is>
          <t>Customer payment INV/2026/05320</t>
        </is>
      </c>
      <c r="G3909" s="9" t="n">
        <v>85</v>
      </c>
      <c r="H3909" t="inlineStr">
        <is>
          <t>customer_payment</t>
        </is>
      </c>
      <c r="I3909" t="inlineStr"/>
      <c r="J3909" t="inlineStr">
        <is>
          <t>G00074</t>
        </is>
      </c>
      <c r="K3909" t="str">
        <f>INDEX('Match Groups'!$D$5:$D$1326,MATCH(J3909,'Match Groups'!$A$5:$A$1326,0))</f>
        <v>STRIPE-FEE</v>
      </c>
    </row>
    <row r="3910">
      <c r="A3910" t="inlineStr">
        <is>
          <t>JI-03480</t>
        </is>
      </c>
      <c r="B3910" t="inlineStr">
        <is>
          <t>OPS</t>
        </is>
      </c>
      <c r="C3910" s="5" t="n">
        <v>46286</v>
      </c>
      <c r="D3910" t="inlineStr">
        <is>
          <t>Stripe patient 62613</t>
        </is>
      </c>
      <c r="E3910" t="inlineStr">
        <is>
          <t>INV/2026/05321</t>
        </is>
      </c>
      <c r="F3910" t="inlineStr">
        <is>
          <t>Customer payment INV/2026/05321</t>
        </is>
      </c>
      <c r="G3910" s="9" t="n">
        <v>180</v>
      </c>
      <c r="H3910" t="inlineStr">
        <is>
          <t>customer_payment</t>
        </is>
      </c>
      <c r="I3910" t="inlineStr"/>
      <c r="J3910" t="inlineStr">
        <is>
          <t>G00074</t>
        </is>
      </c>
      <c r="K3910" t="str">
        <f>INDEX('Match Groups'!$D$5:$D$1326,MATCH(J3910,'Match Groups'!$A$5:$A$1326,0))</f>
        <v>STRIPE-FEE</v>
      </c>
    </row>
    <row r="3911">
      <c r="A3911" t="inlineStr">
        <is>
          <t>JI-03481</t>
        </is>
      </c>
      <c r="B3911" t="inlineStr">
        <is>
          <t>OPS</t>
        </is>
      </c>
      <c r="C3911" s="5" t="n">
        <v>46286</v>
      </c>
      <c r="D3911" t="inlineStr">
        <is>
          <t>Stripe patient 62155</t>
        </is>
      </c>
      <c r="E3911" t="inlineStr">
        <is>
          <t>INV/2026/05322</t>
        </is>
      </c>
      <c r="F3911" t="inlineStr">
        <is>
          <t>Customer payment INV/2026/05322</t>
        </is>
      </c>
      <c r="G3911" s="9" t="n">
        <v>110</v>
      </c>
      <c r="H3911" t="inlineStr">
        <is>
          <t>customer_payment</t>
        </is>
      </c>
      <c r="I3911" t="inlineStr"/>
      <c r="J3911" t="inlineStr">
        <is>
          <t>G00074</t>
        </is>
      </c>
      <c r="K3911" t="str">
        <f>INDEX('Match Groups'!$D$5:$D$1326,MATCH(J3911,'Match Groups'!$A$5:$A$1326,0))</f>
        <v>STRIPE-FEE</v>
      </c>
    </row>
    <row r="3912">
      <c r="A3912" t="inlineStr">
        <is>
          <t>JI-03482</t>
        </is>
      </c>
      <c r="B3912" t="inlineStr">
        <is>
          <t>OPS</t>
        </is>
      </c>
      <c r="C3912" s="5" t="n">
        <v>46286</v>
      </c>
      <c r="D3912" t="inlineStr">
        <is>
          <t>Stripe patient 68997</t>
        </is>
      </c>
      <c r="E3912" t="inlineStr">
        <is>
          <t>INV/2026/05323</t>
        </is>
      </c>
      <c r="F3912" t="inlineStr">
        <is>
          <t>Customer payment INV/2026/05323</t>
        </is>
      </c>
      <c r="G3912" s="9" t="n">
        <v>120</v>
      </c>
      <c r="H3912" t="inlineStr">
        <is>
          <t>customer_payment</t>
        </is>
      </c>
      <c r="I3912" t="inlineStr"/>
      <c r="J3912" t="inlineStr">
        <is>
          <t>G00074</t>
        </is>
      </c>
      <c r="K3912" t="str">
        <f>INDEX('Match Groups'!$D$5:$D$1326,MATCH(J3912,'Match Groups'!$A$5:$A$1326,0))</f>
        <v>STRIPE-FEE</v>
      </c>
    </row>
    <row r="3913">
      <c r="A3913" t="inlineStr">
        <is>
          <t>JI-03483</t>
        </is>
      </c>
      <c r="B3913" t="inlineStr">
        <is>
          <t>OPS</t>
        </is>
      </c>
      <c r="C3913" s="5" t="n">
        <v>46286</v>
      </c>
      <c r="D3913" t="inlineStr">
        <is>
          <t>Stripe patient 29376</t>
        </is>
      </c>
      <c r="E3913" t="inlineStr">
        <is>
          <t>INV/2026/05324</t>
        </is>
      </c>
      <c r="F3913" t="inlineStr">
        <is>
          <t>Customer payment INV/2026/05324</t>
        </is>
      </c>
      <c r="G3913" s="9" t="n">
        <v>220</v>
      </c>
      <c r="H3913" t="inlineStr">
        <is>
          <t>customer_payment</t>
        </is>
      </c>
      <c r="I3913" t="inlineStr"/>
      <c r="J3913" t="inlineStr">
        <is>
          <t>G00074</t>
        </is>
      </c>
      <c r="K3913" t="str">
        <f>INDEX('Match Groups'!$D$5:$D$1326,MATCH(J3913,'Match Groups'!$A$5:$A$1326,0))</f>
        <v>STRIPE-FEE</v>
      </c>
    </row>
    <row r="3914">
      <c r="A3914" t="inlineStr">
        <is>
          <t>JI-03484</t>
        </is>
      </c>
      <c r="B3914" t="inlineStr">
        <is>
          <t>OPS</t>
        </is>
      </c>
      <c r="C3914" s="5" t="n">
        <v>46286</v>
      </c>
      <c r="D3914" t="inlineStr">
        <is>
          <t>Stripe patient 40532</t>
        </is>
      </c>
      <c r="E3914" t="inlineStr">
        <is>
          <t>INV/2026/05325</t>
        </is>
      </c>
      <c r="F3914" t="inlineStr">
        <is>
          <t>Customer payment INV/2026/05325</t>
        </is>
      </c>
      <c r="G3914" s="9" t="n">
        <v>95</v>
      </c>
      <c r="H3914" t="inlineStr">
        <is>
          <t>customer_payment</t>
        </is>
      </c>
      <c r="I3914" t="inlineStr"/>
      <c r="J3914" t="inlineStr">
        <is>
          <t>G00074</t>
        </is>
      </c>
      <c r="K3914" t="str">
        <f>INDEX('Match Groups'!$D$5:$D$1326,MATCH(J3914,'Match Groups'!$A$5:$A$1326,0))</f>
        <v>STRIPE-FEE</v>
      </c>
    </row>
    <row r="3915">
      <c r="A3915" t="inlineStr">
        <is>
          <t>JI-03485</t>
        </is>
      </c>
      <c r="B3915" t="inlineStr">
        <is>
          <t>OPS</t>
        </is>
      </c>
      <c r="C3915" s="5" t="n">
        <v>46286</v>
      </c>
      <c r="D3915" t="inlineStr">
        <is>
          <t>Stripe patient 27935</t>
        </is>
      </c>
      <c r="E3915" t="inlineStr">
        <is>
          <t>INV/2026/05326</t>
        </is>
      </c>
      <c r="F3915" t="inlineStr">
        <is>
          <t>Customer payment INV/2026/05326</t>
        </is>
      </c>
      <c r="G3915" s="9" t="n">
        <v>150</v>
      </c>
      <c r="H3915" t="inlineStr">
        <is>
          <t>customer_payment</t>
        </is>
      </c>
      <c r="I3915" t="inlineStr"/>
      <c r="J3915" t="inlineStr">
        <is>
          <t>G00074</t>
        </is>
      </c>
      <c r="K3915" t="str">
        <f>INDEX('Match Groups'!$D$5:$D$1326,MATCH(J3915,'Match Groups'!$A$5:$A$1326,0))</f>
        <v>STRIPE-FEE</v>
      </c>
    </row>
    <row r="3916">
      <c r="A3916" t="inlineStr">
        <is>
          <t>JI-03486</t>
        </is>
      </c>
      <c r="B3916" t="inlineStr">
        <is>
          <t>OPS</t>
        </is>
      </c>
      <c r="C3916" s="5" t="n">
        <v>46286</v>
      </c>
      <c r="D3916" t="inlineStr">
        <is>
          <t>Stripe patient 27090</t>
        </is>
      </c>
      <c r="E3916" t="inlineStr">
        <is>
          <t>INV/2026/05327</t>
        </is>
      </c>
      <c r="F3916" t="inlineStr">
        <is>
          <t>Customer payment INV/2026/05327</t>
        </is>
      </c>
      <c r="G3916" s="9" t="n">
        <v>65</v>
      </c>
      <c r="H3916" t="inlineStr">
        <is>
          <t>customer_payment</t>
        </is>
      </c>
      <c r="I3916" t="inlineStr"/>
      <c r="J3916" t="inlineStr">
        <is>
          <t>G00074</t>
        </is>
      </c>
      <c r="K3916" t="str">
        <f>INDEX('Match Groups'!$D$5:$D$1326,MATCH(J3916,'Match Groups'!$A$5:$A$1326,0))</f>
        <v>STRIPE-FEE</v>
      </c>
    </row>
    <row r="3917">
      <c r="A3917" t="inlineStr">
        <is>
          <t>JI-03487</t>
        </is>
      </c>
      <c r="B3917" t="inlineStr">
        <is>
          <t>OPS</t>
        </is>
      </c>
      <c r="C3917" s="5" t="n">
        <v>46286</v>
      </c>
      <c r="D3917" t="inlineStr">
        <is>
          <t>Stripe patient 90737</t>
        </is>
      </c>
      <c r="E3917" t="inlineStr">
        <is>
          <t>INV/2026/05328</t>
        </is>
      </c>
      <c r="F3917" t="inlineStr">
        <is>
          <t>Customer payment INV/2026/05328</t>
        </is>
      </c>
      <c r="G3917" s="9" t="n">
        <v>85</v>
      </c>
      <c r="H3917" t="inlineStr">
        <is>
          <t>customer_payment</t>
        </is>
      </c>
      <c r="I3917" t="inlineStr"/>
      <c r="J3917" t="inlineStr">
        <is>
          <t>G00074</t>
        </is>
      </c>
      <c r="K3917" t="str">
        <f>INDEX('Match Groups'!$D$5:$D$1326,MATCH(J3917,'Match Groups'!$A$5:$A$1326,0))</f>
        <v>STRIPE-FEE</v>
      </c>
    </row>
    <row r="3918">
      <c r="A3918" t="inlineStr">
        <is>
          <t>JI-03488</t>
        </is>
      </c>
      <c r="B3918" t="inlineStr">
        <is>
          <t>OPS</t>
        </is>
      </c>
      <c r="C3918" s="5" t="n">
        <v>46286</v>
      </c>
      <c r="D3918" t="inlineStr">
        <is>
          <t>Stripe patient 60010</t>
        </is>
      </c>
      <c r="E3918" t="inlineStr">
        <is>
          <t>INV/2026/05329</t>
        </is>
      </c>
      <c r="F3918" t="inlineStr">
        <is>
          <t>Customer payment INV/2026/05329</t>
        </is>
      </c>
      <c r="G3918" s="9" t="n">
        <v>150</v>
      </c>
      <c r="H3918" t="inlineStr">
        <is>
          <t>customer_payment</t>
        </is>
      </c>
      <c r="I3918" t="inlineStr"/>
      <c r="J3918" t="inlineStr">
        <is>
          <t>G00074</t>
        </is>
      </c>
      <c r="K3918" t="str">
        <f>INDEX('Match Groups'!$D$5:$D$1326,MATCH(J3918,'Match Groups'!$A$5:$A$1326,0))</f>
        <v>STRIPE-FEE</v>
      </c>
    </row>
    <row r="3919">
      <c r="A3919" t="inlineStr">
        <is>
          <t>JI-03489</t>
        </is>
      </c>
      <c r="B3919" t="inlineStr">
        <is>
          <t>OPS</t>
        </is>
      </c>
      <c r="C3919" s="5" t="n">
        <v>46286</v>
      </c>
      <c r="D3919" t="inlineStr">
        <is>
          <t>Stripe patient 37564</t>
        </is>
      </c>
      <c r="E3919" t="inlineStr">
        <is>
          <t>INV/2026/05330</t>
        </is>
      </c>
      <c r="F3919" t="inlineStr">
        <is>
          <t>Customer payment INV/2026/05330</t>
        </is>
      </c>
      <c r="G3919" s="9" t="n">
        <v>135</v>
      </c>
      <c r="H3919" t="inlineStr">
        <is>
          <t>customer_payment</t>
        </is>
      </c>
      <c r="I3919" t="inlineStr"/>
      <c r="J3919" t="inlineStr">
        <is>
          <t>G00074</t>
        </is>
      </c>
      <c r="K3919" t="str">
        <f>INDEX('Match Groups'!$D$5:$D$1326,MATCH(J3919,'Match Groups'!$A$5:$A$1326,0))</f>
        <v>STRIPE-FEE</v>
      </c>
    </row>
    <row r="3920">
      <c r="A3920" t="inlineStr">
        <is>
          <t>JI-03490</t>
        </is>
      </c>
      <c r="B3920" t="inlineStr">
        <is>
          <t>OPS</t>
        </is>
      </c>
      <c r="C3920" s="5" t="n">
        <v>46286</v>
      </c>
      <c r="D3920" t="inlineStr">
        <is>
          <t>Stripe patient 30273</t>
        </is>
      </c>
      <c r="E3920" t="inlineStr">
        <is>
          <t>INV/2026/05331</t>
        </is>
      </c>
      <c r="F3920" t="inlineStr">
        <is>
          <t>Customer payment INV/2026/05331</t>
        </is>
      </c>
      <c r="G3920" s="9" t="n">
        <v>65</v>
      </c>
      <c r="H3920" t="inlineStr">
        <is>
          <t>customer_payment</t>
        </is>
      </c>
      <c r="I3920" t="inlineStr"/>
      <c r="J3920" t="inlineStr">
        <is>
          <t>G00074</t>
        </is>
      </c>
      <c r="K3920" t="str">
        <f>INDEX('Match Groups'!$D$5:$D$1326,MATCH(J3920,'Match Groups'!$A$5:$A$1326,0))</f>
        <v>STRIPE-FEE</v>
      </c>
    </row>
    <row r="3921">
      <c r="A3921" t="inlineStr">
        <is>
          <t>JI-03491</t>
        </is>
      </c>
      <c r="B3921" t="inlineStr">
        <is>
          <t>OPS</t>
        </is>
      </c>
      <c r="C3921" s="5" t="n">
        <v>46286</v>
      </c>
      <c r="D3921" t="inlineStr">
        <is>
          <t>Stripe patient 26020</t>
        </is>
      </c>
      <c r="E3921" t="inlineStr">
        <is>
          <t>INV/2026/05332</t>
        </is>
      </c>
      <c r="F3921" t="inlineStr">
        <is>
          <t>Customer payment INV/2026/05332</t>
        </is>
      </c>
      <c r="G3921" s="9" t="n">
        <v>220</v>
      </c>
      <c r="H3921" t="inlineStr">
        <is>
          <t>customer_payment</t>
        </is>
      </c>
      <c r="I3921" t="inlineStr"/>
      <c r="J3921" t="inlineStr">
        <is>
          <t>G00074</t>
        </is>
      </c>
      <c r="K3921" t="str">
        <f>INDEX('Match Groups'!$D$5:$D$1326,MATCH(J3921,'Match Groups'!$A$5:$A$1326,0))</f>
        <v>STRIPE-FEE</v>
      </c>
    </row>
    <row r="3922">
      <c r="A3922" t="inlineStr">
        <is>
          <t>JI-03492</t>
        </is>
      </c>
      <c r="B3922" t="inlineStr">
        <is>
          <t>OPS</t>
        </is>
      </c>
      <c r="C3922" s="5" t="n">
        <v>46286</v>
      </c>
      <c r="D3922" t="inlineStr">
        <is>
          <t>Stripe patient 40422</t>
        </is>
      </c>
      <c r="E3922" t="inlineStr">
        <is>
          <t>INV/2026/05333</t>
        </is>
      </c>
      <c r="F3922" t="inlineStr">
        <is>
          <t>Customer payment INV/2026/05333</t>
        </is>
      </c>
      <c r="G3922" s="9" t="n">
        <v>85</v>
      </c>
      <c r="H3922" t="inlineStr">
        <is>
          <t>customer_payment</t>
        </is>
      </c>
      <c r="I3922" t="inlineStr"/>
      <c r="J3922" t="inlineStr">
        <is>
          <t>G00074</t>
        </is>
      </c>
      <c r="K3922" t="str">
        <f>INDEX('Match Groups'!$D$5:$D$1326,MATCH(J3922,'Match Groups'!$A$5:$A$1326,0))</f>
        <v>STRIPE-FEE</v>
      </c>
    </row>
    <row r="3923">
      <c r="A3923" t="inlineStr">
        <is>
          <t>JI-03493</t>
        </is>
      </c>
      <c r="B3923" t="inlineStr">
        <is>
          <t>OPS</t>
        </is>
      </c>
      <c r="C3923" s="5" t="n">
        <v>46286</v>
      </c>
      <c r="D3923" t="inlineStr">
        <is>
          <t>Stripe patient 69760</t>
        </is>
      </c>
      <c r="E3923" t="inlineStr">
        <is>
          <t>INV/2026/05334</t>
        </is>
      </c>
      <c r="F3923" t="inlineStr">
        <is>
          <t>Customer payment INV/2026/05334</t>
        </is>
      </c>
      <c r="G3923" s="9" t="n">
        <v>220</v>
      </c>
      <c r="H3923" t="inlineStr">
        <is>
          <t>customer_payment</t>
        </is>
      </c>
      <c r="I3923" t="inlineStr"/>
      <c r="J3923" t="inlineStr">
        <is>
          <t>G00074</t>
        </is>
      </c>
      <c r="K3923" t="str">
        <f>INDEX('Match Groups'!$D$5:$D$1326,MATCH(J3923,'Match Groups'!$A$5:$A$1326,0))</f>
        <v>STRIPE-FEE</v>
      </c>
    </row>
    <row r="3924">
      <c r="A3924" t="inlineStr">
        <is>
          <t>JI-03494</t>
        </is>
      </c>
      <c r="B3924" t="inlineStr">
        <is>
          <t>OPS</t>
        </is>
      </c>
      <c r="C3924" s="5" t="n">
        <v>46286</v>
      </c>
      <c r="D3924" t="inlineStr">
        <is>
          <t>Stripe patient 32288</t>
        </is>
      </c>
      <c r="E3924" t="inlineStr">
        <is>
          <t>INV/2026/05335</t>
        </is>
      </c>
      <c r="F3924" t="inlineStr">
        <is>
          <t>Customer payment INV/2026/05335</t>
        </is>
      </c>
      <c r="G3924" s="9" t="n">
        <v>85</v>
      </c>
      <c r="H3924" t="inlineStr">
        <is>
          <t>customer_payment</t>
        </is>
      </c>
      <c r="I3924" t="inlineStr"/>
      <c r="J3924" t="inlineStr">
        <is>
          <t>G00074</t>
        </is>
      </c>
      <c r="K3924" t="str">
        <f>INDEX('Match Groups'!$D$5:$D$1326,MATCH(J3924,'Match Groups'!$A$5:$A$1326,0))</f>
        <v>STRIPE-FEE</v>
      </c>
    </row>
    <row r="3925">
      <c r="A3925" t="inlineStr">
        <is>
          <t>JI-03495</t>
        </is>
      </c>
      <c r="B3925" t="inlineStr">
        <is>
          <t>OPS</t>
        </is>
      </c>
      <c r="C3925" s="5" t="n">
        <v>46286</v>
      </c>
      <c r="D3925" t="inlineStr">
        <is>
          <t>Stripe patient 86104</t>
        </is>
      </c>
      <c r="E3925" t="inlineStr">
        <is>
          <t>INV/2026/05336</t>
        </is>
      </c>
      <c r="F3925" t="inlineStr">
        <is>
          <t>Customer payment INV/2026/05336</t>
        </is>
      </c>
      <c r="G3925" s="9" t="n">
        <v>150</v>
      </c>
      <c r="H3925" t="inlineStr">
        <is>
          <t>customer_payment</t>
        </is>
      </c>
      <c r="I3925" t="inlineStr"/>
      <c r="J3925" t="inlineStr">
        <is>
          <t>G00074</t>
        </is>
      </c>
      <c r="K3925" t="str">
        <f>INDEX('Match Groups'!$D$5:$D$1326,MATCH(J3925,'Match Groups'!$A$5:$A$1326,0))</f>
        <v>STRIPE-FEE</v>
      </c>
    </row>
    <row r="3926">
      <c r="A3926" t="inlineStr">
        <is>
          <t>JI-03496</t>
        </is>
      </c>
      <c r="B3926" t="inlineStr">
        <is>
          <t>OPS</t>
        </is>
      </c>
      <c r="C3926" s="5" t="n">
        <v>46286</v>
      </c>
      <c r="D3926" t="inlineStr">
        <is>
          <t>Stripe patient 69915</t>
        </is>
      </c>
      <c r="E3926" t="inlineStr">
        <is>
          <t>INV/2026/05337</t>
        </is>
      </c>
      <c r="F3926" t="inlineStr">
        <is>
          <t>Customer payment INV/2026/05337</t>
        </is>
      </c>
      <c r="G3926" s="9" t="n">
        <v>95</v>
      </c>
      <c r="H3926" t="inlineStr">
        <is>
          <t>customer_payment</t>
        </is>
      </c>
      <c r="I3926" t="inlineStr"/>
      <c r="J3926" t="inlineStr">
        <is>
          <t>G00074</t>
        </is>
      </c>
      <c r="K3926" t="str">
        <f>INDEX('Match Groups'!$D$5:$D$1326,MATCH(J3926,'Match Groups'!$A$5:$A$1326,0))</f>
        <v>STRIPE-FEE</v>
      </c>
    </row>
    <row r="3927">
      <c r="A3927" t="inlineStr">
        <is>
          <t>JI-03497</t>
        </is>
      </c>
      <c r="B3927" t="inlineStr">
        <is>
          <t>OPS</t>
        </is>
      </c>
      <c r="C3927" s="5" t="n">
        <v>46286</v>
      </c>
      <c r="D3927" t="inlineStr">
        <is>
          <t>Stripe patient 33127</t>
        </is>
      </c>
      <c r="E3927" t="inlineStr">
        <is>
          <t>INV/2026/05338</t>
        </is>
      </c>
      <c r="F3927" t="inlineStr">
        <is>
          <t>Customer payment INV/2026/05338</t>
        </is>
      </c>
      <c r="G3927" s="9" t="n">
        <v>95</v>
      </c>
      <c r="H3927" t="inlineStr">
        <is>
          <t>customer_payment</t>
        </is>
      </c>
      <c r="I3927" t="inlineStr"/>
      <c r="J3927" t="inlineStr">
        <is>
          <t>G00074</t>
        </is>
      </c>
      <c r="K3927" t="str">
        <f>INDEX('Match Groups'!$D$5:$D$1326,MATCH(J3927,'Match Groups'!$A$5:$A$1326,0))</f>
        <v>STRIPE-FEE</v>
      </c>
    </row>
    <row r="3928">
      <c r="A3928" t="inlineStr">
        <is>
          <t>JI-03498</t>
        </is>
      </c>
      <c r="B3928" t="inlineStr">
        <is>
          <t>OPS</t>
        </is>
      </c>
      <c r="C3928" s="5" t="n">
        <v>46286</v>
      </c>
      <c r="D3928" t="inlineStr">
        <is>
          <t>Stripe patient 98835</t>
        </is>
      </c>
      <c r="E3928" t="inlineStr">
        <is>
          <t>INV/2026/05339</t>
        </is>
      </c>
      <c r="F3928" t="inlineStr">
        <is>
          <t>Customer payment INV/2026/05339</t>
        </is>
      </c>
      <c r="G3928" s="9" t="n">
        <v>110</v>
      </c>
      <c r="H3928" t="inlineStr">
        <is>
          <t>customer_payment</t>
        </is>
      </c>
      <c r="I3928" t="inlineStr"/>
      <c r="J3928" t="inlineStr">
        <is>
          <t>G00074</t>
        </is>
      </c>
      <c r="K3928" t="str">
        <f>INDEX('Match Groups'!$D$5:$D$1326,MATCH(J3928,'Match Groups'!$A$5:$A$1326,0))</f>
        <v>STRIPE-FEE</v>
      </c>
    </row>
    <row r="3929">
      <c r="A3929" t="inlineStr">
        <is>
          <t>JI-03499</t>
        </is>
      </c>
      <c r="B3929" t="inlineStr">
        <is>
          <t>OPS</t>
        </is>
      </c>
      <c r="C3929" s="5" t="n">
        <v>46286</v>
      </c>
      <c r="D3929" t="inlineStr">
        <is>
          <t>Stripe patient 88381</t>
        </is>
      </c>
      <c r="E3929" t="inlineStr">
        <is>
          <t>INV/2026/05340</t>
        </is>
      </c>
      <c r="F3929" t="inlineStr">
        <is>
          <t>Customer payment INV/2026/05340</t>
        </is>
      </c>
      <c r="G3929" s="9" t="n">
        <v>110</v>
      </c>
      <c r="H3929" t="inlineStr">
        <is>
          <t>customer_payment</t>
        </is>
      </c>
      <c r="I3929" t="inlineStr"/>
      <c r="J3929" t="inlineStr">
        <is>
          <t>G00074</t>
        </is>
      </c>
      <c r="K3929" t="str">
        <f>INDEX('Match Groups'!$D$5:$D$1326,MATCH(J3929,'Match Groups'!$A$5:$A$1326,0))</f>
        <v>STRIPE-FEE</v>
      </c>
    </row>
    <row r="3930">
      <c r="A3930" t="inlineStr">
        <is>
          <t>JI-03500</t>
        </is>
      </c>
      <c r="B3930" t="inlineStr">
        <is>
          <t>OPS</t>
        </is>
      </c>
      <c r="C3930" s="5" t="n">
        <v>46286</v>
      </c>
      <c r="D3930" t="inlineStr">
        <is>
          <t>Stripe patient 34130</t>
        </is>
      </c>
      <c r="E3930" t="inlineStr">
        <is>
          <t>INV/2026/05341</t>
        </is>
      </c>
      <c r="F3930" t="inlineStr">
        <is>
          <t>Customer payment INV/2026/05341</t>
        </is>
      </c>
      <c r="G3930" s="9" t="n">
        <v>95</v>
      </c>
      <c r="H3930" t="inlineStr">
        <is>
          <t>customer_payment</t>
        </is>
      </c>
      <c r="I3930" t="inlineStr"/>
      <c r="J3930" t="inlineStr">
        <is>
          <t>G00074</t>
        </is>
      </c>
      <c r="K3930" t="str">
        <f>INDEX('Match Groups'!$D$5:$D$1326,MATCH(J3930,'Match Groups'!$A$5:$A$1326,0))</f>
        <v>STRIPE-FEE</v>
      </c>
    </row>
    <row r="3931">
      <c r="A3931" t="inlineStr">
        <is>
          <t>JI-03501</t>
        </is>
      </c>
      <c r="B3931" t="inlineStr">
        <is>
          <t>OPS</t>
        </is>
      </c>
      <c r="C3931" s="5" t="n">
        <v>46286</v>
      </c>
      <c r="D3931" t="inlineStr">
        <is>
          <t>Stripe patient 88672</t>
        </is>
      </c>
      <c r="E3931" t="inlineStr">
        <is>
          <t>INV/2026/05342</t>
        </is>
      </c>
      <c r="F3931" t="inlineStr">
        <is>
          <t>Customer payment INV/2026/05342</t>
        </is>
      </c>
      <c r="G3931" s="9" t="n">
        <v>135</v>
      </c>
      <c r="H3931" t="inlineStr">
        <is>
          <t>customer_payment</t>
        </is>
      </c>
      <c r="I3931" t="inlineStr"/>
      <c r="J3931" t="inlineStr">
        <is>
          <t>G00074</t>
        </is>
      </c>
      <c r="K3931" t="str">
        <f>INDEX('Match Groups'!$D$5:$D$1326,MATCH(J3931,'Match Groups'!$A$5:$A$1326,0))</f>
        <v>STRIPE-FEE</v>
      </c>
    </row>
    <row r="3932">
      <c r="A3932" t="inlineStr">
        <is>
          <t>JI-03502</t>
        </is>
      </c>
      <c r="B3932" t="inlineStr">
        <is>
          <t>OPS</t>
        </is>
      </c>
      <c r="C3932" s="5" t="n">
        <v>46286</v>
      </c>
      <c r="D3932" t="inlineStr">
        <is>
          <t>Stripe patient 95157</t>
        </is>
      </c>
      <c r="E3932" t="inlineStr">
        <is>
          <t>INV/2026/05343</t>
        </is>
      </c>
      <c r="F3932" t="inlineStr">
        <is>
          <t>Customer payment INV/2026/05343</t>
        </is>
      </c>
      <c r="G3932" s="9" t="n">
        <v>120</v>
      </c>
      <c r="H3932" t="inlineStr">
        <is>
          <t>customer_payment</t>
        </is>
      </c>
      <c r="I3932" t="inlineStr"/>
      <c r="J3932" t="inlineStr">
        <is>
          <t>G00074</t>
        </is>
      </c>
      <c r="K3932" t="str">
        <f>INDEX('Match Groups'!$D$5:$D$1326,MATCH(J3932,'Match Groups'!$A$5:$A$1326,0))</f>
        <v>STRIPE-FEE</v>
      </c>
    </row>
    <row r="3933">
      <c r="A3933" t="inlineStr">
        <is>
          <t>JI-03503</t>
        </is>
      </c>
      <c r="B3933" t="inlineStr">
        <is>
          <t>OPS</t>
        </is>
      </c>
      <c r="C3933" s="5" t="n">
        <v>46286</v>
      </c>
      <c r="D3933" t="inlineStr">
        <is>
          <t>Stripe patient 29586</t>
        </is>
      </c>
      <c r="E3933" t="inlineStr">
        <is>
          <t>INV/2026/05344</t>
        </is>
      </c>
      <c r="F3933" t="inlineStr">
        <is>
          <t>Customer payment INV/2026/05344</t>
        </is>
      </c>
      <c r="G3933" s="9" t="n">
        <v>135</v>
      </c>
      <c r="H3933" t="inlineStr">
        <is>
          <t>customer_payment</t>
        </is>
      </c>
      <c r="I3933" t="inlineStr"/>
      <c r="J3933" t="inlineStr">
        <is>
          <t>G00074</t>
        </is>
      </c>
      <c r="K3933" t="str">
        <f>INDEX('Match Groups'!$D$5:$D$1326,MATCH(J3933,'Match Groups'!$A$5:$A$1326,0))</f>
        <v>STRIPE-FEE</v>
      </c>
    </row>
    <row r="3934">
      <c r="A3934" t="inlineStr">
        <is>
          <t>JI-03504</t>
        </is>
      </c>
      <c r="B3934" t="inlineStr">
        <is>
          <t>OPS</t>
        </is>
      </c>
      <c r="C3934" s="5" t="n">
        <v>46286</v>
      </c>
      <c r="D3934" t="inlineStr">
        <is>
          <t>Stripe patient 49422</t>
        </is>
      </c>
      <c r="E3934" t="inlineStr">
        <is>
          <t>INV/2026/05345</t>
        </is>
      </c>
      <c r="F3934" t="inlineStr">
        <is>
          <t>Customer payment INV/2026/05345</t>
        </is>
      </c>
      <c r="G3934" s="9" t="n">
        <v>220</v>
      </c>
      <c r="H3934" t="inlineStr">
        <is>
          <t>customer_payment</t>
        </is>
      </c>
      <c r="I3934" t="inlineStr"/>
      <c r="J3934" t="inlineStr">
        <is>
          <t>G00074</t>
        </is>
      </c>
      <c r="K3934" t="str">
        <f>INDEX('Match Groups'!$D$5:$D$1326,MATCH(J3934,'Match Groups'!$A$5:$A$1326,0))</f>
        <v>STRIPE-FEE</v>
      </c>
    </row>
    <row r="3935">
      <c r="A3935" t="inlineStr">
        <is>
          <t>JI-03505</t>
        </is>
      </c>
      <c r="B3935" t="inlineStr">
        <is>
          <t>OPS</t>
        </is>
      </c>
      <c r="C3935" s="5" t="n">
        <v>46286</v>
      </c>
      <c r="D3935" t="inlineStr">
        <is>
          <t>Stripe patient 72634</t>
        </is>
      </c>
      <c r="E3935" t="inlineStr">
        <is>
          <t>INV/2026/05346</t>
        </is>
      </c>
      <c r="F3935" t="inlineStr">
        <is>
          <t>Customer payment INV/2026/05346</t>
        </is>
      </c>
      <c r="G3935" s="9" t="n">
        <v>110</v>
      </c>
      <c r="H3935" t="inlineStr">
        <is>
          <t>customer_payment</t>
        </is>
      </c>
      <c r="I3935" t="inlineStr"/>
      <c r="J3935" t="inlineStr">
        <is>
          <t>G00074</t>
        </is>
      </c>
      <c r="K3935" t="str">
        <f>INDEX('Match Groups'!$D$5:$D$1326,MATCH(J3935,'Match Groups'!$A$5:$A$1326,0))</f>
        <v>STRIPE-FEE</v>
      </c>
    </row>
    <row r="3936">
      <c r="A3936" t="inlineStr">
        <is>
          <t>JI-03506</t>
        </is>
      </c>
      <c r="B3936" t="inlineStr">
        <is>
          <t>OPS</t>
        </is>
      </c>
      <c r="C3936" s="5" t="n">
        <v>46286</v>
      </c>
      <c r="D3936" t="inlineStr">
        <is>
          <t>Stripe patient 19247</t>
        </is>
      </c>
      <c r="E3936" t="inlineStr">
        <is>
          <t>INV/2026/05347</t>
        </is>
      </c>
      <c r="F3936" t="inlineStr">
        <is>
          <t>Customer payment INV/2026/05347</t>
        </is>
      </c>
      <c r="G3936" s="9" t="n">
        <v>110</v>
      </c>
      <c r="H3936" t="inlineStr">
        <is>
          <t>customer_payment</t>
        </is>
      </c>
      <c r="I3936" t="inlineStr"/>
      <c r="J3936" t="inlineStr">
        <is>
          <t>G00074</t>
        </is>
      </c>
      <c r="K3936" t="str">
        <f>INDEX('Match Groups'!$D$5:$D$1326,MATCH(J3936,'Match Groups'!$A$5:$A$1326,0))</f>
        <v>STRIPE-FEE</v>
      </c>
    </row>
    <row r="3937">
      <c r="A3937" t="inlineStr">
        <is>
          <t>JI-03507</t>
        </is>
      </c>
      <c r="B3937" t="inlineStr">
        <is>
          <t>OPS</t>
        </is>
      </c>
      <c r="C3937" s="5" t="n">
        <v>46286</v>
      </c>
      <c r="D3937" t="inlineStr">
        <is>
          <t>Stripe patient 19676</t>
        </is>
      </c>
      <c r="E3937" t="inlineStr">
        <is>
          <t>INV/2026/05348</t>
        </is>
      </c>
      <c r="F3937" t="inlineStr">
        <is>
          <t>Customer payment INV/2026/05348</t>
        </is>
      </c>
      <c r="G3937" s="9" t="n">
        <v>65</v>
      </c>
      <c r="H3937" t="inlineStr">
        <is>
          <t>customer_payment</t>
        </is>
      </c>
      <c r="I3937" t="inlineStr"/>
      <c r="J3937" t="inlineStr">
        <is>
          <t>G00074</t>
        </is>
      </c>
      <c r="K3937" t="str">
        <f>INDEX('Match Groups'!$D$5:$D$1326,MATCH(J3937,'Match Groups'!$A$5:$A$1326,0))</f>
        <v>STRIPE-FEE</v>
      </c>
    </row>
    <row r="3938">
      <c r="A3938" t="inlineStr">
        <is>
          <t>JI-03508</t>
        </is>
      </c>
      <c r="B3938" t="inlineStr">
        <is>
          <t>OPS</t>
        </is>
      </c>
      <c r="C3938" s="5" t="n">
        <v>46286</v>
      </c>
      <c r="D3938" t="inlineStr">
        <is>
          <t>Stripe patient 60437</t>
        </is>
      </c>
      <c r="E3938" t="inlineStr">
        <is>
          <t>INV/2026/05349</t>
        </is>
      </c>
      <c r="F3938" t="inlineStr">
        <is>
          <t>Customer payment INV/2026/05349</t>
        </is>
      </c>
      <c r="G3938" s="9" t="n">
        <v>220</v>
      </c>
      <c r="H3938" t="inlineStr">
        <is>
          <t>customer_payment</t>
        </is>
      </c>
      <c r="I3938" t="inlineStr"/>
      <c r="J3938" t="inlineStr">
        <is>
          <t>G00074</t>
        </is>
      </c>
      <c r="K3938" t="str">
        <f>INDEX('Match Groups'!$D$5:$D$1326,MATCH(J3938,'Match Groups'!$A$5:$A$1326,0))</f>
        <v>STRIPE-FEE</v>
      </c>
    </row>
    <row r="3939">
      <c r="A3939" t="inlineStr">
        <is>
          <t>JI-03509</t>
        </is>
      </c>
      <c r="B3939" t="inlineStr">
        <is>
          <t>OPS</t>
        </is>
      </c>
      <c r="C3939" s="5" t="n">
        <v>46286</v>
      </c>
      <c r="D3939" t="inlineStr">
        <is>
          <t>Stripe patient 44521</t>
        </is>
      </c>
      <c r="E3939" t="inlineStr">
        <is>
          <t>INV/2026/05350</t>
        </is>
      </c>
      <c r="F3939" t="inlineStr">
        <is>
          <t>Customer payment INV/2026/05350</t>
        </is>
      </c>
      <c r="G3939" s="9" t="n">
        <v>120</v>
      </c>
      <c r="H3939" t="inlineStr">
        <is>
          <t>customer_payment</t>
        </is>
      </c>
      <c r="I3939" t="inlineStr"/>
      <c r="J3939" t="inlineStr">
        <is>
          <t>G00074</t>
        </is>
      </c>
      <c r="K3939" t="str">
        <f>INDEX('Match Groups'!$D$5:$D$1326,MATCH(J3939,'Match Groups'!$A$5:$A$1326,0))</f>
        <v>STRIPE-FEE</v>
      </c>
    </row>
    <row r="3940">
      <c r="A3940" t="inlineStr">
        <is>
          <t>JI-03916</t>
        </is>
      </c>
      <c r="B3940" t="inlineStr">
        <is>
          <t>OPS</t>
        </is>
      </c>
      <c r="C3940" s="5" t="n">
        <v>46286</v>
      </c>
      <c r="D3940" t="inlineStr">
        <is>
          <t>Medisure Professional Indemnity</t>
        </is>
      </c>
      <c r="E3940" t="inlineStr">
        <is>
          <t>BILL/2026/1026</t>
        </is>
      </c>
      <c r="F3940" t="inlineStr">
        <is>
          <t>Vendor payment BILL/2026/1026</t>
        </is>
      </c>
      <c r="G3940" s="9" t="n">
        <v>-2215.4</v>
      </c>
      <c r="H3940" t="inlineStr">
        <is>
          <t>supplier_payment</t>
        </is>
      </c>
      <c r="I3940" t="inlineStr"/>
      <c r="J3940" t="inlineStr">
        <is>
          <t>G01163</t>
        </is>
      </c>
      <c r="K3940" t="str">
        <f>INDEX('Match Groups'!$D$5:$D$1326,MATCH(J3940,'Match Groups'!$A$5:$A$1326,0))</f>
        <v>MATCH</v>
      </c>
    </row>
    <row r="3941">
      <c r="A3941" t="inlineStr">
        <is>
          <t>JI-04305</t>
        </is>
      </c>
      <c r="B3941" t="inlineStr">
        <is>
          <t>OPS</t>
        </is>
      </c>
      <c r="C3941" s="5" t="n">
        <v>46286</v>
      </c>
      <c r="D3941" t="inlineStr">
        <is>
          <t>Internal transfer</t>
        </is>
      </c>
      <c r="E3941" t="inlineStr">
        <is>
          <t>SWEEP 2109</t>
        </is>
      </c>
      <c r="F3941" t="inlineStr">
        <is>
          <t>Sweep from merchant account</t>
        </is>
      </c>
      <c r="G3941" s="9" t="n">
        <v>22000</v>
      </c>
      <c r="H3941" t="inlineStr">
        <is>
          <t>transfer</t>
        </is>
      </c>
      <c r="I3941" t="inlineStr"/>
      <c r="J3941" t="inlineStr">
        <is>
          <t>G00543</t>
        </is>
      </c>
      <c r="K3941" t="str">
        <f>INDEX('Match Groups'!$D$5:$D$1326,MATCH(J3941,'Match Groups'!$A$5:$A$1326,0))</f>
        <v>MATCH</v>
      </c>
    </row>
    <row r="3942">
      <c r="A3942" t="inlineStr">
        <is>
          <t>JI-01434</t>
        </is>
      </c>
      <c r="B3942" t="inlineStr">
        <is>
          <t>OPS</t>
        </is>
      </c>
      <c r="C3942" s="5" t="n">
        <v>46287</v>
      </c>
      <c r="D3942" t="inlineStr">
        <is>
          <t>Wattle Plan Services</t>
        </is>
      </c>
      <c r="E3942" t="inlineStr">
        <is>
          <t>INV/2026/03199</t>
        </is>
      </c>
      <c r="F3942" t="inlineStr">
        <is>
          <t>Customer payment INV/2026/03199</t>
        </is>
      </c>
      <c r="G3942" s="9" t="n">
        <v>242.49</v>
      </c>
      <c r="H3942" t="inlineStr">
        <is>
          <t>customer_payment</t>
        </is>
      </c>
      <c r="I3942" t="inlineStr"/>
      <c r="J3942" t="inlineStr">
        <is>
          <t>G00463</t>
        </is>
      </c>
      <c r="K3942" t="str">
        <f>INDEX('Match Groups'!$D$5:$D$1326,MATCH(J3942,'Match Groups'!$A$5:$A$1326,0))</f>
        <v>MATCH</v>
      </c>
    </row>
    <row r="3943">
      <c r="A3943" t="inlineStr">
        <is>
          <t>JI-01435</t>
        </is>
      </c>
      <c r="B3943" t="inlineStr">
        <is>
          <t>OPS</t>
        </is>
      </c>
      <c r="C3943" s="5" t="n">
        <v>46287</v>
      </c>
      <c r="D3943" t="inlineStr">
        <is>
          <t>Wattle Plan Services</t>
        </is>
      </c>
      <c r="E3943" t="inlineStr">
        <is>
          <t>INV/2026/03200</t>
        </is>
      </c>
      <c r="F3943" t="inlineStr">
        <is>
          <t>Customer payment INV/2026/03200</t>
        </is>
      </c>
      <c r="G3943" s="9" t="n">
        <v>349.18</v>
      </c>
      <c r="H3943" t="inlineStr">
        <is>
          <t>customer_payment</t>
        </is>
      </c>
      <c r="I3943" t="inlineStr"/>
      <c r="J3943" t="inlineStr">
        <is>
          <t>G00463</t>
        </is>
      </c>
      <c r="K3943" t="str">
        <f>INDEX('Match Groups'!$D$5:$D$1326,MATCH(J3943,'Match Groups'!$A$5:$A$1326,0))</f>
        <v>MATCH</v>
      </c>
    </row>
    <row r="3944">
      <c r="A3944" t="inlineStr">
        <is>
          <t>JI-01436</t>
        </is>
      </c>
      <c r="B3944" t="inlineStr">
        <is>
          <t>OPS</t>
        </is>
      </c>
      <c r="C3944" s="5" t="n">
        <v>46287</v>
      </c>
      <c r="D3944" t="inlineStr">
        <is>
          <t>Kookaburra Plan Support</t>
        </is>
      </c>
      <c r="E3944" t="inlineStr">
        <is>
          <t>INV/2026/03105</t>
        </is>
      </c>
      <c r="F3944" t="inlineStr">
        <is>
          <t>Customer payment INV/2026/03105</t>
        </is>
      </c>
      <c r="G3944" s="9" t="n">
        <v>446.18</v>
      </c>
      <c r="H3944" t="inlineStr">
        <is>
          <t>customer_payment</t>
        </is>
      </c>
      <c r="I3944" t="inlineStr"/>
      <c r="J3944" t="inlineStr">
        <is>
          <t>G00464</t>
        </is>
      </c>
      <c r="K3944" t="str">
        <f>INDEX('Match Groups'!$D$5:$D$1326,MATCH(J3944,'Match Groups'!$A$5:$A$1326,0))</f>
        <v>MATCH</v>
      </c>
    </row>
    <row r="3945">
      <c r="A3945" t="inlineStr">
        <is>
          <t>JI-01437</t>
        </is>
      </c>
      <c r="B3945" t="inlineStr">
        <is>
          <t>OPS</t>
        </is>
      </c>
      <c r="C3945" s="5" t="n">
        <v>46287</v>
      </c>
      <c r="D3945" t="inlineStr">
        <is>
          <t>Kookaburra Plan Support</t>
        </is>
      </c>
      <c r="E3945" t="inlineStr">
        <is>
          <t>INV/2026/03106</t>
        </is>
      </c>
      <c r="F3945" t="inlineStr">
        <is>
          <t>Customer payment INV/2026/03106</t>
        </is>
      </c>
      <c r="G3945" s="9" t="n">
        <v>272.49</v>
      </c>
      <c r="H3945" t="inlineStr">
        <is>
          <t>customer_payment</t>
        </is>
      </c>
      <c r="I3945" t="inlineStr"/>
      <c r="J3945" t="inlineStr">
        <is>
          <t>G00464</t>
        </is>
      </c>
      <c r="K3945" t="str">
        <f>INDEX('Match Groups'!$D$5:$D$1326,MATCH(J3945,'Match Groups'!$A$5:$A$1326,0))</f>
        <v>MATCH</v>
      </c>
    </row>
    <row r="3946">
      <c r="A3946" t="inlineStr">
        <is>
          <t>JI-01438</t>
        </is>
      </c>
      <c r="B3946" t="inlineStr">
        <is>
          <t>OPS</t>
        </is>
      </c>
      <c r="C3946" s="5" t="n">
        <v>46287</v>
      </c>
      <c r="D3946" t="inlineStr">
        <is>
          <t>Kookaburra Plan Support</t>
        </is>
      </c>
      <c r="E3946" t="inlineStr">
        <is>
          <t>INV/2026/03134</t>
        </is>
      </c>
      <c r="F3946" t="inlineStr">
        <is>
          <t>Customer payment INV/2026/03134</t>
        </is>
      </c>
      <c r="G3946" s="9" t="n">
        <v>242.49</v>
      </c>
      <c r="H3946" t="inlineStr">
        <is>
          <t>customer_payment</t>
        </is>
      </c>
      <c r="I3946" t="inlineStr"/>
      <c r="J3946" t="inlineStr">
        <is>
          <t>G00464</t>
        </is>
      </c>
      <c r="K3946" t="str">
        <f>INDEX('Match Groups'!$D$5:$D$1326,MATCH(J3946,'Match Groups'!$A$5:$A$1326,0))</f>
        <v>MATCH</v>
      </c>
    </row>
    <row r="3947">
      <c r="A3947" t="inlineStr">
        <is>
          <t>JI-01443</t>
        </is>
      </c>
      <c r="B3947" t="inlineStr">
        <is>
          <t>OPS</t>
        </is>
      </c>
      <c r="C3947" s="5" t="n">
        <v>46287</v>
      </c>
      <c r="D3947" t="inlineStr">
        <is>
          <t>Lyrebird Plan Management</t>
        </is>
      </c>
      <c r="E3947" t="inlineStr">
        <is>
          <t>INV/2026/03209</t>
        </is>
      </c>
      <c r="F3947" t="inlineStr">
        <is>
          <t>Customer payment INV/2026/03209</t>
        </is>
      </c>
      <c r="G3947" s="9" t="n">
        <v>349.18</v>
      </c>
      <c r="H3947" t="inlineStr">
        <is>
          <t>customer_payment</t>
        </is>
      </c>
      <c r="I3947" t="inlineStr"/>
      <c r="J3947" t="inlineStr">
        <is>
          <t>G00466</t>
        </is>
      </c>
      <c r="K3947" t="str">
        <f>INDEX('Match Groups'!$D$5:$D$1326,MATCH(J3947,'Match Groups'!$A$5:$A$1326,0))</f>
        <v>MATCH</v>
      </c>
    </row>
    <row r="3948">
      <c r="A3948" t="inlineStr">
        <is>
          <t>JI-01444</t>
        </is>
      </c>
      <c r="B3948" t="inlineStr">
        <is>
          <t>OPS</t>
        </is>
      </c>
      <c r="C3948" s="5" t="n">
        <v>46287</v>
      </c>
      <c r="D3948" t="inlineStr">
        <is>
          <t>Tallowwood Plans</t>
        </is>
      </c>
      <c r="E3948" t="inlineStr">
        <is>
          <t>INV/2026/03046</t>
        </is>
      </c>
      <c r="F3948" t="inlineStr">
        <is>
          <t>Customer payment INV/2026/03046</t>
        </is>
      </c>
      <c r="G3948" s="9" t="n">
        <v>126.99</v>
      </c>
      <c r="H3948" t="inlineStr">
        <is>
          <t>customer_payment</t>
        </is>
      </c>
      <c r="I3948" t="inlineStr"/>
      <c r="J3948" t="inlineStr">
        <is>
          <t>G00467</t>
        </is>
      </c>
      <c r="K3948" t="str">
        <f>INDEX('Match Groups'!$D$5:$D$1326,MATCH(J3948,'Match Groups'!$A$5:$A$1326,0))</f>
        <v>MATCH</v>
      </c>
    </row>
    <row r="3949">
      <c r="A3949" t="inlineStr">
        <is>
          <t>JI-01445</t>
        </is>
      </c>
      <c r="B3949" t="inlineStr">
        <is>
          <t>OPS</t>
        </is>
      </c>
      <c r="C3949" s="5" t="n">
        <v>46287</v>
      </c>
      <c r="D3949" t="inlineStr">
        <is>
          <t>Tallowwood Plans</t>
        </is>
      </c>
      <c r="E3949" t="inlineStr">
        <is>
          <t>INV/2026/03047</t>
        </is>
      </c>
      <c r="F3949" t="inlineStr">
        <is>
          <t>Customer payment INV/2026/03047</t>
        </is>
      </c>
      <c r="G3949" s="9" t="n">
        <v>193.99</v>
      </c>
      <c r="H3949" t="inlineStr">
        <is>
          <t>customer_payment</t>
        </is>
      </c>
      <c r="I3949" t="inlineStr"/>
      <c r="J3949" t="inlineStr">
        <is>
          <t>G00467</t>
        </is>
      </c>
      <c r="K3949" t="str">
        <f>INDEX('Match Groups'!$D$5:$D$1326,MATCH(J3949,'Match Groups'!$A$5:$A$1326,0))</f>
        <v>MATCH</v>
      </c>
    </row>
    <row r="3950">
      <c r="A3950" t="inlineStr">
        <is>
          <t>JI-01446</t>
        </is>
      </c>
      <c r="B3950" t="inlineStr">
        <is>
          <t>OPS</t>
        </is>
      </c>
      <c r="C3950" s="5" t="n">
        <v>46287</v>
      </c>
      <c r="D3950" t="inlineStr">
        <is>
          <t>Tallowwood Plans</t>
        </is>
      </c>
      <c r="E3950" t="inlineStr">
        <is>
          <t>INV/2026/03072</t>
        </is>
      </c>
      <c r="F3950" t="inlineStr">
        <is>
          <t>Customer payment INV/2026/03072</t>
        </is>
      </c>
      <c r="G3950" s="9" t="n">
        <v>193.99</v>
      </c>
      <c r="H3950" t="inlineStr">
        <is>
          <t>customer_payment</t>
        </is>
      </c>
      <c r="I3950" t="inlineStr"/>
      <c r="J3950" t="inlineStr">
        <is>
          <t>G00467</t>
        </is>
      </c>
      <c r="K3950" t="str">
        <f>INDEX('Match Groups'!$D$5:$D$1326,MATCH(J3950,'Match Groups'!$A$5:$A$1326,0))</f>
        <v>MATCH</v>
      </c>
    </row>
    <row r="3951">
      <c r="A3951" t="inlineStr">
        <is>
          <t>JI-01447</t>
        </is>
      </c>
      <c r="B3951" t="inlineStr">
        <is>
          <t>OPS</t>
        </is>
      </c>
      <c r="C3951" s="5" t="n">
        <v>46287</v>
      </c>
      <c r="D3951" t="inlineStr">
        <is>
          <t>Tallowwood Plans</t>
        </is>
      </c>
      <c r="E3951" t="inlineStr">
        <is>
          <t>INV/2026/03090</t>
        </is>
      </c>
      <c r="F3951" t="inlineStr">
        <is>
          <t>Customer payment INV/2026/03090</t>
        </is>
      </c>
      <c r="G3951" s="9" t="n">
        <v>300.69</v>
      </c>
      <c r="H3951" t="inlineStr">
        <is>
          <t>customer_payment</t>
        </is>
      </c>
      <c r="I3951" t="inlineStr"/>
      <c r="J3951" t="inlineStr">
        <is>
          <t>G00467</t>
        </is>
      </c>
      <c r="K3951" t="str">
        <f>INDEX('Match Groups'!$D$5:$D$1326,MATCH(J3951,'Match Groups'!$A$5:$A$1326,0))</f>
        <v>MATCH</v>
      </c>
    </row>
    <row r="3952">
      <c r="A3952" t="inlineStr">
        <is>
          <t>JI-01448</t>
        </is>
      </c>
      <c r="B3952" t="inlineStr">
        <is>
          <t>OPS</t>
        </is>
      </c>
      <c r="C3952" s="5" t="n">
        <v>46287</v>
      </c>
      <c r="D3952" t="inlineStr">
        <is>
          <t>Tallowwood Plans</t>
        </is>
      </c>
      <c r="E3952" t="inlineStr">
        <is>
          <t>INV/2026/03091</t>
        </is>
      </c>
      <c r="F3952" t="inlineStr">
        <is>
          <t>Customer payment INV/2026/03091</t>
        </is>
      </c>
      <c r="G3952" s="9" t="n">
        <v>387.98</v>
      </c>
      <c r="H3952" t="inlineStr">
        <is>
          <t>customer_payment</t>
        </is>
      </c>
      <c r="I3952" t="inlineStr"/>
      <c r="J3952" t="inlineStr">
        <is>
          <t>G00467</t>
        </is>
      </c>
      <c r="K3952" t="str">
        <f>INDEX('Match Groups'!$D$5:$D$1326,MATCH(J3952,'Match Groups'!$A$5:$A$1326,0))</f>
        <v>MATCH</v>
      </c>
    </row>
    <row r="3953">
      <c r="A3953" t="inlineStr">
        <is>
          <t>JI-01449</t>
        </is>
      </c>
      <c r="B3953" t="inlineStr">
        <is>
          <t>OPS</t>
        </is>
      </c>
      <c r="C3953" s="5" t="n">
        <v>46287</v>
      </c>
      <c r="D3953" t="inlineStr">
        <is>
          <t>Tallowwood Plans</t>
        </is>
      </c>
      <c r="E3953" t="inlineStr">
        <is>
          <t>INV/2026/03113</t>
        </is>
      </c>
      <c r="F3953" t="inlineStr">
        <is>
          <t>Customer payment INV/2026/03113</t>
        </is>
      </c>
      <c r="G3953" s="9" t="n">
        <v>193.99</v>
      </c>
      <c r="H3953" t="inlineStr">
        <is>
          <t>customer_payment</t>
        </is>
      </c>
      <c r="I3953" t="inlineStr"/>
      <c r="J3953" t="inlineStr">
        <is>
          <t>G00467</t>
        </is>
      </c>
      <c r="K3953" t="str">
        <f>INDEX('Match Groups'!$D$5:$D$1326,MATCH(J3953,'Match Groups'!$A$5:$A$1326,0))</f>
        <v>MATCH</v>
      </c>
    </row>
    <row r="3954">
      <c r="A3954" t="inlineStr">
        <is>
          <t>JI-01450</t>
        </is>
      </c>
      <c r="B3954" t="inlineStr">
        <is>
          <t>OPS</t>
        </is>
      </c>
      <c r="C3954" s="5" t="n">
        <v>46287</v>
      </c>
      <c r="D3954" t="inlineStr">
        <is>
          <t>Tallowwood Plans</t>
        </is>
      </c>
      <c r="E3954" t="inlineStr">
        <is>
          <t>INV/2026/03114</t>
        </is>
      </c>
      <c r="F3954" t="inlineStr">
        <is>
          <t>Customer payment INV/2026/03114</t>
        </is>
      </c>
      <c r="G3954" s="9" t="n">
        <v>126.99</v>
      </c>
      <c r="H3954" t="inlineStr">
        <is>
          <t>customer_payment</t>
        </is>
      </c>
      <c r="I3954" t="inlineStr"/>
      <c r="J3954" t="inlineStr">
        <is>
          <t>G00467</t>
        </is>
      </c>
      <c r="K3954" t="str">
        <f>INDEX('Match Groups'!$D$5:$D$1326,MATCH(J3954,'Match Groups'!$A$5:$A$1326,0))</f>
        <v>MATCH</v>
      </c>
    </row>
    <row r="3955">
      <c r="A3955" t="inlineStr">
        <is>
          <t>JI-01451</t>
        </is>
      </c>
      <c r="B3955" t="inlineStr">
        <is>
          <t>OPS</t>
        </is>
      </c>
      <c r="C3955" s="5" t="n">
        <v>46287</v>
      </c>
      <c r="D3955" t="inlineStr">
        <is>
          <t>Tallowwood Plans</t>
        </is>
      </c>
      <c r="E3955" t="inlineStr">
        <is>
          <t>INV/2026/03143</t>
        </is>
      </c>
      <c r="F3955" t="inlineStr">
        <is>
          <t>Customer payment INV/2026/03143</t>
        </is>
      </c>
      <c r="G3955" s="9" t="n">
        <v>145.49</v>
      </c>
      <c r="H3955" t="inlineStr">
        <is>
          <t>customer_payment</t>
        </is>
      </c>
      <c r="I3955" t="inlineStr"/>
      <c r="J3955" t="inlineStr">
        <is>
          <t>G00467</t>
        </is>
      </c>
      <c r="K3955" t="str">
        <f>INDEX('Match Groups'!$D$5:$D$1326,MATCH(J3955,'Match Groups'!$A$5:$A$1326,0))</f>
        <v>MATCH</v>
      </c>
    </row>
    <row r="3956">
      <c r="A3956" t="inlineStr">
        <is>
          <t>JI-01452</t>
        </is>
      </c>
      <c r="B3956" t="inlineStr">
        <is>
          <t>OPS</t>
        </is>
      </c>
      <c r="C3956" s="5" t="n">
        <v>46287</v>
      </c>
      <c r="D3956" t="inlineStr">
        <is>
          <t>Tallowwood Plans</t>
        </is>
      </c>
      <c r="E3956" t="inlineStr">
        <is>
          <t>INV/2026/03144</t>
        </is>
      </c>
      <c r="F3956" t="inlineStr">
        <is>
          <t>Customer payment INV/2026/03144</t>
        </is>
      </c>
      <c r="G3956" s="9" t="n">
        <v>290.98</v>
      </c>
      <c r="H3956" t="inlineStr">
        <is>
          <t>customer_payment</t>
        </is>
      </c>
      <c r="I3956" t="inlineStr"/>
      <c r="J3956" t="inlineStr">
        <is>
          <t>G00467</t>
        </is>
      </c>
      <c r="K3956" t="str">
        <f>INDEX('Match Groups'!$D$5:$D$1326,MATCH(J3956,'Match Groups'!$A$5:$A$1326,0))</f>
        <v>MATCH</v>
      </c>
    </row>
    <row r="3957">
      <c r="A3957" t="inlineStr">
        <is>
          <t>JI-01453</t>
        </is>
      </c>
      <c r="B3957" t="inlineStr">
        <is>
          <t>OPS</t>
        </is>
      </c>
      <c r="C3957" s="5" t="n">
        <v>46287</v>
      </c>
      <c r="D3957" t="inlineStr">
        <is>
          <t>Tallowwood Plans</t>
        </is>
      </c>
      <c r="E3957" t="inlineStr">
        <is>
          <t>INV/2026/03145</t>
        </is>
      </c>
      <c r="F3957" t="inlineStr">
        <is>
          <t>Customer payment INV/2026/03145</t>
        </is>
      </c>
      <c r="G3957" s="9" t="n">
        <v>272.49</v>
      </c>
      <c r="H3957" t="inlineStr">
        <is>
          <t>customer_payment</t>
        </is>
      </c>
      <c r="I3957" t="inlineStr"/>
      <c r="J3957" t="inlineStr">
        <is>
          <t>G00467</t>
        </is>
      </c>
      <c r="K3957" t="str">
        <f>INDEX('Match Groups'!$D$5:$D$1326,MATCH(J3957,'Match Groups'!$A$5:$A$1326,0))</f>
        <v>MATCH</v>
      </c>
    </row>
    <row r="3958">
      <c r="A3958" t="inlineStr">
        <is>
          <t>JI-01454</t>
        </is>
      </c>
      <c r="B3958" t="inlineStr">
        <is>
          <t>OPS</t>
        </is>
      </c>
      <c r="C3958" s="5" t="n">
        <v>46287</v>
      </c>
      <c r="D3958" t="inlineStr">
        <is>
          <t>Tallowwood Plans</t>
        </is>
      </c>
      <c r="E3958" t="inlineStr">
        <is>
          <t>INV/2026/03187</t>
        </is>
      </c>
      <c r="F3958" t="inlineStr">
        <is>
          <t>Customer payment INV/2026/03187</t>
        </is>
      </c>
      <c r="G3958" s="9" t="n">
        <v>417.98</v>
      </c>
      <c r="H3958" t="inlineStr">
        <is>
          <t>customer_payment</t>
        </is>
      </c>
      <c r="I3958" t="inlineStr"/>
      <c r="J3958" t="inlineStr">
        <is>
          <t>G00467</t>
        </is>
      </c>
      <c r="K3958" t="str">
        <f>INDEX('Match Groups'!$D$5:$D$1326,MATCH(J3958,'Match Groups'!$A$5:$A$1326,0))</f>
        <v>MATCH</v>
      </c>
    </row>
    <row r="3959">
      <c r="A3959" t="inlineStr">
        <is>
          <t>JI-01455</t>
        </is>
      </c>
      <c r="B3959" t="inlineStr">
        <is>
          <t>OPS</t>
        </is>
      </c>
      <c r="C3959" s="5" t="n">
        <v>46287</v>
      </c>
      <c r="D3959" t="inlineStr">
        <is>
          <t>Tallowwood Plans</t>
        </is>
      </c>
      <c r="E3959" t="inlineStr">
        <is>
          <t>INV/2026/03210</t>
        </is>
      </c>
      <c r="F3959" t="inlineStr">
        <is>
          <t>Customer payment INV/2026/03210</t>
        </is>
      </c>
      <c r="G3959" s="9" t="n">
        <v>349.18</v>
      </c>
      <c r="H3959" t="inlineStr">
        <is>
          <t>customer_payment</t>
        </is>
      </c>
      <c r="I3959" t="inlineStr"/>
      <c r="J3959" t="inlineStr">
        <is>
          <t>G00467</t>
        </is>
      </c>
      <c r="K3959" t="str">
        <f>INDEX('Match Groups'!$D$5:$D$1326,MATCH(J3959,'Match Groups'!$A$5:$A$1326,0))</f>
        <v>MATCH</v>
      </c>
    </row>
    <row r="3960">
      <c r="A3960" t="inlineStr">
        <is>
          <t>JI-01456</t>
        </is>
      </c>
      <c r="B3960" t="inlineStr">
        <is>
          <t>OPS</t>
        </is>
      </c>
      <c r="C3960" s="5" t="n">
        <v>46287</v>
      </c>
      <c r="D3960" t="inlineStr">
        <is>
          <t>Acacia Plan Partners</t>
        </is>
      </c>
      <c r="E3960" t="inlineStr">
        <is>
          <t>INV/2026/03116</t>
        </is>
      </c>
      <c r="F3960" t="inlineStr">
        <is>
          <t>Customer payment INV/2026/03116</t>
        </is>
      </c>
      <c r="G3960" s="9" t="n">
        <v>300.69</v>
      </c>
      <c r="H3960" t="inlineStr">
        <is>
          <t>customer_payment</t>
        </is>
      </c>
      <c r="I3960" t="inlineStr"/>
      <c r="J3960" t="inlineStr">
        <is>
          <t>G00468</t>
        </is>
      </c>
      <c r="K3960" t="str">
        <f>INDEX('Match Groups'!$D$5:$D$1326,MATCH(J3960,'Match Groups'!$A$5:$A$1326,0))</f>
        <v>MATCH</v>
      </c>
    </row>
    <row r="3961">
      <c r="A3961" t="inlineStr">
        <is>
          <t>JI-01457</t>
        </is>
      </c>
      <c r="B3961" t="inlineStr">
        <is>
          <t>OPS</t>
        </is>
      </c>
      <c r="C3961" s="5" t="n">
        <v>46287</v>
      </c>
      <c r="D3961" t="inlineStr">
        <is>
          <t>Acacia Plan Partners</t>
        </is>
      </c>
      <c r="E3961" t="inlineStr">
        <is>
          <t>INV/2026/03188</t>
        </is>
      </c>
      <c r="F3961" t="inlineStr">
        <is>
          <t>Customer payment INV/2026/03188</t>
        </is>
      </c>
      <c r="G3961" s="9" t="n">
        <v>387.98</v>
      </c>
      <c r="H3961" t="inlineStr">
        <is>
          <t>customer_payment</t>
        </is>
      </c>
      <c r="I3961" t="inlineStr"/>
      <c r="J3961" t="inlineStr">
        <is>
          <t>G00468</t>
        </is>
      </c>
      <c r="K3961" t="str">
        <f>INDEX('Match Groups'!$D$5:$D$1326,MATCH(J3961,'Match Groups'!$A$5:$A$1326,0))</f>
        <v>MATCH</v>
      </c>
    </row>
    <row r="3962">
      <c r="A3962" t="inlineStr">
        <is>
          <t>JI-01458</t>
        </is>
      </c>
      <c r="B3962" t="inlineStr">
        <is>
          <t>OPS</t>
        </is>
      </c>
      <c r="C3962" s="5" t="n">
        <v>46287</v>
      </c>
      <c r="D3962" t="inlineStr">
        <is>
          <t>Acacia Plan Partners</t>
        </is>
      </c>
      <c r="E3962" t="inlineStr">
        <is>
          <t>INV/2026/03211</t>
        </is>
      </c>
      <c r="F3962" t="inlineStr">
        <is>
          <t>Customer payment INV/2026/03211</t>
        </is>
      </c>
      <c r="G3962" s="9" t="n">
        <v>242.49</v>
      </c>
      <c r="H3962" t="inlineStr">
        <is>
          <t>customer_payment</t>
        </is>
      </c>
      <c r="I3962" t="inlineStr"/>
      <c r="J3962" t="inlineStr">
        <is>
          <t>G00468</t>
        </is>
      </c>
      <c r="K3962" t="str">
        <f>INDEX('Match Groups'!$D$5:$D$1326,MATCH(J3962,'Match Groups'!$A$5:$A$1326,0))</f>
        <v>MATCH</v>
      </c>
    </row>
    <row r="3963">
      <c r="A3963" t="inlineStr">
        <is>
          <t>JI-01459</t>
        </is>
      </c>
      <c r="B3963" t="inlineStr">
        <is>
          <t>OPS</t>
        </is>
      </c>
      <c r="C3963" s="5" t="n">
        <v>46287</v>
      </c>
      <c r="D3963" t="inlineStr">
        <is>
          <t>Acacia Plan Partners</t>
        </is>
      </c>
      <c r="E3963" t="inlineStr">
        <is>
          <t>INV/2026/03232</t>
        </is>
      </c>
      <c r="F3963" t="inlineStr">
        <is>
          <t>Customer payment INV/2026/03232</t>
        </is>
      </c>
      <c r="G3963" s="9" t="n">
        <v>126.99</v>
      </c>
      <c r="H3963" t="inlineStr">
        <is>
          <t>customer_payment</t>
        </is>
      </c>
      <c r="I3963" t="inlineStr"/>
      <c r="J3963" t="inlineStr">
        <is>
          <t>G00468</t>
        </is>
      </c>
      <c r="K3963" t="str">
        <f>INDEX('Match Groups'!$D$5:$D$1326,MATCH(J3963,'Match Groups'!$A$5:$A$1326,0))</f>
        <v>MATCH</v>
      </c>
    </row>
    <row r="3964">
      <c r="A3964" t="inlineStr">
        <is>
          <t>JI-01460</t>
        </is>
      </c>
      <c r="B3964" t="inlineStr">
        <is>
          <t>OPS</t>
        </is>
      </c>
      <c r="C3964" s="5" t="n">
        <v>46287</v>
      </c>
      <c r="D3964" t="inlineStr">
        <is>
          <t>Mallee Plan Services</t>
        </is>
      </c>
      <c r="E3964" t="inlineStr">
        <is>
          <t>INV/2026/03146</t>
        </is>
      </c>
      <c r="F3964" t="inlineStr">
        <is>
          <t>Customer payment INV/2026/03146</t>
        </is>
      </c>
      <c r="G3964" s="9" t="n">
        <v>272.49</v>
      </c>
      <c r="H3964" t="inlineStr">
        <is>
          <t>customer_payment</t>
        </is>
      </c>
      <c r="I3964" t="inlineStr"/>
      <c r="J3964" t="inlineStr">
        <is>
          <t>G00469</t>
        </is>
      </c>
      <c r="K3964" t="str">
        <f>INDEX('Match Groups'!$D$5:$D$1326,MATCH(J3964,'Match Groups'!$A$5:$A$1326,0))</f>
        <v>MATCH</v>
      </c>
    </row>
    <row r="3965">
      <c r="A3965" t="inlineStr">
        <is>
          <t>JI-01461</t>
        </is>
      </c>
      <c r="B3965" t="inlineStr">
        <is>
          <t>OPS</t>
        </is>
      </c>
      <c r="C3965" s="5" t="n">
        <v>46287</v>
      </c>
      <c r="D3965" t="inlineStr">
        <is>
          <t>Mallee Plan Services</t>
        </is>
      </c>
      <c r="E3965" t="inlineStr">
        <is>
          <t>INV/2026/03147</t>
        </is>
      </c>
      <c r="F3965" t="inlineStr">
        <is>
          <t>Customer payment INV/2026/03147</t>
        </is>
      </c>
      <c r="G3965" s="9" t="n">
        <v>126.99</v>
      </c>
      <c r="H3965" t="inlineStr">
        <is>
          <t>customer_payment</t>
        </is>
      </c>
      <c r="I3965" t="inlineStr"/>
      <c r="J3965" t="inlineStr">
        <is>
          <t>G00469</t>
        </is>
      </c>
      <c r="K3965" t="str">
        <f>INDEX('Match Groups'!$D$5:$D$1326,MATCH(J3965,'Match Groups'!$A$5:$A$1326,0))</f>
        <v>MATCH</v>
      </c>
    </row>
    <row r="3966">
      <c r="A3966" t="inlineStr">
        <is>
          <t>JI-01462</t>
        </is>
      </c>
      <c r="B3966" t="inlineStr">
        <is>
          <t>OPS</t>
        </is>
      </c>
      <c r="C3966" s="5" t="n">
        <v>46287</v>
      </c>
      <c r="D3966" t="inlineStr">
        <is>
          <t>Bluegum Plan Management</t>
        </is>
      </c>
      <c r="E3966" t="inlineStr">
        <is>
          <t>INV/2026/03151</t>
        </is>
      </c>
      <c r="F3966" t="inlineStr">
        <is>
          <t>Customer payment INV/2026/03151</t>
        </is>
      </c>
      <c r="G3966" s="9" t="n">
        <v>145.49</v>
      </c>
      <c r="H3966" t="inlineStr">
        <is>
          <t>customer_payment</t>
        </is>
      </c>
      <c r="I3966" t="inlineStr"/>
      <c r="J3966" t="inlineStr">
        <is>
          <t>G00470</t>
        </is>
      </c>
      <c r="K3966" t="str">
        <f>INDEX('Match Groups'!$D$5:$D$1326,MATCH(J3966,'Match Groups'!$A$5:$A$1326,0))</f>
        <v>MATCH</v>
      </c>
    </row>
    <row r="3967">
      <c r="A3967" t="inlineStr">
        <is>
          <t>JI-01463</t>
        </is>
      </c>
      <c r="B3967" t="inlineStr">
        <is>
          <t>OPS</t>
        </is>
      </c>
      <c r="C3967" s="5" t="n">
        <v>46287</v>
      </c>
      <c r="D3967" t="inlineStr">
        <is>
          <t>Bluegum Plan Management</t>
        </is>
      </c>
      <c r="E3967" t="inlineStr">
        <is>
          <t>INV/2026/03173</t>
        </is>
      </c>
      <c r="F3967" t="inlineStr">
        <is>
          <t>Customer payment INV/2026/03173</t>
        </is>
      </c>
      <c r="G3967" s="9" t="n">
        <v>96.98999999999999</v>
      </c>
      <c r="H3967" t="inlineStr">
        <is>
          <t>customer_payment</t>
        </is>
      </c>
      <c r="I3967" t="inlineStr"/>
      <c r="J3967" t="inlineStr">
        <is>
          <t>G00470</t>
        </is>
      </c>
      <c r="K3967" t="str">
        <f>INDEX('Match Groups'!$D$5:$D$1326,MATCH(J3967,'Match Groups'!$A$5:$A$1326,0))</f>
        <v>MATCH</v>
      </c>
    </row>
    <row r="3968">
      <c r="A3968" t="inlineStr">
        <is>
          <t>JI-01464</t>
        </is>
      </c>
      <c r="B3968" t="inlineStr">
        <is>
          <t>OPS</t>
        </is>
      </c>
      <c r="C3968" s="5" t="n">
        <v>46287</v>
      </c>
      <c r="D3968" t="inlineStr">
        <is>
          <t>Bluegum Plan Management</t>
        </is>
      </c>
      <c r="E3968" t="inlineStr">
        <is>
          <t>INV/2026/03174</t>
        </is>
      </c>
      <c r="F3968" t="inlineStr">
        <is>
          <t>Customer payment INV/2026/03174</t>
        </is>
      </c>
      <c r="G3968" s="9" t="n">
        <v>223.99</v>
      </c>
      <c r="H3968" t="inlineStr">
        <is>
          <t>customer_payment</t>
        </is>
      </c>
      <c r="I3968" t="inlineStr"/>
      <c r="J3968" t="inlineStr">
        <is>
          <t>G00470</t>
        </is>
      </c>
      <c r="K3968" t="str">
        <f>INDEX('Match Groups'!$D$5:$D$1326,MATCH(J3968,'Match Groups'!$A$5:$A$1326,0))</f>
        <v>MATCH</v>
      </c>
    </row>
    <row r="3969">
      <c r="A3969" t="inlineStr">
        <is>
          <t>JI-01465</t>
        </is>
      </c>
      <c r="B3969" t="inlineStr">
        <is>
          <t>OPS</t>
        </is>
      </c>
      <c r="C3969" s="5" t="n">
        <v>46287</v>
      </c>
      <c r="D3969" t="inlineStr">
        <is>
          <t>Bluegum Plan Management</t>
        </is>
      </c>
      <c r="E3969" t="inlineStr">
        <is>
          <t>INV/2026/03175</t>
        </is>
      </c>
      <c r="F3969" t="inlineStr">
        <is>
          <t>Customer payment INV/2026/03175</t>
        </is>
      </c>
      <c r="G3969" s="9" t="n">
        <v>193.99</v>
      </c>
      <c r="H3969" t="inlineStr">
        <is>
          <t>customer_payment</t>
        </is>
      </c>
      <c r="I3969" t="inlineStr"/>
      <c r="J3969" t="inlineStr">
        <is>
          <t>G00470</t>
        </is>
      </c>
      <c r="K3969" t="str">
        <f>INDEX('Match Groups'!$D$5:$D$1326,MATCH(J3969,'Match Groups'!$A$5:$A$1326,0))</f>
        <v>MATCH</v>
      </c>
    </row>
    <row r="3970">
      <c r="A3970" t="inlineStr">
        <is>
          <t>JI-01466</t>
        </is>
      </c>
      <c r="B3970" t="inlineStr">
        <is>
          <t>OPS</t>
        </is>
      </c>
      <c r="C3970" s="5" t="n">
        <v>46287</v>
      </c>
      <c r="D3970" t="inlineStr">
        <is>
          <t>Bluegum Plan Management</t>
        </is>
      </c>
      <c r="E3970" t="inlineStr">
        <is>
          <t>INV/2026/03192</t>
        </is>
      </c>
      <c r="F3970" t="inlineStr">
        <is>
          <t>Customer payment INV/2026/03192</t>
        </is>
      </c>
      <c r="G3970" s="9" t="n">
        <v>193.99</v>
      </c>
      <c r="H3970" t="inlineStr">
        <is>
          <t>customer_payment</t>
        </is>
      </c>
      <c r="I3970" t="inlineStr"/>
      <c r="J3970" t="inlineStr">
        <is>
          <t>G00470</t>
        </is>
      </c>
      <c r="K3970" t="str">
        <f>INDEX('Match Groups'!$D$5:$D$1326,MATCH(J3970,'Match Groups'!$A$5:$A$1326,0))</f>
        <v>MATCH</v>
      </c>
    </row>
    <row r="3971">
      <c r="A3971" t="inlineStr">
        <is>
          <t>JI-03510</t>
        </is>
      </c>
      <c r="B3971" t="inlineStr">
        <is>
          <t>OPS</t>
        </is>
      </c>
      <c r="C3971" s="5" t="n">
        <v>46287</v>
      </c>
      <c r="D3971" t="inlineStr">
        <is>
          <t>Stripe patient 81678</t>
        </is>
      </c>
      <c r="E3971" t="inlineStr">
        <is>
          <t>INV/2026/05351</t>
        </is>
      </c>
      <c r="F3971" t="inlineStr">
        <is>
          <t>Customer payment INV/2026/05351</t>
        </is>
      </c>
      <c r="G3971" s="9" t="n">
        <v>180</v>
      </c>
      <c r="H3971" t="inlineStr">
        <is>
          <t>customer_payment</t>
        </is>
      </c>
      <c r="I3971" t="inlineStr"/>
      <c r="J3971" t="inlineStr">
        <is>
          <t>G00075</t>
        </is>
      </c>
      <c r="K3971" t="str">
        <f>INDEX('Match Groups'!$D$5:$D$1326,MATCH(J3971,'Match Groups'!$A$5:$A$1326,0))</f>
        <v>STRIPE-FEE</v>
      </c>
    </row>
    <row r="3972">
      <c r="A3972" t="inlineStr">
        <is>
          <t>JI-03511</t>
        </is>
      </c>
      <c r="B3972" t="inlineStr">
        <is>
          <t>OPS</t>
        </is>
      </c>
      <c r="C3972" s="5" t="n">
        <v>46287</v>
      </c>
      <c r="D3972" t="inlineStr">
        <is>
          <t>Stripe patient 79967</t>
        </is>
      </c>
      <c r="E3972" t="inlineStr">
        <is>
          <t>INV/2026/05352</t>
        </is>
      </c>
      <c r="F3972" t="inlineStr">
        <is>
          <t>Customer payment INV/2026/05352</t>
        </is>
      </c>
      <c r="G3972" s="9" t="n">
        <v>220</v>
      </c>
      <c r="H3972" t="inlineStr">
        <is>
          <t>customer_payment</t>
        </is>
      </c>
      <c r="I3972" t="inlineStr"/>
      <c r="J3972" t="inlineStr">
        <is>
          <t>G00075</t>
        </is>
      </c>
      <c r="K3972" t="str">
        <f>INDEX('Match Groups'!$D$5:$D$1326,MATCH(J3972,'Match Groups'!$A$5:$A$1326,0))</f>
        <v>STRIPE-FEE</v>
      </c>
    </row>
    <row r="3973">
      <c r="A3973" t="inlineStr">
        <is>
          <t>JI-03512</t>
        </is>
      </c>
      <c r="B3973" t="inlineStr">
        <is>
          <t>OPS</t>
        </is>
      </c>
      <c r="C3973" s="5" t="n">
        <v>46287</v>
      </c>
      <c r="D3973" t="inlineStr">
        <is>
          <t>Stripe patient 43945</t>
        </is>
      </c>
      <c r="E3973" t="inlineStr">
        <is>
          <t>INV/2026/05353</t>
        </is>
      </c>
      <c r="F3973" t="inlineStr">
        <is>
          <t>Customer payment INV/2026/05353</t>
        </is>
      </c>
      <c r="G3973" s="9" t="n">
        <v>65</v>
      </c>
      <c r="H3973" t="inlineStr">
        <is>
          <t>customer_payment</t>
        </is>
      </c>
      <c r="I3973" t="inlineStr"/>
      <c r="J3973" t="inlineStr">
        <is>
          <t>G00075</t>
        </is>
      </c>
      <c r="K3973" t="str">
        <f>INDEX('Match Groups'!$D$5:$D$1326,MATCH(J3973,'Match Groups'!$A$5:$A$1326,0))</f>
        <v>STRIPE-FEE</v>
      </c>
    </row>
    <row r="3974">
      <c r="A3974" t="inlineStr">
        <is>
          <t>JI-03513</t>
        </is>
      </c>
      <c r="B3974" t="inlineStr">
        <is>
          <t>OPS</t>
        </is>
      </c>
      <c r="C3974" s="5" t="n">
        <v>46287</v>
      </c>
      <c r="D3974" t="inlineStr">
        <is>
          <t>Stripe patient 49745</t>
        </is>
      </c>
      <c r="E3974" t="inlineStr">
        <is>
          <t>INV/2026/05354</t>
        </is>
      </c>
      <c r="F3974" t="inlineStr">
        <is>
          <t>Customer payment INV/2026/05354</t>
        </is>
      </c>
      <c r="G3974" s="9" t="n">
        <v>220</v>
      </c>
      <c r="H3974" t="inlineStr">
        <is>
          <t>customer_payment</t>
        </is>
      </c>
      <c r="I3974" t="inlineStr"/>
      <c r="J3974" t="inlineStr">
        <is>
          <t>G00075</t>
        </is>
      </c>
      <c r="K3974" t="str">
        <f>INDEX('Match Groups'!$D$5:$D$1326,MATCH(J3974,'Match Groups'!$A$5:$A$1326,0))</f>
        <v>STRIPE-FEE</v>
      </c>
    </row>
    <row r="3975">
      <c r="A3975" t="inlineStr">
        <is>
          <t>JI-03514</t>
        </is>
      </c>
      <c r="B3975" t="inlineStr">
        <is>
          <t>OPS</t>
        </is>
      </c>
      <c r="C3975" s="5" t="n">
        <v>46287</v>
      </c>
      <c r="D3975" t="inlineStr">
        <is>
          <t>Stripe patient 10085</t>
        </is>
      </c>
      <c r="E3975" t="inlineStr">
        <is>
          <t>INV/2026/05355</t>
        </is>
      </c>
      <c r="F3975" t="inlineStr">
        <is>
          <t>Customer payment INV/2026/05355</t>
        </is>
      </c>
      <c r="G3975" s="9" t="n">
        <v>135</v>
      </c>
      <c r="H3975" t="inlineStr">
        <is>
          <t>customer_payment</t>
        </is>
      </c>
      <c r="I3975" t="inlineStr"/>
      <c r="J3975" t="inlineStr">
        <is>
          <t>G00075</t>
        </is>
      </c>
      <c r="K3975" t="str">
        <f>INDEX('Match Groups'!$D$5:$D$1326,MATCH(J3975,'Match Groups'!$A$5:$A$1326,0))</f>
        <v>STRIPE-FEE</v>
      </c>
    </row>
    <row r="3976">
      <c r="A3976" t="inlineStr">
        <is>
          <t>JI-03515</t>
        </is>
      </c>
      <c r="B3976" t="inlineStr">
        <is>
          <t>OPS</t>
        </is>
      </c>
      <c r="C3976" s="5" t="n">
        <v>46287</v>
      </c>
      <c r="D3976" t="inlineStr">
        <is>
          <t>Stripe patient 31508</t>
        </is>
      </c>
      <c r="E3976" t="inlineStr">
        <is>
          <t>INV/2026/05356</t>
        </is>
      </c>
      <c r="F3976" t="inlineStr">
        <is>
          <t>Customer payment INV/2026/05356</t>
        </is>
      </c>
      <c r="G3976" s="9" t="n">
        <v>95</v>
      </c>
      <c r="H3976" t="inlineStr">
        <is>
          <t>customer_payment</t>
        </is>
      </c>
      <c r="I3976" t="inlineStr"/>
      <c r="J3976" t="inlineStr">
        <is>
          <t>G00075</t>
        </is>
      </c>
      <c r="K3976" t="str">
        <f>INDEX('Match Groups'!$D$5:$D$1326,MATCH(J3976,'Match Groups'!$A$5:$A$1326,0))</f>
        <v>STRIPE-FEE</v>
      </c>
    </row>
    <row r="3977">
      <c r="A3977" t="inlineStr">
        <is>
          <t>JI-03516</t>
        </is>
      </c>
      <c r="B3977" t="inlineStr">
        <is>
          <t>OPS</t>
        </is>
      </c>
      <c r="C3977" s="5" t="n">
        <v>46287</v>
      </c>
      <c r="D3977" t="inlineStr">
        <is>
          <t>Stripe patient 36051</t>
        </is>
      </c>
      <c r="E3977" t="inlineStr">
        <is>
          <t>INV/2026/05357</t>
        </is>
      </c>
      <c r="F3977" t="inlineStr">
        <is>
          <t>Customer payment INV/2026/05357</t>
        </is>
      </c>
      <c r="G3977" s="9" t="n">
        <v>95</v>
      </c>
      <c r="H3977" t="inlineStr">
        <is>
          <t>customer_payment</t>
        </is>
      </c>
      <c r="I3977" t="inlineStr"/>
      <c r="J3977" t="inlineStr">
        <is>
          <t>G00075</t>
        </is>
      </c>
      <c r="K3977" t="str">
        <f>INDEX('Match Groups'!$D$5:$D$1326,MATCH(J3977,'Match Groups'!$A$5:$A$1326,0))</f>
        <v>STRIPE-FEE</v>
      </c>
    </row>
    <row r="3978">
      <c r="A3978" t="inlineStr">
        <is>
          <t>JI-03517</t>
        </is>
      </c>
      <c r="B3978" t="inlineStr">
        <is>
          <t>OPS</t>
        </is>
      </c>
      <c r="C3978" s="5" t="n">
        <v>46287</v>
      </c>
      <c r="D3978" t="inlineStr">
        <is>
          <t>Stripe patient 95324</t>
        </is>
      </c>
      <c r="E3978" t="inlineStr">
        <is>
          <t>INV/2026/05358</t>
        </is>
      </c>
      <c r="F3978" t="inlineStr">
        <is>
          <t>Customer payment INV/2026/05358</t>
        </is>
      </c>
      <c r="G3978" s="9" t="n">
        <v>110</v>
      </c>
      <c r="H3978" t="inlineStr">
        <is>
          <t>customer_payment</t>
        </is>
      </c>
      <c r="I3978" t="inlineStr"/>
      <c r="J3978" t="inlineStr">
        <is>
          <t>G00075</t>
        </is>
      </c>
      <c r="K3978" t="str">
        <f>INDEX('Match Groups'!$D$5:$D$1326,MATCH(J3978,'Match Groups'!$A$5:$A$1326,0))</f>
        <v>STRIPE-FEE</v>
      </c>
    </row>
    <row r="3979">
      <c r="A3979" t="inlineStr">
        <is>
          <t>JI-03518</t>
        </is>
      </c>
      <c r="B3979" t="inlineStr">
        <is>
          <t>OPS</t>
        </is>
      </c>
      <c r="C3979" s="5" t="n">
        <v>46287</v>
      </c>
      <c r="D3979" t="inlineStr">
        <is>
          <t>Stripe patient 71348</t>
        </is>
      </c>
      <c r="E3979" t="inlineStr">
        <is>
          <t>INV/2026/05359</t>
        </is>
      </c>
      <c r="F3979" t="inlineStr">
        <is>
          <t>Customer payment INV/2026/05359</t>
        </is>
      </c>
      <c r="G3979" s="9" t="n">
        <v>180</v>
      </c>
      <c r="H3979" t="inlineStr">
        <is>
          <t>customer_payment</t>
        </is>
      </c>
      <c r="I3979" t="inlineStr"/>
      <c r="J3979" t="inlineStr">
        <is>
          <t>G00075</t>
        </is>
      </c>
      <c r="K3979" t="str">
        <f>INDEX('Match Groups'!$D$5:$D$1326,MATCH(J3979,'Match Groups'!$A$5:$A$1326,0))</f>
        <v>STRIPE-FEE</v>
      </c>
    </row>
    <row r="3980">
      <c r="A3980" t="inlineStr">
        <is>
          <t>JI-03519</t>
        </is>
      </c>
      <c r="B3980" t="inlineStr">
        <is>
          <t>OPS</t>
        </is>
      </c>
      <c r="C3980" s="5" t="n">
        <v>46287</v>
      </c>
      <c r="D3980" t="inlineStr">
        <is>
          <t>Stripe patient 64353</t>
        </is>
      </c>
      <c r="E3980" t="inlineStr">
        <is>
          <t>INV/2026/05360</t>
        </is>
      </c>
      <c r="F3980" t="inlineStr">
        <is>
          <t>Customer payment INV/2026/05360</t>
        </is>
      </c>
      <c r="G3980" s="9" t="n">
        <v>120</v>
      </c>
      <c r="H3980" t="inlineStr">
        <is>
          <t>customer_payment</t>
        </is>
      </c>
      <c r="I3980" t="inlineStr"/>
      <c r="J3980" t="inlineStr">
        <is>
          <t>G00075</t>
        </is>
      </c>
      <c r="K3980" t="str">
        <f>INDEX('Match Groups'!$D$5:$D$1326,MATCH(J3980,'Match Groups'!$A$5:$A$1326,0))</f>
        <v>STRIPE-FEE</v>
      </c>
    </row>
    <row r="3981">
      <c r="A3981" t="inlineStr">
        <is>
          <t>JI-03520</t>
        </is>
      </c>
      <c r="B3981" t="inlineStr">
        <is>
          <t>OPS</t>
        </is>
      </c>
      <c r="C3981" s="5" t="n">
        <v>46287</v>
      </c>
      <c r="D3981" t="inlineStr">
        <is>
          <t>Stripe patient 88688</t>
        </is>
      </c>
      <c r="E3981" t="inlineStr">
        <is>
          <t>INV/2026/05361</t>
        </is>
      </c>
      <c r="F3981" t="inlineStr">
        <is>
          <t>Customer payment INV/2026/05361</t>
        </is>
      </c>
      <c r="G3981" s="9" t="n">
        <v>135</v>
      </c>
      <c r="H3981" t="inlineStr">
        <is>
          <t>customer_payment</t>
        </is>
      </c>
      <c r="I3981" t="inlineStr"/>
      <c r="J3981" t="inlineStr">
        <is>
          <t>G00075</t>
        </is>
      </c>
      <c r="K3981" t="str">
        <f>INDEX('Match Groups'!$D$5:$D$1326,MATCH(J3981,'Match Groups'!$A$5:$A$1326,0))</f>
        <v>STRIPE-FEE</v>
      </c>
    </row>
    <row r="3982">
      <c r="A3982" t="inlineStr">
        <is>
          <t>JI-03521</t>
        </is>
      </c>
      <c r="B3982" t="inlineStr">
        <is>
          <t>OPS</t>
        </is>
      </c>
      <c r="C3982" s="5" t="n">
        <v>46287</v>
      </c>
      <c r="D3982" t="inlineStr">
        <is>
          <t>Stripe patient 42508</t>
        </is>
      </c>
      <c r="E3982" t="inlineStr">
        <is>
          <t>INV/2026/05362</t>
        </is>
      </c>
      <c r="F3982" t="inlineStr">
        <is>
          <t>Customer payment INV/2026/05362</t>
        </is>
      </c>
      <c r="G3982" s="9" t="n">
        <v>65</v>
      </c>
      <c r="H3982" t="inlineStr">
        <is>
          <t>customer_payment</t>
        </is>
      </c>
      <c r="I3982" t="inlineStr"/>
      <c r="J3982" t="inlineStr">
        <is>
          <t>G00075</t>
        </is>
      </c>
      <c r="K3982" t="str">
        <f>INDEX('Match Groups'!$D$5:$D$1326,MATCH(J3982,'Match Groups'!$A$5:$A$1326,0))</f>
        <v>STRIPE-FEE</v>
      </c>
    </row>
    <row r="3983">
      <c r="A3983" t="inlineStr">
        <is>
          <t>JI-03522</t>
        </is>
      </c>
      <c r="B3983" t="inlineStr">
        <is>
          <t>OPS</t>
        </is>
      </c>
      <c r="C3983" s="5" t="n">
        <v>46287</v>
      </c>
      <c r="D3983" t="inlineStr">
        <is>
          <t>Stripe patient 75840</t>
        </is>
      </c>
      <c r="E3983" t="inlineStr">
        <is>
          <t>INV/2026/05363</t>
        </is>
      </c>
      <c r="F3983" t="inlineStr">
        <is>
          <t>Customer payment INV/2026/05363</t>
        </is>
      </c>
      <c r="G3983" s="9" t="n">
        <v>135</v>
      </c>
      <c r="H3983" t="inlineStr">
        <is>
          <t>customer_payment</t>
        </is>
      </c>
      <c r="I3983" t="inlineStr"/>
      <c r="J3983" t="inlineStr">
        <is>
          <t>G00075</t>
        </is>
      </c>
      <c r="K3983" t="str">
        <f>INDEX('Match Groups'!$D$5:$D$1326,MATCH(J3983,'Match Groups'!$A$5:$A$1326,0))</f>
        <v>STRIPE-FEE</v>
      </c>
    </row>
    <row r="3984">
      <c r="A3984" t="inlineStr">
        <is>
          <t>JI-03523</t>
        </is>
      </c>
      <c r="B3984" t="inlineStr">
        <is>
          <t>OPS</t>
        </is>
      </c>
      <c r="C3984" s="5" t="n">
        <v>46287</v>
      </c>
      <c r="D3984" t="inlineStr">
        <is>
          <t>Stripe patient 52683</t>
        </is>
      </c>
      <c r="E3984" t="inlineStr">
        <is>
          <t>INV/2026/05364</t>
        </is>
      </c>
      <c r="F3984" t="inlineStr">
        <is>
          <t>Customer payment INV/2026/05364</t>
        </is>
      </c>
      <c r="G3984" s="9" t="n">
        <v>220</v>
      </c>
      <c r="H3984" t="inlineStr">
        <is>
          <t>customer_payment</t>
        </is>
      </c>
      <c r="I3984" t="inlineStr"/>
      <c r="J3984" t="inlineStr">
        <is>
          <t>G00075</t>
        </is>
      </c>
      <c r="K3984" t="str">
        <f>INDEX('Match Groups'!$D$5:$D$1326,MATCH(J3984,'Match Groups'!$A$5:$A$1326,0))</f>
        <v>STRIPE-FEE</v>
      </c>
    </row>
    <row r="3985">
      <c r="A3985" t="inlineStr">
        <is>
          <t>JI-03524</t>
        </is>
      </c>
      <c r="B3985" t="inlineStr">
        <is>
          <t>OPS</t>
        </is>
      </c>
      <c r="C3985" s="5" t="n">
        <v>46287</v>
      </c>
      <c r="D3985" t="inlineStr">
        <is>
          <t>Stripe patient 68034</t>
        </is>
      </c>
      <c r="E3985" t="inlineStr">
        <is>
          <t>INV/2026/05365</t>
        </is>
      </c>
      <c r="F3985" t="inlineStr">
        <is>
          <t>Customer payment INV/2026/05365</t>
        </is>
      </c>
      <c r="G3985" s="9" t="n">
        <v>135</v>
      </c>
      <c r="H3985" t="inlineStr">
        <is>
          <t>customer_payment</t>
        </is>
      </c>
      <c r="I3985" t="inlineStr"/>
      <c r="J3985" t="inlineStr">
        <is>
          <t>G00075</t>
        </is>
      </c>
      <c r="K3985" t="str">
        <f>INDEX('Match Groups'!$D$5:$D$1326,MATCH(J3985,'Match Groups'!$A$5:$A$1326,0))</f>
        <v>STRIPE-FEE</v>
      </c>
    </row>
    <row r="3986">
      <c r="A3986" t="inlineStr">
        <is>
          <t>JI-03525</t>
        </is>
      </c>
      <c r="B3986" t="inlineStr">
        <is>
          <t>OPS</t>
        </is>
      </c>
      <c r="C3986" s="5" t="n">
        <v>46287</v>
      </c>
      <c r="D3986" t="inlineStr">
        <is>
          <t>Stripe patient 77251</t>
        </is>
      </c>
      <c r="E3986" t="inlineStr">
        <is>
          <t>INV/2026/05366</t>
        </is>
      </c>
      <c r="F3986" t="inlineStr">
        <is>
          <t>Customer payment INV/2026/05366</t>
        </is>
      </c>
      <c r="G3986" s="9" t="n">
        <v>85</v>
      </c>
      <c r="H3986" t="inlineStr">
        <is>
          <t>customer_payment</t>
        </is>
      </c>
      <c r="I3986" t="inlineStr"/>
      <c r="J3986" t="inlineStr">
        <is>
          <t>G00075</t>
        </is>
      </c>
      <c r="K3986" t="str">
        <f>INDEX('Match Groups'!$D$5:$D$1326,MATCH(J3986,'Match Groups'!$A$5:$A$1326,0))</f>
        <v>STRIPE-FEE</v>
      </c>
    </row>
    <row r="3987">
      <c r="A3987" t="inlineStr">
        <is>
          <t>JI-03526</t>
        </is>
      </c>
      <c r="B3987" t="inlineStr">
        <is>
          <t>OPS</t>
        </is>
      </c>
      <c r="C3987" s="5" t="n">
        <v>46287</v>
      </c>
      <c r="D3987" t="inlineStr">
        <is>
          <t>Stripe patient 59802</t>
        </is>
      </c>
      <c r="E3987" t="inlineStr">
        <is>
          <t>INV/2026/05367</t>
        </is>
      </c>
      <c r="F3987" t="inlineStr">
        <is>
          <t>Customer payment INV/2026/05367</t>
        </is>
      </c>
      <c r="G3987" s="9" t="n">
        <v>220</v>
      </c>
      <c r="H3987" t="inlineStr">
        <is>
          <t>customer_payment</t>
        </is>
      </c>
      <c r="I3987" t="inlineStr"/>
      <c r="J3987" t="inlineStr">
        <is>
          <t>G00075</t>
        </is>
      </c>
      <c r="K3987" t="str">
        <f>INDEX('Match Groups'!$D$5:$D$1326,MATCH(J3987,'Match Groups'!$A$5:$A$1326,0))</f>
        <v>STRIPE-FEE</v>
      </c>
    </row>
    <row r="3988">
      <c r="A3988" t="inlineStr">
        <is>
          <t>JI-03527</t>
        </is>
      </c>
      <c r="B3988" t="inlineStr">
        <is>
          <t>OPS</t>
        </is>
      </c>
      <c r="C3988" s="5" t="n">
        <v>46287</v>
      </c>
      <c r="D3988" t="inlineStr">
        <is>
          <t>Stripe patient 24250</t>
        </is>
      </c>
      <c r="E3988" t="inlineStr">
        <is>
          <t>INV/2026/05368</t>
        </is>
      </c>
      <c r="F3988" t="inlineStr">
        <is>
          <t>Customer payment INV/2026/05368</t>
        </is>
      </c>
      <c r="G3988" s="9" t="n">
        <v>110</v>
      </c>
      <c r="H3988" t="inlineStr">
        <is>
          <t>customer_payment</t>
        </is>
      </c>
      <c r="I3988" t="inlineStr"/>
      <c r="J3988" t="inlineStr">
        <is>
          <t>G00075</t>
        </is>
      </c>
      <c r="K3988" t="str">
        <f>INDEX('Match Groups'!$D$5:$D$1326,MATCH(J3988,'Match Groups'!$A$5:$A$1326,0))</f>
        <v>STRIPE-FEE</v>
      </c>
    </row>
    <row r="3989">
      <c r="A3989" t="inlineStr">
        <is>
          <t>JI-01467</t>
        </is>
      </c>
      <c r="B3989" t="inlineStr">
        <is>
          <t>OPS</t>
        </is>
      </c>
      <c r="C3989" s="5" t="n">
        <v>46288</v>
      </c>
      <c r="D3989" t="inlineStr">
        <is>
          <t>Wattle Plan Services</t>
        </is>
      </c>
      <c r="E3989" t="inlineStr">
        <is>
          <t>INV/2026/03221</t>
        </is>
      </c>
      <c r="F3989" t="inlineStr">
        <is>
          <t>Customer payment INV/2026/03221</t>
        </is>
      </c>
      <c r="G3989" s="9" t="n">
        <v>272.49</v>
      </c>
      <c r="H3989" t="inlineStr">
        <is>
          <t>customer_payment</t>
        </is>
      </c>
      <c r="I3989" t="inlineStr"/>
      <c r="J3989" t="inlineStr">
        <is>
          <t>G00471</t>
        </is>
      </c>
      <c r="K3989" t="str">
        <f>INDEX('Match Groups'!$D$5:$D$1326,MATCH(J3989,'Match Groups'!$A$5:$A$1326,0))</f>
        <v>MATCH</v>
      </c>
    </row>
    <row r="3990">
      <c r="A3990" t="inlineStr">
        <is>
          <t>JI-01468</t>
        </is>
      </c>
      <c r="B3990" t="inlineStr">
        <is>
          <t>OPS</t>
        </is>
      </c>
      <c r="C3990" s="5" t="n">
        <v>46288</v>
      </c>
      <c r="D3990" t="inlineStr">
        <is>
          <t>Banksia Plan Co</t>
        </is>
      </c>
      <c r="E3990" t="inlineStr">
        <is>
          <t>INV/2026/03131</t>
        </is>
      </c>
      <c r="F3990" t="inlineStr">
        <is>
          <t>Customer payment INV/2026/03131</t>
        </is>
      </c>
      <c r="G3990" s="9" t="n">
        <v>223.99</v>
      </c>
      <c r="H3990" t="inlineStr">
        <is>
          <t>customer_payment</t>
        </is>
      </c>
      <c r="I3990" t="inlineStr"/>
      <c r="J3990" t="inlineStr">
        <is>
          <t>G00472</t>
        </is>
      </c>
      <c r="K3990" t="str">
        <f>INDEX('Match Groups'!$D$5:$D$1326,MATCH(J3990,'Match Groups'!$A$5:$A$1326,0))</f>
        <v>MATCH</v>
      </c>
    </row>
    <row r="3991">
      <c r="A3991" t="inlineStr">
        <is>
          <t>JI-01469</t>
        </is>
      </c>
      <c r="B3991" t="inlineStr">
        <is>
          <t>OPS</t>
        </is>
      </c>
      <c r="C3991" s="5" t="n">
        <v>46288</v>
      </c>
      <c r="D3991" t="inlineStr">
        <is>
          <t>Banksia Plan Co</t>
        </is>
      </c>
      <c r="E3991" t="inlineStr">
        <is>
          <t>INV/2026/03132</t>
        </is>
      </c>
      <c r="F3991" t="inlineStr">
        <is>
          <t>Customer payment INV/2026/03132</t>
        </is>
      </c>
      <c r="G3991" s="9" t="n">
        <v>417.98</v>
      </c>
      <c r="H3991" t="inlineStr">
        <is>
          <t>customer_payment</t>
        </is>
      </c>
      <c r="I3991" t="inlineStr"/>
      <c r="J3991" t="inlineStr">
        <is>
          <t>G00472</t>
        </is>
      </c>
      <c r="K3991" t="str">
        <f>INDEX('Match Groups'!$D$5:$D$1326,MATCH(J3991,'Match Groups'!$A$5:$A$1326,0))</f>
        <v>MATCH</v>
      </c>
    </row>
    <row r="3992">
      <c r="A3992" t="inlineStr">
        <is>
          <t>JI-01470</t>
        </is>
      </c>
      <c r="B3992" t="inlineStr">
        <is>
          <t>OPS</t>
        </is>
      </c>
      <c r="C3992" s="5" t="n">
        <v>46288</v>
      </c>
      <c r="D3992" t="inlineStr">
        <is>
          <t>Banksia Plan Co</t>
        </is>
      </c>
      <c r="E3992" t="inlineStr">
        <is>
          <t>INV/2026/03156</t>
        </is>
      </c>
      <c r="F3992" t="inlineStr">
        <is>
          <t>Customer payment INV/2026/03156</t>
        </is>
      </c>
      <c r="G3992" s="9" t="n">
        <v>145.49</v>
      </c>
      <c r="H3992" t="inlineStr">
        <is>
          <t>customer_payment</t>
        </is>
      </c>
      <c r="I3992" t="inlineStr"/>
      <c r="J3992" t="inlineStr">
        <is>
          <t>G00472</t>
        </is>
      </c>
      <c r="K3992" t="str">
        <f>INDEX('Match Groups'!$D$5:$D$1326,MATCH(J3992,'Match Groups'!$A$5:$A$1326,0))</f>
        <v>MATCH</v>
      </c>
    </row>
    <row r="3993">
      <c r="A3993" t="inlineStr">
        <is>
          <t>JI-01471</t>
        </is>
      </c>
      <c r="B3993" t="inlineStr">
        <is>
          <t>OPS</t>
        </is>
      </c>
      <c r="C3993" s="5" t="n">
        <v>46288</v>
      </c>
      <c r="D3993" t="inlineStr">
        <is>
          <t>Southern Cross Plan Mgmt</t>
        </is>
      </c>
      <c r="E3993" t="inlineStr">
        <is>
          <t>INV/2026/03142</t>
        </is>
      </c>
      <c r="F3993" t="inlineStr">
        <is>
          <t>Customer payment INV/2026/03142</t>
        </is>
      </c>
      <c r="G3993" s="9" t="n">
        <v>155.19</v>
      </c>
      <c r="H3993" t="inlineStr">
        <is>
          <t>customer_payment</t>
        </is>
      </c>
      <c r="I3993" t="inlineStr"/>
      <c r="J3993" t="inlineStr">
        <is>
          <t>G00474</t>
        </is>
      </c>
      <c r="K3993" t="str">
        <f>INDEX('Match Groups'!$D$5:$D$1326,MATCH(J3993,'Match Groups'!$A$5:$A$1326,0))</f>
        <v>MATCH</v>
      </c>
    </row>
    <row r="3994">
      <c r="A3994" t="inlineStr">
        <is>
          <t>JI-01472</t>
        </is>
      </c>
      <c r="B3994" t="inlineStr">
        <is>
          <t>OPS</t>
        </is>
      </c>
      <c r="C3994" s="5" t="n">
        <v>46288</v>
      </c>
      <c r="D3994" t="inlineStr">
        <is>
          <t>Southern Cross Plan Mgmt</t>
        </is>
      </c>
      <c r="E3994" t="inlineStr">
        <is>
          <t>INV/2026/03207</t>
        </is>
      </c>
      <c r="F3994" t="inlineStr">
        <is>
          <t>Customer payment INV/2026/03207</t>
        </is>
      </c>
      <c r="G3994" s="9" t="n">
        <v>96.98999999999999</v>
      </c>
      <c r="H3994" t="inlineStr">
        <is>
          <t>customer_payment</t>
        </is>
      </c>
      <c r="I3994" t="inlineStr"/>
      <c r="J3994" t="inlineStr">
        <is>
          <t>G00474</t>
        </is>
      </c>
      <c r="K3994" t="str">
        <f>INDEX('Match Groups'!$D$5:$D$1326,MATCH(J3994,'Match Groups'!$A$5:$A$1326,0))</f>
        <v>MATCH</v>
      </c>
    </row>
    <row r="3995">
      <c r="A3995" t="inlineStr">
        <is>
          <t>JI-01473</t>
        </is>
      </c>
      <c r="B3995" t="inlineStr">
        <is>
          <t>OPS</t>
        </is>
      </c>
      <c r="C3995" s="5" t="n">
        <v>46288</v>
      </c>
      <c r="D3995" t="inlineStr">
        <is>
          <t>Mallee Plan Services</t>
        </is>
      </c>
      <c r="E3995" t="inlineStr">
        <is>
          <t>INV/2026/03170</t>
        </is>
      </c>
      <c r="F3995" t="inlineStr">
        <is>
          <t>Customer payment INV/2026/03170</t>
        </is>
      </c>
      <c r="G3995" s="9" t="n">
        <v>193.99</v>
      </c>
      <c r="H3995" t="inlineStr">
        <is>
          <t>customer_payment</t>
        </is>
      </c>
      <c r="I3995" t="inlineStr"/>
      <c r="J3995" t="inlineStr">
        <is>
          <t>G00476</t>
        </is>
      </c>
      <c r="K3995" t="str">
        <f>INDEX('Match Groups'!$D$5:$D$1326,MATCH(J3995,'Match Groups'!$A$5:$A$1326,0))</f>
        <v>MATCH</v>
      </c>
    </row>
    <row r="3996">
      <c r="A3996" t="inlineStr">
        <is>
          <t>JI-01474</t>
        </is>
      </c>
      <c r="B3996" t="inlineStr">
        <is>
          <t>OPS</t>
        </is>
      </c>
      <c r="C3996" s="5" t="n">
        <v>46288</v>
      </c>
      <c r="D3996" t="inlineStr">
        <is>
          <t>Mallee Plan Services</t>
        </is>
      </c>
      <c r="E3996" t="inlineStr">
        <is>
          <t>INV/2026/03214</t>
        </is>
      </c>
      <c r="F3996" t="inlineStr">
        <is>
          <t>Customer payment INV/2026/03214</t>
        </is>
      </c>
      <c r="G3996" s="9" t="n">
        <v>223.99</v>
      </c>
      <c r="H3996" t="inlineStr">
        <is>
          <t>customer_payment</t>
        </is>
      </c>
      <c r="I3996" t="inlineStr"/>
      <c r="J3996" t="inlineStr">
        <is>
          <t>G00476</t>
        </is>
      </c>
      <c r="K3996" t="str">
        <f>INDEX('Match Groups'!$D$5:$D$1326,MATCH(J3996,'Match Groups'!$A$5:$A$1326,0))</f>
        <v>MATCH</v>
      </c>
    </row>
    <row r="3997">
      <c r="A3997" t="inlineStr">
        <is>
          <t>JI-01486</t>
        </is>
      </c>
      <c r="B3997" t="inlineStr">
        <is>
          <t>OPS</t>
        </is>
      </c>
      <c r="C3997" s="5" t="n">
        <v>46288</v>
      </c>
      <c r="D3997" t="inlineStr">
        <is>
          <t>Redgum Plan Admin</t>
        </is>
      </c>
      <c r="E3997" t="inlineStr">
        <is>
          <t>INV/2026/03168</t>
        </is>
      </c>
      <c r="F3997" t="inlineStr">
        <is>
          <t>Customer payment INV/2026/03168</t>
        </is>
      </c>
      <c r="G3997" s="9" t="n">
        <v>203.69</v>
      </c>
      <c r="H3997" t="inlineStr">
        <is>
          <t>customer_payment</t>
        </is>
      </c>
      <c r="I3997" t="inlineStr"/>
      <c r="J3997" t="inlineStr">
        <is>
          <t>G00480</t>
        </is>
      </c>
      <c r="K3997" t="str">
        <f>INDEX('Match Groups'!$D$5:$D$1326,MATCH(J3997,'Match Groups'!$A$5:$A$1326,0))</f>
        <v>MATCH</v>
      </c>
    </row>
    <row r="3998">
      <c r="A3998" t="inlineStr">
        <is>
          <t>JI-01487</t>
        </is>
      </c>
      <c r="B3998" t="inlineStr">
        <is>
          <t>OPS</t>
        </is>
      </c>
      <c r="C3998" s="5" t="n">
        <v>46288</v>
      </c>
      <c r="D3998" t="inlineStr">
        <is>
          <t>Redgum Plan Admin</t>
        </is>
      </c>
      <c r="E3998" t="inlineStr">
        <is>
          <t>INV/2026/03204</t>
        </is>
      </c>
      <c r="F3998" t="inlineStr">
        <is>
          <t>Customer payment INV/2026/03204</t>
        </is>
      </c>
      <c r="G3998" s="9" t="n">
        <v>145.49</v>
      </c>
      <c r="H3998" t="inlineStr">
        <is>
          <t>customer_payment</t>
        </is>
      </c>
      <c r="I3998" t="inlineStr"/>
      <c r="J3998" t="inlineStr">
        <is>
          <t>G00480</t>
        </is>
      </c>
      <c r="K3998" t="str">
        <f>INDEX('Match Groups'!$D$5:$D$1326,MATCH(J3998,'Match Groups'!$A$5:$A$1326,0))</f>
        <v>MATCH</v>
      </c>
    </row>
    <row r="3999">
      <c r="A3999" t="inlineStr">
        <is>
          <t>JI-01554</t>
        </is>
      </c>
      <c r="B3999" t="inlineStr">
        <is>
          <t>OPS</t>
        </is>
      </c>
      <c r="C3999" s="5" t="n">
        <v>46288</v>
      </c>
      <c r="D3999" t="inlineStr">
        <is>
          <t>Harbour Mutual Health</t>
        </is>
      </c>
      <c r="E3999" t="inlineStr">
        <is>
          <t>INV/2026/03074</t>
        </is>
      </c>
      <c r="F3999" t="inlineStr">
        <is>
          <t>Customer payment INV/2026/03074</t>
        </is>
      </c>
      <c r="G3999" s="9" t="n">
        <v>990</v>
      </c>
      <c r="H3999" t="inlineStr">
        <is>
          <t>customer_payment</t>
        </is>
      </c>
      <c r="I3999" t="inlineStr"/>
      <c r="J3999" t="inlineStr">
        <is>
          <t>G01077</t>
        </is>
      </c>
      <c r="K3999" t="str">
        <f>INDEX('Match Groups'!$D$5:$D$1326,MATCH(J3999,'Match Groups'!$A$5:$A$1326,0))</f>
        <v>MATCH</v>
      </c>
    </row>
    <row r="4000">
      <c r="A4000" t="inlineStr">
        <is>
          <t>JI-01628</t>
        </is>
      </c>
      <c r="B4000" t="inlineStr">
        <is>
          <t>OPS</t>
        </is>
      </c>
      <c r="C4000" s="5" t="n">
        <v>46288</v>
      </c>
      <c r="D4000" t="inlineStr">
        <is>
          <t>Meridian Health Cover</t>
        </is>
      </c>
      <c r="E4000" t="inlineStr">
        <is>
          <t>INV/2026/03031</t>
        </is>
      </c>
      <c r="F4000" t="inlineStr">
        <is>
          <t>Customer payment INV/2026/03031</t>
        </is>
      </c>
      <c r="G4000" s="9" t="n">
        <v>264</v>
      </c>
      <c r="H4000" t="inlineStr">
        <is>
          <t>customer_payment</t>
        </is>
      </c>
      <c r="I4000" t="inlineStr"/>
      <c r="J4000" t="inlineStr">
        <is>
          <t>G01079</t>
        </is>
      </c>
      <c r="K4000" t="str">
        <f>INDEX('Match Groups'!$D$5:$D$1326,MATCH(J4000,'Match Groups'!$A$5:$A$1326,0))</f>
        <v>MATCH</v>
      </c>
    </row>
    <row r="4001">
      <c r="A4001" t="inlineStr">
        <is>
          <t>JI-03528</t>
        </is>
      </c>
      <c r="B4001" t="inlineStr">
        <is>
          <t>OPS</t>
        </is>
      </c>
      <c r="C4001" s="5" t="n">
        <v>46288</v>
      </c>
      <c r="D4001" t="inlineStr">
        <is>
          <t>Stripe patient 27864</t>
        </is>
      </c>
      <c r="E4001" t="inlineStr">
        <is>
          <t>INV/2026/05369</t>
        </is>
      </c>
      <c r="F4001" t="inlineStr">
        <is>
          <t>Customer payment INV/2026/05369</t>
        </is>
      </c>
      <c r="G4001" s="9" t="n">
        <v>120</v>
      </c>
      <c r="H4001" t="inlineStr">
        <is>
          <t>customer_payment</t>
        </is>
      </c>
      <c r="I4001" t="inlineStr"/>
      <c r="J4001" t="inlineStr">
        <is>
          <t>G00076</t>
        </is>
      </c>
      <c r="K4001" t="str">
        <f>INDEX('Match Groups'!$D$5:$D$1326,MATCH(J4001,'Match Groups'!$A$5:$A$1326,0))</f>
        <v>STRIPE-FEE</v>
      </c>
    </row>
    <row r="4002">
      <c r="A4002" t="inlineStr">
        <is>
          <t>JI-03529</t>
        </is>
      </c>
      <c r="B4002" t="inlineStr">
        <is>
          <t>OPS</t>
        </is>
      </c>
      <c r="C4002" s="5" t="n">
        <v>46288</v>
      </c>
      <c r="D4002" t="inlineStr">
        <is>
          <t>Stripe patient 71275</t>
        </is>
      </c>
      <c r="E4002" t="inlineStr">
        <is>
          <t>INV/2026/05370</t>
        </is>
      </c>
      <c r="F4002" t="inlineStr">
        <is>
          <t>Customer payment INV/2026/05370</t>
        </is>
      </c>
      <c r="G4002" s="9" t="n">
        <v>150</v>
      </c>
      <c r="H4002" t="inlineStr">
        <is>
          <t>customer_payment</t>
        </is>
      </c>
      <c r="I4002" t="inlineStr"/>
      <c r="J4002" t="inlineStr">
        <is>
          <t>G00076</t>
        </is>
      </c>
      <c r="K4002" t="str">
        <f>INDEX('Match Groups'!$D$5:$D$1326,MATCH(J4002,'Match Groups'!$A$5:$A$1326,0))</f>
        <v>STRIPE-FEE</v>
      </c>
    </row>
    <row r="4003">
      <c r="A4003" t="inlineStr">
        <is>
          <t>JI-03530</t>
        </is>
      </c>
      <c r="B4003" t="inlineStr">
        <is>
          <t>OPS</t>
        </is>
      </c>
      <c r="C4003" s="5" t="n">
        <v>46288</v>
      </c>
      <c r="D4003" t="inlineStr">
        <is>
          <t>Stripe patient 30038</t>
        </is>
      </c>
      <c r="E4003" t="inlineStr">
        <is>
          <t>INV/2026/05371</t>
        </is>
      </c>
      <c r="F4003" t="inlineStr">
        <is>
          <t>Customer payment INV/2026/05371</t>
        </is>
      </c>
      <c r="G4003" s="9" t="n">
        <v>220</v>
      </c>
      <c r="H4003" t="inlineStr">
        <is>
          <t>customer_payment</t>
        </is>
      </c>
      <c r="I4003" t="inlineStr"/>
      <c r="J4003" t="inlineStr">
        <is>
          <t>G00076</t>
        </is>
      </c>
      <c r="K4003" t="str">
        <f>INDEX('Match Groups'!$D$5:$D$1326,MATCH(J4003,'Match Groups'!$A$5:$A$1326,0))</f>
        <v>STRIPE-FEE</v>
      </c>
    </row>
    <row r="4004">
      <c r="A4004" t="inlineStr">
        <is>
          <t>JI-03531</t>
        </is>
      </c>
      <c r="B4004" t="inlineStr">
        <is>
          <t>OPS</t>
        </is>
      </c>
      <c r="C4004" s="5" t="n">
        <v>46288</v>
      </c>
      <c r="D4004" t="inlineStr">
        <is>
          <t>Stripe patient 25342</t>
        </is>
      </c>
      <c r="E4004" t="inlineStr">
        <is>
          <t>INV/2026/05372</t>
        </is>
      </c>
      <c r="F4004" t="inlineStr">
        <is>
          <t>Customer payment INV/2026/05372</t>
        </is>
      </c>
      <c r="G4004" s="9" t="n">
        <v>135</v>
      </c>
      <c r="H4004" t="inlineStr">
        <is>
          <t>customer_payment</t>
        </is>
      </c>
      <c r="I4004" t="inlineStr"/>
      <c r="J4004" t="inlineStr">
        <is>
          <t>G00076</t>
        </is>
      </c>
      <c r="K4004" t="str">
        <f>INDEX('Match Groups'!$D$5:$D$1326,MATCH(J4004,'Match Groups'!$A$5:$A$1326,0))</f>
        <v>STRIPE-FEE</v>
      </c>
    </row>
    <row r="4005">
      <c r="A4005" t="inlineStr">
        <is>
          <t>JI-03532</t>
        </is>
      </c>
      <c r="B4005" t="inlineStr">
        <is>
          <t>OPS</t>
        </is>
      </c>
      <c r="C4005" s="5" t="n">
        <v>46288</v>
      </c>
      <c r="D4005" t="inlineStr">
        <is>
          <t>Stripe patient 20013</t>
        </is>
      </c>
      <c r="E4005" t="inlineStr">
        <is>
          <t>INV/2026/05373</t>
        </is>
      </c>
      <c r="F4005" t="inlineStr">
        <is>
          <t>Customer payment INV/2026/05373</t>
        </is>
      </c>
      <c r="G4005" s="9" t="n">
        <v>220</v>
      </c>
      <c r="H4005" t="inlineStr">
        <is>
          <t>customer_payment</t>
        </is>
      </c>
      <c r="I4005" t="inlineStr"/>
      <c r="J4005" t="inlineStr">
        <is>
          <t>G00076</t>
        </is>
      </c>
      <c r="K4005" t="str">
        <f>INDEX('Match Groups'!$D$5:$D$1326,MATCH(J4005,'Match Groups'!$A$5:$A$1326,0))</f>
        <v>STRIPE-FEE</v>
      </c>
    </row>
    <row r="4006">
      <c r="A4006" t="inlineStr">
        <is>
          <t>JI-03533</t>
        </is>
      </c>
      <c r="B4006" t="inlineStr">
        <is>
          <t>OPS</t>
        </is>
      </c>
      <c r="C4006" s="5" t="n">
        <v>46288</v>
      </c>
      <c r="D4006" t="inlineStr">
        <is>
          <t>Stripe patient 44933</t>
        </is>
      </c>
      <c r="E4006" t="inlineStr">
        <is>
          <t>INV/2026/05374</t>
        </is>
      </c>
      <c r="F4006" t="inlineStr">
        <is>
          <t>Customer payment INV/2026/05374</t>
        </is>
      </c>
      <c r="G4006" s="9" t="n">
        <v>95</v>
      </c>
      <c r="H4006" t="inlineStr">
        <is>
          <t>customer_payment</t>
        </is>
      </c>
      <c r="I4006" t="inlineStr"/>
      <c r="J4006" t="inlineStr">
        <is>
          <t>G00076</t>
        </is>
      </c>
      <c r="K4006" t="str">
        <f>INDEX('Match Groups'!$D$5:$D$1326,MATCH(J4006,'Match Groups'!$A$5:$A$1326,0))</f>
        <v>STRIPE-FEE</v>
      </c>
    </row>
    <row r="4007">
      <c r="A4007" t="inlineStr">
        <is>
          <t>JI-03534</t>
        </is>
      </c>
      <c r="B4007" t="inlineStr">
        <is>
          <t>OPS</t>
        </is>
      </c>
      <c r="C4007" s="5" t="n">
        <v>46288</v>
      </c>
      <c r="D4007" t="inlineStr">
        <is>
          <t>Stripe patient 72530</t>
        </is>
      </c>
      <c r="E4007" t="inlineStr">
        <is>
          <t>INV/2026/05375</t>
        </is>
      </c>
      <c r="F4007" t="inlineStr">
        <is>
          <t>Customer payment INV/2026/05375</t>
        </is>
      </c>
      <c r="G4007" s="9" t="n">
        <v>95</v>
      </c>
      <c r="H4007" t="inlineStr">
        <is>
          <t>customer_payment</t>
        </is>
      </c>
      <c r="I4007" t="inlineStr"/>
      <c r="J4007" t="inlineStr">
        <is>
          <t>G00076</t>
        </is>
      </c>
      <c r="K4007" t="str">
        <f>INDEX('Match Groups'!$D$5:$D$1326,MATCH(J4007,'Match Groups'!$A$5:$A$1326,0))</f>
        <v>STRIPE-FEE</v>
      </c>
    </row>
    <row r="4008">
      <c r="A4008" t="inlineStr">
        <is>
          <t>JI-03535</t>
        </is>
      </c>
      <c r="B4008" t="inlineStr">
        <is>
          <t>OPS</t>
        </is>
      </c>
      <c r="C4008" s="5" t="n">
        <v>46288</v>
      </c>
      <c r="D4008" t="inlineStr">
        <is>
          <t>Stripe patient 20257</t>
        </is>
      </c>
      <c r="E4008" t="inlineStr">
        <is>
          <t>INV/2026/05376</t>
        </is>
      </c>
      <c r="F4008" t="inlineStr">
        <is>
          <t>Customer payment INV/2026/05376</t>
        </is>
      </c>
      <c r="G4008" s="9" t="n">
        <v>110</v>
      </c>
      <c r="H4008" t="inlineStr">
        <is>
          <t>customer_payment</t>
        </is>
      </c>
      <c r="I4008" t="inlineStr"/>
      <c r="J4008" t="inlineStr">
        <is>
          <t>G00076</t>
        </is>
      </c>
      <c r="K4008" t="str">
        <f>INDEX('Match Groups'!$D$5:$D$1326,MATCH(J4008,'Match Groups'!$A$5:$A$1326,0))</f>
        <v>STRIPE-FEE</v>
      </c>
    </row>
    <row r="4009">
      <c r="A4009" t="inlineStr">
        <is>
          <t>JI-03536</t>
        </is>
      </c>
      <c r="B4009" t="inlineStr">
        <is>
          <t>OPS</t>
        </is>
      </c>
      <c r="C4009" s="5" t="n">
        <v>46288</v>
      </c>
      <c r="D4009" t="inlineStr">
        <is>
          <t>Stripe patient 16764</t>
        </is>
      </c>
      <c r="E4009" t="inlineStr">
        <is>
          <t>INV/2026/05377</t>
        </is>
      </c>
      <c r="F4009" t="inlineStr">
        <is>
          <t>Customer payment INV/2026/05377</t>
        </is>
      </c>
      <c r="G4009" s="9" t="n">
        <v>65</v>
      </c>
      <c r="H4009" t="inlineStr">
        <is>
          <t>customer_payment</t>
        </is>
      </c>
      <c r="I4009" t="inlineStr"/>
      <c r="J4009" t="inlineStr">
        <is>
          <t>G00076</t>
        </is>
      </c>
      <c r="K4009" t="str">
        <f>INDEX('Match Groups'!$D$5:$D$1326,MATCH(J4009,'Match Groups'!$A$5:$A$1326,0))</f>
        <v>STRIPE-FEE</v>
      </c>
    </row>
    <row r="4010">
      <c r="A4010" t="inlineStr">
        <is>
          <t>JI-03537</t>
        </is>
      </c>
      <c r="B4010" t="inlineStr">
        <is>
          <t>OPS</t>
        </is>
      </c>
      <c r="C4010" s="5" t="n">
        <v>46288</v>
      </c>
      <c r="D4010" t="inlineStr">
        <is>
          <t>Stripe patient 27133</t>
        </is>
      </c>
      <c r="E4010" t="inlineStr">
        <is>
          <t>INV/2026/05378</t>
        </is>
      </c>
      <c r="F4010" t="inlineStr">
        <is>
          <t>Customer payment INV/2026/05378</t>
        </is>
      </c>
      <c r="G4010" s="9" t="n">
        <v>65</v>
      </c>
      <c r="H4010" t="inlineStr">
        <is>
          <t>customer_payment</t>
        </is>
      </c>
      <c r="I4010" t="inlineStr"/>
      <c r="J4010" t="inlineStr">
        <is>
          <t>G00076</t>
        </is>
      </c>
      <c r="K4010" t="str">
        <f>INDEX('Match Groups'!$D$5:$D$1326,MATCH(J4010,'Match Groups'!$A$5:$A$1326,0))</f>
        <v>STRIPE-FEE</v>
      </c>
    </row>
    <row r="4011">
      <c r="A4011" t="inlineStr">
        <is>
          <t>JI-03538</t>
        </is>
      </c>
      <c r="B4011" t="inlineStr">
        <is>
          <t>OPS</t>
        </is>
      </c>
      <c r="C4011" s="5" t="n">
        <v>46288</v>
      </c>
      <c r="D4011" t="inlineStr">
        <is>
          <t>Stripe patient 89289</t>
        </is>
      </c>
      <c r="E4011" t="inlineStr">
        <is>
          <t>INV/2026/05379</t>
        </is>
      </c>
      <c r="F4011" t="inlineStr">
        <is>
          <t>Customer payment INV/2026/05379</t>
        </is>
      </c>
      <c r="G4011" s="9" t="n">
        <v>110</v>
      </c>
      <c r="H4011" t="inlineStr">
        <is>
          <t>customer_payment</t>
        </is>
      </c>
      <c r="I4011" t="inlineStr"/>
      <c r="J4011" t="inlineStr">
        <is>
          <t>G00076</t>
        </is>
      </c>
      <c r="K4011" t="str">
        <f>INDEX('Match Groups'!$D$5:$D$1326,MATCH(J4011,'Match Groups'!$A$5:$A$1326,0))</f>
        <v>STRIPE-FEE</v>
      </c>
    </row>
    <row r="4012">
      <c r="A4012" t="inlineStr">
        <is>
          <t>JI-03539</t>
        </is>
      </c>
      <c r="B4012" t="inlineStr">
        <is>
          <t>OPS</t>
        </is>
      </c>
      <c r="C4012" s="5" t="n">
        <v>46288</v>
      </c>
      <c r="D4012" t="inlineStr">
        <is>
          <t>Stripe patient 83121</t>
        </is>
      </c>
      <c r="E4012" t="inlineStr">
        <is>
          <t>INV/2026/05380</t>
        </is>
      </c>
      <c r="F4012" t="inlineStr">
        <is>
          <t>Customer payment INV/2026/05380</t>
        </is>
      </c>
      <c r="G4012" s="9" t="n">
        <v>65</v>
      </c>
      <c r="H4012" t="inlineStr">
        <is>
          <t>customer_payment</t>
        </is>
      </c>
      <c r="I4012" t="inlineStr"/>
      <c r="J4012" t="inlineStr">
        <is>
          <t>G00076</t>
        </is>
      </c>
      <c r="K4012" t="str">
        <f>INDEX('Match Groups'!$D$5:$D$1326,MATCH(J4012,'Match Groups'!$A$5:$A$1326,0))</f>
        <v>STRIPE-FEE</v>
      </c>
    </row>
    <row r="4013">
      <c r="A4013" t="inlineStr">
        <is>
          <t>JI-03540</t>
        </is>
      </c>
      <c r="B4013" t="inlineStr">
        <is>
          <t>OPS</t>
        </is>
      </c>
      <c r="C4013" s="5" t="n">
        <v>46288</v>
      </c>
      <c r="D4013" t="inlineStr">
        <is>
          <t>Stripe patient 81212</t>
        </is>
      </c>
      <c r="E4013" t="inlineStr">
        <is>
          <t>INV/2026/05381</t>
        </is>
      </c>
      <c r="F4013" t="inlineStr">
        <is>
          <t>Customer payment INV/2026/05381</t>
        </is>
      </c>
      <c r="G4013" s="9" t="n">
        <v>135</v>
      </c>
      <c r="H4013" t="inlineStr">
        <is>
          <t>customer_payment</t>
        </is>
      </c>
      <c r="I4013" t="inlineStr"/>
      <c r="J4013" t="inlineStr">
        <is>
          <t>G00076</t>
        </is>
      </c>
      <c r="K4013" t="str">
        <f>INDEX('Match Groups'!$D$5:$D$1326,MATCH(J4013,'Match Groups'!$A$5:$A$1326,0))</f>
        <v>STRIPE-FEE</v>
      </c>
    </row>
    <row r="4014">
      <c r="A4014" t="inlineStr">
        <is>
          <t>JI-03541</t>
        </is>
      </c>
      <c r="B4014" t="inlineStr">
        <is>
          <t>OPS</t>
        </is>
      </c>
      <c r="C4014" s="5" t="n">
        <v>46288</v>
      </c>
      <c r="D4014" t="inlineStr">
        <is>
          <t>Stripe patient 99138</t>
        </is>
      </c>
      <c r="E4014" t="inlineStr">
        <is>
          <t>INV/2026/05382</t>
        </is>
      </c>
      <c r="F4014" t="inlineStr">
        <is>
          <t>Customer payment INV/2026/05382</t>
        </is>
      </c>
      <c r="G4014" s="9" t="n">
        <v>120</v>
      </c>
      <c r="H4014" t="inlineStr">
        <is>
          <t>customer_payment</t>
        </is>
      </c>
      <c r="I4014" t="inlineStr"/>
      <c r="J4014" t="inlineStr">
        <is>
          <t>G00076</t>
        </is>
      </c>
      <c r="K4014" t="str">
        <f>INDEX('Match Groups'!$D$5:$D$1326,MATCH(J4014,'Match Groups'!$A$5:$A$1326,0))</f>
        <v>STRIPE-FEE</v>
      </c>
    </row>
    <row r="4015">
      <c r="A4015" t="inlineStr">
        <is>
          <t>JI-03542</t>
        </is>
      </c>
      <c r="B4015" t="inlineStr">
        <is>
          <t>OPS</t>
        </is>
      </c>
      <c r="C4015" s="5" t="n">
        <v>46288</v>
      </c>
      <c r="D4015" t="inlineStr">
        <is>
          <t>Stripe patient 83891</t>
        </is>
      </c>
      <c r="E4015" t="inlineStr">
        <is>
          <t>INV/2026/05383</t>
        </is>
      </c>
      <c r="F4015" t="inlineStr">
        <is>
          <t>Customer payment INV/2026/05383</t>
        </is>
      </c>
      <c r="G4015" s="9" t="n">
        <v>110</v>
      </c>
      <c r="H4015" t="inlineStr">
        <is>
          <t>customer_payment</t>
        </is>
      </c>
      <c r="I4015" t="inlineStr"/>
      <c r="J4015" t="inlineStr">
        <is>
          <t>G00076</t>
        </is>
      </c>
      <c r="K4015" t="str">
        <f>INDEX('Match Groups'!$D$5:$D$1326,MATCH(J4015,'Match Groups'!$A$5:$A$1326,0))</f>
        <v>STRIPE-FEE</v>
      </c>
    </row>
    <row r="4016">
      <c r="A4016" t="inlineStr">
        <is>
          <t>JI-03543</t>
        </is>
      </c>
      <c r="B4016" t="inlineStr">
        <is>
          <t>OPS</t>
        </is>
      </c>
      <c r="C4016" s="5" t="n">
        <v>46288</v>
      </c>
      <c r="D4016" t="inlineStr">
        <is>
          <t>Stripe patient 44646</t>
        </is>
      </c>
      <c r="E4016" t="inlineStr">
        <is>
          <t>INV/2026/05384</t>
        </is>
      </c>
      <c r="F4016" t="inlineStr">
        <is>
          <t>Customer payment INV/2026/05384</t>
        </is>
      </c>
      <c r="G4016" s="9" t="n">
        <v>120</v>
      </c>
      <c r="H4016" t="inlineStr">
        <is>
          <t>customer_payment</t>
        </is>
      </c>
      <c r="I4016" t="inlineStr"/>
      <c r="J4016" t="inlineStr">
        <is>
          <t>G00076</t>
        </is>
      </c>
      <c r="K4016" t="str">
        <f>INDEX('Match Groups'!$D$5:$D$1326,MATCH(J4016,'Match Groups'!$A$5:$A$1326,0))</f>
        <v>STRIPE-FEE</v>
      </c>
    </row>
    <row r="4017">
      <c r="A4017" t="inlineStr">
        <is>
          <t>JI-03544</t>
        </is>
      </c>
      <c r="B4017" t="inlineStr">
        <is>
          <t>OPS</t>
        </is>
      </c>
      <c r="C4017" s="5" t="n">
        <v>46288</v>
      </c>
      <c r="D4017" t="inlineStr">
        <is>
          <t>Stripe patient 14941</t>
        </is>
      </c>
      <c r="E4017" t="inlineStr">
        <is>
          <t>INV/2026/05385</t>
        </is>
      </c>
      <c r="F4017" t="inlineStr">
        <is>
          <t>Customer payment INV/2026/05385</t>
        </is>
      </c>
      <c r="G4017" s="9" t="n">
        <v>110</v>
      </c>
      <c r="H4017" t="inlineStr">
        <is>
          <t>customer_payment</t>
        </is>
      </c>
      <c r="I4017" t="inlineStr"/>
      <c r="J4017" t="inlineStr">
        <is>
          <t>G00076</t>
        </is>
      </c>
      <c r="K4017" t="str">
        <f>INDEX('Match Groups'!$D$5:$D$1326,MATCH(J4017,'Match Groups'!$A$5:$A$1326,0))</f>
        <v>STRIPE-FEE</v>
      </c>
    </row>
    <row r="4018">
      <c r="A4018" t="inlineStr">
        <is>
          <t>JI-03545</t>
        </is>
      </c>
      <c r="B4018" t="inlineStr">
        <is>
          <t>OPS</t>
        </is>
      </c>
      <c r="C4018" s="5" t="n">
        <v>46288</v>
      </c>
      <c r="D4018" t="inlineStr">
        <is>
          <t>Stripe patient 99621</t>
        </is>
      </c>
      <c r="E4018" t="inlineStr">
        <is>
          <t>INV/2026/05386</t>
        </is>
      </c>
      <c r="F4018" t="inlineStr">
        <is>
          <t>Customer payment INV/2026/05386</t>
        </is>
      </c>
      <c r="G4018" s="9" t="n">
        <v>135</v>
      </c>
      <c r="H4018" t="inlineStr">
        <is>
          <t>customer_payment</t>
        </is>
      </c>
      <c r="I4018" t="inlineStr"/>
      <c r="J4018" t="inlineStr">
        <is>
          <t>G00076</t>
        </is>
      </c>
      <c r="K4018" t="str">
        <f>INDEX('Match Groups'!$D$5:$D$1326,MATCH(J4018,'Match Groups'!$A$5:$A$1326,0))</f>
        <v>STRIPE-FEE</v>
      </c>
    </row>
    <row r="4019">
      <c r="A4019" t="inlineStr">
        <is>
          <t>JI-03546</t>
        </is>
      </c>
      <c r="B4019" t="inlineStr">
        <is>
          <t>OPS</t>
        </is>
      </c>
      <c r="C4019" s="5" t="n">
        <v>46288</v>
      </c>
      <c r="D4019" t="inlineStr">
        <is>
          <t>Stripe patient 75709</t>
        </is>
      </c>
      <c r="E4019" t="inlineStr">
        <is>
          <t>INV/2026/05387</t>
        </is>
      </c>
      <c r="F4019" t="inlineStr">
        <is>
          <t>Customer payment INV/2026/05387</t>
        </is>
      </c>
      <c r="G4019" s="9" t="n">
        <v>220</v>
      </c>
      <c r="H4019" t="inlineStr">
        <is>
          <t>customer_payment</t>
        </is>
      </c>
      <c r="I4019" t="inlineStr"/>
      <c r="J4019" t="inlineStr">
        <is>
          <t>G00076</t>
        </is>
      </c>
      <c r="K4019" t="str">
        <f>INDEX('Match Groups'!$D$5:$D$1326,MATCH(J4019,'Match Groups'!$A$5:$A$1326,0))</f>
        <v>STRIPE-FEE</v>
      </c>
    </row>
    <row r="4020">
      <c r="A4020" t="inlineStr">
        <is>
          <t>JI-03547</t>
        </is>
      </c>
      <c r="B4020" t="inlineStr">
        <is>
          <t>OPS</t>
        </is>
      </c>
      <c r="C4020" s="5" t="n">
        <v>46288</v>
      </c>
      <c r="D4020" t="inlineStr">
        <is>
          <t>Stripe patient 67257</t>
        </is>
      </c>
      <c r="E4020" t="inlineStr">
        <is>
          <t>INV/2026/05388</t>
        </is>
      </c>
      <c r="F4020" t="inlineStr">
        <is>
          <t>Customer payment INV/2026/05388</t>
        </is>
      </c>
      <c r="G4020" s="9" t="n">
        <v>120</v>
      </c>
      <c r="H4020" t="inlineStr">
        <is>
          <t>customer_payment</t>
        </is>
      </c>
      <c r="I4020" t="inlineStr"/>
      <c r="J4020" t="inlineStr">
        <is>
          <t>G00076</t>
        </is>
      </c>
      <c r="K4020" t="str">
        <f>INDEX('Match Groups'!$D$5:$D$1326,MATCH(J4020,'Match Groups'!$A$5:$A$1326,0))</f>
        <v>STRIPE-FEE</v>
      </c>
    </row>
    <row r="4021">
      <c r="A4021" t="inlineStr">
        <is>
          <t>JI-03548</t>
        </is>
      </c>
      <c r="B4021" t="inlineStr">
        <is>
          <t>OPS</t>
        </is>
      </c>
      <c r="C4021" s="5" t="n">
        <v>46288</v>
      </c>
      <c r="D4021" t="inlineStr">
        <is>
          <t>Stripe patient 21017</t>
        </is>
      </c>
      <c r="E4021" t="inlineStr">
        <is>
          <t>INV/2026/05389</t>
        </is>
      </c>
      <c r="F4021" t="inlineStr">
        <is>
          <t>Customer payment INV/2026/05389</t>
        </is>
      </c>
      <c r="G4021" s="9" t="n">
        <v>85</v>
      </c>
      <c r="H4021" t="inlineStr">
        <is>
          <t>customer_payment</t>
        </is>
      </c>
      <c r="I4021" t="inlineStr"/>
      <c r="J4021" t="inlineStr">
        <is>
          <t>G00076</t>
        </is>
      </c>
      <c r="K4021" t="str">
        <f>INDEX('Match Groups'!$D$5:$D$1326,MATCH(J4021,'Match Groups'!$A$5:$A$1326,0))</f>
        <v>STRIPE-FEE</v>
      </c>
    </row>
    <row r="4022">
      <c r="A4022" t="inlineStr">
        <is>
          <t>JI-03549</t>
        </is>
      </c>
      <c r="B4022" t="inlineStr">
        <is>
          <t>OPS</t>
        </is>
      </c>
      <c r="C4022" s="5" t="n">
        <v>46288</v>
      </c>
      <c r="D4022" t="inlineStr">
        <is>
          <t>Stripe patient 29006</t>
        </is>
      </c>
      <c r="E4022" t="inlineStr">
        <is>
          <t>INV/2026/05390</t>
        </is>
      </c>
      <c r="F4022" t="inlineStr">
        <is>
          <t>Customer payment INV/2026/05390</t>
        </is>
      </c>
      <c r="G4022" s="9" t="n">
        <v>95</v>
      </c>
      <c r="H4022" t="inlineStr">
        <is>
          <t>customer_payment</t>
        </is>
      </c>
      <c r="I4022" t="inlineStr"/>
      <c r="J4022" t="inlineStr">
        <is>
          <t>G00076</t>
        </is>
      </c>
      <c r="K4022" t="str">
        <f>INDEX('Match Groups'!$D$5:$D$1326,MATCH(J4022,'Match Groups'!$A$5:$A$1326,0))</f>
        <v>STRIPE-FEE</v>
      </c>
    </row>
    <row r="4023">
      <c r="A4023" t="inlineStr">
        <is>
          <t>JI-03550</t>
        </is>
      </c>
      <c r="B4023" t="inlineStr">
        <is>
          <t>OPS</t>
        </is>
      </c>
      <c r="C4023" s="5" t="n">
        <v>46288</v>
      </c>
      <c r="D4023" t="inlineStr">
        <is>
          <t>Stripe patient 17936</t>
        </is>
      </c>
      <c r="E4023" t="inlineStr">
        <is>
          <t>INV/2026/05391</t>
        </is>
      </c>
      <c r="F4023" t="inlineStr">
        <is>
          <t>Customer payment INV/2026/05391</t>
        </is>
      </c>
      <c r="G4023" s="9" t="n">
        <v>120</v>
      </c>
      <c r="H4023" t="inlineStr">
        <is>
          <t>customer_payment</t>
        </is>
      </c>
      <c r="I4023" t="inlineStr"/>
      <c r="J4023" t="inlineStr">
        <is>
          <t>G00076</t>
        </is>
      </c>
      <c r="K4023" t="str">
        <f>INDEX('Match Groups'!$D$5:$D$1326,MATCH(J4023,'Match Groups'!$A$5:$A$1326,0))</f>
        <v>STRIPE-FEE</v>
      </c>
    </row>
    <row r="4024">
      <c r="A4024" t="inlineStr">
        <is>
          <t>JI-03551</t>
        </is>
      </c>
      <c r="B4024" t="inlineStr">
        <is>
          <t>OPS</t>
        </is>
      </c>
      <c r="C4024" s="5" t="n">
        <v>46288</v>
      </c>
      <c r="D4024" t="inlineStr">
        <is>
          <t>Stripe patient 81309</t>
        </is>
      </c>
      <c r="E4024" t="inlineStr">
        <is>
          <t>INV/2026/05392</t>
        </is>
      </c>
      <c r="F4024" t="inlineStr">
        <is>
          <t>Customer payment INV/2026/05392</t>
        </is>
      </c>
      <c r="G4024" s="9" t="n">
        <v>85</v>
      </c>
      <c r="H4024" t="inlineStr">
        <is>
          <t>customer_payment</t>
        </is>
      </c>
      <c r="I4024" t="inlineStr"/>
      <c r="J4024" t="inlineStr">
        <is>
          <t>G00076</t>
        </is>
      </c>
      <c r="K4024" t="str">
        <f>INDEX('Match Groups'!$D$5:$D$1326,MATCH(J4024,'Match Groups'!$A$5:$A$1326,0))</f>
        <v>STRIPE-FEE</v>
      </c>
    </row>
    <row r="4025">
      <c r="A4025" t="inlineStr">
        <is>
          <t>JI-03552</t>
        </is>
      </c>
      <c r="B4025" t="inlineStr">
        <is>
          <t>OPS</t>
        </is>
      </c>
      <c r="C4025" s="5" t="n">
        <v>46288</v>
      </c>
      <c r="D4025" t="inlineStr">
        <is>
          <t>Stripe patient 52421</t>
        </is>
      </c>
      <c r="E4025" t="inlineStr">
        <is>
          <t>INV/2026/05393</t>
        </is>
      </c>
      <c r="F4025" t="inlineStr">
        <is>
          <t>Customer payment INV/2026/05393</t>
        </is>
      </c>
      <c r="G4025" s="9" t="n">
        <v>150</v>
      </c>
      <c r="H4025" t="inlineStr">
        <is>
          <t>customer_payment</t>
        </is>
      </c>
      <c r="I4025" t="inlineStr"/>
      <c r="J4025" t="inlineStr">
        <is>
          <t>G00076</t>
        </is>
      </c>
      <c r="K4025" t="str">
        <f>INDEX('Match Groups'!$D$5:$D$1326,MATCH(J4025,'Match Groups'!$A$5:$A$1326,0))</f>
        <v>STRIPE-FEE</v>
      </c>
    </row>
    <row r="4026">
      <c r="A4026" t="inlineStr">
        <is>
          <t>JI-03553</t>
        </is>
      </c>
      <c r="B4026" t="inlineStr">
        <is>
          <t>OPS</t>
        </is>
      </c>
      <c r="C4026" s="5" t="n">
        <v>46288</v>
      </c>
      <c r="D4026" t="inlineStr">
        <is>
          <t>Stripe patient 35135</t>
        </is>
      </c>
      <c r="E4026" t="inlineStr">
        <is>
          <t>INV/2026/05394</t>
        </is>
      </c>
      <c r="F4026" t="inlineStr">
        <is>
          <t>Customer payment INV/2026/05394</t>
        </is>
      </c>
      <c r="G4026" s="9" t="n">
        <v>65</v>
      </c>
      <c r="H4026" t="inlineStr">
        <is>
          <t>customer_payment</t>
        </is>
      </c>
      <c r="I4026" t="inlineStr"/>
      <c r="J4026" t="inlineStr">
        <is>
          <t>G00076</t>
        </is>
      </c>
      <c r="K4026" t="str">
        <f>INDEX('Match Groups'!$D$5:$D$1326,MATCH(J4026,'Match Groups'!$A$5:$A$1326,0))</f>
        <v>STRIPE-FEE</v>
      </c>
    </row>
    <row r="4027">
      <c r="A4027" t="inlineStr">
        <is>
          <t>JI-03554</t>
        </is>
      </c>
      <c r="B4027" t="inlineStr">
        <is>
          <t>OPS</t>
        </is>
      </c>
      <c r="C4027" s="5" t="n">
        <v>46288</v>
      </c>
      <c r="D4027" t="inlineStr">
        <is>
          <t>Stripe patient 26786</t>
        </is>
      </c>
      <c r="E4027" t="inlineStr">
        <is>
          <t>INV/2026/05395</t>
        </is>
      </c>
      <c r="F4027" t="inlineStr">
        <is>
          <t>Customer payment INV/2026/05395</t>
        </is>
      </c>
      <c r="G4027" s="9" t="n">
        <v>220</v>
      </c>
      <c r="H4027" t="inlineStr">
        <is>
          <t>customer_payment</t>
        </is>
      </c>
      <c r="I4027" t="inlineStr"/>
      <c r="J4027" t="inlineStr">
        <is>
          <t>G00076</t>
        </is>
      </c>
      <c r="K4027" t="str">
        <f>INDEX('Match Groups'!$D$5:$D$1326,MATCH(J4027,'Match Groups'!$A$5:$A$1326,0))</f>
        <v>STRIPE-FEE</v>
      </c>
    </row>
    <row r="4028">
      <c r="A4028" t="inlineStr">
        <is>
          <t>JI-03874</t>
        </is>
      </c>
      <c r="B4028" t="inlineStr">
        <is>
          <t>OPS</t>
        </is>
      </c>
      <c r="C4028" s="5" t="n">
        <v>46288</v>
      </c>
      <c r="D4028" t="inlineStr">
        <is>
          <t>Clinicare Linen Service</t>
        </is>
      </c>
      <c r="E4028" t="inlineStr">
        <is>
          <t>BILL/2026/0967</t>
        </is>
      </c>
      <c r="F4028" t="inlineStr">
        <is>
          <t>Vendor payment BILL/2026/0967 (BATCH/2026/0423)</t>
        </is>
      </c>
      <c r="G4028" s="9" t="n">
        <v>-177.1</v>
      </c>
      <c r="H4028" t="inlineStr">
        <is>
          <t>supplier_payment</t>
        </is>
      </c>
      <c r="I4028" t="inlineStr">
        <is>
          <t>BATCH/2026/0423</t>
        </is>
      </c>
      <c r="J4028" t="inlineStr">
        <is>
          <t>G00545</t>
        </is>
      </c>
      <c r="K4028" t="str">
        <f>INDEX('Match Groups'!$D$5:$D$1326,MATCH(J4028,'Match Groups'!$A$5:$A$1326,0))</f>
        <v>MATCH</v>
      </c>
    </row>
    <row r="4029">
      <c r="A4029" t="inlineStr">
        <is>
          <t>JI-03875</t>
        </is>
      </c>
      <c r="B4029" t="inlineStr">
        <is>
          <t>OPS</t>
        </is>
      </c>
      <c r="C4029" s="5" t="n">
        <v>46288</v>
      </c>
      <c r="D4029" t="inlineStr">
        <is>
          <t>Bayside Cleaning Co</t>
        </is>
      </c>
      <c r="E4029" t="inlineStr">
        <is>
          <t>BILL/2026/0974</t>
        </is>
      </c>
      <c r="F4029" t="inlineStr">
        <is>
          <t>Vendor payment BILL/2026/0974 (BATCH/2026/0423)</t>
        </is>
      </c>
      <c r="G4029" s="9" t="n">
        <v>-495</v>
      </c>
      <c r="H4029" t="inlineStr">
        <is>
          <t>supplier_payment</t>
        </is>
      </c>
      <c r="I4029" t="inlineStr">
        <is>
          <t>BATCH/2026/0423</t>
        </is>
      </c>
      <c r="J4029" t="inlineStr">
        <is>
          <t>G00545</t>
        </is>
      </c>
      <c r="K4029" t="str">
        <f>INDEX('Match Groups'!$D$5:$D$1326,MATCH(J4029,'Match Groups'!$A$5:$A$1326,0))</f>
        <v>MATCH</v>
      </c>
    </row>
    <row r="4030">
      <c r="A4030" t="inlineStr">
        <is>
          <t>JI-03876</t>
        </is>
      </c>
      <c r="B4030" t="inlineStr">
        <is>
          <t>OPS</t>
        </is>
      </c>
      <c r="C4030" s="5" t="n">
        <v>46288</v>
      </c>
      <c r="D4030" t="inlineStr">
        <is>
          <t>Brightline Signage</t>
        </is>
      </c>
      <c r="E4030" t="inlineStr">
        <is>
          <t>BILL/2026/0969</t>
        </is>
      </c>
      <c r="F4030" t="inlineStr">
        <is>
          <t>Vendor payment BILL/2026/0969 (BATCH/2026/0423)</t>
        </is>
      </c>
      <c r="G4030" s="9" t="n">
        <v>-165</v>
      </c>
      <c r="H4030" t="inlineStr">
        <is>
          <t>supplier_payment</t>
        </is>
      </c>
      <c r="I4030" t="inlineStr">
        <is>
          <t>BATCH/2026/0423</t>
        </is>
      </c>
      <c r="J4030" t="inlineStr">
        <is>
          <t>G00545</t>
        </is>
      </c>
      <c r="K4030" t="str">
        <f>INDEX('Match Groups'!$D$5:$D$1326,MATCH(J4030,'Match Groups'!$A$5:$A$1326,0))</f>
        <v>MATCH</v>
      </c>
    </row>
    <row r="4031">
      <c r="A4031" t="inlineStr">
        <is>
          <t>JI-03877</t>
        </is>
      </c>
      <c r="B4031" t="inlineStr">
        <is>
          <t>OPS</t>
        </is>
      </c>
      <c r="C4031" s="5" t="n">
        <v>46288</v>
      </c>
      <c r="D4031" t="inlineStr">
        <is>
          <t>Coolroom HVAC Services</t>
        </is>
      </c>
      <c r="E4031" t="inlineStr">
        <is>
          <t>BILL/2026/0973</t>
        </is>
      </c>
      <c r="F4031" t="inlineStr">
        <is>
          <t>Vendor payment BILL/2026/0973 (BATCH/2026/0423)</t>
        </is>
      </c>
      <c r="G4031" s="9" t="n">
        <v>-1210</v>
      </c>
      <c r="H4031" t="inlineStr">
        <is>
          <t>supplier_payment</t>
        </is>
      </c>
      <c r="I4031" t="inlineStr">
        <is>
          <t>BATCH/2026/0423</t>
        </is>
      </c>
      <c r="J4031" t="inlineStr">
        <is>
          <t>G00545</t>
        </is>
      </c>
      <c r="K4031" t="str">
        <f>INDEX('Match Groups'!$D$5:$D$1326,MATCH(J4031,'Match Groups'!$A$5:$A$1326,0))</f>
        <v>MATCH</v>
      </c>
    </row>
    <row r="4032">
      <c r="A4032" t="inlineStr">
        <is>
          <t>JI-03878</t>
        </is>
      </c>
      <c r="B4032" t="inlineStr">
        <is>
          <t>OPS</t>
        </is>
      </c>
      <c r="C4032" s="5" t="n">
        <v>46288</v>
      </c>
      <c r="D4032" t="inlineStr">
        <is>
          <t>Clinical Education Hub</t>
        </is>
      </c>
      <c r="E4032" t="inlineStr">
        <is>
          <t>BILL/2026/0970</t>
        </is>
      </c>
      <c r="F4032" t="inlineStr">
        <is>
          <t>Vendor payment BILL/2026/0970 (BATCH/2026/0423)</t>
        </is>
      </c>
      <c r="G4032" s="9" t="n">
        <v>-165</v>
      </c>
      <c r="H4032" t="inlineStr">
        <is>
          <t>supplier_payment</t>
        </is>
      </c>
      <c r="I4032" t="inlineStr">
        <is>
          <t>BATCH/2026/0423</t>
        </is>
      </c>
      <c r="J4032" t="inlineStr">
        <is>
          <t>G00545</t>
        </is>
      </c>
      <c r="K4032" t="str">
        <f>INDEX('Match Groups'!$D$5:$D$1326,MATCH(J4032,'Match Groups'!$A$5:$A$1326,0))</f>
        <v>MATCH</v>
      </c>
    </row>
    <row r="4033">
      <c r="A4033" t="inlineStr">
        <is>
          <t>JI-03879</t>
        </is>
      </c>
      <c r="B4033" t="inlineStr">
        <is>
          <t>OPS</t>
        </is>
      </c>
      <c r="C4033" s="5" t="n">
        <v>46288</v>
      </c>
      <c r="D4033" t="inlineStr">
        <is>
          <t>Clinical Education Hub</t>
        </is>
      </c>
      <c r="E4033" t="inlineStr">
        <is>
          <t>BILL/2026/0971</t>
        </is>
      </c>
      <c r="F4033" t="inlineStr">
        <is>
          <t>Vendor payment BILL/2026/0971 (BATCH/2026/0423)</t>
        </is>
      </c>
      <c r="G4033" s="9" t="n">
        <v>-278.3</v>
      </c>
      <c r="H4033" t="inlineStr">
        <is>
          <t>supplier_payment</t>
        </is>
      </c>
      <c r="I4033" t="inlineStr">
        <is>
          <t>BATCH/2026/0423</t>
        </is>
      </c>
      <c r="J4033" t="inlineStr">
        <is>
          <t>G00545</t>
        </is>
      </c>
      <c r="K4033" t="str">
        <f>INDEX('Match Groups'!$D$5:$D$1326,MATCH(J4033,'Match Groups'!$A$5:$A$1326,0))</f>
        <v>MATCH</v>
      </c>
    </row>
    <row r="4034">
      <c r="A4034" t="inlineStr">
        <is>
          <t>JI-03880</t>
        </is>
      </c>
      <c r="B4034" t="inlineStr">
        <is>
          <t>OPS</t>
        </is>
      </c>
      <c r="C4034" s="5" t="n">
        <v>46288</v>
      </c>
      <c r="D4034" t="inlineStr">
        <is>
          <t>Ergo Furniture Co</t>
        </is>
      </c>
      <c r="E4034" t="inlineStr">
        <is>
          <t>BILL/2026/0968</t>
        </is>
      </c>
      <c r="F4034" t="inlineStr">
        <is>
          <t>Vendor payment BILL/2026/0968 (BATCH/2026/0423)</t>
        </is>
      </c>
      <c r="G4034" s="9" t="n">
        <v>-1246.3</v>
      </c>
      <c r="H4034" t="inlineStr">
        <is>
          <t>supplier_payment</t>
        </is>
      </c>
      <c r="I4034" t="inlineStr">
        <is>
          <t>BATCH/2026/0423</t>
        </is>
      </c>
      <c r="J4034" t="inlineStr">
        <is>
          <t>G00545</t>
        </is>
      </c>
      <c r="K4034" t="str">
        <f>INDEX('Match Groups'!$D$5:$D$1326,MATCH(J4034,'Match Groups'!$A$5:$A$1326,0))</f>
        <v>MATCH</v>
      </c>
    </row>
    <row r="4035">
      <c r="A4035" t="inlineStr">
        <is>
          <t>JI-03881</t>
        </is>
      </c>
      <c r="B4035" t="inlineStr">
        <is>
          <t>OPS</t>
        </is>
      </c>
      <c r="C4035" s="5" t="n">
        <v>46288</v>
      </c>
      <c r="D4035" t="inlineStr">
        <is>
          <t>CityFix Maintenance</t>
        </is>
      </c>
      <c r="E4035" t="inlineStr">
        <is>
          <t>BILL/2026/0975</t>
        </is>
      </c>
      <c r="F4035" t="inlineStr">
        <is>
          <t>Vendor payment BILL/2026/0975 (BATCH/2026/0423)</t>
        </is>
      </c>
      <c r="G4035" s="9" t="n">
        <v>-2432.1</v>
      </c>
      <c r="H4035" t="inlineStr">
        <is>
          <t>supplier_payment</t>
        </is>
      </c>
      <c r="I4035" t="inlineStr">
        <is>
          <t>BATCH/2026/0423</t>
        </is>
      </c>
      <c r="J4035" t="inlineStr">
        <is>
          <t>G00545</t>
        </is>
      </c>
      <c r="K4035" t="str">
        <f>INDEX('Match Groups'!$D$5:$D$1326,MATCH(J4035,'Match Groups'!$A$5:$A$1326,0))</f>
        <v>MATCH</v>
      </c>
    </row>
    <row r="4036">
      <c r="A4036" t="inlineStr">
        <is>
          <t>JI-03882</t>
        </is>
      </c>
      <c r="B4036" t="inlineStr">
        <is>
          <t>OPS</t>
        </is>
      </c>
      <c r="C4036" s="5" t="n">
        <v>46288</v>
      </c>
      <c r="D4036" t="inlineStr">
        <is>
          <t>Compass Insurance Brokers</t>
        </is>
      </c>
      <c r="E4036" t="inlineStr">
        <is>
          <t>BILL/2026/0972</t>
        </is>
      </c>
      <c r="F4036" t="inlineStr">
        <is>
          <t>Vendor payment BILL/2026/0972 (BATCH/2026/0423)</t>
        </is>
      </c>
      <c r="G4036" s="9" t="n">
        <v>-3862.1</v>
      </c>
      <c r="H4036" t="inlineStr">
        <is>
          <t>supplier_payment</t>
        </is>
      </c>
      <c r="I4036" t="inlineStr">
        <is>
          <t>BATCH/2026/0423</t>
        </is>
      </c>
      <c r="J4036" t="inlineStr">
        <is>
          <t>G00545</t>
        </is>
      </c>
      <c r="K4036" t="str">
        <f>INDEX('Match Groups'!$D$5:$D$1326,MATCH(J4036,'Match Groups'!$A$5:$A$1326,0))</f>
        <v>MATCH</v>
      </c>
    </row>
    <row r="4037">
      <c r="A4037" t="inlineStr">
        <is>
          <t>JI-03883</t>
        </is>
      </c>
      <c r="B4037" t="inlineStr">
        <is>
          <t>OPS</t>
        </is>
      </c>
      <c r="C4037" s="5" t="n">
        <v>46288</v>
      </c>
      <c r="D4037" t="inlineStr">
        <is>
          <t>Statewide Uniforms</t>
        </is>
      </c>
      <c r="E4037" t="inlineStr">
        <is>
          <t>BILL/2026/0976</t>
        </is>
      </c>
      <c r="F4037" t="inlineStr">
        <is>
          <t>Vendor payment BILL/2026/0976 (BATCH/2026/0423)</t>
        </is>
      </c>
      <c r="G4037" s="9" t="n">
        <v>-2456.3</v>
      </c>
      <c r="H4037" t="inlineStr">
        <is>
          <t>supplier_payment</t>
        </is>
      </c>
      <c r="I4037" t="inlineStr">
        <is>
          <t>BATCH/2026/0423</t>
        </is>
      </c>
      <c r="J4037" t="inlineStr">
        <is>
          <t>G00545</t>
        </is>
      </c>
      <c r="K4037" t="str">
        <f>INDEX('Match Groups'!$D$5:$D$1326,MATCH(J4037,'Match Groups'!$A$5:$A$1326,0))</f>
        <v>MATCH</v>
      </c>
    </row>
    <row r="4038">
      <c r="A4038" t="inlineStr">
        <is>
          <t>JI-03918</t>
        </is>
      </c>
      <c r="B4038" t="inlineStr">
        <is>
          <t>OPS</t>
        </is>
      </c>
      <c r="C4038" s="5" t="n">
        <v>46288</v>
      </c>
      <c r="D4038" t="inlineStr">
        <is>
          <t>Powerco Energy Retail</t>
        </is>
      </c>
      <c r="E4038" t="inlineStr">
        <is>
          <t>BILL/2026/1029</t>
        </is>
      </c>
      <c r="F4038" t="inlineStr">
        <is>
          <t>Vendor payment BILL/2026/1029</t>
        </is>
      </c>
      <c r="G4038" s="9" t="n">
        <v>-2634.18</v>
      </c>
      <c r="H4038" t="inlineStr">
        <is>
          <t>supplier_payment</t>
        </is>
      </c>
      <c r="I4038" t="inlineStr"/>
      <c r="J4038" t="inlineStr">
        <is>
          <t>G01164</t>
        </is>
      </c>
      <c r="K4038" t="str">
        <f>INDEX('Match Groups'!$D$5:$D$1326,MATCH(J4038,'Match Groups'!$A$5:$A$1326,0))</f>
        <v>MATCH</v>
      </c>
    </row>
    <row r="4039">
      <c r="A4039" t="inlineStr">
        <is>
          <t>JI-03958</t>
        </is>
      </c>
      <c r="B4039" t="inlineStr">
        <is>
          <t>OPS</t>
        </is>
      </c>
      <c r="C4039" s="5" t="n">
        <v>46288</v>
      </c>
      <c r="D4039" t="inlineStr">
        <is>
          <t>Internal transfer</t>
        </is>
      </c>
      <c r="E4039" t="inlineStr">
        <is>
          <t>TFR PR260924</t>
        </is>
      </c>
      <c r="F4039" t="inlineStr">
        <is>
          <t>Transfer to payroll clearing PR260924</t>
        </is>
      </c>
      <c r="G4039" s="9" t="n">
        <v>-167264.9</v>
      </c>
      <c r="H4039" t="inlineStr">
        <is>
          <t>transfer</t>
        </is>
      </c>
      <c r="I4039" t="inlineStr"/>
      <c r="J4039" t="inlineStr">
        <is>
          <t>G00546</t>
        </is>
      </c>
      <c r="K4039" t="str">
        <f>INDEX('Match Groups'!$D$5:$D$1326,MATCH(J4039,'Match Groups'!$A$5:$A$1326,0))</f>
        <v>MATCH</v>
      </c>
    </row>
    <row r="4040">
      <c r="A4040" t="inlineStr">
        <is>
          <t>JI-01475</t>
        </is>
      </c>
      <c r="B4040" t="inlineStr">
        <is>
          <t>OPS</t>
        </is>
      </c>
      <c r="C4040" s="5" t="n">
        <v>46289</v>
      </c>
      <c r="D4040" t="inlineStr">
        <is>
          <t>Bluegum Plan Management</t>
        </is>
      </c>
      <c r="E4040" t="inlineStr">
        <is>
          <t>INV/2026/03217</t>
        </is>
      </c>
      <c r="F4040" t="inlineStr">
        <is>
          <t>Customer payment INV/2026/03217</t>
        </is>
      </c>
      <c r="G4040" s="9" t="n">
        <v>387.98</v>
      </c>
      <c r="H4040" t="inlineStr">
        <is>
          <t>customer_payment</t>
        </is>
      </c>
      <c r="I4040" t="inlineStr"/>
      <c r="J4040" t="inlineStr">
        <is>
          <t>G00477</t>
        </is>
      </c>
      <c r="K4040" t="str">
        <f>INDEX('Match Groups'!$D$5:$D$1326,MATCH(J4040,'Match Groups'!$A$5:$A$1326,0))</f>
        <v>MATCH</v>
      </c>
    </row>
    <row r="4041">
      <c r="A4041" t="inlineStr">
        <is>
          <t>JI-01476</t>
        </is>
      </c>
      <c r="B4041" t="inlineStr">
        <is>
          <t>OPS</t>
        </is>
      </c>
      <c r="C4041" s="5" t="n">
        <v>46289</v>
      </c>
      <c r="D4041" t="inlineStr">
        <is>
          <t>Bluegum Plan Management</t>
        </is>
      </c>
      <c r="E4041" t="inlineStr">
        <is>
          <t>INV/2026/03238</t>
        </is>
      </c>
      <c r="F4041" t="inlineStr">
        <is>
          <t>Customer payment INV/2026/03238</t>
        </is>
      </c>
      <c r="G4041" s="9" t="n">
        <v>446.18</v>
      </c>
      <c r="H4041" t="inlineStr">
        <is>
          <t>customer_payment</t>
        </is>
      </c>
      <c r="I4041" t="inlineStr"/>
      <c r="J4041" t="inlineStr">
        <is>
          <t>G00477</t>
        </is>
      </c>
      <c r="K4041" t="str">
        <f>INDEX('Match Groups'!$D$5:$D$1326,MATCH(J4041,'Match Groups'!$A$5:$A$1326,0))</f>
        <v>MATCH</v>
      </c>
    </row>
    <row r="4042">
      <c r="A4042" t="inlineStr">
        <is>
          <t>JI-01477</t>
        </is>
      </c>
      <c r="B4042" t="inlineStr">
        <is>
          <t>OPS</t>
        </is>
      </c>
      <c r="C4042" s="5" t="n">
        <v>46289</v>
      </c>
      <c r="D4042" t="inlineStr">
        <is>
          <t>Clearpath NDIS Plans</t>
        </is>
      </c>
      <c r="E4042" t="inlineStr">
        <is>
          <t>INV/2026/03098</t>
        </is>
      </c>
      <c r="F4042" t="inlineStr">
        <is>
          <t>Customer payment INV/2026/03098</t>
        </is>
      </c>
      <c r="G4042" s="9" t="n">
        <v>290.98</v>
      </c>
      <c r="H4042" t="inlineStr">
        <is>
          <t>customer_payment</t>
        </is>
      </c>
      <c r="I4042" t="inlineStr"/>
      <c r="J4042" t="inlineStr">
        <is>
          <t>G00478</t>
        </is>
      </c>
      <c r="K4042" t="str">
        <f>INDEX('Match Groups'!$D$5:$D$1326,MATCH(J4042,'Match Groups'!$A$5:$A$1326,0))</f>
        <v>MATCH</v>
      </c>
    </row>
    <row r="4043">
      <c r="A4043" t="inlineStr">
        <is>
          <t>JI-01478</t>
        </is>
      </c>
      <c r="B4043" t="inlineStr">
        <is>
          <t>OPS</t>
        </is>
      </c>
      <c r="C4043" s="5" t="n">
        <v>46289</v>
      </c>
      <c r="D4043" t="inlineStr">
        <is>
          <t>Clearpath NDIS Plans</t>
        </is>
      </c>
      <c r="E4043" t="inlineStr">
        <is>
          <t>INV/2026/03099</t>
        </is>
      </c>
      <c r="F4043" t="inlineStr">
        <is>
          <t>Customer payment INV/2026/03099</t>
        </is>
      </c>
      <c r="G4043" s="9" t="n">
        <v>242.49</v>
      </c>
      <c r="H4043" t="inlineStr">
        <is>
          <t>customer_payment</t>
        </is>
      </c>
      <c r="I4043" t="inlineStr"/>
      <c r="J4043" t="inlineStr">
        <is>
          <t>G00478</t>
        </is>
      </c>
      <c r="K4043" t="str">
        <f>INDEX('Match Groups'!$D$5:$D$1326,MATCH(J4043,'Match Groups'!$A$5:$A$1326,0))</f>
        <v>MATCH</v>
      </c>
    </row>
    <row r="4044">
      <c r="A4044" t="inlineStr">
        <is>
          <t>JI-01479</t>
        </is>
      </c>
      <c r="B4044" t="inlineStr">
        <is>
          <t>OPS</t>
        </is>
      </c>
      <c r="C4044" s="5" t="n">
        <v>46289</v>
      </c>
      <c r="D4044" t="inlineStr">
        <is>
          <t>Clearpath NDIS Plans</t>
        </is>
      </c>
      <c r="E4044" t="inlineStr">
        <is>
          <t>INV/2026/03124</t>
        </is>
      </c>
      <c r="F4044" t="inlineStr">
        <is>
          <t>Customer payment INV/2026/03124</t>
        </is>
      </c>
      <c r="G4044" s="9" t="n">
        <v>446.18</v>
      </c>
      <c r="H4044" t="inlineStr">
        <is>
          <t>customer_payment</t>
        </is>
      </c>
      <c r="I4044" t="inlineStr"/>
      <c r="J4044" t="inlineStr">
        <is>
          <t>G00478</t>
        </is>
      </c>
      <c r="K4044" t="str">
        <f>INDEX('Match Groups'!$D$5:$D$1326,MATCH(J4044,'Match Groups'!$A$5:$A$1326,0))</f>
        <v>MATCH</v>
      </c>
    </row>
    <row r="4045">
      <c r="A4045" t="inlineStr">
        <is>
          <t>JI-01480</t>
        </is>
      </c>
      <c r="B4045" t="inlineStr">
        <is>
          <t>OPS</t>
        </is>
      </c>
      <c r="C4045" s="5" t="n">
        <v>46289</v>
      </c>
      <c r="D4045" t="inlineStr">
        <is>
          <t>Clearpath NDIS Plans</t>
        </is>
      </c>
      <c r="E4045" t="inlineStr">
        <is>
          <t>INV/2026/03125</t>
        </is>
      </c>
      <c r="F4045" t="inlineStr">
        <is>
          <t>Customer payment INV/2026/03125</t>
        </is>
      </c>
      <c r="G4045" s="9" t="n">
        <v>417.98</v>
      </c>
      <c r="H4045" t="inlineStr">
        <is>
          <t>customer_payment</t>
        </is>
      </c>
      <c r="I4045" t="inlineStr"/>
      <c r="J4045" t="inlineStr">
        <is>
          <t>G00478</t>
        </is>
      </c>
      <c r="K4045" t="str">
        <f>INDEX('Match Groups'!$D$5:$D$1326,MATCH(J4045,'Match Groups'!$A$5:$A$1326,0))</f>
        <v>MATCH</v>
      </c>
    </row>
    <row r="4046">
      <c r="A4046" t="inlineStr">
        <is>
          <t>JI-01481</t>
        </is>
      </c>
      <c r="B4046" t="inlineStr">
        <is>
          <t>OPS</t>
        </is>
      </c>
      <c r="C4046" s="5" t="n">
        <v>46289</v>
      </c>
      <c r="D4046" t="inlineStr">
        <is>
          <t>Banksia Plan Co</t>
        </is>
      </c>
      <c r="E4046" t="inlineStr">
        <is>
          <t>INV/2026/03157</t>
        </is>
      </c>
      <c r="F4046" t="inlineStr">
        <is>
          <t>Customer payment INV/2026/03157</t>
        </is>
      </c>
      <c r="G4046" s="9" t="n">
        <v>290.98</v>
      </c>
      <c r="H4046" t="inlineStr">
        <is>
          <t>customer_payment</t>
        </is>
      </c>
      <c r="I4046" t="inlineStr"/>
      <c r="J4046" t="inlineStr">
        <is>
          <t>G00479</t>
        </is>
      </c>
      <c r="K4046" t="str">
        <f>INDEX('Match Groups'!$D$5:$D$1326,MATCH(J4046,'Match Groups'!$A$5:$A$1326,0))</f>
        <v>MATCH</v>
      </c>
    </row>
    <row r="4047">
      <c r="A4047" t="inlineStr">
        <is>
          <t>JI-01482</t>
        </is>
      </c>
      <c r="B4047" t="inlineStr">
        <is>
          <t>OPS</t>
        </is>
      </c>
      <c r="C4047" s="5" t="n">
        <v>46289</v>
      </c>
      <c r="D4047" t="inlineStr">
        <is>
          <t>Banksia Plan Co</t>
        </is>
      </c>
      <c r="E4047" t="inlineStr">
        <is>
          <t>INV/2026/03158</t>
        </is>
      </c>
      <c r="F4047" t="inlineStr">
        <is>
          <t>Customer payment INV/2026/03158</t>
        </is>
      </c>
      <c r="G4047" s="9" t="n">
        <v>223.99</v>
      </c>
      <c r="H4047" t="inlineStr">
        <is>
          <t>customer_payment</t>
        </is>
      </c>
      <c r="I4047" t="inlineStr"/>
      <c r="J4047" t="inlineStr">
        <is>
          <t>G00479</t>
        </is>
      </c>
      <c r="K4047" t="str">
        <f>INDEX('Match Groups'!$D$5:$D$1326,MATCH(J4047,'Match Groups'!$A$5:$A$1326,0))</f>
        <v>MATCH</v>
      </c>
    </row>
    <row r="4048">
      <c r="A4048" t="inlineStr">
        <is>
          <t>JI-01483</t>
        </is>
      </c>
      <c r="B4048" t="inlineStr">
        <is>
          <t>OPS</t>
        </is>
      </c>
      <c r="C4048" s="5" t="n">
        <v>46289</v>
      </c>
      <c r="D4048" t="inlineStr">
        <is>
          <t>Banksia Plan Co</t>
        </is>
      </c>
      <c r="E4048" t="inlineStr">
        <is>
          <t>INV/2026/03202</t>
        </is>
      </c>
      <c r="F4048" t="inlineStr">
        <is>
          <t>Customer payment INV/2026/03202</t>
        </is>
      </c>
      <c r="G4048" s="9" t="n">
        <v>193.99</v>
      </c>
      <c r="H4048" t="inlineStr">
        <is>
          <t>customer_payment</t>
        </is>
      </c>
      <c r="I4048" t="inlineStr"/>
      <c r="J4048" t="inlineStr">
        <is>
          <t>G00479</t>
        </is>
      </c>
      <c r="K4048" t="str">
        <f>INDEX('Match Groups'!$D$5:$D$1326,MATCH(J4048,'Match Groups'!$A$5:$A$1326,0))</f>
        <v>MATCH</v>
      </c>
    </row>
    <row r="4049">
      <c r="A4049" t="inlineStr">
        <is>
          <t>JI-01484</t>
        </is>
      </c>
      <c r="B4049" t="inlineStr">
        <is>
          <t>OPS</t>
        </is>
      </c>
      <c r="C4049" s="5" t="n">
        <v>46289</v>
      </c>
      <c r="D4049" t="inlineStr">
        <is>
          <t>Banksia Plan Co</t>
        </is>
      </c>
      <c r="E4049" t="inlineStr">
        <is>
          <t>INV/2026/03222</t>
        </is>
      </c>
      <c r="F4049" t="inlineStr">
        <is>
          <t>Customer payment INV/2026/03222</t>
        </is>
      </c>
      <c r="G4049" s="9" t="n">
        <v>252.19</v>
      </c>
      <c r="H4049" t="inlineStr">
        <is>
          <t>customer_payment</t>
        </is>
      </c>
      <c r="I4049" t="inlineStr"/>
      <c r="J4049" t="inlineStr">
        <is>
          <t>G00479</t>
        </is>
      </c>
      <c r="K4049" t="str">
        <f>INDEX('Match Groups'!$D$5:$D$1326,MATCH(J4049,'Match Groups'!$A$5:$A$1326,0))</f>
        <v>MATCH</v>
      </c>
    </row>
    <row r="4050">
      <c r="A4050" t="inlineStr">
        <is>
          <t>JI-01485</t>
        </is>
      </c>
      <c r="B4050" t="inlineStr">
        <is>
          <t>OPS</t>
        </is>
      </c>
      <c r="C4050" s="5" t="n">
        <v>46289</v>
      </c>
      <c r="D4050" t="inlineStr">
        <is>
          <t>Banksia Plan Co</t>
        </is>
      </c>
      <c r="E4050" t="inlineStr">
        <is>
          <t>INV/2026/03243</t>
        </is>
      </c>
      <c r="F4050" t="inlineStr">
        <is>
          <t>Customer payment INV/2026/03243</t>
        </is>
      </c>
      <c r="G4050" s="9" t="n">
        <v>126.99</v>
      </c>
      <c r="H4050" t="inlineStr">
        <is>
          <t>customer_payment</t>
        </is>
      </c>
      <c r="I4050" t="inlineStr"/>
      <c r="J4050" t="inlineStr">
        <is>
          <t>G00479</t>
        </is>
      </c>
      <c r="K4050" t="str">
        <f>INDEX('Match Groups'!$D$5:$D$1326,MATCH(J4050,'Match Groups'!$A$5:$A$1326,0))</f>
        <v>MATCH</v>
      </c>
    </row>
    <row r="4051">
      <c r="A4051" t="inlineStr">
        <is>
          <t>JI-01488</t>
        </is>
      </c>
      <c r="B4051" t="inlineStr">
        <is>
          <t>OPS</t>
        </is>
      </c>
      <c r="C4051" s="5" t="n">
        <v>46289</v>
      </c>
      <c r="D4051" t="inlineStr">
        <is>
          <t>Acacia Plan Partners</t>
        </is>
      </c>
      <c r="E4051" t="inlineStr">
        <is>
          <t>INV/2026/03212</t>
        </is>
      </c>
      <c r="F4051" t="inlineStr">
        <is>
          <t>Customer payment INV/2026/03212</t>
        </is>
      </c>
      <c r="G4051" s="9" t="n">
        <v>193.99</v>
      </c>
      <c r="H4051" t="inlineStr">
        <is>
          <t>customer_payment</t>
        </is>
      </c>
      <c r="I4051" t="inlineStr"/>
      <c r="J4051" t="inlineStr">
        <is>
          <t>G00481</t>
        </is>
      </c>
      <c r="K4051" t="str">
        <f>INDEX('Match Groups'!$D$5:$D$1326,MATCH(J4051,'Match Groups'!$A$5:$A$1326,0))</f>
        <v>MATCH</v>
      </c>
    </row>
    <row r="4052">
      <c r="A4052" t="inlineStr">
        <is>
          <t>JI-01492</t>
        </is>
      </c>
      <c r="B4052" t="inlineStr">
        <is>
          <t>OPS</t>
        </is>
      </c>
      <c r="C4052" s="5" t="n">
        <v>46289</v>
      </c>
      <c r="D4052" t="inlineStr">
        <is>
          <t>Kookaburra Plan Support</t>
        </is>
      </c>
      <c r="E4052" t="inlineStr">
        <is>
          <t>INV/2026/03180</t>
        </is>
      </c>
      <c r="F4052" t="inlineStr">
        <is>
          <t>Customer payment INV/2026/03180</t>
        </is>
      </c>
      <c r="G4052" s="9" t="n">
        <v>349.18</v>
      </c>
      <c r="H4052" t="inlineStr">
        <is>
          <t>customer_payment</t>
        </is>
      </c>
      <c r="I4052" t="inlineStr"/>
      <c r="J4052" t="inlineStr">
        <is>
          <t>G00483</t>
        </is>
      </c>
      <c r="K4052" t="str">
        <f>INDEX('Match Groups'!$D$5:$D$1326,MATCH(J4052,'Match Groups'!$A$5:$A$1326,0))</f>
        <v>MATCH</v>
      </c>
    </row>
    <row r="4053">
      <c r="A4053" t="inlineStr">
        <is>
          <t>JI-01493</t>
        </is>
      </c>
      <c r="B4053" t="inlineStr">
        <is>
          <t>OPS</t>
        </is>
      </c>
      <c r="C4053" s="5" t="n">
        <v>46289</v>
      </c>
      <c r="D4053" t="inlineStr">
        <is>
          <t>Kookaburra Plan Support</t>
        </is>
      </c>
      <c r="E4053" t="inlineStr">
        <is>
          <t>INV/2026/03245</t>
        </is>
      </c>
      <c r="F4053" t="inlineStr">
        <is>
          <t>Customer payment INV/2026/03245</t>
        </is>
      </c>
      <c r="G4053" s="9" t="n">
        <v>387.98</v>
      </c>
      <c r="H4053" t="inlineStr">
        <is>
          <t>customer_payment</t>
        </is>
      </c>
      <c r="I4053" t="inlineStr"/>
      <c r="J4053" t="inlineStr">
        <is>
          <t>G00483</t>
        </is>
      </c>
      <c r="K4053" t="str">
        <f>INDEX('Match Groups'!$D$5:$D$1326,MATCH(J4053,'Match Groups'!$A$5:$A$1326,0))</f>
        <v>MATCH</v>
      </c>
    </row>
    <row r="4054">
      <c r="A4054" t="inlineStr">
        <is>
          <t>JI-01494</t>
        </is>
      </c>
      <c r="B4054" t="inlineStr">
        <is>
          <t>OPS</t>
        </is>
      </c>
      <c r="C4054" s="5" t="n">
        <v>46289</v>
      </c>
      <c r="D4054" t="inlineStr">
        <is>
          <t>Kookaburra Plan Support</t>
        </is>
      </c>
      <c r="E4054" t="inlineStr">
        <is>
          <t>INV/2026/03265</t>
        </is>
      </c>
      <c r="F4054" t="inlineStr">
        <is>
          <t>Customer payment INV/2026/03265</t>
        </is>
      </c>
      <c r="G4054" s="9" t="n">
        <v>320.98</v>
      </c>
      <c r="H4054" t="inlineStr">
        <is>
          <t>customer_payment</t>
        </is>
      </c>
      <c r="I4054" t="inlineStr"/>
      <c r="J4054" t="inlineStr">
        <is>
          <t>G00483</t>
        </is>
      </c>
      <c r="K4054" t="str">
        <f>INDEX('Match Groups'!$D$5:$D$1326,MATCH(J4054,'Match Groups'!$A$5:$A$1326,0))</f>
        <v>MATCH</v>
      </c>
    </row>
    <row r="4055">
      <c r="A4055" t="inlineStr">
        <is>
          <t>JI-01499</t>
        </is>
      </c>
      <c r="B4055" t="inlineStr">
        <is>
          <t>OPS</t>
        </is>
      </c>
      <c r="C4055" s="5" t="n">
        <v>46289</v>
      </c>
      <c r="D4055" t="inlineStr">
        <is>
          <t>Southern Cross Plan Mgmt</t>
        </is>
      </c>
      <c r="E4055" t="inlineStr">
        <is>
          <t>INV/2026/03269</t>
        </is>
      </c>
      <c r="F4055" t="inlineStr">
        <is>
          <t>Customer payment INV/2026/03269</t>
        </is>
      </c>
      <c r="G4055" s="9" t="n">
        <v>193.99</v>
      </c>
      <c r="H4055" t="inlineStr">
        <is>
          <t>customer_payment</t>
        </is>
      </c>
      <c r="I4055" t="inlineStr"/>
      <c r="J4055" t="inlineStr">
        <is>
          <t>G00486</t>
        </is>
      </c>
      <c r="K4055" t="str">
        <f>INDEX('Match Groups'!$D$5:$D$1326,MATCH(J4055,'Match Groups'!$A$5:$A$1326,0))</f>
        <v>MATCH</v>
      </c>
    </row>
    <row r="4056">
      <c r="A4056" t="inlineStr">
        <is>
          <t>JI-01500</t>
        </is>
      </c>
      <c r="B4056" t="inlineStr">
        <is>
          <t>OPS</t>
        </is>
      </c>
      <c r="C4056" s="5" t="n">
        <v>46289</v>
      </c>
      <c r="D4056" t="inlineStr">
        <is>
          <t>Southern Cross Plan Mgmt</t>
        </is>
      </c>
      <c r="E4056" t="inlineStr">
        <is>
          <t>INV/2026/03270</t>
        </is>
      </c>
      <c r="F4056" t="inlineStr">
        <is>
          <t>Customer payment INV/2026/03270</t>
        </is>
      </c>
      <c r="G4056" s="9" t="n">
        <v>242.49</v>
      </c>
      <c r="H4056" t="inlineStr">
        <is>
          <t>customer_payment</t>
        </is>
      </c>
      <c r="I4056" t="inlineStr"/>
      <c r="J4056" t="inlineStr">
        <is>
          <t>G00486</t>
        </is>
      </c>
      <c r="K4056" t="str">
        <f>INDEX('Match Groups'!$D$5:$D$1326,MATCH(J4056,'Match Groups'!$A$5:$A$1326,0))</f>
        <v>MATCH</v>
      </c>
    </row>
    <row r="4057">
      <c r="A4057" t="inlineStr">
        <is>
          <t>JI-01555</t>
        </is>
      </c>
      <c r="B4057" t="inlineStr">
        <is>
          <t>OPS</t>
        </is>
      </c>
      <c r="C4057" s="5" t="n">
        <v>46289</v>
      </c>
      <c r="D4057" t="inlineStr">
        <is>
          <t>Harbour Mutual Health</t>
        </is>
      </c>
      <c r="E4057" t="inlineStr">
        <is>
          <t>INV/2026/03148</t>
        </is>
      </c>
      <c r="F4057" t="inlineStr">
        <is>
          <t>Customer payment INV/2026/03148</t>
        </is>
      </c>
      <c r="G4057" s="9" t="n">
        <v>990</v>
      </c>
      <c r="H4057" t="inlineStr">
        <is>
          <t>customer_payment</t>
        </is>
      </c>
      <c r="I4057" t="inlineStr"/>
      <c r="J4057" t="inlineStr">
        <is>
          <t>G01078</t>
        </is>
      </c>
      <c r="K4057" t="str">
        <f>INDEX('Match Groups'!$D$5:$D$1326,MATCH(J4057,'Match Groups'!$A$5:$A$1326,0))</f>
        <v>MATCH</v>
      </c>
    </row>
    <row r="4058">
      <c r="A4058" t="inlineStr">
        <is>
          <t>JI-01606</t>
        </is>
      </c>
      <c r="B4058" t="inlineStr">
        <is>
          <t>OPS</t>
        </is>
      </c>
      <c r="C4058" s="5" t="n">
        <v>46289</v>
      </c>
      <c r="D4058" t="inlineStr">
        <is>
          <t>Pinnacle Claims Services</t>
        </is>
      </c>
      <c r="E4058" t="inlineStr">
        <is>
          <t>INV/2026/03172</t>
        </is>
      </c>
      <c r="F4058" t="inlineStr">
        <is>
          <t>Customer payment INV/2026/03172</t>
        </is>
      </c>
      <c r="G4058" s="9" t="n">
        <v>990</v>
      </c>
      <c r="H4058" t="inlineStr">
        <is>
          <t>customer_payment</t>
        </is>
      </c>
      <c r="I4058" t="inlineStr"/>
      <c r="J4058" t="inlineStr">
        <is>
          <t>G01080</t>
        </is>
      </c>
      <c r="K4058" t="str">
        <f>INDEX('Match Groups'!$D$5:$D$1326,MATCH(J4058,'Match Groups'!$A$5:$A$1326,0))</f>
        <v>MATCH</v>
      </c>
    </row>
    <row r="4059">
      <c r="A4059" t="inlineStr">
        <is>
          <t>JI-01654</t>
        </is>
      </c>
      <c r="B4059" t="inlineStr">
        <is>
          <t>OPS</t>
        </is>
      </c>
      <c r="C4059" s="5" t="n">
        <v>46289</v>
      </c>
      <c r="D4059" t="inlineStr">
        <is>
          <t>Kestrel Lane Foods</t>
        </is>
      </c>
      <c r="E4059" t="inlineStr">
        <is>
          <t>INV/2026/03516</t>
        </is>
      </c>
      <c r="F4059" t="inlineStr">
        <is>
          <t>Customer payment INV/2026/03516</t>
        </is>
      </c>
      <c r="G4059" s="9" t="n">
        <v>2791.25</v>
      </c>
      <c r="H4059" t="inlineStr">
        <is>
          <t>customer_payment</t>
        </is>
      </c>
      <c r="I4059" t="inlineStr"/>
      <c r="J4059" t="inlineStr">
        <is>
          <t>G01084</t>
        </is>
      </c>
      <c r="K4059" t="str">
        <f>INDEX('Match Groups'!$D$5:$D$1326,MATCH(J4059,'Match Groups'!$A$5:$A$1326,0))</f>
        <v>MATCH</v>
      </c>
    </row>
    <row r="4060">
      <c r="A4060" t="inlineStr">
        <is>
          <t>JI-01747</t>
        </is>
      </c>
      <c r="B4060" t="inlineStr">
        <is>
          <t>OPS</t>
        </is>
      </c>
      <c r="C4060" s="5" t="n">
        <v>46289</v>
      </c>
      <c r="D4060" t="inlineStr">
        <is>
          <t>Lockhart Glass</t>
        </is>
      </c>
      <c r="E4060" t="inlineStr">
        <is>
          <t>INV/2026/03558</t>
        </is>
      </c>
      <c r="F4060" t="inlineStr">
        <is>
          <t>Customer payment INV/2026/03558</t>
        </is>
      </c>
      <c r="G4060" s="9" t="n">
        <v>2791.25</v>
      </c>
      <c r="H4060" t="inlineStr">
        <is>
          <t>customer_payment</t>
        </is>
      </c>
      <c r="I4060" t="inlineStr"/>
      <c r="J4060" t="inlineStr">
        <is>
          <t>G01088</t>
        </is>
      </c>
      <c r="K4060" t="str">
        <f>INDEX('Match Groups'!$D$5:$D$1326,MATCH(J4060,'Match Groups'!$A$5:$A$1326,0))</f>
        <v>MATCH</v>
      </c>
    </row>
    <row r="4061">
      <c r="A4061" t="inlineStr">
        <is>
          <t>JI-03555</t>
        </is>
      </c>
      <c r="B4061" t="inlineStr">
        <is>
          <t>OPS</t>
        </is>
      </c>
      <c r="C4061" s="5" t="n">
        <v>46289</v>
      </c>
      <c r="D4061" t="inlineStr">
        <is>
          <t>Stripe patient 16405</t>
        </is>
      </c>
      <c r="E4061" t="inlineStr">
        <is>
          <t>INV/2026/05396</t>
        </is>
      </c>
      <c r="F4061" t="inlineStr">
        <is>
          <t>Customer payment INV/2026/05396</t>
        </is>
      </c>
      <c r="G4061" s="9" t="n">
        <v>95</v>
      </c>
      <c r="H4061" t="inlineStr">
        <is>
          <t>customer_payment</t>
        </is>
      </c>
      <c r="I4061" t="inlineStr"/>
      <c r="J4061" t="inlineStr">
        <is>
          <t>G00077</t>
        </is>
      </c>
      <c r="K4061" t="str">
        <f>INDEX('Match Groups'!$D$5:$D$1326,MATCH(J4061,'Match Groups'!$A$5:$A$1326,0))</f>
        <v>STRIPE-FEE</v>
      </c>
    </row>
    <row r="4062">
      <c r="A4062" t="inlineStr">
        <is>
          <t>JI-03556</t>
        </is>
      </c>
      <c r="B4062" t="inlineStr">
        <is>
          <t>OPS</t>
        </is>
      </c>
      <c r="C4062" s="5" t="n">
        <v>46289</v>
      </c>
      <c r="D4062" t="inlineStr">
        <is>
          <t>Stripe patient 70171</t>
        </is>
      </c>
      <c r="E4062" t="inlineStr">
        <is>
          <t>INV/2026/05397</t>
        </is>
      </c>
      <c r="F4062" t="inlineStr">
        <is>
          <t>Customer payment INV/2026/05397</t>
        </is>
      </c>
      <c r="G4062" s="9" t="n">
        <v>95</v>
      </c>
      <c r="H4062" t="inlineStr">
        <is>
          <t>customer_payment</t>
        </is>
      </c>
      <c r="I4062" t="inlineStr"/>
      <c r="J4062" t="inlineStr">
        <is>
          <t>G00077</t>
        </is>
      </c>
      <c r="K4062" t="str">
        <f>INDEX('Match Groups'!$D$5:$D$1326,MATCH(J4062,'Match Groups'!$A$5:$A$1326,0))</f>
        <v>STRIPE-FEE</v>
      </c>
    </row>
    <row r="4063">
      <c r="A4063" t="inlineStr">
        <is>
          <t>JI-03557</t>
        </is>
      </c>
      <c r="B4063" t="inlineStr">
        <is>
          <t>OPS</t>
        </is>
      </c>
      <c r="C4063" s="5" t="n">
        <v>46289</v>
      </c>
      <c r="D4063" t="inlineStr">
        <is>
          <t>Stripe patient 63964</t>
        </is>
      </c>
      <c r="E4063" t="inlineStr">
        <is>
          <t>INV/2026/05398</t>
        </is>
      </c>
      <c r="F4063" t="inlineStr">
        <is>
          <t>Customer payment INV/2026/05398</t>
        </is>
      </c>
      <c r="G4063" s="9" t="n">
        <v>120</v>
      </c>
      <c r="H4063" t="inlineStr">
        <is>
          <t>customer_payment</t>
        </is>
      </c>
      <c r="I4063" t="inlineStr"/>
      <c r="J4063" t="inlineStr">
        <is>
          <t>G00077</t>
        </is>
      </c>
      <c r="K4063" t="str">
        <f>INDEX('Match Groups'!$D$5:$D$1326,MATCH(J4063,'Match Groups'!$A$5:$A$1326,0))</f>
        <v>STRIPE-FEE</v>
      </c>
    </row>
    <row r="4064">
      <c r="A4064" t="inlineStr">
        <is>
          <t>JI-03558</t>
        </is>
      </c>
      <c r="B4064" t="inlineStr">
        <is>
          <t>OPS</t>
        </is>
      </c>
      <c r="C4064" s="5" t="n">
        <v>46289</v>
      </c>
      <c r="D4064" t="inlineStr">
        <is>
          <t>Stripe patient 74621</t>
        </is>
      </c>
      <c r="E4064" t="inlineStr">
        <is>
          <t>INV/2026/05399</t>
        </is>
      </c>
      <c r="F4064" t="inlineStr">
        <is>
          <t>Customer payment INV/2026/05399</t>
        </is>
      </c>
      <c r="G4064" s="9" t="n">
        <v>220</v>
      </c>
      <c r="H4064" t="inlineStr">
        <is>
          <t>customer_payment</t>
        </is>
      </c>
      <c r="I4064" t="inlineStr"/>
      <c r="J4064" t="inlineStr">
        <is>
          <t>G00077</t>
        </is>
      </c>
      <c r="K4064" t="str">
        <f>INDEX('Match Groups'!$D$5:$D$1326,MATCH(J4064,'Match Groups'!$A$5:$A$1326,0))</f>
        <v>STRIPE-FEE</v>
      </c>
    </row>
    <row r="4065">
      <c r="A4065" t="inlineStr">
        <is>
          <t>JI-03559</t>
        </is>
      </c>
      <c r="B4065" t="inlineStr">
        <is>
          <t>OPS</t>
        </is>
      </c>
      <c r="C4065" s="5" t="n">
        <v>46289</v>
      </c>
      <c r="D4065" t="inlineStr">
        <is>
          <t>Stripe patient 74394</t>
        </is>
      </c>
      <c r="E4065" t="inlineStr">
        <is>
          <t>INV/2026/05400</t>
        </is>
      </c>
      <c r="F4065" t="inlineStr">
        <is>
          <t>Customer payment INV/2026/05400</t>
        </is>
      </c>
      <c r="G4065" s="9" t="n">
        <v>180</v>
      </c>
      <c r="H4065" t="inlineStr">
        <is>
          <t>customer_payment</t>
        </is>
      </c>
      <c r="I4065" t="inlineStr"/>
      <c r="J4065" t="inlineStr">
        <is>
          <t>G00077</t>
        </is>
      </c>
      <c r="K4065" t="str">
        <f>INDEX('Match Groups'!$D$5:$D$1326,MATCH(J4065,'Match Groups'!$A$5:$A$1326,0))</f>
        <v>STRIPE-FEE</v>
      </c>
    </row>
    <row r="4066">
      <c r="A4066" t="inlineStr">
        <is>
          <t>JI-03560</t>
        </is>
      </c>
      <c r="B4066" t="inlineStr">
        <is>
          <t>OPS</t>
        </is>
      </c>
      <c r="C4066" s="5" t="n">
        <v>46289</v>
      </c>
      <c r="D4066" t="inlineStr">
        <is>
          <t>Stripe patient 87314</t>
        </is>
      </c>
      <c r="E4066" t="inlineStr">
        <is>
          <t>INV/2026/05401</t>
        </is>
      </c>
      <c r="F4066" t="inlineStr">
        <is>
          <t>Customer payment INV/2026/05401</t>
        </is>
      </c>
      <c r="G4066" s="9" t="n">
        <v>180</v>
      </c>
      <c r="H4066" t="inlineStr">
        <is>
          <t>customer_payment</t>
        </is>
      </c>
      <c r="I4066" t="inlineStr"/>
      <c r="J4066" t="inlineStr">
        <is>
          <t>G00077</t>
        </is>
      </c>
      <c r="K4066" t="str">
        <f>INDEX('Match Groups'!$D$5:$D$1326,MATCH(J4066,'Match Groups'!$A$5:$A$1326,0))</f>
        <v>STRIPE-FEE</v>
      </c>
    </row>
    <row r="4067">
      <c r="A4067" t="inlineStr">
        <is>
          <t>JI-03561</t>
        </is>
      </c>
      <c r="B4067" t="inlineStr">
        <is>
          <t>OPS</t>
        </is>
      </c>
      <c r="C4067" s="5" t="n">
        <v>46289</v>
      </c>
      <c r="D4067" t="inlineStr">
        <is>
          <t>Stripe patient 91049</t>
        </is>
      </c>
      <c r="E4067" t="inlineStr">
        <is>
          <t>INV/2026/05402</t>
        </is>
      </c>
      <c r="F4067" t="inlineStr">
        <is>
          <t>Customer payment INV/2026/05402</t>
        </is>
      </c>
      <c r="G4067" s="9" t="n">
        <v>95</v>
      </c>
      <c r="H4067" t="inlineStr">
        <is>
          <t>customer_payment</t>
        </is>
      </c>
      <c r="I4067" t="inlineStr"/>
      <c r="J4067" t="inlineStr">
        <is>
          <t>G00077</t>
        </is>
      </c>
      <c r="K4067" t="str">
        <f>INDEX('Match Groups'!$D$5:$D$1326,MATCH(J4067,'Match Groups'!$A$5:$A$1326,0))</f>
        <v>STRIPE-FEE</v>
      </c>
    </row>
    <row r="4068">
      <c r="A4068" t="inlineStr">
        <is>
          <t>JI-03562</t>
        </is>
      </c>
      <c r="B4068" t="inlineStr">
        <is>
          <t>OPS</t>
        </is>
      </c>
      <c r="C4068" s="5" t="n">
        <v>46289</v>
      </c>
      <c r="D4068" t="inlineStr">
        <is>
          <t>Stripe patient 42459</t>
        </is>
      </c>
      <c r="E4068" t="inlineStr">
        <is>
          <t>INV/2026/05403</t>
        </is>
      </c>
      <c r="F4068" t="inlineStr">
        <is>
          <t>Customer payment INV/2026/05403</t>
        </is>
      </c>
      <c r="G4068" s="9" t="n">
        <v>220</v>
      </c>
      <c r="H4068" t="inlineStr">
        <is>
          <t>customer_payment</t>
        </is>
      </c>
      <c r="I4068" t="inlineStr"/>
      <c r="J4068" t="inlineStr">
        <is>
          <t>G00077</t>
        </is>
      </c>
      <c r="K4068" t="str">
        <f>INDEX('Match Groups'!$D$5:$D$1326,MATCH(J4068,'Match Groups'!$A$5:$A$1326,0))</f>
        <v>STRIPE-FEE</v>
      </c>
    </row>
    <row r="4069">
      <c r="A4069" t="inlineStr">
        <is>
          <t>JI-03563</t>
        </is>
      </c>
      <c r="B4069" t="inlineStr">
        <is>
          <t>OPS</t>
        </is>
      </c>
      <c r="C4069" s="5" t="n">
        <v>46289</v>
      </c>
      <c r="D4069" t="inlineStr">
        <is>
          <t>Stripe patient 89938</t>
        </is>
      </c>
      <c r="E4069" t="inlineStr">
        <is>
          <t>INV/2026/05404</t>
        </is>
      </c>
      <c r="F4069" t="inlineStr">
        <is>
          <t>Customer payment INV/2026/05404</t>
        </is>
      </c>
      <c r="G4069" s="9" t="n">
        <v>95</v>
      </c>
      <c r="H4069" t="inlineStr">
        <is>
          <t>customer_payment</t>
        </is>
      </c>
      <c r="I4069" t="inlineStr"/>
      <c r="J4069" t="inlineStr">
        <is>
          <t>G00077</t>
        </is>
      </c>
      <c r="K4069" t="str">
        <f>INDEX('Match Groups'!$D$5:$D$1326,MATCH(J4069,'Match Groups'!$A$5:$A$1326,0))</f>
        <v>STRIPE-FEE</v>
      </c>
    </row>
    <row r="4070">
      <c r="A4070" t="inlineStr">
        <is>
          <t>JI-03564</t>
        </is>
      </c>
      <c r="B4070" t="inlineStr">
        <is>
          <t>OPS</t>
        </is>
      </c>
      <c r="C4070" s="5" t="n">
        <v>46289</v>
      </c>
      <c r="D4070" t="inlineStr">
        <is>
          <t>Stripe patient 53191</t>
        </is>
      </c>
      <c r="E4070" t="inlineStr">
        <is>
          <t>INV/2026/05405</t>
        </is>
      </c>
      <c r="F4070" t="inlineStr">
        <is>
          <t>Customer payment INV/2026/05405</t>
        </is>
      </c>
      <c r="G4070" s="9" t="n">
        <v>110</v>
      </c>
      <c r="H4070" t="inlineStr">
        <is>
          <t>customer_payment</t>
        </is>
      </c>
      <c r="I4070" t="inlineStr"/>
      <c r="J4070" t="inlineStr">
        <is>
          <t>G00077</t>
        </is>
      </c>
      <c r="K4070" t="str">
        <f>INDEX('Match Groups'!$D$5:$D$1326,MATCH(J4070,'Match Groups'!$A$5:$A$1326,0))</f>
        <v>STRIPE-FEE</v>
      </c>
    </row>
    <row r="4071">
      <c r="A4071" t="inlineStr">
        <is>
          <t>JI-03565</t>
        </is>
      </c>
      <c r="B4071" t="inlineStr">
        <is>
          <t>OPS</t>
        </is>
      </c>
      <c r="C4071" s="5" t="n">
        <v>46289</v>
      </c>
      <c r="D4071" t="inlineStr">
        <is>
          <t>Stripe patient 46806</t>
        </is>
      </c>
      <c r="E4071" t="inlineStr">
        <is>
          <t>INV/2026/05406</t>
        </is>
      </c>
      <c r="F4071" t="inlineStr">
        <is>
          <t>Customer payment INV/2026/05406</t>
        </is>
      </c>
      <c r="G4071" s="9" t="n">
        <v>120</v>
      </c>
      <c r="H4071" t="inlineStr">
        <is>
          <t>customer_payment</t>
        </is>
      </c>
      <c r="I4071" t="inlineStr"/>
      <c r="J4071" t="inlineStr">
        <is>
          <t>G00077</t>
        </is>
      </c>
      <c r="K4071" t="str">
        <f>INDEX('Match Groups'!$D$5:$D$1326,MATCH(J4071,'Match Groups'!$A$5:$A$1326,0))</f>
        <v>STRIPE-FEE</v>
      </c>
    </row>
    <row r="4072">
      <c r="A4072" t="inlineStr">
        <is>
          <t>JI-03566</t>
        </is>
      </c>
      <c r="B4072" t="inlineStr">
        <is>
          <t>OPS</t>
        </is>
      </c>
      <c r="C4072" s="5" t="n">
        <v>46289</v>
      </c>
      <c r="D4072" t="inlineStr">
        <is>
          <t>Stripe patient 90164</t>
        </is>
      </c>
      <c r="E4072" t="inlineStr">
        <is>
          <t>INV/2026/05407</t>
        </is>
      </c>
      <c r="F4072" t="inlineStr">
        <is>
          <t>Customer payment INV/2026/05407</t>
        </is>
      </c>
      <c r="G4072" s="9" t="n">
        <v>65</v>
      </c>
      <c r="H4072" t="inlineStr">
        <is>
          <t>customer_payment</t>
        </is>
      </c>
      <c r="I4072" t="inlineStr"/>
      <c r="J4072" t="inlineStr">
        <is>
          <t>G00077</t>
        </is>
      </c>
      <c r="K4072" t="str">
        <f>INDEX('Match Groups'!$D$5:$D$1326,MATCH(J4072,'Match Groups'!$A$5:$A$1326,0))</f>
        <v>STRIPE-FEE</v>
      </c>
    </row>
    <row r="4073">
      <c r="A4073" t="inlineStr">
        <is>
          <t>JI-03567</t>
        </is>
      </c>
      <c r="B4073" t="inlineStr">
        <is>
          <t>OPS</t>
        </is>
      </c>
      <c r="C4073" s="5" t="n">
        <v>46289</v>
      </c>
      <c r="D4073" t="inlineStr">
        <is>
          <t>Stripe patient 30893</t>
        </is>
      </c>
      <c r="E4073" t="inlineStr">
        <is>
          <t>INV/2026/05408</t>
        </is>
      </c>
      <c r="F4073" t="inlineStr">
        <is>
          <t>Customer payment INV/2026/05408</t>
        </is>
      </c>
      <c r="G4073" s="9" t="n">
        <v>135</v>
      </c>
      <c r="H4073" t="inlineStr">
        <is>
          <t>customer_payment</t>
        </is>
      </c>
      <c r="I4073" t="inlineStr"/>
      <c r="J4073" t="inlineStr">
        <is>
          <t>G00077</t>
        </is>
      </c>
      <c r="K4073" t="str">
        <f>INDEX('Match Groups'!$D$5:$D$1326,MATCH(J4073,'Match Groups'!$A$5:$A$1326,0))</f>
        <v>STRIPE-FEE</v>
      </c>
    </row>
    <row r="4074">
      <c r="A4074" t="inlineStr">
        <is>
          <t>JI-03568</t>
        </is>
      </c>
      <c r="B4074" t="inlineStr">
        <is>
          <t>OPS</t>
        </is>
      </c>
      <c r="C4074" s="5" t="n">
        <v>46289</v>
      </c>
      <c r="D4074" t="inlineStr">
        <is>
          <t>Stripe patient 94506</t>
        </is>
      </c>
      <c r="E4074" t="inlineStr">
        <is>
          <t>INV/2026/05409</t>
        </is>
      </c>
      <c r="F4074" t="inlineStr">
        <is>
          <t>Customer payment INV/2026/05409</t>
        </is>
      </c>
      <c r="G4074" s="9" t="n">
        <v>65</v>
      </c>
      <c r="H4074" t="inlineStr">
        <is>
          <t>customer_payment</t>
        </is>
      </c>
      <c r="I4074" t="inlineStr"/>
      <c r="J4074" t="inlineStr">
        <is>
          <t>G00077</t>
        </is>
      </c>
      <c r="K4074" t="str">
        <f>INDEX('Match Groups'!$D$5:$D$1326,MATCH(J4074,'Match Groups'!$A$5:$A$1326,0))</f>
        <v>STRIPE-FEE</v>
      </c>
    </row>
    <row r="4075">
      <c r="A4075" t="inlineStr">
        <is>
          <t>JI-03569</t>
        </is>
      </c>
      <c r="B4075" t="inlineStr">
        <is>
          <t>OPS</t>
        </is>
      </c>
      <c r="C4075" s="5" t="n">
        <v>46289</v>
      </c>
      <c r="D4075" t="inlineStr">
        <is>
          <t>Stripe patient 69724</t>
        </is>
      </c>
      <c r="E4075" t="inlineStr">
        <is>
          <t>INV/2026/05410</t>
        </is>
      </c>
      <c r="F4075" t="inlineStr">
        <is>
          <t>Customer payment INV/2026/05410</t>
        </is>
      </c>
      <c r="G4075" s="9" t="n">
        <v>65</v>
      </c>
      <c r="H4075" t="inlineStr">
        <is>
          <t>customer_payment</t>
        </is>
      </c>
      <c r="I4075" t="inlineStr"/>
      <c r="J4075" t="inlineStr">
        <is>
          <t>G00077</t>
        </is>
      </c>
      <c r="K4075" t="str">
        <f>INDEX('Match Groups'!$D$5:$D$1326,MATCH(J4075,'Match Groups'!$A$5:$A$1326,0))</f>
        <v>STRIPE-FEE</v>
      </c>
    </row>
    <row r="4076">
      <c r="A4076" t="inlineStr">
        <is>
          <t>JI-03570</t>
        </is>
      </c>
      <c r="B4076" t="inlineStr">
        <is>
          <t>OPS</t>
        </is>
      </c>
      <c r="C4076" s="5" t="n">
        <v>46289</v>
      </c>
      <c r="D4076" t="inlineStr">
        <is>
          <t>Stripe patient 28452</t>
        </is>
      </c>
      <c r="E4076" t="inlineStr">
        <is>
          <t>INV/2026/05411</t>
        </is>
      </c>
      <c r="F4076" t="inlineStr">
        <is>
          <t>Customer payment INV/2026/05411</t>
        </is>
      </c>
      <c r="G4076" s="9" t="n">
        <v>180</v>
      </c>
      <c r="H4076" t="inlineStr">
        <is>
          <t>customer_payment</t>
        </is>
      </c>
      <c r="I4076" t="inlineStr"/>
      <c r="J4076" t="inlineStr">
        <is>
          <t>G00077</t>
        </is>
      </c>
      <c r="K4076" t="str">
        <f>INDEX('Match Groups'!$D$5:$D$1326,MATCH(J4076,'Match Groups'!$A$5:$A$1326,0))</f>
        <v>STRIPE-FEE</v>
      </c>
    </row>
    <row r="4077">
      <c r="A4077" t="inlineStr">
        <is>
          <t>JI-03571</t>
        </is>
      </c>
      <c r="B4077" t="inlineStr">
        <is>
          <t>OPS</t>
        </is>
      </c>
      <c r="C4077" s="5" t="n">
        <v>46289</v>
      </c>
      <c r="D4077" t="inlineStr">
        <is>
          <t>Stripe patient 38001</t>
        </is>
      </c>
      <c r="E4077" t="inlineStr">
        <is>
          <t>INV/2026/05412</t>
        </is>
      </c>
      <c r="F4077" t="inlineStr">
        <is>
          <t>Customer payment INV/2026/05412</t>
        </is>
      </c>
      <c r="G4077" s="9" t="n">
        <v>150</v>
      </c>
      <c r="H4077" t="inlineStr">
        <is>
          <t>customer_payment</t>
        </is>
      </c>
      <c r="I4077" t="inlineStr"/>
      <c r="J4077" t="inlineStr">
        <is>
          <t>G00077</t>
        </is>
      </c>
      <c r="K4077" t="str">
        <f>INDEX('Match Groups'!$D$5:$D$1326,MATCH(J4077,'Match Groups'!$A$5:$A$1326,0))</f>
        <v>STRIPE-FEE</v>
      </c>
    </row>
    <row r="4078">
      <c r="A4078" t="inlineStr">
        <is>
          <t>JI-03572</t>
        </is>
      </c>
      <c r="B4078" t="inlineStr">
        <is>
          <t>OPS</t>
        </is>
      </c>
      <c r="C4078" s="5" t="n">
        <v>46289</v>
      </c>
      <c r="D4078" t="inlineStr">
        <is>
          <t>Stripe patient 59198</t>
        </is>
      </c>
      <c r="E4078" t="inlineStr">
        <is>
          <t>INV/2026/05413</t>
        </is>
      </c>
      <c r="F4078" t="inlineStr">
        <is>
          <t>Customer payment INV/2026/05413</t>
        </is>
      </c>
      <c r="G4078" s="9" t="n">
        <v>120</v>
      </c>
      <c r="H4078" t="inlineStr">
        <is>
          <t>customer_payment</t>
        </is>
      </c>
      <c r="I4078" t="inlineStr"/>
      <c r="J4078" t="inlineStr">
        <is>
          <t>G00077</t>
        </is>
      </c>
      <c r="K4078" t="str">
        <f>INDEX('Match Groups'!$D$5:$D$1326,MATCH(J4078,'Match Groups'!$A$5:$A$1326,0))</f>
        <v>STRIPE-FEE</v>
      </c>
    </row>
    <row r="4079">
      <c r="A4079" t="inlineStr">
        <is>
          <t>JI-03573</t>
        </is>
      </c>
      <c r="B4079" t="inlineStr">
        <is>
          <t>OPS</t>
        </is>
      </c>
      <c r="C4079" s="5" t="n">
        <v>46289</v>
      </c>
      <c r="D4079" t="inlineStr">
        <is>
          <t>Stripe patient 51950</t>
        </is>
      </c>
      <c r="E4079" t="inlineStr">
        <is>
          <t>INV/2026/05414</t>
        </is>
      </c>
      <c r="F4079" t="inlineStr">
        <is>
          <t>Customer payment INV/2026/05414</t>
        </is>
      </c>
      <c r="G4079" s="9" t="n">
        <v>150</v>
      </c>
      <c r="H4079" t="inlineStr">
        <is>
          <t>customer_payment</t>
        </is>
      </c>
      <c r="I4079" t="inlineStr"/>
      <c r="J4079" t="inlineStr">
        <is>
          <t>G00077</t>
        </is>
      </c>
      <c r="K4079" t="str">
        <f>INDEX('Match Groups'!$D$5:$D$1326,MATCH(J4079,'Match Groups'!$A$5:$A$1326,0))</f>
        <v>STRIPE-FEE</v>
      </c>
    </row>
    <row r="4080">
      <c r="A4080" t="inlineStr">
        <is>
          <t>JI-03574</t>
        </is>
      </c>
      <c r="B4080" t="inlineStr">
        <is>
          <t>OPS</t>
        </is>
      </c>
      <c r="C4080" s="5" t="n">
        <v>46289</v>
      </c>
      <c r="D4080" t="inlineStr">
        <is>
          <t>Stripe patient 75645</t>
        </is>
      </c>
      <c r="E4080" t="inlineStr">
        <is>
          <t>INV/2026/05415</t>
        </is>
      </c>
      <c r="F4080" t="inlineStr">
        <is>
          <t>Customer payment INV/2026/05415</t>
        </is>
      </c>
      <c r="G4080" s="9" t="n">
        <v>95</v>
      </c>
      <c r="H4080" t="inlineStr">
        <is>
          <t>customer_payment</t>
        </is>
      </c>
      <c r="I4080" t="inlineStr"/>
      <c r="J4080" t="inlineStr">
        <is>
          <t>G00077</t>
        </is>
      </c>
      <c r="K4080" t="str">
        <f>INDEX('Match Groups'!$D$5:$D$1326,MATCH(J4080,'Match Groups'!$A$5:$A$1326,0))</f>
        <v>STRIPE-FEE</v>
      </c>
    </row>
    <row r="4081">
      <c r="A4081" t="inlineStr">
        <is>
          <t>JI-03575</t>
        </is>
      </c>
      <c r="B4081" t="inlineStr">
        <is>
          <t>OPS</t>
        </is>
      </c>
      <c r="C4081" s="5" t="n">
        <v>46289</v>
      </c>
      <c r="D4081" t="inlineStr">
        <is>
          <t>Stripe patient 47432</t>
        </is>
      </c>
      <c r="E4081" t="inlineStr">
        <is>
          <t>INV/2026/05416</t>
        </is>
      </c>
      <c r="F4081" t="inlineStr">
        <is>
          <t>Customer payment INV/2026/05416</t>
        </is>
      </c>
      <c r="G4081" s="9" t="n">
        <v>65</v>
      </c>
      <c r="H4081" t="inlineStr">
        <is>
          <t>customer_payment</t>
        </is>
      </c>
      <c r="I4081" t="inlineStr"/>
      <c r="J4081" t="inlineStr">
        <is>
          <t>G00077</t>
        </is>
      </c>
      <c r="K4081" t="str">
        <f>INDEX('Match Groups'!$D$5:$D$1326,MATCH(J4081,'Match Groups'!$A$5:$A$1326,0))</f>
        <v>STRIPE-FEE</v>
      </c>
    </row>
    <row r="4082">
      <c r="A4082" t="inlineStr">
        <is>
          <t>JI-03576</t>
        </is>
      </c>
      <c r="B4082" t="inlineStr">
        <is>
          <t>OPS</t>
        </is>
      </c>
      <c r="C4082" s="5" t="n">
        <v>46289</v>
      </c>
      <c r="D4082" t="inlineStr">
        <is>
          <t>Stripe patient 57966</t>
        </is>
      </c>
      <c r="E4082" t="inlineStr">
        <is>
          <t>INV/2026/05417</t>
        </is>
      </c>
      <c r="F4082" t="inlineStr">
        <is>
          <t>Customer payment INV/2026/05417</t>
        </is>
      </c>
      <c r="G4082" s="9" t="n">
        <v>150</v>
      </c>
      <c r="H4082" t="inlineStr">
        <is>
          <t>customer_payment</t>
        </is>
      </c>
      <c r="I4082" t="inlineStr"/>
      <c r="J4082" t="inlineStr">
        <is>
          <t>G00077</t>
        </is>
      </c>
      <c r="K4082" t="str">
        <f>INDEX('Match Groups'!$D$5:$D$1326,MATCH(J4082,'Match Groups'!$A$5:$A$1326,0))</f>
        <v>STRIPE-FEE</v>
      </c>
    </row>
    <row r="4083">
      <c r="A4083" t="inlineStr">
        <is>
          <t>JI-03577</t>
        </is>
      </c>
      <c r="B4083" t="inlineStr">
        <is>
          <t>OPS</t>
        </is>
      </c>
      <c r="C4083" s="5" t="n">
        <v>46289</v>
      </c>
      <c r="D4083" t="inlineStr">
        <is>
          <t>Stripe patient 95042</t>
        </is>
      </c>
      <c r="E4083" t="inlineStr">
        <is>
          <t>INV/2026/05418</t>
        </is>
      </c>
      <c r="F4083" t="inlineStr">
        <is>
          <t>Customer payment INV/2026/05418</t>
        </is>
      </c>
      <c r="G4083" s="9" t="n">
        <v>220</v>
      </c>
      <c r="H4083" t="inlineStr">
        <is>
          <t>customer_payment</t>
        </is>
      </c>
      <c r="I4083" t="inlineStr"/>
      <c r="J4083" t="inlineStr">
        <is>
          <t>G00077</t>
        </is>
      </c>
      <c r="K4083" t="str">
        <f>INDEX('Match Groups'!$D$5:$D$1326,MATCH(J4083,'Match Groups'!$A$5:$A$1326,0))</f>
        <v>STRIPE-FEE</v>
      </c>
    </row>
    <row r="4084">
      <c r="A4084" t="inlineStr">
        <is>
          <t>JI-03578</t>
        </is>
      </c>
      <c r="B4084" t="inlineStr">
        <is>
          <t>OPS</t>
        </is>
      </c>
      <c r="C4084" s="5" t="n">
        <v>46289</v>
      </c>
      <c r="D4084" t="inlineStr">
        <is>
          <t>Stripe patient 17604</t>
        </is>
      </c>
      <c r="E4084" t="inlineStr">
        <is>
          <t>INV/2026/05419</t>
        </is>
      </c>
      <c r="F4084" t="inlineStr">
        <is>
          <t>Customer payment INV/2026/05419</t>
        </is>
      </c>
      <c r="G4084" s="9" t="n">
        <v>220</v>
      </c>
      <c r="H4084" t="inlineStr">
        <is>
          <t>customer_payment</t>
        </is>
      </c>
      <c r="I4084" t="inlineStr"/>
      <c r="J4084" t="inlineStr">
        <is>
          <t>G00077</t>
        </is>
      </c>
      <c r="K4084" t="str">
        <f>INDEX('Match Groups'!$D$5:$D$1326,MATCH(J4084,'Match Groups'!$A$5:$A$1326,0))</f>
        <v>STRIPE-FEE</v>
      </c>
    </row>
    <row r="4085">
      <c r="A4085" t="inlineStr">
        <is>
          <t>JI-03579</t>
        </is>
      </c>
      <c r="B4085" t="inlineStr">
        <is>
          <t>OPS</t>
        </is>
      </c>
      <c r="C4085" s="5" t="n">
        <v>46289</v>
      </c>
      <c r="D4085" t="inlineStr">
        <is>
          <t>Stripe patient 28394</t>
        </is>
      </c>
      <c r="E4085" t="inlineStr">
        <is>
          <t>INV/2026/05420</t>
        </is>
      </c>
      <c r="F4085" t="inlineStr">
        <is>
          <t>Customer payment INV/2026/05420</t>
        </is>
      </c>
      <c r="G4085" s="9" t="n">
        <v>120</v>
      </c>
      <c r="H4085" t="inlineStr">
        <is>
          <t>customer_payment</t>
        </is>
      </c>
      <c r="I4085" t="inlineStr"/>
      <c r="J4085" t="inlineStr">
        <is>
          <t>G00077</t>
        </is>
      </c>
      <c r="K4085" t="str">
        <f>INDEX('Match Groups'!$D$5:$D$1326,MATCH(J4085,'Match Groups'!$A$5:$A$1326,0))</f>
        <v>STRIPE-FEE</v>
      </c>
    </row>
    <row r="4086">
      <c r="A4086" t="inlineStr">
        <is>
          <t>JI-03580</t>
        </is>
      </c>
      <c r="B4086" t="inlineStr">
        <is>
          <t>OPS</t>
        </is>
      </c>
      <c r="C4086" s="5" t="n">
        <v>46289</v>
      </c>
      <c r="D4086" t="inlineStr">
        <is>
          <t>Stripe patient 91518</t>
        </is>
      </c>
      <c r="E4086" t="inlineStr">
        <is>
          <t>INV/2026/05421</t>
        </is>
      </c>
      <c r="F4086" t="inlineStr">
        <is>
          <t>Customer payment INV/2026/05421</t>
        </is>
      </c>
      <c r="G4086" s="9" t="n">
        <v>120</v>
      </c>
      <c r="H4086" t="inlineStr">
        <is>
          <t>customer_payment</t>
        </is>
      </c>
      <c r="I4086" t="inlineStr"/>
      <c r="J4086" t="inlineStr">
        <is>
          <t>G00077</t>
        </is>
      </c>
      <c r="K4086" t="str">
        <f>INDEX('Match Groups'!$D$5:$D$1326,MATCH(J4086,'Match Groups'!$A$5:$A$1326,0))</f>
        <v>STRIPE-FEE</v>
      </c>
    </row>
    <row r="4087">
      <c r="A4087" t="inlineStr">
        <is>
          <t>JI-01489</t>
        </is>
      </c>
      <c r="B4087" t="inlineStr">
        <is>
          <t>OPS</t>
        </is>
      </c>
      <c r="C4087" s="5" t="n">
        <v>46290</v>
      </c>
      <c r="D4087" t="inlineStr">
        <is>
          <t>Clearpath NDIS Plans</t>
        </is>
      </c>
      <c r="E4087" t="inlineStr">
        <is>
          <t>INV/2026/03126</t>
        </is>
      </c>
      <c r="F4087" t="inlineStr">
        <is>
          <t>Customer payment INV/2026/03126</t>
        </is>
      </c>
      <c r="G4087" s="9" t="n">
        <v>387.98</v>
      </c>
      <c r="H4087" t="inlineStr">
        <is>
          <t>customer_payment</t>
        </is>
      </c>
      <c r="I4087" t="inlineStr"/>
      <c r="J4087" t="inlineStr">
        <is>
          <t>G00482</t>
        </is>
      </c>
      <c r="K4087" t="str">
        <f>INDEX('Match Groups'!$D$5:$D$1326,MATCH(J4087,'Match Groups'!$A$5:$A$1326,0))</f>
        <v>MATCH</v>
      </c>
    </row>
    <row r="4088">
      <c r="A4088" t="inlineStr">
        <is>
          <t>JI-01490</t>
        </is>
      </c>
      <c r="B4088" t="inlineStr">
        <is>
          <t>OPS</t>
        </is>
      </c>
      <c r="C4088" s="5" t="n">
        <v>46290</v>
      </c>
      <c r="D4088" t="inlineStr">
        <is>
          <t>Clearpath NDIS Plans</t>
        </is>
      </c>
      <c r="E4088" t="inlineStr">
        <is>
          <t>INV/2026/03154</t>
        </is>
      </c>
      <c r="F4088" t="inlineStr">
        <is>
          <t>Customer payment INV/2026/03154</t>
        </is>
      </c>
      <c r="G4088" s="9" t="n">
        <v>242.49</v>
      </c>
      <c r="H4088" t="inlineStr">
        <is>
          <t>customer_payment</t>
        </is>
      </c>
      <c r="I4088" t="inlineStr"/>
      <c r="J4088" t="inlineStr">
        <is>
          <t>G00482</t>
        </is>
      </c>
      <c r="K4088" t="str">
        <f>INDEX('Match Groups'!$D$5:$D$1326,MATCH(J4088,'Match Groups'!$A$5:$A$1326,0))</f>
        <v>MATCH</v>
      </c>
    </row>
    <row r="4089">
      <c r="A4089" t="inlineStr">
        <is>
          <t>JI-01491</t>
        </is>
      </c>
      <c r="B4089" t="inlineStr">
        <is>
          <t>OPS</t>
        </is>
      </c>
      <c r="C4089" s="5" t="n">
        <v>46290</v>
      </c>
      <c r="D4089" t="inlineStr">
        <is>
          <t>Clearpath NDIS Plans</t>
        </is>
      </c>
      <c r="E4089" t="inlineStr">
        <is>
          <t>INV/2026/03177</t>
        </is>
      </c>
      <c r="F4089" t="inlineStr">
        <is>
          <t>Customer payment INV/2026/03177</t>
        </is>
      </c>
      <c r="G4089" s="9" t="n">
        <v>96.98999999999999</v>
      </c>
      <c r="H4089" t="inlineStr">
        <is>
          <t>customer_payment</t>
        </is>
      </c>
      <c r="I4089" t="inlineStr"/>
      <c r="J4089" t="inlineStr">
        <is>
          <t>G00482</t>
        </is>
      </c>
      <c r="K4089" t="str">
        <f>INDEX('Match Groups'!$D$5:$D$1326,MATCH(J4089,'Match Groups'!$A$5:$A$1326,0))</f>
        <v>MATCH</v>
      </c>
    </row>
    <row r="4090">
      <c r="A4090" t="inlineStr">
        <is>
          <t>JI-01495</t>
        </is>
      </c>
      <c r="B4090" t="inlineStr">
        <is>
          <t>OPS</t>
        </is>
      </c>
      <c r="C4090" s="5" t="n">
        <v>46290</v>
      </c>
      <c r="D4090" t="inlineStr">
        <is>
          <t>Saltbush Plan Managers</t>
        </is>
      </c>
      <c r="E4090" t="inlineStr">
        <is>
          <t>INV/2026/03137</t>
        </is>
      </c>
      <c r="F4090" t="inlineStr">
        <is>
          <t>Customer payment INV/2026/03137</t>
        </is>
      </c>
      <c r="G4090" s="9" t="n">
        <v>175.49</v>
      </c>
      <c r="H4090" t="inlineStr">
        <is>
          <t>customer_payment</t>
        </is>
      </c>
      <c r="I4090" t="inlineStr"/>
      <c r="J4090" t="inlineStr">
        <is>
          <t>G00484</t>
        </is>
      </c>
      <c r="K4090" t="str">
        <f>INDEX('Match Groups'!$D$5:$D$1326,MATCH(J4090,'Match Groups'!$A$5:$A$1326,0))</f>
        <v>MATCH</v>
      </c>
    </row>
    <row r="4091">
      <c r="A4091" t="inlineStr">
        <is>
          <t>JI-01496</t>
        </is>
      </c>
      <c r="B4091" t="inlineStr">
        <is>
          <t>OPS</t>
        </is>
      </c>
      <c r="C4091" s="5" t="n">
        <v>46290</v>
      </c>
      <c r="D4091" t="inlineStr">
        <is>
          <t>Saltbush Plan Managers</t>
        </is>
      </c>
      <c r="E4091" t="inlineStr">
        <is>
          <t>INV/2026/03164</t>
        </is>
      </c>
      <c r="F4091" t="inlineStr">
        <is>
          <t>Customer payment INV/2026/03164</t>
        </is>
      </c>
      <c r="G4091" s="9" t="n">
        <v>203.69</v>
      </c>
      <c r="H4091" t="inlineStr">
        <is>
          <t>customer_payment</t>
        </is>
      </c>
      <c r="I4091" t="inlineStr"/>
      <c r="J4091" t="inlineStr">
        <is>
          <t>G00484</t>
        </is>
      </c>
      <c r="K4091" t="str">
        <f>INDEX('Match Groups'!$D$5:$D$1326,MATCH(J4091,'Match Groups'!$A$5:$A$1326,0))</f>
        <v>MATCH</v>
      </c>
    </row>
    <row r="4092">
      <c r="A4092" t="inlineStr">
        <is>
          <t>JI-01497</t>
        </is>
      </c>
      <c r="B4092" t="inlineStr">
        <is>
          <t>OPS</t>
        </is>
      </c>
      <c r="C4092" s="5" t="n">
        <v>46290</v>
      </c>
      <c r="D4092" t="inlineStr">
        <is>
          <t>Saltbush Plan Managers</t>
        </is>
      </c>
      <c r="E4092" t="inlineStr">
        <is>
          <t>INV/2026/03165</t>
        </is>
      </c>
      <c r="F4092" t="inlineStr">
        <is>
          <t>Customer payment INV/2026/03165</t>
        </is>
      </c>
      <c r="G4092" s="9" t="n">
        <v>349.18</v>
      </c>
      <c r="H4092" t="inlineStr">
        <is>
          <t>customer_payment</t>
        </is>
      </c>
      <c r="I4092" t="inlineStr"/>
      <c r="J4092" t="inlineStr">
        <is>
          <t>G00484</t>
        </is>
      </c>
      <c r="K4092" t="str">
        <f>INDEX('Match Groups'!$D$5:$D$1326,MATCH(J4092,'Match Groups'!$A$5:$A$1326,0))</f>
        <v>MATCH</v>
      </c>
    </row>
    <row r="4093">
      <c r="A4093" t="inlineStr">
        <is>
          <t>JI-01498</t>
        </is>
      </c>
      <c r="B4093" t="inlineStr">
        <is>
          <t>OPS</t>
        </is>
      </c>
      <c r="C4093" s="5" t="n">
        <v>46290</v>
      </c>
      <c r="D4093" t="inlineStr">
        <is>
          <t>Redgum Plan Admin</t>
        </is>
      </c>
      <c r="E4093" t="inlineStr">
        <is>
          <t>INV/2026/03247</t>
        </is>
      </c>
      <c r="F4093" t="inlineStr">
        <is>
          <t>Customer payment INV/2026/03247</t>
        </is>
      </c>
      <c r="G4093" s="9" t="n">
        <v>387.98</v>
      </c>
      <c r="H4093" t="inlineStr">
        <is>
          <t>customer_payment</t>
        </is>
      </c>
      <c r="I4093" t="inlineStr"/>
      <c r="J4093" t="inlineStr">
        <is>
          <t>G00485</t>
        </is>
      </c>
      <c r="K4093" t="str">
        <f>INDEX('Match Groups'!$D$5:$D$1326,MATCH(J4093,'Match Groups'!$A$5:$A$1326,0))</f>
        <v>MATCH</v>
      </c>
    </row>
    <row r="4094">
      <c r="A4094" t="inlineStr">
        <is>
          <t>JI-01501</t>
        </is>
      </c>
      <c r="B4094" t="inlineStr">
        <is>
          <t>OPS</t>
        </is>
      </c>
      <c r="C4094" s="5" t="n">
        <v>46290</v>
      </c>
      <c r="D4094" t="inlineStr">
        <is>
          <t>Lyrebird Plan Management</t>
        </is>
      </c>
      <c r="E4094" t="inlineStr">
        <is>
          <t>INV/2026/03208</t>
        </is>
      </c>
      <c r="F4094" t="inlineStr">
        <is>
          <t>Customer payment INV/2026/03208</t>
        </is>
      </c>
      <c r="G4094" s="9" t="n">
        <v>252.19</v>
      </c>
      <c r="H4094" t="inlineStr">
        <is>
          <t>customer_payment</t>
        </is>
      </c>
      <c r="I4094" t="inlineStr"/>
      <c r="J4094" t="inlineStr">
        <is>
          <t>G00487</t>
        </is>
      </c>
      <c r="K4094" t="str">
        <f>INDEX('Match Groups'!$D$5:$D$1326,MATCH(J4094,'Match Groups'!$A$5:$A$1326,0))</f>
        <v>MATCH</v>
      </c>
    </row>
    <row r="4095">
      <c r="A4095" t="inlineStr">
        <is>
          <t>JI-01502</t>
        </is>
      </c>
      <c r="B4095" t="inlineStr">
        <is>
          <t>OPS</t>
        </is>
      </c>
      <c r="C4095" s="5" t="n">
        <v>46290</v>
      </c>
      <c r="D4095" t="inlineStr">
        <is>
          <t>Lyrebird Plan Management</t>
        </is>
      </c>
      <c r="E4095" t="inlineStr">
        <is>
          <t>INV/2026/03229</t>
        </is>
      </c>
      <c r="F4095" t="inlineStr">
        <is>
          <t>Customer payment INV/2026/03229</t>
        </is>
      </c>
      <c r="G4095" s="9" t="n">
        <v>320.98</v>
      </c>
      <c r="H4095" t="inlineStr">
        <is>
          <t>customer_payment</t>
        </is>
      </c>
      <c r="I4095" t="inlineStr"/>
      <c r="J4095" t="inlineStr">
        <is>
          <t>G00487</t>
        </is>
      </c>
      <c r="K4095" t="str">
        <f>INDEX('Match Groups'!$D$5:$D$1326,MATCH(J4095,'Match Groups'!$A$5:$A$1326,0))</f>
        <v>MATCH</v>
      </c>
    </row>
    <row r="4096">
      <c r="A4096" t="inlineStr">
        <is>
          <t>JI-01503</t>
        </is>
      </c>
      <c r="B4096" t="inlineStr">
        <is>
          <t>OPS</t>
        </is>
      </c>
      <c r="C4096" s="5" t="n">
        <v>46290</v>
      </c>
      <c r="D4096" t="inlineStr">
        <is>
          <t>Lyrebird Plan Management</t>
        </is>
      </c>
      <c r="E4096" t="inlineStr">
        <is>
          <t>INV/2026/03271</t>
        </is>
      </c>
      <c r="F4096" t="inlineStr">
        <is>
          <t>Customer payment INV/2026/03271</t>
        </is>
      </c>
      <c r="G4096" s="9" t="n">
        <v>290.98</v>
      </c>
      <c r="H4096" t="inlineStr">
        <is>
          <t>customer_payment</t>
        </is>
      </c>
      <c r="I4096" t="inlineStr"/>
      <c r="J4096" t="inlineStr">
        <is>
          <t>G00487</t>
        </is>
      </c>
      <c r="K4096" t="str">
        <f>INDEX('Match Groups'!$D$5:$D$1326,MATCH(J4096,'Match Groups'!$A$5:$A$1326,0))</f>
        <v>MATCH</v>
      </c>
    </row>
    <row r="4097">
      <c r="A4097" t="inlineStr">
        <is>
          <t>JI-01646</t>
        </is>
      </c>
      <c r="B4097" t="inlineStr">
        <is>
          <t>OPS</t>
        </is>
      </c>
      <c r="C4097" s="5" t="n">
        <v>46290</v>
      </c>
      <c r="D4097" t="inlineStr">
        <is>
          <t>Northline Injury Claims</t>
        </is>
      </c>
      <c r="E4097" t="inlineStr">
        <is>
          <t>INV/2026/03010</t>
        </is>
      </c>
      <c r="F4097" t="inlineStr">
        <is>
          <t>Customer payment INV/2026/03010</t>
        </is>
      </c>
      <c r="G4097" s="9" t="n">
        <v>990</v>
      </c>
      <c r="H4097" t="inlineStr">
        <is>
          <t>customer_payment</t>
        </is>
      </c>
      <c r="I4097" t="inlineStr"/>
      <c r="J4097" t="inlineStr">
        <is>
          <t>G01083</t>
        </is>
      </c>
      <c r="K4097" t="str">
        <f>INDEX('Match Groups'!$D$5:$D$1326,MATCH(J4097,'Match Groups'!$A$5:$A$1326,0))</f>
        <v>MATCH</v>
      </c>
    </row>
    <row r="4098">
      <c r="A4098" t="inlineStr">
        <is>
          <t>JI-01681</t>
        </is>
      </c>
      <c r="B4098" t="inlineStr">
        <is>
          <t>OPS</t>
        </is>
      </c>
      <c r="C4098" s="5" t="n">
        <v>46290</v>
      </c>
      <c r="D4098" t="inlineStr">
        <is>
          <t>Marlowe Print &amp; Pack</t>
        </is>
      </c>
      <c r="E4098" t="inlineStr">
        <is>
          <t>INV/2026/03529</t>
        </is>
      </c>
      <c r="F4098" t="inlineStr">
        <is>
          <t>Customer payment INV/2026/03529</t>
        </is>
      </c>
      <c r="G4098" s="9" t="n">
        <v>3547.5</v>
      </c>
      <c r="H4098" t="inlineStr">
        <is>
          <t>customer_payment</t>
        </is>
      </c>
      <c r="I4098" t="inlineStr"/>
      <c r="J4098" t="inlineStr">
        <is>
          <t>G01165</t>
        </is>
      </c>
      <c r="K4098" t="str">
        <f>INDEX('Match Groups'!$D$5:$D$1326,MATCH(J4098,'Match Groups'!$A$5:$A$1326,0))</f>
        <v>MATCH</v>
      </c>
    </row>
    <row r="4099">
      <c r="A4099" t="inlineStr">
        <is>
          <t>JI-01711</t>
        </is>
      </c>
      <c r="B4099" t="inlineStr">
        <is>
          <t>OPS</t>
        </is>
      </c>
      <c r="C4099" s="5" t="n">
        <v>46290</v>
      </c>
      <c r="D4099" t="inlineStr">
        <is>
          <t>Ashgrove Accounting</t>
        </is>
      </c>
      <c r="E4099" t="inlineStr">
        <is>
          <t>INV/2026/03543</t>
        </is>
      </c>
      <c r="F4099" t="inlineStr">
        <is>
          <t>Customer payment INV/2026/03543</t>
        </is>
      </c>
      <c r="G4099" s="9" t="n">
        <v>2035</v>
      </c>
      <c r="H4099" t="inlineStr">
        <is>
          <t>customer_payment</t>
        </is>
      </c>
      <c r="I4099" t="inlineStr"/>
      <c r="J4099" t="inlineStr">
        <is>
          <t>G01085</t>
        </is>
      </c>
      <c r="K4099" t="str">
        <f>INDEX('Match Groups'!$D$5:$D$1326,MATCH(J4099,'Match Groups'!$A$5:$A$1326,0))</f>
        <v>MATCH</v>
      </c>
    </row>
    <row r="4100">
      <c r="A4100" t="inlineStr">
        <is>
          <t>JI-01733</t>
        </is>
      </c>
      <c r="B4100" t="inlineStr">
        <is>
          <t>OPS</t>
        </is>
      </c>
      <c r="C4100" s="5" t="n">
        <v>46290</v>
      </c>
      <c r="D4100" t="inlineStr">
        <is>
          <t>Inglewood Cold Storage</t>
        </is>
      </c>
      <c r="E4100" t="inlineStr">
        <is>
          <t>INV/2026/03553</t>
        </is>
      </c>
      <c r="F4100" t="inlineStr">
        <is>
          <t>Customer payment INV/2026/03553</t>
        </is>
      </c>
      <c r="G4100" s="9" t="n">
        <v>10725</v>
      </c>
      <c r="H4100" t="inlineStr">
        <is>
          <t>customer_payment</t>
        </is>
      </c>
      <c r="I4100" t="inlineStr"/>
      <c r="J4100" t="inlineStr">
        <is>
          <t>G01086</t>
        </is>
      </c>
      <c r="K4100" t="str">
        <f>INDEX('Match Groups'!$D$5:$D$1326,MATCH(J4100,'Match Groups'!$A$5:$A$1326,0))</f>
        <v>MATCH</v>
      </c>
    </row>
    <row r="4101">
      <c r="A4101" t="inlineStr">
        <is>
          <t>JI-03581</t>
        </is>
      </c>
      <c r="B4101" t="inlineStr">
        <is>
          <t>OPS</t>
        </is>
      </c>
      <c r="C4101" s="5" t="n">
        <v>46290</v>
      </c>
      <c r="D4101" t="inlineStr">
        <is>
          <t>Stripe patient 14708</t>
        </is>
      </c>
      <c r="E4101" t="inlineStr">
        <is>
          <t>INV/2026/05422</t>
        </is>
      </c>
      <c r="F4101" t="inlineStr">
        <is>
          <t>Customer payment INV/2026/05422</t>
        </is>
      </c>
      <c r="G4101" s="9" t="n">
        <v>95</v>
      </c>
      <c r="H4101" t="inlineStr">
        <is>
          <t>customer_payment</t>
        </is>
      </c>
      <c r="I4101" t="inlineStr"/>
      <c r="J4101" t="inlineStr">
        <is>
          <t>G00078</t>
        </is>
      </c>
      <c r="K4101" t="str">
        <f>INDEX('Match Groups'!$D$5:$D$1326,MATCH(J4101,'Match Groups'!$A$5:$A$1326,0))</f>
        <v>STRIPE-FEE</v>
      </c>
    </row>
    <row r="4102">
      <c r="A4102" t="inlineStr">
        <is>
          <t>JI-03582</t>
        </is>
      </c>
      <c r="B4102" t="inlineStr">
        <is>
          <t>OPS</t>
        </is>
      </c>
      <c r="C4102" s="5" t="n">
        <v>46290</v>
      </c>
      <c r="D4102" t="inlineStr">
        <is>
          <t>Stripe patient 95871</t>
        </is>
      </c>
      <c r="E4102" t="inlineStr">
        <is>
          <t>INV/2026/05423</t>
        </is>
      </c>
      <c r="F4102" t="inlineStr">
        <is>
          <t>Customer payment INV/2026/05423</t>
        </is>
      </c>
      <c r="G4102" s="9" t="n">
        <v>110</v>
      </c>
      <c r="H4102" t="inlineStr">
        <is>
          <t>customer_payment</t>
        </is>
      </c>
      <c r="I4102" t="inlineStr"/>
      <c r="J4102" t="inlineStr">
        <is>
          <t>G00078</t>
        </is>
      </c>
      <c r="K4102" t="str">
        <f>INDEX('Match Groups'!$D$5:$D$1326,MATCH(J4102,'Match Groups'!$A$5:$A$1326,0))</f>
        <v>STRIPE-FEE</v>
      </c>
    </row>
    <row r="4103">
      <c r="A4103" t="inlineStr">
        <is>
          <t>JI-03583</t>
        </is>
      </c>
      <c r="B4103" t="inlineStr">
        <is>
          <t>OPS</t>
        </is>
      </c>
      <c r="C4103" s="5" t="n">
        <v>46290</v>
      </c>
      <c r="D4103" t="inlineStr">
        <is>
          <t>Stripe patient 15215</t>
        </is>
      </c>
      <c r="E4103" t="inlineStr">
        <is>
          <t>INV/2026/05424</t>
        </is>
      </c>
      <c r="F4103" t="inlineStr">
        <is>
          <t>Customer payment INV/2026/05424</t>
        </is>
      </c>
      <c r="G4103" s="9" t="n">
        <v>180</v>
      </c>
      <c r="H4103" t="inlineStr">
        <is>
          <t>customer_payment</t>
        </is>
      </c>
      <c r="I4103" t="inlineStr"/>
      <c r="J4103" t="inlineStr">
        <is>
          <t>G00078</t>
        </is>
      </c>
      <c r="K4103" t="str">
        <f>INDEX('Match Groups'!$D$5:$D$1326,MATCH(J4103,'Match Groups'!$A$5:$A$1326,0))</f>
        <v>STRIPE-FEE</v>
      </c>
    </row>
    <row r="4104">
      <c r="A4104" t="inlineStr">
        <is>
          <t>JI-03584</t>
        </is>
      </c>
      <c r="B4104" t="inlineStr">
        <is>
          <t>OPS</t>
        </is>
      </c>
      <c r="C4104" s="5" t="n">
        <v>46290</v>
      </c>
      <c r="D4104" t="inlineStr">
        <is>
          <t>Stripe patient 64112</t>
        </is>
      </c>
      <c r="E4104" t="inlineStr">
        <is>
          <t>INV/2026/05425</t>
        </is>
      </c>
      <c r="F4104" t="inlineStr">
        <is>
          <t>Customer payment INV/2026/05425</t>
        </is>
      </c>
      <c r="G4104" s="9" t="n">
        <v>220</v>
      </c>
      <c r="H4104" t="inlineStr">
        <is>
          <t>customer_payment</t>
        </is>
      </c>
      <c r="I4104" t="inlineStr"/>
      <c r="J4104" t="inlineStr">
        <is>
          <t>G00078</t>
        </is>
      </c>
      <c r="K4104" t="str">
        <f>INDEX('Match Groups'!$D$5:$D$1326,MATCH(J4104,'Match Groups'!$A$5:$A$1326,0))</f>
        <v>STRIPE-FEE</v>
      </c>
    </row>
    <row r="4105">
      <c r="A4105" t="inlineStr">
        <is>
          <t>JI-03585</t>
        </is>
      </c>
      <c r="B4105" t="inlineStr">
        <is>
          <t>OPS</t>
        </is>
      </c>
      <c r="C4105" s="5" t="n">
        <v>46290</v>
      </c>
      <c r="D4105" t="inlineStr">
        <is>
          <t>Stripe patient 27946</t>
        </is>
      </c>
      <c r="E4105" t="inlineStr">
        <is>
          <t>INV/2026/05426</t>
        </is>
      </c>
      <c r="F4105" t="inlineStr">
        <is>
          <t>Customer payment INV/2026/05426</t>
        </is>
      </c>
      <c r="G4105" s="9" t="n">
        <v>150</v>
      </c>
      <c r="H4105" t="inlineStr">
        <is>
          <t>customer_payment</t>
        </is>
      </c>
      <c r="I4105" t="inlineStr"/>
      <c r="J4105" t="inlineStr">
        <is>
          <t>G00078</t>
        </is>
      </c>
      <c r="K4105" t="str">
        <f>INDEX('Match Groups'!$D$5:$D$1326,MATCH(J4105,'Match Groups'!$A$5:$A$1326,0))</f>
        <v>STRIPE-FEE</v>
      </c>
    </row>
    <row r="4106">
      <c r="A4106" t="inlineStr">
        <is>
          <t>JI-03586</t>
        </is>
      </c>
      <c r="B4106" t="inlineStr">
        <is>
          <t>OPS</t>
        </is>
      </c>
      <c r="C4106" s="5" t="n">
        <v>46290</v>
      </c>
      <c r="D4106" t="inlineStr">
        <is>
          <t>Stripe patient 49037</t>
        </is>
      </c>
      <c r="E4106" t="inlineStr">
        <is>
          <t>INV/2026/05427</t>
        </is>
      </c>
      <c r="F4106" t="inlineStr">
        <is>
          <t>Customer payment INV/2026/05427</t>
        </is>
      </c>
      <c r="G4106" s="9" t="n">
        <v>85</v>
      </c>
      <c r="H4106" t="inlineStr">
        <is>
          <t>customer_payment</t>
        </is>
      </c>
      <c r="I4106" t="inlineStr"/>
      <c r="J4106" t="inlineStr">
        <is>
          <t>G00078</t>
        </is>
      </c>
      <c r="K4106" t="str">
        <f>INDEX('Match Groups'!$D$5:$D$1326,MATCH(J4106,'Match Groups'!$A$5:$A$1326,0))</f>
        <v>STRIPE-FEE</v>
      </c>
    </row>
    <row r="4107">
      <c r="A4107" t="inlineStr">
        <is>
          <t>JI-03587</t>
        </is>
      </c>
      <c r="B4107" t="inlineStr">
        <is>
          <t>OPS</t>
        </is>
      </c>
      <c r="C4107" s="5" t="n">
        <v>46290</v>
      </c>
      <c r="D4107" t="inlineStr">
        <is>
          <t>Stripe patient 13528</t>
        </is>
      </c>
      <c r="E4107" t="inlineStr">
        <is>
          <t>INV/2026/05428</t>
        </is>
      </c>
      <c r="F4107" t="inlineStr">
        <is>
          <t>Customer payment INV/2026/05428</t>
        </is>
      </c>
      <c r="G4107" s="9" t="n">
        <v>85</v>
      </c>
      <c r="H4107" t="inlineStr">
        <is>
          <t>customer_payment</t>
        </is>
      </c>
      <c r="I4107" t="inlineStr"/>
      <c r="J4107" t="inlineStr">
        <is>
          <t>G00078</t>
        </is>
      </c>
      <c r="K4107" t="str">
        <f>INDEX('Match Groups'!$D$5:$D$1326,MATCH(J4107,'Match Groups'!$A$5:$A$1326,0))</f>
        <v>STRIPE-FEE</v>
      </c>
    </row>
    <row r="4108">
      <c r="A4108" t="inlineStr">
        <is>
          <t>JI-03588</t>
        </is>
      </c>
      <c r="B4108" t="inlineStr">
        <is>
          <t>OPS</t>
        </is>
      </c>
      <c r="C4108" s="5" t="n">
        <v>46290</v>
      </c>
      <c r="D4108" t="inlineStr">
        <is>
          <t>Stripe patient 21542</t>
        </is>
      </c>
      <c r="E4108" t="inlineStr">
        <is>
          <t>INV/2026/05429</t>
        </is>
      </c>
      <c r="F4108" t="inlineStr">
        <is>
          <t>Customer payment INV/2026/05429</t>
        </is>
      </c>
      <c r="G4108" s="9" t="n">
        <v>110</v>
      </c>
      <c r="H4108" t="inlineStr">
        <is>
          <t>customer_payment</t>
        </is>
      </c>
      <c r="I4108" t="inlineStr"/>
      <c r="J4108" t="inlineStr">
        <is>
          <t>G00078</t>
        </is>
      </c>
      <c r="K4108" t="str">
        <f>INDEX('Match Groups'!$D$5:$D$1326,MATCH(J4108,'Match Groups'!$A$5:$A$1326,0))</f>
        <v>STRIPE-FEE</v>
      </c>
    </row>
    <row r="4109">
      <c r="A4109" t="inlineStr">
        <is>
          <t>JI-03589</t>
        </is>
      </c>
      <c r="B4109" t="inlineStr">
        <is>
          <t>OPS</t>
        </is>
      </c>
      <c r="C4109" s="5" t="n">
        <v>46290</v>
      </c>
      <c r="D4109" t="inlineStr">
        <is>
          <t>Stripe patient 14243</t>
        </is>
      </c>
      <c r="E4109" t="inlineStr">
        <is>
          <t>INV/2026/05430</t>
        </is>
      </c>
      <c r="F4109" t="inlineStr">
        <is>
          <t>Customer payment INV/2026/05430</t>
        </is>
      </c>
      <c r="G4109" s="9" t="n">
        <v>135</v>
      </c>
      <c r="H4109" t="inlineStr">
        <is>
          <t>customer_payment</t>
        </is>
      </c>
      <c r="I4109" t="inlineStr"/>
      <c r="J4109" t="inlineStr">
        <is>
          <t>G00078</t>
        </is>
      </c>
      <c r="K4109" t="str">
        <f>INDEX('Match Groups'!$D$5:$D$1326,MATCH(J4109,'Match Groups'!$A$5:$A$1326,0))</f>
        <v>STRIPE-FEE</v>
      </c>
    </row>
    <row r="4110">
      <c r="A4110" t="inlineStr">
        <is>
          <t>JI-03590</t>
        </is>
      </c>
      <c r="B4110" t="inlineStr">
        <is>
          <t>OPS</t>
        </is>
      </c>
      <c r="C4110" s="5" t="n">
        <v>46290</v>
      </c>
      <c r="D4110" t="inlineStr">
        <is>
          <t>Stripe patient 43252</t>
        </is>
      </c>
      <c r="E4110" t="inlineStr">
        <is>
          <t>INV/2026/05431</t>
        </is>
      </c>
      <c r="F4110" t="inlineStr">
        <is>
          <t>Customer payment INV/2026/05431</t>
        </is>
      </c>
      <c r="G4110" s="9" t="n">
        <v>110</v>
      </c>
      <c r="H4110" t="inlineStr">
        <is>
          <t>customer_payment</t>
        </is>
      </c>
      <c r="I4110" t="inlineStr"/>
      <c r="J4110" t="inlineStr">
        <is>
          <t>G00078</t>
        </is>
      </c>
      <c r="K4110" t="str">
        <f>INDEX('Match Groups'!$D$5:$D$1326,MATCH(J4110,'Match Groups'!$A$5:$A$1326,0))</f>
        <v>STRIPE-FEE</v>
      </c>
    </row>
    <row r="4111">
      <c r="A4111" t="inlineStr">
        <is>
          <t>JI-03591</t>
        </is>
      </c>
      <c r="B4111" t="inlineStr">
        <is>
          <t>OPS</t>
        </is>
      </c>
      <c r="C4111" s="5" t="n">
        <v>46290</v>
      </c>
      <c r="D4111" t="inlineStr">
        <is>
          <t>Stripe patient 16121</t>
        </is>
      </c>
      <c r="E4111" t="inlineStr">
        <is>
          <t>INV/2026/05432</t>
        </is>
      </c>
      <c r="F4111" t="inlineStr">
        <is>
          <t>Customer payment INV/2026/05432</t>
        </is>
      </c>
      <c r="G4111" s="9" t="n">
        <v>95</v>
      </c>
      <c r="H4111" t="inlineStr">
        <is>
          <t>customer_payment</t>
        </is>
      </c>
      <c r="I4111" t="inlineStr"/>
      <c r="J4111" t="inlineStr">
        <is>
          <t>G00078</t>
        </is>
      </c>
      <c r="K4111" t="str">
        <f>INDEX('Match Groups'!$D$5:$D$1326,MATCH(J4111,'Match Groups'!$A$5:$A$1326,0))</f>
        <v>STRIPE-FEE</v>
      </c>
    </row>
    <row r="4112">
      <c r="A4112" t="inlineStr">
        <is>
          <t>JI-03592</t>
        </is>
      </c>
      <c r="B4112" t="inlineStr">
        <is>
          <t>OPS</t>
        </is>
      </c>
      <c r="C4112" s="5" t="n">
        <v>46290</v>
      </c>
      <c r="D4112" t="inlineStr">
        <is>
          <t>Stripe patient 58015</t>
        </is>
      </c>
      <c r="E4112" t="inlineStr">
        <is>
          <t>INV/2026/05433</t>
        </is>
      </c>
      <c r="F4112" t="inlineStr">
        <is>
          <t>Customer payment INV/2026/05433</t>
        </is>
      </c>
      <c r="G4112" s="9" t="n">
        <v>85</v>
      </c>
      <c r="H4112" t="inlineStr">
        <is>
          <t>customer_payment</t>
        </is>
      </c>
      <c r="I4112" t="inlineStr"/>
      <c r="J4112" t="inlineStr">
        <is>
          <t>G00078</t>
        </is>
      </c>
      <c r="K4112" t="str">
        <f>INDEX('Match Groups'!$D$5:$D$1326,MATCH(J4112,'Match Groups'!$A$5:$A$1326,0))</f>
        <v>STRIPE-FEE</v>
      </c>
    </row>
    <row r="4113">
      <c r="A4113" t="inlineStr">
        <is>
          <t>JI-03593</t>
        </is>
      </c>
      <c r="B4113" t="inlineStr">
        <is>
          <t>OPS</t>
        </is>
      </c>
      <c r="C4113" s="5" t="n">
        <v>46290</v>
      </c>
      <c r="D4113" t="inlineStr">
        <is>
          <t>Stripe patient 48033</t>
        </is>
      </c>
      <c r="E4113" t="inlineStr">
        <is>
          <t>INV/2026/05434</t>
        </is>
      </c>
      <c r="F4113" t="inlineStr">
        <is>
          <t>Customer payment INV/2026/05434</t>
        </is>
      </c>
      <c r="G4113" s="9" t="n">
        <v>135</v>
      </c>
      <c r="H4113" t="inlineStr">
        <is>
          <t>customer_payment</t>
        </is>
      </c>
      <c r="I4113" t="inlineStr"/>
      <c r="J4113" t="inlineStr">
        <is>
          <t>G00078</t>
        </is>
      </c>
      <c r="K4113" t="str">
        <f>INDEX('Match Groups'!$D$5:$D$1326,MATCH(J4113,'Match Groups'!$A$5:$A$1326,0))</f>
        <v>STRIPE-FEE</v>
      </c>
    </row>
    <row r="4114">
      <c r="A4114" t="inlineStr">
        <is>
          <t>JI-03594</t>
        </is>
      </c>
      <c r="B4114" t="inlineStr">
        <is>
          <t>OPS</t>
        </is>
      </c>
      <c r="C4114" s="5" t="n">
        <v>46290</v>
      </c>
      <c r="D4114" t="inlineStr">
        <is>
          <t>Stripe patient 93809</t>
        </is>
      </c>
      <c r="E4114" t="inlineStr">
        <is>
          <t>INV/2026/05435</t>
        </is>
      </c>
      <c r="F4114" t="inlineStr">
        <is>
          <t>Customer payment INV/2026/05435</t>
        </is>
      </c>
      <c r="G4114" s="9" t="n">
        <v>180</v>
      </c>
      <c r="H4114" t="inlineStr">
        <is>
          <t>customer_payment</t>
        </is>
      </c>
      <c r="I4114" t="inlineStr"/>
      <c r="J4114" t="inlineStr">
        <is>
          <t>G00078</t>
        </is>
      </c>
      <c r="K4114" t="str">
        <f>INDEX('Match Groups'!$D$5:$D$1326,MATCH(J4114,'Match Groups'!$A$5:$A$1326,0))</f>
        <v>STRIPE-FEE</v>
      </c>
    </row>
    <row r="4115">
      <c r="A4115" t="inlineStr">
        <is>
          <t>JI-03595</t>
        </is>
      </c>
      <c r="B4115" t="inlineStr">
        <is>
          <t>OPS</t>
        </is>
      </c>
      <c r="C4115" s="5" t="n">
        <v>46290</v>
      </c>
      <c r="D4115" t="inlineStr">
        <is>
          <t>Stripe patient 53465</t>
        </is>
      </c>
      <c r="E4115" t="inlineStr">
        <is>
          <t>INV/2026/05436</t>
        </is>
      </c>
      <c r="F4115" t="inlineStr">
        <is>
          <t>Customer payment INV/2026/05436</t>
        </is>
      </c>
      <c r="G4115" s="9" t="n">
        <v>65</v>
      </c>
      <c r="H4115" t="inlineStr">
        <is>
          <t>customer_payment</t>
        </is>
      </c>
      <c r="I4115" t="inlineStr"/>
      <c r="J4115" t="inlineStr">
        <is>
          <t>G00078</t>
        </is>
      </c>
      <c r="K4115" t="str">
        <f>INDEX('Match Groups'!$D$5:$D$1326,MATCH(J4115,'Match Groups'!$A$5:$A$1326,0))</f>
        <v>STRIPE-FEE</v>
      </c>
    </row>
    <row r="4116">
      <c r="A4116" t="inlineStr">
        <is>
          <t>JI-03596</t>
        </is>
      </c>
      <c r="B4116" t="inlineStr">
        <is>
          <t>OPS</t>
        </is>
      </c>
      <c r="C4116" s="5" t="n">
        <v>46290</v>
      </c>
      <c r="D4116" t="inlineStr">
        <is>
          <t>Stripe patient 48308</t>
        </is>
      </c>
      <c r="E4116" t="inlineStr">
        <is>
          <t>INV/2026/05437</t>
        </is>
      </c>
      <c r="F4116" t="inlineStr">
        <is>
          <t>Customer payment INV/2026/05437</t>
        </is>
      </c>
      <c r="G4116" s="9" t="n">
        <v>110</v>
      </c>
      <c r="H4116" t="inlineStr">
        <is>
          <t>customer_payment</t>
        </is>
      </c>
      <c r="I4116" t="inlineStr"/>
      <c r="J4116" t="inlineStr">
        <is>
          <t>G00078</t>
        </is>
      </c>
      <c r="K4116" t="str">
        <f>INDEX('Match Groups'!$D$5:$D$1326,MATCH(J4116,'Match Groups'!$A$5:$A$1326,0))</f>
        <v>STRIPE-FEE</v>
      </c>
    </row>
    <row r="4117">
      <c r="A4117" t="inlineStr">
        <is>
          <t>JI-03597</t>
        </is>
      </c>
      <c r="B4117" t="inlineStr">
        <is>
          <t>OPS</t>
        </is>
      </c>
      <c r="C4117" s="5" t="n">
        <v>46290</v>
      </c>
      <c r="D4117" t="inlineStr">
        <is>
          <t>Stripe patient 30703</t>
        </is>
      </c>
      <c r="E4117" t="inlineStr">
        <is>
          <t>INV/2026/05438</t>
        </is>
      </c>
      <c r="F4117" t="inlineStr">
        <is>
          <t>Customer payment INV/2026/05438</t>
        </is>
      </c>
      <c r="G4117" s="9" t="n">
        <v>95</v>
      </c>
      <c r="H4117" t="inlineStr">
        <is>
          <t>customer_payment</t>
        </is>
      </c>
      <c r="I4117" t="inlineStr"/>
      <c r="J4117" t="inlineStr">
        <is>
          <t>G00078</t>
        </is>
      </c>
      <c r="K4117" t="str">
        <f>INDEX('Match Groups'!$D$5:$D$1326,MATCH(J4117,'Match Groups'!$A$5:$A$1326,0))</f>
        <v>STRIPE-FEE</v>
      </c>
    </row>
    <row r="4118">
      <c r="A4118" t="inlineStr">
        <is>
          <t>JI-03598</t>
        </is>
      </c>
      <c r="B4118" t="inlineStr">
        <is>
          <t>OPS</t>
        </is>
      </c>
      <c r="C4118" s="5" t="n">
        <v>46290</v>
      </c>
      <c r="D4118" t="inlineStr">
        <is>
          <t>Stripe patient 81345</t>
        </is>
      </c>
      <c r="E4118" t="inlineStr">
        <is>
          <t>INV/2026/05439</t>
        </is>
      </c>
      <c r="F4118" t="inlineStr">
        <is>
          <t>Customer payment INV/2026/05439</t>
        </is>
      </c>
      <c r="G4118" s="9" t="n">
        <v>65</v>
      </c>
      <c r="H4118" t="inlineStr">
        <is>
          <t>customer_payment</t>
        </is>
      </c>
      <c r="I4118" t="inlineStr"/>
      <c r="J4118" t="inlineStr">
        <is>
          <t>G00078</t>
        </is>
      </c>
      <c r="K4118" t="str">
        <f>INDEX('Match Groups'!$D$5:$D$1326,MATCH(J4118,'Match Groups'!$A$5:$A$1326,0))</f>
        <v>STRIPE-FEE</v>
      </c>
    </row>
    <row r="4119">
      <c r="A4119" t="inlineStr">
        <is>
          <t>JI-03599</t>
        </is>
      </c>
      <c r="B4119" t="inlineStr">
        <is>
          <t>OPS</t>
        </is>
      </c>
      <c r="C4119" s="5" t="n">
        <v>46290</v>
      </c>
      <c r="D4119" t="inlineStr">
        <is>
          <t>Stripe patient 93338</t>
        </is>
      </c>
      <c r="E4119" t="inlineStr">
        <is>
          <t>INV/2026/05440</t>
        </is>
      </c>
      <c r="F4119" t="inlineStr">
        <is>
          <t>Customer payment INV/2026/05440</t>
        </is>
      </c>
      <c r="G4119" s="9" t="n">
        <v>95</v>
      </c>
      <c r="H4119" t="inlineStr">
        <is>
          <t>customer_payment</t>
        </is>
      </c>
      <c r="I4119" t="inlineStr"/>
      <c r="J4119" t="inlineStr">
        <is>
          <t>G00078</t>
        </is>
      </c>
      <c r="K4119" t="str">
        <f>INDEX('Match Groups'!$D$5:$D$1326,MATCH(J4119,'Match Groups'!$A$5:$A$1326,0))</f>
        <v>STRIPE-FEE</v>
      </c>
    </row>
    <row r="4120">
      <c r="A4120" t="inlineStr">
        <is>
          <t>JI-03600</t>
        </is>
      </c>
      <c r="B4120" t="inlineStr">
        <is>
          <t>OPS</t>
        </is>
      </c>
      <c r="C4120" s="5" t="n">
        <v>46290</v>
      </c>
      <c r="D4120" t="inlineStr">
        <is>
          <t>Stripe patient 89828</t>
        </is>
      </c>
      <c r="E4120" t="inlineStr">
        <is>
          <t>INV/2026/05441</t>
        </is>
      </c>
      <c r="F4120" t="inlineStr">
        <is>
          <t>Customer payment INV/2026/05441</t>
        </is>
      </c>
      <c r="G4120" s="9" t="n">
        <v>135</v>
      </c>
      <c r="H4120" t="inlineStr">
        <is>
          <t>customer_payment</t>
        </is>
      </c>
      <c r="I4120" t="inlineStr"/>
      <c r="J4120" t="inlineStr">
        <is>
          <t>G00078</t>
        </is>
      </c>
      <c r="K4120" t="str">
        <f>INDEX('Match Groups'!$D$5:$D$1326,MATCH(J4120,'Match Groups'!$A$5:$A$1326,0))</f>
        <v>STRIPE-FEE</v>
      </c>
    </row>
    <row r="4121">
      <c r="A4121" t="inlineStr">
        <is>
          <t>JI-03601</t>
        </is>
      </c>
      <c r="B4121" t="inlineStr">
        <is>
          <t>OPS</t>
        </is>
      </c>
      <c r="C4121" s="5" t="n">
        <v>46290</v>
      </c>
      <c r="D4121" t="inlineStr">
        <is>
          <t>Stripe patient 41728</t>
        </is>
      </c>
      <c r="E4121" t="inlineStr">
        <is>
          <t>INV/2026/05442</t>
        </is>
      </c>
      <c r="F4121" t="inlineStr">
        <is>
          <t>Customer payment INV/2026/05442</t>
        </is>
      </c>
      <c r="G4121" s="9" t="n">
        <v>65</v>
      </c>
      <c r="H4121" t="inlineStr">
        <is>
          <t>customer_payment</t>
        </is>
      </c>
      <c r="I4121" t="inlineStr"/>
      <c r="J4121" t="inlineStr">
        <is>
          <t>G00078</t>
        </is>
      </c>
      <c r="K4121" t="str">
        <f>INDEX('Match Groups'!$D$5:$D$1326,MATCH(J4121,'Match Groups'!$A$5:$A$1326,0))</f>
        <v>STRIPE-FEE</v>
      </c>
    </row>
    <row r="4122">
      <c r="A4122" t="inlineStr">
        <is>
          <t>JI-03602</t>
        </is>
      </c>
      <c r="B4122" t="inlineStr">
        <is>
          <t>OPS</t>
        </is>
      </c>
      <c r="C4122" s="5" t="n">
        <v>46290</v>
      </c>
      <c r="D4122" t="inlineStr">
        <is>
          <t>Stripe patient 60346</t>
        </is>
      </c>
      <c r="E4122" t="inlineStr">
        <is>
          <t>INV/2026/05443</t>
        </is>
      </c>
      <c r="F4122" t="inlineStr">
        <is>
          <t>Customer payment INV/2026/05443</t>
        </is>
      </c>
      <c r="G4122" s="9" t="n">
        <v>110</v>
      </c>
      <c r="H4122" t="inlineStr">
        <is>
          <t>customer_payment</t>
        </is>
      </c>
      <c r="I4122" t="inlineStr"/>
      <c r="J4122" t="inlineStr">
        <is>
          <t>G00078</t>
        </is>
      </c>
      <c r="K4122" t="str">
        <f>INDEX('Match Groups'!$D$5:$D$1326,MATCH(J4122,'Match Groups'!$A$5:$A$1326,0))</f>
        <v>STRIPE-FEE</v>
      </c>
    </row>
    <row r="4123">
      <c r="A4123" t="inlineStr">
        <is>
          <t>JI-03603</t>
        </is>
      </c>
      <c r="B4123" t="inlineStr">
        <is>
          <t>OPS</t>
        </is>
      </c>
      <c r="C4123" s="5" t="n">
        <v>46290</v>
      </c>
      <c r="D4123" t="inlineStr">
        <is>
          <t>Stripe patient 70474</t>
        </is>
      </c>
      <c r="E4123" t="inlineStr">
        <is>
          <t>INV/2026/05444</t>
        </is>
      </c>
      <c r="F4123" t="inlineStr">
        <is>
          <t>Customer payment INV/2026/05444</t>
        </is>
      </c>
      <c r="G4123" s="9" t="n">
        <v>150</v>
      </c>
      <c r="H4123" t="inlineStr">
        <is>
          <t>customer_payment</t>
        </is>
      </c>
      <c r="I4123" t="inlineStr"/>
      <c r="J4123" t="inlineStr">
        <is>
          <t>G00078</t>
        </is>
      </c>
      <c r="K4123" t="str">
        <f>INDEX('Match Groups'!$D$5:$D$1326,MATCH(J4123,'Match Groups'!$A$5:$A$1326,0))</f>
        <v>STRIPE-FEE</v>
      </c>
    </row>
    <row r="4124">
      <c r="A4124" t="inlineStr">
        <is>
          <t>JI-03604</t>
        </is>
      </c>
      <c r="B4124" t="inlineStr">
        <is>
          <t>OPS</t>
        </is>
      </c>
      <c r="C4124" s="5" t="n">
        <v>46290</v>
      </c>
      <c r="D4124" t="inlineStr">
        <is>
          <t>Stripe patient 94165</t>
        </is>
      </c>
      <c r="E4124" t="inlineStr">
        <is>
          <t>INV/2026/05445</t>
        </is>
      </c>
      <c r="F4124" t="inlineStr">
        <is>
          <t>Customer payment INV/2026/05445</t>
        </is>
      </c>
      <c r="G4124" s="9" t="n">
        <v>85</v>
      </c>
      <c r="H4124" t="inlineStr">
        <is>
          <t>customer_payment</t>
        </is>
      </c>
      <c r="I4124" t="inlineStr"/>
      <c r="J4124" t="inlineStr">
        <is>
          <t>G00078</t>
        </is>
      </c>
      <c r="K4124" t="str">
        <f>INDEX('Match Groups'!$D$5:$D$1326,MATCH(J4124,'Match Groups'!$A$5:$A$1326,0))</f>
        <v>STRIPE-FEE</v>
      </c>
    </row>
    <row r="4125">
      <c r="A4125" t="inlineStr">
        <is>
          <t>JI-03605</t>
        </is>
      </c>
      <c r="B4125" t="inlineStr">
        <is>
          <t>OPS</t>
        </is>
      </c>
      <c r="C4125" s="5" t="n">
        <v>46290</v>
      </c>
      <c r="D4125" t="inlineStr">
        <is>
          <t>Stripe patient 56956</t>
        </is>
      </c>
      <c r="E4125" t="inlineStr">
        <is>
          <t>INV/2026/05446</t>
        </is>
      </c>
      <c r="F4125" t="inlineStr">
        <is>
          <t>Customer payment INV/2026/05446</t>
        </is>
      </c>
      <c r="G4125" s="9" t="n">
        <v>180</v>
      </c>
      <c r="H4125" t="inlineStr">
        <is>
          <t>customer_payment</t>
        </is>
      </c>
      <c r="I4125" t="inlineStr"/>
      <c r="J4125" t="inlineStr">
        <is>
          <t>G00078</t>
        </is>
      </c>
      <c r="K4125" t="str">
        <f>INDEX('Match Groups'!$D$5:$D$1326,MATCH(J4125,'Match Groups'!$A$5:$A$1326,0))</f>
        <v>STRIPE-FEE</v>
      </c>
    </row>
    <row r="4126">
      <c r="A4126" t="inlineStr">
        <is>
          <t>JI-03606</t>
        </is>
      </c>
      <c r="B4126" t="inlineStr">
        <is>
          <t>OPS</t>
        </is>
      </c>
      <c r="C4126" s="5" t="n">
        <v>46290</v>
      </c>
      <c r="D4126" t="inlineStr">
        <is>
          <t>Stripe patient 92430</t>
        </is>
      </c>
      <c r="E4126" t="inlineStr">
        <is>
          <t>INV/2026/05447</t>
        </is>
      </c>
      <c r="F4126" t="inlineStr">
        <is>
          <t>Customer payment INV/2026/05447</t>
        </is>
      </c>
      <c r="G4126" s="9" t="n">
        <v>150</v>
      </c>
      <c r="H4126" t="inlineStr">
        <is>
          <t>customer_payment</t>
        </is>
      </c>
      <c r="I4126" t="inlineStr"/>
      <c r="J4126" t="inlineStr">
        <is>
          <t>G00078</t>
        </is>
      </c>
      <c r="K4126" t="str">
        <f>INDEX('Match Groups'!$D$5:$D$1326,MATCH(J4126,'Match Groups'!$A$5:$A$1326,0))</f>
        <v>STRIPE-FEE</v>
      </c>
    </row>
    <row r="4127">
      <c r="A4127" t="inlineStr">
        <is>
          <t>JI-03607</t>
        </is>
      </c>
      <c r="B4127" t="inlineStr">
        <is>
          <t>OPS</t>
        </is>
      </c>
      <c r="C4127" s="5" t="n">
        <v>46290</v>
      </c>
      <c r="D4127" t="inlineStr">
        <is>
          <t>Stripe patient 94596</t>
        </is>
      </c>
      <c r="E4127" t="inlineStr">
        <is>
          <t>INV/2026/05448</t>
        </is>
      </c>
      <c r="F4127" t="inlineStr">
        <is>
          <t>Customer payment INV/2026/05448</t>
        </is>
      </c>
      <c r="G4127" s="9" t="n">
        <v>120</v>
      </c>
      <c r="H4127" t="inlineStr">
        <is>
          <t>customer_payment</t>
        </is>
      </c>
      <c r="I4127" t="inlineStr"/>
      <c r="J4127" t="inlineStr">
        <is>
          <t>G00078</t>
        </is>
      </c>
      <c r="K4127" t="str">
        <f>INDEX('Match Groups'!$D$5:$D$1326,MATCH(J4127,'Match Groups'!$A$5:$A$1326,0))</f>
        <v>STRIPE-FEE</v>
      </c>
    </row>
    <row r="4128">
      <c r="A4128" t="inlineStr">
        <is>
          <t>JI-03608</t>
        </is>
      </c>
      <c r="B4128" t="inlineStr">
        <is>
          <t>OPS</t>
        </is>
      </c>
      <c r="C4128" s="5" t="n">
        <v>46290</v>
      </c>
      <c r="D4128" t="inlineStr">
        <is>
          <t>Stripe patient 98831</t>
        </is>
      </c>
      <c r="E4128" t="inlineStr">
        <is>
          <t>INV/2026/05449</t>
        </is>
      </c>
      <c r="F4128" t="inlineStr">
        <is>
          <t>Customer payment INV/2026/05449</t>
        </is>
      </c>
      <c r="G4128" s="9" t="n">
        <v>120</v>
      </c>
      <c r="H4128" t="inlineStr">
        <is>
          <t>customer_payment</t>
        </is>
      </c>
      <c r="I4128" t="inlineStr"/>
      <c r="J4128" t="inlineStr">
        <is>
          <t>G00078</t>
        </is>
      </c>
      <c r="K4128" t="str">
        <f>INDEX('Match Groups'!$D$5:$D$1326,MATCH(J4128,'Match Groups'!$A$5:$A$1326,0))</f>
        <v>STRIPE-FEE</v>
      </c>
    </row>
    <row r="4129">
      <c r="A4129" t="inlineStr">
        <is>
          <t>JI-03609</t>
        </is>
      </c>
      <c r="B4129" t="inlineStr">
        <is>
          <t>OPS</t>
        </is>
      </c>
      <c r="C4129" s="5" t="n">
        <v>46290</v>
      </c>
      <c r="D4129" t="inlineStr">
        <is>
          <t>Stripe patient 29613</t>
        </is>
      </c>
      <c r="E4129" t="inlineStr">
        <is>
          <t>INV/2026/05450</t>
        </is>
      </c>
      <c r="F4129" t="inlineStr">
        <is>
          <t>Customer payment INV/2026/05450</t>
        </is>
      </c>
      <c r="G4129" s="9" t="n">
        <v>110</v>
      </c>
      <c r="H4129" t="inlineStr">
        <is>
          <t>customer_payment</t>
        </is>
      </c>
      <c r="I4129" t="inlineStr"/>
      <c r="J4129" t="inlineStr">
        <is>
          <t>G00078</t>
        </is>
      </c>
      <c r="K4129" t="str">
        <f>INDEX('Match Groups'!$D$5:$D$1326,MATCH(J4129,'Match Groups'!$A$5:$A$1326,0))</f>
        <v>STRIPE-FEE</v>
      </c>
    </row>
    <row r="4130">
      <c r="A4130" t="inlineStr">
        <is>
          <t>JI-03610</t>
        </is>
      </c>
      <c r="B4130" t="inlineStr">
        <is>
          <t>OPS</t>
        </is>
      </c>
      <c r="C4130" s="5" t="n">
        <v>46290</v>
      </c>
      <c r="D4130" t="inlineStr">
        <is>
          <t>Stripe patient 22632</t>
        </is>
      </c>
      <c r="E4130" t="inlineStr">
        <is>
          <t>INV/2026/05451</t>
        </is>
      </c>
      <c r="F4130" t="inlineStr">
        <is>
          <t>Customer payment INV/2026/05451</t>
        </is>
      </c>
      <c r="G4130" s="9" t="n">
        <v>220</v>
      </c>
      <c r="H4130" t="inlineStr">
        <is>
          <t>customer_payment</t>
        </is>
      </c>
      <c r="I4130" t="inlineStr"/>
      <c r="J4130" t="inlineStr">
        <is>
          <t>G00078</t>
        </is>
      </c>
      <c r="K4130" t="str">
        <f>INDEX('Match Groups'!$D$5:$D$1326,MATCH(J4130,'Match Groups'!$A$5:$A$1326,0))</f>
        <v>STRIPE-FEE</v>
      </c>
    </row>
    <row r="4131">
      <c r="A4131" t="inlineStr">
        <is>
          <t>JI-03611</t>
        </is>
      </c>
      <c r="B4131" t="inlineStr">
        <is>
          <t>OPS</t>
        </is>
      </c>
      <c r="C4131" s="5" t="n">
        <v>46290</v>
      </c>
      <c r="D4131" t="inlineStr">
        <is>
          <t>Stripe patient 13409</t>
        </is>
      </c>
      <c r="E4131" t="inlineStr">
        <is>
          <t>INV/2026/05452</t>
        </is>
      </c>
      <c r="F4131" t="inlineStr">
        <is>
          <t>Customer payment INV/2026/05452</t>
        </is>
      </c>
      <c r="G4131" s="9" t="n">
        <v>220</v>
      </c>
      <c r="H4131" t="inlineStr">
        <is>
          <t>customer_payment</t>
        </is>
      </c>
      <c r="I4131" t="inlineStr"/>
      <c r="J4131" t="inlineStr">
        <is>
          <t>G00078</t>
        </is>
      </c>
      <c r="K4131" t="str">
        <f>INDEX('Match Groups'!$D$5:$D$1326,MATCH(J4131,'Match Groups'!$A$5:$A$1326,0))</f>
        <v>STRIPE-FEE</v>
      </c>
    </row>
    <row r="4132">
      <c r="A4132" t="inlineStr">
        <is>
          <t>JI-01553</t>
        </is>
      </c>
      <c r="B4132" t="inlineStr">
        <is>
          <t>OPS</t>
        </is>
      </c>
      <c r="C4132" s="5" t="n">
        <v>46291</v>
      </c>
      <c r="D4132" t="inlineStr">
        <is>
          <t>Harbour Mutual Health</t>
        </is>
      </c>
      <c r="E4132" t="inlineStr">
        <is>
          <t>INV/2026/03008</t>
        </is>
      </c>
      <c r="F4132" t="inlineStr">
        <is>
          <t>Customer payment INV/2026/03008</t>
        </is>
      </c>
      <c r="G4132" s="9" t="n">
        <v>264</v>
      </c>
      <c r="H4132" t="inlineStr">
        <is>
          <t>customer_payment</t>
        </is>
      </c>
      <c r="I4132" t="inlineStr"/>
      <c r="J4132" t="inlineStr">
        <is>
          <t>G01081</t>
        </is>
      </c>
      <c r="K4132" t="str">
        <f>INDEX('Match Groups'!$D$5:$D$1326,MATCH(J4132,'Match Groups'!$A$5:$A$1326,0))</f>
        <v>MATCH</v>
      </c>
    </row>
    <row r="4133">
      <c r="A4133" t="inlineStr">
        <is>
          <t>JI-01738</t>
        </is>
      </c>
      <c r="B4133" t="inlineStr">
        <is>
          <t>OPS</t>
        </is>
      </c>
      <c r="C4133" s="5" t="n">
        <v>46291</v>
      </c>
      <c r="D4133" t="inlineStr">
        <is>
          <t>Jarrah Ridge Estates</t>
        </is>
      </c>
      <c r="E4133" t="inlineStr">
        <is>
          <t>INV/2026/03555</t>
        </is>
      </c>
      <c r="F4133" t="inlineStr">
        <is>
          <t>Customer payment INV/2026/03555</t>
        </is>
      </c>
      <c r="G4133" s="9" t="n">
        <v>5280</v>
      </c>
      <c r="H4133" t="inlineStr">
        <is>
          <t>customer_payment</t>
        </is>
      </c>
      <c r="I4133" t="inlineStr"/>
      <c r="J4133" t="inlineStr">
        <is>
          <t>G01087</t>
        </is>
      </c>
      <c r="K4133" t="str">
        <f>INDEX('Match Groups'!$D$5:$D$1326,MATCH(J4133,'Match Groups'!$A$5:$A$1326,0))</f>
        <v>MATCH</v>
      </c>
    </row>
    <row r="4134">
      <c r="A4134" t="inlineStr">
        <is>
          <t>JI-03612</t>
        </is>
      </c>
      <c r="B4134" t="inlineStr">
        <is>
          <t>OPS</t>
        </is>
      </c>
      <c r="C4134" s="5" t="n">
        <v>46291</v>
      </c>
      <c r="D4134" t="inlineStr">
        <is>
          <t>Stripe patient 65867</t>
        </is>
      </c>
      <c r="E4134" t="inlineStr">
        <is>
          <t>INV/2026/05453</t>
        </is>
      </c>
      <c r="F4134" t="inlineStr">
        <is>
          <t>Customer payment INV/2026/05453</t>
        </is>
      </c>
      <c r="G4134" s="9" t="n">
        <v>180</v>
      </c>
      <c r="H4134" t="inlineStr">
        <is>
          <t>customer_payment</t>
        </is>
      </c>
      <c r="I4134" t="inlineStr"/>
      <c r="J4134" t="inlineStr">
        <is>
          <t>G00078</t>
        </is>
      </c>
      <c r="K4134" t="str">
        <f>INDEX('Match Groups'!$D$5:$D$1326,MATCH(J4134,'Match Groups'!$A$5:$A$1326,0))</f>
        <v>STRIPE-FEE</v>
      </c>
    </row>
    <row r="4135">
      <c r="A4135" t="inlineStr">
        <is>
          <t>JI-03613</t>
        </is>
      </c>
      <c r="B4135" t="inlineStr">
        <is>
          <t>OPS</t>
        </is>
      </c>
      <c r="C4135" s="5" t="n">
        <v>46291</v>
      </c>
      <c r="D4135" t="inlineStr">
        <is>
          <t>Stripe patient 66782</t>
        </is>
      </c>
      <c r="E4135" t="inlineStr">
        <is>
          <t>INV/2026/05454</t>
        </is>
      </c>
      <c r="F4135" t="inlineStr">
        <is>
          <t>Customer payment INV/2026/05454</t>
        </is>
      </c>
      <c r="G4135" s="9" t="n">
        <v>85</v>
      </c>
      <c r="H4135" t="inlineStr">
        <is>
          <t>customer_payment</t>
        </is>
      </c>
      <c r="I4135" t="inlineStr"/>
      <c r="J4135" t="inlineStr">
        <is>
          <t>G00078</t>
        </is>
      </c>
      <c r="K4135" t="str">
        <f>INDEX('Match Groups'!$D$5:$D$1326,MATCH(J4135,'Match Groups'!$A$5:$A$1326,0))</f>
        <v>STRIPE-FEE</v>
      </c>
    </row>
    <row r="4136">
      <c r="A4136" t="inlineStr">
        <is>
          <t>JI-03614</t>
        </is>
      </c>
      <c r="B4136" t="inlineStr">
        <is>
          <t>OPS</t>
        </is>
      </c>
      <c r="C4136" s="5" t="n">
        <v>46291</v>
      </c>
      <c r="D4136" t="inlineStr">
        <is>
          <t>Stripe patient 15876</t>
        </is>
      </c>
      <c r="E4136" t="inlineStr">
        <is>
          <t>INV/2026/05455</t>
        </is>
      </c>
      <c r="F4136" t="inlineStr">
        <is>
          <t>Customer payment INV/2026/05455</t>
        </is>
      </c>
      <c r="G4136" s="9" t="n">
        <v>95</v>
      </c>
      <c r="H4136" t="inlineStr">
        <is>
          <t>customer_payment</t>
        </is>
      </c>
      <c r="I4136" t="inlineStr"/>
      <c r="J4136" t="inlineStr">
        <is>
          <t>G00078</t>
        </is>
      </c>
      <c r="K4136" t="str">
        <f>INDEX('Match Groups'!$D$5:$D$1326,MATCH(J4136,'Match Groups'!$A$5:$A$1326,0))</f>
        <v>STRIPE-FEE</v>
      </c>
    </row>
    <row r="4137">
      <c r="A4137" t="inlineStr">
        <is>
          <t>JI-03615</t>
        </is>
      </c>
      <c r="B4137" t="inlineStr">
        <is>
          <t>OPS</t>
        </is>
      </c>
      <c r="C4137" s="5" t="n">
        <v>46291</v>
      </c>
      <c r="D4137" t="inlineStr">
        <is>
          <t>Stripe patient 65311</t>
        </is>
      </c>
      <c r="E4137" t="inlineStr">
        <is>
          <t>INV/2026/05456</t>
        </is>
      </c>
      <c r="F4137" t="inlineStr">
        <is>
          <t>Customer payment INV/2026/05456</t>
        </is>
      </c>
      <c r="G4137" s="9" t="n">
        <v>65</v>
      </c>
      <c r="H4137" t="inlineStr">
        <is>
          <t>customer_payment</t>
        </is>
      </c>
      <c r="I4137" t="inlineStr"/>
      <c r="J4137" t="inlineStr">
        <is>
          <t>G00078</t>
        </is>
      </c>
      <c r="K4137" t="str">
        <f>INDEX('Match Groups'!$D$5:$D$1326,MATCH(J4137,'Match Groups'!$A$5:$A$1326,0))</f>
        <v>STRIPE-FEE</v>
      </c>
    </row>
    <row r="4138">
      <c r="A4138" t="inlineStr">
        <is>
          <t>JI-03616</t>
        </is>
      </c>
      <c r="B4138" t="inlineStr">
        <is>
          <t>OPS</t>
        </is>
      </c>
      <c r="C4138" s="5" t="n">
        <v>46291</v>
      </c>
      <c r="D4138" t="inlineStr">
        <is>
          <t>Stripe patient 10019</t>
        </is>
      </c>
      <c r="E4138" t="inlineStr">
        <is>
          <t>INV/2026/05457</t>
        </is>
      </c>
      <c r="F4138" t="inlineStr">
        <is>
          <t>Customer payment INV/2026/05457</t>
        </is>
      </c>
      <c r="G4138" s="9" t="n">
        <v>135</v>
      </c>
      <c r="H4138" t="inlineStr">
        <is>
          <t>customer_payment</t>
        </is>
      </c>
      <c r="I4138" t="inlineStr"/>
      <c r="J4138" t="inlineStr">
        <is>
          <t>G00078</t>
        </is>
      </c>
      <c r="K4138" t="str">
        <f>INDEX('Match Groups'!$D$5:$D$1326,MATCH(J4138,'Match Groups'!$A$5:$A$1326,0))</f>
        <v>STRIPE-FEE</v>
      </c>
    </row>
    <row r="4139">
      <c r="A4139" t="inlineStr">
        <is>
          <t>JI-03617</t>
        </is>
      </c>
      <c r="B4139" t="inlineStr">
        <is>
          <t>OPS</t>
        </is>
      </c>
      <c r="C4139" s="5" t="n">
        <v>46291</v>
      </c>
      <c r="D4139" t="inlineStr">
        <is>
          <t>Stripe patient 39055</t>
        </is>
      </c>
      <c r="E4139" t="inlineStr">
        <is>
          <t>INV/2026/05458</t>
        </is>
      </c>
      <c r="F4139" t="inlineStr">
        <is>
          <t>Customer payment INV/2026/05458</t>
        </is>
      </c>
      <c r="G4139" s="9" t="n">
        <v>65</v>
      </c>
      <c r="H4139" t="inlineStr">
        <is>
          <t>customer_payment</t>
        </is>
      </c>
      <c r="I4139" t="inlineStr"/>
      <c r="J4139" t="inlineStr">
        <is>
          <t>G00078</t>
        </is>
      </c>
      <c r="K4139" t="str">
        <f>INDEX('Match Groups'!$D$5:$D$1326,MATCH(J4139,'Match Groups'!$A$5:$A$1326,0))</f>
        <v>STRIPE-FEE</v>
      </c>
    </row>
    <row r="4140">
      <c r="A4140" t="inlineStr">
        <is>
          <t>JI-01627</t>
        </is>
      </c>
      <c r="B4140" t="inlineStr">
        <is>
          <t>OPS</t>
        </is>
      </c>
      <c r="C4140" s="5" t="n">
        <v>46292</v>
      </c>
      <c r="D4140" t="inlineStr">
        <is>
          <t>Meridian Health Cover</t>
        </is>
      </c>
      <c r="E4140" t="inlineStr">
        <is>
          <t>INV/2026/02987</t>
        </is>
      </c>
      <c r="F4140" t="inlineStr">
        <is>
          <t>Customer payment INV/2026/02987</t>
        </is>
      </c>
      <c r="G4140" s="9" t="n">
        <v>990</v>
      </c>
      <c r="H4140" t="inlineStr">
        <is>
          <t>customer_payment</t>
        </is>
      </c>
      <c r="I4140" t="inlineStr"/>
      <c r="J4140" t="inlineStr">
        <is>
          <t>G01082</t>
        </is>
      </c>
      <c r="K4140" t="str">
        <f>INDEX('Match Groups'!$D$5:$D$1326,MATCH(J4140,'Match Groups'!$A$5:$A$1326,0))</f>
        <v>MATCH</v>
      </c>
    </row>
    <row r="4141">
      <c r="A4141" t="inlineStr">
        <is>
          <t>JI-01665</t>
        </is>
      </c>
      <c r="B4141" t="inlineStr">
        <is>
          <t>OPS</t>
        </is>
      </c>
      <c r="C4141" s="5" t="n">
        <v>46292</v>
      </c>
      <c r="D4141" t="inlineStr">
        <is>
          <t>Calder Freight Group</t>
        </is>
      </c>
      <c r="E4141" t="inlineStr">
        <is>
          <t>INV/2026/03519</t>
        </is>
      </c>
      <c r="F4141" t="inlineStr">
        <is>
          <t>Customer payment INV/2026/03519</t>
        </is>
      </c>
      <c r="G4141" s="9" t="n">
        <v>6971.25</v>
      </c>
      <c r="H4141" t="inlineStr">
        <is>
          <t>customer_payment</t>
        </is>
      </c>
      <c r="I4141" t="inlineStr"/>
      <c r="J4141" t="inlineStr">
        <is>
          <t>G01090</t>
        </is>
      </c>
      <c r="K4141" t="str">
        <f>INDEX('Match Groups'!$D$5:$D$1326,MATCH(J4141,'Match Groups'!$A$5:$A$1326,0))</f>
        <v>MATCH</v>
      </c>
    </row>
    <row r="4142">
      <c r="A4142" t="inlineStr">
        <is>
          <t>JI-01504</t>
        </is>
      </c>
      <c r="B4142" t="inlineStr">
        <is>
          <t>OPS</t>
        </is>
      </c>
      <c r="C4142" s="5" t="n">
        <v>46293</v>
      </c>
      <c r="D4142" t="inlineStr">
        <is>
          <t>Kookaburra Plan Support</t>
        </is>
      </c>
      <c r="E4142" t="inlineStr">
        <is>
          <t>INV/2026/03287</t>
        </is>
      </c>
      <c r="F4142" t="inlineStr">
        <is>
          <t>Customer payment INV/2026/03287</t>
        </is>
      </c>
      <c r="G4142" s="9" t="n">
        <v>242.49</v>
      </c>
      <c r="H4142" t="inlineStr">
        <is>
          <t>customer_payment</t>
        </is>
      </c>
      <c r="I4142" t="inlineStr"/>
      <c r="J4142" t="inlineStr">
        <is>
          <t>G00490</t>
        </is>
      </c>
      <c r="K4142" t="str">
        <f>INDEX('Match Groups'!$D$5:$D$1326,MATCH(J4142,'Match Groups'!$A$5:$A$1326,0))</f>
        <v>MATCH</v>
      </c>
    </row>
    <row r="4143">
      <c r="A4143" t="inlineStr">
        <is>
          <t>JI-01505</t>
        </is>
      </c>
      <c r="B4143" t="inlineStr">
        <is>
          <t>OPS</t>
        </is>
      </c>
      <c r="C4143" s="5" t="n">
        <v>46293</v>
      </c>
      <c r="D4143" t="inlineStr">
        <is>
          <t>Kookaburra Plan Support</t>
        </is>
      </c>
      <c r="E4143" t="inlineStr">
        <is>
          <t>INV/2026/03288</t>
        </is>
      </c>
      <c r="F4143" t="inlineStr">
        <is>
          <t>Customer payment INV/2026/03288</t>
        </is>
      </c>
      <c r="G4143" s="9" t="n">
        <v>387.98</v>
      </c>
      <c r="H4143" t="inlineStr">
        <is>
          <t>customer_payment</t>
        </is>
      </c>
      <c r="I4143" t="inlineStr"/>
      <c r="J4143" t="inlineStr">
        <is>
          <t>G00490</t>
        </is>
      </c>
      <c r="K4143" t="str">
        <f>INDEX('Match Groups'!$D$5:$D$1326,MATCH(J4143,'Match Groups'!$A$5:$A$1326,0))</f>
        <v>MATCH</v>
      </c>
    </row>
    <row r="4144">
      <c r="A4144" t="inlineStr">
        <is>
          <t>JI-01506</t>
        </is>
      </c>
      <c r="B4144" t="inlineStr">
        <is>
          <t>OPS</t>
        </is>
      </c>
      <c r="C4144" s="5" t="n">
        <v>46293</v>
      </c>
      <c r="D4144" t="inlineStr">
        <is>
          <t>Kookaburra Plan Support</t>
        </is>
      </c>
      <c r="E4144" t="inlineStr">
        <is>
          <t>INV/2026/03327</t>
        </is>
      </c>
      <c r="F4144" t="inlineStr">
        <is>
          <t>Customer payment INV/2026/03327</t>
        </is>
      </c>
      <c r="G4144" s="9" t="n">
        <v>242.49</v>
      </c>
      <c r="H4144" t="inlineStr">
        <is>
          <t>customer_payment</t>
        </is>
      </c>
      <c r="I4144" t="inlineStr"/>
      <c r="J4144" t="inlineStr">
        <is>
          <t>G00490</t>
        </is>
      </c>
      <c r="K4144" t="str">
        <f>INDEX('Match Groups'!$D$5:$D$1326,MATCH(J4144,'Match Groups'!$A$5:$A$1326,0))</f>
        <v>MATCH</v>
      </c>
    </row>
    <row r="4145">
      <c r="A4145" t="inlineStr">
        <is>
          <t>JI-01507</t>
        </is>
      </c>
      <c r="B4145" t="inlineStr">
        <is>
          <t>OPS</t>
        </is>
      </c>
      <c r="C4145" s="5" t="n">
        <v>46293</v>
      </c>
      <c r="D4145" t="inlineStr">
        <is>
          <t>Redgum Plan Admin</t>
        </is>
      </c>
      <c r="E4145" t="inlineStr">
        <is>
          <t>INV/2026/03268</t>
        </is>
      </c>
      <c r="F4145" t="inlineStr">
        <is>
          <t>Customer payment INV/2026/03268</t>
        </is>
      </c>
      <c r="G4145" s="9" t="n">
        <v>300.69</v>
      </c>
      <c r="H4145" t="inlineStr">
        <is>
          <t>customer_payment</t>
        </is>
      </c>
      <c r="I4145" t="inlineStr"/>
      <c r="J4145" t="inlineStr">
        <is>
          <t>G00491</t>
        </is>
      </c>
      <c r="K4145" t="str">
        <f>INDEX('Match Groups'!$D$5:$D$1326,MATCH(J4145,'Match Groups'!$A$5:$A$1326,0))</f>
        <v>MATCH</v>
      </c>
    </row>
    <row r="4146">
      <c r="A4146" t="inlineStr">
        <is>
          <t>JI-01508</t>
        </is>
      </c>
      <c r="B4146" t="inlineStr">
        <is>
          <t>OPS</t>
        </is>
      </c>
      <c r="C4146" s="5" t="n">
        <v>46293</v>
      </c>
      <c r="D4146" t="inlineStr">
        <is>
          <t>Redgum Plan Admin</t>
        </is>
      </c>
      <c r="E4146" t="inlineStr">
        <is>
          <t>INV/2026/03308</t>
        </is>
      </c>
      <c r="F4146" t="inlineStr">
        <is>
          <t>Customer payment INV/2026/03308</t>
        </is>
      </c>
      <c r="G4146" s="9" t="n">
        <v>242.49</v>
      </c>
      <c r="H4146" t="inlineStr">
        <is>
          <t>customer_payment</t>
        </is>
      </c>
      <c r="I4146" t="inlineStr"/>
      <c r="J4146" t="inlineStr">
        <is>
          <t>G00491</t>
        </is>
      </c>
      <c r="K4146" t="str">
        <f>INDEX('Match Groups'!$D$5:$D$1326,MATCH(J4146,'Match Groups'!$A$5:$A$1326,0))</f>
        <v>MATCH</v>
      </c>
    </row>
    <row r="4147">
      <c r="A4147" t="inlineStr">
        <is>
          <t>JI-01509</t>
        </is>
      </c>
      <c r="B4147" t="inlineStr">
        <is>
          <t>OPS</t>
        </is>
      </c>
      <c r="C4147" s="5" t="n">
        <v>46293</v>
      </c>
      <c r="D4147" t="inlineStr">
        <is>
          <t>Southern Cross Plan Mgmt</t>
        </is>
      </c>
      <c r="E4147" t="inlineStr">
        <is>
          <t>INV/2026/03332</t>
        </is>
      </c>
      <c r="F4147" t="inlineStr">
        <is>
          <t>Customer payment INV/2026/03332</t>
        </is>
      </c>
      <c r="G4147" s="9" t="n">
        <v>145.49</v>
      </c>
      <c r="H4147" t="inlineStr">
        <is>
          <t>customer_payment</t>
        </is>
      </c>
      <c r="I4147" t="inlineStr"/>
      <c r="J4147" t="inlineStr">
        <is>
          <t>G00492</t>
        </is>
      </c>
      <c r="K4147" t="str">
        <f>INDEX('Match Groups'!$D$5:$D$1326,MATCH(J4147,'Match Groups'!$A$5:$A$1326,0))</f>
        <v>MATCH</v>
      </c>
    </row>
    <row r="4148">
      <c r="A4148" t="inlineStr">
        <is>
          <t>JI-01510</t>
        </is>
      </c>
      <c r="B4148" t="inlineStr">
        <is>
          <t>OPS</t>
        </is>
      </c>
      <c r="C4148" s="5" t="n">
        <v>46293</v>
      </c>
      <c r="D4148" t="inlineStr">
        <is>
          <t>Southern Cross Plan Mgmt</t>
        </is>
      </c>
      <c r="E4148" t="inlineStr">
        <is>
          <t>INV/2026/03334</t>
        </is>
      </c>
      <c r="F4148" t="inlineStr">
        <is>
          <t>Customer payment INV/2026/03334</t>
        </is>
      </c>
      <c r="G4148" s="9" t="n">
        <v>193.99</v>
      </c>
      <c r="H4148" t="inlineStr">
        <is>
          <t>customer_payment</t>
        </is>
      </c>
      <c r="I4148" t="inlineStr"/>
      <c r="J4148" t="inlineStr">
        <is>
          <t>G00492</t>
        </is>
      </c>
      <c r="K4148" t="str">
        <f>INDEX('Match Groups'!$D$5:$D$1326,MATCH(J4148,'Match Groups'!$A$5:$A$1326,0))</f>
        <v>MATCH</v>
      </c>
    </row>
    <row r="4149">
      <c r="A4149" t="inlineStr">
        <is>
          <t>JI-01511</t>
        </is>
      </c>
      <c r="B4149" t="inlineStr">
        <is>
          <t>OPS</t>
        </is>
      </c>
      <c r="C4149" s="5" t="n">
        <v>46293</v>
      </c>
      <c r="D4149" t="inlineStr">
        <is>
          <t>Tallowwood Plans</t>
        </is>
      </c>
      <c r="E4149" t="inlineStr">
        <is>
          <t>INV/2026/03249</t>
        </is>
      </c>
      <c r="F4149" t="inlineStr">
        <is>
          <t>Customer payment INV/2026/03249</t>
        </is>
      </c>
      <c r="G4149" s="9" t="n">
        <v>145.49</v>
      </c>
      <c r="H4149" t="inlineStr">
        <is>
          <t>customer_payment</t>
        </is>
      </c>
      <c r="I4149" t="inlineStr"/>
      <c r="J4149" t="inlineStr">
        <is>
          <t>G00493</t>
        </is>
      </c>
      <c r="K4149" t="str">
        <f>INDEX('Match Groups'!$D$5:$D$1326,MATCH(J4149,'Match Groups'!$A$5:$A$1326,0))</f>
        <v>MATCH</v>
      </c>
    </row>
    <row r="4150">
      <c r="A4150" t="inlineStr">
        <is>
          <t>JI-01512</t>
        </is>
      </c>
      <c r="B4150" t="inlineStr">
        <is>
          <t>OPS</t>
        </is>
      </c>
      <c r="C4150" s="5" t="n">
        <v>46293</v>
      </c>
      <c r="D4150" t="inlineStr">
        <is>
          <t>Tallowwood Plans</t>
        </is>
      </c>
      <c r="E4150" t="inlineStr">
        <is>
          <t>INV/2026/03272</t>
        </is>
      </c>
      <c r="F4150" t="inlineStr">
        <is>
          <t>Customer payment INV/2026/03272</t>
        </is>
      </c>
      <c r="G4150" s="9" t="n">
        <v>290.98</v>
      </c>
      <c r="H4150" t="inlineStr">
        <is>
          <t>customer_payment</t>
        </is>
      </c>
      <c r="I4150" t="inlineStr"/>
      <c r="J4150" t="inlineStr">
        <is>
          <t>G00493</t>
        </is>
      </c>
      <c r="K4150" t="str">
        <f>INDEX('Match Groups'!$D$5:$D$1326,MATCH(J4150,'Match Groups'!$A$5:$A$1326,0))</f>
        <v>MATCH</v>
      </c>
    </row>
    <row r="4151">
      <c r="A4151" t="inlineStr">
        <is>
          <t>JI-01513</t>
        </is>
      </c>
      <c r="B4151" t="inlineStr">
        <is>
          <t>OPS</t>
        </is>
      </c>
      <c r="C4151" s="5" t="n">
        <v>46293</v>
      </c>
      <c r="D4151" t="inlineStr">
        <is>
          <t>Tallowwood Plans</t>
        </is>
      </c>
      <c r="E4151" t="inlineStr">
        <is>
          <t>INV/2026/03292</t>
        </is>
      </c>
      <c r="F4151" t="inlineStr">
        <is>
          <t>Customer payment INV/2026/03292</t>
        </is>
      </c>
      <c r="G4151" s="9" t="n">
        <v>203.69</v>
      </c>
      <c r="H4151" t="inlineStr">
        <is>
          <t>customer_payment</t>
        </is>
      </c>
      <c r="I4151" t="inlineStr"/>
      <c r="J4151" t="inlineStr">
        <is>
          <t>G00493</t>
        </is>
      </c>
      <c r="K4151" t="str">
        <f>INDEX('Match Groups'!$D$5:$D$1326,MATCH(J4151,'Match Groups'!$A$5:$A$1326,0))</f>
        <v>MATCH</v>
      </c>
    </row>
    <row r="4152">
      <c r="A4152" t="inlineStr">
        <is>
          <t>JI-01514</t>
        </is>
      </c>
      <c r="B4152" t="inlineStr">
        <is>
          <t>OPS</t>
        </is>
      </c>
      <c r="C4152" s="5" t="n">
        <v>46293</v>
      </c>
      <c r="D4152" t="inlineStr">
        <is>
          <t>Acacia Plan Partners</t>
        </is>
      </c>
      <c r="E4152" t="inlineStr">
        <is>
          <t>INV/2026/03250</t>
        </is>
      </c>
      <c r="F4152" t="inlineStr">
        <is>
          <t>Customer payment INV/2026/03250</t>
        </is>
      </c>
      <c r="G4152" s="9" t="n">
        <v>290.98</v>
      </c>
      <c r="H4152" t="inlineStr">
        <is>
          <t>customer_payment</t>
        </is>
      </c>
      <c r="I4152" t="inlineStr"/>
      <c r="J4152" t="inlineStr">
        <is>
          <t>G00494</t>
        </is>
      </c>
      <c r="K4152" t="str">
        <f>INDEX('Match Groups'!$D$5:$D$1326,MATCH(J4152,'Match Groups'!$A$5:$A$1326,0))</f>
        <v>MATCH</v>
      </c>
    </row>
    <row r="4153">
      <c r="A4153" t="inlineStr">
        <is>
          <t>JI-01515</t>
        </is>
      </c>
      <c r="B4153" t="inlineStr">
        <is>
          <t>OPS</t>
        </is>
      </c>
      <c r="C4153" s="5" t="n">
        <v>46293</v>
      </c>
      <c r="D4153" t="inlineStr">
        <is>
          <t>Acacia Plan Partners</t>
        </is>
      </c>
      <c r="E4153" t="inlineStr">
        <is>
          <t>INV/2026/03273</t>
        </is>
      </c>
      <c r="F4153" t="inlineStr">
        <is>
          <t>Customer payment INV/2026/03273</t>
        </is>
      </c>
      <c r="G4153" s="9" t="n">
        <v>349.18</v>
      </c>
      <c r="H4153" t="inlineStr">
        <is>
          <t>customer_payment</t>
        </is>
      </c>
      <c r="I4153" t="inlineStr"/>
      <c r="J4153" t="inlineStr">
        <is>
          <t>G00494</t>
        </is>
      </c>
      <c r="K4153" t="str">
        <f>INDEX('Match Groups'!$D$5:$D$1326,MATCH(J4153,'Match Groups'!$A$5:$A$1326,0))</f>
        <v>MATCH</v>
      </c>
    </row>
    <row r="4154">
      <c r="A4154" t="inlineStr">
        <is>
          <t>JI-01516</t>
        </is>
      </c>
      <c r="B4154" t="inlineStr">
        <is>
          <t>OPS</t>
        </is>
      </c>
      <c r="C4154" s="5" t="n">
        <v>46293</v>
      </c>
      <c r="D4154" t="inlineStr">
        <is>
          <t>Acacia Plan Partners</t>
        </is>
      </c>
      <c r="E4154" t="inlineStr">
        <is>
          <t>INV/2026/03275</t>
        </is>
      </c>
      <c r="F4154" t="inlineStr">
        <is>
          <t>Customer payment INV/2026/03275</t>
        </is>
      </c>
      <c r="G4154" s="9" t="n">
        <v>387.98</v>
      </c>
      <c r="H4154" t="inlineStr">
        <is>
          <t>customer_payment</t>
        </is>
      </c>
      <c r="I4154" t="inlineStr"/>
      <c r="J4154" t="inlineStr">
        <is>
          <t>G00494</t>
        </is>
      </c>
      <c r="K4154" t="str">
        <f>INDEX('Match Groups'!$D$5:$D$1326,MATCH(J4154,'Match Groups'!$A$5:$A$1326,0))</f>
        <v>MATCH</v>
      </c>
    </row>
    <row r="4155">
      <c r="A4155" t="inlineStr">
        <is>
          <t>JI-01517</t>
        </is>
      </c>
      <c r="B4155" t="inlineStr">
        <is>
          <t>OPS</t>
        </is>
      </c>
      <c r="C4155" s="5" t="n">
        <v>46293</v>
      </c>
      <c r="D4155" t="inlineStr">
        <is>
          <t>Acacia Plan Partners</t>
        </is>
      </c>
      <c r="E4155" t="inlineStr">
        <is>
          <t>INV/2026/03293</t>
        </is>
      </c>
      <c r="F4155" t="inlineStr">
        <is>
          <t>Customer payment INV/2026/03293</t>
        </is>
      </c>
      <c r="G4155" s="9" t="n">
        <v>96.98999999999999</v>
      </c>
      <c r="H4155" t="inlineStr">
        <is>
          <t>customer_payment</t>
        </is>
      </c>
      <c r="I4155" t="inlineStr"/>
      <c r="J4155" t="inlineStr">
        <is>
          <t>G00494</t>
        </is>
      </c>
      <c r="K4155" t="str">
        <f>INDEX('Match Groups'!$D$5:$D$1326,MATCH(J4155,'Match Groups'!$A$5:$A$1326,0))</f>
        <v>MATCH</v>
      </c>
    </row>
    <row r="4156">
      <c r="A4156" t="inlineStr">
        <is>
          <t>JI-01739</t>
        </is>
      </c>
      <c r="B4156" t="inlineStr">
        <is>
          <t>OPS</t>
        </is>
      </c>
      <c r="C4156" s="5" t="n">
        <v>46293</v>
      </c>
      <c r="D4156" t="inlineStr">
        <is>
          <t>Jarrah Ridge Estates</t>
        </is>
      </c>
      <c r="E4156" t="inlineStr">
        <is>
          <t>INV/2026/03556</t>
        </is>
      </c>
      <c r="F4156" t="inlineStr">
        <is>
          <t>Customer payment INV/2026/03556</t>
        </is>
      </c>
      <c r="G4156" s="9" t="n">
        <v>6902.5</v>
      </c>
      <c r="H4156" t="inlineStr">
        <is>
          <t>customer_payment</t>
        </is>
      </c>
      <c r="I4156" t="inlineStr"/>
      <c r="J4156" t="inlineStr">
        <is>
          <t>G01166</t>
        </is>
      </c>
      <c r="K4156" t="str">
        <f>INDEX('Match Groups'!$D$5:$D$1326,MATCH(J4156,'Match Groups'!$A$5:$A$1326,0))</f>
        <v>MATCH</v>
      </c>
    </row>
    <row r="4157">
      <c r="A4157" t="inlineStr">
        <is>
          <t>JI-01748</t>
        </is>
      </c>
      <c r="B4157" t="inlineStr">
        <is>
          <t>OPS</t>
        </is>
      </c>
      <c r="C4157" s="5" t="n">
        <v>46293</v>
      </c>
      <c r="D4157" t="inlineStr">
        <is>
          <t>Lockhart Glass</t>
        </is>
      </c>
      <c r="E4157" t="inlineStr">
        <is>
          <t>INV/2026/03559</t>
        </is>
      </c>
      <c r="F4157" t="inlineStr">
        <is>
          <t>Customer payment INV/2026/03559</t>
        </is>
      </c>
      <c r="G4157" s="9" t="n">
        <v>6902.5</v>
      </c>
      <c r="H4157" t="inlineStr">
        <is>
          <t>customer_payment</t>
        </is>
      </c>
      <c r="I4157" t="inlineStr"/>
      <c r="J4157" t="inlineStr">
        <is>
          <t>G01092</t>
        </is>
      </c>
      <c r="K4157" t="str">
        <f>INDEX('Match Groups'!$D$5:$D$1326,MATCH(J4157,'Match Groups'!$A$5:$A$1326,0))</f>
        <v>MATCH</v>
      </c>
    </row>
    <row r="4158">
      <c r="A4158" t="inlineStr">
        <is>
          <t>JI-03618</t>
        </is>
      </c>
      <c r="B4158" t="inlineStr">
        <is>
          <t>OPS</t>
        </is>
      </c>
      <c r="C4158" s="5" t="n">
        <v>46293</v>
      </c>
      <c r="D4158" t="inlineStr">
        <is>
          <t>Stripe patient 72616</t>
        </is>
      </c>
      <c r="E4158" t="inlineStr">
        <is>
          <t>INV/2026/05459</t>
        </is>
      </c>
      <c r="F4158" t="inlineStr">
        <is>
          <t>Customer payment INV/2026/05459</t>
        </is>
      </c>
      <c r="G4158" s="9" t="n">
        <v>150</v>
      </c>
      <c r="H4158" t="inlineStr">
        <is>
          <t>customer_payment</t>
        </is>
      </c>
      <c r="I4158" t="inlineStr"/>
      <c r="J4158" t="inlineStr">
        <is>
          <t>G00079</t>
        </is>
      </c>
      <c r="K4158" t="str">
        <f>INDEX('Match Groups'!$D$5:$D$1326,MATCH(J4158,'Match Groups'!$A$5:$A$1326,0))</f>
        <v>STRIPE-FEE</v>
      </c>
    </row>
    <row r="4159">
      <c r="A4159" t="inlineStr">
        <is>
          <t>JI-03619</t>
        </is>
      </c>
      <c r="B4159" t="inlineStr">
        <is>
          <t>OPS</t>
        </is>
      </c>
      <c r="C4159" s="5" t="n">
        <v>46293</v>
      </c>
      <c r="D4159" t="inlineStr">
        <is>
          <t>Stripe patient 23135</t>
        </is>
      </c>
      <c r="E4159" t="inlineStr">
        <is>
          <t>INV/2026/05460</t>
        </is>
      </c>
      <c r="F4159" t="inlineStr">
        <is>
          <t>Customer payment INV/2026/05460</t>
        </is>
      </c>
      <c r="G4159" s="9" t="n">
        <v>65</v>
      </c>
      <c r="H4159" t="inlineStr">
        <is>
          <t>customer_payment</t>
        </is>
      </c>
      <c r="I4159" t="inlineStr"/>
      <c r="J4159" t="inlineStr">
        <is>
          <t>G00079</t>
        </is>
      </c>
      <c r="K4159" t="str">
        <f>INDEX('Match Groups'!$D$5:$D$1326,MATCH(J4159,'Match Groups'!$A$5:$A$1326,0))</f>
        <v>STRIPE-FEE</v>
      </c>
    </row>
    <row r="4160">
      <c r="A4160" t="inlineStr">
        <is>
          <t>JI-03620</t>
        </is>
      </c>
      <c r="B4160" t="inlineStr">
        <is>
          <t>OPS</t>
        </is>
      </c>
      <c r="C4160" s="5" t="n">
        <v>46293</v>
      </c>
      <c r="D4160" t="inlineStr">
        <is>
          <t>Stripe patient 88416</t>
        </is>
      </c>
      <c r="E4160" t="inlineStr">
        <is>
          <t>INV/2026/05461</t>
        </is>
      </c>
      <c r="F4160" t="inlineStr">
        <is>
          <t>Customer payment INV/2026/05461</t>
        </is>
      </c>
      <c r="G4160" s="9" t="n">
        <v>120</v>
      </c>
      <c r="H4160" t="inlineStr">
        <is>
          <t>customer_payment</t>
        </is>
      </c>
      <c r="I4160" t="inlineStr"/>
      <c r="J4160" t="inlineStr">
        <is>
          <t>G00079</t>
        </is>
      </c>
      <c r="K4160" t="str">
        <f>INDEX('Match Groups'!$D$5:$D$1326,MATCH(J4160,'Match Groups'!$A$5:$A$1326,0))</f>
        <v>STRIPE-FEE</v>
      </c>
    </row>
    <row r="4161">
      <c r="A4161" t="inlineStr">
        <is>
          <t>JI-03621</t>
        </is>
      </c>
      <c r="B4161" t="inlineStr">
        <is>
          <t>OPS</t>
        </is>
      </c>
      <c r="C4161" s="5" t="n">
        <v>46293</v>
      </c>
      <c r="D4161" t="inlineStr">
        <is>
          <t>Stripe patient 46105</t>
        </is>
      </c>
      <c r="E4161" t="inlineStr">
        <is>
          <t>INV/2026/05462</t>
        </is>
      </c>
      <c r="F4161" t="inlineStr">
        <is>
          <t>Customer payment INV/2026/05462</t>
        </is>
      </c>
      <c r="G4161" s="9" t="n">
        <v>120</v>
      </c>
      <c r="H4161" t="inlineStr">
        <is>
          <t>customer_payment</t>
        </is>
      </c>
      <c r="I4161" t="inlineStr"/>
      <c r="J4161" t="inlineStr">
        <is>
          <t>G00079</t>
        </is>
      </c>
      <c r="K4161" t="str">
        <f>INDEX('Match Groups'!$D$5:$D$1326,MATCH(J4161,'Match Groups'!$A$5:$A$1326,0))</f>
        <v>STRIPE-FEE</v>
      </c>
    </row>
    <row r="4162">
      <c r="A4162" t="inlineStr">
        <is>
          <t>JI-03622</t>
        </is>
      </c>
      <c r="B4162" t="inlineStr">
        <is>
          <t>OPS</t>
        </is>
      </c>
      <c r="C4162" s="5" t="n">
        <v>46293</v>
      </c>
      <c r="D4162" t="inlineStr">
        <is>
          <t>Stripe patient 26087</t>
        </is>
      </c>
      <c r="E4162" t="inlineStr">
        <is>
          <t>INV/2026/05463</t>
        </is>
      </c>
      <c r="F4162" t="inlineStr">
        <is>
          <t>Customer payment INV/2026/05463</t>
        </is>
      </c>
      <c r="G4162" s="9" t="n">
        <v>95</v>
      </c>
      <c r="H4162" t="inlineStr">
        <is>
          <t>customer_payment</t>
        </is>
      </c>
      <c r="I4162" t="inlineStr"/>
      <c r="J4162" t="inlineStr">
        <is>
          <t>G00079</t>
        </is>
      </c>
      <c r="K4162" t="str">
        <f>INDEX('Match Groups'!$D$5:$D$1326,MATCH(J4162,'Match Groups'!$A$5:$A$1326,0))</f>
        <v>STRIPE-FEE</v>
      </c>
    </row>
    <row r="4163">
      <c r="A4163" t="inlineStr">
        <is>
          <t>JI-03623</t>
        </is>
      </c>
      <c r="B4163" t="inlineStr">
        <is>
          <t>OPS</t>
        </is>
      </c>
      <c r="C4163" s="5" t="n">
        <v>46293</v>
      </c>
      <c r="D4163" t="inlineStr">
        <is>
          <t>Stripe patient 80229</t>
        </is>
      </c>
      <c r="E4163" t="inlineStr">
        <is>
          <t>INV/2026/05464</t>
        </is>
      </c>
      <c r="F4163" t="inlineStr">
        <is>
          <t>Customer payment INV/2026/05464</t>
        </is>
      </c>
      <c r="G4163" s="9" t="n">
        <v>85</v>
      </c>
      <c r="H4163" t="inlineStr">
        <is>
          <t>customer_payment</t>
        </is>
      </c>
      <c r="I4163" t="inlineStr"/>
      <c r="J4163" t="inlineStr">
        <is>
          <t>G00079</t>
        </is>
      </c>
      <c r="K4163" t="str">
        <f>INDEX('Match Groups'!$D$5:$D$1326,MATCH(J4163,'Match Groups'!$A$5:$A$1326,0))</f>
        <v>STRIPE-FEE</v>
      </c>
    </row>
    <row r="4164">
      <c r="A4164" t="inlineStr">
        <is>
          <t>JI-03624</t>
        </is>
      </c>
      <c r="B4164" t="inlineStr">
        <is>
          <t>OPS</t>
        </is>
      </c>
      <c r="C4164" s="5" t="n">
        <v>46293</v>
      </c>
      <c r="D4164" t="inlineStr">
        <is>
          <t>Stripe patient 54431</t>
        </is>
      </c>
      <c r="E4164" t="inlineStr">
        <is>
          <t>INV/2026/05465</t>
        </is>
      </c>
      <c r="F4164" t="inlineStr">
        <is>
          <t>Customer payment INV/2026/05465</t>
        </is>
      </c>
      <c r="G4164" s="9" t="n">
        <v>150</v>
      </c>
      <c r="H4164" t="inlineStr">
        <is>
          <t>customer_payment</t>
        </is>
      </c>
      <c r="I4164" t="inlineStr"/>
      <c r="J4164" t="inlineStr">
        <is>
          <t>G00079</t>
        </is>
      </c>
      <c r="K4164" t="str">
        <f>INDEX('Match Groups'!$D$5:$D$1326,MATCH(J4164,'Match Groups'!$A$5:$A$1326,0))</f>
        <v>STRIPE-FEE</v>
      </c>
    </row>
    <row r="4165">
      <c r="A4165" t="inlineStr">
        <is>
          <t>JI-03625</t>
        </is>
      </c>
      <c r="B4165" t="inlineStr">
        <is>
          <t>OPS</t>
        </is>
      </c>
      <c r="C4165" s="5" t="n">
        <v>46293</v>
      </c>
      <c r="D4165" t="inlineStr">
        <is>
          <t>Stripe patient 42566</t>
        </is>
      </c>
      <c r="E4165" t="inlineStr">
        <is>
          <t>INV/2026/05466</t>
        </is>
      </c>
      <c r="F4165" t="inlineStr">
        <is>
          <t>Customer payment INV/2026/05466</t>
        </is>
      </c>
      <c r="G4165" s="9" t="n">
        <v>220</v>
      </c>
      <c r="H4165" t="inlineStr">
        <is>
          <t>customer_payment</t>
        </is>
      </c>
      <c r="I4165" t="inlineStr"/>
      <c r="J4165" t="inlineStr">
        <is>
          <t>G00079</t>
        </is>
      </c>
      <c r="K4165" t="str">
        <f>INDEX('Match Groups'!$D$5:$D$1326,MATCH(J4165,'Match Groups'!$A$5:$A$1326,0))</f>
        <v>STRIPE-FEE</v>
      </c>
    </row>
    <row r="4166">
      <c r="A4166" t="inlineStr">
        <is>
          <t>JI-03626</t>
        </is>
      </c>
      <c r="B4166" t="inlineStr">
        <is>
          <t>OPS</t>
        </is>
      </c>
      <c r="C4166" s="5" t="n">
        <v>46293</v>
      </c>
      <c r="D4166" t="inlineStr">
        <is>
          <t>Stripe patient 65781</t>
        </is>
      </c>
      <c r="E4166" t="inlineStr">
        <is>
          <t>INV/2026/05467</t>
        </is>
      </c>
      <c r="F4166" t="inlineStr">
        <is>
          <t>Customer payment INV/2026/05467</t>
        </is>
      </c>
      <c r="G4166" s="9" t="n">
        <v>220</v>
      </c>
      <c r="H4166" t="inlineStr">
        <is>
          <t>customer_payment</t>
        </is>
      </c>
      <c r="I4166" t="inlineStr"/>
      <c r="J4166" t="inlineStr">
        <is>
          <t>G00079</t>
        </is>
      </c>
      <c r="K4166" t="str">
        <f>INDEX('Match Groups'!$D$5:$D$1326,MATCH(J4166,'Match Groups'!$A$5:$A$1326,0))</f>
        <v>STRIPE-FEE</v>
      </c>
    </row>
    <row r="4167">
      <c r="A4167" t="inlineStr">
        <is>
          <t>JI-03627</t>
        </is>
      </c>
      <c r="B4167" t="inlineStr">
        <is>
          <t>OPS</t>
        </is>
      </c>
      <c r="C4167" s="5" t="n">
        <v>46293</v>
      </c>
      <c r="D4167" t="inlineStr">
        <is>
          <t>Stripe patient 26563</t>
        </is>
      </c>
      <c r="E4167" t="inlineStr">
        <is>
          <t>INV/2026/05468</t>
        </is>
      </c>
      <c r="F4167" t="inlineStr">
        <is>
          <t>Customer payment INV/2026/05468</t>
        </is>
      </c>
      <c r="G4167" s="9" t="n">
        <v>110</v>
      </c>
      <c r="H4167" t="inlineStr">
        <is>
          <t>customer_payment</t>
        </is>
      </c>
      <c r="I4167" t="inlineStr"/>
      <c r="J4167" t="inlineStr">
        <is>
          <t>G00079</t>
        </is>
      </c>
      <c r="K4167" t="str">
        <f>INDEX('Match Groups'!$D$5:$D$1326,MATCH(J4167,'Match Groups'!$A$5:$A$1326,0))</f>
        <v>STRIPE-FEE</v>
      </c>
    </row>
    <row r="4168">
      <c r="A4168" t="inlineStr">
        <is>
          <t>JI-03628</t>
        </is>
      </c>
      <c r="B4168" t="inlineStr">
        <is>
          <t>OPS</t>
        </is>
      </c>
      <c r="C4168" s="5" t="n">
        <v>46293</v>
      </c>
      <c r="D4168" t="inlineStr">
        <is>
          <t>Stripe patient 68341</t>
        </is>
      </c>
      <c r="E4168" t="inlineStr">
        <is>
          <t>INV/2026/05469</t>
        </is>
      </c>
      <c r="F4168" t="inlineStr">
        <is>
          <t>Customer payment INV/2026/05469</t>
        </is>
      </c>
      <c r="G4168" s="9" t="n">
        <v>65</v>
      </c>
      <c r="H4168" t="inlineStr">
        <is>
          <t>customer_payment</t>
        </is>
      </c>
      <c r="I4168" t="inlineStr"/>
      <c r="J4168" t="inlineStr">
        <is>
          <t>G00079</t>
        </is>
      </c>
      <c r="K4168" t="str">
        <f>INDEX('Match Groups'!$D$5:$D$1326,MATCH(J4168,'Match Groups'!$A$5:$A$1326,0))</f>
        <v>STRIPE-FEE</v>
      </c>
    </row>
    <row r="4169">
      <c r="A4169" t="inlineStr">
        <is>
          <t>JI-03629</t>
        </is>
      </c>
      <c r="B4169" t="inlineStr">
        <is>
          <t>OPS</t>
        </is>
      </c>
      <c r="C4169" s="5" t="n">
        <v>46293</v>
      </c>
      <c r="D4169" t="inlineStr">
        <is>
          <t>Stripe patient 40258</t>
        </is>
      </c>
      <c r="E4169" t="inlineStr">
        <is>
          <t>INV/2026/05470</t>
        </is>
      </c>
      <c r="F4169" t="inlineStr">
        <is>
          <t>Customer payment INV/2026/05470</t>
        </is>
      </c>
      <c r="G4169" s="9" t="n">
        <v>85</v>
      </c>
      <c r="H4169" t="inlineStr">
        <is>
          <t>customer_payment</t>
        </is>
      </c>
      <c r="I4169" t="inlineStr"/>
      <c r="J4169" t="inlineStr">
        <is>
          <t>G00079</t>
        </is>
      </c>
      <c r="K4169" t="str">
        <f>INDEX('Match Groups'!$D$5:$D$1326,MATCH(J4169,'Match Groups'!$A$5:$A$1326,0))</f>
        <v>STRIPE-FEE</v>
      </c>
    </row>
    <row r="4170">
      <c r="A4170" t="inlineStr">
        <is>
          <t>JI-03630</t>
        </is>
      </c>
      <c r="B4170" t="inlineStr">
        <is>
          <t>OPS</t>
        </is>
      </c>
      <c r="C4170" s="5" t="n">
        <v>46293</v>
      </c>
      <c r="D4170" t="inlineStr">
        <is>
          <t>Stripe patient 53276</t>
        </is>
      </c>
      <c r="E4170" t="inlineStr">
        <is>
          <t>INV/2026/05471</t>
        </is>
      </c>
      <c r="F4170" t="inlineStr">
        <is>
          <t>Customer payment INV/2026/05471</t>
        </is>
      </c>
      <c r="G4170" s="9" t="n">
        <v>65</v>
      </c>
      <c r="H4170" t="inlineStr">
        <is>
          <t>customer_payment</t>
        </is>
      </c>
      <c r="I4170" t="inlineStr"/>
      <c r="J4170" t="inlineStr">
        <is>
          <t>G00079</t>
        </is>
      </c>
      <c r="K4170" t="str">
        <f>INDEX('Match Groups'!$D$5:$D$1326,MATCH(J4170,'Match Groups'!$A$5:$A$1326,0))</f>
        <v>STRIPE-FEE</v>
      </c>
    </row>
    <row r="4171">
      <c r="A4171" t="inlineStr">
        <is>
          <t>JI-03631</t>
        </is>
      </c>
      <c r="B4171" t="inlineStr">
        <is>
          <t>OPS</t>
        </is>
      </c>
      <c r="C4171" s="5" t="n">
        <v>46293</v>
      </c>
      <c r="D4171" t="inlineStr">
        <is>
          <t>Stripe patient 90055</t>
        </is>
      </c>
      <c r="E4171" t="inlineStr">
        <is>
          <t>INV/2026/05472</t>
        </is>
      </c>
      <c r="F4171" t="inlineStr">
        <is>
          <t>Customer payment INV/2026/05472</t>
        </is>
      </c>
      <c r="G4171" s="9" t="n">
        <v>110</v>
      </c>
      <c r="H4171" t="inlineStr">
        <is>
          <t>customer_payment</t>
        </is>
      </c>
      <c r="I4171" t="inlineStr"/>
      <c r="J4171" t="inlineStr">
        <is>
          <t>G00079</t>
        </is>
      </c>
      <c r="K4171" t="str">
        <f>INDEX('Match Groups'!$D$5:$D$1326,MATCH(J4171,'Match Groups'!$A$5:$A$1326,0))</f>
        <v>STRIPE-FEE</v>
      </c>
    </row>
    <row r="4172">
      <c r="A4172" t="inlineStr">
        <is>
          <t>JI-03632</t>
        </is>
      </c>
      <c r="B4172" t="inlineStr">
        <is>
          <t>OPS</t>
        </is>
      </c>
      <c r="C4172" s="5" t="n">
        <v>46293</v>
      </c>
      <c r="D4172" t="inlineStr">
        <is>
          <t>Stripe patient 78293</t>
        </is>
      </c>
      <c r="E4172" t="inlineStr">
        <is>
          <t>INV/2026/05473</t>
        </is>
      </c>
      <c r="F4172" t="inlineStr">
        <is>
          <t>Customer payment INV/2026/05473</t>
        </is>
      </c>
      <c r="G4172" s="9" t="n">
        <v>220</v>
      </c>
      <c r="H4172" t="inlineStr">
        <is>
          <t>customer_payment</t>
        </is>
      </c>
      <c r="I4172" t="inlineStr"/>
      <c r="J4172" t="inlineStr">
        <is>
          <t>G00079</t>
        </is>
      </c>
      <c r="K4172" t="str">
        <f>INDEX('Match Groups'!$D$5:$D$1326,MATCH(J4172,'Match Groups'!$A$5:$A$1326,0))</f>
        <v>STRIPE-FEE</v>
      </c>
    </row>
    <row r="4173">
      <c r="A4173" t="inlineStr">
        <is>
          <t>JI-03633</t>
        </is>
      </c>
      <c r="B4173" t="inlineStr">
        <is>
          <t>OPS</t>
        </is>
      </c>
      <c r="C4173" s="5" t="n">
        <v>46293</v>
      </c>
      <c r="D4173" t="inlineStr">
        <is>
          <t>Stripe patient 79942</t>
        </is>
      </c>
      <c r="E4173" t="inlineStr">
        <is>
          <t>INV/2026/05474</t>
        </is>
      </c>
      <c r="F4173" t="inlineStr">
        <is>
          <t>Customer payment INV/2026/05474</t>
        </is>
      </c>
      <c r="G4173" s="9" t="n">
        <v>135</v>
      </c>
      <c r="H4173" t="inlineStr">
        <is>
          <t>customer_payment</t>
        </is>
      </c>
      <c r="I4173" t="inlineStr"/>
      <c r="J4173" t="inlineStr">
        <is>
          <t>G00079</t>
        </is>
      </c>
      <c r="K4173" t="str">
        <f>INDEX('Match Groups'!$D$5:$D$1326,MATCH(J4173,'Match Groups'!$A$5:$A$1326,0))</f>
        <v>STRIPE-FEE</v>
      </c>
    </row>
    <row r="4174">
      <c r="A4174" t="inlineStr">
        <is>
          <t>JI-03634</t>
        </is>
      </c>
      <c r="B4174" t="inlineStr">
        <is>
          <t>OPS</t>
        </is>
      </c>
      <c r="C4174" s="5" t="n">
        <v>46293</v>
      </c>
      <c r="D4174" t="inlineStr">
        <is>
          <t>Stripe patient 56723</t>
        </is>
      </c>
      <c r="E4174" t="inlineStr">
        <is>
          <t>INV/2026/05475</t>
        </is>
      </c>
      <c r="F4174" t="inlineStr">
        <is>
          <t>Customer payment INV/2026/05475</t>
        </is>
      </c>
      <c r="G4174" s="9" t="n">
        <v>95</v>
      </c>
      <c r="H4174" t="inlineStr">
        <is>
          <t>customer_payment</t>
        </is>
      </c>
      <c r="I4174" t="inlineStr"/>
      <c r="J4174" t="inlineStr">
        <is>
          <t>G00079</t>
        </is>
      </c>
      <c r="K4174" t="str">
        <f>INDEX('Match Groups'!$D$5:$D$1326,MATCH(J4174,'Match Groups'!$A$5:$A$1326,0))</f>
        <v>STRIPE-FEE</v>
      </c>
    </row>
    <row r="4175">
      <c r="A4175" t="inlineStr">
        <is>
          <t>JI-03635</t>
        </is>
      </c>
      <c r="B4175" t="inlineStr">
        <is>
          <t>OPS</t>
        </is>
      </c>
      <c r="C4175" s="5" t="n">
        <v>46293</v>
      </c>
      <c r="D4175" t="inlineStr">
        <is>
          <t>Stripe patient 91022</t>
        </is>
      </c>
      <c r="E4175" t="inlineStr">
        <is>
          <t>INV/2026/05476</t>
        </is>
      </c>
      <c r="F4175" t="inlineStr">
        <is>
          <t>Customer payment INV/2026/05476</t>
        </is>
      </c>
      <c r="G4175" s="9" t="n">
        <v>65</v>
      </c>
      <c r="H4175" t="inlineStr">
        <is>
          <t>customer_payment</t>
        </is>
      </c>
      <c r="I4175" t="inlineStr"/>
      <c r="J4175" t="inlineStr">
        <is>
          <t>G00079</t>
        </is>
      </c>
      <c r="K4175" t="str">
        <f>INDEX('Match Groups'!$D$5:$D$1326,MATCH(J4175,'Match Groups'!$A$5:$A$1326,0))</f>
        <v>STRIPE-FEE</v>
      </c>
    </row>
    <row r="4176">
      <c r="A4176" t="inlineStr">
        <is>
          <t>JI-03636</t>
        </is>
      </c>
      <c r="B4176" t="inlineStr">
        <is>
          <t>OPS</t>
        </is>
      </c>
      <c r="C4176" s="5" t="n">
        <v>46293</v>
      </c>
      <c r="D4176" t="inlineStr">
        <is>
          <t>Stripe patient 97825</t>
        </is>
      </c>
      <c r="E4176" t="inlineStr">
        <is>
          <t>INV/2026/05477</t>
        </is>
      </c>
      <c r="F4176" t="inlineStr">
        <is>
          <t>Customer payment INV/2026/05477</t>
        </is>
      </c>
      <c r="G4176" s="9" t="n">
        <v>95</v>
      </c>
      <c r="H4176" t="inlineStr">
        <is>
          <t>customer_payment</t>
        </is>
      </c>
      <c r="I4176" t="inlineStr"/>
      <c r="J4176" t="inlineStr">
        <is>
          <t>G00079</t>
        </is>
      </c>
      <c r="K4176" t="str">
        <f>INDEX('Match Groups'!$D$5:$D$1326,MATCH(J4176,'Match Groups'!$A$5:$A$1326,0))</f>
        <v>STRIPE-FEE</v>
      </c>
    </row>
    <row r="4177">
      <c r="A4177" t="inlineStr">
        <is>
          <t>JI-03637</t>
        </is>
      </c>
      <c r="B4177" t="inlineStr">
        <is>
          <t>OPS</t>
        </is>
      </c>
      <c r="C4177" s="5" t="n">
        <v>46293</v>
      </c>
      <c r="D4177" t="inlineStr">
        <is>
          <t>Stripe patient 29049</t>
        </is>
      </c>
      <c r="E4177" t="inlineStr">
        <is>
          <t>INV/2026/05478</t>
        </is>
      </c>
      <c r="F4177" t="inlineStr">
        <is>
          <t>Customer payment INV/2026/05478</t>
        </is>
      </c>
      <c r="G4177" s="9" t="n">
        <v>150</v>
      </c>
      <c r="H4177" t="inlineStr">
        <is>
          <t>customer_payment</t>
        </is>
      </c>
      <c r="I4177" t="inlineStr"/>
      <c r="J4177" t="inlineStr">
        <is>
          <t>G00079</t>
        </is>
      </c>
      <c r="K4177" t="str">
        <f>INDEX('Match Groups'!$D$5:$D$1326,MATCH(J4177,'Match Groups'!$A$5:$A$1326,0))</f>
        <v>STRIPE-FEE</v>
      </c>
    </row>
    <row r="4178">
      <c r="A4178" t="inlineStr">
        <is>
          <t>JI-03638</t>
        </is>
      </c>
      <c r="B4178" t="inlineStr">
        <is>
          <t>OPS</t>
        </is>
      </c>
      <c r="C4178" s="5" t="n">
        <v>46293</v>
      </c>
      <c r="D4178" t="inlineStr">
        <is>
          <t>Stripe patient 22299</t>
        </is>
      </c>
      <c r="E4178" t="inlineStr">
        <is>
          <t>INV/2026/05479</t>
        </is>
      </c>
      <c r="F4178" t="inlineStr">
        <is>
          <t>Customer payment INV/2026/05479</t>
        </is>
      </c>
      <c r="G4178" s="9" t="n">
        <v>120</v>
      </c>
      <c r="H4178" t="inlineStr">
        <is>
          <t>customer_payment</t>
        </is>
      </c>
      <c r="I4178" t="inlineStr"/>
      <c r="J4178" t="inlineStr">
        <is>
          <t>G00079</t>
        </is>
      </c>
      <c r="K4178" t="str">
        <f>INDEX('Match Groups'!$D$5:$D$1326,MATCH(J4178,'Match Groups'!$A$5:$A$1326,0))</f>
        <v>STRIPE-FEE</v>
      </c>
    </row>
    <row r="4179">
      <c r="A4179" t="inlineStr">
        <is>
          <t>JI-03639</t>
        </is>
      </c>
      <c r="B4179" t="inlineStr">
        <is>
          <t>OPS</t>
        </is>
      </c>
      <c r="C4179" s="5" t="n">
        <v>46293</v>
      </c>
      <c r="D4179" t="inlineStr">
        <is>
          <t>Stripe patient 95703</t>
        </is>
      </c>
      <c r="E4179" t="inlineStr">
        <is>
          <t>INV/2026/05480</t>
        </is>
      </c>
      <c r="F4179" t="inlineStr">
        <is>
          <t>Customer payment INV/2026/05480</t>
        </is>
      </c>
      <c r="G4179" s="9" t="n">
        <v>95</v>
      </c>
      <c r="H4179" t="inlineStr">
        <is>
          <t>customer_payment</t>
        </is>
      </c>
      <c r="I4179" t="inlineStr"/>
      <c r="J4179" t="inlineStr">
        <is>
          <t>G00079</t>
        </is>
      </c>
      <c r="K4179" t="str">
        <f>INDEX('Match Groups'!$D$5:$D$1326,MATCH(J4179,'Match Groups'!$A$5:$A$1326,0))</f>
        <v>STRIPE-FEE</v>
      </c>
    </row>
    <row r="4180">
      <c r="A4180" t="inlineStr">
        <is>
          <t>JI-03640</t>
        </is>
      </c>
      <c r="B4180" t="inlineStr">
        <is>
          <t>OPS</t>
        </is>
      </c>
      <c r="C4180" s="5" t="n">
        <v>46293</v>
      </c>
      <c r="D4180" t="inlineStr">
        <is>
          <t>Stripe patient 80231</t>
        </is>
      </c>
      <c r="E4180" t="inlineStr">
        <is>
          <t>INV/2026/05481</t>
        </is>
      </c>
      <c r="F4180" t="inlineStr">
        <is>
          <t>Customer payment INV/2026/05481</t>
        </is>
      </c>
      <c r="G4180" s="9" t="n">
        <v>220</v>
      </c>
      <c r="H4180" t="inlineStr">
        <is>
          <t>customer_payment</t>
        </is>
      </c>
      <c r="I4180" t="inlineStr"/>
      <c r="J4180" t="inlineStr">
        <is>
          <t>G00079</t>
        </is>
      </c>
      <c r="K4180" t="str">
        <f>INDEX('Match Groups'!$D$5:$D$1326,MATCH(J4180,'Match Groups'!$A$5:$A$1326,0))</f>
        <v>STRIPE-FEE</v>
      </c>
    </row>
    <row r="4181">
      <c r="A4181" t="inlineStr">
        <is>
          <t>JI-03641</t>
        </is>
      </c>
      <c r="B4181" t="inlineStr">
        <is>
          <t>OPS</t>
        </is>
      </c>
      <c r="C4181" s="5" t="n">
        <v>46293</v>
      </c>
      <c r="D4181" t="inlineStr">
        <is>
          <t>Stripe patient 51043</t>
        </is>
      </c>
      <c r="E4181" t="inlineStr">
        <is>
          <t>INV/2026/05482</t>
        </is>
      </c>
      <c r="F4181" t="inlineStr">
        <is>
          <t>Customer payment INV/2026/05482</t>
        </is>
      </c>
      <c r="G4181" s="9" t="n">
        <v>135</v>
      </c>
      <c r="H4181" t="inlineStr">
        <is>
          <t>customer_payment</t>
        </is>
      </c>
      <c r="I4181" t="inlineStr"/>
      <c r="J4181" t="inlineStr">
        <is>
          <t>G00079</t>
        </is>
      </c>
      <c r="K4181" t="str">
        <f>INDEX('Match Groups'!$D$5:$D$1326,MATCH(J4181,'Match Groups'!$A$5:$A$1326,0))</f>
        <v>STRIPE-FEE</v>
      </c>
    </row>
    <row r="4182">
      <c r="A4182" t="inlineStr">
        <is>
          <t>JI-03642</t>
        </is>
      </c>
      <c r="B4182" t="inlineStr">
        <is>
          <t>OPS</t>
        </is>
      </c>
      <c r="C4182" s="5" t="n">
        <v>46293</v>
      </c>
      <c r="D4182" t="inlineStr">
        <is>
          <t>Stripe patient 31220</t>
        </is>
      </c>
      <c r="E4182" t="inlineStr">
        <is>
          <t>INV/2026/05483</t>
        </is>
      </c>
      <c r="F4182" t="inlineStr">
        <is>
          <t>Customer payment INV/2026/05483</t>
        </is>
      </c>
      <c r="G4182" s="9" t="n">
        <v>220</v>
      </c>
      <c r="H4182" t="inlineStr">
        <is>
          <t>customer_payment</t>
        </is>
      </c>
      <c r="I4182" t="inlineStr"/>
      <c r="J4182" t="inlineStr">
        <is>
          <t>G00079</t>
        </is>
      </c>
      <c r="K4182" t="str">
        <f>INDEX('Match Groups'!$D$5:$D$1326,MATCH(J4182,'Match Groups'!$A$5:$A$1326,0))</f>
        <v>STRIPE-FEE</v>
      </c>
    </row>
    <row r="4183">
      <c r="A4183" t="inlineStr">
        <is>
          <t>JI-03643</t>
        </is>
      </c>
      <c r="B4183" t="inlineStr">
        <is>
          <t>OPS</t>
        </is>
      </c>
      <c r="C4183" s="5" t="n">
        <v>46293</v>
      </c>
      <c r="D4183" t="inlineStr">
        <is>
          <t>Stripe patient 96855</t>
        </is>
      </c>
      <c r="E4183" t="inlineStr">
        <is>
          <t>INV/2026/05484</t>
        </is>
      </c>
      <c r="F4183" t="inlineStr">
        <is>
          <t>Customer payment INV/2026/05484</t>
        </is>
      </c>
      <c r="G4183" s="9" t="n">
        <v>135</v>
      </c>
      <c r="H4183" t="inlineStr">
        <is>
          <t>customer_payment</t>
        </is>
      </c>
      <c r="I4183" t="inlineStr"/>
      <c r="J4183" t="inlineStr">
        <is>
          <t>G00079</t>
        </is>
      </c>
      <c r="K4183" t="str">
        <f>INDEX('Match Groups'!$D$5:$D$1326,MATCH(J4183,'Match Groups'!$A$5:$A$1326,0))</f>
        <v>STRIPE-FEE</v>
      </c>
    </row>
    <row r="4184">
      <c r="A4184" t="inlineStr">
        <is>
          <t>JI-03644</t>
        </is>
      </c>
      <c r="B4184" t="inlineStr">
        <is>
          <t>OPS</t>
        </is>
      </c>
      <c r="C4184" s="5" t="n">
        <v>46293</v>
      </c>
      <c r="D4184" t="inlineStr">
        <is>
          <t>Stripe patient 14853</t>
        </is>
      </c>
      <c r="E4184" t="inlineStr">
        <is>
          <t>INV/2026/05485</t>
        </is>
      </c>
      <c r="F4184" t="inlineStr">
        <is>
          <t>Customer payment INV/2026/05485</t>
        </is>
      </c>
      <c r="G4184" s="9" t="n">
        <v>220</v>
      </c>
      <c r="H4184" t="inlineStr">
        <is>
          <t>customer_payment</t>
        </is>
      </c>
      <c r="I4184" t="inlineStr"/>
      <c r="J4184" t="inlineStr">
        <is>
          <t>G00079</t>
        </is>
      </c>
      <c r="K4184" t="str">
        <f>INDEX('Match Groups'!$D$5:$D$1326,MATCH(J4184,'Match Groups'!$A$5:$A$1326,0))</f>
        <v>STRIPE-FEE</v>
      </c>
    </row>
    <row r="4185">
      <c r="A4185" t="inlineStr">
        <is>
          <t>JI-03919</t>
        </is>
      </c>
      <c r="B4185" t="inlineStr">
        <is>
          <t>OPS</t>
        </is>
      </c>
      <c r="C4185" s="5" t="n">
        <v>46293</v>
      </c>
      <c r="D4185" t="inlineStr">
        <is>
          <t>Equipment Finance Co</t>
        </is>
      </c>
      <c r="E4185" t="inlineStr">
        <is>
          <t>LOAN-09</t>
        </is>
      </c>
      <c r="F4185" t="inlineStr">
        <is>
          <t>Equipment loan repayment</t>
        </is>
      </c>
      <c r="G4185" s="9" t="n">
        <v>-4416.75</v>
      </c>
      <c r="H4185" t="inlineStr">
        <is>
          <t>entry</t>
        </is>
      </c>
      <c r="I4185" t="inlineStr"/>
      <c r="J4185" t="inlineStr">
        <is>
          <t>G01167</t>
        </is>
      </c>
      <c r="K4185" t="str">
        <f>INDEX('Match Groups'!$D$5:$D$1326,MATCH(J4185,'Match Groups'!$A$5:$A$1326,0))</f>
        <v>MATCH</v>
      </c>
    </row>
    <row r="4186">
      <c r="A4186" t="inlineStr">
        <is>
          <t>JI-04307</t>
        </is>
      </c>
      <c r="B4186" t="inlineStr">
        <is>
          <t>OPS</t>
        </is>
      </c>
      <c r="C4186" s="5" t="n">
        <v>46293</v>
      </c>
      <c r="D4186" t="inlineStr">
        <is>
          <t>Internal transfer</t>
        </is>
      </c>
      <c r="E4186" t="inlineStr">
        <is>
          <t>SWEEP 2809</t>
        </is>
      </c>
      <c r="F4186" t="inlineStr">
        <is>
          <t>Sweep from merchant account</t>
        </is>
      </c>
      <c r="G4186" s="9" t="n">
        <v>34000</v>
      </c>
      <c r="H4186" t="inlineStr">
        <is>
          <t>transfer</t>
        </is>
      </c>
      <c r="I4186" t="inlineStr"/>
      <c r="J4186" t="inlineStr">
        <is>
          <t>G00547</t>
        </is>
      </c>
      <c r="K4186" t="str">
        <f>INDEX('Match Groups'!$D$5:$D$1326,MATCH(J4186,'Match Groups'!$A$5:$A$1326,0))</f>
        <v>MATCH</v>
      </c>
    </row>
    <row r="4187">
      <c r="A4187" t="inlineStr">
        <is>
          <t>JI-01518</t>
        </is>
      </c>
      <c r="B4187" t="inlineStr">
        <is>
          <t>OPS</t>
        </is>
      </c>
      <c r="C4187" s="5" t="n">
        <v>46294</v>
      </c>
      <c r="D4187" t="inlineStr">
        <is>
          <t>Riverbend Plan Partners</t>
        </is>
      </c>
      <c r="E4187" t="inlineStr">
        <is>
          <t>INV/2026/03240</t>
        </is>
      </c>
      <c r="F4187" t="inlineStr">
        <is>
          <t>Customer payment INV/2026/03240</t>
        </is>
      </c>
      <c r="G4187" s="9" t="n">
        <v>290.98</v>
      </c>
      <c r="H4187" t="inlineStr">
        <is>
          <t>customer_payment</t>
        </is>
      </c>
      <c r="I4187" t="inlineStr"/>
      <c r="J4187" t="inlineStr">
        <is>
          <t>G00495</t>
        </is>
      </c>
      <c r="K4187" t="str">
        <f>INDEX('Match Groups'!$D$5:$D$1326,MATCH(J4187,'Match Groups'!$A$5:$A$1326,0))</f>
        <v>MATCH</v>
      </c>
    </row>
    <row r="4188">
      <c r="A4188" t="inlineStr">
        <is>
          <t>JI-01519</t>
        </is>
      </c>
      <c r="B4188" t="inlineStr">
        <is>
          <t>OPS</t>
        </is>
      </c>
      <c r="C4188" s="5" t="n">
        <v>46294</v>
      </c>
      <c r="D4188" t="inlineStr">
        <is>
          <t>Riverbend Plan Partners</t>
        </is>
      </c>
      <c r="E4188" t="inlineStr">
        <is>
          <t>INV/2026/03297</t>
        </is>
      </c>
      <c r="F4188" t="inlineStr">
        <is>
          <t>Customer payment INV/2026/03297</t>
        </is>
      </c>
      <c r="G4188" s="9" t="n">
        <v>290.98</v>
      </c>
      <c r="H4188" t="inlineStr">
        <is>
          <t>customer_payment</t>
        </is>
      </c>
      <c r="I4188" t="inlineStr"/>
      <c r="J4188" t="inlineStr">
        <is>
          <t>G00495</t>
        </is>
      </c>
      <c r="K4188" t="str">
        <f>INDEX('Match Groups'!$D$5:$D$1326,MATCH(J4188,'Match Groups'!$A$5:$A$1326,0))</f>
        <v>MATCH</v>
      </c>
    </row>
    <row r="4189">
      <c r="A4189" t="inlineStr">
        <is>
          <t>JI-01520</t>
        </is>
      </c>
      <c r="B4189" t="inlineStr">
        <is>
          <t>OPS</t>
        </is>
      </c>
      <c r="C4189" s="5" t="n">
        <v>46294</v>
      </c>
      <c r="D4189" t="inlineStr">
        <is>
          <t>Riverbend Plan Partners</t>
        </is>
      </c>
      <c r="E4189" t="inlineStr">
        <is>
          <t>INV/2026/03320</t>
        </is>
      </c>
      <c r="F4189" t="inlineStr">
        <is>
          <t>Customer payment INV/2026/03320</t>
        </is>
      </c>
      <c r="G4189" s="9" t="n">
        <v>223.99</v>
      </c>
      <c r="H4189" t="inlineStr">
        <is>
          <t>customer_payment</t>
        </is>
      </c>
      <c r="I4189" t="inlineStr"/>
      <c r="J4189" t="inlineStr">
        <is>
          <t>G00495</t>
        </is>
      </c>
      <c r="K4189" t="str">
        <f>INDEX('Match Groups'!$D$5:$D$1326,MATCH(J4189,'Match Groups'!$A$5:$A$1326,0))</f>
        <v>MATCH</v>
      </c>
    </row>
    <row r="4190">
      <c r="A4190" t="inlineStr">
        <is>
          <t>JI-01521</t>
        </is>
      </c>
      <c r="B4190" t="inlineStr">
        <is>
          <t>OPS</t>
        </is>
      </c>
      <c r="C4190" s="5" t="n">
        <v>46294</v>
      </c>
      <c r="D4190" t="inlineStr">
        <is>
          <t>Wattle Plan Services</t>
        </is>
      </c>
      <c r="E4190" t="inlineStr">
        <is>
          <t>INV/2026/03258</t>
        </is>
      </c>
      <c r="F4190" t="inlineStr">
        <is>
          <t>Customer payment INV/2026/03258</t>
        </is>
      </c>
      <c r="G4190" s="9" t="n">
        <v>387.98</v>
      </c>
      <c r="H4190" t="inlineStr">
        <is>
          <t>customer_payment</t>
        </is>
      </c>
      <c r="I4190" t="inlineStr"/>
      <c r="J4190" t="inlineStr">
        <is>
          <t>G00496</t>
        </is>
      </c>
      <c r="K4190" t="str">
        <f>INDEX('Match Groups'!$D$5:$D$1326,MATCH(J4190,'Match Groups'!$A$5:$A$1326,0))</f>
        <v>MATCH</v>
      </c>
    </row>
    <row r="4191">
      <c r="A4191" t="inlineStr">
        <is>
          <t>JI-01522</t>
        </is>
      </c>
      <c r="B4191" t="inlineStr">
        <is>
          <t>OPS</t>
        </is>
      </c>
      <c r="C4191" s="5" t="n">
        <v>46294</v>
      </c>
      <c r="D4191" t="inlineStr">
        <is>
          <t>Wattle Plan Services</t>
        </is>
      </c>
      <c r="E4191" t="inlineStr">
        <is>
          <t>INV/2026/03259</t>
        </is>
      </c>
      <c r="F4191" t="inlineStr">
        <is>
          <t>Customer payment INV/2026/03259</t>
        </is>
      </c>
      <c r="G4191" s="9" t="n">
        <v>203.69</v>
      </c>
      <c r="H4191" t="inlineStr">
        <is>
          <t>customer_payment</t>
        </is>
      </c>
      <c r="I4191" t="inlineStr"/>
      <c r="J4191" t="inlineStr">
        <is>
          <t>G00496</t>
        </is>
      </c>
      <c r="K4191" t="str">
        <f>INDEX('Match Groups'!$D$5:$D$1326,MATCH(J4191,'Match Groups'!$A$5:$A$1326,0))</f>
        <v>MATCH</v>
      </c>
    </row>
    <row r="4192">
      <c r="A4192" t="inlineStr">
        <is>
          <t>JI-01523</t>
        </is>
      </c>
      <c r="B4192" t="inlineStr">
        <is>
          <t>OPS</t>
        </is>
      </c>
      <c r="C4192" s="5" t="n">
        <v>46294</v>
      </c>
      <c r="D4192" t="inlineStr">
        <is>
          <t>Wattle Plan Services</t>
        </is>
      </c>
      <c r="E4192" t="inlineStr">
        <is>
          <t>INV/2026/03260</t>
        </is>
      </c>
      <c r="F4192" t="inlineStr">
        <is>
          <t>Customer payment INV/2026/03260</t>
        </is>
      </c>
      <c r="G4192" s="9" t="n">
        <v>155.19</v>
      </c>
      <c r="H4192" t="inlineStr">
        <is>
          <t>customer_payment</t>
        </is>
      </c>
      <c r="I4192" t="inlineStr"/>
      <c r="J4192" t="inlineStr">
        <is>
          <t>G00496</t>
        </is>
      </c>
      <c r="K4192" t="str">
        <f>INDEX('Match Groups'!$D$5:$D$1326,MATCH(J4192,'Match Groups'!$A$5:$A$1326,0))</f>
        <v>MATCH</v>
      </c>
    </row>
    <row r="4193">
      <c r="A4193" t="inlineStr">
        <is>
          <t>JI-01524</t>
        </is>
      </c>
      <c r="B4193" t="inlineStr">
        <is>
          <t>OPS</t>
        </is>
      </c>
      <c r="C4193" s="5" t="n">
        <v>46294</v>
      </c>
      <c r="D4193" t="inlineStr">
        <is>
          <t>Wattle Plan Services</t>
        </is>
      </c>
      <c r="E4193" t="inlineStr">
        <is>
          <t>INV/2026/03283</t>
        </is>
      </c>
      <c r="F4193" t="inlineStr">
        <is>
          <t>Customer payment INV/2026/03283</t>
        </is>
      </c>
      <c r="G4193" s="9" t="n">
        <v>96.98999999999999</v>
      </c>
      <c r="H4193" t="inlineStr">
        <is>
          <t>customer_payment</t>
        </is>
      </c>
      <c r="I4193" t="inlineStr"/>
      <c r="J4193" t="inlineStr">
        <is>
          <t>G00496</t>
        </is>
      </c>
      <c r="K4193" t="str">
        <f>INDEX('Match Groups'!$D$5:$D$1326,MATCH(J4193,'Match Groups'!$A$5:$A$1326,0))</f>
        <v>MATCH</v>
      </c>
    </row>
    <row r="4194">
      <c r="A4194" t="inlineStr">
        <is>
          <t>JI-01525</t>
        </is>
      </c>
      <c r="B4194" t="inlineStr">
        <is>
          <t>OPS</t>
        </is>
      </c>
      <c r="C4194" s="5" t="n">
        <v>46294</v>
      </c>
      <c r="D4194" t="inlineStr">
        <is>
          <t>Wattle Plan Services</t>
        </is>
      </c>
      <c r="E4194" t="inlineStr">
        <is>
          <t>INV/2026/03302</t>
        </is>
      </c>
      <c r="F4194" t="inlineStr">
        <is>
          <t>Customer payment INV/2026/03302</t>
        </is>
      </c>
      <c r="G4194" s="9" t="n">
        <v>145.49</v>
      </c>
      <c r="H4194" t="inlineStr">
        <is>
          <t>customer_payment</t>
        </is>
      </c>
      <c r="I4194" t="inlineStr"/>
      <c r="J4194" t="inlineStr">
        <is>
          <t>G00496</t>
        </is>
      </c>
      <c r="K4194" t="str">
        <f>INDEX('Match Groups'!$D$5:$D$1326,MATCH(J4194,'Match Groups'!$A$5:$A$1326,0))</f>
        <v>MATCH</v>
      </c>
    </row>
    <row r="4195">
      <c r="A4195" t="inlineStr">
        <is>
          <t>JI-01526</t>
        </is>
      </c>
      <c r="B4195" t="inlineStr">
        <is>
          <t>OPS</t>
        </is>
      </c>
      <c r="C4195" s="5" t="n">
        <v>46294</v>
      </c>
      <c r="D4195" t="inlineStr">
        <is>
          <t>Lyrebird Plan Management</t>
        </is>
      </c>
      <c r="E4195" t="inlineStr">
        <is>
          <t>INV/2026/03248</t>
        </is>
      </c>
      <c r="F4195" t="inlineStr">
        <is>
          <t>Customer payment INV/2026/03248</t>
        </is>
      </c>
      <c r="G4195" s="9" t="n">
        <v>193.99</v>
      </c>
      <c r="H4195" t="inlineStr">
        <is>
          <t>customer_payment</t>
        </is>
      </c>
      <c r="I4195" t="inlineStr"/>
      <c r="J4195" t="inlineStr">
        <is>
          <t>G00497</t>
        </is>
      </c>
      <c r="K4195" t="str">
        <f>INDEX('Match Groups'!$D$5:$D$1326,MATCH(J4195,'Match Groups'!$A$5:$A$1326,0))</f>
        <v>MATCH</v>
      </c>
    </row>
    <row r="4196">
      <c r="A4196" t="inlineStr">
        <is>
          <t>JI-01527</t>
        </is>
      </c>
      <c r="B4196" t="inlineStr">
        <is>
          <t>OPS</t>
        </is>
      </c>
      <c r="C4196" s="5" t="n">
        <v>46294</v>
      </c>
      <c r="D4196" t="inlineStr">
        <is>
          <t>Tallowwood Plans</t>
        </is>
      </c>
      <c r="E4196" t="inlineStr">
        <is>
          <t>INV/2026/03291</t>
        </is>
      </c>
      <c r="F4196" t="inlineStr">
        <is>
          <t>Customer payment INV/2026/03291</t>
        </is>
      </c>
      <c r="G4196" s="9" t="n">
        <v>96.98999999999999</v>
      </c>
      <c r="H4196" t="inlineStr">
        <is>
          <t>customer_payment</t>
        </is>
      </c>
      <c r="I4196" t="inlineStr"/>
      <c r="J4196" t="inlineStr">
        <is>
          <t>G00498</t>
        </is>
      </c>
      <c r="K4196" t="str">
        <f>INDEX('Match Groups'!$D$5:$D$1326,MATCH(J4196,'Match Groups'!$A$5:$A$1326,0))</f>
        <v>MATCH</v>
      </c>
    </row>
    <row r="4197">
      <c r="A4197" t="inlineStr">
        <is>
          <t>JI-01528</t>
        </is>
      </c>
      <c r="B4197" t="inlineStr">
        <is>
          <t>OPS</t>
        </is>
      </c>
      <c r="C4197" s="5" t="n">
        <v>46294</v>
      </c>
      <c r="D4197" t="inlineStr">
        <is>
          <t>Tallowwood Plans</t>
        </is>
      </c>
      <c r="E4197" t="inlineStr">
        <is>
          <t>INV/2026/03311</t>
        </is>
      </c>
      <c r="F4197" t="inlineStr">
        <is>
          <t>Customer payment INV/2026/03311</t>
        </is>
      </c>
      <c r="G4197" s="9" t="n">
        <v>290.98</v>
      </c>
      <c r="H4197" t="inlineStr">
        <is>
          <t>customer_payment</t>
        </is>
      </c>
      <c r="I4197" t="inlineStr"/>
      <c r="J4197" t="inlineStr">
        <is>
          <t>G00498</t>
        </is>
      </c>
      <c r="K4197" t="str">
        <f>INDEX('Match Groups'!$D$5:$D$1326,MATCH(J4197,'Match Groups'!$A$5:$A$1326,0))</f>
        <v>MATCH</v>
      </c>
    </row>
    <row r="4198">
      <c r="A4198" t="inlineStr">
        <is>
          <t>JI-01529</t>
        </is>
      </c>
      <c r="B4198" t="inlineStr">
        <is>
          <t>OPS</t>
        </is>
      </c>
      <c r="C4198" s="5" t="n">
        <v>46294</v>
      </c>
      <c r="D4198" t="inlineStr">
        <is>
          <t>Tallowwood Plans</t>
        </is>
      </c>
      <c r="E4198" t="inlineStr">
        <is>
          <t>INV/2026/03335</t>
        </is>
      </c>
      <c r="F4198" t="inlineStr">
        <is>
          <t>Customer payment INV/2026/03335</t>
        </is>
      </c>
      <c r="G4198" s="9" t="n">
        <v>242.49</v>
      </c>
      <c r="H4198" t="inlineStr">
        <is>
          <t>customer_payment</t>
        </is>
      </c>
      <c r="I4198" t="inlineStr"/>
      <c r="J4198" t="inlineStr">
        <is>
          <t>G00498</t>
        </is>
      </c>
      <c r="K4198" t="str">
        <f>INDEX('Match Groups'!$D$5:$D$1326,MATCH(J4198,'Match Groups'!$A$5:$A$1326,0))</f>
        <v>MATCH</v>
      </c>
    </row>
    <row r="4199">
      <c r="A4199" t="inlineStr">
        <is>
          <t>JI-01587</t>
        </is>
      </c>
      <c r="B4199" t="inlineStr">
        <is>
          <t>OPS</t>
        </is>
      </c>
      <c r="C4199" s="5" t="n">
        <v>46294</v>
      </c>
      <c r="D4199" t="inlineStr">
        <is>
          <t>Unity Workcover Agents</t>
        </is>
      </c>
      <c r="E4199" t="inlineStr">
        <is>
          <t>INV/2026/03171</t>
        </is>
      </c>
      <c r="F4199" t="inlineStr">
        <is>
          <t>Customer payment INV/2026/03171</t>
        </is>
      </c>
      <c r="G4199" s="9" t="n">
        <v>264</v>
      </c>
      <c r="H4199" t="inlineStr">
        <is>
          <t>customer_payment</t>
        </is>
      </c>
      <c r="I4199" t="inlineStr"/>
      <c r="J4199" t="inlineStr">
        <is>
          <t>G01094</t>
        </is>
      </c>
      <c r="K4199" t="str">
        <f>INDEX('Match Groups'!$D$5:$D$1326,MATCH(J4199,'Match Groups'!$A$5:$A$1326,0))</f>
        <v>MATCH</v>
      </c>
    </row>
    <row r="4200">
      <c r="A4200" t="inlineStr">
        <is>
          <t>JI-01721</t>
        </is>
      </c>
      <c r="B4200" t="inlineStr">
        <is>
          <t>OPS</t>
        </is>
      </c>
      <c r="C4200" s="5" t="n">
        <v>46294</v>
      </c>
      <c r="D4200" t="inlineStr">
        <is>
          <t>Elmhurst Property Group</t>
        </is>
      </c>
      <c r="E4200" t="inlineStr">
        <is>
          <t>INV/2026/03600</t>
        </is>
      </c>
      <c r="F4200" t="inlineStr">
        <is>
          <t>Customer payment INV/2026/03600</t>
        </is>
      </c>
      <c r="G4200" s="9" t="n">
        <v>2640</v>
      </c>
      <c r="H4200" t="inlineStr">
        <is>
          <t>customer_payment</t>
        </is>
      </c>
      <c r="I4200" t="inlineStr"/>
      <c r="J4200" t="inlineStr">
        <is>
          <t>G01096</t>
        </is>
      </c>
      <c r="K4200" t="str">
        <f>INDEX('Match Groups'!$D$5:$D$1326,MATCH(J4200,'Match Groups'!$A$5:$A$1326,0))</f>
        <v>MATCH</v>
      </c>
    </row>
    <row r="4201">
      <c r="A4201" t="inlineStr">
        <is>
          <t>JI-01734</t>
        </is>
      </c>
      <c r="B4201" t="inlineStr">
        <is>
          <t>OPS</t>
        </is>
      </c>
      <c r="C4201" s="5" t="n">
        <v>46294</v>
      </c>
      <c r="D4201" t="inlineStr">
        <is>
          <t>Inglewood Cold Storage</t>
        </is>
      </c>
      <c r="E4201" t="inlineStr">
        <is>
          <t>INV/2026/03554</t>
        </is>
      </c>
      <c r="F4201" t="inlineStr">
        <is>
          <t>Customer payment INV/2026/03554</t>
        </is>
      </c>
      <c r="G4201" s="9" t="n">
        <v>6820</v>
      </c>
      <c r="H4201" t="inlineStr">
        <is>
          <t>customer_payment</t>
        </is>
      </c>
      <c r="I4201" t="inlineStr"/>
      <c r="J4201" t="inlineStr">
        <is>
          <t>G01169</t>
        </is>
      </c>
      <c r="K4201" t="str">
        <f>INDEX('Match Groups'!$D$5:$D$1326,MATCH(J4201,'Match Groups'!$A$5:$A$1326,0))</f>
        <v>MATCH</v>
      </c>
    </row>
    <row r="4202">
      <c r="A4202" t="inlineStr">
        <is>
          <t>JI-01740</t>
        </is>
      </c>
      <c r="B4202" t="inlineStr">
        <is>
          <t>OPS</t>
        </is>
      </c>
      <c r="C4202" s="5" t="n">
        <v>46294</v>
      </c>
      <c r="D4202" t="inlineStr">
        <is>
          <t>Jarrah Ridge Estates</t>
        </is>
      </c>
      <c r="E4202" t="inlineStr">
        <is>
          <t>INV/2026/03607</t>
        </is>
      </c>
      <c r="F4202" t="inlineStr">
        <is>
          <t>Customer payment INV/2026/03607</t>
        </is>
      </c>
      <c r="G4202" s="9" t="n">
        <v>2035</v>
      </c>
      <c r="H4202" t="inlineStr">
        <is>
          <t>customer_payment</t>
        </is>
      </c>
      <c r="I4202" t="inlineStr"/>
      <c r="J4202" t="inlineStr">
        <is>
          <t>G01097</t>
        </is>
      </c>
      <c r="K4202" t="str">
        <f>INDEX('Match Groups'!$D$5:$D$1326,MATCH(J4202,'Match Groups'!$A$5:$A$1326,0))</f>
        <v>MATCH</v>
      </c>
    </row>
    <row r="4203">
      <c r="A4203" t="inlineStr">
        <is>
          <t>JI-01765</t>
        </is>
      </c>
      <c r="B4203" t="inlineStr">
        <is>
          <t>OPS</t>
        </is>
      </c>
      <c r="C4203" s="5" t="n">
        <v>46294</v>
      </c>
      <c r="D4203" t="inlineStr">
        <is>
          <t>Quarry Lane Concrete</t>
        </is>
      </c>
      <c r="E4203" t="inlineStr">
        <is>
          <t>INV/2026/03617</t>
        </is>
      </c>
      <c r="F4203" t="inlineStr">
        <is>
          <t>Customer payment INV/2026/03617</t>
        </is>
      </c>
      <c r="G4203" s="9" t="n">
        <v>16032.5</v>
      </c>
      <c r="H4203" t="inlineStr">
        <is>
          <t>customer_payment</t>
        </is>
      </c>
      <c r="I4203" t="inlineStr"/>
      <c r="J4203" t="inlineStr">
        <is>
          <t>G01168</t>
        </is>
      </c>
      <c r="K4203" t="str">
        <f>INDEX('Match Groups'!$D$5:$D$1326,MATCH(J4203,'Match Groups'!$A$5:$A$1326,0))</f>
        <v>MATCH</v>
      </c>
    </row>
    <row r="4204">
      <c r="A4204" t="inlineStr">
        <is>
          <t>JI-03645</t>
        </is>
      </c>
      <c r="B4204" t="inlineStr">
        <is>
          <t>OPS</t>
        </is>
      </c>
      <c r="C4204" s="5" t="n">
        <v>46294</v>
      </c>
      <c r="D4204" t="inlineStr">
        <is>
          <t>Stripe patient 60443</t>
        </is>
      </c>
      <c r="E4204" t="inlineStr">
        <is>
          <t>INV/2026/05486</t>
        </is>
      </c>
      <c r="F4204" t="inlineStr">
        <is>
          <t>Customer payment INV/2026/05486</t>
        </is>
      </c>
      <c r="G4204" s="9" t="n">
        <v>180</v>
      </c>
      <c r="H4204" t="inlineStr">
        <is>
          <t>customer_payment</t>
        </is>
      </c>
      <c r="I4204" t="inlineStr"/>
      <c r="J4204" t="inlineStr">
        <is>
          <t>G01252</t>
        </is>
      </c>
      <c r="K4204" t="str">
        <f>INDEX('Match Groups'!$D$5:$D$1326,MATCH(J4204,'Match Groups'!$A$5:$A$1326,0))</f>
        <v>OUT</v>
      </c>
    </row>
    <row r="4205">
      <c r="A4205" t="inlineStr">
        <is>
          <t>JI-03646</t>
        </is>
      </c>
      <c r="B4205" t="inlineStr">
        <is>
          <t>OPS</t>
        </is>
      </c>
      <c r="C4205" s="5" t="n">
        <v>46294</v>
      </c>
      <c r="D4205" t="inlineStr">
        <is>
          <t>Stripe patient 12333</t>
        </is>
      </c>
      <c r="E4205" t="inlineStr">
        <is>
          <t>INV/2026/05487</t>
        </is>
      </c>
      <c r="F4205" t="inlineStr">
        <is>
          <t>Customer payment INV/2026/05487</t>
        </is>
      </c>
      <c r="G4205" s="9" t="n">
        <v>65</v>
      </c>
      <c r="H4205" t="inlineStr">
        <is>
          <t>customer_payment</t>
        </is>
      </c>
      <c r="I4205" t="inlineStr"/>
      <c r="J4205" t="inlineStr">
        <is>
          <t>G01253</t>
        </is>
      </c>
      <c r="K4205" t="str">
        <f>INDEX('Match Groups'!$D$5:$D$1326,MATCH(J4205,'Match Groups'!$A$5:$A$1326,0))</f>
        <v>OUT</v>
      </c>
    </row>
    <row r="4206">
      <c r="A4206" t="inlineStr">
        <is>
          <t>JI-03647</t>
        </is>
      </c>
      <c r="B4206" t="inlineStr">
        <is>
          <t>OPS</t>
        </is>
      </c>
      <c r="C4206" s="5" t="n">
        <v>46294</v>
      </c>
      <c r="D4206" t="inlineStr">
        <is>
          <t>Stripe patient 93890</t>
        </is>
      </c>
      <c r="E4206" t="inlineStr">
        <is>
          <t>INV/2026/05488</t>
        </is>
      </c>
      <c r="F4206" t="inlineStr">
        <is>
          <t>Customer payment INV/2026/05488</t>
        </is>
      </c>
      <c r="G4206" s="9" t="n">
        <v>110</v>
      </c>
      <c r="H4206" t="inlineStr">
        <is>
          <t>customer_payment</t>
        </is>
      </c>
      <c r="I4206" t="inlineStr"/>
      <c r="J4206" t="inlineStr">
        <is>
          <t>G01254</t>
        </is>
      </c>
      <c r="K4206" t="str">
        <f>INDEX('Match Groups'!$D$5:$D$1326,MATCH(J4206,'Match Groups'!$A$5:$A$1326,0))</f>
        <v>OUT</v>
      </c>
    </row>
    <row r="4207">
      <c r="A4207" t="inlineStr">
        <is>
          <t>JI-03648</t>
        </is>
      </c>
      <c r="B4207" t="inlineStr">
        <is>
          <t>OPS</t>
        </is>
      </c>
      <c r="C4207" s="5" t="n">
        <v>46294</v>
      </c>
      <c r="D4207" t="inlineStr">
        <is>
          <t>Stripe patient 76294</t>
        </is>
      </c>
      <c r="E4207" t="inlineStr">
        <is>
          <t>INV/2026/05489</t>
        </is>
      </c>
      <c r="F4207" t="inlineStr">
        <is>
          <t>Customer payment INV/2026/05489</t>
        </is>
      </c>
      <c r="G4207" s="9" t="n">
        <v>135</v>
      </c>
      <c r="H4207" t="inlineStr">
        <is>
          <t>customer_payment</t>
        </is>
      </c>
      <c r="I4207" t="inlineStr"/>
      <c r="J4207" t="inlineStr">
        <is>
          <t>G01255</t>
        </is>
      </c>
      <c r="K4207" t="str">
        <f>INDEX('Match Groups'!$D$5:$D$1326,MATCH(J4207,'Match Groups'!$A$5:$A$1326,0))</f>
        <v>OUT</v>
      </c>
    </row>
    <row r="4208">
      <c r="A4208" t="inlineStr">
        <is>
          <t>JI-03649</t>
        </is>
      </c>
      <c r="B4208" t="inlineStr">
        <is>
          <t>OPS</t>
        </is>
      </c>
      <c r="C4208" s="5" t="n">
        <v>46294</v>
      </c>
      <c r="D4208" t="inlineStr">
        <is>
          <t>Stripe patient 28779</t>
        </is>
      </c>
      <c r="E4208" t="inlineStr">
        <is>
          <t>INV/2026/05490</t>
        </is>
      </c>
      <c r="F4208" t="inlineStr">
        <is>
          <t>Customer payment INV/2026/05490</t>
        </is>
      </c>
      <c r="G4208" s="9" t="n">
        <v>135</v>
      </c>
      <c r="H4208" t="inlineStr">
        <is>
          <t>customer_payment</t>
        </is>
      </c>
      <c r="I4208" t="inlineStr"/>
      <c r="J4208" t="inlineStr">
        <is>
          <t>G01256</t>
        </is>
      </c>
      <c r="K4208" t="str">
        <f>INDEX('Match Groups'!$D$5:$D$1326,MATCH(J4208,'Match Groups'!$A$5:$A$1326,0))</f>
        <v>OUT</v>
      </c>
    </row>
    <row r="4209">
      <c r="A4209" t="inlineStr">
        <is>
          <t>JI-03650</t>
        </is>
      </c>
      <c r="B4209" t="inlineStr">
        <is>
          <t>OPS</t>
        </is>
      </c>
      <c r="C4209" s="5" t="n">
        <v>46294</v>
      </c>
      <c r="D4209" t="inlineStr">
        <is>
          <t>Stripe patient 64836</t>
        </is>
      </c>
      <c r="E4209" t="inlineStr">
        <is>
          <t>INV/2026/05491</t>
        </is>
      </c>
      <c r="F4209" t="inlineStr">
        <is>
          <t>Customer payment INV/2026/05491</t>
        </is>
      </c>
      <c r="G4209" s="9" t="n">
        <v>120</v>
      </c>
      <c r="H4209" t="inlineStr">
        <is>
          <t>customer_payment</t>
        </is>
      </c>
      <c r="I4209" t="inlineStr"/>
      <c r="J4209" t="inlineStr">
        <is>
          <t>G01257</t>
        </is>
      </c>
      <c r="K4209" t="str">
        <f>INDEX('Match Groups'!$D$5:$D$1326,MATCH(J4209,'Match Groups'!$A$5:$A$1326,0))</f>
        <v>OUT</v>
      </c>
    </row>
    <row r="4210">
      <c r="A4210" t="inlineStr">
        <is>
          <t>JI-03651</t>
        </is>
      </c>
      <c r="B4210" t="inlineStr">
        <is>
          <t>OPS</t>
        </is>
      </c>
      <c r="C4210" s="5" t="n">
        <v>46294</v>
      </c>
      <c r="D4210" t="inlineStr">
        <is>
          <t>Stripe patient 64588</t>
        </is>
      </c>
      <c r="E4210" t="inlineStr">
        <is>
          <t>INV/2026/05492</t>
        </is>
      </c>
      <c r="F4210" t="inlineStr">
        <is>
          <t>Customer payment INV/2026/05492</t>
        </is>
      </c>
      <c r="G4210" s="9" t="n">
        <v>110</v>
      </c>
      <c r="H4210" t="inlineStr">
        <is>
          <t>customer_payment</t>
        </is>
      </c>
      <c r="I4210" t="inlineStr"/>
      <c r="J4210" t="inlineStr">
        <is>
          <t>G01258</t>
        </is>
      </c>
      <c r="K4210" t="str">
        <f>INDEX('Match Groups'!$D$5:$D$1326,MATCH(J4210,'Match Groups'!$A$5:$A$1326,0))</f>
        <v>OUT</v>
      </c>
    </row>
    <row r="4211">
      <c r="A4211" t="inlineStr">
        <is>
          <t>JI-03652</t>
        </is>
      </c>
      <c r="B4211" t="inlineStr">
        <is>
          <t>OPS</t>
        </is>
      </c>
      <c r="C4211" s="5" t="n">
        <v>46294</v>
      </c>
      <c r="D4211" t="inlineStr">
        <is>
          <t>Stripe patient 23795</t>
        </is>
      </c>
      <c r="E4211" t="inlineStr">
        <is>
          <t>INV/2026/05493</t>
        </is>
      </c>
      <c r="F4211" t="inlineStr">
        <is>
          <t>Customer payment INV/2026/05493</t>
        </is>
      </c>
      <c r="G4211" s="9" t="n">
        <v>220</v>
      </c>
      <c r="H4211" t="inlineStr">
        <is>
          <t>customer_payment</t>
        </is>
      </c>
      <c r="I4211" t="inlineStr"/>
      <c r="J4211" t="inlineStr">
        <is>
          <t>G01259</t>
        </is>
      </c>
      <c r="K4211" t="str">
        <f>INDEX('Match Groups'!$D$5:$D$1326,MATCH(J4211,'Match Groups'!$A$5:$A$1326,0))</f>
        <v>OUT</v>
      </c>
    </row>
    <row r="4212">
      <c r="A4212" t="inlineStr">
        <is>
          <t>JI-03653</t>
        </is>
      </c>
      <c r="B4212" t="inlineStr">
        <is>
          <t>OPS</t>
        </is>
      </c>
      <c r="C4212" s="5" t="n">
        <v>46294</v>
      </c>
      <c r="D4212" t="inlineStr">
        <is>
          <t>Stripe patient 44891</t>
        </is>
      </c>
      <c r="E4212" t="inlineStr">
        <is>
          <t>INV/2026/05494</t>
        </is>
      </c>
      <c r="F4212" t="inlineStr">
        <is>
          <t>Customer payment INV/2026/05494</t>
        </is>
      </c>
      <c r="G4212" s="9" t="n">
        <v>120</v>
      </c>
      <c r="H4212" t="inlineStr">
        <is>
          <t>customer_payment</t>
        </is>
      </c>
      <c r="I4212" t="inlineStr"/>
      <c r="J4212" t="inlineStr">
        <is>
          <t>G01260</t>
        </is>
      </c>
      <c r="K4212" t="str">
        <f>INDEX('Match Groups'!$D$5:$D$1326,MATCH(J4212,'Match Groups'!$A$5:$A$1326,0))</f>
        <v>OUT</v>
      </c>
    </row>
    <row r="4213">
      <c r="A4213" t="inlineStr">
        <is>
          <t>JI-03654</t>
        </is>
      </c>
      <c r="B4213" t="inlineStr">
        <is>
          <t>OPS</t>
        </is>
      </c>
      <c r="C4213" s="5" t="n">
        <v>46294</v>
      </c>
      <c r="D4213" t="inlineStr">
        <is>
          <t>Stripe patient 36265</t>
        </is>
      </c>
      <c r="E4213" t="inlineStr">
        <is>
          <t>INV/2026/05495</t>
        </is>
      </c>
      <c r="F4213" t="inlineStr">
        <is>
          <t>Customer payment INV/2026/05495</t>
        </is>
      </c>
      <c r="G4213" s="9" t="n">
        <v>220</v>
      </c>
      <c r="H4213" t="inlineStr">
        <is>
          <t>customer_payment</t>
        </is>
      </c>
      <c r="I4213" t="inlineStr"/>
      <c r="J4213" t="inlineStr">
        <is>
          <t>G01261</t>
        </is>
      </c>
      <c r="K4213" t="str">
        <f>INDEX('Match Groups'!$D$5:$D$1326,MATCH(J4213,'Match Groups'!$A$5:$A$1326,0))</f>
        <v>OUT</v>
      </c>
    </row>
    <row r="4214">
      <c r="A4214" t="inlineStr">
        <is>
          <t>JI-03655</t>
        </is>
      </c>
      <c r="B4214" t="inlineStr">
        <is>
          <t>OPS</t>
        </is>
      </c>
      <c r="C4214" s="5" t="n">
        <v>46294</v>
      </c>
      <c r="D4214" t="inlineStr">
        <is>
          <t>Stripe patient 53799</t>
        </is>
      </c>
      <c r="E4214" t="inlineStr">
        <is>
          <t>INV/2026/05496</t>
        </is>
      </c>
      <c r="F4214" t="inlineStr">
        <is>
          <t>Customer payment INV/2026/05496</t>
        </is>
      </c>
      <c r="G4214" s="9" t="n">
        <v>220</v>
      </c>
      <c r="H4214" t="inlineStr">
        <is>
          <t>customer_payment</t>
        </is>
      </c>
      <c r="I4214" t="inlineStr"/>
      <c r="J4214" t="inlineStr">
        <is>
          <t>G01262</t>
        </is>
      </c>
      <c r="K4214" t="str">
        <f>INDEX('Match Groups'!$D$5:$D$1326,MATCH(J4214,'Match Groups'!$A$5:$A$1326,0))</f>
        <v>OUT</v>
      </c>
    </row>
    <row r="4215">
      <c r="A4215" t="inlineStr">
        <is>
          <t>JI-03656</t>
        </is>
      </c>
      <c r="B4215" t="inlineStr">
        <is>
          <t>OPS</t>
        </is>
      </c>
      <c r="C4215" s="5" t="n">
        <v>46294</v>
      </c>
      <c r="D4215" t="inlineStr">
        <is>
          <t>Stripe patient 23995</t>
        </is>
      </c>
      <c r="E4215" t="inlineStr">
        <is>
          <t>INV/2026/05497</t>
        </is>
      </c>
      <c r="F4215" t="inlineStr">
        <is>
          <t>Customer payment INV/2026/05497</t>
        </is>
      </c>
      <c r="G4215" s="9" t="n">
        <v>110</v>
      </c>
      <c r="H4215" t="inlineStr">
        <is>
          <t>customer_payment</t>
        </is>
      </c>
      <c r="I4215" t="inlineStr"/>
      <c r="J4215" t="inlineStr">
        <is>
          <t>G01263</t>
        </is>
      </c>
      <c r="K4215" t="str">
        <f>INDEX('Match Groups'!$D$5:$D$1326,MATCH(J4215,'Match Groups'!$A$5:$A$1326,0))</f>
        <v>OUT</v>
      </c>
    </row>
    <row r="4216">
      <c r="A4216" t="inlineStr">
        <is>
          <t>JI-03657</t>
        </is>
      </c>
      <c r="B4216" t="inlineStr">
        <is>
          <t>OPS</t>
        </is>
      </c>
      <c r="C4216" s="5" t="n">
        <v>46294</v>
      </c>
      <c r="D4216" t="inlineStr">
        <is>
          <t>Stripe patient 91471</t>
        </is>
      </c>
      <c r="E4216" t="inlineStr">
        <is>
          <t>INV/2026/05498</t>
        </is>
      </c>
      <c r="F4216" t="inlineStr">
        <is>
          <t>Customer payment INV/2026/05498</t>
        </is>
      </c>
      <c r="G4216" s="9" t="n">
        <v>180</v>
      </c>
      <c r="H4216" t="inlineStr">
        <is>
          <t>customer_payment</t>
        </is>
      </c>
      <c r="I4216" t="inlineStr"/>
      <c r="J4216" t="inlineStr">
        <is>
          <t>G01264</t>
        </is>
      </c>
      <c r="K4216" t="str">
        <f>INDEX('Match Groups'!$D$5:$D$1326,MATCH(J4216,'Match Groups'!$A$5:$A$1326,0))</f>
        <v>OUT</v>
      </c>
    </row>
    <row r="4217">
      <c r="A4217" t="inlineStr">
        <is>
          <t>JI-03658</t>
        </is>
      </c>
      <c r="B4217" t="inlineStr">
        <is>
          <t>OPS</t>
        </is>
      </c>
      <c r="C4217" s="5" t="n">
        <v>46294</v>
      </c>
      <c r="D4217" t="inlineStr">
        <is>
          <t>Stripe patient 94533</t>
        </is>
      </c>
      <c r="E4217" t="inlineStr">
        <is>
          <t>INV/2026/05499</t>
        </is>
      </c>
      <c r="F4217" t="inlineStr">
        <is>
          <t>Customer payment INV/2026/05499</t>
        </is>
      </c>
      <c r="G4217" s="9" t="n">
        <v>180</v>
      </c>
      <c r="H4217" t="inlineStr">
        <is>
          <t>customer_payment</t>
        </is>
      </c>
      <c r="I4217" t="inlineStr"/>
      <c r="J4217" t="inlineStr">
        <is>
          <t>G01265</t>
        </is>
      </c>
      <c r="K4217" t="str">
        <f>INDEX('Match Groups'!$D$5:$D$1326,MATCH(J4217,'Match Groups'!$A$5:$A$1326,0))</f>
        <v>OUT</v>
      </c>
    </row>
    <row r="4218">
      <c r="A4218" t="inlineStr">
        <is>
          <t>JI-03659</t>
        </is>
      </c>
      <c r="B4218" t="inlineStr">
        <is>
          <t>OPS</t>
        </is>
      </c>
      <c r="C4218" s="5" t="n">
        <v>46294</v>
      </c>
      <c r="D4218" t="inlineStr">
        <is>
          <t>Stripe patient 31092</t>
        </is>
      </c>
      <c r="E4218" t="inlineStr">
        <is>
          <t>INV/2026/05500</t>
        </is>
      </c>
      <c r="F4218" t="inlineStr">
        <is>
          <t>Customer payment INV/2026/05500</t>
        </is>
      </c>
      <c r="G4218" s="9" t="n">
        <v>120</v>
      </c>
      <c r="H4218" t="inlineStr">
        <is>
          <t>customer_payment</t>
        </is>
      </c>
      <c r="I4218" t="inlineStr"/>
      <c r="J4218" t="inlineStr">
        <is>
          <t>G01266</t>
        </is>
      </c>
      <c r="K4218" t="str">
        <f>INDEX('Match Groups'!$D$5:$D$1326,MATCH(J4218,'Match Groups'!$A$5:$A$1326,0))</f>
        <v>OUT</v>
      </c>
    </row>
    <row r="4219">
      <c r="A4219" t="inlineStr">
        <is>
          <t>JI-03660</t>
        </is>
      </c>
      <c r="B4219" t="inlineStr">
        <is>
          <t>OPS</t>
        </is>
      </c>
      <c r="C4219" s="5" t="n">
        <v>46294</v>
      </c>
      <c r="D4219" t="inlineStr">
        <is>
          <t>Stripe patient 68059</t>
        </is>
      </c>
      <c r="E4219" t="inlineStr">
        <is>
          <t>INV/2026/05501</t>
        </is>
      </c>
      <c r="F4219" t="inlineStr">
        <is>
          <t>Customer payment INV/2026/05501</t>
        </is>
      </c>
      <c r="G4219" s="9" t="n">
        <v>180</v>
      </c>
      <c r="H4219" t="inlineStr">
        <is>
          <t>customer_payment</t>
        </is>
      </c>
      <c r="I4219" t="inlineStr"/>
      <c r="J4219" t="inlineStr">
        <is>
          <t>G01267</t>
        </is>
      </c>
      <c r="K4219" t="str">
        <f>INDEX('Match Groups'!$D$5:$D$1326,MATCH(J4219,'Match Groups'!$A$5:$A$1326,0))</f>
        <v>OUT</v>
      </c>
    </row>
    <row r="4220">
      <c r="A4220" t="inlineStr">
        <is>
          <t>JI-03661</t>
        </is>
      </c>
      <c r="B4220" t="inlineStr">
        <is>
          <t>OPS</t>
        </is>
      </c>
      <c r="C4220" s="5" t="n">
        <v>46294</v>
      </c>
      <c r="D4220" t="inlineStr">
        <is>
          <t>Stripe patient 87766</t>
        </is>
      </c>
      <c r="E4220" t="inlineStr">
        <is>
          <t>INV/2026/05502</t>
        </is>
      </c>
      <c r="F4220" t="inlineStr">
        <is>
          <t>Customer payment INV/2026/05502</t>
        </is>
      </c>
      <c r="G4220" s="9" t="n">
        <v>95</v>
      </c>
      <c r="H4220" t="inlineStr">
        <is>
          <t>customer_payment</t>
        </is>
      </c>
      <c r="I4220" t="inlineStr"/>
      <c r="J4220" t="inlineStr">
        <is>
          <t>G01268</t>
        </is>
      </c>
      <c r="K4220" t="str">
        <f>INDEX('Match Groups'!$D$5:$D$1326,MATCH(J4220,'Match Groups'!$A$5:$A$1326,0))</f>
        <v>OUT</v>
      </c>
    </row>
    <row r="4221">
      <c r="A4221" t="inlineStr">
        <is>
          <t>JI-03662</t>
        </is>
      </c>
      <c r="B4221" t="inlineStr">
        <is>
          <t>OPS</t>
        </is>
      </c>
      <c r="C4221" s="5" t="n">
        <v>46294</v>
      </c>
      <c r="D4221" t="inlineStr">
        <is>
          <t>Stripe patient 13079</t>
        </is>
      </c>
      <c r="E4221" t="inlineStr">
        <is>
          <t>INV/2026/05503</t>
        </is>
      </c>
      <c r="F4221" t="inlineStr">
        <is>
          <t>Customer payment INV/2026/05503</t>
        </is>
      </c>
      <c r="G4221" s="9" t="n">
        <v>220</v>
      </c>
      <c r="H4221" t="inlineStr">
        <is>
          <t>customer_payment</t>
        </is>
      </c>
      <c r="I4221" t="inlineStr"/>
      <c r="J4221" t="inlineStr">
        <is>
          <t>G01269</t>
        </is>
      </c>
      <c r="K4221" t="str">
        <f>INDEX('Match Groups'!$D$5:$D$1326,MATCH(J4221,'Match Groups'!$A$5:$A$1326,0))</f>
        <v>OUT</v>
      </c>
    </row>
    <row r="4222">
      <c r="A4222" t="inlineStr">
        <is>
          <t>JI-03663</t>
        </is>
      </c>
      <c r="B4222" t="inlineStr">
        <is>
          <t>OPS</t>
        </is>
      </c>
      <c r="C4222" s="5" t="n">
        <v>46294</v>
      </c>
      <c r="D4222" t="inlineStr">
        <is>
          <t>Stripe patient 66154</t>
        </is>
      </c>
      <c r="E4222" t="inlineStr">
        <is>
          <t>INV/2026/05504</t>
        </is>
      </c>
      <c r="F4222" t="inlineStr">
        <is>
          <t>Customer payment INV/2026/05504</t>
        </is>
      </c>
      <c r="G4222" s="9" t="n">
        <v>135</v>
      </c>
      <c r="H4222" t="inlineStr">
        <is>
          <t>customer_payment</t>
        </is>
      </c>
      <c r="I4222" t="inlineStr"/>
      <c r="J4222" t="inlineStr">
        <is>
          <t>G01270</t>
        </is>
      </c>
      <c r="K4222" t="str">
        <f>INDEX('Match Groups'!$D$5:$D$1326,MATCH(J4222,'Match Groups'!$A$5:$A$1326,0))</f>
        <v>OUT</v>
      </c>
    </row>
    <row r="4223">
      <c r="A4223" t="inlineStr">
        <is>
          <t>JI-03664</t>
        </is>
      </c>
      <c r="B4223" t="inlineStr">
        <is>
          <t>OPS</t>
        </is>
      </c>
      <c r="C4223" s="5" t="n">
        <v>46294</v>
      </c>
      <c r="D4223" t="inlineStr">
        <is>
          <t>Stripe patient 15802</t>
        </is>
      </c>
      <c r="E4223" t="inlineStr">
        <is>
          <t>INV/2026/05505</t>
        </is>
      </c>
      <c r="F4223" t="inlineStr">
        <is>
          <t>Customer payment INV/2026/05505</t>
        </is>
      </c>
      <c r="G4223" s="9" t="n">
        <v>220</v>
      </c>
      <c r="H4223" t="inlineStr">
        <is>
          <t>customer_payment</t>
        </is>
      </c>
      <c r="I4223" t="inlineStr"/>
      <c r="J4223" t="inlineStr">
        <is>
          <t>G01271</t>
        </is>
      </c>
      <c r="K4223" t="str">
        <f>INDEX('Match Groups'!$D$5:$D$1326,MATCH(J4223,'Match Groups'!$A$5:$A$1326,0))</f>
        <v>OUT</v>
      </c>
    </row>
    <row r="4224">
      <c r="A4224" t="inlineStr">
        <is>
          <t>JI-03665</t>
        </is>
      </c>
      <c r="B4224" t="inlineStr">
        <is>
          <t>OPS</t>
        </is>
      </c>
      <c r="C4224" s="5" t="n">
        <v>46294</v>
      </c>
      <c r="D4224" t="inlineStr">
        <is>
          <t>Stripe patient 96594</t>
        </is>
      </c>
      <c r="E4224" t="inlineStr">
        <is>
          <t>INV/2026/05506</t>
        </is>
      </c>
      <c r="F4224" t="inlineStr">
        <is>
          <t>Customer payment INV/2026/05506</t>
        </is>
      </c>
      <c r="G4224" s="9" t="n">
        <v>180</v>
      </c>
      <c r="H4224" t="inlineStr">
        <is>
          <t>customer_payment</t>
        </is>
      </c>
      <c r="I4224" t="inlineStr"/>
      <c r="J4224" t="inlineStr">
        <is>
          <t>G01272</t>
        </is>
      </c>
      <c r="K4224" t="str">
        <f>INDEX('Match Groups'!$D$5:$D$1326,MATCH(J4224,'Match Groups'!$A$5:$A$1326,0))</f>
        <v>OUT</v>
      </c>
    </row>
    <row r="4225">
      <c r="A4225" t="inlineStr">
        <is>
          <t>JI-03666</t>
        </is>
      </c>
      <c r="B4225" t="inlineStr">
        <is>
          <t>OPS</t>
        </is>
      </c>
      <c r="C4225" s="5" t="n">
        <v>46294</v>
      </c>
      <c r="D4225" t="inlineStr">
        <is>
          <t>Stripe patient 50146</t>
        </is>
      </c>
      <c r="E4225" t="inlineStr">
        <is>
          <t>INV/2026/05507</t>
        </is>
      </c>
      <c r="F4225" t="inlineStr">
        <is>
          <t>Customer payment INV/2026/05507</t>
        </is>
      </c>
      <c r="G4225" s="9" t="n">
        <v>85</v>
      </c>
      <c r="H4225" t="inlineStr">
        <is>
          <t>customer_payment</t>
        </is>
      </c>
      <c r="I4225" t="inlineStr"/>
      <c r="J4225" t="inlineStr">
        <is>
          <t>G01273</t>
        </is>
      </c>
      <c r="K4225" t="str">
        <f>INDEX('Match Groups'!$D$5:$D$1326,MATCH(J4225,'Match Groups'!$A$5:$A$1326,0))</f>
        <v>OUT</v>
      </c>
    </row>
    <row r="4226">
      <c r="A4226" t="inlineStr">
        <is>
          <t>JI-03667</t>
        </is>
      </c>
      <c r="B4226" t="inlineStr">
        <is>
          <t>OPS</t>
        </is>
      </c>
      <c r="C4226" s="5" t="n">
        <v>46294</v>
      </c>
      <c r="D4226" t="inlineStr">
        <is>
          <t>Stripe patient 97455</t>
        </is>
      </c>
      <c r="E4226" t="inlineStr">
        <is>
          <t>INV/2026/05508</t>
        </is>
      </c>
      <c r="F4226" t="inlineStr">
        <is>
          <t>Customer payment INV/2026/05508</t>
        </is>
      </c>
      <c r="G4226" s="9" t="n">
        <v>65</v>
      </c>
      <c r="H4226" t="inlineStr">
        <is>
          <t>customer_payment</t>
        </is>
      </c>
      <c r="I4226" t="inlineStr"/>
      <c r="J4226" t="inlineStr">
        <is>
          <t>G01274</t>
        </is>
      </c>
      <c r="K4226" t="str">
        <f>INDEX('Match Groups'!$D$5:$D$1326,MATCH(J4226,'Match Groups'!$A$5:$A$1326,0))</f>
        <v>OUT</v>
      </c>
    </row>
    <row r="4227">
      <c r="A4227" t="inlineStr">
        <is>
          <t>JI-03668</t>
        </is>
      </c>
      <c r="B4227" t="inlineStr">
        <is>
          <t>OPS</t>
        </is>
      </c>
      <c r="C4227" s="5" t="n">
        <v>46294</v>
      </c>
      <c r="D4227" t="inlineStr">
        <is>
          <t>Stripe patient 33756</t>
        </is>
      </c>
      <c r="E4227" t="inlineStr">
        <is>
          <t>INV/2026/05509</t>
        </is>
      </c>
      <c r="F4227" t="inlineStr">
        <is>
          <t>Customer payment INV/2026/05509</t>
        </is>
      </c>
      <c r="G4227" s="9" t="n">
        <v>220</v>
      </c>
      <c r="H4227" t="inlineStr">
        <is>
          <t>customer_payment</t>
        </is>
      </c>
      <c r="I4227" t="inlineStr"/>
      <c r="J4227" t="inlineStr">
        <is>
          <t>G01275</t>
        </is>
      </c>
      <c r="K4227" t="str">
        <f>INDEX('Match Groups'!$D$5:$D$1326,MATCH(J4227,'Match Groups'!$A$5:$A$1326,0))</f>
        <v>OUT</v>
      </c>
    </row>
    <row r="4228">
      <c r="A4228" t="inlineStr">
        <is>
          <t>JI-03669</t>
        </is>
      </c>
      <c r="B4228" t="inlineStr">
        <is>
          <t>OPS</t>
        </is>
      </c>
      <c r="C4228" s="5" t="n">
        <v>46294</v>
      </c>
      <c r="D4228" t="inlineStr">
        <is>
          <t>Stripe patient 87222</t>
        </is>
      </c>
      <c r="E4228" t="inlineStr">
        <is>
          <t>INV/2026/05510</t>
        </is>
      </c>
      <c r="F4228" t="inlineStr">
        <is>
          <t>Customer payment INV/2026/05510</t>
        </is>
      </c>
      <c r="G4228" s="9" t="n">
        <v>65</v>
      </c>
      <c r="H4228" t="inlineStr">
        <is>
          <t>customer_payment</t>
        </is>
      </c>
      <c r="I4228" t="inlineStr"/>
      <c r="J4228" t="inlineStr">
        <is>
          <t>G01276</t>
        </is>
      </c>
      <c r="K4228" t="str">
        <f>INDEX('Match Groups'!$D$5:$D$1326,MATCH(J4228,'Match Groups'!$A$5:$A$1326,0))</f>
        <v>OUT</v>
      </c>
    </row>
    <row r="4229">
      <c r="A4229" t="inlineStr">
        <is>
          <t>JI-03670</t>
        </is>
      </c>
      <c r="B4229" t="inlineStr">
        <is>
          <t>OPS</t>
        </is>
      </c>
      <c r="C4229" s="5" t="n">
        <v>46294</v>
      </c>
      <c r="D4229" t="inlineStr">
        <is>
          <t>Stripe patient 48370</t>
        </is>
      </c>
      <c r="E4229" t="inlineStr">
        <is>
          <t>INV/2026/05511</t>
        </is>
      </c>
      <c r="F4229" t="inlineStr">
        <is>
          <t>Customer payment INV/2026/05511</t>
        </is>
      </c>
      <c r="G4229" s="9" t="n">
        <v>120</v>
      </c>
      <c r="H4229" t="inlineStr">
        <is>
          <t>customer_payment</t>
        </is>
      </c>
      <c r="I4229" t="inlineStr"/>
      <c r="J4229" t="inlineStr">
        <is>
          <t>G01277</t>
        </is>
      </c>
      <c r="K4229" t="str">
        <f>INDEX('Match Groups'!$D$5:$D$1326,MATCH(J4229,'Match Groups'!$A$5:$A$1326,0))</f>
        <v>OUT</v>
      </c>
    </row>
    <row r="4230">
      <c r="A4230" t="inlineStr">
        <is>
          <t>JI-03671</t>
        </is>
      </c>
      <c r="B4230" t="inlineStr">
        <is>
          <t>OPS</t>
        </is>
      </c>
      <c r="C4230" s="5" t="n">
        <v>46294</v>
      </c>
      <c r="D4230" t="inlineStr">
        <is>
          <t>Stripe patient 63502</t>
        </is>
      </c>
      <c r="E4230" t="inlineStr">
        <is>
          <t>INV/2026/05512</t>
        </is>
      </c>
      <c r="F4230" t="inlineStr">
        <is>
          <t>Customer payment INV/2026/05512</t>
        </is>
      </c>
      <c r="G4230" s="9" t="n">
        <v>65</v>
      </c>
      <c r="H4230" t="inlineStr">
        <is>
          <t>customer_payment</t>
        </is>
      </c>
      <c r="I4230" t="inlineStr"/>
      <c r="J4230" t="inlineStr">
        <is>
          <t>G01278</t>
        </is>
      </c>
      <c r="K4230" t="str">
        <f>INDEX('Match Groups'!$D$5:$D$1326,MATCH(J4230,'Match Groups'!$A$5:$A$1326,0))</f>
        <v>OUT</v>
      </c>
    </row>
    <row r="4231">
      <c r="A4231" t="inlineStr">
        <is>
          <t>JI-03672</t>
        </is>
      </c>
      <c r="B4231" t="inlineStr">
        <is>
          <t>OPS</t>
        </is>
      </c>
      <c r="C4231" s="5" t="n">
        <v>46294</v>
      </c>
      <c r="D4231" t="inlineStr">
        <is>
          <t>Stripe patient 88913</t>
        </is>
      </c>
      <c r="E4231" t="inlineStr">
        <is>
          <t>INV/2026/05513</t>
        </is>
      </c>
      <c r="F4231" t="inlineStr">
        <is>
          <t>Customer payment INV/2026/05513</t>
        </is>
      </c>
      <c r="G4231" s="9" t="n">
        <v>85</v>
      </c>
      <c r="H4231" t="inlineStr">
        <is>
          <t>customer_payment</t>
        </is>
      </c>
      <c r="I4231" t="inlineStr"/>
      <c r="J4231" t="inlineStr">
        <is>
          <t>G01279</t>
        </is>
      </c>
      <c r="K4231" t="str">
        <f>INDEX('Match Groups'!$D$5:$D$1326,MATCH(J4231,'Match Groups'!$A$5:$A$1326,0))</f>
        <v>OUT</v>
      </c>
    </row>
    <row r="4232">
      <c r="A4232" t="inlineStr">
        <is>
          <t>JI-03673</t>
        </is>
      </c>
      <c r="B4232" t="inlineStr">
        <is>
          <t>OPS</t>
        </is>
      </c>
      <c r="C4232" s="5" t="n">
        <v>46294</v>
      </c>
      <c r="D4232" t="inlineStr">
        <is>
          <t>Stripe patient 70592</t>
        </is>
      </c>
      <c r="E4232" t="inlineStr">
        <is>
          <t>INV/2026/05514</t>
        </is>
      </c>
      <c r="F4232" t="inlineStr">
        <is>
          <t>Customer payment INV/2026/05514</t>
        </is>
      </c>
      <c r="G4232" s="9" t="n">
        <v>150</v>
      </c>
      <c r="H4232" t="inlineStr">
        <is>
          <t>customer_payment</t>
        </is>
      </c>
      <c r="I4232" t="inlineStr"/>
      <c r="J4232" t="inlineStr">
        <is>
          <t>G01280</t>
        </is>
      </c>
      <c r="K4232" t="str">
        <f>INDEX('Match Groups'!$D$5:$D$1326,MATCH(J4232,'Match Groups'!$A$5:$A$1326,0))</f>
        <v>OUT</v>
      </c>
    </row>
    <row r="4233">
      <c r="A4233" t="inlineStr">
        <is>
          <t>JI-03674</t>
        </is>
      </c>
      <c r="B4233" t="inlineStr">
        <is>
          <t>OPS</t>
        </is>
      </c>
      <c r="C4233" s="5" t="n">
        <v>46294</v>
      </c>
      <c r="D4233" t="inlineStr">
        <is>
          <t>Stripe patient 23410</t>
        </is>
      </c>
      <c r="E4233" t="inlineStr">
        <is>
          <t>INV/2026/05515</t>
        </is>
      </c>
      <c r="F4233" t="inlineStr">
        <is>
          <t>Customer payment INV/2026/05515</t>
        </is>
      </c>
      <c r="G4233" s="9" t="n">
        <v>135</v>
      </c>
      <c r="H4233" t="inlineStr">
        <is>
          <t>customer_payment</t>
        </is>
      </c>
      <c r="I4233" t="inlineStr"/>
      <c r="J4233" t="inlineStr">
        <is>
          <t>G01281</t>
        </is>
      </c>
      <c r="K4233" t="str">
        <f>INDEX('Match Groups'!$D$5:$D$1326,MATCH(J4233,'Match Groups'!$A$5:$A$1326,0))</f>
        <v>OUT</v>
      </c>
    </row>
    <row r="4234">
      <c r="A4234" t="inlineStr">
        <is>
          <t>JI-03675</t>
        </is>
      </c>
      <c r="B4234" t="inlineStr">
        <is>
          <t>OPS</t>
        </is>
      </c>
      <c r="C4234" s="5" t="n">
        <v>46294</v>
      </c>
      <c r="D4234" t="inlineStr">
        <is>
          <t>Stripe patient 97333</t>
        </is>
      </c>
      <c r="E4234" t="inlineStr">
        <is>
          <t>INV/2026/05516</t>
        </is>
      </c>
      <c r="F4234" t="inlineStr">
        <is>
          <t>Customer payment INV/2026/05516</t>
        </is>
      </c>
      <c r="G4234" s="9" t="n">
        <v>135</v>
      </c>
      <c r="H4234" t="inlineStr">
        <is>
          <t>customer_payment</t>
        </is>
      </c>
      <c r="I4234" t="inlineStr"/>
      <c r="J4234" t="inlineStr">
        <is>
          <t>G01282</t>
        </is>
      </c>
      <c r="K4234" t="str">
        <f>INDEX('Match Groups'!$D$5:$D$1326,MATCH(J4234,'Match Groups'!$A$5:$A$1326,0))</f>
        <v>OUT</v>
      </c>
    </row>
    <row r="4235">
      <c r="A4235" t="inlineStr">
        <is>
          <t>JI-01530</t>
        </is>
      </c>
      <c r="B4235" t="inlineStr">
        <is>
          <t>OPS</t>
        </is>
      </c>
      <c r="C4235" s="5" t="n">
        <v>46295</v>
      </c>
      <c r="D4235" t="inlineStr">
        <is>
          <t>Bluegum Plan Management</t>
        </is>
      </c>
      <c r="E4235" t="inlineStr">
        <is>
          <t>INV/2026/03236</t>
        </is>
      </c>
      <c r="F4235" t="inlineStr">
        <is>
          <t>Customer payment INV/2026/03236</t>
        </is>
      </c>
      <c r="G4235" s="9" t="n">
        <v>223.99</v>
      </c>
      <c r="H4235" t="inlineStr">
        <is>
          <t>customer_payment</t>
        </is>
      </c>
      <c r="I4235" t="inlineStr"/>
      <c r="J4235" t="inlineStr">
        <is>
          <t>G00499</t>
        </is>
      </c>
      <c r="K4235" t="str">
        <f>INDEX('Match Groups'!$D$5:$D$1326,MATCH(J4235,'Match Groups'!$A$5:$A$1326,0))</f>
        <v>MATCH</v>
      </c>
    </row>
    <row r="4236">
      <c r="A4236" t="inlineStr">
        <is>
          <t>JI-01531</t>
        </is>
      </c>
      <c r="B4236" t="inlineStr">
        <is>
          <t>OPS</t>
        </is>
      </c>
      <c r="C4236" s="5" t="n">
        <v>46295</v>
      </c>
      <c r="D4236" t="inlineStr">
        <is>
          <t>Bluegum Plan Management</t>
        </is>
      </c>
      <c r="E4236" t="inlineStr">
        <is>
          <t>INV/2026/03237</t>
        </is>
      </c>
      <c r="F4236" t="inlineStr">
        <is>
          <t>Customer payment INV/2026/03237</t>
        </is>
      </c>
      <c r="G4236" s="9" t="n">
        <v>290.98</v>
      </c>
      <c r="H4236" t="inlineStr">
        <is>
          <t>customer_payment</t>
        </is>
      </c>
      <c r="I4236" t="inlineStr"/>
      <c r="J4236" t="inlineStr">
        <is>
          <t>G00499</t>
        </is>
      </c>
      <c r="K4236" t="str">
        <f>INDEX('Match Groups'!$D$5:$D$1326,MATCH(J4236,'Match Groups'!$A$5:$A$1326,0))</f>
        <v>MATCH</v>
      </c>
    </row>
    <row r="4237">
      <c r="A4237" t="inlineStr">
        <is>
          <t>JI-01532</t>
        </is>
      </c>
      <c r="B4237" t="inlineStr">
        <is>
          <t>OPS</t>
        </is>
      </c>
      <c r="C4237" s="5" t="n">
        <v>46295</v>
      </c>
      <c r="D4237" t="inlineStr">
        <is>
          <t>Bluegum Plan Management</t>
        </is>
      </c>
      <c r="E4237" t="inlineStr">
        <is>
          <t>INV/2026/03254</t>
        </is>
      </c>
      <c r="F4237" t="inlineStr">
        <is>
          <t>Customer payment INV/2026/03254</t>
        </is>
      </c>
      <c r="G4237" s="9" t="n">
        <v>145.49</v>
      </c>
      <c r="H4237" t="inlineStr">
        <is>
          <t>customer_payment</t>
        </is>
      </c>
      <c r="I4237" t="inlineStr"/>
      <c r="J4237" t="inlineStr">
        <is>
          <t>G00499</t>
        </is>
      </c>
      <c r="K4237" t="str">
        <f>INDEX('Match Groups'!$D$5:$D$1326,MATCH(J4237,'Match Groups'!$A$5:$A$1326,0))</f>
        <v>MATCH</v>
      </c>
    </row>
    <row r="4238">
      <c r="A4238" t="inlineStr">
        <is>
          <t>JI-01533</t>
        </is>
      </c>
      <c r="B4238" t="inlineStr">
        <is>
          <t>OPS</t>
        </is>
      </c>
      <c r="C4238" s="5" t="n">
        <v>46295</v>
      </c>
      <c r="D4238" t="inlineStr">
        <is>
          <t>Southern Cross Plan Mgmt</t>
        </is>
      </c>
      <c r="E4238" t="inlineStr">
        <is>
          <t>INV/2026/03333</t>
        </is>
      </c>
      <c r="F4238" t="inlineStr">
        <is>
          <t>Customer payment INV/2026/03333</t>
        </is>
      </c>
      <c r="G4238" s="9" t="n">
        <v>242.49</v>
      </c>
      <c r="H4238" t="inlineStr">
        <is>
          <t>customer_payment</t>
        </is>
      </c>
      <c r="I4238" t="inlineStr"/>
      <c r="J4238" t="inlineStr">
        <is>
          <t>G00500</t>
        </is>
      </c>
      <c r="K4238" t="str">
        <f>INDEX('Match Groups'!$D$5:$D$1326,MATCH(J4238,'Match Groups'!$A$5:$A$1326,0))</f>
        <v>MATCH</v>
      </c>
    </row>
    <row r="4239">
      <c r="A4239" t="inlineStr">
        <is>
          <t>JI-01534</t>
        </is>
      </c>
      <c r="B4239" t="inlineStr">
        <is>
          <t>OPS</t>
        </is>
      </c>
      <c r="C4239" s="5" t="n">
        <v>46295</v>
      </c>
      <c r="D4239" t="inlineStr">
        <is>
          <t>Acacia Plan Partners</t>
        </is>
      </c>
      <c r="E4239" t="inlineStr">
        <is>
          <t>INV/2026/03274</t>
        </is>
      </c>
      <c r="F4239" t="inlineStr">
        <is>
          <t>Customer payment INV/2026/03274</t>
        </is>
      </c>
      <c r="G4239" s="9" t="n">
        <v>300.69</v>
      </c>
      <c r="H4239" t="inlineStr">
        <is>
          <t>customer_payment</t>
        </is>
      </c>
      <c r="I4239" t="inlineStr"/>
      <c r="J4239" t="inlineStr">
        <is>
          <t>G00501</t>
        </is>
      </c>
      <c r="K4239" t="str">
        <f>INDEX('Match Groups'!$D$5:$D$1326,MATCH(J4239,'Match Groups'!$A$5:$A$1326,0))</f>
        <v>MATCH</v>
      </c>
    </row>
    <row r="4240">
      <c r="A4240" t="inlineStr">
        <is>
          <t>JI-01535</t>
        </is>
      </c>
      <c r="B4240" t="inlineStr">
        <is>
          <t>OPS</t>
        </is>
      </c>
      <c r="C4240" s="5" t="n">
        <v>46295</v>
      </c>
      <c r="D4240" t="inlineStr">
        <is>
          <t>Acacia Plan Partners</t>
        </is>
      </c>
      <c r="E4240" t="inlineStr">
        <is>
          <t>INV/2026/03337</t>
        </is>
      </c>
      <c r="F4240" t="inlineStr">
        <is>
          <t>Customer payment INV/2026/03337</t>
        </is>
      </c>
      <c r="G4240" s="9" t="n">
        <v>96.98999999999999</v>
      </c>
      <c r="H4240" t="inlineStr">
        <is>
          <t>customer_payment</t>
        </is>
      </c>
      <c r="I4240" t="inlineStr"/>
      <c r="J4240" t="inlineStr">
        <is>
          <t>G00501</t>
        </is>
      </c>
      <c r="K4240" t="str">
        <f>INDEX('Match Groups'!$D$5:$D$1326,MATCH(J4240,'Match Groups'!$A$5:$A$1326,0))</f>
        <v>MATCH</v>
      </c>
    </row>
    <row r="4241">
      <c r="A4241" t="inlineStr">
        <is>
          <t>JI-01586</t>
        </is>
      </c>
      <c r="B4241" t="inlineStr">
        <is>
          <t>OPS</t>
        </is>
      </c>
      <c r="C4241" s="5" t="n">
        <v>46295</v>
      </c>
      <c r="D4241" t="inlineStr">
        <is>
          <t>Unity Workcover Agents</t>
        </is>
      </c>
      <c r="E4241" t="inlineStr">
        <is>
          <t>INV/2026/03094</t>
        </is>
      </c>
      <c r="F4241" t="inlineStr">
        <is>
          <t>Customer payment INV/2026/03094</t>
        </is>
      </c>
      <c r="G4241" s="9" t="n">
        <v>88</v>
      </c>
      <c r="H4241" t="inlineStr">
        <is>
          <t>customer_payment</t>
        </is>
      </c>
      <c r="I4241" t="inlineStr"/>
      <c r="J4241" t="inlineStr">
        <is>
          <t>G01093</t>
        </is>
      </c>
      <c r="K4241" t="str">
        <f>INDEX('Match Groups'!$D$5:$D$1326,MATCH(J4241,'Match Groups'!$A$5:$A$1326,0))</f>
        <v>MATCH</v>
      </c>
    </row>
    <row r="4242">
      <c r="A4242" t="inlineStr">
        <is>
          <t>JI-01605</t>
        </is>
      </c>
      <c r="B4242" t="inlineStr">
        <is>
          <t>OPS</t>
        </is>
      </c>
      <c r="C4242" s="5" t="n">
        <v>46295</v>
      </c>
      <c r="D4242" t="inlineStr">
        <is>
          <t>Pinnacle Claims Services</t>
        </is>
      </c>
      <c r="E4242" t="inlineStr">
        <is>
          <t>INV/2026/03009</t>
        </is>
      </c>
      <c r="F4242" t="inlineStr">
        <is>
          <t>Customer payment INV/2026/03009</t>
        </is>
      </c>
      <c r="G4242" s="9" t="n">
        <v>132</v>
      </c>
      <c r="H4242" t="inlineStr">
        <is>
          <t>customer_payment</t>
        </is>
      </c>
      <c r="I4242" t="inlineStr"/>
      <c r="J4242" t="inlineStr">
        <is>
          <t>G01089</t>
        </is>
      </c>
      <c r="K4242" t="str">
        <f>INDEX('Match Groups'!$D$5:$D$1326,MATCH(J4242,'Match Groups'!$A$5:$A$1326,0))</f>
        <v>MATCH</v>
      </c>
    </row>
    <row r="4243">
      <c r="A4243" t="inlineStr">
        <is>
          <t>JI-01629</t>
        </is>
      </c>
      <c r="B4243" t="inlineStr">
        <is>
          <t>OPS</t>
        </is>
      </c>
      <c r="C4243" s="5" t="n">
        <v>46295</v>
      </c>
      <c r="D4243" t="inlineStr">
        <is>
          <t>Meridian Health Cover</t>
        </is>
      </c>
      <c r="E4243" t="inlineStr">
        <is>
          <t>INV/2026/03190</t>
        </is>
      </c>
      <c r="F4243" t="inlineStr">
        <is>
          <t>Customer payment INV/2026/03190</t>
        </is>
      </c>
      <c r="G4243" s="9" t="n">
        <v>990</v>
      </c>
      <c r="H4243" t="inlineStr">
        <is>
          <t>customer_payment</t>
        </is>
      </c>
      <c r="I4243" t="inlineStr"/>
      <c r="J4243" t="inlineStr">
        <is>
          <t>G01098</t>
        </is>
      </c>
      <c r="K4243" t="str">
        <f>INDEX('Match Groups'!$D$5:$D$1326,MATCH(J4243,'Match Groups'!$A$5:$A$1326,0))</f>
        <v>MATCH</v>
      </c>
    </row>
    <row r="4244">
      <c r="A4244" t="inlineStr">
        <is>
          <t>JI-01659</t>
        </is>
      </c>
      <c r="B4244" t="inlineStr">
        <is>
          <t>OPS</t>
        </is>
      </c>
      <c r="C4244" s="5" t="n">
        <v>46295</v>
      </c>
      <c r="D4244" t="inlineStr">
        <is>
          <t>Brightwater Civil Pty Ltd</t>
        </is>
      </c>
      <c r="E4244" t="inlineStr">
        <is>
          <t>INV/2026/03572</t>
        </is>
      </c>
      <c r="F4244" t="inlineStr">
        <is>
          <t>Customer payment INV/2026/03572</t>
        </is>
      </c>
      <c r="G4244" s="9" t="n">
        <v>10807.5</v>
      </c>
      <c r="H4244" t="inlineStr">
        <is>
          <t>customer_payment</t>
        </is>
      </c>
      <c r="I4244" t="inlineStr"/>
      <c r="J4244" t="inlineStr">
        <is>
          <t>G01095</t>
        </is>
      </c>
      <c r="K4244" t="str">
        <f>INDEX('Match Groups'!$D$5:$D$1326,MATCH(J4244,'Match Groups'!$A$5:$A$1326,0))</f>
        <v>MATCH</v>
      </c>
    </row>
    <row r="4245">
      <c r="A4245" t="inlineStr">
        <is>
          <t>JI-01672</t>
        </is>
      </c>
      <c r="B4245" t="inlineStr">
        <is>
          <t>OPS</t>
        </is>
      </c>
      <c r="C4245" s="5" t="n">
        <v>46295</v>
      </c>
      <c r="D4245" t="inlineStr">
        <is>
          <t>Pellucid Software Pty Ltd</t>
        </is>
      </c>
      <c r="E4245" t="inlineStr">
        <is>
          <t>INV/2026/03523</t>
        </is>
      </c>
      <c r="F4245" t="inlineStr">
        <is>
          <t>Customer payment INV/2026/03523</t>
        </is>
      </c>
      <c r="G4245" s="9" t="n">
        <v>10725</v>
      </c>
      <c r="H4245" t="inlineStr">
        <is>
          <t>customer_payment</t>
        </is>
      </c>
      <c r="I4245" t="inlineStr"/>
      <c r="J4245" t="inlineStr">
        <is>
          <t>G01091</t>
        </is>
      </c>
      <c r="K4245" t="str">
        <f>INDEX('Match Groups'!$D$5:$D$1326,MATCH(J4245,'Match Groups'!$A$5:$A$1326,0))</f>
        <v>MATCH</v>
      </c>
    </row>
    <row r="4246">
      <c r="A4246" t="inlineStr">
        <is>
          <t>JI-03676</t>
        </is>
      </c>
      <c r="B4246" t="inlineStr">
        <is>
          <t>OPS</t>
        </is>
      </c>
      <c r="C4246" s="5" t="n">
        <v>46295</v>
      </c>
      <c r="D4246" t="inlineStr">
        <is>
          <t>Stripe patient 47696</t>
        </is>
      </c>
      <c r="E4246" t="inlineStr">
        <is>
          <t>INV/2026/05517</t>
        </is>
      </c>
      <c r="F4246" t="inlineStr">
        <is>
          <t>Customer payment INV/2026/05517</t>
        </is>
      </c>
      <c r="G4246" s="9" t="n">
        <v>85</v>
      </c>
      <c r="H4246" t="inlineStr">
        <is>
          <t>customer_payment</t>
        </is>
      </c>
      <c r="I4246" t="inlineStr"/>
      <c r="J4246" t="inlineStr">
        <is>
          <t>G01283</t>
        </is>
      </c>
      <c r="K4246" t="str">
        <f>INDEX('Match Groups'!$D$5:$D$1326,MATCH(J4246,'Match Groups'!$A$5:$A$1326,0))</f>
        <v>OUT</v>
      </c>
    </row>
    <row r="4247">
      <c r="A4247" t="inlineStr">
        <is>
          <t>JI-03677</t>
        </is>
      </c>
      <c r="B4247" t="inlineStr">
        <is>
          <t>OPS</t>
        </is>
      </c>
      <c r="C4247" s="5" t="n">
        <v>46295</v>
      </c>
      <c r="D4247" t="inlineStr">
        <is>
          <t>Stripe patient 51878</t>
        </is>
      </c>
      <c r="E4247" t="inlineStr">
        <is>
          <t>INV/2026/05518</t>
        </is>
      </c>
      <c r="F4247" t="inlineStr">
        <is>
          <t>Customer payment INV/2026/05518</t>
        </is>
      </c>
      <c r="G4247" s="9" t="n">
        <v>110</v>
      </c>
      <c r="H4247" t="inlineStr">
        <is>
          <t>customer_payment</t>
        </is>
      </c>
      <c r="I4247" t="inlineStr"/>
      <c r="J4247" t="inlineStr">
        <is>
          <t>G01284</t>
        </is>
      </c>
      <c r="K4247" t="str">
        <f>INDEX('Match Groups'!$D$5:$D$1326,MATCH(J4247,'Match Groups'!$A$5:$A$1326,0))</f>
        <v>OUT</v>
      </c>
    </row>
    <row r="4248">
      <c r="A4248" t="inlineStr">
        <is>
          <t>JI-03678</t>
        </is>
      </c>
      <c r="B4248" t="inlineStr">
        <is>
          <t>OPS</t>
        </is>
      </c>
      <c r="C4248" s="5" t="n">
        <v>46295</v>
      </c>
      <c r="D4248" t="inlineStr">
        <is>
          <t>Stripe patient 96891</t>
        </is>
      </c>
      <c r="E4248" t="inlineStr">
        <is>
          <t>INV/2026/05519</t>
        </is>
      </c>
      <c r="F4248" t="inlineStr">
        <is>
          <t>Customer payment INV/2026/05519</t>
        </is>
      </c>
      <c r="G4248" s="9" t="n">
        <v>150</v>
      </c>
      <c r="H4248" t="inlineStr">
        <is>
          <t>customer_payment</t>
        </is>
      </c>
      <c r="I4248" t="inlineStr"/>
      <c r="J4248" t="inlineStr">
        <is>
          <t>G01285</t>
        </is>
      </c>
      <c r="K4248" t="str">
        <f>INDEX('Match Groups'!$D$5:$D$1326,MATCH(J4248,'Match Groups'!$A$5:$A$1326,0))</f>
        <v>OUT</v>
      </c>
    </row>
    <row r="4249">
      <c r="A4249" t="inlineStr">
        <is>
          <t>JI-03679</t>
        </is>
      </c>
      <c r="B4249" t="inlineStr">
        <is>
          <t>OPS</t>
        </is>
      </c>
      <c r="C4249" s="5" t="n">
        <v>46295</v>
      </c>
      <c r="D4249" t="inlineStr">
        <is>
          <t>Stripe patient 51806</t>
        </is>
      </c>
      <c r="E4249" t="inlineStr">
        <is>
          <t>INV/2026/05520</t>
        </is>
      </c>
      <c r="F4249" t="inlineStr">
        <is>
          <t>Customer payment INV/2026/05520</t>
        </is>
      </c>
      <c r="G4249" s="9" t="n">
        <v>150</v>
      </c>
      <c r="H4249" t="inlineStr">
        <is>
          <t>customer_payment</t>
        </is>
      </c>
      <c r="I4249" t="inlineStr"/>
      <c r="J4249" t="inlineStr">
        <is>
          <t>G01286</t>
        </is>
      </c>
      <c r="K4249" t="str">
        <f>INDEX('Match Groups'!$D$5:$D$1326,MATCH(J4249,'Match Groups'!$A$5:$A$1326,0))</f>
        <v>OUT</v>
      </c>
    </row>
    <row r="4250">
      <c r="A4250" t="inlineStr">
        <is>
          <t>JI-03680</t>
        </is>
      </c>
      <c r="B4250" t="inlineStr">
        <is>
          <t>OPS</t>
        </is>
      </c>
      <c r="C4250" s="5" t="n">
        <v>46295</v>
      </c>
      <c r="D4250" t="inlineStr">
        <is>
          <t>Stripe patient 38861</t>
        </is>
      </c>
      <c r="E4250" t="inlineStr">
        <is>
          <t>INV/2026/05521</t>
        </is>
      </c>
      <c r="F4250" t="inlineStr">
        <is>
          <t>Customer payment INV/2026/05521</t>
        </is>
      </c>
      <c r="G4250" s="9" t="n">
        <v>220</v>
      </c>
      <c r="H4250" t="inlineStr">
        <is>
          <t>customer_payment</t>
        </is>
      </c>
      <c r="I4250" t="inlineStr"/>
      <c r="J4250" t="inlineStr">
        <is>
          <t>G01287</t>
        </is>
      </c>
      <c r="K4250" t="str">
        <f>INDEX('Match Groups'!$D$5:$D$1326,MATCH(J4250,'Match Groups'!$A$5:$A$1326,0))</f>
        <v>OUT</v>
      </c>
    </row>
    <row r="4251">
      <c r="A4251" t="inlineStr">
        <is>
          <t>JI-03681</t>
        </is>
      </c>
      <c r="B4251" t="inlineStr">
        <is>
          <t>OPS</t>
        </is>
      </c>
      <c r="C4251" s="5" t="n">
        <v>46295</v>
      </c>
      <c r="D4251" t="inlineStr">
        <is>
          <t>Stripe patient 53695</t>
        </is>
      </c>
      <c r="E4251" t="inlineStr">
        <is>
          <t>INV/2026/05522</t>
        </is>
      </c>
      <c r="F4251" t="inlineStr">
        <is>
          <t>Customer payment INV/2026/05522</t>
        </is>
      </c>
      <c r="G4251" s="9" t="n">
        <v>95</v>
      </c>
      <c r="H4251" t="inlineStr">
        <is>
          <t>customer_payment</t>
        </is>
      </c>
      <c r="I4251" t="inlineStr"/>
      <c r="J4251" t="inlineStr">
        <is>
          <t>G01288</t>
        </is>
      </c>
      <c r="K4251" t="str">
        <f>INDEX('Match Groups'!$D$5:$D$1326,MATCH(J4251,'Match Groups'!$A$5:$A$1326,0))</f>
        <v>OUT</v>
      </c>
    </row>
    <row r="4252">
      <c r="A4252" t="inlineStr">
        <is>
          <t>JI-03682</t>
        </is>
      </c>
      <c r="B4252" t="inlineStr">
        <is>
          <t>OPS</t>
        </is>
      </c>
      <c r="C4252" s="5" t="n">
        <v>46295</v>
      </c>
      <c r="D4252" t="inlineStr">
        <is>
          <t>Stripe patient 44666</t>
        </is>
      </c>
      <c r="E4252" t="inlineStr">
        <is>
          <t>INV/2026/05523</t>
        </is>
      </c>
      <c r="F4252" t="inlineStr">
        <is>
          <t>Customer payment INV/2026/05523</t>
        </is>
      </c>
      <c r="G4252" s="9" t="n">
        <v>150</v>
      </c>
      <c r="H4252" t="inlineStr">
        <is>
          <t>customer_payment</t>
        </is>
      </c>
      <c r="I4252" t="inlineStr"/>
      <c r="J4252" t="inlineStr">
        <is>
          <t>G01289</t>
        </is>
      </c>
      <c r="K4252" t="str">
        <f>INDEX('Match Groups'!$D$5:$D$1326,MATCH(J4252,'Match Groups'!$A$5:$A$1326,0))</f>
        <v>OUT</v>
      </c>
    </row>
    <row r="4253">
      <c r="A4253" t="inlineStr">
        <is>
          <t>JI-03683</t>
        </is>
      </c>
      <c r="B4253" t="inlineStr">
        <is>
          <t>OPS</t>
        </is>
      </c>
      <c r="C4253" s="5" t="n">
        <v>46295</v>
      </c>
      <c r="D4253" t="inlineStr">
        <is>
          <t>Stripe patient 39408</t>
        </is>
      </c>
      <c r="E4253" t="inlineStr">
        <is>
          <t>INV/2026/05524</t>
        </is>
      </c>
      <c r="F4253" t="inlineStr">
        <is>
          <t>Customer payment INV/2026/05524</t>
        </is>
      </c>
      <c r="G4253" s="9" t="n">
        <v>220</v>
      </c>
      <c r="H4253" t="inlineStr">
        <is>
          <t>customer_payment</t>
        </is>
      </c>
      <c r="I4253" t="inlineStr"/>
      <c r="J4253" t="inlineStr">
        <is>
          <t>G01290</t>
        </is>
      </c>
      <c r="K4253" t="str">
        <f>INDEX('Match Groups'!$D$5:$D$1326,MATCH(J4253,'Match Groups'!$A$5:$A$1326,0))</f>
        <v>OUT</v>
      </c>
    </row>
    <row r="4254">
      <c r="A4254" t="inlineStr">
        <is>
          <t>JI-03684</t>
        </is>
      </c>
      <c r="B4254" t="inlineStr">
        <is>
          <t>OPS</t>
        </is>
      </c>
      <c r="C4254" s="5" t="n">
        <v>46295</v>
      </c>
      <c r="D4254" t="inlineStr">
        <is>
          <t>Stripe patient 57996</t>
        </is>
      </c>
      <c r="E4254" t="inlineStr">
        <is>
          <t>INV/2026/05525</t>
        </is>
      </c>
      <c r="F4254" t="inlineStr">
        <is>
          <t>Customer payment INV/2026/05525</t>
        </is>
      </c>
      <c r="G4254" s="9" t="n">
        <v>120</v>
      </c>
      <c r="H4254" t="inlineStr">
        <is>
          <t>customer_payment</t>
        </is>
      </c>
      <c r="I4254" t="inlineStr"/>
      <c r="J4254" t="inlineStr">
        <is>
          <t>G01291</t>
        </is>
      </c>
      <c r="K4254" t="str">
        <f>INDEX('Match Groups'!$D$5:$D$1326,MATCH(J4254,'Match Groups'!$A$5:$A$1326,0))</f>
        <v>OUT</v>
      </c>
    </row>
    <row r="4255">
      <c r="A4255" t="inlineStr">
        <is>
          <t>JI-03685</t>
        </is>
      </c>
      <c r="B4255" t="inlineStr">
        <is>
          <t>OPS</t>
        </is>
      </c>
      <c r="C4255" s="5" t="n">
        <v>46295</v>
      </c>
      <c r="D4255" t="inlineStr">
        <is>
          <t>Stripe patient 66407</t>
        </is>
      </c>
      <c r="E4255" t="inlineStr">
        <is>
          <t>INV/2026/05526</t>
        </is>
      </c>
      <c r="F4255" t="inlineStr">
        <is>
          <t>Customer payment INV/2026/05526</t>
        </is>
      </c>
      <c r="G4255" s="9" t="n">
        <v>180</v>
      </c>
      <c r="H4255" t="inlineStr">
        <is>
          <t>customer_payment</t>
        </is>
      </c>
      <c r="I4255" t="inlineStr"/>
      <c r="J4255" t="inlineStr">
        <is>
          <t>G01292</t>
        </is>
      </c>
      <c r="K4255" t="str">
        <f>INDEX('Match Groups'!$D$5:$D$1326,MATCH(J4255,'Match Groups'!$A$5:$A$1326,0))</f>
        <v>OUT</v>
      </c>
    </row>
    <row r="4256">
      <c r="A4256" t="inlineStr">
        <is>
          <t>JI-03686</t>
        </is>
      </c>
      <c r="B4256" t="inlineStr">
        <is>
          <t>OPS</t>
        </is>
      </c>
      <c r="C4256" s="5" t="n">
        <v>46295</v>
      </c>
      <c r="D4256" t="inlineStr">
        <is>
          <t>Stripe patient 46163</t>
        </is>
      </c>
      <c r="E4256" t="inlineStr">
        <is>
          <t>INV/2026/05527</t>
        </is>
      </c>
      <c r="F4256" t="inlineStr">
        <is>
          <t>Customer payment INV/2026/05527</t>
        </is>
      </c>
      <c r="G4256" s="9" t="n">
        <v>120</v>
      </c>
      <c r="H4256" t="inlineStr">
        <is>
          <t>customer_payment</t>
        </is>
      </c>
      <c r="I4256" t="inlineStr"/>
      <c r="J4256" t="inlineStr">
        <is>
          <t>G01293</t>
        </is>
      </c>
      <c r="K4256" t="str">
        <f>INDEX('Match Groups'!$D$5:$D$1326,MATCH(J4256,'Match Groups'!$A$5:$A$1326,0))</f>
        <v>OUT</v>
      </c>
    </row>
    <row r="4257">
      <c r="A4257" t="inlineStr">
        <is>
          <t>JI-03687</t>
        </is>
      </c>
      <c r="B4257" t="inlineStr">
        <is>
          <t>OPS</t>
        </is>
      </c>
      <c r="C4257" s="5" t="n">
        <v>46295</v>
      </c>
      <c r="D4257" t="inlineStr">
        <is>
          <t>Stripe patient 34853</t>
        </is>
      </c>
      <c r="E4257" t="inlineStr">
        <is>
          <t>INV/2026/05528</t>
        </is>
      </c>
      <c r="F4257" t="inlineStr">
        <is>
          <t>Customer payment INV/2026/05528</t>
        </is>
      </c>
      <c r="G4257" s="9" t="n">
        <v>110</v>
      </c>
      <c r="H4257" t="inlineStr">
        <is>
          <t>customer_payment</t>
        </is>
      </c>
      <c r="I4257" t="inlineStr"/>
      <c r="J4257" t="inlineStr">
        <is>
          <t>G01294</t>
        </is>
      </c>
      <c r="K4257" t="str">
        <f>INDEX('Match Groups'!$D$5:$D$1326,MATCH(J4257,'Match Groups'!$A$5:$A$1326,0))</f>
        <v>OUT</v>
      </c>
    </row>
    <row r="4258">
      <c r="A4258" t="inlineStr">
        <is>
          <t>JI-03688</t>
        </is>
      </c>
      <c r="B4258" t="inlineStr">
        <is>
          <t>OPS</t>
        </is>
      </c>
      <c r="C4258" s="5" t="n">
        <v>46295</v>
      </c>
      <c r="D4258" t="inlineStr">
        <is>
          <t>Stripe patient 30527</t>
        </is>
      </c>
      <c r="E4258" t="inlineStr">
        <is>
          <t>INV/2026/05529</t>
        </is>
      </c>
      <c r="F4258" t="inlineStr">
        <is>
          <t>Customer payment INV/2026/05529</t>
        </is>
      </c>
      <c r="G4258" s="9" t="n">
        <v>150</v>
      </c>
      <c r="H4258" t="inlineStr">
        <is>
          <t>customer_payment</t>
        </is>
      </c>
      <c r="I4258" t="inlineStr"/>
      <c r="J4258" t="inlineStr">
        <is>
          <t>G01295</t>
        </is>
      </c>
      <c r="K4258" t="str">
        <f>INDEX('Match Groups'!$D$5:$D$1326,MATCH(J4258,'Match Groups'!$A$5:$A$1326,0))</f>
        <v>OUT</v>
      </c>
    </row>
    <row r="4259">
      <c r="A4259" t="inlineStr">
        <is>
          <t>JI-03689</t>
        </is>
      </c>
      <c r="B4259" t="inlineStr">
        <is>
          <t>OPS</t>
        </is>
      </c>
      <c r="C4259" s="5" t="n">
        <v>46295</v>
      </c>
      <c r="D4259" t="inlineStr">
        <is>
          <t>Stripe patient 56128</t>
        </is>
      </c>
      <c r="E4259" t="inlineStr">
        <is>
          <t>INV/2026/05530</t>
        </is>
      </c>
      <c r="F4259" t="inlineStr">
        <is>
          <t>Customer payment INV/2026/05530</t>
        </is>
      </c>
      <c r="G4259" s="9" t="n">
        <v>110</v>
      </c>
      <c r="H4259" t="inlineStr">
        <is>
          <t>customer_payment</t>
        </is>
      </c>
      <c r="I4259" t="inlineStr"/>
      <c r="J4259" t="inlineStr">
        <is>
          <t>G01296</t>
        </is>
      </c>
      <c r="K4259" t="str">
        <f>INDEX('Match Groups'!$D$5:$D$1326,MATCH(J4259,'Match Groups'!$A$5:$A$1326,0))</f>
        <v>OUT</v>
      </c>
    </row>
    <row r="4260">
      <c r="A4260" t="inlineStr">
        <is>
          <t>JI-03690</t>
        </is>
      </c>
      <c r="B4260" t="inlineStr">
        <is>
          <t>OPS</t>
        </is>
      </c>
      <c r="C4260" s="5" t="n">
        <v>46295</v>
      </c>
      <c r="D4260" t="inlineStr">
        <is>
          <t>Stripe patient 29108</t>
        </is>
      </c>
      <c r="E4260" t="inlineStr">
        <is>
          <t>INV/2026/05531</t>
        </is>
      </c>
      <c r="F4260" t="inlineStr">
        <is>
          <t>Customer payment INV/2026/05531</t>
        </is>
      </c>
      <c r="G4260" s="9" t="n">
        <v>150</v>
      </c>
      <c r="H4260" t="inlineStr">
        <is>
          <t>customer_payment</t>
        </is>
      </c>
      <c r="I4260" t="inlineStr"/>
      <c r="J4260" t="inlineStr">
        <is>
          <t>G01297</t>
        </is>
      </c>
      <c r="K4260" t="str">
        <f>INDEX('Match Groups'!$D$5:$D$1326,MATCH(J4260,'Match Groups'!$A$5:$A$1326,0))</f>
        <v>OUT</v>
      </c>
    </row>
    <row r="4261">
      <c r="A4261" t="inlineStr">
        <is>
          <t>JI-03691</t>
        </is>
      </c>
      <c r="B4261" t="inlineStr">
        <is>
          <t>OPS</t>
        </is>
      </c>
      <c r="C4261" s="5" t="n">
        <v>46295</v>
      </c>
      <c r="D4261" t="inlineStr">
        <is>
          <t>Stripe patient 80920</t>
        </is>
      </c>
      <c r="E4261" t="inlineStr">
        <is>
          <t>INV/2026/05532</t>
        </is>
      </c>
      <c r="F4261" t="inlineStr">
        <is>
          <t>Customer payment INV/2026/05532</t>
        </is>
      </c>
      <c r="G4261" s="9" t="n">
        <v>65</v>
      </c>
      <c r="H4261" t="inlineStr">
        <is>
          <t>customer_payment</t>
        </is>
      </c>
      <c r="I4261" t="inlineStr"/>
      <c r="J4261" t="inlineStr">
        <is>
          <t>G01298</t>
        </is>
      </c>
      <c r="K4261" t="str">
        <f>INDEX('Match Groups'!$D$5:$D$1326,MATCH(J4261,'Match Groups'!$A$5:$A$1326,0))</f>
        <v>OUT</v>
      </c>
    </row>
    <row r="4262">
      <c r="A4262" t="inlineStr">
        <is>
          <t>JI-03692</t>
        </is>
      </c>
      <c r="B4262" t="inlineStr">
        <is>
          <t>OPS</t>
        </is>
      </c>
      <c r="C4262" s="5" t="n">
        <v>46295</v>
      </c>
      <c r="D4262" t="inlineStr">
        <is>
          <t>Stripe patient 66752</t>
        </is>
      </c>
      <c r="E4262" t="inlineStr">
        <is>
          <t>INV/2026/05533</t>
        </is>
      </c>
      <c r="F4262" t="inlineStr">
        <is>
          <t>Customer payment INV/2026/05533</t>
        </is>
      </c>
      <c r="G4262" s="9" t="n">
        <v>65</v>
      </c>
      <c r="H4262" t="inlineStr">
        <is>
          <t>customer_payment</t>
        </is>
      </c>
      <c r="I4262" t="inlineStr"/>
      <c r="J4262" t="inlineStr">
        <is>
          <t>G01299</t>
        </is>
      </c>
      <c r="K4262" t="str">
        <f>INDEX('Match Groups'!$D$5:$D$1326,MATCH(J4262,'Match Groups'!$A$5:$A$1326,0))</f>
        <v>OUT</v>
      </c>
    </row>
    <row r="4263">
      <c r="A4263" t="inlineStr">
        <is>
          <t>JI-03693</t>
        </is>
      </c>
      <c r="B4263" t="inlineStr">
        <is>
          <t>OPS</t>
        </is>
      </c>
      <c r="C4263" s="5" t="n">
        <v>46295</v>
      </c>
      <c r="D4263" t="inlineStr">
        <is>
          <t>Stripe patient 26879</t>
        </is>
      </c>
      <c r="E4263" t="inlineStr">
        <is>
          <t>INV/2026/05534</t>
        </is>
      </c>
      <c r="F4263" t="inlineStr">
        <is>
          <t>Customer payment INV/2026/05534</t>
        </is>
      </c>
      <c r="G4263" s="9" t="n">
        <v>150</v>
      </c>
      <c r="H4263" t="inlineStr">
        <is>
          <t>customer_payment</t>
        </is>
      </c>
      <c r="I4263" t="inlineStr"/>
      <c r="J4263" t="inlineStr">
        <is>
          <t>G01300</t>
        </is>
      </c>
      <c r="K4263" t="str">
        <f>INDEX('Match Groups'!$D$5:$D$1326,MATCH(J4263,'Match Groups'!$A$5:$A$1326,0))</f>
        <v>OUT</v>
      </c>
    </row>
    <row r="4264">
      <c r="A4264" t="inlineStr">
        <is>
          <t>JI-03694</t>
        </is>
      </c>
      <c r="B4264" t="inlineStr">
        <is>
          <t>OPS</t>
        </is>
      </c>
      <c r="C4264" s="5" t="n">
        <v>46295</v>
      </c>
      <c r="D4264" t="inlineStr">
        <is>
          <t>Stripe patient 75838</t>
        </is>
      </c>
      <c r="E4264" t="inlineStr">
        <is>
          <t>INV/2026/05535</t>
        </is>
      </c>
      <c r="F4264" t="inlineStr">
        <is>
          <t>Customer payment INV/2026/05535</t>
        </is>
      </c>
      <c r="G4264" s="9" t="n">
        <v>65</v>
      </c>
      <c r="H4264" t="inlineStr">
        <is>
          <t>customer_payment</t>
        </is>
      </c>
      <c r="I4264" t="inlineStr"/>
      <c r="J4264" t="inlineStr">
        <is>
          <t>G01301</t>
        </is>
      </c>
      <c r="K4264" t="str">
        <f>INDEX('Match Groups'!$D$5:$D$1326,MATCH(J4264,'Match Groups'!$A$5:$A$1326,0))</f>
        <v>OUT</v>
      </c>
    </row>
    <row r="4265">
      <c r="A4265" t="inlineStr">
        <is>
          <t>JI-03695</t>
        </is>
      </c>
      <c r="B4265" t="inlineStr">
        <is>
          <t>OPS</t>
        </is>
      </c>
      <c r="C4265" s="5" t="n">
        <v>46295</v>
      </c>
      <c r="D4265" t="inlineStr">
        <is>
          <t>Stripe patient 18560</t>
        </is>
      </c>
      <c r="E4265" t="inlineStr">
        <is>
          <t>INV/2026/05536</t>
        </is>
      </c>
      <c r="F4265" t="inlineStr">
        <is>
          <t>Customer payment INV/2026/05536</t>
        </is>
      </c>
      <c r="G4265" s="9" t="n">
        <v>85</v>
      </c>
      <c r="H4265" t="inlineStr">
        <is>
          <t>customer_payment</t>
        </is>
      </c>
      <c r="I4265" t="inlineStr"/>
      <c r="J4265" t="inlineStr">
        <is>
          <t>G01302</t>
        </is>
      </c>
      <c r="K4265" t="str">
        <f>INDEX('Match Groups'!$D$5:$D$1326,MATCH(J4265,'Match Groups'!$A$5:$A$1326,0))</f>
        <v>OUT</v>
      </c>
    </row>
    <row r="4266">
      <c r="A4266" t="inlineStr">
        <is>
          <t>JI-03696</t>
        </is>
      </c>
      <c r="B4266" t="inlineStr">
        <is>
          <t>OPS</t>
        </is>
      </c>
      <c r="C4266" s="5" t="n">
        <v>46295</v>
      </c>
      <c r="D4266" t="inlineStr">
        <is>
          <t>Stripe patient 62841</t>
        </is>
      </c>
      <c r="E4266" t="inlineStr">
        <is>
          <t>INV/2026/05537</t>
        </is>
      </c>
      <c r="F4266" t="inlineStr">
        <is>
          <t>Customer payment INV/2026/05537</t>
        </is>
      </c>
      <c r="G4266" s="9" t="n">
        <v>95</v>
      </c>
      <c r="H4266" t="inlineStr">
        <is>
          <t>customer_payment</t>
        </is>
      </c>
      <c r="I4266" t="inlineStr"/>
      <c r="J4266" t="inlineStr">
        <is>
          <t>G01303</t>
        </is>
      </c>
      <c r="K4266" t="str">
        <f>INDEX('Match Groups'!$D$5:$D$1326,MATCH(J4266,'Match Groups'!$A$5:$A$1326,0))</f>
        <v>OUT</v>
      </c>
    </row>
    <row r="4267">
      <c r="A4267" t="inlineStr">
        <is>
          <t>JI-03697</t>
        </is>
      </c>
      <c r="B4267" t="inlineStr">
        <is>
          <t>OPS</t>
        </is>
      </c>
      <c r="C4267" s="5" t="n">
        <v>46295</v>
      </c>
      <c r="D4267" t="inlineStr">
        <is>
          <t>Stripe patient 55631</t>
        </is>
      </c>
      <c r="E4267" t="inlineStr">
        <is>
          <t>INV/2026/05538</t>
        </is>
      </c>
      <c r="F4267" t="inlineStr">
        <is>
          <t>Customer payment INV/2026/05538</t>
        </is>
      </c>
      <c r="G4267" s="9" t="n">
        <v>220</v>
      </c>
      <c r="H4267" t="inlineStr">
        <is>
          <t>customer_payment</t>
        </is>
      </c>
      <c r="I4267" t="inlineStr"/>
      <c r="J4267" t="inlineStr">
        <is>
          <t>G01304</t>
        </is>
      </c>
      <c r="K4267" t="str">
        <f>INDEX('Match Groups'!$D$5:$D$1326,MATCH(J4267,'Match Groups'!$A$5:$A$1326,0))</f>
        <v>OUT</v>
      </c>
    </row>
    <row r="4268">
      <c r="A4268" t="inlineStr">
        <is>
          <t>JI-03698</t>
        </is>
      </c>
      <c r="B4268" t="inlineStr">
        <is>
          <t>OPS</t>
        </is>
      </c>
      <c r="C4268" s="5" t="n">
        <v>46295</v>
      </c>
      <c r="D4268" t="inlineStr">
        <is>
          <t>Stripe patient 63447</t>
        </is>
      </c>
      <c r="E4268" t="inlineStr">
        <is>
          <t>INV/2026/05539</t>
        </is>
      </c>
      <c r="F4268" t="inlineStr">
        <is>
          <t>Customer payment INV/2026/05539</t>
        </is>
      </c>
      <c r="G4268" s="9" t="n">
        <v>85</v>
      </c>
      <c r="H4268" t="inlineStr">
        <is>
          <t>customer_payment</t>
        </is>
      </c>
      <c r="I4268" t="inlineStr"/>
      <c r="J4268" t="inlineStr">
        <is>
          <t>G01305</t>
        </is>
      </c>
      <c r="K4268" t="str">
        <f>INDEX('Match Groups'!$D$5:$D$1326,MATCH(J4268,'Match Groups'!$A$5:$A$1326,0))</f>
        <v>OUT</v>
      </c>
    </row>
    <row r="4269">
      <c r="A4269" t="inlineStr">
        <is>
          <t>JI-03699</t>
        </is>
      </c>
      <c r="B4269" t="inlineStr">
        <is>
          <t>OPS</t>
        </is>
      </c>
      <c r="C4269" s="5" t="n">
        <v>46295</v>
      </c>
      <c r="D4269" t="inlineStr">
        <is>
          <t>Stripe patient 48969</t>
        </is>
      </c>
      <c r="E4269" t="inlineStr">
        <is>
          <t>INV/2026/05540</t>
        </is>
      </c>
      <c r="F4269" t="inlineStr">
        <is>
          <t>Customer payment INV/2026/05540</t>
        </is>
      </c>
      <c r="G4269" s="9" t="n">
        <v>85</v>
      </c>
      <c r="H4269" t="inlineStr">
        <is>
          <t>customer_payment</t>
        </is>
      </c>
      <c r="I4269" t="inlineStr"/>
      <c r="J4269" t="inlineStr">
        <is>
          <t>G01306</t>
        </is>
      </c>
      <c r="K4269" t="str">
        <f>INDEX('Match Groups'!$D$5:$D$1326,MATCH(J4269,'Match Groups'!$A$5:$A$1326,0))</f>
        <v>OUT</v>
      </c>
    </row>
    <row r="4270">
      <c r="A4270" t="inlineStr">
        <is>
          <t>JI-03700</t>
        </is>
      </c>
      <c r="B4270" t="inlineStr">
        <is>
          <t>OPS</t>
        </is>
      </c>
      <c r="C4270" s="5" t="n">
        <v>46295</v>
      </c>
      <c r="D4270" t="inlineStr">
        <is>
          <t>Stripe patient 15949</t>
        </is>
      </c>
      <c r="E4270" t="inlineStr">
        <is>
          <t>INV/2026/05541</t>
        </is>
      </c>
      <c r="F4270" t="inlineStr">
        <is>
          <t>Customer payment INV/2026/05541</t>
        </is>
      </c>
      <c r="G4270" s="9" t="n">
        <v>110</v>
      </c>
      <c r="H4270" t="inlineStr">
        <is>
          <t>customer_payment</t>
        </is>
      </c>
      <c r="I4270" t="inlineStr"/>
      <c r="J4270" t="inlineStr">
        <is>
          <t>G01307</t>
        </is>
      </c>
      <c r="K4270" t="str">
        <f>INDEX('Match Groups'!$D$5:$D$1326,MATCH(J4270,'Match Groups'!$A$5:$A$1326,0))</f>
        <v>OUT</v>
      </c>
    </row>
    <row r="4271">
      <c r="A4271" t="inlineStr">
        <is>
          <t>JI-03701</t>
        </is>
      </c>
      <c r="B4271" t="inlineStr">
        <is>
          <t>OPS</t>
        </is>
      </c>
      <c r="C4271" s="5" t="n">
        <v>46295</v>
      </c>
      <c r="D4271" t="inlineStr">
        <is>
          <t>Stripe patient 41155</t>
        </is>
      </c>
      <c r="E4271" t="inlineStr">
        <is>
          <t>INV/2026/05542</t>
        </is>
      </c>
      <c r="F4271" t="inlineStr">
        <is>
          <t>Customer payment INV/2026/05542</t>
        </is>
      </c>
      <c r="G4271" s="9" t="n">
        <v>180</v>
      </c>
      <c r="H4271" t="inlineStr">
        <is>
          <t>customer_payment</t>
        </is>
      </c>
      <c r="I4271" t="inlineStr"/>
      <c r="J4271" t="inlineStr">
        <is>
          <t>G01308</t>
        </is>
      </c>
      <c r="K4271" t="str">
        <f>INDEX('Match Groups'!$D$5:$D$1326,MATCH(J4271,'Match Groups'!$A$5:$A$1326,0))</f>
        <v>OUT</v>
      </c>
    </row>
    <row r="4272">
      <c r="A4272" t="inlineStr">
        <is>
          <t>JI-03702</t>
        </is>
      </c>
      <c r="B4272" t="inlineStr">
        <is>
          <t>OPS</t>
        </is>
      </c>
      <c r="C4272" s="5" t="n">
        <v>46295</v>
      </c>
      <c r="D4272" t="inlineStr">
        <is>
          <t>Stripe patient 88246</t>
        </is>
      </c>
      <c r="E4272" t="inlineStr">
        <is>
          <t>INV/2026/05543</t>
        </is>
      </c>
      <c r="F4272" t="inlineStr">
        <is>
          <t>Customer payment INV/2026/05543</t>
        </is>
      </c>
      <c r="G4272" s="9" t="n">
        <v>180</v>
      </c>
      <c r="H4272" t="inlineStr">
        <is>
          <t>customer_payment</t>
        </is>
      </c>
      <c r="I4272" t="inlineStr"/>
      <c r="J4272" t="inlineStr">
        <is>
          <t>G01309</t>
        </is>
      </c>
      <c r="K4272" t="str">
        <f>INDEX('Match Groups'!$D$5:$D$1326,MATCH(J4272,'Match Groups'!$A$5:$A$1326,0))</f>
        <v>OUT</v>
      </c>
    </row>
    <row r="4273">
      <c r="A4273" t="inlineStr">
        <is>
          <t>JI-03703</t>
        </is>
      </c>
      <c r="B4273" t="inlineStr">
        <is>
          <t>OPS</t>
        </is>
      </c>
      <c r="C4273" s="5" t="n">
        <v>46295</v>
      </c>
      <c r="D4273" t="inlineStr">
        <is>
          <t>Stripe patient 43960</t>
        </is>
      </c>
      <c r="E4273" t="inlineStr">
        <is>
          <t>INV/2026/05544</t>
        </is>
      </c>
      <c r="F4273" t="inlineStr">
        <is>
          <t>Customer payment INV/2026/05544</t>
        </is>
      </c>
      <c r="G4273" s="9" t="n">
        <v>180</v>
      </c>
      <c r="H4273" t="inlineStr">
        <is>
          <t>customer_payment</t>
        </is>
      </c>
      <c r="I4273" t="inlineStr"/>
      <c r="J4273" t="inlineStr">
        <is>
          <t>G01310</t>
        </is>
      </c>
      <c r="K4273" t="str">
        <f>INDEX('Match Groups'!$D$5:$D$1326,MATCH(J4273,'Match Groups'!$A$5:$A$1326,0))</f>
        <v>OUT</v>
      </c>
    </row>
    <row r="4274">
      <c r="A4274" t="inlineStr">
        <is>
          <t>JI-03704</t>
        </is>
      </c>
      <c r="B4274" t="inlineStr">
        <is>
          <t>OPS</t>
        </is>
      </c>
      <c r="C4274" s="5" t="n">
        <v>46295</v>
      </c>
      <c r="D4274" t="inlineStr">
        <is>
          <t>Stripe patient 35331</t>
        </is>
      </c>
      <c r="E4274" t="inlineStr">
        <is>
          <t>INV/2026/05545</t>
        </is>
      </c>
      <c r="F4274" t="inlineStr">
        <is>
          <t>Customer payment INV/2026/05545</t>
        </is>
      </c>
      <c r="G4274" s="9" t="n">
        <v>85</v>
      </c>
      <c r="H4274" t="inlineStr">
        <is>
          <t>customer_payment</t>
        </is>
      </c>
      <c r="I4274" t="inlineStr"/>
      <c r="J4274" t="inlineStr">
        <is>
          <t>G01311</t>
        </is>
      </c>
      <c r="K4274" t="str">
        <f>INDEX('Match Groups'!$D$5:$D$1326,MATCH(J4274,'Match Groups'!$A$5:$A$1326,0))</f>
        <v>OUT</v>
      </c>
    </row>
    <row r="4275">
      <c r="A4275" t="inlineStr">
        <is>
          <t>JI-03705</t>
        </is>
      </c>
      <c r="B4275" t="inlineStr">
        <is>
          <t>OPS</t>
        </is>
      </c>
      <c r="C4275" s="5" t="n">
        <v>46295</v>
      </c>
      <c r="D4275" t="inlineStr">
        <is>
          <t>Stripe patient 23093</t>
        </is>
      </c>
      <c r="E4275" t="inlineStr">
        <is>
          <t>INV/2026/05546</t>
        </is>
      </c>
      <c r="F4275" t="inlineStr">
        <is>
          <t>Customer payment INV/2026/05546</t>
        </is>
      </c>
      <c r="G4275" s="9" t="n">
        <v>85</v>
      </c>
      <c r="H4275" t="inlineStr">
        <is>
          <t>customer_payment</t>
        </is>
      </c>
      <c r="I4275" t="inlineStr"/>
      <c r="J4275" t="inlineStr">
        <is>
          <t>G01312</t>
        </is>
      </c>
      <c r="K4275" t="str">
        <f>INDEX('Match Groups'!$D$5:$D$1326,MATCH(J4275,'Match Groups'!$A$5:$A$1326,0))</f>
        <v>OUT</v>
      </c>
    </row>
    <row r="4276">
      <c r="A4276" t="inlineStr">
        <is>
          <t>JI-03706</t>
        </is>
      </c>
      <c r="B4276" t="inlineStr">
        <is>
          <t>OPS</t>
        </is>
      </c>
      <c r="C4276" s="5" t="n">
        <v>46295</v>
      </c>
      <c r="D4276" t="inlineStr">
        <is>
          <t>Stripe patient 74567</t>
        </is>
      </c>
      <c r="E4276" t="inlineStr">
        <is>
          <t>INV/2026/05547</t>
        </is>
      </c>
      <c r="F4276" t="inlineStr">
        <is>
          <t>Customer payment INV/2026/05547</t>
        </is>
      </c>
      <c r="G4276" s="9" t="n">
        <v>65</v>
      </c>
      <c r="H4276" t="inlineStr">
        <is>
          <t>customer_payment</t>
        </is>
      </c>
      <c r="I4276" t="inlineStr"/>
      <c r="J4276" t="inlineStr">
        <is>
          <t>G01313</t>
        </is>
      </c>
      <c r="K4276" t="str">
        <f>INDEX('Match Groups'!$D$5:$D$1326,MATCH(J4276,'Match Groups'!$A$5:$A$1326,0))</f>
        <v>OUT</v>
      </c>
    </row>
    <row r="4277">
      <c r="A4277" t="inlineStr">
        <is>
          <t>JI-03707</t>
        </is>
      </c>
      <c r="B4277" t="inlineStr">
        <is>
          <t>OPS</t>
        </is>
      </c>
      <c r="C4277" s="5" t="n">
        <v>46295</v>
      </c>
      <c r="D4277" t="inlineStr">
        <is>
          <t>Stripe patient 27048</t>
        </is>
      </c>
      <c r="E4277" t="inlineStr">
        <is>
          <t>INV/2026/05548</t>
        </is>
      </c>
      <c r="F4277" t="inlineStr">
        <is>
          <t>Customer payment INV/2026/05548</t>
        </is>
      </c>
      <c r="G4277" s="9" t="n">
        <v>120</v>
      </c>
      <c r="H4277" t="inlineStr">
        <is>
          <t>customer_payment</t>
        </is>
      </c>
      <c r="I4277" t="inlineStr"/>
      <c r="J4277" t="inlineStr">
        <is>
          <t>G01314</t>
        </is>
      </c>
      <c r="K4277" t="str">
        <f>INDEX('Match Groups'!$D$5:$D$1326,MATCH(J4277,'Match Groups'!$A$5:$A$1326,0))</f>
        <v>OUT</v>
      </c>
    </row>
    <row r="4278">
      <c r="A4278" t="inlineStr">
        <is>
          <t>JI-03884</t>
        </is>
      </c>
      <c r="B4278" t="inlineStr">
        <is>
          <t>OPS</t>
        </is>
      </c>
      <c r="C4278" s="5" t="n">
        <v>46295</v>
      </c>
      <c r="D4278" t="inlineStr">
        <is>
          <t>Physio Supplies Direct</t>
        </is>
      </c>
      <c r="E4278" t="inlineStr">
        <is>
          <t>BILL/2026/0978</t>
        </is>
      </c>
      <c r="F4278" t="inlineStr">
        <is>
          <t>Vendor payment BILL/2026/0978 (BATCH/2026/0424)</t>
        </is>
      </c>
      <c r="G4278" s="9" t="n">
        <v>-397.1</v>
      </c>
      <c r="H4278" t="inlineStr">
        <is>
          <t>supplier_payment</t>
        </is>
      </c>
      <c r="I4278" t="inlineStr">
        <is>
          <t>BATCH/2026/0424</t>
        </is>
      </c>
      <c r="J4278" t="inlineStr">
        <is>
          <t>G00549</t>
        </is>
      </c>
      <c r="K4278" t="str">
        <f>INDEX('Match Groups'!$D$5:$D$1326,MATCH(J4278,'Match Groups'!$A$5:$A$1326,0))</f>
        <v>MATCH</v>
      </c>
    </row>
    <row r="4279">
      <c r="A4279" t="inlineStr">
        <is>
          <t>JI-03885</t>
        </is>
      </c>
      <c r="B4279" t="inlineStr">
        <is>
          <t>OPS</t>
        </is>
      </c>
      <c r="C4279" s="5" t="n">
        <v>46295</v>
      </c>
      <c r="D4279" t="inlineStr">
        <is>
          <t>Metro Waste Removal</t>
        </is>
      </c>
      <c r="E4279" t="inlineStr">
        <is>
          <t>BILL/2026/0979</t>
        </is>
      </c>
      <c r="F4279" t="inlineStr">
        <is>
          <t>Vendor payment BILL/2026/0979 (BATCH/2026/0424)</t>
        </is>
      </c>
      <c r="G4279" s="9" t="n">
        <v>-880</v>
      </c>
      <c r="H4279" t="inlineStr">
        <is>
          <t>supplier_payment</t>
        </is>
      </c>
      <c r="I4279" t="inlineStr">
        <is>
          <t>BATCH/2026/0424</t>
        </is>
      </c>
      <c r="J4279" t="inlineStr">
        <is>
          <t>G00549</t>
        </is>
      </c>
      <c r="K4279" t="str">
        <f>INDEX('Match Groups'!$D$5:$D$1326,MATCH(J4279,'Match Groups'!$A$5:$A$1326,0))</f>
        <v>MATCH</v>
      </c>
    </row>
    <row r="4280">
      <c r="A4280" t="inlineStr">
        <is>
          <t>JI-03886</t>
        </is>
      </c>
      <c r="B4280" t="inlineStr">
        <is>
          <t>OPS</t>
        </is>
      </c>
      <c r="C4280" s="5" t="n">
        <v>46295</v>
      </c>
      <c r="D4280" t="inlineStr">
        <is>
          <t>Practice Fitout Joinery</t>
        </is>
      </c>
      <c r="E4280" t="inlineStr">
        <is>
          <t>BILL/2026/0981</t>
        </is>
      </c>
      <c r="F4280" t="inlineStr">
        <is>
          <t>Vendor payment BILL/2026/0981 (BATCH/2026/0424)</t>
        </is>
      </c>
      <c r="G4280" s="9" t="n">
        <v>-660</v>
      </c>
      <c r="H4280" t="inlineStr">
        <is>
          <t>supplier_payment</t>
        </is>
      </c>
      <c r="I4280" t="inlineStr">
        <is>
          <t>BATCH/2026/0424</t>
        </is>
      </c>
      <c r="J4280" t="inlineStr">
        <is>
          <t>G00549</t>
        </is>
      </c>
      <c r="K4280" t="str">
        <f>INDEX('Match Groups'!$D$5:$D$1326,MATCH(J4280,'Match Groups'!$A$5:$A$1326,0))</f>
        <v>MATCH</v>
      </c>
    </row>
    <row r="4281">
      <c r="A4281" t="inlineStr">
        <is>
          <t>JI-03887</t>
        </is>
      </c>
      <c r="B4281" t="inlineStr">
        <is>
          <t>OPS</t>
        </is>
      </c>
      <c r="C4281" s="5" t="n">
        <v>46295</v>
      </c>
      <c r="D4281" t="inlineStr">
        <is>
          <t>Medilab Pathology</t>
        </is>
      </c>
      <c r="E4281" t="inlineStr">
        <is>
          <t>BILL/2026/0977</t>
        </is>
      </c>
      <c r="F4281" t="inlineStr">
        <is>
          <t>Vendor payment BILL/2026/0977 (BATCH/2026/0424)</t>
        </is>
      </c>
      <c r="G4281" s="9" t="n">
        <v>-892.1</v>
      </c>
      <c r="H4281" t="inlineStr">
        <is>
          <t>supplier_payment</t>
        </is>
      </c>
      <c r="I4281" t="inlineStr">
        <is>
          <t>BATCH/2026/0424</t>
        </is>
      </c>
      <c r="J4281" t="inlineStr">
        <is>
          <t>G00549</t>
        </is>
      </c>
      <c r="K4281" t="str">
        <f>INDEX('Match Groups'!$D$5:$D$1326,MATCH(J4281,'Match Groups'!$A$5:$A$1326,0))</f>
        <v>MATCH</v>
      </c>
    </row>
    <row r="4282">
      <c r="A4282" t="inlineStr">
        <is>
          <t>JI-03888</t>
        </is>
      </c>
      <c r="B4282" t="inlineStr">
        <is>
          <t>OPS</t>
        </is>
      </c>
      <c r="C4282" s="5" t="n">
        <v>46295</v>
      </c>
      <c r="D4282" t="inlineStr">
        <is>
          <t>Prime Print Services</t>
        </is>
      </c>
      <c r="E4282" t="inlineStr">
        <is>
          <t>BILL/2026/0985</t>
        </is>
      </c>
      <c r="F4282" t="inlineStr">
        <is>
          <t>Vendor payment BILL/2026/0985 (BATCH/2026/0424)</t>
        </is>
      </c>
      <c r="G4282" s="9" t="n">
        <v>-507.1</v>
      </c>
      <c r="H4282" t="inlineStr">
        <is>
          <t>supplier_payment</t>
        </is>
      </c>
      <c r="I4282" t="inlineStr">
        <is>
          <t>BATCH/2026/0424</t>
        </is>
      </c>
      <c r="J4282" t="inlineStr">
        <is>
          <t>G00549</t>
        </is>
      </c>
      <c r="K4282" t="str">
        <f>INDEX('Match Groups'!$D$5:$D$1326,MATCH(J4282,'Match Groups'!$A$5:$A$1326,0))</f>
        <v>MATCH</v>
      </c>
    </row>
    <row r="4283">
      <c r="A4283" t="inlineStr">
        <is>
          <t>JI-03889</t>
        </is>
      </c>
      <c r="B4283" t="inlineStr">
        <is>
          <t>OPS</t>
        </is>
      </c>
      <c r="C4283" s="5" t="n">
        <v>46295</v>
      </c>
      <c r="D4283" t="inlineStr">
        <is>
          <t>Payroll Compliance Advisers</t>
        </is>
      </c>
      <c r="E4283" t="inlineStr">
        <is>
          <t>BILL/2026/0983</t>
        </is>
      </c>
      <c r="F4283" t="inlineStr">
        <is>
          <t>Vendor payment BILL/2026/0983 (BATCH/2026/0424)</t>
        </is>
      </c>
      <c r="G4283" s="9" t="n">
        <v>-1210</v>
      </c>
      <c r="H4283" t="inlineStr">
        <is>
          <t>supplier_payment</t>
        </is>
      </c>
      <c r="I4283" t="inlineStr">
        <is>
          <t>BATCH/2026/0424</t>
        </is>
      </c>
      <c r="J4283" t="inlineStr">
        <is>
          <t>G00549</t>
        </is>
      </c>
      <c r="K4283" t="str">
        <f>INDEX('Match Groups'!$D$5:$D$1326,MATCH(J4283,'Match Groups'!$A$5:$A$1326,0))</f>
        <v>MATCH</v>
      </c>
    </row>
    <row r="4284">
      <c r="A4284" t="inlineStr">
        <is>
          <t>JI-03890</t>
        </is>
      </c>
      <c r="B4284" t="inlineStr">
        <is>
          <t>OPS</t>
        </is>
      </c>
      <c r="C4284" s="5" t="n">
        <v>46295</v>
      </c>
      <c r="D4284" t="inlineStr">
        <is>
          <t>Ledgerline Tax Advisers</t>
        </is>
      </c>
      <c r="E4284" t="inlineStr">
        <is>
          <t>BILL/2026/0984</t>
        </is>
      </c>
      <c r="F4284" t="inlineStr">
        <is>
          <t>Vendor payment BILL/2026/0984 (BATCH/2026/0424)</t>
        </is>
      </c>
      <c r="G4284" s="9" t="n">
        <v>-880</v>
      </c>
      <c r="H4284" t="inlineStr">
        <is>
          <t>supplier_payment</t>
        </is>
      </c>
      <c r="I4284" t="inlineStr">
        <is>
          <t>BATCH/2026/0424</t>
        </is>
      </c>
      <c r="J4284" t="inlineStr">
        <is>
          <t>G00549</t>
        </is>
      </c>
      <c r="K4284" t="str">
        <f>INDEX('Match Groups'!$D$5:$D$1326,MATCH(J4284,'Match Groups'!$A$5:$A$1326,0))</f>
        <v>MATCH</v>
      </c>
    </row>
    <row r="4285">
      <c r="A4285" t="inlineStr">
        <is>
          <t>JI-03891</t>
        </is>
      </c>
      <c r="B4285" t="inlineStr">
        <is>
          <t>OPS</t>
        </is>
      </c>
      <c r="C4285" s="5" t="n">
        <v>46295</v>
      </c>
      <c r="D4285" t="inlineStr">
        <is>
          <t>Harbour IT Support</t>
        </is>
      </c>
      <c r="E4285" t="inlineStr">
        <is>
          <t>BILL/2026/0982</t>
        </is>
      </c>
      <c r="F4285" t="inlineStr">
        <is>
          <t>Vendor payment BILL/2026/0982 (BATCH/2026/0424)</t>
        </is>
      </c>
      <c r="G4285" s="9" t="n">
        <v>-1210</v>
      </c>
      <c r="H4285" t="inlineStr">
        <is>
          <t>supplier_payment</t>
        </is>
      </c>
      <c r="I4285" t="inlineStr">
        <is>
          <t>BATCH/2026/0424</t>
        </is>
      </c>
      <c r="J4285" t="inlineStr">
        <is>
          <t>G00549</t>
        </is>
      </c>
      <c r="K4285" t="str">
        <f>INDEX('Match Groups'!$D$5:$D$1326,MATCH(J4285,'Match Groups'!$A$5:$A$1326,0))</f>
        <v>MATCH</v>
      </c>
    </row>
    <row r="4286">
      <c r="A4286" t="inlineStr">
        <is>
          <t>JI-03892</t>
        </is>
      </c>
      <c r="B4286" t="inlineStr">
        <is>
          <t>OPS</t>
        </is>
      </c>
      <c r="C4286" s="5" t="n">
        <v>46295</v>
      </c>
      <c r="D4286" t="inlineStr">
        <is>
          <t>Fibrewire Networks</t>
        </is>
      </c>
      <c r="E4286" t="inlineStr">
        <is>
          <t>BILL/2026/0986</t>
        </is>
      </c>
      <c r="F4286" t="inlineStr">
        <is>
          <t>Vendor payment BILL/2026/0986 (BATCH/2026/0424)</t>
        </is>
      </c>
      <c r="G4286" s="9" t="n">
        <v>-880</v>
      </c>
      <c r="H4286" t="inlineStr">
        <is>
          <t>supplier_payment</t>
        </is>
      </c>
      <c r="I4286" t="inlineStr">
        <is>
          <t>BATCH/2026/0424</t>
        </is>
      </c>
      <c r="J4286" t="inlineStr">
        <is>
          <t>G00549</t>
        </is>
      </c>
      <c r="K4286" t="str">
        <f>INDEX('Match Groups'!$D$5:$D$1326,MATCH(J4286,'Match Groups'!$A$5:$A$1326,0))</f>
        <v>MATCH</v>
      </c>
    </row>
    <row r="4287">
      <c r="A4287" t="inlineStr">
        <is>
          <t>JI-03893</t>
        </is>
      </c>
      <c r="B4287" t="inlineStr">
        <is>
          <t>OPS</t>
        </is>
      </c>
      <c r="C4287" s="5" t="n">
        <v>46295</v>
      </c>
      <c r="D4287" t="inlineStr">
        <is>
          <t>Statewide Uniforms</t>
        </is>
      </c>
      <c r="E4287" t="inlineStr">
        <is>
          <t>BILL/2026/0980</t>
        </is>
      </c>
      <c r="F4287" t="inlineStr">
        <is>
          <t>Vendor payment BILL/2026/0980 (BATCH/2026/0424)</t>
        </is>
      </c>
      <c r="G4287" s="9" t="n">
        <v>-201.3</v>
      </c>
      <c r="H4287" t="inlineStr">
        <is>
          <t>supplier_payment</t>
        </is>
      </c>
      <c r="I4287" t="inlineStr">
        <is>
          <t>BATCH/2026/0424</t>
        </is>
      </c>
      <c r="J4287" t="inlineStr">
        <is>
          <t>G00549</t>
        </is>
      </c>
      <c r="K4287" t="str">
        <f>INDEX('Match Groups'!$D$5:$D$1326,MATCH(J4287,'Match Groups'!$A$5:$A$1326,0))</f>
        <v>MATCH</v>
      </c>
    </row>
    <row r="4288">
      <c r="A4288" t="inlineStr">
        <is>
          <t>JI-04315</t>
        </is>
      </c>
      <c r="B4288" t="inlineStr">
        <is>
          <t>OPS</t>
        </is>
      </c>
      <c r="C4288" s="5" t="n">
        <v>46295</v>
      </c>
      <c r="D4288" t="inlineStr">
        <is>
          <t>Internal transfer</t>
        </is>
      </c>
      <c r="E4288" t="inlineStr">
        <is>
          <t>FX0930</t>
        </is>
      </c>
      <c r="F4288" t="inlineStr">
        <is>
          <t>Transfer to USD account (USD 5,000.00 @ 0.6612)</t>
        </is>
      </c>
      <c r="G4288" s="9" t="n">
        <v>-7562.01</v>
      </c>
      <c r="H4288" t="inlineStr">
        <is>
          <t>transfer</t>
        </is>
      </c>
      <c r="I4288" t="inlineStr"/>
      <c r="J4288" t="inlineStr">
        <is>
          <t>G00550</t>
        </is>
      </c>
      <c r="K4288" t="str">
        <f>INDEX('Match Groups'!$D$5:$D$1326,MATCH(J4288,'Match Groups'!$A$5:$A$1326,0))</f>
        <v>MATCH</v>
      </c>
    </row>
    <row r="4289">
      <c r="A4289" t="inlineStr">
        <is>
          <t>JI-03932</t>
        </is>
      </c>
      <c r="B4289" t="inlineStr">
        <is>
          <t>PAY</t>
        </is>
      </c>
      <c r="C4289" s="5" t="n">
        <v>46204</v>
      </c>
      <c r="D4289" t="inlineStr">
        <is>
          <t>Internal transfer</t>
        </is>
      </c>
      <c r="E4289" t="inlineStr">
        <is>
          <t>TFR PR260702</t>
        </is>
      </c>
      <c r="F4289" t="inlineStr">
        <is>
          <t>Transfer from operating PR260702</t>
        </is>
      </c>
      <c r="G4289" s="9" t="n">
        <v>167671.63</v>
      </c>
      <c r="H4289" t="inlineStr">
        <is>
          <t>transfer</t>
        </is>
      </c>
      <c r="I4289" t="inlineStr"/>
      <c r="J4289" t="inlineStr">
        <is>
          <t>G00558</t>
        </is>
      </c>
      <c r="K4289" t="str">
        <f>INDEX('Match Groups'!$D$5:$D$1326,MATCH(J4289,'Match Groups'!$A$5:$A$1326,0))</f>
        <v>MATCH</v>
      </c>
    </row>
    <row r="4290">
      <c r="A4290" t="inlineStr">
        <is>
          <t>JI-03933</t>
        </is>
      </c>
      <c r="B4290" t="inlineStr">
        <is>
          <t>PAY</t>
        </is>
      </c>
      <c r="C4290" s="5" t="n">
        <v>46205</v>
      </c>
      <c r="D4290" t="inlineStr">
        <is>
          <t>Payroll</t>
        </is>
      </c>
      <c r="E4290" t="inlineStr">
        <is>
          <t>PR260702</t>
        </is>
      </c>
      <c r="F4290" t="inlineStr">
        <is>
          <t>Net wages pay run PR260702</t>
        </is>
      </c>
      <c r="G4290" s="9" t="n">
        <v>-147080.38</v>
      </c>
      <c r="H4290" t="inlineStr">
        <is>
          <t>entry</t>
        </is>
      </c>
      <c r="I4290" t="inlineStr"/>
      <c r="J4290" t="inlineStr">
        <is>
          <t>G00551</t>
        </is>
      </c>
      <c r="K4290" t="str">
        <f>INDEX('Match Groups'!$D$5:$D$1326,MATCH(J4290,'Match Groups'!$A$5:$A$1326,0))</f>
        <v>MATCH</v>
      </c>
    </row>
    <row r="4291">
      <c r="A4291" t="inlineStr">
        <is>
          <t>JI-03934</t>
        </is>
      </c>
      <c r="B4291" t="inlineStr">
        <is>
          <t>PAY</t>
        </is>
      </c>
      <c r="C4291" s="5" t="n">
        <v>46212</v>
      </c>
      <c r="D4291" t="inlineStr">
        <is>
          <t>Super clearing house</t>
        </is>
      </c>
      <c r="E4291" t="inlineStr">
        <is>
          <t>SUPER PR260702</t>
        </is>
      </c>
      <c r="F4291" t="inlineStr">
        <is>
          <t>Super contributions PR260702</t>
        </is>
      </c>
      <c r="G4291" s="9" t="n">
        <v>-20591.25</v>
      </c>
      <c r="H4291" t="inlineStr">
        <is>
          <t>entry</t>
        </is>
      </c>
      <c r="I4291" t="inlineStr"/>
      <c r="J4291" t="inlineStr">
        <is>
          <t>G00559</t>
        </is>
      </c>
      <c r="K4291" t="str">
        <f>INDEX('Match Groups'!$D$5:$D$1326,MATCH(J4291,'Match Groups'!$A$5:$A$1326,0))</f>
        <v>MATCH</v>
      </c>
    </row>
    <row r="4292">
      <c r="A4292" t="inlineStr">
        <is>
          <t>JI-03936</t>
        </is>
      </c>
      <c r="B4292" t="inlineStr">
        <is>
          <t>PAY</t>
        </is>
      </c>
      <c r="C4292" s="5" t="n">
        <v>46218</v>
      </c>
      <c r="D4292" t="inlineStr">
        <is>
          <t>Internal transfer</t>
        </is>
      </c>
      <c r="E4292" t="inlineStr">
        <is>
          <t>TFR PR260716</t>
        </is>
      </c>
      <c r="F4292" t="inlineStr">
        <is>
          <t>Transfer from operating PR260716</t>
        </is>
      </c>
      <c r="G4292" s="9" t="n">
        <v>203128.08</v>
      </c>
      <c r="H4292" t="inlineStr">
        <is>
          <t>transfer</t>
        </is>
      </c>
      <c r="I4292" t="inlineStr"/>
      <c r="J4292" t="inlineStr">
        <is>
          <t>G00560</t>
        </is>
      </c>
      <c r="K4292" t="str">
        <f>INDEX('Match Groups'!$D$5:$D$1326,MATCH(J4292,'Match Groups'!$A$5:$A$1326,0))</f>
        <v>MATCH</v>
      </c>
    </row>
    <row r="4293">
      <c r="A4293" t="inlineStr">
        <is>
          <t>JI-03937</t>
        </is>
      </c>
      <c r="B4293" t="inlineStr">
        <is>
          <t>PAY</t>
        </is>
      </c>
      <c r="C4293" s="5" t="n">
        <v>46219</v>
      </c>
      <c r="D4293" t="inlineStr">
        <is>
          <t>Payroll</t>
        </is>
      </c>
      <c r="E4293" t="inlineStr">
        <is>
          <t>PR260716</t>
        </is>
      </c>
      <c r="F4293" t="inlineStr">
        <is>
          <t>Net wages pay run PR260716</t>
        </is>
      </c>
      <c r="G4293" s="9" t="n">
        <v>-147194.26</v>
      </c>
      <c r="H4293" t="inlineStr">
        <is>
          <t>entry</t>
        </is>
      </c>
      <c r="I4293" t="inlineStr"/>
      <c r="J4293" t="inlineStr">
        <is>
          <t>G00552</t>
        </is>
      </c>
      <c r="K4293" t="str">
        <f>INDEX('Match Groups'!$D$5:$D$1326,MATCH(J4293,'Match Groups'!$A$5:$A$1326,0))</f>
        <v>MATCH</v>
      </c>
    </row>
    <row r="4294">
      <c r="A4294" t="inlineStr">
        <is>
          <t>JI-03938</t>
        </is>
      </c>
      <c r="B4294" t="inlineStr">
        <is>
          <t>PAY</t>
        </is>
      </c>
      <c r="C4294" s="5" t="n">
        <v>46223</v>
      </c>
      <c r="D4294" t="inlineStr">
        <is>
          <t>Super clearing house</t>
        </is>
      </c>
      <c r="E4294" t="inlineStr">
        <is>
          <t>SUPER PR260716</t>
        </is>
      </c>
      <c r="F4294" t="inlineStr">
        <is>
          <t>Super contributions PR260716</t>
        </is>
      </c>
      <c r="G4294" s="9" t="n">
        <v>-20607.2</v>
      </c>
      <c r="H4294" t="inlineStr">
        <is>
          <t>entry</t>
        </is>
      </c>
      <c r="I4294" t="inlineStr"/>
      <c r="J4294" t="inlineStr">
        <is>
          <t>G01240</t>
        </is>
      </c>
      <c r="K4294" t="str">
        <f>INDEX('Match Groups'!$D$5:$D$1326,MATCH(J4294,'Match Groups'!$A$5:$A$1326,0))</f>
        <v>MATCH</v>
      </c>
    </row>
    <row r="4295">
      <c r="A4295" t="inlineStr">
        <is>
          <t>JI-03939</t>
        </is>
      </c>
      <c r="B4295" t="inlineStr">
        <is>
          <t>PAY</t>
        </is>
      </c>
      <c r="C4295" s="5" t="n">
        <v>46224</v>
      </c>
      <c r="D4295" t="inlineStr">
        <is>
          <t>Australian Taxation Office</t>
        </is>
      </c>
      <c r="E4295" t="inlineStr">
        <is>
          <t>PAYG PR260716</t>
        </is>
      </c>
      <c r="F4295" t="inlineStr">
        <is>
          <t>PAYG withholding PR260716</t>
        </is>
      </c>
      <c r="G4295" s="9" t="n">
        <v>-35326.62</v>
      </c>
      <c r="H4295" t="inlineStr">
        <is>
          <t>entry</t>
        </is>
      </c>
      <c r="I4295" t="inlineStr"/>
      <c r="J4295" t="inlineStr">
        <is>
          <t>G01241</t>
        </is>
      </c>
      <c r="K4295" t="str">
        <f>INDEX('Match Groups'!$D$5:$D$1326,MATCH(J4295,'Match Groups'!$A$5:$A$1326,0))</f>
        <v>MATCH</v>
      </c>
    </row>
    <row r="4296">
      <c r="A4296" t="inlineStr">
        <is>
          <t>JI-03941</t>
        </is>
      </c>
      <c r="B4296" t="inlineStr">
        <is>
          <t>PAY</t>
        </is>
      </c>
      <c r="C4296" s="5" t="n">
        <v>46232</v>
      </c>
      <c r="D4296" t="inlineStr">
        <is>
          <t>Internal transfer</t>
        </is>
      </c>
      <c r="E4296" t="inlineStr">
        <is>
          <t>TFR PR260730</t>
        </is>
      </c>
      <c r="F4296" t="inlineStr">
        <is>
          <t>Transfer from operating PR260730</t>
        </is>
      </c>
      <c r="G4296" s="9" t="n">
        <v>166344.16</v>
      </c>
      <c r="H4296" t="inlineStr">
        <is>
          <t>transfer</t>
        </is>
      </c>
      <c r="I4296" t="inlineStr"/>
      <c r="J4296" t="inlineStr">
        <is>
          <t>G00561</t>
        </is>
      </c>
      <c r="K4296" t="str">
        <f>INDEX('Match Groups'!$D$5:$D$1326,MATCH(J4296,'Match Groups'!$A$5:$A$1326,0))</f>
        <v>MATCH</v>
      </c>
    </row>
    <row r="4297">
      <c r="A4297" t="inlineStr">
        <is>
          <t>JI-03942</t>
        </is>
      </c>
      <c r="B4297" t="inlineStr">
        <is>
          <t>PAY</t>
        </is>
      </c>
      <c r="C4297" s="5" t="n">
        <v>46233</v>
      </c>
      <c r="D4297" t="inlineStr">
        <is>
          <t>Payroll</t>
        </is>
      </c>
      <c r="E4297" t="inlineStr">
        <is>
          <t>PR260730</t>
        </is>
      </c>
      <c r="F4297" t="inlineStr">
        <is>
          <t>Net wages pay run PR260730</t>
        </is>
      </c>
      <c r="G4297" s="9" t="n">
        <v>-145915.93</v>
      </c>
      <c r="H4297" t="inlineStr">
        <is>
          <t>entry</t>
        </is>
      </c>
      <c r="I4297" t="inlineStr"/>
      <c r="J4297" t="inlineStr">
        <is>
          <t>G00553</t>
        </is>
      </c>
      <c r="K4297" t="str">
        <f>INDEX('Match Groups'!$D$5:$D$1326,MATCH(J4297,'Match Groups'!$A$5:$A$1326,0))</f>
        <v>MATCH</v>
      </c>
    </row>
    <row r="4298">
      <c r="A4298" t="inlineStr">
        <is>
          <t>JI-03943</t>
        </is>
      </c>
      <c r="B4298" t="inlineStr">
        <is>
          <t>PAY</t>
        </is>
      </c>
      <c r="C4298" s="5" t="n">
        <v>46238</v>
      </c>
      <c r="D4298" t="inlineStr">
        <is>
          <t>Super clearing house</t>
        </is>
      </c>
      <c r="E4298" t="inlineStr">
        <is>
          <t>SUPER PR260730</t>
        </is>
      </c>
      <c r="F4298" t="inlineStr">
        <is>
          <t>Super contributions PR260730</t>
        </is>
      </c>
      <c r="G4298" s="9" t="n">
        <v>-20428.23</v>
      </c>
      <c r="H4298" t="inlineStr">
        <is>
          <t>entry</t>
        </is>
      </c>
      <c r="I4298" t="inlineStr"/>
      <c r="J4298" t="inlineStr">
        <is>
          <t>G00562</t>
        </is>
      </c>
      <c r="K4298" t="str">
        <f>INDEX('Match Groups'!$D$5:$D$1326,MATCH(J4298,'Match Groups'!$A$5:$A$1326,0))</f>
        <v>MATCH</v>
      </c>
    </row>
    <row r="4299">
      <c r="A4299" t="inlineStr">
        <is>
          <t>JI-03945</t>
        </is>
      </c>
      <c r="B4299" t="inlineStr">
        <is>
          <t>PAY</t>
        </is>
      </c>
      <c r="C4299" s="5" t="n">
        <v>46246</v>
      </c>
      <c r="D4299" t="inlineStr">
        <is>
          <t>Internal transfer</t>
        </is>
      </c>
      <c r="E4299" t="inlineStr">
        <is>
          <t>TFR PR260813</t>
        </is>
      </c>
      <c r="F4299" t="inlineStr">
        <is>
          <t>Transfer from operating PR260813</t>
        </is>
      </c>
      <c r="G4299" s="9" t="n">
        <v>201473.62</v>
      </c>
      <c r="H4299" t="inlineStr">
        <is>
          <t>transfer</t>
        </is>
      </c>
      <c r="I4299" t="inlineStr"/>
      <c r="J4299" t="inlineStr">
        <is>
          <t>G00563</t>
        </is>
      </c>
      <c r="K4299" t="str">
        <f>INDEX('Match Groups'!$D$5:$D$1326,MATCH(J4299,'Match Groups'!$A$5:$A$1326,0))</f>
        <v>MATCH</v>
      </c>
    </row>
    <row r="4300">
      <c r="A4300" t="inlineStr">
        <is>
          <t>JI-03946</t>
        </is>
      </c>
      <c r="B4300" t="inlineStr">
        <is>
          <t>PAY</t>
        </is>
      </c>
      <c r="C4300" s="5" t="n">
        <v>46247</v>
      </c>
      <c r="D4300" t="inlineStr">
        <is>
          <t>Payroll</t>
        </is>
      </c>
      <c r="E4300" t="inlineStr">
        <is>
          <t>PR260813</t>
        </is>
      </c>
      <c r="F4300" t="inlineStr">
        <is>
          <t>Net wages pay run PR260813</t>
        </is>
      </c>
      <c r="G4300" s="9" t="n">
        <v>-145995.38</v>
      </c>
      <c r="H4300" t="inlineStr">
        <is>
          <t>entry</t>
        </is>
      </c>
      <c r="I4300" t="inlineStr"/>
      <c r="J4300" t="inlineStr">
        <is>
          <t>G00554</t>
        </is>
      </c>
      <c r="K4300" t="str">
        <f>INDEX('Match Groups'!$D$5:$D$1326,MATCH(J4300,'Match Groups'!$A$5:$A$1326,0))</f>
        <v>MATCH</v>
      </c>
    </row>
    <row r="4301">
      <c r="A4301" t="inlineStr">
        <is>
          <t>JI-03947</t>
        </is>
      </c>
      <c r="B4301" t="inlineStr">
        <is>
          <t>PAY</t>
        </is>
      </c>
      <c r="C4301" s="5" t="n">
        <v>46251</v>
      </c>
      <c r="D4301" t="inlineStr">
        <is>
          <t>Super clearing house</t>
        </is>
      </c>
      <c r="E4301" t="inlineStr">
        <is>
          <t>SUPER PR260813</t>
        </is>
      </c>
      <c r="F4301" t="inlineStr">
        <is>
          <t>Super contributions PR260813</t>
        </is>
      </c>
      <c r="G4301" s="9" t="n">
        <v>-20439.35</v>
      </c>
      <c r="H4301" t="inlineStr">
        <is>
          <t>entry</t>
        </is>
      </c>
      <c r="I4301" t="inlineStr"/>
      <c r="J4301" t="inlineStr">
        <is>
          <t>G01242</t>
        </is>
      </c>
      <c r="K4301" t="str">
        <f>INDEX('Match Groups'!$D$5:$D$1326,MATCH(J4301,'Match Groups'!$A$5:$A$1326,0))</f>
        <v>MATCH</v>
      </c>
    </row>
    <row r="4302">
      <c r="A4302" t="inlineStr">
        <is>
          <t>JI-03948</t>
        </is>
      </c>
      <c r="B4302" t="inlineStr">
        <is>
          <t>PAY</t>
        </is>
      </c>
      <c r="C4302" s="5" t="n">
        <v>46255</v>
      </c>
      <c r="D4302" t="inlineStr">
        <is>
          <t>Australian Taxation Office</t>
        </is>
      </c>
      <c r="E4302" t="inlineStr">
        <is>
          <t>PAYG PR260813</t>
        </is>
      </c>
      <c r="F4302" t="inlineStr">
        <is>
          <t>PAYG withholding PR260813</t>
        </is>
      </c>
      <c r="G4302" s="9" t="n">
        <v>-35038.89</v>
      </c>
      <c r="H4302" t="inlineStr">
        <is>
          <t>entry</t>
        </is>
      </c>
      <c r="I4302" t="inlineStr"/>
      <c r="J4302" t="inlineStr">
        <is>
          <t>G01243</t>
        </is>
      </c>
      <c r="K4302" t="str">
        <f>INDEX('Match Groups'!$D$5:$D$1326,MATCH(J4302,'Match Groups'!$A$5:$A$1326,0))</f>
        <v>MATCH</v>
      </c>
    </row>
    <row r="4303">
      <c r="A4303" t="inlineStr">
        <is>
          <t>JI-03950</t>
        </is>
      </c>
      <c r="B4303" t="inlineStr">
        <is>
          <t>PAY</t>
        </is>
      </c>
      <c r="C4303" s="5" t="n">
        <v>46261</v>
      </c>
      <c r="D4303" t="inlineStr">
        <is>
          <t>Internal transfer</t>
        </is>
      </c>
      <c r="E4303" t="inlineStr">
        <is>
          <t>TFR PR260827</t>
        </is>
      </c>
      <c r="F4303" t="inlineStr">
        <is>
          <t>Transfer from operating PR260827</t>
        </is>
      </c>
      <c r="G4303" s="9" t="n">
        <v>166350.27</v>
      </c>
      <c r="H4303" t="inlineStr">
        <is>
          <t>transfer</t>
        </is>
      </c>
      <c r="I4303" t="inlineStr"/>
      <c r="J4303" t="inlineStr">
        <is>
          <t>G00564</t>
        </is>
      </c>
      <c r="K4303" t="str">
        <f>INDEX('Match Groups'!$D$5:$D$1326,MATCH(J4303,'Match Groups'!$A$5:$A$1326,0))</f>
        <v>MATCH</v>
      </c>
    </row>
    <row r="4304">
      <c r="A4304" t="inlineStr">
        <is>
          <t>JI-03951</t>
        </is>
      </c>
      <c r="B4304" t="inlineStr">
        <is>
          <t>PAY</t>
        </is>
      </c>
      <c r="C4304" s="5" t="n">
        <v>46261</v>
      </c>
      <c r="D4304" t="inlineStr">
        <is>
          <t>Payroll</t>
        </is>
      </c>
      <c r="E4304" t="inlineStr">
        <is>
          <t>PR260827</t>
        </is>
      </c>
      <c r="F4304" t="inlineStr">
        <is>
          <t>Net wages pay run PR260827</t>
        </is>
      </c>
      <c r="G4304" s="9" t="n">
        <v>-145921.29</v>
      </c>
      <c r="H4304" t="inlineStr">
        <is>
          <t>entry</t>
        </is>
      </c>
      <c r="I4304" t="inlineStr"/>
      <c r="J4304" t="inlineStr">
        <is>
          <t>G00555</t>
        </is>
      </c>
      <c r="K4304" t="str">
        <f>INDEX('Match Groups'!$D$5:$D$1326,MATCH(J4304,'Match Groups'!$A$5:$A$1326,0))</f>
        <v>MATCH</v>
      </c>
    </row>
    <row r="4305">
      <c r="A4305" t="inlineStr">
        <is>
          <t>JI-03952</t>
        </is>
      </c>
      <c r="B4305" t="inlineStr">
        <is>
          <t>PAY</t>
        </is>
      </c>
      <c r="C4305" s="5" t="n">
        <v>46265</v>
      </c>
      <c r="D4305" t="inlineStr">
        <is>
          <t>Super clearing house</t>
        </is>
      </c>
      <c r="E4305" t="inlineStr">
        <is>
          <t>SUPER PR260827</t>
        </is>
      </c>
      <c r="F4305" t="inlineStr">
        <is>
          <t>Super contributions PR260827</t>
        </is>
      </c>
      <c r="G4305" s="9" t="n">
        <v>-20428.98</v>
      </c>
      <c r="H4305" t="inlineStr">
        <is>
          <t>entry</t>
        </is>
      </c>
      <c r="I4305" t="inlineStr"/>
      <c r="J4305" t="inlineStr">
        <is>
          <t>G00565</t>
        </is>
      </c>
      <c r="K4305" t="str">
        <f>INDEX('Match Groups'!$D$5:$D$1326,MATCH(J4305,'Match Groups'!$A$5:$A$1326,0))</f>
        <v>MATCH</v>
      </c>
    </row>
    <row r="4306">
      <c r="A4306" t="inlineStr">
        <is>
          <t>JI-03954</t>
        </is>
      </c>
      <c r="B4306" t="inlineStr">
        <is>
          <t>PAY</t>
        </is>
      </c>
      <c r="C4306" s="5" t="n">
        <v>46274</v>
      </c>
      <c r="D4306" t="inlineStr">
        <is>
          <t>Internal transfer</t>
        </is>
      </c>
      <c r="E4306" t="inlineStr">
        <is>
          <t>TFR PR260910</t>
        </is>
      </c>
      <c r="F4306" t="inlineStr">
        <is>
          <t>Transfer from operating PR260910</t>
        </is>
      </c>
      <c r="G4306" s="9" t="n">
        <v>205404.05</v>
      </c>
      <c r="H4306" t="inlineStr">
        <is>
          <t>transfer</t>
        </is>
      </c>
      <c r="I4306" t="inlineStr"/>
      <c r="J4306" t="inlineStr">
        <is>
          <t>G00566</t>
        </is>
      </c>
      <c r="K4306" t="str">
        <f>INDEX('Match Groups'!$D$5:$D$1326,MATCH(J4306,'Match Groups'!$A$5:$A$1326,0))</f>
        <v>MATCH</v>
      </c>
    </row>
    <row r="4307">
      <c r="A4307" t="inlineStr">
        <is>
          <t>JI-03955</t>
        </is>
      </c>
      <c r="B4307" t="inlineStr">
        <is>
          <t>PAY</t>
        </is>
      </c>
      <c r="C4307" s="5" t="n">
        <v>46275</v>
      </c>
      <c r="D4307" t="inlineStr">
        <is>
          <t>Payroll</t>
        </is>
      </c>
      <c r="E4307" t="inlineStr">
        <is>
          <t>PR260910</t>
        </is>
      </c>
      <c r="F4307" t="inlineStr">
        <is>
          <t>Net wages pay run PR260910</t>
        </is>
      </c>
      <c r="G4307" s="9" t="n">
        <v>-148843.52</v>
      </c>
      <c r="H4307" t="inlineStr">
        <is>
          <t>entry</t>
        </is>
      </c>
      <c r="I4307" t="inlineStr"/>
      <c r="J4307" t="inlineStr">
        <is>
          <t>G00556</t>
        </is>
      </c>
      <c r="K4307" t="str">
        <f>INDEX('Match Groups'!$D$5:$D$1326,MATCH(J4307,'Match Groups'!$A$5:$A$1326,0))</f>
        <v>MATCH</v>
      </c>
    </row>
    <row r="4308">
      <c r="A4308" t="inlineStr">
        <is>
          <t>JI-03956</t>
        </is>
      </c>
      <c r="B4308" t="inlineStr">
        <is>
          <t>PAY</t>
        </is>
      </c>
      <c r="C4308" s="5" t="n">
        <v>46282</v>
      </c>
      <c r="D4308" t="inlineStr">
        <is>
          <t>Super clearing house</t>
        </is>
      </c>
      <c r="E4308" t="inlineStr">
        <is>
          <t>SUPER PR260910</t>
        </is>
      </c>
      <c r="F4308" t="inlineStr">
        <is>
          <t>Super contributions PR260910</t>
        </is>
      </c>
      <c r="G4308" s="9" t="n">
        <v>-20838.09</v>
      </c>
      <c r="H4308" t="inlineStr">
        <is>
          <t>entry</t>
        </is>
      </c>
      <c r="I4308" t="inlineStr"/>
      <c r="J4308" t="inlineStr">
        <is>
          <t>G01244</t>
        </is>
      </c>
      <c r="K4308" t="str">
        <f>INDEX('Match Groups'!$D$5:$D$1326,MATCH(J4308,'Match Groups'!$A$5:$A$1326,0))</f>
        <v>MATCH</v>
      </c>
    </row>
    <row r="4309">
      <c r="A4309" t="inlineStr">
        <is>
          <t>JI-03957</t>
        </is>
      </c>
      <c r="B4309" t="inlineStr">
        <is>
          <t>PAY</t>
        </is>
      </c>
      <c r="C4309" s="5" t="n">
        <v>46286</v>
      </c>
      <c r="D4309" t="inlineStr">
        <is>
          <t>Australian Taxation Office</t>
        </is>
      </c>
      <c r="E4309" t="inlineStr">
        <is>
          <t>PAYG PR260910</t>
        </is>
      </c>
      <c r="F4309" t="inlineStr">
        <is>
          <t>PAYG withholding PR260910</t>
        </is>
      </c>
      <c r="G4309" s="9" t="n">
        <v>-35722.44</v>
      </c>
      <c r="H4309" t="inlineStr">
        <is>
          <t>entry</t>
        </is>
      </c>
      <c r="I4309" t="inlineStr"/>
      <c r="J4309" t="inlineStr">
        <is>
          <t>G01245</t>
        </is>
      </c>
      <c r="K4309" t="str">
        <f>INDEX('Match Groups'!$D$5:$D$1326,MATCH(J4309,'Match Groups'!$A$5:$A$1326,0))</f>
        <v>MATCH</v>
      </c>
    </row>
    <row r="4310">
      <c r="A4310" t="inlineStr">
        <is>
          <t>JI-03959</t>
        </is>
      </c>
      <c r="B4310" t="inlineStr">
        <is>
          <t>PAY</t>
        </is>
      </c>
      <c r="C4310" s="5" t="n">
        <v>46288</v>
      </c>
      <c r="D4310" t="inlineStr">
        <is>
          <t>Internal transfer</t>
        </is>
      </c>
      <c r="E4310" t="inlineStr">
        <is>
          <t>TFR PR260924</t>
        </is>
      </c>
      <c r="F4310" t="inlineStr">
        <is>
          <t>Transfer from operating PR260924</t>
        </is>
      </c>
      <c r="G4310" s="9" t="n">
        <v>167264.9</v>
      </c>
      <c r="H4310" t="inlineStr">
        <is>
          <t>transfer</t>
        </is>
      </c>
      <c r="I4310" t="inlineStr"/>
      <c r="J4310" t="inlineStr">
        <is>
          <t>G00567</t>
        </is>
      </c>
      <c r="K4310" t="str">
        <f>INDEX('Match Groups'!$D$5:$D$1326,MATCH(J4310,'Match Groups'!$A$5:$A$1326,0))</f>
        <v>MATCH</v>
      </c>
    </row>
    <row r="4311">
      <c r="A4311" t="inlineStr">
        <is>
          <t>JI-03960</t>
        </is>
      </c>
      <c r="B4311" t="inlineStr">
        <is>
          <t>PAY</t>
        </is>
      </c>
      <c r="C4311" s="5" t="n">
        <v>46289</v>
      </c>
      <c r="D4311" t="inlineStr">
        <is>
          <t>Payroll</t>
        </is>
      </c>
      <c r="E4311" t="inlineStr">
        <is>
          <t>PR260924</t>
        </is>
      </c>
      <c r="F4311" t="inlineStr">
        <is>
          <t>Net wages pay run PR260924</t>
        </is>
      </c>
      <c r="G4311" s="9" t="n">
        <v>-146723.6</v>
      </c>
      <c r="H4311" t="inlineStr">
        <is>
          <t>entry</t>
        </is>
      </c>
      <c r="I4311" t="inlineStr"/>
      <c r="J4311" t="inlineStr">
        <is>
          <t>G00557</t>
        </is>
      </c>
      <c r="K4311" t="str">
        <f>INDEX('Match Groups'!$D$5:$D$1326,MATCH(J4311,'Match Groups'!$A$5:$A$1326,0))</f>
        <v>MATCH</v>
      </c>
    </row>
    <row r="4312">
      <c r="A4312" t="inlineStr">
        <is>
          <t>JI-03961</t>
        </is>
      </c>
      <c r="B4312" t="inlineStr">
        <is>
          <t>PAY</t>
        </is>
      </c>
      <c r="C4312" s="5" t="n">
        <v>46289</v>
      </c>
      <c r="D4312" t="inlineStr">
        <is>
          <t>Super clearing house</t>
        </is>
      </c>
      <c r="E4312" t="inlineStr">
        <is>
          <t>SUPER PR260924</t>
        </is>
      </c>
      <c r="F4312" t="inlineStr">
        <is>
          <t>Super contributions PR260924</t>
        </is>
      </c>
      <c r="G4312" s="9" t="n">
        <v>-20541.3</v>
      </c>
      <c r="H4312" t="inlineStr">
        <is>
          <t>entry</t>
        </is>
      </c>
      <c r="I4312" t="inlineStr"/>
      <c r="J4312" t="inlineStr">
        <is>
          <t>G01315</t>
        </is>
      </c>
      <c r="K4312" t="str">
        <f>INDEX('Match Groups'!$D$5:$D$1326,MATCH(J4312,'Match Groups'!$A$5:$A$1326,0))</f>
        <v>OUT</v>
      </c>
    </row>
    <row r="4313">
      <c r="A4313" t="inlineStr">
        <is>
          <t>JI-04316</t>
        </is>
      </c>
      <c r="B4313" t="inlineStr">
        <is>
          <t>USD</t>
        </is>
      </c>
      <c r="C4313" s="5" t="n">
        <v>46209</v>
      </c>
      <c r="D4313" t="inlineStr">
        <is>
          <t>Telehealth Platform Inc</t>
        </is>
      </c>
      <c r="E4313" t="inlineStr">
        <is>
          <t>BILL/2026/1041</t>
        </is>
      </c>
      <c r="F4313" t="inlineStr">
        <is>
          <t>Vendor payment BILL/2026/1041</t>
        </is>
      </c>
      <c r="G4313" s="9" t="n">
        <v>-2400</v>
      </c>
      <c r="H4313" t="inlineStr">
        <is>
          <t>supplier_payment</t>
        </is>
      </c>
      <c r="I4313" t="inlineStr"/>
      <c r="J4313" t="inlineStr">
        <is>
          <t>G01099</t>
        </is>
      </c>
      <c r="K4313" t="str">
        <f>INDEX('Match Groups'!$D$5:$D$1326,MATCH(J4313,'Match Groups'!$A$5:$A$1326,0))</f>
        <v>MATCH</v>
      </c>
    </row>
    <row r="4314">
      <c r="A4314" t="inlineStr">
        <is>
          <t>JI-04309</t>
        </is>
      </c>
      <c r="B4314" t="inlineStr">
        <is>
          <t>USD</t>
        </is>
      </c>
      <c r="C4314" s="5" t="n">
        <v>46213</v>
      </c>
      <c r="D4314" t="inlineStr">
        <is>
          <t>Internal transfer</t>
        </is>
      </c>
      <c r="E4314" t="inlineStr">
        <is>
          <t>FX0710</t>
        </is>
      </c>
      <c r="F4314" t="inlineStr">
        <is>
          <t>Transfer from operating</t>
        </is>
      </c>
      <c r="G4314" s="9" t="n">
        <v>9000</v>
      </c>
      <c r="H4314" t="inlineStr">
        <is>
          <t>transfer</t>
        </is>
      </c>
      <c r="I4314" t="inlineStr"/>
      <c r="J4314" t="inlineStr">
        <is>
          <t>G00897</t>
        </is>
      </c>
      <c r="K4314" t="str">
        <f>INDEX('Match Groups'!$D$5:$D$1326,MATCH(J4314,'Match Groups'!$A$5:$A$1326,0))</f>
        <v>MATCH</v>
      </c>
    </row>
    <row r="4315">
      <c r="A4315" t="inlineStr">
        <is>
          <t>JI-04317</t>
        </is>
      </c>
      <c r="B4315" t="inlineStr">
        <is>
          <t>USD</t>
        </is>
      </c>
      <c r="C4315" s="5" t="n">
        <v>46217</v>
      </c>
      <c r="D4315" t="inlineStr">
        <is>
          <t>Clinical Notes Cloud LLC</t>
        </is>
      </c>
      <c r="E4315" t="inlineStr">
        <is>
          <t>BILL/2026/1042</t>
        </is>
      </c>
      <c r="F4315" t="inlineStr">
        <is>
          <t>Vendor payment BILL/2026/1042</t>
        </is>
      </c>
      <c r="G4315" s="9" t="n">
        <v>-1180</v>
      </c>
      <c r="H4315" t="inlineStr">
        <is>
          <t>supplier_payment</t>
        </is>
      </c>
      <c r="I4315" t="inlineStr"/>
      <c r="J4315" t="inlineStr">
        <is>
          <t>G01100</t>
        </is>
      </c>
      <c r="K4315" t="str">
        <f>INDEX('Match Groups'!$D$5:$D$1326,MATCH(J4315,'Match Groups'!$A$5:$A$1326,0))</f>
        <v>MATCH</v>
      </c>
    </row>
    <row r="4316">
      <c r="A4316" t="inlineStr">
        <is>
          <t>JI-01776</t>
        </is>
      </c>
      <c r="B4316" t="inlineStr">
        <is>
          <t>USD</t>
        </is>
      </c>
      <c r="C4316" s="5" t="n">
        <v>46220</v>
      </c>
      <c r="D4316" t="inlineStr">
        <is>
          <t>Cascadia Health Analytics Inc</t>
        </is>
      </c>
      <c r="E4316" t="inlineStr">
        <is>
          <t>INV/2026/03623</t>
        </is>
      </c>
      <c r="F4316" t="inlineStr">
        <is>
          <t>Customer payment INV/2026/03623</t>
        </is>
      </c>
      <c r="G4316" s="9" t="n">
        <v>6800</v>
      </c>
      <c r="H4316" t="inlineStr">
        <is>
          <t>customer_payment</t>
        </is>
      </c>
      <c r="I4316" t="inlineStr"/>
      <c r="J4316" t="inlineStr">
        <is>
          <t>G01101</t>
        </is>
      </c>
      <c r="K4316" t="str">
        <f>INDEX('Match Groups'!$D$5:$D$1326,MATCH(J4316,'Match Groups'!$A$5:$A$1326,0))</f>
        <v>FEE-DIFF</v>
      </c>
    </row>
    <row r="4317">
      <c r="A4317" t="inlineStr">
        <is>
          <t>JI-04318</t>
        </is>
      </c>
      <c r="B4317" t="inlineStr">
        <is>
          <t>USD</t>
        </is>
      </c>
      <c r="C4317" s="5" t="n">
        <v>46223</v>
      </c>
      <c r="D4317" t="inlineStr">
        <is>
          <t>Outcome Measures Co</t>
        </is>
      </c>
      <c r="E4317" t="inlineStr">
        <is>
          <t>BILL/2026/1043</t>
        </is>
      </c>
      <c r="F4317" t="inlineStr">
        <is>
          <t>Vendor payment BILL/2026/1043</t>
        </is>
      </c>
      <c r="G4317" s="9" t="n">
        <v>-640</v>
      </c>
      <c r="H4317" t="inlineStr">
        <is>
          <t>supplier_payment</t>
        </is>
      </c>
      <c r="I4317" t="inlineStr"/>
      <c r="J4317" t="inlineStr">
        <is>
          <t>G01102</t>
        </is>
      </c>
      <c r="K4317" t="str">
        <f>INDEX('Match Groups'!$D$5:$D$1326,MATCH(J4317,'Match Groups'!$A$5:$A$1326,0))</f>
        <v>MATCH</v>
      </c>
    </row>
    <row r="4318">
      <c r="A4318" t="inlineStr">
        <is>
          <t>JI-04319</t>
        </is>
      </c>
      <c r="B4318" t="inlineStr">
        <is>
          <t>USD</t>
        </is>
      </c>
      <c r="C4318" s="5" t="n">
        <v>46230</v>
      </c>
      <c r="D4318" t="inlineStr">
        <is>
          <t>Video Visit Systems</t>
        </is>
      </c>
      <c r="E4318" t="inlineStr">
        <is>
          <t>BILL/2026/1044</t>
        </is>
      </c>
      <c r="F4318" t="inlineStr">
        <is>
          <t>Vendor payment BILL/2026/1044</t>
        </is>
      </c>
      <c r="G4318" s="9" t="n">
        <v>-960</v>
      </c>
      <c r="H4318" t="inlineStr">
        <is>
          <t>supplier_payment</t>
        </is>
      </c>
      <c r="I4318" t="inlineStr"/>
      <c r="J4318" t="inlineStr">
        <is>
          <t>G01103</t>
        </is>
      </c>
      <c r="K4318" t="str">
        <f>INDEX('Match Groups'!$D$5:$D$1326,MATCH(J4318,'Match Groups'!$A$5:$A$1326,0))</f>
        <v>MATCH</v>
      </c>
    </row>
    <row r="4319">
      <c r="A4319" t="inlineStr">
        <is>
          <t>JI-04320</t>
        </is>
      </c>
      <c r="B4319" t="inlineStr">
        <is>
          <t>USD</t>
        </is>
      </c>
      <c r="C4319" s="5" t="n">
        <v>46240</v>
      </c>
      <c r="D4319" t="inlineStr">
        <is>
          <t>Telehealth Platform Inc</t>
        </is>
      </c>
      <c r="E4319" t="inlineStr">
        <is>
          <t>BILL/2026/1045</t>
        </is>
      </c>
      <c r="F4319" t="inlineStr">
        <is>
          <t>Vendor payment BILL/2026/1045</t>
        </is>
      </c>
      <c r="G4319" s="9" t="n">
        <v>-2400</v>
      </c>
      <c r="H4319" t="inlineStr">
        <is>
          <t>supplier_payment</t>
        </is>
      </c>
      <c r="I4319" t="inlineStr"/>
      <c r="J4319" t="inlineStr">
        <is>
          <t>G01104</t>
        </is>
      </c>
      <c r="K4319" t="str">
        <f>INDEX('Match Groups'!$D$5:$D$1326,MATCH(J4319,'Match Groups'!$A$5:$A$1326,0))</f>
        <v>MATCH</v>
      </c>
    </row>
    <row r="4320">
      <c r="A4320" t="inlineStr">
        <is>
          <t>JI-04311</t>
        </is>
      </c>
      <c r="B4320" t="inlineStr">
        <is>
          <t>USD</t>
        </is>
      </c>
      <c r="C4320" s="5" t="n">
        <v>46244</v>
      </c>
      <c r="D4320" t="inlineStr">
        <is>
          <t>Internal transfer</t>
        </is>
      </c>
      <c r="E4320" t="inlineStr">
        <is>
          <t>FX0810</t>
        </is>
      </c>
      <c r="F4320" t="inlineStr">
        <is>
          <t>Transfer from operating</t>
        </is>
      </c>
      <c r="G4320" s="9" t="n">
        <v>9000</v>
      </c>
      <c r="H4320" t="inlineStr">
        <is>
          <t>transfer</t>
        </is>
      </c>
      <c r="I4320" t="inlineStr"/>
      <c r="J4320" t="inlineStr">
        <is>
          <t>G00898</t>
        </is>
      </c>
      <c r="K4320" t="str">
        <f>INDEX('Match Groups'!$D$5:$D$1326,MATCH(J4320,'Match Groups'!$A$5:$A$1326,0))</f>
        <v>MATCH</v>
      </c>
    </row>
    <row r="4321">
      <c r="A4321" t="inlineStr">
        <is>
          <t>JI-01777</t>
        </is>
      </c>
      <c r="B4321" t="inlineStr">
        <is>
          <t>USD</t>
        </is>
      </c>
      <c r="C4321" s="5" t="n">
        <v>46248</v>
      </c>
      <c r="D4321" t="inlineStr">
        <is>
          <t>Cascadia Health Analytics Inc</t>
        </is>
      </c>
      <c r="E4321" t="inlineStr">
        <is>
          <t>INV/2026/03624</t>
        </is>
      </c>
      <c r="F4321" t="inlineStr">
        <is>
          <t>Customer payment INV/2026/03624</t>
        </is>
      </c>
      <c r="G4321" s="9" t="n">
        <v>6800</v>
      </c>
      <c r="H4321" t="inlineStr">
        <is>
          <t>customer_payment</t>
        </is>
      </c>
      <c r="I4321" t="inlineStr"/>
      <c r="J4321" t="inlineStr">
        <is>
          <t>G01105</t>
        </is>
      </c>
      <c r="K4321" t="str">
        <f>INDEX('Match Groups'!$D$5:$D$1326,MATCH(J4321,'Match Groups'!$A$5:$A$1326,0))</f>
        <v>FEE-DIFF</v>
      </c>
    </row>
    <row r="4322">
      <c r="A4322" t="inlineStr">
        <is>
          <t>JI-04321</t>
        </is>
      </c>
      <c r="B4322" t="inlineStr">
        <is>
          <t>USD</t>
        </is>
      </c>
      <c r="C4322" s="5" t="n">
        <v>46248</v>
      </c>
      <c r="D4322" t="inlineStr">
        <is>
          <t>Clinical Notes Cloud LLC</t>
        </is>
      </c>
      <c r="E4322" t="inlineStr">
        <is>
          <t>BILL/2026/1046</t>
        </is>
      </c>
      <c r="F4322" t="inlineStr">
        <is>
          <t>Vendor payment BILL/2026/1046</t>
        </is>
      </c>
      <c r="G4322" s="9" t="n">
        <v>-1180</v>
      </c>
      <c r="H4322" t="inlineStr">
        <is>
          <t>supplier_payment</t>
        </is>
      </c>
      <c r="I4322" t="inlineStr"/>
      <c r="J4322" t="inlineStr">
        <is>
          <t>G01106</t>
        </is>
      </c>
      <c r="K4322" t="str">
        <f>INDEX('Match Groups'!$D$5:$D$1326,MATCH(J4322,'Match Groups'!$A$5:$A$1326,0))</f>
        <v>MATCH</v>
      </c>
    </row>
    <row r="4323">
      <c r="A4323" t="inlineStr">
        <is>
          <t>JI-04322</t>
        </is>
      </c>
      <c r="B4323" t="inlineStr">
        <is>
          <t>USD</t>
        </is>
      </c>
      <c r="C4323" s="5" t="n">
        <v>46254</v>
      </c>
      <c r="D4323" t="inlineStr">
        <is>
          <t>Outcome Measures Co</t>
        </is>
      </c>
      <c r="E4323" t="inlineStr">
        <is>
          <t>BILL/2026/1047</t>
        </is>
      </c>
      <c r="F4323" t="inlineStr">
        <is>
          <t>Vendor payment BILL/2026/1047</t>
        </is>
      </c>
      <c r="G4323" s="9" t="n">
        <v>-640</v>
      </c>
      <c r="H4323" t="inlineStr">
        <is>
          <t>supplier_payment</t>
        </is>
      </c>
      <c r="I4323" t="inlineStr"/>
      <c r="J4323" t="inlineStr">
        <is>
          <t>G01107</t>
        </is>
      </c>
      <c r="K4323" t="str">
        <f>INDEX('Match Groups'!$D$5:$D$1326,MATCH(J4323,'Match Groups'!$A$5:$A$1326,0))</f>
        <v>MATCH</v>
      </c>
    </row>
    <row r="4324">
      <c r="A4324" t="inlineStr">
        <is>
          <t>JI-04323</t>
        </is>
      </c>
      <c r="B4324" t="inlineStr">
        <is>
          <t>USD</t>
        </is>
      </c>
      <c r="C4324" s="5" t="n">
        <v>46259</v>
      </c>
      <c r="D4324" t="inlineStr">
        <is>
          <t>Video Visit Systems</t>
        </is>
      </c>
      <c r="E4324" t="inlineStr">
        <is>
          <t>BILL/2026/1048</t>
        </is>
      </c>
      <c r="F4324" t="inlineStr">
        <is>
          <t>Vendor payment BILL/2026/1048</t>
        </is>
      </c>
      <c r="G4324" s="9" t="n">
        <v>-960</v>
      </c>
      <c r="H4324" t="inlineStr">
        <is>
          <t>supplier_payment</t>
        </is>
      </c>
      <c r="I4324" t="inlineStr"/>
      <c r="J4324" t="inlineStr">
        <is>
          <t>G01108</t>
        </is>
      </c>
      <c r="K4324" t="str">
        <f>INDEX('Match Groups'!$D$5:$D$1326,MATCH(J4324,'Match Groups'!$A$5:$A$1326,0))</f>
        <v>MATCH</v>
      </c>
    </row>
    <row r="4325">
      <c r="A4325" t="inlineStr">
        <is>
          <t>JI-04324</t>
        </is>
      </c>
      <c r="B4325" t="inlineStr">
        <is>
          <t>USD</t>
        </is>
      </c>
      <c r="C4325" s="5" t="n">
        <v>46272</v>
      </c>
      <c r="D4325" t="inlineStr">
        <is>
          <t>Telehealth Platform Inc</t>
        </is>
      </c>
      <c r="E4325" t="inlineStr">
        <is>
          <t>BILL/2026/1049</t>
        </is>
      </c>
      <c r="F4325" t="inlineStr">
        <is>
          <t>Vendor payment BILL/2026/1049</t>
        </is>
      </c>
      <c r="G4325" s="9" t="n">
        <v>-2400</v>
      </c>
      <c r="H4325" t="inlineStr">
        <is>
          <t>supplier_payment</t>
        </is>
      </c>
      <c r="I4325" t="inlineStr"/>
      <c r="J4325" t="inlineStr">
        <is>
          <t>G01109</t>
        </is>
      </c>
      <c r="K4325" t="str">
        <f>INDEX('Match Groups'!$D$5:$D$1326,MATCH(J4325,'Match Groups'!$A$5:$A$1326,0))</f>
        <v>MATCH</v>
      </c>
    </row>
    <row r="4326">
      <c r="A4326" t="inlineStr">
        <is>
          <t>JI-04313</t>
        </is>
      </c>
      <c r="B4326" t="inlineStr">
        <is>
          <t>USD</t>
        </is>
      </c>
      <c r="C4326" s="5" t="n">
        <v>46275</v>
      </c>
      <c r="D4326" t="inlineStr">
        <is>
          <t>Internal transfer</t>
        </is>
      </c>
      <c r="E4326" t="inlineStr">
        <is>
          <t>FX0910</t>
        </is>
      </c>
      <c r="F4326" t="inlineStr">
        <is>
          <t>Transfer from operating</t>
        </is>
      </c>
      <c r="G4326" s="9" t="n">
        <v>9000</v>
      </c>
      <c r="H4326" t="inlineStr">
        <is>
          <t>transfer</t>
        </is>
      </c>
      <c r="I4326" t="inlineStr"/>
      <c r="J4326" t="inlineStr">
        <is>
          <t>G00899</t>
        </is>
      </c>
      <c r="K4326" t="str">
        <f>INDEX('Match Groups'!$D$5:$D$1326,MATCH(J4326,'Match Groups'!$A$5:$A$1326,0))</f>
        <v>MATCH</v>
      </c>
    </row>
    <row r="4327">
      <c r="A4327" t="inlineStr">
        <is>
          <t>JI-04325</t>
        </is>
      </c>
      <c r="B4327" t="inlineStr">
        <is>
          <t>USD</t>
        </is>
      </c>
      <c r="C4327" s="5" t="n">
        <v>46279</v>
      </c>
      <c r="D4327" t="inlineStr">
        <is>
          <t>Clinical Notes Cloud LLC</t>
        </is>
      </c>
      <c r="E4327" t="inlineStr">
        <is>
          <t>BILL/2026/1050</t>
        </is>
      </c>
      <c r="F4327" t="inlineStr">
        <is>
          <t>Vendor payment BILL/2026/1050</t>
        </is>
      </c>
      <c r="G4327" s="9" t="n">
        <v>-1180</v>
      </c>
      <c r="H4327" t="inlineStr">
        <is>
          <t>supplier_payment</t>
        </is>
      </c>
      <c r="I4327" t="inlineStr"/>
      <c r="J4327" t="inlineStr">
        <is>
          <t>G01110</t>
        </is>
      </c>
      <c r="K4327" t="str">
        <f>INDEX('Match Groups'!$D$5:$D$1326,MATCH(J4327,'Match Groups'!$A$5:$A$1326,0))</f>
        <v>MATCH</v>
      </c>
    </row>
    <row r="4328">
      <c r="A4328" t="inlineStr">
        <is>
          <t>JI-01778</t>
        </is>
      </c>
      <c r="B4328" t="inlineStr">
        <is>
          <t>USD</t>
        </is>
      </c>
      <c r="C4328" s="5" t="n">
        <v>46281</v>
      </c>
      <c r="D4328" t="inlineStr">
        <is>
          <t>Cascadia Health Analytics Inc</t>
        </is>
      </c>
      <c r="E4328" t="inlineStr">
        <is>
          <t>INV/2026/03625</t>
        </is>
      </c>
      <c r="F4328" t="inlineStr">
        <is>
          <t>Customer payment INV/2026/03625</t>
        </is>
      </c>
      <c r="G4328" s="9" t="n">
        <v>6800</v>
      </c>
      <c r="H4328" t="inlineStr">
        <is>
          <t>customer_payment</t>
        </is>
      </c>
      <c r="I4328" t="inlineStr"/>
      <c r="J4328" t="inlineStr">
        <is>
          <t>G01111</t>
        </is>
      </c>
      <c r="K4328" t="str">
        <f>INDEX('Match Groups'!$D$5:$D$1326,MATCH(J4328,'Match Groups'!$A$5:$A$1326,0))</f>
        <v>FEE-DIFF</v>
      </c>
    </row>
    <row r="4329">
      <c r="A4329" t="inlineStr">
        <is>
          <t>JI-04326</t>
        </is>
      </c>
      <c r="B4329" t="inlineStr">
        <is>
          <t>USD</t>
        </is>
      </c>
      <c r="C4329" s="5" t="n">
        <v>46286</v>
      </c>
      <c r="D4329" t="inlineStr">
        <is>
          <t>Outcome Measures Co</t>
        </is>
      </c>
      <c r="E4329" t="inlineStr">
        <is>
          <t>BILL/2026/1051</t>
        </is>
      </c>
      <c r="F4329" t="inlineStr">
        <is>
          <t>Vendor payment BILL/2026/1051</t>
        </is>
      </c>
      <c r="G4329" s="9" t="n">
        <v>-640</v>
      </c>
      <c r="H4329" t="inlineStr">
        <is>
          <t>supplier_payment</t>
        </is>
      </c>
      <c r="I4329" t="inlineStr"/>
      <c r="J4329" t="inlineStr">
        <is>
          <t>G01112</t>
        </is>
      </c>
      <c r="K4329" t="str">
        <f>INDEX('Match Groups'!$D$5:$D$1326,MATCH(J4329,'Match Groups'!$A$5:$A$1326,0))</f>
        <v>MATCH</v>
      </c>
    </row>
    <row r="4330">
      <c r="A4330" t="inlineStr">
        <is>
          <t>JI-04327</t>
        </is>
      </c>
      <c r="B4330" t="inlineStr">
        <is>
          <t>USD</t>
        </is>
      </c>
      <c r="C4330" s="5" t="n">
        <v>46290</v>
      </c>
      <c r="D4330" t="inlineStr">
        <is>
          <t>Video Visit Systems</t>
        </is>
      </c>
      <c r="E4330" t="inlineStr">
        <is>
          <t>BILL/2026/1052</t>
        </is>
      </c>
      <c r="F4330" t="inlineStr">
        <is>
          <t>Vendor payment BILL/2026/1052</t>
        </is>
      </c>
      <c r="G4330" s="9" t="n">
        <v>-960</v>
      </c>
      <c r="H4330" t="inlineStr">
        <is>
          <t>supplier_payment</t>
        </is>
      </c>
      <c r="I4330" t="inlineStr"/>
      <c r="J4330" t="inlineStr">
        <is>
          <t>G01113</t>
        </is>
      </c>
      <c r="K4330" t="str">
        <f>INDEX('Match Groups'!$D$5:$D$1326,MATCH(J4330,'Match Groups'!$A$5:$A$1326,0))</f>
        <v>MATCH</v>
      </c>
    </row>
    <row r="4331">
      <c r="A4331" t="inlineStr">
        <is>
          <t>JI-04314</t>
        </is>
      </c>
      <c r="B4331" t="inlineStr">
        <is>
          <t>USD</t>
        </is>
      </c>
      <c r="C4331" s="5" t="n">
        <v>46295</v>
      </c>
      <c r="D4331" t="inlineStr">
        <is>
          <t>Internal transfer</t>
        </is>
      </c>
      <c r="E4331" t="inlineStr">
        <is>
          <t>FX0930</t>
        </is>
      </c>
      <c r="F4331" t="inlineStr">
        <is>
          <t>Transfer from operating (in transit)</t>
        </is>
      </c>
      <c r="G4331" s="9" t="n">
        <v>5000</v>
      </c>
      <c r="H4331" t="inlineStr">
        <is>
          <t>transfer</t>
        </is>
      </c>
      <c r="I4331" t="inlineStr"/>
      <c r="J4331" t="inlineStr">
        <is>
          <t>G01322</t>
        </is>
      </c>
      <c r="K4331" t="str">
        <f>INDEX('Match Groups'!$D$5:$D$1326,MATCH(J4331,'Match Groups'!$A$5:$A$1326,0))</f>
        <v>OUT</v>
      </c>
    </row>
  </sheetData>
  <autoFilter ref="A4:K433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D13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7" customWidth="1" min="2" max="2"/>
    <col width="6" customWidth="1" min="3" max="3"/>
    <col width="12" customWidth="1" min="4" max="4"/>
    <col width="26" customWidth="1" min="5" max="5"/>
    <col width="6" customWidth="1" min="6" max="6"/>
    <col width="48" customWidth="1" min="7" max="7"/>
    <col width="7" customWidth="1" min="8" max="8"/>
    <col width="7" customWidth="1" min="9" max="9"/>
    <col width="13" customWidth="1" min="10" max="10"/>
    <col width="13" customWidth="1" min="11" max="11"/>
    <col width="12" customWidth="1" min="12" max="12"/>
    <col width="12" customWidth="1" min="13" max="13"/>
    <col width="12" customWidth="1" min="14" max="14"/>
    <col width="6" customWidth="1" min="15" max="15"/>
    <col width="6" customWidth="1" min="16" max="16"/>
    <col width="11" customWidth="1" min="17" max="17"/>
    <col width="11" customWidth="1" min="18" max="18"/>
    <col width="12" customWidth="1" min="19" max="19"/>
    <col width="12" customWidth="1" min="20" max="20"/>
    <col width="6" customWidth="1" min="21" max="21"/>
    <col width="6" customWidth="1" min="22" max="22"/>
    <col width="11" customWidth="1" min="23" max="23"/>
    <col width="11" customWidth="1" min="24" max="24"/>
    <col width="12" customWidth="1" min="25" max="25"/>
    <col width="12" customWidth="1" min="26" max="26"/>
    <col width="6" customWidth="1" min="27" max="27"/>
    <col width="6" customWidth="1" min="28" max="28"/>
    <col width="11" customWidth="1" min="29" max="29"/>
    <col width="11" customWidth="1" min="30" max="30"/>
  </cols>
  <sheetData>
    <row r="1">
      <c r="A1" s="7" t="inlineStr">
        <is>
          <t>Match groups (one row per group; month-end position by formula)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</row>
    <row r="2">
      <c r="A2" s="3" t="inlineStr">
        <is>
          <t>Sample build: realistic data, built to show how I'd handle this work. Not client data.</t>
        </is>
      </c>
    </row>
    <row r="4">
      <c r="A4" s="8" t="inlineStr">
        <is>
          <t>Group</t>
        </is>
      </c>
      <c r="B4" s="8" t="inlineStr">
        <is>
          <t>Account</t>
        </is>
      </c>
      <c r="C4" s="8" t="inlineStr">
        <is>
          <t>Rule</t>
        </is>
      </c>
      <c r="D4" s="8" t="inlineStr">
        <is>
          <t>Reason</t>
        </is>
      </c>
      <c r="E4" s="8" t="inlineStr">
        <is>
          <t>Partner</t>
        </is>
      </c>
      <c r="F4" s="8" t="inlineStr">
        <is>
          <t>Score</t>
        </is>
      </c>
      <c r="G4" s="8" t="inlineStr">
        <is>
          <t>Note</t>
        </is>
      </c>
      <c r="H4" s="8" t="inlineStr">
        <is>
          <t>Bank lines</t>
        </is>
      </c>
      <c r="I4" s="8" t="inlineStr">
        <is>
          <t>Odoo items</t>
        </is>
      </c>
      <c r="J4" s="8" t="inlineStr">
        <is>
          <t>Bank total</t>
        </is>
      </c>
      <c r="K4" s="8" t="inlineStr">
        <is>
          <t>Odoo total</t>
        </is>
      </c>
      <c r="L4" s="8" t="inlineStr">
        <is>
          <t>Difference</t>
        </is>
      </c>
      <c r="M4" s="8" t="inlineStr">
        <is>
          <t>Jul bank</t>
        </is>
      </c>
      <c r="N4" s="8" t="inlineStr">
        <is>
          <t>Jul Odoo</t>
        </is>
      </c>
      <c r="O4" s="8" t="inlineStr">
        <is>
          <t>Jul n bank</t>
        </is>
      </c>
      <c r="P4" s="8" t="inlineStr">
        <is>
          <t>Jul n Odoo</t>
        </is>
      </c>
      <c r="Q4" s="8" t="inlineStr">
        <is>
          <t>Jul position</t>
        </is>
      </c>
      <c r="R4" s="8" t="inlineStr">
        <is>
          <t>Jul difference</t>
        </is>
      </c>
      <c r="S4" s="8" t="inlineStr">
        <is>
          <t>Aug bank</t>
        </is>
      </c>
      <c r="T4" s="8" t="inlineStr">
        <is>
          <t>Aug Odoo</t>
        </is>
      </c>
      <c r="U4" s="8" t="inlineStr">
        <is>
          <t>Aug n bank</t>
        </is>
      </c>
      <c r="V4" s="8" t="inlineStr">
        <is>
          <t>Aug n Odoo</t>
        </is>
      </c>
      <c r="W4" s="8" t="inlineStr">
        <is>
          <t>Aug position</t>
        </is>
      </c>
      <c r="X4" s="8" t="inlineStr">
        <is>
          <t>Aug difference</t>
        </is>
      </c>
      <c r="Y4" s="8" t="inlineStr">
        <is>
          <t>Sep bank</t>
        </is>
      </c>
      <c r="Z4" s="8" t="inlineStr">
        <is>
          <t>Sep Odoo</t>
        </is>
      </c>
      <c r="AA4" s="8" t="inlineStr">
        <is>
          <t>Sep n bank</t>
        </is>
      </c>
      <c r="AB4" s="8" t="inlineStr">
        <is>
          <t>Sep n Odoo</t>
        </is>
      </c>
      <c r="AC4" s="8" t="inlineStr">
        <is>
          <t>Sep position</t>
        </is>
      </c>
      <c r="AD4" s="8" t="inlineStr">
        <is>
          <t>Sep difference</t>
        </is>
      </c>
    </row>
    <row r="5">
      <c r="A5" t="inlineStr">
        <is>
          <t>G00001</t>
        </is>
      </c>
      <c r="B5" t="inlineStr">
        <is>
          <t>OPS</t>
        </is>
      </c>
      <c r="C5" t="inlineStr">
        <is>
          <t>R01</t>
        </is>
      </c>
      <c r="D5" t="inlineStr">
        <is>
          <t>DUPIMP</t>
        </is>
      </c>
      <c r="E5" t="inlineStr"/>
      <c r="G5" t="inlineStr">
        <is>
          <t>Duplicate of a line in import OPS-20260814</t>
        </is>
      </c>
      <c r="H5">
        <f>COUNTIFS('Bank Lines'!$G$5:$G$1640,A5,'Bank Lines'!$J$5:$J$1640,1)</f>
        <v>0</v>
      </c>
      <c r="I5">
        <f>COUNTIFS('Odoo Items'!$J$5:$J$4331,A5)</f>
        <v>0</v>
      </c>
      <c r="J5" s="9">
        <f>ROUND(SUMIFS('Bank Lines'!$E$5:$E$1640,'Bank Lines'!$G$5:$G$1640,A5,'Bank Lines'!$J$5:$J$1640,1),2)</f>
        <v>0</v>
      </c>
      <c r="K5" s="9">
        <f>ROUND(SUMIFS('Odoo Items'!$G$5:$G$4331,'Odoo Items'!$J$5:$J$4331,A5),2)</f>
        <v>0</v>
      </c>
      <c r="L5" s="9">
        <f>ROUND(J5-K5,2)</f>
        <v>0</v>
      </c>
      <c r="M5" s="9">
        <f>ROUND(SUMIFS('Bank Lines'!$E$5:$E$1640,'Bank Lines'!$G$5:$G$1640,A5,'Bank Lines'!$J$5:$J$1640,1,'Bank Lines'!$C$5:$C$1640,"&lt;="&amp;Cover!$C$13),2)</f>
        <v>0</v>
      </c>
      <c r="N5" s="9">
        <f>ROUND(SUMIFS('Odoo Items'!$G$5:$G$4331,'Odoo Items'!$J$5:$J$4331,A5,'Odoo Items'!$C$5:$C$4331,"&lt;="&amp;Cover!$C$13),2)</f>
        <v>0</v>
      </c>
      <c r="O5">
        <f>COUNTIFS('Bank Lines'!$G$5:$G$1640,A5,'Bank Lines'!$J$5:$J$1640,1,'Bank Lines'!$C$5:$C$1640,"&lt;="&amp;Cover!$C$13)</f>
        <v>0</v>
      </c>
      <c r="P5">
        <f>COUNTIFS('Odoo Items'!$J$5:$J$4331,A5,'Odoo Items'!$C$5:$C$4331,"&lt;="&amp;Cover!$C$13)</f>
        <v>0</v>
      </c>
      <c r="Q5">
        <f>IF(AND(O5=0,P5=0),"",IF(O5=0,"ODOO-ONLY",IF(P5=0,"BANK-ONLY","BOTH")))</f>
      </c>
      <c r="R5" s="9">
        <f>IF(Q5="BOTH",ROUND(M5-N5,2),0)</f>
        <v>0</v>
      </c>
      <c r="S5" s="9">
        <f>ROUND(SUMIFS('Bank Lines'!$E$5:$E$1640,'Bank Lines'!$G$5:$G$1640,A5,'Bank Lines'!$J$5:$J$1640,1,'Bank Lines'!$C$5:$C$1640,"&lt;="&amp;Cover!$C$14),2)</f>
        <v>0</v>
      </c>
      <c r="T5" s="9">
        <f>ROUND(SUMIFS('Odoo Items'!$G$5:$G$4331,'Odoo Items'!$J$5:$J$4331,A5,'Odoo Items'!$C$5:$C$4331,"&lt;="&amp;Cover!$C$14),2)</f>
        <v>0</v>
      </c>
      <c r="U5">
        <f>COUNTIFS('Bank Lines'!$G$5:$G$1640,A5,'Bank Lines'!$J$5:$J$1640,1,'Bank Lines'!$C$5:$C$1640,"&lt;="&amp;Cover!$C$14)</f>
        <v>0</v>
      </c>
      <c r="V5">
        <f>COUNTIFS('Odoo Items'!$J$5:$J$4331,A5,'Odoo Items'!$C$5:$C$4331,"&lt;="&amp;Cover!$C$14)</f>
        <v>0</v>
      </c>
      <c r="W5">
        <f>IF(AND(U5=0,V5=0),"",IF(U5=0,"ODOO-ONLY",IF(V5=0,"BANK-ONLY","BOTH")))</f>
      </c>
      <c r="X5" s="9">
        <f>IF(W5="BOTH",ROUND(S5-T5,2),0)</f>
        <v>0</v>
      </c>
      <c r="Y5" s="9">
        <f>ROUND(SUMIFS('Bank Lines'!$E$5:$E$1640,'Bank Lines'!$G$5:$G$1640,A5,'Bank Lines'!$J$5:$J$1640,1,'Bank Lines'!$C$5:$C$1640,"&lt;="&amp;Cover!$C$15),2)</f>
        <v>0</v>
      </c>
      <c r="Z5" s="9">
        <f>ROUND(SUMIFS('Odoo Items'!$G$5:$G$4331,'Odoo Items'!$J$5:$J$4331,A5,'Odoo Items'!$C$5:$C$4331,"&lt;="&amp;Cover!$C$15),2)</f>
        <v>0</v>
      </c>
      <c r="AA5">
        <f>COUNTIFS('Bank Lines'!$G$5:$G$1640,A5,'Bank Lines'!$J$5:$J$1640,1,'Bank Lines'!$C$5:$C$1640,"&lt;="&amp;Cover!$C$15)</f>
        <v>0</v>
      </c>
      <c r="AB5">
        <f>COUNTIFS('Odoo Items'!$J$5:$J$4331,A5,'Odoo Items'!$C$5:$C$4331,"&lt;="&amp;Cover!$C$15)</f>
        <v>0</v>
      </c>
      <c r="AC5">
        <f>IF(AND(AA5=0,AB5=0),"",IF(AA5=0,"ODOO-ONLY",IF(AB5=0,"BANK-ONLY","BOTH")))</f>
      </c>
      <c r="AD5" s="9">
        <f>IF(AC5="BOTH",ROUND(Y5-Z5,2),0)</f>
        <v>0</v>
      </c>
    </row>
    <row r="6">
      <c r="A6" t="inlineStr">
        <is>
          <t>G00002</t>
        </is>
      </c>
      <c r="B6" t="inlineStr">
        <is>
          <t>OPS</t>
        </is>
      </c>
      <c r="C6" t="inlineStr">
        <is>
          <t>R01</t>
        </is>
      </c>
      <c r="D6" t="inlineStr">
        <is>
          <t>DUPIMP</t>
        </is>
      </c>
      <c r="E6" t="inlineStr"/>
      <c r="G6" t="inlineStr">
        <is>
          <t>Duplicate of a line in import OPS-20260814</t>
        </is>
      </c>
      <c r="H6">
        <f>COUNTIFS('Bank Lines'!$G$5:$G$1640,A6,'Bank Lines'!$J$5:$J$1640,1)</f>
        <v>0</v>
      </c>
      <c r="I6">
        <f>COUNTIFS('Odoo Items'!$J$5:$J$4331,A6)</f>
        <v>0</v>
      </c>
      <c r="J6" s="9">
        <f>ROUND(SUMIFS('Bank Lines'!$E$5:$E$1640,'Bank Lines'!$G$5:$G$1640,A6,'Bank Lines'!$J$5:$J$1640,1),2)</f>
        <v>0</v>
      </c>
      <c r="K6" s="9">
        <f>ROUND(SUMIFS('Odoo Items'!$G$5:$G$4331,'Odoo Items'!$J$5:$J$4331,A6),2)</f>
        <v>0</v>
      </c>
      <c r="L6" s="9">
        <f>ROUND(J6-K6,2)</f>
        <v>0</v>
      </c>
      <c r="M6" s="9">
        <f>ROUND(SUMIFS('Bank Lines'!$E$5:$E$1640,'Bank Lines'!$G$5:$G$1640,A6,'Bank Lines'!$J$5:$J$1640,1,'Bank Lines'!$C$5:$C$1640,"&lt;="&amp;Cover!$C$13),2)</f>
        <v>0</v>
      </c>
      <c r="N6" s="9">
        <f>ROUND(SUMIFS('Odoo Items'!$G$5:$G$4331,'Odoo Items'!$J$5:$J$4331,A6,'Odoo Items'!$C$5:$C$4331,"&lt;="&amp;Cover!$C$13),2)</f>
        <v>0</v>
      </c>
      <c r="O6">
        <f>COUNTIFS('Bank Lines'!$G$5:$G$1640,A6,'Bank Lines'!$J$5:$J$1640,1,'Bank Lines'!$C$5:$C$1640,"&lt;="&amp;Cover!$C$13)</f>
        <v>0</v>
      </c>
      <c r="P6">
        <f>COUNTIFS('Odoo Items'!$J$5:$J$4331,A6,'Odoo Items'!$C$5:$C$4331,"&lt;="&amp;Cover!$C$13)</f>
        <v>0</v>
      </c>
      <c r="Q6">
        <f>IF(AND(O6=0,P6=0),"",IF(O6=0,"ODOO-ONLY",IF(P6=0,"BANK-ONLY","BOTH")))</f>
      </c>
      <c r="R6" s="9">
        <f>IF(Q6="BOTH",ROUND(M6-N6,2),0)</f>
        <v>0</v>
      </c>
      <c r="S6" s="9">
        <f>ROUND(SUMIFS('Bank Lines'!$E$5:$E$1640,'Bank Lines'!$G$5:$G$1640,A6,'Bank Lines'!$J$5:$J$1640,1,'Bank Lines'!$C$5:$C$1640,"&lt;="&amp;Cover!$C$14),2)</f>
        <v>0</v>
      </c>
      <c r="T6" s="9">
        <f>ROUND(SUMIFS('Odoo Items'!$G$5:$G$4331,'Odoo Items'!$J$5:$J$4331,A6,'Odoo Items'!$C$5:$C$4331,"&lt;="&amp;Cover!$C$14),2)</f>
        <v>0</v>
      </c>
      <c r="U6">
        <f>COUNTIFS('Bank Lines'!$G$5:$G$1640,A6,'Bank Lines'!$J$5:$J$1640,1,'Bank Lines'!$C$5:$C$1640,"&lt;="&amp;Cover!$C$14)</f>
        <v>0</v>
      </c>
      <c r="V6">
        <f>COUNTIFS('Odoo Items'!$J$5:$J$4331,A6,'Odoo Items'!$C$5:$C$4331,"&lt;="&amp;Cover!$C$14)</f>
        <v>0</v>
      </c>
      <c r="W6">
        <f>IF(AND(U6=0,V6=0),"",IF(U6=0,"ODOO-ONLY",IF(V6=0,"BANK-ONLY","BOTH")))</f>
      </c>
      <c r="X6" s="9">
        <f>IF(W6="BOTH",ROUND(S6-T6,2),0)</f>
        <v>0</v>
      </c>
      <c r="Y6" s="9">
        <f>ROUND(SUMIFS('Bank Lines'!$E$5:$E$1640,'Bank Lines'!$G$5:$G$1640,A6,'Bank Lines'!$J$5:$J$1640,1,'Bank Lines'!$C$5:$C$1640,"&lt;="&amp;Cover!$C$15),2)</f>
        <v>0</v>
      </c>
      <c r="Z6" s="9">
        <f>ROUND(SUMIFS('Odoo Items'!$G$5:$G$4331,'Odoo Items'!$J$5:$J$4331,A6,'Odoo Items'!$C$5:$C$4331,"&lt;="&amp;Cover!$C$15),2)</f>
        <v>0</v>
      </c>
      <c r="AA6">
        <f>COUNTIFS('Bank Lines'!$G$5:$G$1640,A6,'Bank Lines'!$J$5:$J$1640,1,'Bank Lines'!$C$5:$C$1640,"&lt;="&amp;Cover!$C$15)</f>
        <v>0</v>
      </c>
      <c r="AB6">
        <f>COUNTIFS('Odoo Items'!$J$5:$J$4331,A6,'Odoo Items'!$C$5:$C$4331,"&lt;="&amp;Cover!$C$15)</f>
        <v>0</v>
      </c>
      <c r="AC6">
        <f>IF(AND(AA6=0,AB6=0),"",IF(AA6=0,"ODOO-ONLY",IF(AB6=0,"BANK-ONLY","BOTH")))</f>
      </c>
      <c r="AD6" s="9">
        <f>IF(AC6="BOTH",ROUND(Y6-Z6,2),0)</f>
        <v>0</v>
      </c>
    </row>
    <row r="7">
      <c r="A7" t="inlineStr">
        <is>
          <t>G00003</t>
        </is>
      </c>
      <c r="B7" t="inlineStr">
        <is>
          <t>OPS</t>
        </is>
      </c>
      <c r="C7" t="inlineStr">
        <is>
          <t>R01</t>
        </is>
      </c>
      <c r="D7" t="inlineStr">
        <is>
          <t>DUPIMP</t>
        </is>
      </c>
      <c r="E7" t="inlineStr"/>
      <c r="G7" t="inlineStr">
        <is>
          <t>Duplicate of a line in import OPS-20260814</t>
        </is>
      </c>
      <c r="H7">
        <f>COUNTIFS('Bank Lines'!$G$5:$G$1640,A7,'Bank Lines'!$J$5:$J$1640,1)</f>
        <v>0</v>
      </c>
      <c r="I7">
        <f>COUNTIFS('Odoo Items'!$J$5:$J$4331,A7)</f>
        <v>0</v>
      </c>
      <c r="J7" s="9">
        <f>ROUND(SUMIFS('Bank Lines'!$E$5:$E$1640,'Bank Lines'!$G$5:$G$1640,A7,'Bank Lines'!$J$5:$J$1640,1),2)</f>
        <v>0</v>
      </c>
      <c r="K7" s="9">
        <f>ROUND(SUMIFS('Odoo Items'!$G$5:$G$4331,'Odoo Items'!$J$5:$J$4331,A7),2)</f>
        <v>0</v>
      </c>
      <c r="L7" s="9">
        <f>ROUND(J7-K7,2)</f>
        <v>0</v>
      </c>
      <c r="M7" s="9">
        <f>ROUND(SUMIFS('Bank Lines'!$E$5:$E$1640,'Bank Lines'!$G$5:$G$1640,A7,'Bank Lines'!$J$5:$J$1640,1,'Bank Lines'!$C$5:$C$1640,"&lt;="&amp;Cover!$C$13),2)</f>
        <v>0</v>
      </c>
      <c r="N7" s="9">
        <f>ROUND(SUMIFS('Odoo Items'!$G$5:$G$4331,'Odoo Items'!$J$5:$J$4331,A7,'Odoo Items'!$C$5:$C$4331,"&lt;="&amp;Cover!$C$13),2)</f>
        <v>0</v>
      </c>
      <c r="O7">
        <f>COUNTIFS('Bank Lines'!$G$5:$G$1640,A7,'Bank Lines'!$J$5:$J$1640,1,'Bank Lines'!$C$5:$C$1640,"&lt;="&amp;Cover!$C$13)</f>
        <v>0</v>
      </c>
      <c r="P7">
        <f>COUNTIFS('Odoo Items'!$J$5:$J$4331,A7,'Odoo Items'!$C$5:$C$4331,"&lt;="&amp;Cover!$C$13)</f>
        <v>0</v>
      </c>
      <c r="Q7">
        <f>IF(AND(O7=0,P7=0),"",IF(O7=0,"ODOO-ONLY",IF(P7=0,"BANK-ONLY","BOTH")))</f>
      </c>
      <c r="R7" s="9">
        <f>IF(Q7="BOTH",ROUND(M7-N7,2),0)</f>
        <v>0</v>
      </c>
      <c r="S7" s="9">
        <f>ROUND(SUMIFS('Bank Lines'!$E$5:$E$1640,'Bank Lines'!$G$5:$G$1640,A7,'Bank Lines'!$J$5:$J$1640,1,'Bank Lines'!$C$5:$C$1640,"&lt;="&amp;Cover!$C$14),2)</f>
        <v>0</v>
      </c>
      <c r="T7" s="9">
        <f>ROUND(SUMIFS('Odoo Items'!$G$5:$G$4331,'Odoo Items'!$J$5:$J$4331,A7,'Odoo Items'!$C$5:$C$4331,"&lt;="&amp;Cover!$C$14),2)</f>
        <v>0</v>
      </c>
      <c r="U7">
        <f>COUNTIFS('Bank Lines'!$G$5:$G$1640,A7,'Bank Lines'!$J$5:$J$1640,1,'Bank Lines'!$C$5:$C$1640,"&lt;="&amp;Cover!$C$14)</f>
        <v>0</v>
      </c>
      <c r="V7">
        <f>COUNTIFS('Odoo Items'!$J$5:$J$4331,A7,'Odoo Items'!$C$5:$C$4331,"&lt;="&amp;Cover!$C$14)</f>
        <v>0</v>
      </c>
      <c r="W7">
        <f>IF(AND(U7=0,V7=0),"",IF(U7=0,"ODOO-ONLY",IF(V7=0,"BANK-ONLY","BOTH")))</f>
      </c>
      <c r="X7" s="9">
        <f>IF(W7="BOTH",ROUND(S7-T7,2),0)</f>
        <v>0</v>
      </c>
      <c r="Y7" s="9">
        <f>ROUND(SUMIFS('Bank Lines'!$E$5:$E$1640,'Bank Lines'!$G$5:$G$1640,A7,'Bank Lines'!$J$5:$J$1640,1,'Bank Lines'!$C$5:$C$1640,"&lt;="&amp;Cover!$C$15),2)</f>
        <v>0</v>
      </c>
      <c r="Z7" s="9">
        <f>ROUND(SUMIFS('Odoo Items'!$G$5:$G$4331,'Odoo Items'!$J$5:$J$4331,A7,'Odoo Items'!$C$5:$C$4331,"&lt;="&amp;Cover!$C$15),2)</f>
        <v>0</v>
      </c>
      <c r="AA7">
        <f>COUNTIFS('Bank Lines'!$G$5:$G$1640,A7,'Bank Lines'!$J$5:$J$1640,1,'Bank Lines'!$C$5:$C$1640,"&lt;="&amp;Cover!$C$15)</f>
        <v>0</v>
      </c>
      <c r="AB7">
        <f>COUNTIFS('Odoo Items'!$J$5:$J$4331,A7,'Odoo Items'!$C$5:$C$4331,"&lt;="&amp;Cover!$C$15)</f>
        <v>0</v>
      </c>
      <c r="AC7">
        <f>IF(AND(AA7=0,AB7=0),"",IF(AA7=0,"ODOO-ONLY",IF(AB7=0,"BANK-ONLY","BOTH")))</f>
      </c>
      <c r="AD7" s="9">
        <f>IF(AC7="BOTH",ROUND(Y7-Z7,2),0)</f>
        <v>0</v>
      </c>
    </row>
    <row r="8">
      <c r="A8" t="inlineStr">
        <is>
          <t>G00004</t>
        </is>
      </c>
      <c r="B8" t="inlineStr">
        <is>
          <t>OPS</t>
        </is>
      </c>
      <c r="C8" t="inlineStr">
        <is>
          <t>R01</t>
        </is>
      </c>
      <c r="D8" t="inlineStr">
        <is>
          <t>DUPIMP</t>
        </is>
      </c>
      <c r="E8" t="inlineStr"/>
      <c r="G8" t="inlineStr">
        <is>
          <t>Duplicate of a line in import OPS-20260814</t>
        </is>
      </c>
      <c r="H8">
        <f>COUNTIFS('Bank Lines'!$G$5:$G$1640,A8,'Bank Lines'!$J$5:$J$1640,1)</f>
        <v>0</v>
      </c>
      <c r="I8">
        <f>COUNTIFS('Odoo Items'!$J$5:$J$4331,A8)</f>
        <v>0</v>
      </c>
      <c r="J8" s="9">
        <f>ROUND(SUMIFS('Bank Lines'!$E$5:$E$1640,'Bank Lines'!$G$5:$G$1640,A8,'Bank Lines'!$J$5:$J$1640,1),2)</f>
        <v>0</v>
      </c>
      <c r="K8" s="9">
        <f>ROUND(SUMIFS('Odoo Items'!$G$5:$G$4331,'Odoo Items'!$J$5:$J$4331,A8),2)</f>
        <v>0</v>
      </c>
      <c r="L8" s="9">
        <f>ROUND(J8-K8,2)</f>
        <v>0</v>
      </c>
      <c r="M8" s="9">
        <f>ROUND(SUMIFS('Bank Lines'!$E$5:$E$1640,'Bank Lines'!$G$5:$G$1640,A8,'Bank Lines'!$J$5:$J$1640,1,'Bank Lines'!$C$5:$C$1640,"&lt;="&amp;Cover!$C$13),2)</f>
        <v>0</v>
      </c>
      <c r="N8" s="9">
        <f>ROUND(SUMIFS('Odoo Items'!$G$5:$G$4331,'Odoo Items'!$J$5:$J$4331,A8,'Odoo Items'!$C$5:$C$4331,"&lt;="&amp;Cover!$C$13),2)</f>
        <v>0</v>
      </c>
      <c r="O8">
        <f>COUNTIFS('Bank Lines'!$G$5:$G$1640,A8,'Bank Lines'!$J$5:$J$1640,1,'Bank Lines'!$C$5:$C$1640,"&lt;="&amp;Cover!$C$13)</f>
        <v>0</v>
      </c>
      <c r="P8">
        <f>COUNTIFS('Odoo Items'!$J$5:$J$4331,A8,'Odoo Items'!$C$5:$C$4331,"&lt;="&amp;Cover!$C$13)</f>
        <v>0</v>
      </c>
      <c r="Q8">
        <f>IF(AND(O8=0,P8=0),"",IF(O8=0,"ODOO-ONLY",IF(P8=0,"BANK-ONLY","BOTH")))</f>
      </c>
      <c r="R8" s="9">
        <f>IF(Q8="BOTH",ROUND(M8-N8,2),0)</f>
        <v>0</v>
      </c>
      <c r="S8" s="9">
        <f>ROUND(SUMIFS('Bank Lines'!$E$5:$E$1640,'Bank Lines'!$G$5:$G$1640,A8,'Bank Lines'!$J$5:$J$1640,1,'Bank Lines'!$C$5:$C$1640,"&lt;="&amp;Cover!$C$14),2)</f>
        <v>0</v>
      </c>
      <c r="T8" s="9">
        <f>ROUND(SUMIFS('Odoo Items'!$G$5:$G$4331,'Odoo Items'!$J$5:$J$4331,A8,'Odoo Items'!$C$5:$C$4331,"&lt;="&amp;Cover!$C$14),2)</f>
        <v>0</v>
      </c>
      <c r="U8">
        <f>COUNTIFS('Bank Lines'!$G$5:$G$1640,A8,'Bank Lines'!$J$5:$J$1640,1,'Bank Lines'!$C$5:$C$1640,"&lt;="&amp;Cover!$C$14)</f>
        <v>0</v>
      </c>
      <c r="V8">
        <f>COUNTIFS('Odoo Items'!$J$5:$J$4331,A8,'Odoo Items'!$C$5:$C$4331,"&lt;="&amp;Cover!$C$14)</f>
        <v>0</v>
      </c>
      <c r="W8">
        <f>IF(AND(U8=0,V8=0),"",IF(U8=0,"ODOO-ONLY",IF(V8=0,"BANK-ONLY","BOTH")))</f>
      </c>
      <c r="X8" s="9">
        <f>IF(W8="BOTH",ROUND(S8-T8,2),0)</f>
        <v>0</v>
      </c>
      <c r="Y8" s="9">
        <f>ROUND(SUMIFS('Bank Lines'!$E$5:$E$1640,'Bank Lines'!$G$5:$G$1640,A8,'Bank Lines'!$J$5:$J$1640,1,'Bank Lines'!$C$5:$C$1640,"&lt;="&amp;Cover!$C$15),2)</f>
        <v>0</v>
      </c>
      <c r="Z8" s="9">
        <f>ROUND(SUMIFS('Odoo Items'!$G$5:$G$4331,'Odoo Items'!$J$5:$J$4331,A8,'Odoo Items'!$C$5:$C$4331,"&lt;="&amp;Cover!$C$15),2)</f>
        <v>0</v>
      </c>
      <c r="AA8">
        <f>COUNTIFS('Bank Lines'!$G$5:$G$1640,A8,'Bank Lines'!$J$5:$J$1640,1,'Bank Lines'!$C$5:$C$1640,"&lt;="&amp;Cover!$C$15)</f>
        <v>0</v>
      </c>
      <c r="AB8">
        <f>COUNTIFS('Odoo Items'!$J$5:$J$4331,A8,'Odoo Items'!$C$5:$C$4331,"&lt;="&amp;Cover!$C$15)</f>
        <v>0</v>
      </c>
      <c r="AC8">
        <f>IF(AND(AA8=0,AB8=0),"",IF(AA8=0,"ODOO-ONLY",IF(AB8=0,"BANK-ONLY","BOTH")))</f>
      </c>
      <c r="AD8" s="9">
        <f>IF(AC8="BOTH",ROUND(Y8-Z8,2),0)</f>
        <v>0</v>
      </c>
    </row>
    <row r="9">
      <c r="A9" t="inlineStr">
        <is>
          <t>G00005</t>
        </is>
      </c>
      <c r="B9" t="inlineStr">
        <is>
          <t>OPS</t>
        </is>
      </c>
      <c r="C9" t="inlineStr">
        <is>
          <t>R01</t>
        </is>
      </c>
      <c r="D9" t="inlineStr">
        <is>
          <t>DUPIMP</t>
        </is>
      </c>
      <c r="E9" t="inlineStr"/>
      <c r="G9" t="inlineStr">
        <is>
          <t>Duplicate of a line in import OPS-20260814</t>
        </is>
      </c>
      <c r="H9">
        <f>COUNTIFS('Bank Lines'!$G$5:$G$1640,A9,'Bank Lines'!$J$5:$J$1640,1)</f>
        <v>0</v>
      </c>
      <c r="I9">
        <f>COUNTIFS('Odoo Items'!$J$5:$J$4331,A9)</f>
        <v>0</v>
      </c>
      <c r="J9" s="9">
        <f>ROUND(SUMIFS('Bank Lines'!$E$5:$E$1640,'Bank Lines'!$G$5:$G$1640,A9,'Bank Lines'!$J$5:$J$1640,1),2)</f>
        <v>0</v>
      </c>
      <c r="K9" s="9">
        <f>ROUND(SUMIFS('Odoo Items'!$G$5:$G$4331,'Odoo Items'!$J$5:$J$4331,A9),2)</f>
        <v>0</v>
      </c>
      <c r="L9" s="9">
        <f>ROUND(J9-K9,2)</f>
        <v>0</v>
      </c>
      <c r="M9" s="9">
        <f>ROUND(SUMIFS('Bank Lines'!$E$5:$E$1640,'Bank Lines'!$G$5:$G$1640,A9,'Bank Lines'!$J$5:$J$1640,1,'Bank Lines'!$C$5:$C$1640,"&lt;="&amp;Cover!$C$13),2)</f>
        <v>0</v>
      </c>
      <c r="N9" s="9">
        <f>ROUND(SUMIFS('Odoo Items'!$G$5:$G$4331,'Odoo Items'!$J$5:$J$4331,A9,'Odoo Items'!$C$5:$C$4331,"&lt;="&amp;Cover!$C$13),2)</f>
        <v>0</v>
      </c>
      <c r="O9">
        <f>COUNTIFS('Bank Lines'!$G$5:$G$1640,A9,'Bank Lines'!$J$5:$J$1640,1,'Bank Lines'!$C$5:$C$1640,"&lt;="&amp;Cover!$C$13)</f>
        <v>0</v>
      </c>
      <c r="P9">
        <f>COUNTIFS('Odoo Items'!$J$5:$J$4331,A9,'Odoo Items'!$C$5:$C$4331,"&lt;="&amp;Cover!$C$13)</f>
        <v>0</v>
      </c>
      <c r="Q9">
        <f>IF(AND(O9=0,P9=0),"",IF(O9=0,"ODOO-ONLY",IF(P9=0,"BANK-ONLY","BOTH")))</f>
      </c>
      <c r="R9" s="9">
        <f>IF(Q9="BOTH",ROUND(M9-N9,2),0)</f>
        <v>0</v>
      </c>
      <c r="S9" s="9">
        <f>ROUND(SUMIFS('Bank Lines'!$E$5:$E$1640,'Bank Lines'!$G$5:$G$1640,A9,'Bank Lines'!$J$5:$J$1640,1,'Bank Lines'!$C$5:$C$1640,"&lt;="&amp;Cover!$C$14),2)</f>
        <v>0</v>
      </c>
      <c r="T9" s="9">
        <f>ROUND(SUMIFS('Odoo Items'!$G$5:$G$4331,'Odoo Items'!$J$5:$J$4331,A9,'Odoo Items'!$C$5:$C$4331,"&lt;="&amp;Cover!$C$14),2)</f>
        <v>0</v>
      </c>
      <c r="U9">
        <f>COUNTIFS('Bank Lines'!$G$5:$G$1640,A9,'Bank Lines'!$J$5:$J$1640,1,'Bank Lines'!$C$5:$C$1640,"&lt;="&amp;Cover!$C$14)</f>
        <v>0</v>
      </c>
      <c r="V9">
        <f>COUNTIFS('Odoo Items'!$J$5:$J$4331,A9,'Odoo Items'!$C$5:$C$4331,"&lt;="&amp;Cover!$C$14)</f>
        <v>0</v>
      </c>
      <c r="W9">
        <f>IF(AND(U9=0,V9=0),"",IF(U9=0,"ODOO-ONLY",IF(V9=0,"BANK-ONLY","BOTH")))</f>
      </c>
      <c r="X9" s="9">
        <f>IF(W9="BOTH",ROUND(S9-T9,2),0)</f>
        <v>0</v>
      </c>
      <c r="Y9" s="9">
        <f>ROUND(SUMIFS('Bank Lines'!$E$5:$E$1640,'Bank Lines'!$G$5:$G$1640,A9,'Bank Lines'!$J$5:$J$1640,1,'Bank Lines'!$C$5:$C$1640,"&lt;="&amp;Cover!$C$15),2)</f>
        <v>0</v>
      </c>
      <c r="Z9" s="9">
        <f>ROUND(SUMIFS('Odoo Items'!$G$5:$G$4331,'Odoo Items'!$J$5:$J$4331,A9,'Odoo Items'!$C$5:$C$4331,"&lt;="&amp;Cover!$C$15),2)</f>
        <v>0</v>
      </c>
      <c r="AA9">
        <f>COUNTIFS('Bank Lines'!$G$5:$G$1640,A9,'Bank Lines'!$J$5:$J$1640,1,'Bank Lines'!$C$5:$C$1640,"&lt;="&amp;Cover!$C$15)</f>
        <v>0</v>
      </c>
      <c r="AB9">
        <f>COUNTIFS('Odoo Items'!$J$5:$J$4331,A9,'Odoo Items'!$C$5:$C$4331,"&lt;="&amp;Cover!$C$15)</f>
        <v>0</v>
      </c>
      <c r="AC9">
        <f>IF(AND(AA9=0,AB9=0),"",IF(AA9=0,"ODOO-ONLY",IF(AB9=0,"BANK-ONLY","BOTH")))</f>
      </c>
      <c r="AD9" s="9">
        <f>IF(AC9="BOTH",ROUND(Y9-Z9,2),0)</f>
        <v>0</v>
      </c>
    </row>
    <row r="10">
      <c r="A10" t="inlineStr">
        <is>
          <t>G00006</t>
        </is>
      </c>
      <c r="B10" t="inlineStr">
        <is>
          <t>OPS</t>
        </is>
      </c>
      <c r="C10" t="inlineStr">
        <is>
          <t>R01</t>
        </is>
      </c>
      <c r="D10" t="inlineStr">
        <is>
          <t>DUPIMP</t>
        </is>
      </c>
      <c r="E10" t="inlineStr"/>
      <c r="G10" t="inlineStr">
        <is>
          <t>Duplicate of a line in import OPS-20260814</t>
        </is>
      </c>
      <c r="H10">
        <f>COUNTIFS('Bank Lines'!$G$5:$G$1640,A10,'Bank Lines'!$J$5:$J$1640,1)</f>
        <v>0</v>
      </c>
      <c r="I10">
        <f>COUNTIFS('Odoo Items'!$J$5:$J$4331,A10)</f>
        <v>0</v>
      </c>
      <c r="J10" s="9">
        <f>ROUND(SUMIFS('Bank Lines'!$E$5:$E$1640,'Bank Lines'!$G$5:$G$1640,A10,'Bank Lines'!$J$5:$J$1640,1),2)</f>
        <v>0</v>
      </c>
      <c r="K10" s="9">
        <f>ROUND(SUMIFS('Odoo Items'!$G$5:$G$4331,'Odoo Items'!$J$5:$J$4331,A10),2)</f>
        <v>0</v>
      </c>
      <c r="L10" s="9">
        <f>ROUND(J10-K10,2)</f>
        <v>0</v>
      </c>
      <c r="M10" s="9">
        <f>ROUND(SUMIFS('Bank Lines'!$E$5:$E$1640,'Bank Lines'!$G$5:$G$1640,A10,'Bank Lines'!$J$5:$J$1640,1,'Bank Lines'!$C$5:$C$1640,"&lt;="&amp;Cover!$C$13),2)</f>
        <v>0</v>
      </c>
      <c r="N10" s="9">
        <f>ROUND(SUMIFS('Odoo Items'!$G$5:$G$4331,'Odoo Items'!$J$5:$J$4331,A10,'Odoo Items'!$C$5:$C$4331,"&lt;="&amp;Cover!$C$13),2)</f>
        <v>0</v>
      </c>
      <c r="O10">
        <f>COUNTIFS('Bank Lines'!$G$5:$G$1640,A10,'Bank Lines'!$J$5:$J$1640,1,'Bank Lines'!$C$5:$C$1640,"&lt;="&amp;Cover!$C$13)</f>
        <v>0</v>
      </c>
      <c r="P10">
        <f>COUNTIFS('Odoo Items'!$J$5:$J$4331,A10,'Odoo Items'!$C$5:$C$4331,"&lt;="&amp;Cover!$C$13)</f>
        <v>0</v>
      </c>
      <c r="Q10">
        <f>IF(AND(O10=0,P10=0),"",IF(O10=0,"ODOO-ONLY",IF(P10=0,"BANK-ONLY","BOTH")))</f>
      </c>
      <c r="R10" s="9">
        <f>IF(Q10="BOTH",ROUND(M10-N10,2),0)</f>
        <v>0</v>
      </c>
      <c r="S10" s="9">
        <f>ROUND(SUMIFS('Bank Lines'!$E$5:$E$1640,'Bank Lines'!$G$5:$G$1640,A10,'Bank Lines'!$J$5:$J$1640,1,'Bank Lines'!$C$5:$C$1640,"&lt;="&amp;Cover!$C$14),2)</f>
        <v>0</v>
      </c>
      <c r="T10" s="9">
        <f>ROUND(SUMIFS('Odoo Items'!$G$5:$G$4331,'Odoo Items'!$J$5:$J$4331,A10,'Odoo Items'!$C$5:$C$4331,"&lt;="&amp;Cover!$C$14),2)</f>
        <v>0</v>
      </c>
      <c r="U10">
        <f>COUNTIFS('Bank Lines'!$G$5:$G$1640,A10,'Bank Lines'!$J$5:$J$1640,1,'Bank Lines'!$C$5:$C$1640,"&lt;="&amp;Cover!$C$14)</f>
        <v>0</v>
      </c>
      <c r="V10">
        <f>COUNTIFS('Odoo Items'!$J$5:$J$4331,A10,'Odoo Items'!$C$5:$C$4331,"&lt;="&amp;Cover!$C$14)</f>
        <v>0</v>
      </c>
      <c r="W10">
        <f>IF(AND(U10=0,V10=0),"",IF(U10=0,"ODOO-ONLY",IF(V10=0,"BANK-ONLY","BOTH")))</f>
      </c>
      <c r="X10" s="9">
        <f>IF(W10="BOTH",ROUND(S10-T10,2),0)</f>
        <v>0</v>
      </c>
      <c r="Y10" s="9">
        <f>ROUND(SUMIFS('Bank Lines'!$E$5:$E$1640,'Bank Lines'!$G$5:$G$1640,A10,'Bank Lines'!$J$5:$J$1640,1,'Bank Lines'!$C$5:$C$1640,"&lt;="&amp;Cover!$C$15),2)</f>
        <v>0</v>
      </c>
      <c r="Z10" s="9">
        <f>ROUND(SUMIFS('Odoo Items'!$G$5:$G$4331,'Odoo Items'!$J$5:$J$4331,A10,'Odoo Items'!$C$5:$C$4331,"&lt;="&amp;Cover!$C$15),2)</f>
        <v>0</v>
      </c>
      <c r="AA10">
        <f>COUNTIFS('Bank Lines'!$G$5:$G$1640,A10,'Bank Lines'!$J$5:$J$1640,1,'Bank Lines'!$C$5:$C$1640,"&lt;="&amp;Cover!$C$15)</f>
        <v>0</v>
      </c>
      <c r="AB10">
        <f>COUNTIFS('Odoo Items'!$J$5:$J$4331,A10,'Odoo Items'!$C$5:$C$4331,"&lt;="&amp;Cover!$C$15)</f>
        <v>0</v>
      </c>
      <c r="AC10">
        <f>IF(AND(AA10=0,AB10=0),"",IF(AA10=0,"ODOO-ONLY",IF(AB10=0,"BANK-ONLY","BOTH")))</f>
      </c>
      <c r="AD10" s="9">
        <f>IF(AC10="BOTH",ROUND(Y10-Z10,2),0)</f>
        <v>0</v>
      </c>
    </row>
    <row r="11">
      <c r="A11" t="inlineStr">
        <is>
          <t>G00007</t>
        </is>
      </c>
      <c r="B11" t="inlineStr">
        <is>
          <t>OPS</t>
        </is>
      </c>
      <c r="C11" t="inlineStr">
        <is>
          <t>R01</t>
        </is>
      </c>
      <c r="D11" t="inlineStr">
        <is>
          <t>DUPIMP</t>
        </is>
      </c>
      <c r="E11" t="inlineStr"/>
      <c r="G11" t="inlineStr">
        <is>
          <t>Duplicate of a line in import OPS-20260814</t>
        </is>
      </c>
      <c r="H11">
        <f>COUNTIFS('Bank Lines'!$G$5:$G$1640,A11,'Bank Lines'!$J$5:$J$1640,1)</f>
        <v>0</v>
      </c>
      <c r="I11">
        <f>COUNTIFS('Odoo Items'!$J$5:$J$4331,A11)</f>
        <v>0</v>
      </c>
      <c r="J11" s="9">
        <f>ROUND(SUMIFS('Bank Lines'!$E$5:$E$1640,'Bank Lines'!$G$5:$G$1640,A11,'Bank Lines'!$J$5:$J$1640,1),2)</f>
        <v>0</v>
      </c>
      <c r="K11" s="9">
        <f>ROUND(SUMIFS('Odoo Items'!$G$5:$G$4331,'Odoo Items'!$J$5:$J$4331,A11),2)</f>
        <v>0</v>
      </c>
      <c r="L11" s="9">
        <f>ROUND(J11-K11,2)</f>
        <v>0</v>
      </c>
      <c r="M11" s="9">
        <f>ROUND(SUMIFS('Bank Lines'!$E$5:$E$1640,'Bank Lines'!$G$5:$G$1640,A11,'Bank Lines'!$J$5:$J$1640,1,'Bank Lines'!$C$5:$C$1640,"&lt;="&amp;Cover!$C$13),2)</f>
        <v>0</v>
      </c>
      <c r="N11" s="9">
        <f>ROUND(SUMIFS('Odoo Items'!$G$5:$G$4331,'Odoo Items'!$J$5:$J$4331,A11,'Odoo Items'!$C$5:$C$4331,"&lt;="&amp;Cover!$C$13),2)</f>
        <v>0</v>
      </c>
      <c r="O11">
        <f>COUNTIFS('Bank Lines'!$G$5:$G$1640,A11,'Bank Lines'!$J$5:$J$1640,1,'Bank Lines'!$C$5:$C$1640,"&lt;="&amp;Cover!$C$13)</f>
        <v>0</v>
      </c>
      <c r="P11">
        <f>COUNTIFS('Odoo Items'!$J$5:$J$4331,A11,'Odoo Items'!$C$5:$C$4331,"&lt;="&amp;Cover!$C$13)</f>
        <v>0</v>
      </c>
      <c r="Q11">
        <f>IF(AND(O11=0,P11=0),"",IF(O11=0,"ODOO-ONLY",IF(P11=0,"BANK-ONLY","BOTH")))</f>
      </c>
      <c r="R11" s="9">
        <f>IF(Q11="BOTH",ROUND(M11-N11,2),0)</f>
        <v>0</v>
      </c>
      <c r="S11" s="9">
        <f>ROUND(SUMIFS('Bank Lines'!$E$5:$E$1640,'Bank Lines'!$G$5:$G$1640,A11,'Bank Lines'!$J$5:$J$1640,1,'Bank Lines'!$C$5:$C$1640,"&lt;="&amp;Cover!$C$14),2)</f>
        <v>0</v>
      </c>
      <c r="T11" s="9">
        <f>ROUND(SUMIFS('Odoo Items'!$G$5:$G$4331,'Odoo Items'!$J$5:$J$4331,A11,'Odoo Items'!$C$5:$C$4331,"&lt;="&amp;Cover!$C$14),2)</f>
        <v>0</v>
      </c>
      <c r="U11">
        <f>COUNTIFS('Bank Lines'!$G$5:$G$1640,A11,'Bank Lines'!$J$5:$J$1640,1,'Bank Lines'!$C$5:$C$1640,"&lt;="&amp;Cover!$C$14)</f>
        <v>0</v>
      </c>
      <c r="V11">
        <f>COUNTIFS('Odoo Items'!$J$5:$J$4331,A11,'Odoo Items'!$C$5:$C$4331,"&lt;="&amp;Cover!$C$14)</f>
        <v>0</v>
      </c>
      <c r="W11">
        <f>IF(AND(U11=0,V11=0),"",IF(U11=0,"ODOO-ONLY",IF(V11=0,"BANK-ONLY","BOTH")))</f>
      </c>
      <c r="X11" s="9">
        <f>IF(W11="BOTH",ROUND(S11-T11,2),0)</f>
        <v>0</v>
      </c>
      <c r="Y11" s="9">
        <f>ROUND(SUMIFS('Bank Lines'!$E$5:$E$1640,'Bank Lines'!$G$5:$G$1640,A11,'Bank Lines'!$J$5:$J$1640,1,'Bank Lines'!$C$5:$C$1640,"&lt;="&amp;Cover!$C$15),2)</f>
        <v>0</v>
      </c>
      <c r="Z11" s="9">
        <f>ROUND(SUMIFS('Odoo Items'!$G$5:$G$4331,'Odoo Items'!$J$5:$J$4331,A11,'Odoo Items'!$C$5:$C$4331,"&lt;="&amp;Cover!$C$15),2)</f>
        <v>0</v>
      </c>
      <c r="AA11">
        <f>COUNTIFS('Bank Lines'!$G$5:$G$1640,A11,'Bank Lines'!$J$5:$J$1640,1,'Bank Lines'!$C$5:$C$1640,"&lt;="&amp;Cover!$C$15)</f>
        <v>0</v>
      </c>
      <c r="AB11">
        <f>COUNTIFS('Odoo Items'!$J$5:$J$4331,A11,'Odoo Items'!$C$5:$C$4331,"&lt;="&amp;Cover!$C$15)</f>
        <v>0</v>
      </c>
      <c r="AC11">
        <f>IF(AND(AA11=0,AB11=0),"",IF(AA11=0,"ODOO-ONLY",IF(AB11=0,"BANK-ONLY","BOTH")))</f>
      </c>
      <c r="AD11" s="9">
        <f>IF(AC11="BOTH",ROUND(Y11-Z11,2),0)</f>
        <v>0</v>
      </c>
    </row>
    <row r="12">
      <c r="A12" t="inlineStr">
        <is>
          <t>G00008</t>
        </is>
      </c>
      <c r="B12" t="inlineStr">
        <is>
          <t>OPS</t>
        </is>
      </c>
      <c r="C12" t="inlineStr">
        <is>
          <t>R01</t>
        </is>
      </c>
      <c r="D12" t="inlineStr">
        <is>
          <t>DUPIMP</t>
        </is>
      </c>
      <c r="E12" t="inlineStr"/>
      <c r="G12" t="inlineStr">
        <is>
          <t>Duplicate of a line in import OPS-20260814</t>
        </is>
      </c>
      <c r="H12">
        <f>COUNTIFS('Bank Lines'!$G$5:$G$1640,A12,'Bank Lines'!$J$5:$J$1640,1)</f>
        <v>0</v>
      </c>
      <c r="I12">
        <f>COUNTIFS('Odoo Items'!$J$5:$J$4331,A12)</f>
        <v>0</v>
      </c>
      <c r="J12" s="9">
        <f>ROUND(SUMIFS('Bank Lines'!$E$5:$E$1640,'Bank Lines'!$G$5:$G$1640,A12,'Bank Lines'!$J$5:$J$1640,1),2)</f>
        <v>0</v>
      </c>
      <c r="K12" s="9">
        <f>ROUND(SUMIFS('Odoo Items'!$G$5:$G$4331,'Odoo Items'!$J$5:$J$4331,A12),2)</f>
        <v>0</v>
      </c>
      <c r="L12" s="9">
        <f>ROUND(J12-K12,2)</f>
        <v>0</v>
      </c>
      <c r="M12" s="9">
        <f>ROUND(SUMIFS('Bank Lines'!$E$5:$E$1640,'Bank Lines'!$G$5:$G$1640,A12,'Bank Lines'!$J$5:$J$1640,1,'Bank Lines'!$C$5:$C$1640,"&lt;="&amp;Cover!$C$13),2)</f>
        <v>0</v>
      </c>
      <c r="N12" s="9">
        <f>ROUND(SUMIFS('Odoo Items'!$G$5:$G$4331,'Odoo Items'!$J$5:$J$4331,A12,'Odoo Items'!$C$5:$C$4331,"&lt;="&amp;Cover!$C$13),2)</f>
        <v>0</v>
      </c>
      <c r="O12">
        <f>COUNTIFS('Bank Lines'!$G$5:$G$1640,A12,'Bank Lines'!$J$5:$J$1640,1,'Bank Lines'!$C$5:$C$1640,"&lt;="&amp;Cover!$C$13)</f>
        <v>0</v>
      </c>
      <c r="P12">
        <f>COUNTIFS('Odoo Items'!$J$5:$J$4331,A12,'Odoo Items'!$C$5:$C$4331,"&lt;="&amp;Cover!$C$13)</f>
        <v>0</v>
      </c>
      <c r="Q12">
        <f>IF(AND(O12=0,P12=0),"",IF(O12=0,"ODOO-ONLY",IF(P12=0,"BANK-ONLY","BOTH")))</f>
      </c>
      <c r="R12" s="9">
        <f>IF(Q12="BOTH",ROUND(M12-N12,2),0)</f>
        <v>0</v>
      </c>
      <c r="S12" s="9">
        <f>ROUND(SUMIFS('Bank Lines'!$E$5:$E$1640,'Bank Lines'!$G$5:$G$1640,A12,'Bank Lines'!$J$5:$J$1640,1,'Bank Lines'!$C$5:$C$1640,"&lt;="&amp;Cover!$C$14),2)</f>
        <v>0</v>
      </c>
      <c r="T12" s="9">
        <f>ROUND(SUMIFS('Odoo Items'!$G$5:$G$4331,'Odoo Items'!$J$5:$J$4331,A12,'Odoo Items'!$C$5:$C$4331,"&lt;="&amp;Cover!$C$14),2)</f>
        <v>0</v>
      </c>
      <c r="U12">
        <f>COUNTIFS('Bank Lines'!$G$5:$G$1640,A12,'Bank Lines'!$J$5:$J$1640,1,'Bank Lines'!$C$5:$C$1640,"&lt;="&amp;Cover!$C$14)</f>
        <v>0</v>
      </c>
      <c r="V12">
        <f>COUNTIFS('Odoo Items'!$J$5:$J$4331,A12,'Odoo Items'!$C$5:$C$4331,"&lt;="&amp;Cover!$C$14)</f>
        <v>0</v>
      </c>
      <c r="W12">
        <f>IF(AND(U12=0,V12=0),"",IF(U12=0,"ODOO-ONLY",IF(V12=0,"BANK-ONLY","BOTH")))</f>
      </c>
      <c r="X12" s="9">
        <f>IF(W12="BOTH",ROUND(S12-T12,2),0)</f>
        <v>0</v>
      </c>
      <c r="Y12" s="9">
        <f>ROUND(SUMIFS('Bank Lines'!$E$5:$E$1640,'Bank Lines'!$G$5:$G$1640,A12,'Bank Lines'!$J$5:$J$1640,1,'Bank Lines'!$C$5:$C$1640,"&lt;="&amp;Cover!$C$15),2)</f>
        <v>0</v>
      </c>
      <c r="Z12" s="9">
        <f>ROUND(SUMIFS('Odoo Items'!$G$5:$G$4331,'Odoo Items'!$J$5:$J$4331,A12,'Odoo Items'!$C$5:$C$4331,"&lt;="&amp;Cover!$C$15),2)</f>
        <v>0</v>
      </c>
      <c r="AA12">
        <f>COUNTIFS('Bank Lines'!$G$5:$G$1640,A12,'Bank Lines'!$J$5:$J$1640,1,'Bank Lines'!$C$5:$C$1640,"&lt;="&amp;Cover!$C$15)</f>
        <v>0</v>
      </c>
      <c r="AB12">
        <f>COUNTIFS('Odoo Items'!$J$5:$J$4331,A12,'Odoo Items'!$C$5:$C$4331,"&lt;="&amp;Cover!$C$15)</f>
        <v>0</v>
      </c>
      <c r="AC12">
        <f>IF(AND(AA12=0,AB12=0),"",IF(AA12=0,"ODOO-ONLY",IF(AB12=0,"BANK-ONLY","BOTH")))</f>
      </c>
      <c r="AD12" s="9">
        <f>IF(AC12="BOTH",ROUND(Y12-Z12,2),0)</f>
        <v>0</v>
      </c>
    </row>
    <row r="13">
      <c r="A13" t="inlineStr">
        <is>
          <t>G00009</t>
        </is>
      </c>
      <c r="B13" t="inlineStr">
        <is>
          <t>OPS</t>
        </is>
      </c>
      <c r="C13" t="inlineStr">
        <is>
          <t>R01</t>
        </is>
      </c>
      <c r="D13" t="inlineStr">
        <is>
          <t>DUPIMP</t>
        </is>
      </c>
      <c r="E13" t="inlineStr"/>
      <c r="G13" t="inlineStr">
        <is>
          <t>Duplicate of a line in import OPS-20260814</t>
        </is>
      </c>
      <c r="H13">
        <f>COUNTIFS('Bank Lines'!$G$5:$G$1640,A13,'Bank Lines'!$J$5:$J$1640,1)</f>
        <v>0</v>
      </c>
      <c r="I13">
        <f>COUNTIFS('Odoo Items'!$J$5:$J$4331,A13)</f>
        <v>0</v>
      </c>
      <c r="J13" s="9">
        <f>ROUND(SUMIFS('Bank Lines'!$E$5:$E$1640,'Bank Lines'!$G$5:$G$1640,A13,'Bank Lines'!$J$5:$J$1640,1),2)</f>
        <v>0</v>
      </c>
      <c r="K13" s="9">
        <f>ROUND(SUMIFS('Odoo Items'!$G$5:$G$4331,'Odoo Items'!$J$5:$J$4331,A13),2)</f>
        <v>0</v>
      </c>
      <c r="L13" s="9">
        <f>ROUND(J13-K13,2)</f>
        <v>0</v>
      </c>
      <c r="M13" s="9">
        <f>ROUND(SUMIFS('Bank Lines'!$E$5:$E$1640,'Bank Lines'!$G$5:$G$1640,A13,'Bank Lines'!$J$5:$J$1640,1,'Bank Lines'!$C$5:$C$1640,"&lt;="&amp;Cover!$C$13),2)</f>
        <v>0</v>
      </c>
      <c r="N13" s="9">
        <f>ROUND(SUMIFS('Odoo Items'!$G$5:$G$4331,'Odoo Items'!$J$5:$J$4331,A13,'Odoo Items'!$C$5:$C$4331,"&lt;="&amp;Cover!$C$13),2)</f>
        <v>0</v>
      </c>
      <c r="O13">
        <f>COUNTIFS('Bank Lines'!$G$5:$G$1640,A13,'Bank Lines'!$J$5:$J$1640,1,'Bank Lines'!$C$5:$C$1640,"&lt;="&amp;Cover!$C$13)</f>
        <v>0</v>
      </c>
      <c r="P13">
        <f>COUNTIFS('Odoo Items'!$J$5:$J$4331,A13,'Odoo Items'!$C$5:$C$4331,"&lt;="&amp;Cover!$C$13)</f>
        <v>0</v>
      </c>
      <c r="Q13">
        <f>IF(AND(O13=0,P13=0),"",IF(O13=0,"ODOO-ONLY",IF(P13=0,"BANK-ONLY","BOTH")))</f>
      </c>
      <c r="R13" s="9">
        <f>IF(Q13="BOTH",ROUND(M13-N13,2),0)</f>
        <v>0</v>
      </c>
      <c r="S13" s="9">
        <f>ROUND(SUMIFS('Bank Lines'!$E$5:$E$1640,'Bank Lines'!$G$5:$G$1640,A13,'Bank Lines'!$J$5:$J$1640,1,'Bank Lines'!$C$5:$C$1640,"&lt;="&amp;Cover!$C$14),2)</f>
        <v>0</v>
      </c>
      <c r="T13" s="9">
        <f>ROUND(SUMIFS('Odoo Items'!$G$5:$G$4331,'Odoo Items'!$J$5:$J$4331,A13,'Odoo Items'!$C$5:$C$4331,"&lt;="&amp;Cover!$C$14),2)</f>
        <v>0</v>
      </c>
      <c r="U13">
        <f>COUNTIFS('Bank Lines'!$G$5:$G$1640,A13,'Bank Lines'!$J$5:$J$1640,1,'Bank Lines'!$C$5:$C$1640,"&lt;="&amp;Cover!$C$14)</f>
        <v>0</v>
      </c>
      <c r="V13">
        <f>COUNTIFS('Odoo Items'!$J$5:$J$4331,A13,'Odoo Items'!$C$5:$C$4331,"&lt;="&amp;Cover!$C$14)</f>
        <v>0</v>
      </c>
      <c r="W13">
        <f>IF(AND(U13=0,V13=0),"",IF(U13=0,"ODOO-ONLY",IF(V13=0,"BANK-ONLY","BOTH")))</f>
      </c>
      <c r="X13" s="9">
        <f>IF(W13="BOTH",ROUND(S13-T13,2),0)</f>
        <v>0</v>
      </c>
      <c r="Y13" s="9">
        <f>ROUND(SUMIFS('Bank Lines'!$E$5:$E$1640,'Bank Lines'!$G$5:$G$1640,A13,'Bank Lines'!$J$5:$J$1640,1,'Bank Lines'!$C$5:$C$1640,"&lt;="&amp;Cover!$C$15),2)</f>
        <v>0</v>
      </c>
      <c r="Z13" s="9">
        <f>ROUND(SUMIFS('Odoo Items'!$G$5:$G$4331,'Odoo Items'!$J$5:$J$4331,A13,'Odoo Items'!$C$5:$C$4331,"&lt;="&amp;Cover!$C$15),2)</f>
        <v>0</v>
      </c>
      <c r="AA13">
        <f>COUNTIFS('Bank Lines'!$G$5:$G$1640,A13,'Bank Lines'!$J$5:$J$1640,1,'Bank Lines'!$C$5:$C$1640,"&lt;="&amp;Cover!$C$15)</f>
        <v>0</v>
      </c>
      <c r="AB13">
        <f>COUNTIFS('Odoo Items'!$J$5:$J$4331,A13,'Odoo Items'!$C$5:$C$4331,"&lt;="&amp;Cover!$C$15)</f>
        <v>0</v>
      </c>
      <c r="AC13">
        <f>IF(AND(AA13=0,AB13=0),"",IF(AA13=0,"ODOO-ONLY",IF(AB13=0,"BANK-ONLY","BOTH")))</f>
      </c>
      <c r="AD13" s="9">
        <f>IF(AC13="BOTH",ROUND(Y13-Z13,2),0)</f>
        <v>0</v>
      </c>
    </row>
    <row r="14">
      <c r="A14" t="inlineStr">
        <is>
          <t>G00010</t>
        </is>
      </c>
      <c r="B14" t="inlineStr">
        <is>
          <t>OPS</t>
        </is>
      </c>
      <c r="C14" t="inlineStr">
        <is>
          <t>R01</t>
        </is>
      </c>
      <c r="D14" t="inlineStr">
        <is>
          <t>DUPIMP</t>
        </is>
      </c>
      <c r="E14" t="inlineStr"/>
      <c r="G14" t="inlineStr">
        <is>
          <t>Duplicate of a line in import OPS-20260814</t>
        </is>
      </c>
      <c r="H14">
        <f>COUNTIFS('Bank Lines'!$G$5:$G$1640,A14,'Bank Lines'!$J$5:$J$1640,1)</f>
        <v>0</v>
      </c>
      <c r="I14">
        <f>COUNTIFS('Odoo Items'!$J$5:$J$4331,A14)</f>
        <v>0</v>
      </c>
      <c r="J14" s="9">
        <f>ROUND(SUMIFS('Bank Lines'!$E$5:$E$1640,'Bank Lines'!$G$5:$G$1640,A14,'Bank Lines'!$J$5:$J$1640,1),2)</f>
        <v>0</v>
      </c>
      <c r="K14" s="9">
        <f>ROUND(SUMIFS('Odoo Items'!$G$5:$G$4331,'Odoo Items'!$J$5:$J$4331,A14),2)</f>
        <v>0</v>
      </c>
      <c r="L14" s="9">
        <f>ROUND(J14-K14,2)</f>
        <v>0</v>
      </c>
      <c r="M14" s="9">
        <f>ROUND(SUMIFS('Bank Lines'!$E$5:$E$1640,'Bank Lines'!$G$5:$G$1640,A14,'Bank Lines'!$J$5:$J$1640,1,'Bank Lines'!$C$5:$C$1640,"&lt;="&amp;Cover!$C$13),2)</f>
        <v>0</v>
      </c>
      <c r="N14" s="9">
        <f>ROUND(SUMIFS('Odoo Items'!$G$5:$G$4331,'Odoo Items'!$J$5:$J$4331,A14,'Odoo Items'!$C$5:$C$4331,"&lt;="&amp;Cover!$C$13),2)</f>
        <v>0</v>
      </c>
      <c r="O14">
        <f>COUNTIFS('Bank Lines'!$G$5:$G$1640,A14,'Bank Lines'!$J$5:$J$1640,1,'Bank Lines'!$C$5:$C$1640,"&lt;="&amp;Cover!$C$13)</f>
        <v>0</v>
      </c>
      <c r="P14">
        <f>COUNTIFS('Odoo Items'!$J$5:$J$4331,A14,'Odoo Items'!$C$5:$C$4331,"&lt;="&amp;Cover!$C$13)</f>
        <v>0</v>
      </c>
      <c r="Q14">
        <f>IF(AND(O14=0,P14=0),"",IF(O14=0,"ODOO-ONLY",IF(P14=0,"BANK-ONLY","BOTH")))</f>
      </c>
      <c r="R14" s="9">
        <f>IF(Q14="BOTH",ROUND(M14-N14,2),0)</f>
        <v>0</v>
      </c>
      <c r="S14" s="9">
        <f>ROUND(SUMIFS('Bank Lines'!$E$5:$E$1640,'Bank Lines'!$G$5:$G$1640,A14,'Bank Lines'!$J$5:$J$1640,1,'Bank Lines'!$C$5:$C$1640,"&lt;="&amp;Cover!$C$14),2)</f>
        <v>0</v>
      </c>
      <c r="T14" s="9">
        <f>ROUND(SUMIFS('Odoo Items'!$G$5:$G$4331,'Odoo Items'!$J$5:$J$4331,A14,'Odoo Items'!$C$5:$C$4331,"&lt;="&amp;Cover!$C$14),2)</f>
        <v>0</v>
      </c>
      <c r="U14">
        <f>COUNTIFS('Bank Lines'!$G$5:$G$1640,A14,'Bank Lines'!$J$5:$J$1640,1,'Bank Lines'!$C$5:$C$1640,"&lt;="&amp;Cover!$C$14)</f>
        <v>0</v>
      </c>
      <c r="V14">
        <f>COUNTIFS('Odoo Items'!$J$5:$J$4331,A14,'Odoo Items'!$C$5:$C$4331,"&lt;="&amp;Cover!$C$14)</f>
        <v>0</v>
      </c>
      <c r="W14">
        <f>IF(AND(U14=0,V14=0),"",IF(U14=0,"ODOO-ONLY",IF(V14=0,"BANK-ONLY","BOTH")))</f>
      </c>
      <c r="X14" s="9">
        <f>IF(W14="BOTH",ROUND(S14-T14,2),0)</f>
        <v>0</v>
      </c>
      <c r="Y14" s="9">
        <f>ROUND(SUMIFS('Bank Lines'!$E$5:$E$1640,'Bank Lines'!$G$5:$G$1640,A14,'Bank Lines'!$J$5:$J$1640,1,'Bank Lines'!$C$5:$C$1640,"&lt;="&amp;Cover!$C$15),2)</f>
        <v>0</v>
      </c>
      <c r="Z14" s="9">
        <f>ROUND(SUMIFS('Odoo Items'!$G$5:$G$4331,'Odoo Items'!$J$5:$J$4331,A14,'Odoo Items'!$C$5:$C$4331,"&lt;="&amp;Cover!$C$15),2)</f>
        <v>0</v>
      </c>
      <c r="AA14">
        <f>COUNTIFS('Bank Lines'!$G$5:$G$1640,A14,'Bank Lines'!$J$5:$J$1640,1,'Bank Lines'!$C$5:$C$1640,"&lt;="&amp;Cover!$C$15)</f>
        <v>0</v>
      </c>
      <c r="AB14">
        <f>COUNTIFS('Odoo Items'!$J$5:$J$4331,A14,'Odoo Items'!$C$5:$C$4331,"&lt;="&amp;Cover!$C$15)</f>
        <v>0</v>
      </c>
      <c r="AC14">
        <f>IF(AND(AA14=0,AB14=0),"",IF(AA14=0,"ODOO-ONLY",IF(AB14=0,"BANK-ONLY","BOTH")))</f>
      </c>
      <c r="AD14" s="9">
        <f>IF(AC14="BOTH",ROUND(Y14-Z14,2),0)</f>
        <v>0</v>
      </c>
    </row>
    <row r="15">
      <c r="A15" t="inlineStr">
        <is>
          <t>G00011</t>
        </is>
      </c>
      <c r="B15" t="inlineStr">
        <is>
          <t>OPS</t>
        </is>
      </c>
      <c r="C15" t="inlineStr">
        <is>
          <t>R01</t>
        </is>
      </c>
      <c r="D15" t="inlineStr">
        <is>
          <t>DUPIMP</t>
        </is>
      </c>
      <c r="E15" t="inlineStr"/>
      <c r="G15" t="inlineStr">
        <is>
          <t>Duplicate of a line in import OPS-20260814</t>
        </is>
      </c>
      <c r="H15">
        <f>COUNTIFS('Bank Lines'!$G$5:$G$1640,A15,'Bank Lines'!$J$5:$J$1640,1)</f>
        <v>0</v>
      </c>
      <c r="I15">
        <f>COUNTIFS('Odoo Items'!$J$5:$J$4331,A15)</f>
        <v>0</v>
      </c>
      <c r="J15" s="9">
        <f>ROUND(SUMIFS('Bank Lines'!$E$5:$E$1640,'Bank Lines'!$G$5:$G$1640,A15,'Bank Lines'!$J$5:$J$1640,1),2)</f>
        <v>0</v>
      </c>
      <c r="K15" s="9">
        <f>ROUND(SUMIFS('Odoo Items'!$G$5:$G$4331,'Odoo Items'!$J$5:$J$4331,A15),2)</f>
        <v>0</v>
      </c>
      <c r="L15" s="9">
        <f>ROUND(J15-K15,2)</f>
        <v>0</v>
      </c>
      <c r="M15" s="9">
        <f>ROUND(SUMIFS('Bank Lines'!$E$5:$E$1640,'Bank Lines'!$G$5:$G$1640,A15,'Bank Lines'!$J$5:$J$1640,1,'Bank Lines'!$C$5:$C$1640,"&lt;="&amp;Cover!$C$13),2)</f>
        <v>0</v>
      </c>
      <c r="N15" s="9">
        <f>ROUND(SUMIFS('Odoo Items'!$G$5:$G$4331,'Odoo Items'!$J$5:$J$4331,A15,'Odoo Items'!$C$5:$C$4331,"&lt;="&amp;Cover!$C$13),2)</f>
        <v>0</v>
      </c>
      <c r="O15">
        <f>COUNTIFS('Bank Lines'!$G$5:$G$1640,A15,'Bank Lines'!$J$5:$J$1640,1,'Bank Lines'!$C$5:$C$1640,"&lt;="&amp;Cover!$C$13)</f>
        <v>0</v>
      </c>
      <c r="P15">
        <f>COUNTIFS('Odoo Items'!$J$5:$J$4331,A15,'Odoo Items'!$C$5:$C$4331,"&lt;="&amp;Cover!$C$13)</f>
        <v>0</v>
      </c>
      <c r="Q15">
        <f>IF(AND(O15=0,P15=0),"",IF(O15=0,"ODOO-ONLY",IF(P15=0,"BANK-ONLY","BOTH")))</f>
      </c>
      <c r="R15" s="9">
        <f>IF(Q15="BOTH",ROUND(M15-N15,2),0)</f>
        <v>0</v>
      </c>
      <c r="S15" s="9">
        <f>ROUND(SUMIFS('Bank Lines'!$E$5:$E$1640,'Bank Lines'!$G$5:$G$1640,A15,'Bank Lines'!$J$5:$J$1640,1,'Bank Lines'!$C$5:$C$1640,"&lt;="&amp;Cover!$C$14),2)</f>
        <v>0</v>
      </c>
      <c r="T15" s="9">
        <f>ROUND(SUMIFS('Odoo Items'!$G$5:$G$4331,'Odoo Items'!$J$5:$J$4331,A15,'Odoo Items'!$C$5:$C$4331,"&lt;="&amp;Cover!$C$14),2)</f>
        <v>0</v>
      </c>
      <c r="U15">
        <f>COUNTIFS('Bank Lines'!$G$5:$G$1640,A15,'Bank Lines'!$J$5:$J$1640,1,'Bank Lines'!$C$5:$C$1640,"&lt;="&amp;Cover!$C$14)</f>
        <v>0</v>
      </c>
      <c r="V15">
        <f>COUNTIFS('Odoo Items'!$J$5:$J$4331,A15,'Odoo Items'!$C$5:$C$4331,"&lt;="&amp;Cover!$C$14)</f>
        <v>0</v>
      </c>
      <c r="W15">
        <f>IF(AND(U15=0,V15=0),"",IF(U15=0,"ODOO-ONLY",IF(V15=0,"BANK-ONLY","BOTH")))</f>
      </c>
      <c r="X15" s="9">
        <f>IF(W15="BOTH",ROUND(S15-T15,2),0)</f>
        <v>0</v>
      </c>
      <c r="Y15" s="9">
        <f>ROUND(SUMIFS('Bank Lines'!$E$5:$E$1640,'Bank Lines'!$G$5:$G$1640,A15,'Bank Lines'!$J$5:$J$1640,1,'Bank Lines'!$C$5:$C$1640,"&lt;="&amp;Cover!$C$15),2)</f>
        <v>0</v>
      </c>
      <c r="Z15" s="9">
        <f>ROUND(SUMIFS('Odoo Items'!$G$5:$G$4331,'Odoo Items'!$J$5:$J$4331,A15,'Odoo Items'!$C$5:$C$4331,"&lt;="&amp;Cover!$C$15),2)</f>
        <v>0</v>
      </c>
      <c r="AA15">
        <f>COUNTIFS('Bank Lines'!$G$5:$G$1640,A15,'Bank Lines'!$J$5:$J$1640,1,'Bank Lines'!$C$5:$C$1640,"&lt;="&amp;Cover!$C$15)</f>
        <v>0</v>
      </c>
      <c r="AB15">
        <f>COUNTIFS('Odoo Items'!$J$5:$J$4331,A15,'Odoo Items'!$C$5:$C$4331,"&lt;="&amp;Cover!$C$15)</f>
        <v>0</v>
      </c>
      <c r="AC15">
        <f>IF(AND(AA15=0,AB15=0),"",IF(AA15=0,"ODOO-ONLY",IF(AB15=0,"BANK-ONLY","BOTH")))</f>
      </c>
      <c r="AD15" s="9">
        <f>IF(AC15="BOTH",ROUND(Y15-Z15,2),0)</f>
        <v>0</v>
      </c>
    </row>
    <row r="16">
      <c r="A16" t="inlineStr">
        <is>
          <t>G00012</t>
        </is>
      </c>
      <c r="B16" t="inlineStr">
        <is>
          <t>OPS</t>
        </is>
      </c>
      <c r="C16" t="inlineStr">
        <is>
          <t>R01</t>
        </is>
      </c>
      <c r="D16" t="inlineStr">
        <is>
          <t>DUPIMP</t>
        </is>
      </c>
      <c r="E16" t="inlineStr"/>
      <c r="G16" t="inlineStr">
        <is>
          <t>Duplicate of a line in import OPS-20260814</t>
        </is>
      </c>
      <c r="H16">
        <f>COUNTIFS('Bank Lines'!$G$5:$G$1640,A16,'Bank Lines'!$J$5:$J$1640,1)</f>
        <v>0</v>
      </c>
      <c r="I16">
        <f>COUNTIFS('Odoo Items'!$J$5:$J$4331,A16)</f>
        <v>0</v>
      </c>
      <c r="J16" s="9">
        <f>ROUND(SUMIFS('Bank Lines'!$E$5:$E$1640,'Bank Lines'!$G$5:$G$1640,A16,'Bank Lines'!$J$5:$J$1640,1),2)</f>
        <v>0</v>
      </c>
      <c r="K16" s="9">
        <f>ROUND(SUMIFS('Odoo Items'!$G$5:$G$4331,'Odoo Items'!$J$5:$J$4331,A16),2)</f>
        <v>0</v>
      </c>
      <c r="L16" s="9">
        <f>ROUND(J16-K16,2)</f>
        <v>0</v>
      </c>
      <c r="M16" s="9">
        <f>ROUND(SUMIFS('Bank Lines'!$E$5:$E$1640,'Bank Lines'!$G$5:$G$1640,A16,'Bank Lines'!$J$5:$J$1640,1,'Bank Lines'!$C$5:$C$1640,"&lt;="&amp;Cover!$C$13),2)</f>
        <v>0</v>
      </c>
      <c r="N16" s="9">
        <f>ROUND(SUMIFS('Odoo Items'!$G$5:$G$4331,'Odoo Items'!$J$5:$J$4331,A16,'Odoo Items'!$C$5:$C$4331,"&lt;="&amp;Cover!$C$13),2)</f>
        <v>0</v>
      </c>
      <c r="O16">
        <f>COUNTIFS('Bank Lines'!$G$5:$G$1640,A16,'Bank Lines'!$J$5:$J$1640,1,'Bank Lines'!$C$5:$C$1640,"&lt;="&amp;Cover!$C$13)</f>
        <v>0</v>
      </c>
      <c r="P16">
        <f>COUNTIFS('Odoo Items'!$J$5:$J$4331,A16,'Odoo Items'!$C$5:$C$4331,"&lt;="&amp;Cover!$C$13)</f>
        <v>0</v>
      </c>
      <c r="Q16">
        <f>IF(AND(O16=0,P16=0),"",IF(O16=0,"ODOO-ONLY",IF(P16=0,"BANK-ONLY","BOTH")))</f>
      </c>
      <c r="R16" s="9">
        <f>IF(Q16="BOTH",ROUND(M16-N16,2),0)</f>
        <v>0</v>
      </c>
      <c r="S16" s="9">
        <f>ROUND(SUMIFS('Bank Lines'!$E$5:$E$1640,'Bank Lines'!$G$5:$G$1640,A16,'Bank Lines'!$J$5:$J$1640,1,'Bank Lines'!$C$5:$C$1640,"&lt;="&amp;Cover!$C$14),2)</f>
        <v>0</v>
      </c>
      <c r="T16" s="9">
        <f>ROUND(SUMIFS('Odoo Items'!$G$5:$G$4331,'Odoo Items'!$J$5:$J$4331,A16,'Odoo Items'!$C$5:$C$4331,"&lt;="&amp;Cover!$C$14),2)</f>
        <v>0</v>
      </c>
      <c r="U16">
        <f>COUNTIFS('Bank Lines'!$G$5:$G$1640,A16,'Bank Lines'!$J$5:$J$1640,1,'Bank Lines'!$C$5:$C$1640,"&lt;="&amp;Cover!$C$14)</f>
        <v>0</v>
      </c>
      <c r="V16">
        <f>COUNTIFS('Odoo Items'!$J$5:$J$4331,A16,'Odoo Items'!$C$5:$C$4331,"&lt;="&amp;Cover!$C$14)</f>
        <v>0</v>
      </c>
      <c r="W16">
        <f>IF(AND(U16=0,V16=0),"",IF(U16=0,"ODOO-ONLY",IF(V16=0,"BANK-ONLY","BOTH")))</f>
      </c>
      <c r="X16" s="9">
        <f>IF(W16="BOTH",ROUND(S16-T16,2),0)</f>
        <v>0</v>
      </c>
      <c r="Y16" s="9">
        <f>ROUND(SUMIFS('Bank Lines'!$E$5:$E$1640,'Bank Lines'!$G$5:$G$1640,A16,'Bank Lines'!$J$5:$J$1640,1,'Bank Lines'!$C$5:$C$1640,"&lt;="&amp;Cover!$C$15),2)</f>
        <v>0</v>
      </c>
      <c r="Z16" s="9">
        <f>ROUND(SUMIFS('Odoo Items'!$G$5:$G$4331,'Odoo Items'!$J$5:$J$4331,A16,'Odoo Items'!$C$5:$C$4331,"&lt;="&amp;Cover!$C$15),2)</f>
        <v>0</v>
      </c>
      <c r="AA16">
        <f>COUNTIFS('Bank Lines'!$G$5:$G$1640,A16,'Bank Lines'!$J$5:$J$1640,1,'Bank Lines'!$C$5:$C$1640,"&lt;="&amp;Cover!$C$15)</f>
        <v>0</v>
      </c>
      <c r="AB16">
        <f>COUNTIFS('Odoo Items'!$J$5:$J$4331,A16,'Odoo Items'!$C$5:$C$4331,"&lt;="&amp;Cover!$C$15)</f>
        <v>0</v>
      </c>
      <c r="AC16">
        <f>IF(AND(AA16=0,AB16=0),"",IF(AA16=0,"ODOO-ONLY",IF(AB16=0,"BANK-ONLY","BOTH")))</f>
      </c>
      <c r="AD16" s="9">
        <f>IF(AC16="BOTH",ROUND(Y16-Z16,2),0)</f>
        <v>0</v>
      </c>
    </row>
    <row r="17">
      <c r="A17" t="inlineStr">
        <is>
          <t>G00013</t>
        </is>
      </c>
      <c r="B17" t="inlineStr">
        <is>
          <t>OPS</t>
        </is>
      </c>
      <c r="C17" t="inlineStr">
        <is>
          <t>R01</t>
        </is>
      </c>
      <c r="D17" t="inlineStr">
        <is>
          <t>DUPIMP</t>
        </is>
      </c>
      <c r="E17" t="inlineStr"/>
      <c r="G17" t="inlineStr">
        <is>
          <t>Duplicate of a line in import OPS-20260814</t>
        </is>
      </c>
      <c r="H17">
        <f>COUNTIFS('Bank Lines'!$G$5:$G$1640,A17,'Bank Lines'!$J$5:$J$1640,1)</f>
        <v>0</v>
      </c>
      <c r="I17">
        <f>COUNTIFS('Odoo Items'!$J$5:$J$4331,A17)</f>
        <v>0</v>
      </c>
      <c r="J17" s="9">
        <f>ROUND(SUMIFS('Bank Lines'!$E$5:$E$1640,'Bank Lines'!$G$5:$G$1640,A17,'Bank Lines'!$J$5:$J$1640,1),2)</f>
        <v>0</v>
      </c>
      <c r="K17" s="9">
        <f>ROUND(SUMIFS('Odoo Items'!$G$5:$G$4331,'Odoo Items'!$J$5:$J$4331,A17),2)</f>
        <v>0</v>
      </c>
      <c r="L17" s="9">
        <f>ROUND(J17-K17,2)</f>
        <v>0</v>
      </c>
      <c r="M17" s="9">
        <f>ROUND(SUMIFS('Bank Lines'!$E$5:$E$1640,'Bank Lines'!$G$5:$G$1640,A17,'Bank Lines'!$J$5:$J$1640,1,'Bank Lines'!$C$5:$C$1640,"&lt;="&amp;Cover!$C$13),2)</f>
        <v>0</v>
      </c>
      <c r="N17" s="9">
        <f>ROUND(SUMIFS('Odoo Items'!$G$5:$G$4331,'Odoo Items'!$J$5:$J$4331,A17,'Odoo Items'!$C$5:$C$4331,"&lt;="&amp;Cover!$C$13),2)</f>
        <v>0</v>
      </c>
      <c r="O17">
        <f>COUNTIFS('Bank Lines'!$G$5:$G$1640,A17,'Bank Lines'!$J$5:$J$1640,1,'Bank Lines'!$C$5:$C$1640,"&lt;="&amp;Cover!$C$13)</f>
        <v>0</v>
      </c>
      <c r="P17">
        <f>COUNTIFS('Odoo Items'!$J$5:$J$4331,A17,'Odoo Items'!$C$5:$C$4331,"&lt;="&amp;Cover!$C$13)</f>
        <v>0</v>
      </c>
      <c r="Q17">
        <f>IF(AND(O17=0,P17=0),"",IF(O17=0,"ODOO-ONLY",IF(P17=0,"BANK-ONLY","BOTH")))</f>
      </c>
      <c r="R17" s="9">
        <f>IF(Q17="BOTH",ROUND(M17-N17,2),0)</f>
        <v>0</v>
      </c>
      <c r="S17" s="9">
        <f>ROUND(SUMIFS('Bank Lines'!$E$5:$E$1640,'Bank Lines'!$G$5:$G$1640,A17,'Bank Lines'!$J$5:$J$1640,1,'Bank Lines'!$C$5:$C$1640,"&lt;="&amp;Cover!$C$14),2)</f>
        <v>0</v>
      </c>
      <c r="T17" s="9">
        <f>ROUND(SUMIFS('Odoo Items'!$G$5:$G$4331,'Odoo Items'!$J$5:$J$4331,A17,'Odoo Items'!$C$5:$C$4331,"&lt;="&amp;Cover!$C$14),2)</f>
        <v>0</v>
      </c>
      <c r="U17">
        <f>COUNTIFS('Bank Lines'!$G$5:$G$1640,A17,'Bank Lines'!$J$5:$J$1640,1,'Bank Lines'!$C$5:$C$1640,"&lt;="&amp;Cover!$C$14)</f>
        <v>0</v>
      </c>
      <c r="V17">
        <f>COUNTIFS('Odoo Items'!$J$5:$J$4331,A17,'Odoo Items'!$C$5:$C$4331,"&lt;="&amp;Cover!$C$14)</f>
        <v>0</v>
      </c>
      <c r="W17">
        <f>IF(AND(U17=0,V17=0),"",IF(U17=0,"ODOO-ONLY",IF(V17=0,"BANK-ONLY","BOTH")))</f>
      </c>
      <c r="X17" s="9">
        <f>IF(W17="BOTH",ROUND(S17-T17,2),0)</f>
        <v>0</v>
      </c>
      <c r="Y17" s="9">
        <f>ROUND(SUMIFS('Bank Lines'!$E$5:$E$1640,'Bank Lines'!$G$5:$G$1640,A17,'Bank Lines'!$J$5:$J$1640,1,'Bank Lines'!$C$5:$C$1640,"&lt;="&amp;Cover!$C$15),2)</f>
        <v>0</v>
      </c>
      <c r="Z17" s="9">
        <f>ROUND(SUMIFS('Odoo Items'!$G$5:$G$4331,'Odoo Items'!$J$5:$J$4331,A17,'Odoo Items'!$C$5:$C$4331,"&lt;="&amp;Cover!$C$15),2)</f>
        <v>0</v>
      </c>
      <c r="AA17">
        <f>COUNTIFS('Bank Lines'!$G$5:$G$1640,A17,'Bank Lines'!$J$5:$J$1640,1,'Bank Lines'!$C$5:$C$1640,"&lt;="&amp;Cover!$C$15)</f>
        <v>0</v>
      </c>
      <c r="AB17">
        <f>COUNTIFS('Odoo Items'!$J$5:$J$4331,A17,'Odoo Items'!$C$5:$C$4331,"&lt;="&amp;Cover!$C$15)</f>
        <v>0</v>
      </c>
      <c r="AC17">
        <f>IF(AND(AA17=0,AB17=0),"",IF(AA17=0,"ODOO-ONLY",IF(AB17=0,"BANK-ONLY","BOTH")))</f>
      </c>
      <c r="AD17" s="9">
        <f>IF(AC17="BOTH",ROUND(Y17-Z17,2),0)</f>
        <v>0</v>
      </c>
    </row>
    <row r="18">
      <c r="A18" t="inlineStr">
        <is>
          <t>G00014</t>
        </is>
      </c>
      <c r="B18" t="inlineStr">
        <is>
          <t>OPS</t>
        </is>
      </c>
      <c r="C18" t="inlineStr">
        <is>
          <t>R02</t>
        </is>
      </c>
      <c r="D18" t="inlineStr">
        <is>
          <t>STRIPE-FEE</t>
        </is>
      </c>
      <c r="E18" t="inlineStr"/>
      <c r="G18" t="inlineStr">
        <is>
          <t>31 report lines; fees 78.09</t>
        </is>
      </c>
      <c r="H18">
        <f>COUNTIFS('Bank Lines'!$G$5:$G$1640,A18,'Bank Lines'!$J$5:$J$1640,1)</f>
        <v>1</v>
      </c>
      <c r="I18">
        <f>COUNTIFS('Odoo Items'!$J$5:$J$4331,A18)</f>
        <v>31</v>
      </c>
      <c r="J18" s="9">
        <f>ROUND(SUMIFS('Bank Lines'!$E$5:$E$1640,'Bank Lines'!$G$5:$G$1640,A18,'Bank Lines'!$J$5:$J$1640,1),2)</f>
        <v>3851.91</v>
      </c>
      <c r="K18" s="9">
        <f>ROUND(SUMIFS('Odoo Items'!$G$5:$G$4331,'Odoo Items'!$J$5:$J$4331,A18),2)</f>
        <v>3930</v>
      </c>
      <c r="L18" s="9">
        <f>ROUND(J18-K18,2)</f>
        <v>-78.09</v>
      </c>
      <c r="M18" s="9">
        <f>ROUND(SUMIFS('Bank Lines'!$E$5:$E$1640,'Bank Lines'!$G$5:$G$1640,A18,'Bank Lines'!$J$5:$J$1640,1,'Bank Lines'!$C$5:$C$1640,"&lt;="&amp;Cover!$C$13),2)</f>
        <v>3851.91</v>
      </c>
      <c r="N18" s="9">
        <f>ROUND(SUMIFS('Odoo Items'!$G$5:$G$4331,'Odoo Items'!$J$5:$J$4331,A18,'Odoo Items'!$C$5:$C$4331,"&lt;="&amp;Cover!$C$13),2)</f>
        <v>3930</v>
      </c>
      <c r="O18">
        <f>COUNTIFS('Bank Lines'!$G$5:$G$1640,A18,'Bank Lines'!$J$5:$J$1640,1,'Bank Lines'!$C$5:$C$1640,"&lt;="&amp;Cover!$C$13)</f>
        <v>1</v>
      </c>
      <c r="P18">
        <f>COUNTIFS('Odoo Items'!$J$5:$J$4331,A18,'Odoo Items'!$C$5:$C$4331,"&lt;="&amp;Cover!$C$13)</f>
        <v>31</v>
      </c>
      <c r="Q18" t="str">
        <f>IF(AND(O18=0,P18=0),"",IF(O18=0,"ODOO-ONLY",IF(P18=0,"BANK-ONLY","BOTH")))</f>
        <v>BOTH</v>
      </c>
      <c r="R18" s="9">
        <f>IF(Q18="BOTH",ROUND(M18-N18,2),0)</f>
        <v>-78.09</v>
      </c>
      <c r="S18" s="9">
        <f>ROUND(SUMIFS('Bank Lines'!$E$5:$E$1640,'Bank Lines'!$G$5:$G$1640,A18,'Bank Lines'!$J$5:$J$1640,1,'Bank Lines'!$C$5:$C$1640,"&lt;="&amp;Cover!$C$14),2)</f>
        <v>3851.91</v>
      </c>
      <c r="T18" s="9">
        <f>ROUND(SUMIFS('Odoo Items'!$G$5:$G$4331,'Odoo Items'!$J$5:$J$4331,A18,'Odoo Items'!$C$5:$C$4331,"&lt;="&amp;Cover!$C$14),2)</f>
        <v>3930</v>
      </c>
      <c r="U18">
        <f>COUNTIFS('Bank Lines'!$G$5:$G$1640,A18,'Bank Lines'!$J$5:$J$1640,1,'Bank Lines'!$C$5:$C$1640,"&lt;="&amp;Cover!$C$14)</f>
        <v>1</v>
      </c>
      <c r="V18">
        <f>COUNTIFS('Odoo Items'!$J$5:$J$4331,A18,'Odoo Items'!$C$5:$C$4331,"&lt;="&amp;Cover!$C$14)</f>
        <v>31</v>
      </c>
      <c r="W18" t="str">
        <f>IF(AND(U18=0,V18=0),"",IF(U18=0,"ODOO-ONLY",IF(V18=0,"BANK-ONLY","BOTH")))</f>
        <v>BOTH</v>
      </c>
      <c r="X18" s="9">
        <f>IF(W18="BOTH",ROUND(S18-T18,2),0)</f>
        <v>-78.09</v>
      </c>
      <c r="Y18" s="9">
        <f>ROUND(SUMIFS('Bank Lines'!$E$5:$E$1640,'Bank Lines'!$G$5:$G$1640,A18,'Bank Lines'!$J$5:$J$1640,1,'Bank Lines'!$C$5:$C$1640,"&lt;="&amp;Cover!$C$15),2)</f>
        <v>3851.91</v>
      </c>
      <c r="Z18" s="9">
        <f>ROUND(SUMIFS('Odoo Items'!$G$5:$G$4331,'Odoo Items'!$J$5:$J$4331,A18,'Odoo Items'!$C$5:$C$4331,"&lt;="&amp;Cover!$C$15),2)</f>
        <v>3930</v>
      </c>
      <c r="AA18">
        <f>COUNTIFS('Bank Lines'!$G$5:$G$1640,A18,'Bank Lines'!$J$5:$J$1640,1,'Bank Lines'!$C$5:$C$1640,"&lt;="&amp;Cover!$C$15)</f>
        <v>1</v>
      </c>
      <c r="AB18">
        <f>COUNTIFS('Odoo Items'!$J$5:$J$4331,A18,'Odoo Items'!$C$5:$C$4331,"&lt;="&amp;Cover!$C$15)</f>
        <v>31</v>
      </c>
      <c r="AC18" t="str">
        <f>IF(AND(AA18=0,AB18=0),"",IF(AA18=0,"ODOO-ONLY",IF(AB18=0,"BANK-ONLY","BOTH")))</f>
        <v>BOTH</v>
      </c>
      <c r="AD18" s="9">
        <f>IF(AC18="BOTH",ROUND(Y18-Z18,2),0)</f>
        <v>-78.09</v>
      </c>
    </row>
    <row r="19">
      <c r="A19" t="inlineStr">
        <is>
          <t>G00015</t>
        </is>
      </c>
      <c r="B19" t="inlineStr">
        <is>
          <t>OPS</t>
        </is>
      </c>
      <c r="C19" t="inlineStr">
        <is>
          <t>R02</t>
        </is>
      </c>
      <c r="D19" t="inlineStr">
        <is>
          <t>STRIPE-FEE</t>
        </is>
      </c>
      <c r="E19" t="inlineStr"/>
      <c r="G19" t="inlineStr">
        <is>
          <t>21 report lines; fees 53.15</t>
        </is>
      </c>
      <c r="H19">
        <f>COUNTIFS('Bank Lines'!$G$5:$G$1640,A19,'Bank Lines'!$J$5:$J$1640,1)</f>
        <v>1</v>
      </c>
      <c r="I19">
        <f>COUNTIFS('Odoo Items'!$J$5:$J$4331,A19)</f>
        <v>21</v>
      </c>
      <c r="J19" s="9">
        <f>ROUND(SUMIFS('Bank Lines'!$E$5:$E$1640,'Bank Lines'!$G$5:$G$1640,A19,'Bank Lines'!$J$5:$J$1640,1),2)</f>
        <v>2621.85</v>
      </c>
      <c r="K19" s="9">
        <f>ROUND(SUMIFS('Odoo Items'!$G$5:$G$4331,'Odoo Items'!$J$5:$J$4331,A19),2)</f>
        <v>2675</v>
      </c>
      <c r="L19" s="9">
        <f>ROUND(J19-K19,2)</f>
        <v>-53.15</v>
      </c>
      <c r="M19" s="9">
        <f>ROUND(SUMIFS('Bank Lines'!$E$5:$E$1640,'Bank Lines'!$G$5:$G$1640,A19,'Bank Lines'!$J$5:$J$1640,1,'Bank Lines'!$C$5:$C$1640,"&lt;="&amp;Cover!$C$13),2)</f>
        <v>2621.85</v>
      </c>
      <c r="N19" s="9">
        <f>ROUND(SUMIFS('Odoo Items'!$G$5:$G$4331,'Odoo Items'!$J$5:$J$4331,A19,'Odoo Items'!$C$5:$C$4331,"&lt;="&amp;Cover!$C$13),2)</f>
        <v>2675</v>
      </c>
      <c r="O19">
        <f>COUNTIFS('Bank Lines'!$G$5:$G$1640,A19,'Bank Lines'!$J$5:$J$1640,1,'Bank Lines'!$C$5:$C$1640,"&lt;="&amp;Cover!$C$13)</f>
        <v>1</v>
      </c>
      <c r="P19">
        <f>COUNTIFS('Odoo Items'!$J$5:$J$4331,A19,'Odoo Items'!$C$5:$C$4331,"&lt;="&amp;Cover!$C$13)</f>
        <v>21</v>
      </c>
      <c r="Q19" t="str">
        <f>IF(AND(O19=0,P19=0),"",IF(O19=0,"ODOO-ONLY",IF(P19=0,"BANK-ONLY","BOTH")))</f>
        <v>BOTH</v>
      </c>
      <c r="R19" s="9">
        <f>IF(Q19="BOTH",ROUND(M19-N19,2),0)</f>
        <v>-53.15</v>
      </c>
      <c r="S19" s="9">
        <f>ROUND(SUMIFS('Bank Lines'!$E$5:$E$1640,'Bank Lines'!$G$5:$G$1640,A19,'Bank Lines'!$J$5:$J$1640,1,'Bank Lines'!$C$5:$C$1640,"&lt;="&amp;Cover!$C$14),2)</f>
        <v>2621.85</v>
      </c>
      <c r="T19" s="9">
        <f>ROUND(SUMIFS('Odoo Items'!$G$5:$G$4331,'Odoo Items'!$J$5:$J$4331,A19,'Odoo Items'!$C$5:$C$4331,"&lt;="&amp;Cover!$C$14),2)</f>
        <v>2675</v>
      </c>
      <c r="U19">
        <f>COUNTIFS('Bank Lines'!$G$5:$G$1640,A19,'Bank Lines'!$J$5:$J$1640,1,'Bank Lines'!$C$5:$C$1640,"&lt;="&amp;Cover!$C$14)</f>
        <v>1</v>
      </c>
      <c r="V19">
        <f>COUNTIFS('Odoo Items'!$J$5:$J$4331,A19,'Odoo Items'!$C$5:$C$4331,"&lt;="&amp;Cover!$C$14)</f>
        <v>21</v>
      </c>
      <c r="W19" t="str">
        <f>IF(AND(U19=0,V19=0),"",IF(U19=0,"ODOO-ONLY",IF(V19=0,"BANK-ONLY","BOTH")))</f>
        <v>BOTH</v>
      </c>
      <c r="X19" s="9">
        <f>IF(W19="BOTH",ROUND(S19-T19,2),0)</f>
        <v>-53.15</v>
      </c>
      <c r="Y19" s="9">
        <f>ROUND(SUMIFS('Bank Lines'!$E$5:$E$1640,'Bank Lines'!$G$5:$G$1640,A19,'Bank Lines'!$J$5:$J$1640,1,'Bank Lines'!$C$5:$C$1640,"&lt;="&amp;Cover!$C$15),2)</f>
        <v>2621.85</v>
      </c>
      <c r="Z19" s="9">
        <f>ROUND(SUMIFS('Odoo Items'!$G$5:$G$4331,'Odoo Items'!$J$5:$J$4331,A19,'Odoo Items'!$C$5:$C$4331,"&lt;="&amp;Cover!$C$15),2)</f>
        <v>2675</v>
      </c>
      <c r="AA19">
        <f>COUNTIFS('Bank Lines'!$G$5:$G$1640,A19,'Bank Lines'!$J$5:$J$1640,1,'Bank Lines'!$C$5:$C$1640,"&lt;="&amp;Cover!$C$15)</f>
        <v>1</v>
      </c>
      <c r="AB19">
        <f>COUNTIFS('Odoo Items'!$J$5:$J$4331,A19,'Odoo Items'!$C$5:$C$4331,"&lt;="&amp;Cover!$C$15)</f>
        <v>21</v>
      </c>
      <c r="AC19" t="str">
        <f>IF(AND(AA19=0,AB19=0),"",IF(AA19=0,"ODOO-ONLY",IF(AB19=0,"BANK-ONLY","BOTH")))</f>
        <v>BOTH</v>
      </c>
      <c r="AD19" s="9">
        <f>IF(AC19="BOTH",ROUND(Y19-Z19,2),0)</f>
        <v>-53.15</v>
      </c>
    </row>
    <row r="20">
      <c r="A20" t="inlineStr">
        <is>
          <t>G00016</t>
        </is>
      </c>
      <c r="B20" t="inlineStr">
        <is>
          <t>OPS</t>
        </is>
      </c>
      <c r="C20" t="inlineStr">
        <is>
          <t>R02</t>
        </is>
      </c>
      <c r="D20" t="inlineStr">
        <is>
          <t>STRIPE-FEE</t>
        </is>
      </c>
      <c r="E20" t="inlineStr"/>
      <c r="G20" t="inlineStr">
        <is>
          <t>32 report lines; fees 75.01</t>
        </is>
      </c>
      <c r="H20">
        <f>COUNTIFS('Bank Lines'!$G$5:$G$1640,A20,'Bank Lines'!$J$5:$J$1640,1)</f>
        <v>1</v>
      </c>
      <c r="I20">
        <f>COUNTIFS('Odoo Items'!$J$5:$J$4331,A20)</f>
        <v>32</v>
      </c>
      <c r="J20" s="9">
        <f>ROUND(SUMIFS('Bank Lines'!$E$5:$E$1640,'Bank Lines'!$G$5:$G$1640,A20,'Bank Lines'!$J$5:$J$1640,1),2)</f>
        <v>3659.99</v>
      </c>
      <c r="K20" s="9">
        <f>ROUND(SUMIFS('Odoo Items'!$G$5:$G$4331,'Odoo Items'!$J$5:$J$4331,A20),2)</f>
        <v>3735</v>
      </c>
      <c r="L20" s="9">
        <f>ROUND(J20-K20,2)</f>
        <v>-75.01</v>
      </c>
      <c r="M20" s="9">
        <f>ROUND(SUMIFS('Bank Lines'!$E$5:$E$1640,'Bank Lines'!$G$5:$G$1640,A20,'Bank Lines'!$J$5:$J$1640,1,'Bank Lines'!$C$5:$C$1640,"&lt;="&amp;Cover!$C$13),2)</f>
        <v>3659.99</v>
      </c>
      <c r="N20" s="9">
        <f>ROUND(SUMIFS('Odoo Items'!$G$5:$G$4331,'Odoo Items'!$J$5:$J$4331,A20,'Odoo Items'!$C$5:$C$4331,"&lt;="&amp;Cover!$C$13),2)</f>
        <v>3735</v>
      </c>
      <c r="O20">
        <f>COUNTIFS('Bank Lines'!$G$5:$G$1640,A20,'Bank Lines'!$J$5:$J$1640,1,'Bank Lines'!$C$5:$C$1640,"&lt;="&amp;Cover!$C$13)</f>
        <v>1</v>
      </c>
      <c r="P20">
        <f>COUNTIFS('Odoo Items'!$J$5:$J$4331,A20,'Odoo Items'!$C$5:$C$4331,"&lt;="&amp;Cover!$C$13)</f>
        <v>32</v>
      </c>
      <c r="Q20" t="str">
        <f>IF(AND(O20=0,P20=0),"",IF(O20=0,"ODOO-ONLY",IF(P20=0,"BANK-ONLY","BOTH")))</f>
        <v>BOTH</v>
      </c>
      <c r="R20" s="9">
        <f>IF(Q20="BOTH",ROUND(M20-N20,2),0)</f>
        <v>-75.01</v>
      </c>
      <c r="S20" s="9">
        <f>ROUND(SUMIFS('Bank Lines'!$E$5:$E$1640,'Bank Lines'!$G$5:$G$1640,A20,'Bank Lines'!$J$5:$J$1640,1,'Bank Lines'!$C$5:$C$1640,"&lt;="&amp;Cover!$C$14),2)</f>
        <v>3659.99</v>
      </c>
      <c r="T20" s="9">
        <f>ROUND(SUMIFS('Odoo Items'!$G$5:$G$4331,'Odoo Items'!$J$5:$J$4331,A20,'Odoo Items'!$C$5:$C$4331,"&lt;="&amp;Cover!$C$14),2)</f>
        <v>3735</v>
      </c>
      <c r="U20">
        <f>COUNTIFS('Bank Lines'!$G$5:$G$1640,A20,'Bank Lines'!$J$5:$J$1640,1,'Bank Lines'!$C$5:$C$1640,"&lt;="&amp;Cover!$C$14)</f>
        <v>1</v>
      </c>
      <c r="V20">
        <f>COUNTIFS('Odoo Items'!$J$5:$J$4331,A20,'Odoo Items'!$C$5:$C$4331,"&lt;="&amp;Cover!$C$14)</f>
        <v>32</v>
      </c>
      <c r="W20" t="str">
        <f>IF(AND(U20=0,V20=0),"",IF(U20=0,"ODOO-ONLY",IF(V20=0,"BANK-ONLY","BOTH")))</f>
        <v>BOTH</v>
      </c>
      <c r="X20" s="9">
        <f>IF(W20="BOTH",ROUND(S20-T20,2),0)</f>
        <v>-75.01</v>
      </c>
      <c r="Y20" s="9">
        <f>ROUND(SUMIFS('Bank Lines'!$E$5:$E$1640,'Bank Lines'!$G$5:$G$1640,A20,'Bank Lines'!$J$5:$J$1640,1,'Bank Lines'!$C$5:$C$1640,"&lt;="&amp;Cover!$C$15),2)</f>
        <v>3659.99</v>
      </c>
      <c r="Z20" s="9">
        <f>ROUND(SUMIFS('Odoo Items'!$G$5:$G$4331,'Odoo Items'!$J$5:$J$4331,A20,'Odoo Items'!$C$5:$C$4331,"&lt;="&amp;Cover!$C$15),2)</f>
        <v>3735</v>
      </c>
      <c r="AA20">
        <f>COUNTIFS('Bank Lines'!$G$5:$G$1640,A20,'Bank Lines'!$J$5:$J$1640,1,'Bank Lines'!$C$5:$C$1640,"&lt;="&amp;Cover!$C$15)</f>
        <v>1</v>
      </c>
      <c r="AB20">
        <f>COUNTIFS('Odoo Items'!$J$5:$J$4331,A20,'Odoo Items'!$C$5:$C$4331,"&lt;="&amp;Cover!$C$15)</f>
        <v>32</v>
      </c>
      <c r="AC20" t="str">
        <f>IF(AND(AA20=0,AB20=0),"",IF(AA20=0,"ODOO-ONLY",IF(AB20=0,"BANK-ONLY","BOTH")))</f>
        <v>BOTH</v>
      </c>
      <c r="AD20" s="9">
        <f>IF(AC20="BOTH",ROUND(Y20-Z20,2),0)</f>
        <v>-75.01</v>
      </c>
    </row>
    <row r="21">
      <c r="A21" t="inlineStr">
        <is>
          <t>G00017</t>
        </is>
      </c>
      <c r="B21" t="inlineStr">
        <is>
          <t>OPS</t>
        </is>
      </c>
      <c r="C21" t="inlineStr">
        <is>
          <t>R02</t>
        </is>
      </c>
      <c r="D21" t="inlineStr">
        <is>
          <t>STRIPE-FEE</t>
        </is>
      </c>
      <c r="E21" t="inlineStr"/>
      <c r="G21" t="inlineStr">
        <is>
          <t>25 report lines; fees 63.27</t>
        </is>
      </c>
      <c r="H21">
        <f>COUNTIFS('Bank Lines'!$G$5:$G$1640,A21,'Bank Lines'!$J$5:$J$1640,1)</f>
        <v>1</v>
      </c>
      <c r="I21">
        <f>COUNTIFS('Odoo Items'!$J$5:$J$4331,A21)</f>
        <v>25</v>
      </c>
      <c r="J21" s="9">
        <f>ROUND(SUMIFS('Bank Lines'!$E$5:$E$1640,'Bank Lines'!$G$5:$G$1640,A21,'Bank Lines'!$J$5:$J$1640,1),2)</f>
        <v>3121.73</v>
      </c>
      <c r="K21" s="9">
        <f>ROUND(SUMIFS('Odoo Items'!$G$5:$G$4331,'Odoo Items'!$J$5:$J$4331,A21),2)</f>
        <v>3185</v>
      </c>
      <c r="L21" s="9">
        <f>ROUND(J21-K21,2)</f>
        <v>-63.27</v>
      </c>
      <c r="M21" s="9">
        <f>ROUND(SUMIFS('Bank Lines'!$E$5:$E$1640,'Bank Lines'!$G$5:$G$1640,A21,'Bank Lines'!$J$5:$J$1640,1,'Bank Lines'!$C$5:$C$1640,"&lt;="&amp;Cover!$C$13),2)</f>
        <v>3121.73</v>
      </c>
      <c r="N21" s="9">
        <f>ROUND(SUMIFS('Odoo Items'!$G$5:$G$4331,'Odoo Items'!$J$5:$J$4331,A21,'Odoo Items'!$C$5:$C$4331,"&lt;="&amp;Cover!$C$13),2)</f>
        <v>3185</v>
      </c>
      <c r="O21">
        <f>COUNTIFS('Bank Lines'!$G$5:$G$1640,A21,'Bank Lines'!$J$5:$J$1640,1,'Bank Lines'!$C$5:$C$1640,"&lt;="&amp;Cover!$C$13)</f>
        <v>1</v>
      </c>
      <c r="P21">
        <f>COUNTIFS('Odoo Items'!$J$5:$J$4331,A21,'Odoo Items'!$C$5:$C$4331,"&lt;="&amp;Cover!$C$13)</f>
        <v>25</v>
      </c>
      <c r="Q21" t="str">
        <f>IF(AND(O21=0,P21=0),"",IF(O21=0,"ODOO-ONLY",IF(P21=0,"BANK-ONLY","BOTH")))</f>
        <v>BOTH</v>
      </c>
      <c r="R21" s="9">
        <f>IF(Q21="BOTH",ROUND(M21-N21,2),0)</f>
        <v>-63.27</v>
      </c>
      <c r="S21" s="9">
        <f>ROUND(SUMIFS('Bank Lines'!$E$5:$E$1640,'Bank Lines'!$G$5:$G$1640,A21,'Bank Lines'!$J$5:$J$1640,1,'Bank Lines'!$C$5:$C$1640,"&lt;="&amp;Cover!$C$14),2)</f>
        <v>3121.73</v>
      </c>
      <c r="T21" s="9">
        <f>ROUND(SUMIFS('Odoo Items'!$G$5:$G$4331,'Odoo Items'!$J$5:$J$4331,A21,'Odoo Items'!$C$5:$C$4331,"&lt;="&amp;Cover!$C$14),2)</f>
        <v>3185</v>
      </c>
      <c r="U21">
        <f>COUNTIFS('Bank Lines'!$G$5:$G$1640,A21,'Bank Lines'!$J$5:$J$1640,1,'Bank Lines'!$C$5:$C$1640,"&lt;="&amp;Cover!$C$14)</f>
        <v>1</v>
      </c>
      <c r="V21">
        <f>COUNTIFS('Odoo Items'!$J$5:$J$4331,A21,'Odoo Items'!$C$5:$C$4331,"&lt;="&amp;Cover!$C$14)</f>
        <v>25</v>
      </c>
      <c r="W21" t="str">
        <f>IF(AND(U21=0,V21=0),"",IF(U21=0,"ODOO-ONLY",IF(V21=0,"BANK-ONLY","BOTH")))</f>
        <v>BOTH</v>
      </c>
      <c r="X21" s="9">
        <f>IF(W21="BOTH",ROUND(S21-T21,2),0)</f>
        <v>-63.27</v>
      </c>
      <c r="Y21" s="9">
        <f>ROUND(SUMIFS('Bank Lines'!$E$5:$E$1640,'Bank Lines'!$G$5:$G$1640,A21,'Bank Lines'!$J$5:$J$1640,1,'Bank Lines'!$C$5:$C$1640,"&lt;="&amp;Cover!$C$15),2)</f>
        <v>3121.73</v>
      </c>
      <c r="Z21" s="9">
        <f>ROUND(SUMIFS('Odoo Items'!$G$5:$G$4331,'Odoo Items'!$J$5:$J$4331,A21,'Odoo Items'!$C$5:$C$4331,"&lt;="&amp;Cover!$C$15),2)</f>
        <v>3185</v>
      </c>
      <c r="AA21">
        <f>COUNTIFS('Bank Lines'!$G$5:$G$1640,A21,'Bank Lines'!$J$5:$J$1640,1,'Bank Lines'!$C$5:$C$1640,"&lt;="&amp;Cover!$C$15)</f>
        <v>1</v>
      </c>
      <c r="AB21">
        <f>COUNTIFS('Odoo Items'!$J$5:$J$4331,A21,'Odoo Items'!$C$5:$C$4331,"&lt;="&amp;Cover!$C$15)</f>
        <v>25</v>
      </c>
      <c r="AC21" t="str">
        <f>IF(AND(AA21=0,AB21=0),"",IF(AA21=0,"ODOO-ONLY",IF(AB21=0,"BANK-ONLY","BOTH")))</f>
        <v>BOTH</v>
      </c>
      <c r="AD21" s="9">
        <f>IF(AC21="BOTH",ROUND(Y21-Z21,2),0)</f>
        <v>-63.27</v>
      </c>
    </row>
    <row r="22">
      <c r="A22" t="inlineStr">
        <is>
          <t>G00018</t>
        </is>
      </c>
      <c r="B22" t="inlineStr">
        <is>
          <t>OPS</t>
        </is>
      </c>
      <c r="C22" t="inlineStr">
        <is>
          <t>R02</t>
        </is>
      </c>
      <c r="D22" t="inlineStr">
        <is>
          <t>STRIPE-FEE</t>
        </is>
      </c>
      <c r="E22" t="inlineStr"/>
      <c r="G22" t="inlineStr">
        <is>
          <t>38 report lines; fees 104.19</t>
        </is>
      </c>
      <c r="H22">
        <f>COUNTIFS('Bank Lines'!$G$5:$G$1640,A22,'Bank Lines'!$J$5:$J$1640,1)</f>
        <v>1</v>
      </c>
      <c r="I22">
        <f>COUNTIFS('Odoo Items'!$J$5:$J$4331,A22)</f>
        <v>38</v>
      </c>
      <c r="J22" s="9">
        <f>ROUND(SUMIFS('Bank Lines'!$E$5:$E$1640,'Bank Lines'!$G$5:$G$1640,A22,'Bank Lines'!$J$5:$J$1640,1),2)</f>
        <v>5195.81</v>
      </c>
      <c r="K22" s="9">
        <f>ROUND(SUMIFS('Odoo Items'!$G$5:$G$4331,'Odoo Items'!$J$5:$J$4331,A22),2)</f>
        <v>5300</v>
      </c>
      <c r="L22" s="9">
        <f>ROUND(J22-K22,2)</f>
        <v>-104.19</v>
      </c>
      <c r="M22" s="9">
        <f>ROUND(SUMIFS('Bank Lines'!$E$5:$E$1640,'Bank Lines'!$G$5:$G$1640,A22,'Bank Lines'!$J$5:$J$1640,1,'Bank Lines'!$C$5:$C$1640,"&lt;="&amp;Cover!$C$13),2)</f>
        <v>5195.81</v>
      </c>
      <c r="N22" s="9">
        <f>ROUND(SUMIFS('Odoo Items'!$G$5:$G$4331,'Odoo Items'!$J$5:$J$4331,A22,'Odoo Items'!$C$5:$C$4331,"&lt;="&amp;Cover!$C$13),2)</f>
        <v>5300</v>
      </c>
      <c r="O22">
        <f>COUNTIFS('Bank Lines'!$G$5:$G$1640,A22,'Bank Lines'!$J$5:$J$1640,1,'Bank Lines'!$C$5:$C$1640,"&lt;="&amp;Cover!$C$13)</f>
        <v>1</v>
      </c>
      <c r="P22">
        <f>COUNTIFS('Odoo Items'!$J$5:$J$4331,A22,'Odoo Items'!$C$5:$C$4331,"&lt;="&amp;Cover!$C$13)</f>
        <v>38</v>
      </c>
      <c r="Q22" t="str">
        <f>IF(AND(O22=0,P22=0),"",IF(O22=0,"ODOO-ONLY",IF(P22=0,"BANK-ONLY","BOTH")))</f>
        <v>BOTH</v>
      </c>
      <c r="R22" s="9">
        <f>IF(Q22="BOTH",ROUND(M22-N22,2),0)</f>
        <v>-104.19</v>
      </c>
      <c r="S22" s="9">
        <f>ROUND(SUMIFS('Bank Lines'!$E$5:$E$1640,'Bank Lines'!$G$5:$G$1640,A22,'Bank Lines'!$J$5:$J$1640,1,'Bank Lines'!$C$5:$C$1640,"&lt;="&amp;Cover!$C$14),2)</f>
        <v>5195.81</v>
      </c>
      <c r="T22" s="9">
        <f>ROUND(SUMIFS('Odoo Items'!$G$5:$G$4331,'Odoo Items'!$J$5:$J$4331,A22,'Odoo Items'!$C$5:$C$4331,"&lt;="&amp;Cover!$C$14),2)</f>
        <v>5300</v>
      </c>
      <c r="U22">
        <f>COUNTIFS('Bank Lines'!$G$5:$G$1640,A22,'Bank Lines'!$J$5:$J$1640,1,'Bank Lines'!$C$5:$C$1640,"&lt;="&amp;Cover!$C$14)</f>
        <v>1</v>
      </c>
      <c r="V22">
        <f>COUNTIFS('Odoo Items'!$J$5:$J$4331,A22,'Odoo Items'!$C$5:$C$4331,"&lt;="&amp;Cover!$C$14)</f>
        <v>38</v>
      </c>
      <c r="W22" t="str">
        <f>IF(AND(U22=0,V22=0),"",IF(U22=0,"ODOO-ONLY",IF(V22=0,"BANK-ONLY","BOTH")))</f>
        <v>BOTH</v>
      </c>
      <c r="X22" s="9">
        <f>IF(W22="BOTH",ROUND(S22-T22,2),0)</f>
        <v>-104.19</v>
      </c>
      <c r="Y22" s="9">
        <f>ROUND(SUMIFS('Bank Lines'!$E$5:$E$1640,'Bank Lines'!$G$5:$G$1640,A22,'Bank Lines'!$J$5:$J$1640,1,'Bank Lines'!$C$5:$C$1640,"&lt;="&amp;Cover!$C$15),2)</f>
        <v>5195.81</v>
      </c>
      <c r="Z22" s="9">
        <f>ROUND(SUMIFS('Odoo Items'!$G$5:$G$4331,'Odoo Items'!$J$5:$J$4331,A22,'Odoo Items'!$C$5:$C$4331,"&lt;="&amp;Cover!$C$15),2)</f>
        <v>5300</v>
      </c>
      <c r="AA22">
        <f>COUNTIFS('Bank Lines'!$G$5:$G$1640,A22,'Bank Lines'!$J$5:$J$1640,1,'Bank Lines'!$C$5:$C$1640,"&lt;="&amp;Cover!$C$15)</f>
        <v>1</v>
      </c>
      <c r="AB22">
        <f>COUNTIFS('Odoo Items'!$J$5:$J$4331,A22,'Odoo Items'!$C$5:$C$4331,"&lt;="&amp;Cover!$C$15)</f>
        <v>38</v>
      </c>
      <c r="AC22" t="str">
        <f>IF(AND(AA22=0,AB22=0),"",IF(AA22=0,"ODOO-ONLY",IF(AB22=0,"BANK-ONLY","BOTH")))</f>
        <v>BOTH</v>
      </c>
      <c r="AD22" s="9">
        <f>IF(AC22="BOTH",ROUND(Y22-Z22,2),0)</f>
        <v>-104.19</v>
      </c>
    </row>
    <row r="23">
      <c r="A23" t="inlineStr">
        <is>
          <t>G00019</t>
        </is>
      </c>
      <c r="B23" t="inlineStr">
        <is>
          <t>OPS</t>
        </is>
      </c>
      <c r="C23" t="inlineStr">
        <is>
          <t>R02</t>
        </is>
      </c>
      <c r="D23" t="inlineStr">
        <is>
          <t>STRIPE-FEE</t>
        </is>
      </c>
      <c r="E23" t="inlineStr"/>
      <c r="G23" t="inlineStr">
        <is>
          <t>19 report lines; fees 46.59</t>
        </is>
      </c>
      <c r="H23">
        <f>COUNTIFS('Bank Lines'!$G$5:$G$1640,A23,'Bank Lines'!$J$5:$J$1640,1)</f>
        <v>1</v>
      </c>
      <c r="I23">
        <f>COUNTIFS('Odoo Items'!$J$5:$J$4331,A23)</f>
        <v>19</v>
      </c>
      <c r="J23" s="9">
        <f>ROUND(SUMIFS('Bank Lines'!$E$5:$E$1640,'Bank Lines'!$G$5:$G$1640,A23,'Bank Lines'!$J$5:$J$1640,1),2)</f>
        <v>2288.41</v>
      </c>
      <c r="K23" s="9">
        <f>ROUND(SUMIFS('Odoo Items'!$G$5:$G$4331,'Odoo Items'!$J$5:$J$4331,A23),2)</f>
        <v>2335</v>
      </c>
      <c r="L23" s="9">
        <f>ROUND(J23-K23,2)</f>
        <v>-46.59</v>
      </c>
      <c r="M23" s="9">
        <f>ROUND(SUMIFS('Bank Lines'!$E$5:$E$1640,'Bank Lines'!$G$5:$G$1640,A23,'Bank Lines'!$J$5:$J$1640,1,'Bank Lines'!$C$5:$C$1640,"&lt;="&amp;Cover!$C$13),2)</f>
        <v>2288.41</v>
      </c>
      <c r="N23" s="9">
        <f>ROUND(SUMIFS('Odoo Items'!$G$5:$G$4331,'Odoo Items'!$J$5:$J$4331,A23,'Odoo Items'!$C$5:$C$4331,"&lt;="&amp;Cover!$C$13),2)</f>
        <v>2335</v>
      </c>
      <c r="O23">
        <f>COUNTIFS('Bank Lines'!$G$5:$G$1640,A23,'Bank Lines'!$J$5:$J$1640,1,'Bank Lines'!$C$5:$C$1640,"&lt;="&amp;Cover!$C$13)</f>
        <v>1</v>
      </c>
      <c r="P23">
        <f>COUNTIFS('Odoo Items'!$J$5:$J$4331,A23,'Odoo Items'!$C$5:$C$4331,"&lt;="&amp;Cover!$C$13)</f>
        <v>19</v>
      </c>
      <c r="Q23" t="str">
        <f>IF(AND(O23=0,P23=0),"",IF(O23=0,"ODOO-ONLY",IF(P23=0,"BANK-ONLY","BOTH")))</f>
        <v>BOTH</v>
      </c>
      <c r="R23" s="9">
        <f>IF(Q23="BOTH",ROUND(M23-N23,2),0)</f>
        <v>-46.59</v>
      </c>
      <c r="S23" s="9">
        <f>ROUND(SUMIFS('Bank Lines'!$E$5:$E$1640,'Bank Lines'!$G$5:$G$1640,A23,'Bank Lines'!$J$5:$J$1640,1,'Bank Lines'!$C$5:$C$1640,"&lt;="&amp;Cover!$C$14),2)</f>
        <v>2288.41</v>
      </c>
      <c r="T23" s="9">
        <f>ROUND(SUMIFS('Odoo Items'!$G$5:$G$4331,'Odoo Items'!$J$5:$J$4331,A23,'Odoo Items'!$C$5:$C$4331,"&lt;="&amp;Cover!$C$14),2)</f>
        <v>2335</v>
      </c>
      <c r="U23">
        <f>COUNTIFS('Bank Lines'!$G$5:$G$1640,A23,'Bank Lines'!$J$5:$J$1640,1,'Bank Lines'!$C$5:$C$1640,"&lt;="&amp;Cover!$C$14)</f>
        <v>1</v>
      </c>
      <c r="V23">
        <f>COUNTIFS('Odoo Items'!$J$5:$J$4331,A23,'Odoo Items'!$C$5:$C$4331,"&lt;="&amp;Cover!$C$14)</f>
        <v>19</v>
      </c>
      <c r="W23" t="str">
        <f>IF(AND(U23=0,V23=0),"",IF(U23=0,"ODOO-ONLY",IF(V23=0,"BANK-ONLY","BOTH")))</f>
        <v>BOTH</v>
      </c>
      <c r="X23" s="9">
        <f>IF(W23="BOTH",ROUND(S23-T23,2),0)</f>
        <v>-46.59</v>
      </c>
      <c r="Y23" s="9">
        <f>ROUND(SUMIFS('Bank Lines'!$E$5:$E$1640,'Bank Lines'!$G$5:$G$1640,A23,'Bank Lines'!$J$5:$J$1640,1,'Bank Lines'!$C$5:$C$1640,"&lt;="&amp;Cover!$C$15),2)</f>
        <v>2288.41</v>
      </c>
      <c r="Z23" s="9">
        <f>ROUND(SUMIFS('Odoo Items'!$G$5:$G$4331,'Odoo Items'!$J$5:$J$4331,A23,'Odoo Items'!$C$5:$C$4331,"&lt;="&amp;Cover!$C$15),2)</f>
        <v>2335</v>
      </c>
      <c r="AA23">
        <f>COUNTIFS('Bank Lines'!$G$5:$G$1640,A23,'Bank Lines'!$J$5:$J$1640,1,'Bank Lines'!$C$5:$C$1640,"&lt;="&amp;Cover!$C$15)</f>
        <v>1</v>
      </c>
      <c r="AB23">
        <f>COUNTIFS('Odoo Items'!$J$5:$J$4331,A23,'Odoo Items'!$C$5:$C$4331,"&lt;="&amp;Cover!$C$15)</f>
        <v>19</v>
      </c>
      <c r="AC23" t="str">
        <f>IF(AND(AA23=0,AB23=0),"",IF(AA23=0,"ODOO-ONLY",IF(AB23=0,"BANK-ONLY","BOTH")))</f>
        <v>BOTH</v>
      </c>
      <c r="AD23" s="9">
        <f>IF(AC23="BOTH",ROUND(Y23-Z23,2),0)</f>
        <v>-46.59</v>
      </c>
    </row>
    <row r="24">
      <c r="A24" t="inlineStr">
        <is>
          <t>G00020</t>
        </is>
      </c>
      <c r="B24" t="inlineStr">
        <is>
          <t>OPS</t>
        </is>
      </c>
      <c r="C24" t="inlineStr">
        <is>
          <t>R02</t>
        </is>
      </c>
      <c r="D24" t="inlineStr">
        <is>
          <t>STRIPE-FEE</t>
        </is>
      </c>
      <c r="E24" t="inlineStr"/>
      <c r="G24" t="inlineStr">
        <is>
          <t>32 report lines; fees 69.84</t>
        </is>
      </c>
      <c r="H24">
        <f>COUNTIFS('Bank Lines'!$G$5:$G$1640,A24,'Bank Lines'!$J$5:$J$1640,1)</f>
        <v>1</v>
      </c>
      <c r="I24">
        <f>COUNTIFS('Odoo Items'!$J$5:$J$4331,A24)</f>
        <v>32</v>
      </c>
      <c r="J24" s="9">
        <f>ROUND(SUMIFS('Bank Lines'!$E$5:$E$1640,'Bank Lines'!$G$5:$G$1640,A24,'Bank Lines'!$J$5:$J$1640,1),2)</f>
        <v>3370.16</v>
      </c>
      <c r="K24" s="9">
        <f>ROUND(SUMIFS('Odoo Items'!$G$5:$G$4331,'Odoo Items'!$J$5:$J$4331,A24),2)</f>
        <v>3440</v>
      </c>
      <c r="L24" s="9">
        <f>ROUND(J24-K24,2)</f>
        <v>-69.84</v>
      </c>
      <c r="M24" s="9">
        <f>ROUND(SUMIFS('Bank Lines'!$E$5:$E$1640,'Bank Lines'!$G$5:$G$1640,A24,'Bank Lines'!$J$5:$J$1640,1,'Bank Lines'!$C$5:$C$1640,"&lt;="&amp;Cover!$C$13),2)</f>
        <v>3370.16</v>
      </c>
      <c r="N24" s="9">
        <f>ROUND(SUMIFS('Odoo Items'!$G$5:$G$4331,'Odoo Items'!$J$5:$J$4331,A24,'Odoo Items'!$C$5:$C$4331,"&lt;="&amp;Cover!$C$13),2)</f>
        <v>3440</v>
      </c>
      <c r="O24">
        <f>COUNTIFS('Bank Lines'!$G$5:$G$1640,A24,'Bank Lines'!$J$5:$J$1640,1,'Bank Lines'!$C$5:$C$1640,"&lt;="&amp;Cover!$C$13)</f>
        <v>1</v>
      </c>
      <c r="P24">
        <f>COUNTIFS('Odoo Items'!$J$5:$J$4331,A24,'Odoo Items'!$C$5:$C$4331,"&lt;="&amp;Cover!$C$13)</f>
        <v>32</v>
      </c>
      <c r="Q24" t="str">
        <f>IF(AND(O24=0,P24=0),"",IF(O24=0,"ODOO-ONLY",IF(P24=0,"BANK-ONLY","BOTH")))</f>
        <v>BOTH</v>
      </c>
      <c r="R24" s="9">
        <f>IF(Q24="BOTH",ROUND(M24-N24,2),0)</f>
        <v>-69.84</v>
      </c>
      <c r="S24" s="9">
        <f>ROUND(SUMIFS('Bank Lines'!$E$5:$E$1640,'Bank Lines'!$G$5:$G$1640,A24,'Bank Lines'!$J$5:$J$1640,1,'Bank Lines'!$C$5:$C$1640,"&lt;="&amp;Cover!$C$14),2)</f>
        <v>3370.16</v>
      </c>
      <c r="T24" s="9">
        <f>ROUND(SUMIFS('Odoo Items'!$G$5:$G$4331,'Odoo Items'!$J$5:$J$4331,A24,'Odoo Items'!$C$5:$C$4331,"&lt;="&amp;Cover!$C$14),2)</f>
        <v>3440</v>
      </c>
      <c r="U24">
        <f>COUNTIFS('Bank Lines'!$G$5:$G$1640,A24,'Bank Lines'!$J$5:$J$1640,1,'Bank Lines'!$C$5:$C$1640,"&lt;="&amp;Cover!$C$14)</f>
        <v>1</v>
      </c>
      <c r="V24">
        <f>COUNTIFS('Odoo Items'!$J$5:$J$4331,A24,'Odoo Items'!$C$5:$C$4331,"&lt;="&amp;Cover!$C$14)</f>
        <v>32</v>
      </c>
      <c r="W24" t="str">
        <f>IF(AND(U24=0,V24=0),"",IF(U24=0,"ODOO-ONLY",IF(V24=0,"BANK-ONLY","BOTH")))</f>
        <v>BOTH</v>
      </c>
      <c r="X24" s="9">
        <f>IF(W24="BOTH",ROUND(S24-T24,2),0)</f>
        <v>-69.84</v>
      </c>
      <c r="Y24" s="9">
        <f>ROUND(SUMIFS('Bank Lines'!$E$5:$E$1640,'Bank Lines'!$G$5:$G$1640,A24,'Bank Lines'!$J$5:$J$1640,1,'Bank Lines'!$C$5:$C$1640,"&lt;="&amp;Cover!$C$15),2)</f>
        <v>3370.16</v>
      </c>
      <c r="Z24" s="9">
        <f>ROUND(SUMIFS('Odoo Items'!$G$5:$G$4331,'Odoo Items'!$J$5:$J$4331,A24,'Odoo Items'!$C$5:$C$4331,"&lt;="&amp;Cover!$C$15),2)</f>
        <v>3440</v>
      </c>
      <c r="AA24">
        <f>COUNTIFS('Bank Lines'!$G$5:$G$1640,A24,'Bank Lines'!$J$5:$J$1640,1,'Bank Lines'!$C$5:$C$1640,"&lt;="&amp;Cover!$C$15)</f>
        <v>1</v>
      </c>
      <c r="AB24">
        <f>COUNTIFS('Odoo Items'!$J$5:$J$4331,A24,'Odoo Items'!$C$5:$C$4331,"&lt;="&amp;Cover!$C$15)</f>
        <v>32</v>
      </c>
      <c r="AC24" t="str">
        <f>IF(AND(AA24=0,AB24=0),"",IF(AA24=0,"ODOO-ONLY",IF(AB24=0,"BANK-ONLY","BOTH")))</f>
        <v>BOTH</v>
      </c>
      <c r="AD24" s="9">
        <f>IF(AC24="BOTH",ROUND(Y24-Z24,2),0)</f>
        <v>-69.84</v>
      </c>
    </row>
    <row r="25">
      <c r="A25" t="inlineStr">
        <is>
          <t>G00021</t>
        </is>
      </c>
      <c r="B25" t="inlineStr">
        <is>
          <t>OPS</t>
        </is>
      </c>
      <c r="C25" t="inlineStr">
        <is>
          <t>R02</t>
        </is>
      </c>
      <c r="D25" t="inlineStr">
        <is>
          <t>STRIPE-FEE</t>
        </is>
      </c>
      <c r="E25" t="inlineStr"/>
      <c r="G25" t="inlineStr">
        <is>
          <t>28 report lines; fees 75.63</t>
        </is>
      </c>
      <c r="H25">
        <f>COUNTIFS('Bank Lines'!$G$5:$G$1640,A25,'Bank Lines'!$J$5:$J$1640,1)</f>
        <v>1</v>
      </c>
      <c r="I25">
        <f>COUNTIFS('Odoo Items'!$J$5:$J$4331,A25)</f>
        <v>28</v>
      </c>
      <c r="J25" s="9">
        <f>ROUND(SUMIFS('Bank Lines'!$E$5:$E$1640,'Bank Lines'!$G$5:$G$1640,A25,'Bank Lines'!$J$5:$J$1640,1),2)</f>
        <v>3764.37</v>
      </c>
      <c r="K25" s="9">
        <f>ROUND(SUMIFS('Odoo Items'!$G$5:$G$4331,'Odoo Items'!$J$5:$J$4331,A25),2)</f>
        <v>3840</v>
      </c>
      <c r="L25" s="9">
        <f>ROUND(J25-K25,2)</f>
        <v>-75.63</v>
      </c>
      <c r="M25" s="9">
        <f>ROUND(SUMIFS('Bank Lines'!$E$5:$E$1640,'Bank Lines'!$G$5:$G$1640,A25,'Bank Lines'!$J$5:$J$1640,1,'Bank Lines'!$C$5:$C$1640,"&lt;="&amp;Cover!$C$13),2)</f>
        <v>3764.37</v>
      </c>
      <c r="N25" s="9">
        <f>ROUND(SUMIFS('Odoo Items'!$G$5:$G$4331,'Odoo Items'!$J$5:$J$4331,A25,'Odoo Items'!$C$5:$C$4331,"&lt;="&amp;Cover!$C$13),2)</f>
        <v>3840</v>
      </c>
      <c r="O25">
        <f>COUNTIFS('Bank Lines'!$G$5:$G$1640,A25,'Bank Lines'!$J$5:$J$1640,1,'Bank Lines'!$C$5:$C$1640,"&lt;="&amp;Cover!$C$13)</f>
        <v>1</v>
      </c>
      <c r="P25">
        <f>COUNTIFS('Odoo Items'!$J$5:$J$4331,A25,'Odoo Items'!$C$5:$C$4331,"&lt;="&amp;Cover!$C$13)</f>
        <v>28</v>
      </c>
      <c r="Q25" t="str">
        <f>IF(AND(O25=0,P25=0),"",IF(O25=0,"ODOO-ONLY",IF(P25=0,"BANK-ONLY","BOTH")))</f>
        <v>BOTH</v>
      </c>
      <c r="R25" s="9">
        <f>IF(Q25="BOTH",ROUND(M25-N25,2),0)</f>
        <v>-75.63</v>
      </c>
      <c r="S25" s="9">
        <f>ROUND(SUMIFS('Bank Lines'!$E$5:$E$1640,'Bank Lines'!$G$5:$G$1640,A25,'Bank Lines'!$J$5:$J$1640,1,'Bank Lines'!$C$5:$C$1640,"&lt;="&amp;Cover!$C$14),2)</f>
        <v>3764.37</v>
      </c>
      <c r="T25" s="9">
        <f>ROUND(SUMIFS('Odoo Items'!$G$5:$G$4331,'Odoo Items'!$J$5:$J$4331,A25,'Odoo Items'!$C$5:$C$4331,"&lt;="&amp;Cover!$C$14),2)</f>
        <v>3840</v>
      </c>
      <c r="U25">
        <f>COUNTIFS('Bank Lines'!$G$5:$G$1640,A25,'Bank Lines'!$J$5:$J$1640,1,'Bank Lines'!$C$5:$C$1640,"&lt;="&amp;Cover!$C$14)</f>
        <v>1</v>
      </c>
      <c r="V25">
        <f>COUNTIFS('Odoo Items'!$J$5:$J$4331,A25,'Odoo Items'!$C$5:$C$4331,"&lt;="&amp;Cover!$C$14)</f>
        <v>28</v>
      </c>
      <c r="W25" t="str">
        <f>IF(AND(U25=0,V25=0),"",IF(U25=0,"ODOO-ONLY",IF(V25=0,"BANK-ONLY","BOTH")))</f>
        <v>BOTH</v>
      </c>
      <c r="X25" s="9">
        <f>IF(W25="BOTH",ROUND(S25-T25,2),0)</f>
        <v>-75.63</v>
      </c>
      <c r="Y25" s="9">
        <f>ROUND(SUMIFS('Bank Lines'!$E$5:$E$1640,'Bank Lines'!$G$5:$G$1640,A25,'Bank Lines'!$J$5:$J$1640,1,'Bank Lines'!$C$5:$C$1640,"&lt;="&amp;Cover!$C$15),2)</f>
        <v>3764.37</v>
      </c>
      <c r="Z25" s="9">
        <f>ROUND(SUMIFS('Odoo Items'!$G$5:$G$4331,'Odoo Items'!$J$5:$J$4331,A25,'Odoo Items'!$C$5:$C$4331,"&lt;="&amp;Cover!$C$15),2)</f>
        <v>3840</v>
      </c>
      <c r="AA25">
        <f>COUNTIFS('Bank Lines'!$G$5:$G$1640,A25,'Bank Lines'!$J$5:$J$1640,1,'Bank Lines'!$C$5:$C$1640,"&lt;="&amp;Cover!$C$15)</f>
        <v>1</v>
      </c>
      <c r="AB25">
        <f>COUNTIFS('Odoo Items'!$J$5:$J$4331,A25,'Odoo Items'!$C$5:$C$4331,"&lt;="&amp;Cover!$C$15)</f>
        <v>28</v>
      </c>
      <c r="AC25" t="str">
        <f>IF(AND(AA25=0,AB25=0),"",IF(AA25=0,"ODOO-ONLY",IF(AB25=0,"BANK-ONLY","BOTH")))</f>
        <v>BOTH</v>
      </c>
      <c r="AD25" s="9">
        <f>IF(AC25="BOTH",ROUND(Y25-Z25,2),0)</f>
        <v>-75.63</v>
      </c>
    </row>
    <row r="26">
      <c r="A26" t="inlineStr">
        <is>
          <t>G00022</t>
        </is>
      </c>
      <c r="B26" t="inlineStr">
        <is>
          <t>OPS</t>
        </is>
      </c>
      <c r="C26" t="inlineStr">
        <is>
          <t>R02</t>
        </is>
      </c>
      <c r="D26" t="inlineStr">
        <is>
          <t>STRIPE-FEE</t>
        </is>
      </c>
      <c r="E26" t="inlineStr"/>
      <c r="G26" t="inlineStr">
        <is>
          <t>20 report lines; fees 51.79</t>
        </is>
      </c>
      <c r="H26">
        <f>COUNTIFS('Bank Lines'!$G$5:$G$1640,A26,'Bank Lines'!$J$5:$J$1640,1)</f>
        <v>1</v>
      </c>
      <c r="I26">
        <f>COUNTIFS('Odoo Items'!$J$5:$J$4331,A26)</f>
        <v>20</v>
      </c>
      <c r="J26" s="9">
        <f>ROUND(SUMIFS('Bank Lines'!$E$5:$E$1640,'Bank Lines'!$G$5:$G$1640,A26,'Bank Lines'!$J$5:$J$1640,1),2)</f>
        <v>2563.21</v>
      </c>
      <c r="K26" s="9">
        <f>ROUND(SUMIFS('Odoo Items'!$G$5:$G$4331,'Odoo Items'!$J$5:$J$4331,A26),2)</f>
        <v>2615</v>
      </c>
      <c r="L26" s="9">
        <f>ROUND(J26-K26,2)</f>
        <v>-51.79</v>
      </c>
      <c r="M26" s="9">
        <f>ROUND(SUMIFS('Bank Lines'!$E$5:$E$1640,'Bank Lines'!$G$5:$G$1640,A26,'Bank Lines'!$J$5:$J$1640,1,'Bank Lines'!$C$5:$C$1640,"&lt;="&amp;Cover!$C$13),2)</f>
        <v>2563.21</v>
      </c>
      <c r="N26" s="9">
        <f>ROUND(SUMIFS('Odoo Items'!$G$5:$G$4331,'Odoo Items'!$J$5:$J$4331,A26,'Odoo Items'!$C$5:$C$4331,"&lt;="&amp;Cover!$C$13),2)</f>
        <v>2615</v>
      </c>
      <c r="O26">
        <f>COUNTIFS('Bank Lines'!$G$5:$G$1640,A26,'Bank Lines'!$J$5:$J$1640,1,'Bank Lines'!$C$5:$C$1640,"&lt;="&amp;Cover!$C$13)</f>
        <v>1</v>
      </c>
      <c r="P26">
        <f>COUNTIFS('Odoo Items'!$J$5:$J$4331,A26,'Odoo Items'!$C$5:$C$4331,"&lt;="&amp;Cover!$C$13)</f>
        <v>20</v>
      </c>
      <c r="Q26" t="str">
        <f>IF(AND(O26=0,P26=0),"",IF(O26=0,"ODOO-ONLY",IF(P26=0,"BANK-ONLY","BOTH")))</f>
        <v>BOTH</v>
      </c>
      <c r="R26" s="9">
        <f>IF(Q26="BOTH",ROUND(M26-N26,2),0)</f>
        <v>-51.79</v>
      </c>
      <c r="S26" s="9">
        <f>ROUND(SUMIFS('Bank Lines'!$E$5:$E$1640,'Bank Lines'!$G$5:$G$1640,A26,'Bank Lines'!$J$5:$J$1640,1,'Bank Lines'!$C$5:$C$1640,"&lt;="&amp;Cover!$C$14),2)</f>
        <v>2563.21</v>
      </c>
      <c r="T26" s="9">
        <f>ROUND(SUMIFS('Odoo Items'!$G$5:$G$4331,'Odoo Items'!$J$5:$J$4331,A26,'Odoo Items'!$C$5:$C$4331,"&lt;="&amp;Cover!$C$14),2)</f>
        <v>2615</v>
      </c>
      <c r="U26">
        <f>COUNTIFS('Bank Lines'!$G$5:$G$1640,A26,'Bank Lines'!$J$5:$J$1640,1,'Bank Lines'!$C$5:$C$1640,"&lt;="&amp;Cover!$C$14)</f>
        <v>1</v>
      </c>
      <c r="V26">
        <f>COUNTIFS('Odoo Items'!$J$5:$J$4331,A26,'Odoo Items'!$C$5:$C$4331,"&lt;="&amp;Cover!$C$14)</f>
        <v>20</v>
      </c>
      <c r="W26" t="str">
        <f>IF(AND(U26=0,V26=0),"",IF(U26=0,"ODOO-ONLY",IF(V26=0,"BANK-ONLY","BOTH")))</f>
        <v>BOTH</v>
      </c>
      <c r="X26" s="9">
        <f>IF(W26="BOTH",ROUND(S26-T26,2),0)</f>
        <v>-51.79</v>
      </c>
      <c r="Y26" s="9">
        <f>ROUND(SUMIFS('Bank Lines'!$E$5:$E$1640,'Bank Lines'!$G$5:$G$1640,A26,'Bank Lines'!$J$5:$J$1640,1,'Bank Lines'!$C$5:$C$1640,"&lt;="&amp;Cover!$C$15),2)</f>
        <v>2563.21</v>
      </c>
      <c r="Z26" s="9">
        <f>ROUND(SUMIFS('Odoo Items'!$G$5:$G$4331,'Odoo Items'!$J$5:$J$4331,A26,'Odoo Items'!$C$5:$C$4331,"&lt;="&amp;Cover!$C$15),2)</f>
        <v>2615</v>
      </c>
      <c r="AA26">
        <f>COUNTIFS('Bank Lines'!$G$5:$G$1640,A26,'Bank Lines'!$J$5:$J$1640,1,'Bank Lines'!$C$5:$C$1640,"&lt;="&amp;Cover!$C$15)</f>
        <v>1</v>
      </c>
      <c r="AB26">
        <f>COUNTIFS('Odoo Items'!$J$5:$J$4331,A26,'Odoo Items'!$C$5:$C$4331,"&lt;="&amp;Cover!$C$15)</f>
        <v>20</v>
      </c>
      <c r="AC26" t="str">
        <f>IF(AND(AA26=0,AB26=0),"",IF(AA26=0,"ODOO-ONLY",IF(AB26=0,"BANK-ONLY","BOTH")))</f>
        <v>BOTH</v>
      </c>
      <c r="AD26" s="9">
        <f>IF(AC26="BOTH",ROUND(Y26-Z26,2),0)</f>
        <v>-51.79</v>
      </c>
    </row>
    <row r="27">
      <c r="A27" t="inlineStr">
        <is>
          <t>G00023</t>
        </is>
      </c>
      <c r="B27" t="inlineStr">
        <is>
          <t>OPS</t>
        </is>
      </c>
      <c r="C27" t="inlineStr">
        <is>
          <t>R02</t>
        </is>
      </c>
      <c r="D27" t="inlineStr">
        <is>
          <t>STRIPE-FEE</t>
        </is>
      </c>
      <c r="E27" t="inlineStr"/>
      <c r="G27" t="inlineStr">
        <is>
          <t>39 report lines; fees 98.72</t>
        </is>
      </c>
      <c r="H27">
        <f>COUNTIFS('Bank Lines'!$G$5:$G$1640,A27,'Bank Lines'!$J$5:$J$1640,1)</f>
        <v>1</v>
      </c>
      <c r="I27">
        <f>COUNTIFS('Odoo Items'!$J$5:$J$4331,A27)</f>
        <v>39</v>
      </c>
      <c r="J27" s="9">
        <f>ROUND(SUMIFS('Bank Lines'!$E$5:$E$1640,'Bank Lines'!$G$5:$G$1640,A27,'Bank Lines'!$J$5:$J$1640,1),2)</f>
        <v>4871.28</v>
      </c>
      <c r="K27" s="9">
        <f>ROUND(SUMIFS('Odoo Items'!$G$5:$G$4331,'Odoo Items'!$J$5:$J$4331,A27),2)</f>
        <v>4970</v>
      </c>
      <c r="L27" s="9">
        <f>ROUND(J27-K27,2)</f>
        <v>-98.72</v>
      </c>
      <c r="M27" s="9">
        <f>ROUND(SUMIFS('Bank Lines'!$E$5:$E$1640,'Bank Lines'!$G$5:$G$1640,A27,'Bank Lines'!$J$5:$J$1640,1,'Bank Lines'!$C$5:$C$1640,"&lt;="&amp;Cover!$C$13),2)</f>
        <v>4871.28</v>
      </c>
      <c r="N27" s="9">
        <f>ROUND(SUMIFS('Odoo Items'!$G$5:$G$4331,'Odoo Items'!$J$5:$J$4331,A27,'Odoo Items'!$C$5:$C$4331,"&lt;="&amp;Cover!$C$13),2)</f>
        <v>4970</v>
      </c>
      <c r="O27">
        <f>COUNTIFS('Bank Lines'!$G$5:$G$1640,A27,'Bank Lines'!$J$5:$J$1640,1,'Bank Lines'!$C$5:$C$1640,"&lt;="&amp;Cover!$C$13)</f>
        <v>1</v>
      </c>
      <c r="P27">
        <f>COUNTIFS('Odoo Items'!$J$5:$J$4331,A27,'Odoo Items'!$C$5:$C$4331,"&lt;="&amp;Cover!$C$13)</f>
        <v>39</v>
      </c>
      <c r="Q27" t="str">
        <f>IF(AND(O27=0,P27=0),"",IF(O27=0,"ODOO-ONLY",IF(P27=0,"BANK-ONLY","BOTH")))</f>
        <v>BOTH</v>
      </c>
      <c r="R27" s="9">
        <f>IF(Q27="BOTH",ROUND(M27-N27,2),0)</f>
        <v>-98.72</v>
      </c>
      <c r="S27" s="9">
        <f>ROUND(SUMIFS('Bank Lines'!$E$5:$E$1640,'Bank Lines'!$G$5:$G$1640,A27,'Bank Lines'!$J$5:$J$1640,1,'Bank Lines'!$C$5:$C$1640,"&lt;="&amp;Cover!$C$14),2)</f>
        <v>4871.28</v>
      </c>
      <c r="T27" s="9">
        <f>ROUND(SUMIFS('Odoo Items'!$G$5:$G$4331,'Odoo Items'!$J$5:$J$4331,A27,'Odoo Items'!$C$5:$C$4331,"&lt;="&amp;Cover!$C$14),2)</f>
        <v>4970</v>
      </c>
      <c r="U27">
        <f>COUNTIFS('Bank Lines'!$G$5:$G$1640,A27,'Bank Lines'!$J$5:$J$1640,1,'Bank Lines'!$C$5:$C$1640,"&lt;="&amp;Cover!$C$14)</f>
        <v>1</v>
      </c>
      <c r="V27">
        <f>COUNTIFS('Odoo Items'!$J$5:$J$4331,A27,'Odoo Items'!$C$5:$C$4331,"&lt;="&amp;Cover!$C$14)</f>
        <v>39</v>
      </c>
      <c r="W27" t="str">
        <f>IF(AND(U27=0,V27=0),"",IF(U27=0,"ODOO-ONLY",IF(V27=0,"BANK-ONLY","BOTH")))</f>
        <v>BOTH</v>
      </c>
      <c r="X27" s="9">
        <f>IF(W27="BOTH",ROUND(S27-T27,2),0)</f>
        <v>-98.72</v>
      </c>
      <c r="Y27" s="9">
        <f>ROUND(SUMIFS('Bank Lines'!$E$5:$E$1640,'Bank Lines'!$G$5:$G$1640,A27,'Bank Lines'!$J$5:$J$1640,1,'Bank Lines'!$C$5:$C$1640,"&lt;="&amp;Cover!$C$15),2)</f>
        <v>4871.28</v>
      </c>
      <c r="Z27" s="9">
        <f>ROUND(SUMIFS('Odoo Items'!$G$5:$G$4331,'Odoo Items'!$J$5:$J$4331,A27,'Odoo Items'!$C$5:$C$4331,"&lt;="&amp;Cover!$C$15),2)</f>
        <v>4970</v>
      </c>
      <c r="AA27">
        <f>COUNTIFS('Bank Lines'!$G$5:$G$1640,A27,'Bank Lines'!$J$5:$J$1640,1,'Bank Lines'!$C$5:$C$1640,"&lt;="&amp;Cover!$C$15)</f>
        <v>1</v>
      </c>
      <c r="AB27">
        <f>COUNTIFS('Odoo Items'!$J$5:$J$4331,A27,'Odoo Items'!$C$5:$C$4331,"&lt;="&amp;Cover!$C$15)</f>
        <v>39</v>
      </c>
      <c r="AC27" t="str">
        <f>IF(AND(AA27=0,AB27=0),"",IF(AA27=0,"ODOO-ONLY",IF(AB27=0,"BANK-ONLY","BOTH")))</f>
        <v>BOTH</v>
      </c>
      <c r="AD27" s="9">
        <f>IF(AC27="BOTH",ROUND(Y27-Z27,2),0)</f>
        <v>-98.72</v>
      </c>
    </row>
    <row r="28">
      <c r="A28" t="inlineStr">
        <is>
          <t>G00024</t>
        </is>
      </c>
      <c r="B28" t="inlineStr">
        <is>
          <t>OPS</t>
        </is>
      </c>
      <c r="C28" t="inlineStr">
        <is>
          <t>R02</t>
        </is>
      </c>
      <c r="D28" t="inlineStr">
        <is>
          <t>STRIPE-FEE</t>
        </is>
      </c>
      <c r="E28" t="inlineStr"/>
      <c r="G28" t="inlineStr">
        <is>
          <t>19 report lines; fees 48.19</t>
        </is>
      </c>
      <c r="H28">
        <f>COUNTIFS('Bank Lines'!$G$5:$G$1640,A28,'Bank Lines'!$J$5:$J$1640,1)</f>
        <v>1</v>
      </c>
      <c r="I28">
        <f>COUNTIFS('Odoo Items'!$J$5:$J$4331,A28)</f>
        <v>19</v>
      </c>
      <c r="J28" s="9">
        <f>ROUND(SUMIFS('Bank Lines'!$E$5:$E$1640,'Bank Lines'!$G$5:$G$1640,A28,'Bank Lines'!$J$5:$J$1640,1),2)</f>
        <v>2376.81</v>
      </c>
      <c r="K28" s="9">
        <f>ROUND(SUMIFS('Odoo Items'!$G$5:$G$4331,'Odoo Items'!$J$5:$J$4331,A28),2)</f>
        <v>2425</v>
      </c>
      <c r="L28" s="9">
        <f>ROUND(J28-K28,2)</f>
        <v>-48.19</v>
      </c>
      <c r="M28" s="9">
        <f>ROUND(SUMIFS('Bank Lines'!$E$5:$E$1640,'Bank Lines'!$G$5:$G$1640,A28,'Bank Lines'!$J$5:$J$1640,1,'Bank Lines'!$C$5:$C$1640,"&lt;="&amp;Cover!$C$13),2)</f>
        <v>2376.81</v>
      </c>
      <c r="N28" s="9">
        <f>ROUND(SUMIFS('Odoo Items'!$G$5:$G$4331,'Odoo Items'!$J$5:$J$4331,A28,'Odoo Items'!$C$5:$C$4331,"&lt;="&amp;Cover!$C$13),2)</f>
        <v>2425</v>
      </c>
      <c r="O28">
        <f>COUNTIFS('Bank Lines'!$G$5:$G$1640,A28,'Bank Lines'!$J$5:$J$1640,1,'Bank Lines'!$C$5:$C$1640,"&lt;="&amp;Cover!$C$13)</f>
        <v>1</v>
      </c>
      <c r="P28">
        <f>COUNTIFS('Odoo Items'!$J$5:$J$4331,A28,'Odoo Items'!$C$5:$C$4331,"&lt;="&amp;Cover!$C$13)</f>
        <v>19</v>
      </c>
      <c r="Q28" t="str">
        <f>IF(AND(O28=0,P28=0),"",IF(O28=0,"ODOO-ONLY",IF(P28=0,"BANK-ONLY","BOTH")))</f>
        <v>BOTH</v>
      </c>
      <c r="R28" s="9">
        <f>IF(Q28="BOTH",ROUND(M28-N28,2),0)</f>
        <v>-48.19</v>
      </c>
      <c r="S28" s="9">
        <f>ROUND(SUMIFS('Bank Lines'!$E$5:$E$1640,'Bank Lines'!$G$5:$G$1640,A28,'Bank Lines'!$J$5:$J$1640,1,'Bank Lines'!$C$5:$C$1640,"&lt;="&amp;Cover!$C$14),2)</f>
        <v>2376.81</v>
      </c>
      <c r="T28" s="9">
        <f>ROUND(SUMIFS('Odoo Items'!$G$5:$G$4331,'Odoo Items'!$J$5:$J$4331,A28,'Odoo Items'!$C$5:$C$4331,"&lt;="&amp;Cover!$C$14),2)</f>
        <v>2425</v>
      </c>
      <c r="U28">
        <f>COUNTIFS('Bank Lines'!$G$5:$G$1640,A28,'Bank Lines'!$J$5:$J$1640,1,'Bank Lines'!$C$5:$C$1640,"&lt;="&amp;Cover!$C$14)</f>
        <v>1</v>
      </c>
      <c r="V28">
        <f>COUNTIFS('Odoo Items'!$J$5:$J$4331,A28,'Odoo Items'!$C$5:$C$4331,"&lt;="&amp;Cover!$C$14)</f>
        <v>19</v>
      </c>
      <c r="W28" t="str">
        <f>IF(AND(U28=0,V28=0),"",IF(U28=0,"ODOO-ONLY",IF(V28=0,"BANK-ONLY","BOTH")))</f>
        <v>BOTH</v>
      </c>
      <c r="X28" s="9">
        <f>IF(W28="BOTH",ROUND(S28-T28,2),0)</f>
        <v>-48.19</v>
      </c>
      <c r="Y28" s="9">
        <f>ROUND(SUMIFS('Bank Lines'!$E$5:$E$1640,'Bank Lines'!$G$5:$G$1640,A28,'Bank Lines'!$J$5:$J$1640,1,'Bank Lines'!$C$5:$C$1640,"&lt;="&amp;Cover!$C$15),2)</f>
        <v>2376.81</v>
      </c>
      <c r="Z28" s="9">
        <f>ROUND(SUMIFS('Odoo Items'!$G$5:$G$4331,'Odoo Items'!$J$5:$J$4331,A28,'Odoo Items'!$C$5:$C$4331,"&lt;="&amp;Cover!$C$15),2)</f>
        <v>2425</v>
      </c>
      <c r="AA28">
        <f>COUNTIFS('Bank Lines'!$G$5:$G$1640,A28,'Bank Lines'!$J$5:$J$1640,1,'Bank Lines'!$C$5:$C$1640,"&lt;="&amp;Cover!$C$15)</f>
        <v>1</v>
      </c>
      <c r="AB28">
        <f>COUNTIFS('Odoo Items'!$J$5:$J$4331,A28,'Odoo Items'!$C$5:$C$4331,"&lt;="&amp;Cover!$C$15)</f>
        <v>19</v>
      </c>
      <c r="AC28" t="str">
        <f>IF(AND(AA28=0,AB28=0),"",IF(AA28=0,"ODOO-ONLY",IF(AB28=0,"BANK-ONLY","BOTH")))</f>
        <v>BOTH</v>
      </c>
      <c r="AD28" s="9">
        <f>IF(AC28="BOTH",ROUND(Y28-Z28,2),0)</f>
        <v>-48.19</v>
      </c>
    </row>
    <row r="29">
      <c r="A29" t="inlineStr">
        <is>
          <t>G00025</t>
        </is>
      </c>
      <c r="B29" t="inlineStr">
        <is>
          <t>OPS</t>
        </is>
      </c>
      <c r="C29" t="inlineStr">
        <is>
          <t>R02</t>
        </is>
      </c>
      <c r="D29" t="inlineStr">
        <is>
          <t>STRIPE-FEE</t>
        </is>
      </c>
      <c r="E29" t="inlineStr"/>
      <c r="G29" t="inlineStr">
        <is>
          <t>34 report lines; fees 86.98</t>
        </is>
      </c>
      <c r="H29">
        <f>COUNTIFS('Bank Lines'!$G$5:$G$1640,A29,'Bank Lines'!$J$5:$J$1640,1)</f>
        <v>1</v>
      </c>
      <c r="I29">
        <f>COUNTIFS('Odoo Items'!$J$5:$J$4331,A29)</f>
        <v>34</v>
      </c>
      <c r="J29" s="9">
        <f>ROUND(SUMIFS('Bank Lines'!$E$5:$E$1640,'Bank Lines'!$G$5:$G$1640,A29,'Bank Lines'!$J$5:$J$1640,1),2)</f>
        <v>4298.02</v>
      </c>
      <c r="K29" s="9">
        <f>ROUND(SUMIFS('Odoo Items'!$G$5:$G$4331,'Odoo Items'!$J$5:$J$4331,A29),2)</f>
        <v>4385</v>
      </c>
      <c r="L29" s="9">
        <f>ROUND(J29-K29,2)</f>
        <v>-86.98</v>
      </c>
      <c r="M29" s="9">
        <f>ROUND(SUMIFS('Bank Lines'!$E$5:$E$1640,'Bank Lines'!$G$5:$G$1640,A29,'Bank Lines'!$J$5:$J$1640,1,'Bank Lines'!$C$5:$C$1640,"&lt;="&amp;Cover!$C$13),2)</f>
        <v>4298.02</v>
      </c>
      <c r="N29" s="9">
        <f>ROUND(SUMIFS('Odoo Items'!$G$5:$G$4331,'Odoo Items'!$J$5:$J$4331,A29,'Odoo Items'!$C$5:$C$4331,"&lt;="&amp;Cover!$C$13),2)</f>
        <v>4385</v>
      </c>
      <c r="O29">
        <f>COUNTIFS('Bank Lines'!$G$5:$G$1640,A29,'Bank Lines'!$J$5:$J$1640,1,'Bank Lines'!$C$5:$C$1640,"&lt;="&amp;Cover!$C$13)</f>
        <v>1</v>
      </c>
      <c r="P29">
        <f>COUNTIFS('Odoo Items'!$J$5:$J$4331,A29,'Odoo Items'!$C$5:$C$4331,"&lt;="&amp;Cover!$C$13)</f>
        <v>34</v>
      </c>
      <c r="Q29" t="str">
        <f>IF(AND(O29=0,P29=0),"",IF(O29=0,"ODOO-ONLY",IF(P29=0,"BANK-ONLY","BOTH")))</f>
        <v>BOTH</v>
      </c>
      <c r="R29" s="9">
        <f>IF(Q29="BOTH",ROUND(M29-N29,2),0)</f>
        <v>-86.98</v>
      </c>
      <c r="S29" s="9">
        <f>ROUND(SUMIFS('Bank Lines'!$E$5:$E$1640,'Bank Lines'!$G$5:$G$1640,A29,'Bank Lines'!$J$5:$J$1640,1,'Bank Lines'!$C$5:$C$1640,"&lt;="&amp;Cover!$C$14),2)</f>
        <v>4298.02</v>
      </c>
      <c r="T29" s="9">
        <f>ROUND(SUMIFS('Odoo Items'!$G$5:$G$4331,'Odoo Items'!$J$5:$J$4331,A29,'Odoo Items'!$C$5:$C$4331,"&lt;="&amp;Cover!$C$14),2)</f>
        <v>4385</v>
      </c>
      <c r="U29">
        <f>COUNTIFS('Bank Lines'!$G$5:$G$1640,A29,'Bank Lines'!$J$5:$J$1640,1,'Bank Lines'!$C$5:$C$1640,"&lt;="&amp;Cover!$C$14)</f>
        <v>1</v>
      </c>
      <c r="V29">
        <f>COUNTIFS('Odoo Items'!$J$5:$J$4331,A29,'Odoo Items'!$C$5:$C$4331,"&lt;="&amp;Cover!$C$14)</f>
        <v>34</v>
      </c>
      <c r="W29" t="str">
        <f>IF(AND(U29=0,V29=0),"",IF(U29=0,"ODOO-ONLY",IF(V29=0,"BANK-ONLY","BOTH")))</f>
        <v>BOTH</v>
      </c>
      <c r="X29" s="9">
        <f>IF(W29="BOTH",ROUND(S29-T29,2),0)</f>
        <v>-86.98</v>
      </c>
      <c r="Y29" s="9">
        <f>ROUND(SUMIFS('Bank Lines'!$E$5:$E$1640,'Bank Lines'!$G$5:$G$1640,A29,'Bank Lines'!$J$5:$J$1640,1,'Bank Lines'!$C$5:$C$1640,"&lt;="&amp;Cover!$C$15),2)</f>
        <v>4298.02</v>
      </c>
      <c r="Z29" s="9">
        <f>ROUND(SUMIFS('Odoo Items'!$G$5:$G$4331,'Odoo Items'!$J$5:$J$4331,A29,'Odoo Items'!$C$5:$C$4331,"&lt;="&amp;Cover!$C$15),2)</f>
        <v>4385</v>
      </c>
      <c r="AA29">
        <f>COUNTIFS('Bank Lines'!$G$5:$G$1640,A29,'Bank Lines'!$J$5:$J$1640,1,'Bank Lines'!$C$5:$C$1640,"&lt;="&amp;Cover!$C$15)</f>
        <v>1</v>
      </c>
      <c r="AB29">
        <f>COUNTIFS('Odoo Items'!$J$5:$J$4331,A29,'Odoo Items'!$C$5:$C$4331,"&lt;="&amp;Cover!$C$15)</f>
        <v>34</v>
      </c>
      <c r="AC29" t="str">
        <f>IF(AND(AA29=0,AB29=0),"",IF(AA29=0,"ODOO-ONLY",IF(AB29=0,"BANK-ONLY","BOTH")))</f>
        <v>BOTH</v>
      </c>
      <c r="AD29" s="9">
        <f>IF(AC29="BOTH",ROUND(Y29-Z29,2),0)</f>
        <v>-86.98</v>
      </c>
    </row>
    <row r="30">
      <c r="A30" t="inlineStr">
        <is>
          <t>G00026</t>
        </is>
      </c>
      <c r="B30" t="inlineStr">
        <is>
          <t>OPS</t>
        </is>
      </c>
      <c r="C30" t="inlineStr">
        <is>
          <t>R02</t>
        </is>
      </c>
      <c r="D30" t="inlineStr">
        <is>
          <t>STRIPE-FEE</t>
        </is>
      </c>
      <c r="E30" t="inlineStr"/>
      <c r="G30" t="inlineStr">
        <is>
          <t>21 report lines; fees 52.37</t>
        </is>
      </c>
      <c r="H30">
        <f>COUNTIFS('Bank Lines'!$G$5:$G$1640,A30,'Bank Lines'!$J$5:$J$1640,1)</f>
        <v>1</v>
      </c>
      <c r="I30">
        <f>COUNTIFS('Odoo Items'!$J$5:$J$4331,A30)</f>
        <v>21</v>
      </c>
      <c r="J30" s="9">
        <f>ROUND(SUMIFS('Bank Lines'!$E$5:$E$1640,'Bank Lines'!$G$5:$G$1640,A30,'Bank Lines'!$J$5:$J$1640,1),2)</f>
        <v>2577.63</v>
      </c>
      <c r="K30" s="9">
        <f>ROUND(SUMIFS('Odoo Items'!$G$5:$G$4331,'Odoo Items'!$J$5:$J$4331,A30),2)</f>
        <v>2630</v>
      </c>
      <c r="L30" s="9">
        <f>ROUND(J30-K30,2)</f>
        <v>-52.37</v>
      </c>
      <c r="M30" s="9">
        <f>ROUND(SUMIFS('Bank Lines'!$E$5:$E$1640,'Bank Lines'!$G$5:$G$1640,A30,'Bank Lines'!$J$5:$J$1640,1,'Bank Lines'!$C$5:$C$1640,"&lt;="&amp;Cover!$C$13),2)</f>
        <v>2577.63</v>
      </c>
      <c r="N30" s="9">
        <f>ROUND(SUMIFS('Odoo Items'!$G$5:$G$4331,'Odoo Items'!$J$5:$J$4331,A30,'Odoo Items'!$C$5:$C$4331,"&lt;="&amp;Cover!$C$13),2)</f>
        <v>2630</v>
      </c>
      <c r="O30">
        <f>COUNTIFS('Bank Lines'!$G$5:$G$1640,A30,'Bank Lines'!$J$5:$J$1640,1,'Bank Lines'!$C$5:$C$1640,"&lt;="&amp;Cover!$C$13)</f>
        <v>1</v>
      </c>
      <c r="P30">
        <f>COUNTIFS('Odoo Items'!$J$5:$J$4331,A30,'Odoo Items'!$C$5:$C$4331,"&lt;="&amp;Cover!$C$13)</f>
        <v>21</v>
      </c>
      <c r="Q30" t="str">
        <f>IF(AND(O30=0,P30=0),"",IF(O30=0,"ODOO-ONLY",IF(P30=0,"BANK-ONLY","BOTH")))</f>
        <v>BOTH</v>
      </c>
      <c r="R30" s="9">
        <f>IF(Q30="BOTH",ROUND(M30-N30,2),0)</f>
        <v>-52.37</v>
      </c>
      <c r="S30" s="9">
        <f>ROUND(SUMIFS('Bank Lines'!$E$5:$E$1640,'Bank Lines'!$G$5:$G$1640,A30,'Bank Lines'!$J$5:$J$1640,1,'Bank Lines'!$C$5:$C$1640,"&lt;="&amp;Cover!$C$14),2)</f>
        <v>2577.63</v>
      </c>
      <c r="T30" s="9">
        <f>ROUND(SUMIFS('Odoo Items'!$G$5:$G$4331,'Odoo Items'!$J$5:$J$4331,A30,'Odoo Items'!$C$5:$C$4331,"&lt;="&amp;Cover!$C$14),2)</f>
        <v>2630</v>
      </c>
      <c r="U30">
        <f>COUNTIFS('Bank Lines'!$G$5:$G$1640,A30,'Bank Lines'!$J$5:$J$1640,1,'Bank Lines'!$C$5:$C$1640,"&lt;="&amp;Cover!$C$14)</f>
        <v>1</v>
      </c>
      <c r="V30">
        <f>COUNTIFS('Odoo Items'!$J$5:$J$4331,A30,'Odoo Items'!$C$5:$C$4331,"&lt;="&amp;Cover!$C$14)</f>
        <v>21</v>
      </c>
      <c r="W30" t="str">
        <f>IF(AND(U30=0,V30=0),"",IF(U30=0,"ODOO-ONLY",IF(V30=0,"BANK-ONLY","BOTH")))</f>
        <v>BOTH</v>
      </c>
      <c r="X30" s="9">
        <f>IF(W30="BOTH",ROUND(S30-T30,2),0)</f>
        <v>-52.37</v>
      </c>
      <c r="Y30" s="9">
        <f>ROUND(SUMIFS('Bank Lines'!$E$5:$E$1640,'Bank Lines'!$G$5:$G$1640,A30,'Bank Lines'!$J$5:$J$1640,1,'Bank Lines'!$C$5:$C$1640,"&lt;="&amp;Cover!$C$15),2)</f>
        <v>2577.63</v>
      </c>
      <c r="Z30" s="9">
        <f>ROUND(SUMIFS('Odoo Items'!$G$5:$G$4331,'Odoo Items'!$J$5:$J$4331,A30,'Odoo Items'!$C$5:$C$4331,"&lt;="&amp;Cover!$C$15),2)</f>
        <v>2630</v>
      </c>
      <c r="AA30">
        <f>COUNTIFS('Bank Lines'!$G$5:$G$1640,A30,'Bank Lines'!$J$5:$J$1640,1,'Bank Lines'!$C$5:$C$1640,"&lt;="&amp;Cover!$C$15)</f>
        <v>1</v>
      </c>
      <c r="AB30">
        <f>COUNTIFS('Odoo Items'!$J$5:$J$4331,A30,'Odoo Items'!$C$5:$C$4331,"&lt;="&amp;Cover!$C$15)</f>
        <v>21</v>
      </c>
      <c r="AC30" t="str">
        <f>IF(AND(AA30=0,AB30=0),"",IF(AA30=0,"ODOO-ONLY",IF(AB30=0,"BANK-ONLY","BOTH")))</f>
        <v>BOTH</v>
      </c>
      <c r="AD30" s="9">
        <f>IF(AC30="BOTH",ROUND(Y30-Z30,2),0)</f>
        <v>-52.37</v>
      </c>
    </row>
    <row r="31">
      <c r="A31" t="inlineStr">
        <is>
          <t>G00027</t>
        </is>
      </c>
      <c r="B31" t="inlineStr">
        <is>
          <t>OPS</t>
        </is>
      </c>
      <c r="C31" t="inlineStr">
        <is>
          <t>R02</t>
        </is>
      </c>
      <c r="D31" t="inlineStr">
        <is>
          <t>STRIPE-FEE</t>
        </is>
      </c>
      <c r="E31" t="inlineStr"/>
      <c r="G31" t="inlineStr">
        <is>
          <t>23 report lines; fees 62.67</t>
        </is>
      </c>
      <c r="H31">
        <f>COUNTIFS('Bank Lines'!$G$5:$G$1640,A31,'Bank Lines'!$J$5:$J$1640,1)</f>
        <v>1</v>
      </c>
      <c r="I31">
        <f>COUNTIFS('Odoo Items'!$J$5:$J$4331,A31)</f>
        <v>23</v>
      </c>
      <c r="J31" s="9">
        <f>ROUND(SUMIFS('Bank Lines'!$E$5:$E$1640,'Bank Lines'!$G$5:$G$1640,A31,'Bank Lines'!$J$5:$J$1640,1),2)</f>
        <v>3122.33</v>
      </c>
      <c r="K31" s="9">
        <f>ROUND(SUMIFS('Odoo Items'!$G$5:$G$4331,'Odoo Items'!$J$5:$J$4331,A31),2)</f>
        <v>3185</v>
      </c>
      <c r="L31" s="9">
        <f>ROUND(J31-K31,2)</f>
        <v>-62.67</v>
      </c>
      <c r="M31" s="9">
        <f>ROUND(SUMIFS('Bank Lines'!$E$5:$E$1640,'Bank Lines'!$G$5:$G$1640,A31,'Bank Lines'!$J$5:$J$1640,1,'Bank Lines'!$C$5:$C$1640,"&lt;="&amp;Cover!$C$13),2)</f>
        <v>3122.33</v>
      </c>
      <c r="N31" s="9">
        <f>ROUND(SUMIFS('Odoo Items'!$G$5:$G$4331,'Odoo Items'!$J$5:$J$4331,A31,'Odoo Items'!$C$5:$C$4331,"&lt;="&amp;Cover!$C$13),2)</f>
        <v>3185</v>
      </c>
      <c r="O31">
        <f>COUNTIFS('Bank Lines'!$G$5:$G$1640,A31,'Bank Lines'!$J$5:$J$1640,1,'Bank Lines'!$C$5:$C$1640,"&lt;="&amp;Cover!$C$13)</f>
        <v>1</v>
      </c>
      <c r="P31">
        <f>COUNTIFS('Odoo Items'!$J$5:$J$4331,A31,'Odoo Items'!$C$5:$C$4331,"&lt;="&amp;Cover!$C$13)</f>
        <v>23</v>
      </c>
      <c r="Q31" t="str">
        <f>IF(AND(O31=0,P31=0),"",IF(O31=0,"ODOO-ONLY",IF(P31=0,"BANK-ONLY","BOTH")))</f>
        <v>BOTH</v>
      </c>
      <c r="R31" s="9">
        <f>IF(Q31="BOTH",ROUND(M31-N31,2),0)</f>
        <v>-62.67</v>
      </c>
      <c r="S31" s="9">
        <f>ROUND(SUMIFS('Bank Lines'!$E$5:$E$1640,'Bank Lines'!$G$5:$G$1640,A31,'Bank Lines'!$J$5:$J$1640,1,'Bank Lines'!$C$5:$C$1640,"&lt;="&amp;Cover!$C$14),2)</f>
        <v>3122.33</v>
      </c>
      <c r="T31" s="9">
        <f>ROUND(SUMIFS('Odoo Items'!$G$5:$G$4331,'Odoo Items'!$J$5:$J$4331,A31,'Odoo Items'!$C$5:$C$4331,"&lt;="&amp;Cover!$C$14),2)</f>
        <v>3185</v>
      </c>
      <c r="U31">
        <f>COUNTIFS('Bank Lines'!$G$5:$G$1640,A31,'Bank Lines'!$J$5:$J$1640,1,'Bank Lines'!$C$5:$C$1640,"&lt;="&amp;Cover!$C$14)</f>
        <v>1</v>
      </c>
      <c r="V31">
        <f>COUNTIFS('Odoo Items'!$J$5:$J$4331,A31,'Odoo Items'!$C$5:$C$4331,"&lt;="&amp;Cover!$C$14)</f>
        <v>23</v>
      </c>
      <c r="W31" t="str">
        <f>IF(AND(U31=0,V31=0),"",IF(U31=0,"ODOO-ONLY",IF(V31=0,"BANK-ONLY","BOTH")))</f>
        <v>BOTH</v>
      </c>
      <c r="X31" s="9">
        <f>IF(W31="BOTH",ROUND(S31-T31,2),0)</f>
        <v>-62.67</v>
      </c>
      <c r="Y31" s="9">
        <f>ROUND(SUMIFS('Bank Lines'!$E$5:$E$1640,'Bank Lines'!$G$5:$G$1640,A31,'Bank Lines'!$J$5:$J$1640,1,'Bank Lines'!$C$5:$C$1640,"&lt;="&amp;Cover!$C$15),2)</f>
        <v>3122.33</v>
      </c>
      <c r="Z31" s="9">
        <f>ROUND(SUMIFS('Odoo Items'!$G$5:$G$4331,'Odoo Items'!$J$5:$J$4331,A31,'Odoo Items'!$C$5:$C$4331,"&lt;="&amp;Cover!$C$15),2)</f>
        <v>3185</v>
      </c>
      <c r="AA31">
        <f>COUNTIFS('Bank Lines'!$G$5:$G$1640,A31,'Bank Lines'!$J$5:$J$1640,1,'Bank Lines'!$C$5:$C$1640,"&lt;="&amp;Cover!$C$15)</f>
        <v>1</v>
      </c>
      <c r="AB31">
        <f>COUNTIFS('Odoo Items'!$J$5:$J$4331,A31,'Odoo Items'!$C$5:$C$4331,"&lt;="&amp;Cover!$C$15)</f>
        <v>23</v>
      </c>
      <c r="AC31" t="str">
        <f>IF(AND(AA31=0,AB31=0),"",IF(AA31=0,"ODOO-ONLY",IF(AB31=0,"BANK-ONLY","BOTH")))</f>
        <v>BOTH</v>
      </c>
      <c r="AD31" s="9">
        <f>IF(AC31="BOTH",ROUND(Y31-Z31,2),0)</f>
        <v>-62.67</v>
      </c>
    </row>
    <row r="32">
      <c r="A32" t="inlineStr">
        <is>
          <t>G00028</t>
        </is>
      </c>
      <c r="B32" t="inlineStr">
        <is>
          <t>OPS</t>
        </is>
      </c>
      <c r="C32" t="inlineStr">
        <is>
          <t>R02</t>
        </is>
      </c>
      <c r="D32" t="inlineStr">
        <is>
          <t>STRIPE-FEE</t>
        </is>
      </c>
      <c r="E32" t="inlineStr"/>
      <c r="G32" t="inlineStr">
        <is>
          <t>38 report lines; fees 94.29</t>
        </is>
      </c>
      <c r="H32">
        <f>COUNTIFS('Bank Lines'!$G$5:$G$1640,A32,'Bank Lines'!$J$5:$J$1640,1)</f>
        <v>1</v>
      </c>
      <c r="I32">
        <f>COUNTIFS('Odoo Items'!$J$5:$J$4331,A32)</f>
        <v>38</v>
      </c>
      <c r="J32" s="9">
        <f>ROUND(SUMIFS('Bank Lines'!$E$5:$E$1640,'Bank Lines'!$G$5:$G$1640,A32,'Bank Lines'!$J$5:$J$1640,1),2)</f>
        <v>4640.71</v>
      </c>
      <c r="K32" s="9">
        <f>ROUND(SUMIFS('Odoo Items'!$G$5:$G$4331,'Odoo Items'!$J$5:$J$4331,A32),2)</f>
        <v>4735</v>
      </c>
      <c r="L32" s="9">
        <f>ROUND(J32-K32,2)</f>
        <v>-94.29</v>
      </c>
      <c r="M32" s="9">
        <f>ROUND(SUMIFS('Bank Lines'!$E$5:$E$1640,'Bank Lines'!$G$5:$G$1640,A32,'Bank Lines'!$J$5:$J$1640,1,'Bank Lines'!$C$5:$C$1640,"&lt;="&amp;Cover!$C$13),2)</f>
        <v>4640.71</v>
      </c>
      <c r="N32" s="9">
        <f>ROUND(SUMIFS('Odoo Items'!$G$5:$G$4331,'Odoo Items'!$J$5:$J$4331,A32,'Odoo Items'!$C$5:$C$4331,"&lt;="&amp;Cover!$C$13),2)</f>
        <v>4735</v>
      </c>
      <c r="O32">
        <f>COUNTIFS('Bank Lines'!$G$5:$G$1640,A32,'Bank Lines'!$J$5:$J$1640,1,'Bank Lines'!$C$5:$C$1640,"&lt;="&amp;Cover!$C$13)</f>
        <v>1</v>
      </c>
      <c r="P32">
        <f>COUNTIFS('Odoo Items'!$J$5:$J$4331,A32,'Odoo Items'!$C$5:$C$4331,"&lt;="&amp;Cover!$C$13)</f>
        <v>38</v>
      </c>
      <c r="Q32" t="str">
        <f>IF(AND(O32=0,P32=0),"",IF(O32=0,"ODOO-ONLY",IF(P32=0,"BANK-ONLY","BOTH")))</f>
        <v>BOTH</v>
      </c>
      <c r="R32" s="9">
        <f>IF(Q32="BOTH",ROUND(M32-N32,2),0)</f>
        <v>-94.29</v>
      </c>
      <c r="S32" s="9">
        <f>ROUND(SUMIFS('Bank Lines'!$E$5:$E$1640,'Bank Lines'!$G$5:$G$1640,A32,'Bank Lines'!$J$5:$J$1640,1,'Bank Lines'!$C$5:$C$1640,"&lt;="&amp;Cover!$C$14),2)</f>
        <v>4640.71</v>
      </c>
      <c r="T32" s="9">
        <f>ROUND(SUMIFS('Odoo Items'!$G$5:$G$4331,'Odoo Items'!$J$5:$J$4331,A32,'Odoo Items'!$C$5:$C$4331,"&lt;="&amp;Cover!$C$14),2)</f>
        <v>4735</v>
      </c>
      <c r="U32">
        <f>COUNTIFS('Bank Lines'!$G$5:$G$1640,A32,'Bank Lines'!$J$5:$J$1640,1,'Bank Lines'!$C$5:$C$1640,"&lt;="&amp;Cover!$C$14)</f>
        <v>1</v>
      </c>
      <c r="V32">
        <f>COUNTIFS('Odoo Items'!$J$5:$J$4331,A32,'Odoo Items'!$C$5:$C$4331,"&lt;="&amp;Cover!$C$14)</f>
        <v>38</v>
      </c>
      <c r="W32" t="str">
        <f>IF(AND(U32=0,V32=0),"",IF(U32=0,"ODOO-ONLY",IF(V32=0,"BANK-ONLY","BOTH")))</f>
        <v>BOTH</v>
      </c>
      <c r="X32" s="9">
        <f>IF(W32="BOTH",ROUND(S32-T32,2),0)</f>
        <v>-94.29</v>
      </c>
      <c r="Y32" s="9">
        <f>ROUND(SUMIFS('Bank Lines'!$E$5:$E$1640,'Bank Lines'!$G$5:$G$1640,A32,'Bank Lines'!$J$5:$J$1640,1,'Bank Lines'!$C$5:$C$1640,"&lt;="&amp;Cover!$C$15),2)</f>
        <v>4640.71</v>
      </c>
      <c r="Z32" s="9">
        <f>ROUND(SUMIFS('Odoo Items'!$G$5:$G$4331,'Odoo Items'!$J$5:$J$4331,A32,'Odoo Items'!$C$5:$C$4331,"&lt;="&amp;Cover!$C$15),2)</f>
        <v>4735</v>
      </c>
      <c r="AA32">
        <f>COUNTIFS('Bank Lines'!$G$5:$G$1640,A32,'Bank Lines'!$J$5:$J$1640,1,'Bank Lines'!$C$5:$C$1640,"&lt;="&amp;Cover!$C$15)</f>
        <v>1</v>
      </c>
      <c r="AB32">
        <f>COUNTIFS('Odoo Items'!$J$5:$J$4331,A32,'Odoo Items'!$C$5:$C$4331,"&lt;="&amp;Cover!$C$15)</f>
        <v>38</v>
      </c>
      <c r="AC32" t="str">
        <f>IF(AND(AA32=0,AB32=0),"",IF(AA32=0,"ODOO-ONLY",IF(AB32=0,"BANK-ONLY","BOTH")))</f>
        <v>BOTH</v>
      </c>
      <c r="AD32" s="9">
        <f>IF(AC32="BOTH",ROUND(Y32-Z32,2),0)</f>
        <v>-94.29</v>
      </c>
    </row>
    <row r="33">
      <c r="A33" t="inlineStr">
        <is>
          <t>G00029</t>
        </is>
      </c>
      <c r="B33" t="inlineStr">
        <is>
          <t>OPS</t>
        </is>
      </c>
      <c r="C33" t="inlineStr">
        <is>
          <t>R02</t>
        </is>
      </c>
      <c r="D33" t="inlineStr">
        <is>
          <t>STRIPE-FEE</t>
        </is>
      </c>
      <c r="E33" t="inlineStr"/>
      <c r="G33" t="inlineStr">
        <is>
          <t>32 report lines; fees 76.23</t>
        </is>
      </c>
      <c r="H33">
        <f>COUNTIFS('Bank Lines'!$G$5:$G$1640,A33,'Bank Lines'!$J$5:$J$1640,1)</f>
        <v>1</v>
      </c>
      <c r="I33">
        <f>COUNTIFS('Odoo Items'!$J$5:$J$4331,A33)</f>
        <v>32</v>
      </c>
      <c r="J33" s="9">
        <f>ROUND(SUMIFS('Bank Lines'!$E$5:$E$1640,'Bank Lines'!$G$5:$G$1640,A33,'Bank Lines'!$J$5:$J$1640,1),2)</f>
        <v>3728.77</v>
      </c>
      <c r="K33" s="9">
        <f>ROUND(SUMIFS('Odoo Items'!$G$5:$G$4331,'Odoo Items'!$J$5:$J$4331,A33),2)</f>
        <v>3805</v>
      </c>
      <c r="L33" s="9">
        <f>ROUND(J33-K33,2)</f>
        <v>-76.23</v>
      </c>
      <c r="M33" s="9">
        <f>ROUND(SUMIFS('Bank Lines'!$E$5:$E$1640,'Bank Lines'!$G$5:$G$1640,A33,'Bank Lines'!$J$5:$J$1640,1,'Bank Lines'!$C$5:$C$1640,"&lt;="&amp;Cover!$C$13),2)</f>
        <v>3728.77</v>
      </c>
      <c r="N33" s="9">
        <f>ROUND(SUMIFS('Odoo Items'!$G$5:$G$4331,'Odoo Items'!$J$5:$J$4331,A33,'Odoo Items'!$C$5:$C$4331,"&lt;="&amp;Cover!$C$13),2)</f>
        <v>3805</v>
      </c>
      <c r="O33">
        <f>COUNTIFS('Bank Lines'!$G$5:$G$1640,A33,'Bank Lines'!$J$5:$J$1640,1,'Bank Lines'!$C$5:$C$1640,"&lt;="&amp;Cover!$C$13)</f>
        <v>1</v>
      </c>
      <c r="P33">
        <f>COUNTIFS('Odoo Items'!$J$5:$J$4331,A33,'Odoo Items'!$C$5:$C$4331,"&lt;="&amp;Cover!$C$13)</f>
        <v>32</v>
      </c>
      <c r="Q33" t="str">
        <f>IF(AND(O33=0,P33=0),"",IF(O33=0,"ODOO-ONLY",IF(P33=0,"BANK-ONLY","BOTH")))</f>
        <v>BOTH</v>
      </c>
      <c r="R33" s="9">
        <f>IF(Q33="BOTH",ROUND(M33-N33,2),0)</f>
        <v>-76.23</v>
      </c>
      <c r="S33" s="9">
        <f>ROUND(SUMIFS('Bank Lines'!$E$5:$E$1640,'Bank Lines'!$G$5:$G$1640,A33,'Bank Lines'!$J$5:$J$1640,1,'Bank Lines'!$C$5:$C$1640,"&lt;="&amp;Cover!$C$14),2)</f>
        <v>3728.77</v>
      </c>
      <c r="T33" s="9">
        <f>ROUND(SUMIFS('Odoo Items'!$G$5:$G$4331,'Odoo Items'!$J$5:$J$4331,A33,'Odoo Items'!$C$5:$C$4331,"&lt;="&amp;Cover!$C$14),2)</f>
        <v>3805</v>
      </c>
      <c r="U33">
        <f>COUNTIFS('Bank Lines'!$G$5:$G$1640,A33,'Bank Lines'!$J$5:$J$1640,1,'Bank Lines'!$C$5:$C$1640,"&lt;="&amp;Cover!$C$14)</f>
        <v>1</v>
      </c>
      <c r="V33">
        <f>COUNTIFS('Odoo Items'!$J$5:$J$4331,A33,'Odoo Items'!$C$5:$C$4331,"&lt;="&amp;Cover!$C$14)</f>
        <v>32</v>
      </c>
      <c r="W33" t="str">
        <f>IF(AND(U33=0,V33=0),"",IF(U33=0,"ODOO-ONLY",IF(V33=0,"BANK-ONLY","BOTH")))</f>
        <v>BOTH</v>
      </c>
      <c r="X33" s="9">
        <f>IF(W33="BOTH",ROUND(S33-T33,2),0)</f>
        <v>-76.23</v>
      </c>
      <c r="Y33" s="9">
        <f>ROUND(SUMIFS('Bank Lines'!$E$5:$E$1640,'Bank Lines'!$G$5:$G$1640,A33,'Bank Lines'!$J$5:$J$1640,1,'Bank Lines'!$C$5:$C$1640,"&lt;="&amp;Cover!$C$15),2)</f>
        <v>3728.77</v>
      </c>
      <c r="Z33" s="9">
        <f>ROUND(SUMIFS('Odoo Items'!$G$5:$G$4331,'Odoo Items'!$J$5:$J$4331,A33,'Odoo Items'!$C$5:$C$4331,"&lt;="&amp;Cover!$C$15),2)</f>
        <v>3805</v>
      </c>
      <c r="AA33">
        <f>COUNTIFS('Bank Lines'!$G$5:$G$1640,A33,'Bank Lines'!$J$5:$J$1640,1,'Bank Lines'!$C$5:$C$1640,"&lt;="&amp;Cover!$C$15)</f>
        <v>1</v>
      </c>
      <c r="AB33">
        <f>COUNTIFS('Odoo Items'!$J$5:$J$4331,A33,'Odoo Items'!$C$5:$C$4331,"&lt;="&amp;Cover!$C$15)</f>
        <v>32</v>
      </c>
      <c r="AC33" t="str">
        <f>IF(AND(AA33=0,AB33=0),"",IF(AA33=0,"ODOO-ONLY",IF(AB33=0,"BANK-ONLY","BOTH")))</f>
        <v>BOTH</v>
      </c>
      <c r="AD33" s="9">
        <f>IF(AC33="BOTH",ROUND(Y33-Z33,2),0)</f>
        <v>-76.23</v>
      </c>
    </row>
    <row r="34">
      <c r="A34" t="inlineStr">
        <is>
          <t>G00030</t>
        </is>
      </c>
      <c r="B34" t="inlineStr">
        <is>
          <t>OPS</t>
        </is>
      </c>
      <c r="C34" t="inlineStr">
        <is>
          <t>R02</t>
        </is>
      </c>
      <c r="D34" t="inlineStr">
        <is>
          <t>STRIPE-FEE</t>
        </is>
      </c>
      <c r="E34" t="inlineStr"/>
      <c r="G34" t="inlineStr">
        <is>
          <t>20 report lines; fees 51.69</t>
        </is>
      </c>
      <c r="H34">
        <f>COUNTIFS('Bank Lines'!$G$5:$G$1640,A34,'Bank Lines'!$J$5:$J$1640,1)</f>
        <v>1</v>
      </c>
      <c r="I34">
        <f>COUNTIFS('Odoo Items'!$J$5:$J$4331,A34)</f>
        <v>20</v>
      </c>
      <c r="J34" s="9">
        <f>ROUND(SUMIFS('Bank Lines'!$E$5:$E$1640,'Bank Lines'!$G$5:$G$1640,A34,'Bank Lines'!$J$5:$J$1640,1),2)</f>
        <v>2558.31</v>
      </c>
      <c r="K34" s="9">
        <f>ROUND(SUMIFS('Odoo Items'!$G$5:$G$4331,'Odoo Items'!$J$5:$J$4331,A34),2)</f>
        <v>2610</v>
      </c>
      <c r="L34" s="9">
        <f>ROUND(J34-K34,2)</f>
        <v>-51.69</v>
      </c>
      <c r="M34" s="9">
        <f>ROUND(SUMIFS('Bank Lines'!$E$5:$E$1640,'Bank Lines'!$G$5:$G$1640,A34,'Bank Lines'!$J$5:$J$1640,1,'Bank Lines'!$C$5:$C$1640,"&lt;="&amp;Cover!$C$13),2)</f>
        <v>2558.31</v>
      </c>
      <c r="N34" s="9">
        <f>ROUND(SUMIFS('Odoo Items'!$G$5:$G$4331,'Odoo Items'!$J$5:$J$4331,A34,'Odoo Items'!$C$5:$C$4331,"&lt;="&amp;Cover!$C$13),2)</f>
        <v>2610</v>
      </c>
      <c r="O34">
        <f>COUNTIFS('Bank Lines'!$G$5:$G$1640,A34,'Bank Lines'!$J$5:$J$1640,1,'Bank Lines'!$C$5:$C$1640,"&lt;="&amp;Cover!$C$13)</f>
        <v>1</v>
      </c>
      <c r="P34">
        <f>COUNTIFS('Odoo Items'!$J$5:$J$4331,A34,'Odoo Items'!$C$5:$C$4331,"&lt;="&amp;Cover!$C$13)</f>
        <v>20</v>
      </c>
      <c r="Q34" t="str">
        <f>IF(AND(O34=0,P34=0),"",IF(O34=0,"ODOO-ONLY",IF(P34=0,"BANK-ONLY","BOTH")))</f>
        <v>BOTH</v>
      </c>
      <c r="R34" s="9">
        <f>IF(Q34="BOTH",ROUND(M34-N34,2),0)</f>
        <v>-51.69</v>
      </c>
      <c r="S34" s="9">
        <f>ROUND(SUMIFS('Bank Lines'!$E$5:$E$1640,'Bank Lines'!$G$5:$G$1640,A34,'Bank Lines'!$J$5:$J$1640,1,'Bank Lines'!$C$5:$C$1640,"&lt;="&amp;Cover!$C$14),2)</f>
        <v>2558.31</v>
      </c>
      <c r="T34" s="9">
        <f>ROUND(SUMIFS('Odoo Items'!$G$5:$G$4331,'Odoo Items'!$J$5:$J$4331,A34,'Odoo Items'!$C$5:$C$4331,"&lt;="&amp;Cover!$C$14),2)</f>
        <v>2610</v>
      </c>
      <c r="U34">
        <f>COUNTIFS('Bank Lines'!$G$5:$G$1640,A34,'Bank Lines'!$J$5:$J$1640,1,'Bank Lines'!$C$5:$C$1640,"&lt;="&amp;Cover!$C$14)</f>
        <v>1</v>
      </c>
      <c r="V34">
        <f>COUNTIFS('Odoo Items'!$J$5:$J$4331,A34,'Odoo Items'!$C$5:$C$4331,"&lt;="&amp;Cover!$C$14)</f>
        <v>20</v>
      </c>
      <c r="W34" t="str">
        <f>IF(AND(U34=0,V34=0),"",IF(U34=0,"ODOO-ONLY",IF(V34=0,"BANK-ONLY","BOTH")))</f>
        <v>BOTH</v>
      </c>
      <c r="X34" s="9">
        <f>IF(W34="BOTH",ROUND(S34-T34,2),0)</f>
        <v>-51.69</v>
      </c>
      <c r="Y34" s="9">
        <f>ROUND(SUMIFS('Bank Lines'!$E$5:$E$1640,'Bank Lines'!$G$5:$G$1640,A34,'Bank Lines'!$J$5:$J$1640,1,'Bank Lines'!$C$5:$C$1640,"&lt;="&amp;Cover!$C$15),2)</f>
        <v>2558.31</v>
      </c>
      <c r="Z34" s="9">
        <f>ROUND(SUMIFS('Odoo Items'!$G$5:$G$4331,'Odoo Items'!$J$5:$J$4331,A34,'Odoo Items'!$C$5:$C$4331,"&lt;="&amp;Cover!$C$15),2)</f>
        <v>2610</v>
      </c>
      <c r="AA34">
        <f>COUNTIFS('Bank Lines'!$G$5:$G$1640,A34,'Bank Lines'!$J$5:$J$1640,1,'Bank Lines'!$C$5:$C$1640,"&lt;="&amp;Cover!$C$15)</f>
        <v>1</v>
      </c>
      <c r="AB34">
        <f>COUNTIFS('Odoo Items'!$J$5:$J$4331,A34,'Odoo Items'!$C$5:$C$4331,"&lt;="&amp;Cover!$C$15)</f>
        <v>20</v>
      </c>
      <c r="AC34" t="str">
        <f>IF(AND(AA34=0,AB34=0),"",IF(AA34=0,"ODOO-ONLY",IF(AB34=0,"BANK-ONLY","BOTH")))</f>
        <v>BOTH</v>
      </c>
      <c r="AD34" s="9">
        <f>IF(AC34="BOTH",ROUND(Y34-Z34,2),0)</f>
        <v>-51.69</v>
      </c>
    </row>
    <row r="35">
      <c r="A35" t="inlineStr">
        <is>
          <t>G00031</t>
        </is>
      </c>
      <c r="B35" t="inlineStr">
        <is>
          <t>OPS</t>
        </is>
      </c>
      <c r="C35" t="inlineStr">
        <is>
          <t>R02</t>
        </is>
      </c>
      <c r="D35" t="inlineStr">
        <is>
          <t>STRIPE-FEE</t>
        </is>
      </c>
      <c r="E35" t="inlineStr"/>
      <c r="G35" t="inlineStr">
        <is>
          <t>22 report lines; fees 54.36</t>
        </is>
      </c>
      <c r="H35">
        <f>COUNTIFS('Bank Lines'!$G$5:$G$1640,A35,'Bank Lines'!$J$5:$J$1640,1)</f>
        <v>1</v>
      </c>
      <c r="I35">
        <f>COUNTIFS('Odoo Items'!$J$5:$J$4331,A35)</f>
        <v>22</v>
      </c>
      <c r="J35" s="9">
        <f>ROUND(SUMIFS('Bank Lines'!$E$5:$E$1640,'Bank Lines'!$G$5:$G$1640,A35,'Bank Lines'!$J$5:$J$1640,1),2)</f>
        <v>2540.64</v>
      </c>
      <c r="K35" s="9">
        <f>ROUND(SUMIFS('Odoo Items'!$G$5:$G$4331,'Odoo Items'!$J$5:$J$4331,A35),2)</f>
        <v>2595</v>
      </c>
      <c r="L35" s="9">
        <f>ROUND(J35-K35,2)</f>
        <v>-54.36</v>
      </c>
      <c r="M35" s="9">
        <f>ROUND(SUMIFS('Bank Lines'!$E$5:$E$1640,'Bank Lines'!$G$5:$G$1640,A35,'Bank Lines'!$J$5:$J$1640,1,'Bank Lines'!$C$5:$C$1640,"&lt;="&amp;Cover!$C$13),2)</f>
        <v>2540.64</v>
      </c>
      <c r="N35" s="9">
        <f>ROUND(SUMIFS('Odoo Items'!$G$5:$G$4331,'Odoo Items'!$J$5:$J$4331,A35,'Odoo Items'!$C$5:$C$4331,"&lt;="&amp;Cover!$C$13),2)</f>
        <v>2595</v>
      </c>
      <c r="O35">
        <f>COUNTIFS('Bank Lines'!$G$5:$G$1640,A35,'Bank Lines'!$J$5:$J$1640,1,'Bank Lines'!$C$5:$C$1640,"&lt;="&amp;Cover!$C$13)</f>
        <v>1</v>
      </c>
      <c r="P35">
        <f>COUNTIFS('Odoo Items'!$J$5:$J$4331,A35,'Odoo Items'!$C$5:$C$4331,"&lt;="&amp;Cover!$C$13)</f>
        <v>22</v>
      </c>
      <c r="Q35" t="str">
        <f>IF(AND(O35=0,P35=0),"",IF(O35=0,"ODOO-ONLY",IF(P35=0,"BANK-ONLY","BOTH")))</f>
        <v>BOTH</v>
      </c>
      <c r="R35" s="9">
        <f>IF(Q35="BOTH",ROUND(M35-N35,2),0)</f>
        <v>-54.36</v>
      </c>
      <c r="S35" s="9">
        <f>ROUND(SUMIFS('Bank Lines'!$E$5:$E$1640,'Bank Lines'!$G$5:$G$1640,A35,'Bank Lines'!$J$5:$J$1640,1,'Bank Lines'!$C$5:$C$1640,"&lt;="&amp;Cover!$C$14),2)</f>
        <v>2540.64</v>
      </c>
      <c r="T35" s="9">
        <f>ROUND(SUMIFS('Odoo Items'!$G$5:$G$4331,'Odoo Items'!$J$5:$J$4331,A35,'Odoo Items'!$C$5:$C$4331,"&lt;="&amp;Cover!$C$14),2)</f>
        <v>2595</v>
      </c>
      <c r="U35">
        <f>COUNTIFS('Bank Lines'!$G$5:$G$1640,A35,'Bank Lines'!$J$5:$J$1640,1,'Bank Lines'!$C$5:$C$1640,"&lt;="&amp;Cover!$C$14)</f>
        <v>1</v>
      </c>
      <c r="V35">
        <f>COUNTIFS('Odoo Items'!$J$5:$J$4331,A35,'Odoo Items'!$C$5:$C$4331,"&lt;="&amp;Cover!$C$14)</f>
        <v>22</v>
      </c>
      <c r="W35" t="str">
        <f>IF(AND(U35=0,V35=0),"",IF(U35=0,"ODOO-ONLY",IF(V35=0,"BANK-ONLY","BOTH")))</f>
        <v>BOTH</v>
      </c>
      <c r="X35" s="9">
        <f>IF(W35="BOTH",ROUND(S35-T35,2),0)</f>
        <v>-54.36</v>
      </c>
      <c r="Y35" s="9">
        <f>ROUND(SUMIFS('Bank Lines'!$E$5:$E$1640,'Bank Lines'!$G$5:$G$1640,A35,'Bank Lines'!$J$5:$J$1640,1,'Bank Lines'!$C$5:$C$1640,"&lt;="&amp;Cover!$C$15),2)</f>
        <v>2540.64</v>
      </c>
      <c r="Z35" s="9">
        <f>ROUND(SUMIFS('Odoo Items'!$G$5:$G$4331,'Odoo Items'!$J$5:$J$4331,A35,'Odoo Items'!$C$5:$C$4331,"&lt;="&amp;Cover!$C$15),2)</f>
        <v>2595</v>
      </c>
      <c r="AA35">
        <f>COUNTIFS('Bank Lines'!$G$5:$G$1640,A35,'Bank Lines'!$J$5:$J$1640,1,'Bank Lines'!$C$5:$C$1640,"&lt;="&amp;Cover!$C$15)</f>
        <v>1</v>
      </c>
      <c r="AB35">
        <f>COUNTIFS('Odoo Items'!$J$5:$J$4331,A35,'Odoo Items'!$C$5:$C$4331,"&lt;="&amp;Cover!$C$15)</f>
        <v>22</v>
      </c>
      <c r="AC35" t="str">
        <f>IF(AND(AA35=0,AB35=0),"",IF(AA35=0,"ODOO-ONLY",IF(AB35=0,"BANK-ONLY","BOTH")))</f>
        <v>BOTH</v>
      </c>
      <c r="AD35" s="9">
        <f>IF(AC35="BOTH",ROUND(Y35-Z35,2),0)</f>
        <v>-54.36</v>
      </c>
    </row>
    <row r="36">
      <c r="A36" t="inlineStr">
        <is>
          <t>G00032</t>
        </is>
      </c>
      <c r="B36" t="inlineStr">
        <is>
          <t>OPS</t>
        </is>
      </c>
      <c r="C36" t="inlineStr">
        <is>
          <t>R02</t>
        </is>
      </c>
      <c r="D36" t="inlineStr">
        <is>
          <t>STRIPE-FEE</t>
        </is>
      </c>
      <c r="E36" t="inlineStr"/>
      <c r="G36" t="inlineStr">
        <is>
          <t>33 report lines; fees 89.11</t>
        </is>
      </c>
      <c r="H36">
        <f>COUNTIFS('Bank Lines'!$G$5:$G$1640,A36,'Bank Lines'!$J$5:$J$1640,1)</f>
        <v>1</v>
      </c>
      <c r="I36">
        <f>COUNTIFS('Odoo Items'!$J$5:$J$4331,A36)</f>
        <v>33</v>
      </c>
      <c r="J36" s="9">
        <f>ROUND(SUMIFS('Bank Lines'!$E$5:$E$1640,'Bank Lines'!$G$5:$G$1640,A36,'Bank Lines'!$J$5:$J$1640,1),2)</f>
        <v>4435.89</v>
      </c>
      <c r="K36" s="9">
        <f>ROUND(SUMIFS('Odoo Items'!$G$5:$G$4331,'Odoo Items'!$J$5:$J$4331,A36),2)</f>
        <v>4525</v>
      </c>
      <c r="L36" s="9">
        <f>ROUND(J36-K36,2)</f>
        <v>-89.11</v>
      </c>
      <c r="M36" s="9">
        <f>ROUND(SUMIFS('Bank Lines'!$E$5:$E$1640,'Bank Lines'!$G$5:$G$1640,A36,'Bank Lines'!$J$5:$J$1640,1,'Bank Lines'!$C$5:$C$1640,"&lt;="&amp;Cover!$C$13),2)</f>
        <v>4435.89</v>
      </c>
      <c r="N36" s="9">
        <f>ROUND(SUMIFS('Odoo Items'!$G$5:$G$4331,'Odoo Items'!$J$5:$J$4331,A36,'Odoo Items'!$C$5:$C$4331,"&lt;="&amp;Cover!$C$13),2)</f>
        <v>4525</v>
      </c>
      <c r="O36">
        <f>COUNTIFS('Bank Lines'!$G$5:$G$1640,A36,'Bank Lines'!$J$5:$J$1640,1,'Bank Lines'!$C$5:$C$1640,"&lt;="&amp;Cover!$C$13)</f>
        <v>1</v>
      </c>
      <c r="P36">
        <f>COUNTIFS('Odoo Items'!$J$5:$J$4331,A36,'Odoo Items'!$C$5:$C$4331,"&lt;="&amp;Cover!$C$13)</f>
        <v>33</v>
      </c>
      <c r="Q36" t="str">
        <f>IF(AND(O36=0,P36=0),"",IF(O36=0,"ODOO-ONLY",IF(P36=0,"BANK-ONLY","BOTH")))</f>
        <v>BOTH</v>
      </c>
      <c r="R36" s="9">
        <f>IF(Q36="BOTH",ROUND(M36-N36,2),0)</f>
        <v>-89.11</v>
      </c>
      <c r="S36" s="9">
        <f>ROUND(SUMIFS('Bank Lines'!$E$5:$E$1640,'Bank Lines'!$G$5:$G$1640,A36,'Bank Lines'!$J$5:$J$1640,1,'Bank Lines'!$C$5:$C$1640,"&lt;="&amp;Cover!$C$14),2)</f>
        <v>4435.89</v>
      </c>
      <c r="T36" s="9">
        <f>ROUND(SUMIFS('Odoo Items'!$G$5:$G$4331,'Odoo Items'!$J$5:$J$4331,A36,'Odoo Items'!$C$5:$C$4331,"&lt;="&amp;Cover!$C$14),2)</f>
        <v>4525</v>
      </c>
      <c r="U36">
        <f>COUNTIFS('Bank Lines'!$G$5:$G$1640,A36,'Bank Lines'!$J$5:$J$1640,1,'Bank Lines'!$C$5:$C$1640,"&lt;="&amp;Cover!$C$14)</f>
        <v>1</v>
      </c>
      <c r="V36">
        <f>COUNTIFS('Odoo Items'!$J$5:$J$4331,A36,'Odoo Items'!$C$5:$C$4331,"&lt;="&amp;Cover!$C$14)</f>
        <v>33</v>
      </c>
      <c r="W36" t="str">
        <f>IF(AND(U36=0,V36=0),"",IF(U36=0,"ODOO-ONLY",IF(V36=0,"BANK-ONLY","BOTH")))</f>
        <v>BOTH</v>
      </c>
      <c r="X36" s="9">
        <f>IF(W36="BOTH",ROUND(S36-T36,2),0)</f>
        <v>-89.11</v>
      </c>
      <c r="Y36" s="9">
        <f>ROUND(SUMIFS('Bank Lines'!$E$5:$E$1640,'Bank Lines'!$G$5:$G$1640,A36,'Bank Lines'!$J$5:$J$1640,1,'Bank Lines'!$C$5:$C$1640,"&lt;="&amp;Cover!$C$15),2)</f>
        <v>4435.89</v>
      </c>
      <c r="Z36" s="9">
        <f>ROUND(SUMIFS('Odoo Items'!$G$5:$G$4331,'Odoo Items'!$J$5:$J$4331,A36,'Odoo Items'!$C$5:$C$4331,"&lt;="&amp;Cover!$C$15),2)</f>
        <v>4525</v>
      </c>
      <c r="AA36">
        <f>COUNTIFS('Bank Lines'!$G$5:$G$1640,A36,'Bank Lines'!$J$5:$J$1640,1,'Bank Lines'!$C$5:$C$1640,"&lt;="&amp;Cover!$C$15)</f>
        <v>1</v>
      </c>
      <c r="AB36">
        <f>COUNTIFS('Odoo Items'!$J$5:$J$4331,A36,'Odoo Items'!$C$5:$C$4331,"&lt;="&amp;Cover!$C$15)</f>
        <v>33</v>
      </c>
      <c r="AC36" t="str">
        <f>IF(AND(AA36=0,AB36=0),"",IF(AA36=0,"ODOO-ONLY",IF(AB36=0,"BANK-ONLY","BOTH")))</f>
        <v>BOTH</v>
      </c>
      <c r="AD36" s="9">
        <f>IF(AC36="BOTH",ROUND(Y36-Z36,2),0)</f>
        <v>-89.11</v>
      </c>
    </row>
    <row r="37">
      <c r="A37" t="inlineStr">
        <is>
          <t>G00033</t>
        </is>
      </c>
      <c r="B37" t="inlineStr">
        <is>
          <t>OPS</t>
        </is>
      </c>
      <c r="C37" t="inlineStr">
        <is>
          <t>R02</t>
        </is>
      </c>
      <c r="D37" t="inlineStr">
        <is>
          <t>STRIPE-FEE</t>
        </is>
      </c>
      <c r="E37" t="inlineStr"/>
      <c r="G37" t="inlineStr">
        <is>
          <t>38 report lines; fees 99.35</t>
        </is>
      </c>
      <c r="H37">
        <f>COUNTIFS('Bank Lines'!$G$5:$G$1640,A37,'Bank Lines'!$J$5:$J$1640,1)</f>
        <v>1</v>
      </c>
      <c r="I37">
        <f>COUNTIFS('Odoo Items'!$J$5:$J$4331,A37)</f>
        <v>38</v>
      </c>
      <c r="J37" s="9">
        <f>ROUND(SUMIFS('Bank Lines'!$E$5:$E$1640,'Bank Lines'!$G$5:$G$1640,A37,'Bank Lines'!$J$5:$J$1640,1),2)</f>
        <v>4925.65</v>
      </c>
      <c r="K37" s="9">
        <f>ROUND(SUMIFS('Odoo Items'!$G$5:$G$4331,'Odoo Items'!$J$5:$J$4331,A37),2)</f>
        <v>5025</v>
      </c>
      <c r="L37" s="9">
        <f>ROUND(J37-K37,2)</f>
        <v>-99.35</v>
      </c>
      <c r="M37" s="9">
        <f>ROUND(SUMIFS('Bank Lines'!$E$5:$E$1640,'Bank Lines'!$G$5:$G$1640,A37,'Bank Lines'!$J$5:$J$1640,1,'Bank Lines'!$C$5:$C$1640,"&lt;="&amp;Cover!$C$13),2)</f>
        <v>4925.65</v>
      </c>
      <c r="N37" s="9">
        <f>ROUND(SUMIFS('Odoo Items'!$G$5:$G$4331,'Odoo Items'!$J$5:$J$4331,A37,'Odoo Items'!$C$5:$C$4331,"&lt;="&amp;Cover!$C$13),2)</f>
        <v>5025</v>
      </c>
      <c r="O37">
        <f>COUNTIFS('Bank Lines'!$G$5:$G$1640,A37,'Bank Lines'!$J$5:$J$1640,1,'Bank Lines'!$C$5:$C$1640,"&lt;="&amp;Cover!$C$13)</f>
        <v>1</v>
      </c>
      <c r="P37">
        <f>COUNTIFS('Odoo Items'!$J$5:$J$4331,A37,'Odoo Items'!$C$5:$C$4331,"&lt;="&amp;Cover!$C$13)</f>
        <v>38</v>
      </c>
      <c r="Q37" t="str">
        <f>IF(AND(O37=0,P37=0),"",IF(O37=0,"ODOO-ONLY",IF(P37=0,"BANK-ONLY","BOTH")))</f>
        <v>BOTH</v>
      </c>
      <c r="R37" s="9">
        <f>IF(Q37="BOTH",ROUND(M37-N37,2),0)</f>
        <v>-99.35</v>
      </c>
      <c r="S37" s="9">
        <f>ROUND(SUMIFS('Bank Lines'!$E$5:$E$1640,'Bank Lines'!$G$5:$G$1640,A37,'Bank Lines'!$J$5:$J$1640,1,'Bank Lines'!$C$5:$C$1640,"&lt;="&amp;Cover!$C$14),2)</f>
        <v>4925.65</v>
      </c>
      <c r="T37" s="9">
        <f>ROUND(SUMIFS('Odoo Items'!$G$5:$G$4331,'Odoo Items'!$J$5:$J$4331,A37,'Odoo Items'!$C$5:$C$4331,"&lt;="&amp;Cover!$C$14),2)</f>
        <v>5025</v>
      </c>
      <c r="U37">
        <f>COUNTIFS('Bank Lines'!$G$5:$G$1640,A37,'Bank Lines'!$J$5:$J$1640,1,'Bank Lines'!$C$5:$C$1640,"&lt;="&amp;Cover!$C$14)</f>
        <v>1</v>
      </c>
      <c r="V37">
        <f>COUNTIFS('Odoo Items'!$J$5:$J$4331,A37,'Odoo Items'!$C$5:$C$4331,"&lt;="&amp;Cover!$C$14)</f>
        <v>38</v>
      </c>
      <c r="W37" t="str">
        <f>IF(AND(U37=0,V37=0),"",IF(U37=0,"ODOO-ONLY",IF(V37=0,"BANK-ONLY","BOTH")))</f>
        <v>BOTH</v>
      </c>
      <c r="X37" s="9">
        <f>IF(W37="BOTH",ROUND(S37-T37,2),0)</f>
        <v>-99.35</v>
      </c>
      <c r="Y37" s="9">
        <f>ROUND(SUMIFS('Bank Lines'!$E$5:$E$1640,'Bank Lines'!$G$5:$G$1640,A37,'Bank Lines'!$J$5:$J$1640,1,'Bank Lines'!$C$5:$C$1640,"&lt;="&amp;Cover!$C$15),2)</f>
        <v>4925.65</v>
      </c>
      <c r="Z37" s="9">
        <f>ROUND(SUMIFS('Odoo Items'!$G$5:$G$4331,'Odoo Items'!$J$5:$J$4331,A37,'Odoo Items'!$C$5:$C$4331,"&lt;="&amp;Cover!$C$15),2)</f>
        <v>5025</v>
      </c>
      <c r="AA37">
        <f>COUNTIFS('Bank Lines'!$G$5:$G$1640,A37,'Bank Lines'!$J$5:$J$1640,1,'Bank Lines'!$C$5:$C$1640,"&lt;="&amp;Cover!$C$15)</f>
        <v>1</v>
      </c>
      <c r="AB37">
        <f>COUNTIFS('Odoo Items'!$J$5:$J$4331,A37,'Odoo Items'!$C$5:$C$4331,"&lt;="&amp;Cover!$C$15)</f>
        <v>38</v>
      </c>
      <c r="AC37" t="str">
        <f>IF(AND(AA37=0,AB37=0),"",IF(AA37=0,"ODOO-ONLY",IF(AB37=0,"BANK-ONLY","BOTH")))</f>
        <v>BOTH</v>
      </c>
      <c r="AD37" s="9">
        <f>IF(AC37="BOTH",ROUND(Y37-Z37,2),0)</f>
        <v>-99.35</v>
      </c>
    </row>
    <row r="38">
      <c r="A38" t="inlineStr">
        <is>
          <t>G00034</t>
        </is>
      </c>
      <c r="B38" t="inlineStr">
        <is>
          <t>OPS</t>
        </is>
      </c>
      <c r="C38" t="inlineStr">
        <is>
          <t>R02</t>
        </is>
      </c>
      <c r="D38" t="inlineStr">
        <is>
          <t>STRIPE-FEE</t>
        </is>
      </c>
      <c r="E38" t="inlineStr"/>
      <c r="G38" t="inlineStr">
        <is>
          <t>29 report lines; fees 78.38</t>
        </is>
      </c>
      <c r="H38">
        <f>COUNTIFS('Bank Lines'!$G$5:$G$1640,A38,'Bank Lines'!$J$5:$J$1640,1)</f>
        <v>1</v>
      </c>
      <c r="I38">
        <f>COUNTIFS('Odoo Items'!$J$5:$J$4331,A38)</f>
        <v>29</v>
      </c>
      <c r="J38" s="9">
        <f>ROUND(SUMIFS('Bank Lines'!$E$5:$E$1640,'Bank Lines'!$G$5:$G$1640,A38,'Bank Lines'!$J$5:$J$1640,1),2)</f>
        <v>3901.62</v>
      </c>
      <c r="K38" s="9">
        <f>ROUND(SUMIFS('Odoo Items'!$G$5:$G$4331,'Odoo Items'!$J$5:$J$4331,A38),2)</f>
        <v>3980</v>
      </c>
      <c r="L38" s="9">
        <f>ROUND(J38-K38,2)</f>
        <v>-78.38</v>
      </c>
      <c r="M38" s="9">
        <f>ROUND(SUMIFS('Bank Lines'!$E$5:$E$1640,'Bank Lines'!$G$5:$G$1640,A38,'Bank Lines'!$J$5:$J$1640,1,'Bank Lines'!$C$5:$C$1640,"&lt;="&amp;Cover!$C$13),2)</f>
        <v>3901.62</v>
      </c>
      <c r="N38" s="9">
        <f>ROUND(SUMIFS('Odoo Items'!$G$5:$G$4331,'Odoo Items'!$J$5:$J$4331,A38,'Odoo Items'!$C$5:$C$4331,"&lt;="&amp;Cover!$C$13),2)</f>
        <v>3980</v>
      </c>
      <c r="O38">
        <f>COUNTIFS('Bank Lines'!$G$5:$G$1640,A38,'Bank Lines'!$J$5:$J$1640,1,'Bank Lines'!$C$5:$C$1640,"&lt;="&amp;Cover!$C$13)</f>
        <v>1</v>
      </c>
      <c r="P38">
        <f>COUNTIFS('Odoo Items'!$J$5:$J$4331,A38,'Odoo Items'!$C$5:$C$4331,"&lt;="&amp;Cover!$C$13)</f>
        <v>29</v>
      </c>
      <c r="Q38" t="str">
        <f>IF(AND(O38=0,P38=0),"",IF(O38=0,"ODOO-ONLY",IF(P38=0,"BANK-ONLY","BOTH")))</f>
        <v>BOTH</v>
      </c>
      <c r="R38" s="9">
        <f>IF(Q38="BOTH",ROUND(M38-N38,2),0)</f>
        <v>-78.38</v>
      </c>
      <c r="S38" s="9">
        <f>ROUND(SUMIFS('Bank Lines'!$E$5:$E$1640,'Bank Lines'!$G$5:$G$1640,A38,'Bank Lines'!$J$5:$J$1640,1,'Bank Lines'!$C$5:$C$1640,"&lt;="&amp;Cover!$C$14),2)</f>
        <v>3901.62</v>
      </c>
      <c r="T38" s="9">
        <f>ROUND(SUMIFS('Odoo Items'!$G$5:$G$4331,'Odoo Items'!$J$5:$J$4331,A38,'Odoo Items'!$C$5:$C$4331,"&lt;="&amp;Cover!$C$14),2)</f>
        <v>3980</v>
      </c>
      <c r="U38">
        <f>COUNTIFS('Bank Lines'!$G$5:$G$1640,A38,'Bank Lines'!$J$5:$J$1640,1,'Bank Lines'!$C$5:$C$1640,"&lt;="&amp;Cover!$C$14)</f>
        <v>1</v>
      </c>
      <c r="V38">
        <f>COUNTIFS('Odoo Items'!$J$5:$J$4331,A38,'Odoo Items'!$C$5:$C$4331,"&lt;="&amp;Cover!$C$14)</f>
        <v>29</v>
      </c>
      <c r="W38" t="str">
        <f>IF(AND(U38=0,V38=0),"",IF(U38=0,"ODOO-ONLY",IF(V38=0,"BANK-ONLY","BOTH")))</f>
        <v>BOTH</v>
      </c>
      <c r="X38" s="9">
        <f>IF(W38="BOTH",ROUND(S38-T38,2),0)</f>
        <v>-78.38</v>
      </c>
      <c r="Y38" s="9">
        <f>ROUND(SUMIFS('Bank Lines'!$E$5:$E$1640,'Bank Lines'!$G$5:$G$1640,A38,'Bank Lines'!$J$5:$J$1640,1,'Bank Lines'!$C$5:$C$1640,"&lt;="&amp;Cover!$C$15),2)</f>
        <v>3901.62</v>
      </c>
      <c r="Z38" s="9">
        <f>ROUND(SUMIFS('Odoo Items'!$G$5:$G$4331,'Odoo Items'!$J$5:$J$4331,A38,'Odoo Items'!$C$5:$C$4331,"&lt;="&amp;Cover!$C$15),2)</f>
        <v>3980</v>
      </c>
      <c r="AA38">
        <f>COUNTIFS('Bank Lines'!$G$5:$G$1640,A38,'Bank Lines'!$J$5:$J$1640,1,'Bank Lines'!$C$5:$C$1640,"&lt;="&amp;Cover!$C$15)</f>
        <v>1</v>
      </c>
      <c r="AB38">
        <f>COUNTIFS('Odoo Items'!$J$5:$J$4331,A38,'Odoo Items'!$C$5:$C$4331,"&lt;="&amp;Cover!$C$15)</f>
        <v>29</v>
      </c>
      <c r="AC38" t="str">
        <f>IF(AND(AA38=0,AB38=0),"",IF(AA38=0,"ODOO-ONLY",IF(AB38=0,"BANK-ONLY","BOTH")))</f>
        <v>BOTH</v>
      </c>
      <c r="AD38" s="9">
        <f>IF(AC38="BOTH",ROUND(Y38-Z38,2),0)</f>
        <v>-78.38</v>
      </c>
    </row>
    <row r="39">
      <c r="A39" t="inlineStr">
        <is>
          <t>G00035</t>
        </is>
      </c>
      <c r="B39" t="inlineStr">
        <is>
          <t>OPS</t>
        </is>
      </c>
      <c r="C39" t="inlineStr">
        <is>
          <t>R02</t>
        </is>
      </c>
      <c r="D39" t="inlineStr">
        <is>
          <t>STRIPE-FEE</t>
        </is>
      </c>
      <c r="E39" t="inlineStr"/>
      <c r="G39" t="inlineStr">
        <is>
          <t>20 report lines; fees 50.83</t>
        </is>
      </c>
      <c r="H39">
        <f>COUNTIFS('Bank Lines'!$G$5:$G$1640,A39,'Bank Lines'!$J$5:$J$1640,1)</f>
        <v>1</v>
      </c>
      <c r="I39">
        <f>COUNTIFS('Odoo Items'!$J$5:$J$4331,A39)</f>
        <v>20</v>
      </c>
      <c r="J39" s="9">
        <f>ROUND(SUMIFS('Bank Lines'!$E$5:$E$1640,'Bank Lines'!$G$5:$G$1640,A39,'Bank Lines'!$J$5:$J$1640,1),2)</f>
        <v>2509.17</v>
      </c>
      <c r="K39" s="9">
        <f>ROUND(SUMIFS('Odoo Items'!$G$5:$G$4331,'Odoo Items'!$J$5:$J$4331,A39),2)</f>
        <v>2560</v>
      </c>
      <c r="L39" s="9">
        <f>ROUND(J39-K39,2)</f>
        <v>-50.83</v>
      </c>
      <c r="M39" s="9">
        <f>ROUND(SUMIFS('Bank Lines'!$E$5:$E$1640,'Bank Lines'!$G$5:$G$1640,A39,'Bank Lines'!$J$5:$J$1640,1,'Bank Lines'!$C$5:$C$1640,"&lt;="&amp;Cover!$C$13),2)</f>
        <v>2509.17</v>
      </c>
      <c r="N39" s="9">
        <f>ROUND(SUMIFS('Odoo Items'!$G$5:$G$4331,'Odoo Items'!$J$5:$J$4331,A39,'Odoo Items'!$C$5:$C$4331,"&lt;="&amp;Cover!$C$13),2)</f>
        <v>2560</v>
      </c>
      <c r="O39">
        <f>COUNTIFS('Bank Lines'!$G$5:$G$1640,A39,'Bank Lines'!$J$5:$J$1640,1,'Bank Lines'!$C$5:$C$1640,"&lt;="&amp;Cover!$C$13)</f>
        <v>1</v>
      </c>
      <c r="P39">
        <f>COUNTIFS('Odoo Items'!$J$5:$J$4331,A39,'Odoo Items'!$C$5:$C$4331,"&lt;="&amp;Cover!$C$13)</f>
        <v>20</v>
      </c>
      <c r="Q39" t="str">
        <f>IF(AND(O39=0,P39=0),"",IF(O39=0,"ODOO-ONLY",IF(P39=0,"BANK-ONLY","BOTH")))</f>
        <v>BOTH</v>
      </c>
      <c r="R39" s="9">
        <f>IF(Q39="BOTH",ROUND(M39-N39,2),0)</f>
        <v>-50.83</v>
      </c>
      <c r="S39" s="9">
        <f>ROUND(SUMIFS('Bank Lines'!$E$5:$E$1640,'Bank Lines'!$G$5:$G$1640,A39,'Bank Lines'!$J$5:$J$1640,1,'Bank Lines'!$C$5:$C$1640,"&lt;="&amp;Cover!$C$14),2)</f>
        <v>2509.17</v>
      </c>
      <c r="T39" s="9">
        <f>ROUND(SUMIFS('Odoo Items'!$G$5:$G$4331,'Odoo Items'!$J$5:$J$4331,A39,'Odoo Items'!$C$5:$C$4331,"&lt;="&amp;Cover!$C$14),2)</f>
        <v>2560</v>
      </c>
      <c r="U39">
        <f>COUNTIFS('Bank Lines'!$G$5:$G$1640,A39,'Bank Lines'!$J$5:$J$1640,1,'Bank Lines'!$C$5:$C$1640,"&lt;="&amp;Cover!$C$14)</f>
        <v>1</v>
      </c>
      <c r="V39">
        <f>COUNTIFS('Odoo Items'!$J$5:$J$4331,A39,'Odoo Items'!$C$5:$C$4331,"&lt;="&amp;Cover!$C$14)</f>
        <v>20</v>
      </c>
      <c r="W39" t="str">
        <f>IF(AND(U39=0,V39=0),"",IF(U39=0,"ODOO-ONLY",IF(V39=0,"BANK-ONLY","BOTH")))</f>
        <v>BOTH</v>
      </c>
      <c r="X39" s="9">
        <f>IF(W39="BOTH",ROUND(S39-T39,2),0)</f>
        <v>-50.83</v>
      </c>
      <c r="Y39" s="9">
        <f>ROUND(SUMIFS('Bank Lines'!$E$5:$E$1640,'Bank Lines'!$G$5:$G$1640,A39,'Bank Lines'!$J$5:$J$1640,1,'Bank Lines'!$C$5:$C$1640,"&lt;="&amp;Cover!$C$15),2)</f>
        <v>2509.17</v>
      </c>
      <c r="Z39" s="9">
        <f>ROUND(SUMIFS('Odoo Items'!$G$5:$G$4331,'Odoo Items'!$J$5:$J$4331,A39,'Odoo Items'!$C$5:$C$4331,"&lt;="&amp;Cover!$C$15),2)</f>
        <v>2560</v>
      </c>
      <c r="AA39">
        <f>COUNTIFS('Bank Lines'!$G$5:$G$1640,A39,'Bank Lines'!$J$5:$J$1640,1,'Bank Lines'!$C$5:$C$1640,"&lt;="&amp;Cover!$C$15)</f>
        <v>1</v>
      </c>
      <c r="AB39">
        <f>COUNTIFS('Odoo Items'!$J$5:$J$4331,A39,'Odoo Items'!$C$5:$C$4331,"&lt;="&amp;Cover!$C$15)</f>
        <v>20</v>
      </c>
      <c r="AC39" t="str">
        <f>IF(AND(AA39=0,AB39=0),"",IF(AA39=0,"ODOO-ONLY",IF(AB39=0,"BANK-ONLY","BOTH")))</f>
        <v>BOTH</v>
      </c>
      <c r="AD39" s="9">
        <f>IF(AC39="BOTH",ROUND(Y39-Z39,2),0)</f>
        <v>-50.83</v>
      </c>
    </row>
    <row r="40">
      <c r="A40" t="inlineStr">
        <is>
          <t>G00036</t>
        </is>
      </c>
      <c r="B40" t="inlineStr">
        <is>
          <t>OPS</t>
        </is>
      </c>
      <c r="C40" t="inlineStr">
        <is>
          <t>R02</t>
        </is>
      </c>
      <c r="D40" t="inlineStr">
        <is>
          <t>STRIPE-FEE</t>
        </is>
      </c>
      <c r="E40" t="inlineStr"/>
      <c r="G40" t="inlineStr">
        <is>
          <t>25 report lines; fees 61.51</t>
        </is>
      </c>
      <c r="H40">
        <f>COUNTIFS('Bank Lines'!$G$5:$G$1640,A40,'Bank Lines'!$J$5:$J$1640,1)</f>
        <v>1</v>
      </c>
      <c r="I40">
        <f>COUNTIFS('Odoo Items'!$J$5:$J$4331,A40)</f>
        <v>25</v>
      </c>
      <c r="J40" s="9">
        <f>ROUND(SUMIFS('Bank Lines'!$E$5:$E$1640,'Bank Lines'!$G$5:$G$1640,A40,'Bank Lines'!$J$5:$J$1640,1),2)</f>
        <v>3023.49</v>
      </c>
      <c r="K40" s="9">
        <f>ROUND(SUMIFS('Odoo Items'!$G$5:$G$4331,'Odoo Items'!$J$5:$J$4331,A40),2)</f>
        <v>3085</v>
      </c>
      <c r="L40" s="9">
        <f>ROUND(J40-K40,2)</f>
        <v>-61.51</v>
      </c>
      <c r="M40" s="9">
        <f>ROUND(SUMIFS('Bank Lines'!$E$5:$E$1640,'Bank Lines'!$G$5:$G$1640,A40,'Bank Lines'!$J$5:$J$1640,1,'Bank Lines'!$C$5:$C$1640,"&lt;="&amp;Cover!$C$13),2)</f>
        <v>3023.49</v>
      </c>
      <c r="N40" s="9">
        <f>ROUND(SUMIFS('Odoo Items'!$G$5:$G$4331,'Odoo Items'!$J$5:$J$4331,A40,'Odoo Items'!$C$5:$C$4331,"&lt;="&amp;Cover!$C$13),2)</f>
        <v>3085</v>
      </c>
      <c r="O40">
        <f>COUNTIFS('Bank Lines'!$G$5:$G$1640,A40,'Bank Lines'!$J$5:$J$1640,1,'Bank Lines'!$C$5:$C$1640,"&lt;="&amp;Cover!$C$13)</f>
        <v>1</v>
      </c>
      <c r="P40">
        <f>COUNTIFS('Odoo Items'!$J$5:$J$4331,A40,'Odoo Items'!$C$5:$C$4331,"&lt;="&amp;Cover!$C$13)</f>
        <v>25</v>
      </c>
      <c r="Q40" t="str">
        <f>IF(AND(O40=0,P40=0),"",IF(O40=0,"ODOO-ONLY",IF(P40=0,"BANK-ONLY","BOTH")))</f>
        <v>BOTH</v>
      </c>
      <c r="R40" s="9">
        <f>IF(Q40="BOTH",ROUND(M40-N40,2),0)</f>
        <v>-61.51</v>
      </c>
      <c r="S40" s="9">
        <f>ROUND(SUMIFS('Bank Lines'!$E$5:$E$1640,'Bank Lines'!$G$5:$G$1640,A40,'Bank Lines'!$J$5:$J$1640,1,'Bank Lines'!$C$5:$C$1640,"&lt;="&amp;Cover!$C$14),2)</f>
        <v>3023.49</v>
      </c>
      <c r="T40" s="9">
        <f>ROUND(SUMIFS('Odoo Items'!$G$5:$G$4331,'Odoo Items'!$J$5:$J$4331,A40,'Odoo Items'!$C$5:$C$4331,"&lt;="&amp;Cover!$C$14),2)</f>
        <v>3085</v>
      </c>
      <c r="U40">
        <f>COUNTIFS('Bank Lines'!$G$5:$G$1640,A40,'Bank Lines'!$J$5:$J$1640,1,'Bank Lines'!$C$5:$C$1640,"&lt;="&amp;Cover!$C$14)</f>
        <v>1</v>
      </c>
      <c r="V40">
        <f>COUNTIFS('Odoo Items'!$J$5:$J$4331,A40,'Odoo Items'!$C$5:$C$4331,"&lt;="&amp;Cover!$C$14)</f>
        <v>25</v>
      </c>
      <c r="W40" t="str">
        <f>IF(AND(U40=0,V40=0),"",IF(U40=0,"ODOO-ONLY",IF(V40=0,"BANK-ONLY","BOTH")))</f>
        <v>BOTH</v>
      </c>
      <c r="X40" s="9">
        <f>IF(W40="BOTH",ROUND(S40-T40,2),0)</f>
        <v>-61.51</v>
      </c>
      <c r="Y40" s="9">
        <f>ROUND(SUMIFS('Bank Lines'!$E$5:$E$1640,'Bank Lines'!$G$5:$G$1640,A40,'Bank Lines'!$J$5:$J$1640,1,'Bank Lines'!$C$5:$C$1640,"&lt;="&amp;Cover!$C$15),2)</f>
        <v>3023.49</v>
      </c>
      <c r="Z40" s="9">
        <f>ROUND(SUMIFS('Odoo Items'!$G$5:$G$4331,'Odoo Items'!$J$5:$J$4331,A40,'Odoo Items'!$C$5:$C$4331,"&lt;="&amp;Cover!$C$15),2)</f>
        <v>3085</v>
      </c>
      <c r="AA40">
        <f>COUNTIFS('Bank Lines'!$G$5:$G$1640,A40,'Bank Lines'!$J$5:$J$1640,1,'Bank Lines'!$C$5:$C$1640,"&lt;="&amp;Cover!$C$15)</f>
        <v>1</v>
      </c>
      <c r="AB40">
        <f>COUNTIFS('Odoo Items'!$J$5:$J$4331,A40,'Odoo Items'!$C$5:$C$4331,"&lt;="&amp;Cover!$C$15)</f>
        <v>25</v>
      </c>
      <c r="AC40" t="str">
        <f>IF(AND(AA40=0,AB40=0),"",IF(AA40=0,"ODOO-ONLY",IF(AB40=0,"BANK-ONLY","BOTH")))</f>
        <v>BOTH</v>
      </c>
      <c r="AD40" s="9">
        <f>IF(AC40="BOTH",ROUND(Y40-Z40,2),0)</f>
        <v>-61.51</v>
      </c>
    </row>
    <row r="41">
      <c r="A41" t="inlineStr">
        <is>
          <t>G00037</t>
        </is>
      </c>
      <c r="B41" t="inlineStr">
        <is>
          <t>OPS</t>
        </is>
      </c>
      <c r="C41" t="inlineStr">
        <is>
          <t>R02</t>
        </is>
      </c>
      <c r="D41" t="inlineStr">
        <is>
          <t>STRIPE-FEE</t>
        </is>
      </c>
      <c r="E41" t="inlineStr"/>
      <c r="G41" t="inlineStr">
        <is>
          <t>30 report lines; fees 79.64</t>
        </is>
      </c>
      <c r="H41">
        <f>COUNTIFS('Bank Lines'!$G$5:$G$1640,A41,'Bank Lines'!$J$5:$J$1640,1)</f>
        <v>1</v>
      </c>
      <c r="I41">
        <f>COUNTIFS('Odoo Items'!$J$5:$J$4331,A41)</f>
        <v>30</v>
      </c>
      <c r="J41" s="9">
        <f>ROUND(SUMIFS('Bank Lines'!$E$5:$E$1640,'Bank Lines'!$G$5:$G$1640,A41,'Bank Lines'!$J$5:$J$1640,1),2)</f>
        <v>3955.36</v>
      </c>
      <c r="K41" s="9">
        <f>ROUND(SUMIFS('Odoo Items'!$G$5:$G$4331,'Odoo Items'!$J$5:$J$4331,A41),2)</f>
        <v>4035</v>
      </c>
      <c r="L41" s="9">
        <f>ROUND(J41-K41,2)</f>
        <v>-79.64</v>
      </c>
      <c r="M41" s="9">
        <f>ROUND(SUMIFS('Bank Lines'!$E$5:$E$1640,'Bank Lines'!$G$5:$G$1640,A41,'Bank Lines'!$J$5:$J$1640,1,'Bank Lines'!$C$5:$C$1640,"&lt;="&amp;Cover!$C$13),2)</f>
        <v>0</v>
      </c>
      <c r="N41" s="9">
        <f>ROUND(SUMIFS('Odoo Items'!$G$5:$G$4331,'Odoo Items'!$J$5:$J$4331,A41,'Odoo Items'!$C$5:$C$4331,"&lt;="&amp;Cover!$C$13),2)</f>
        <v>4035</v>
      </c>
      <c r="O41">
        <f>COUNTIFS('Bank Lines'!$G$5:$G$1640,A41,'Bank Lines'!$J$5:$J$1640,1,'Bank Lines'!$C$5:$C$1640,"&lt;="&amp;Cover!$C$13)</f>
        <v>0</v>
      </c>
      <c r="P41">
        <f>COUNTIFS('Odoo Items'!$J$5:$J$4331,A41,'Odoo Items'!$C$5:$C$4331,"&lt;="&amp;Cover!$C$13)</f>
        <v>30</v>
      </c>
      <c r="Q41" t="str">
        <f>IF(AND(O41=0,P41=0),"",IF(O41=0,"ODOO-ONLY",IF(P41=0,"BANK-ONLY","BOTH")))</f>
        <v>ODOO-ONLY</v>
      </c>
      <c r="R41" s="9">
        <f>IF(Q41="BOTH",ROUND(M41-N41,2),0)</f>
        <v>0</v>
      </c>
      <c r="S41" s="9">
        <f>ROUND(SUMIFS('Bank Lines'!$E$5:$E$1640,'Bank Lines'!$G$5:$G$1640,A41,'Bank Lines'!$J$5:$J$1640,1,'Bank Lines'!$C$5:$C$1640,"&lt;="&amp;Cover!$C$14),2)</f>
        <v>3955.36</v>
      </c>
      <c r="T41" s="9">
        <f>ROUND(SUMIFS('Odoo Items'!$G$5:$G$4331,'Odoo Items'!$J$5:$J$4331,A41,'Odoo Items'!$C$5:$C$4331,"&lt;="&amp;Cover!$C$14),2)</f>
        <v>4035</v>
      </c>
      <c r="U41">
        <f>COUNTIFS('Bank Lines'!$G$5:$G$1640,A41,'Bank Lines'!$J$5:$J$1640,1,'Bank Lines'!$C$5:$C$1640,"&lt;="&amp;Cover!$C$14)</f>
        <v>1</v>
      </c>
      <c r="V41">
        <f>COUNTIFS('Odoo Items'!$J$5:$J$4331,A41,'Odoo Items'!$C$5:$C$4331,"&lt;="&amp;Cover!$C$14)</f>
        <v>30</v>
      </c>
      <c r="W41" t="str">
        <f>IF(AND(U41=0,V41=0),"",IF(U41=0,"ODOO-ONLY",IF(V41=0,"BANK-ONLY","BOTH")))</f>
        <v>BOTH</v>
      </c>
      <c r="X41" s="9">
        <f>IF(W41="BOTH",ROUND(S41-T41,2),0)</f>
        <v>-79.64</v>
      </c>
      <c r="Y41" s="9">
        <f>ROUND(SUMIFS('Bank Lines'!$E$5:$E$1640,'Bank Lines'!$G$5:$G$1640,A41,'Bank Lines'!$J$5:$J$1640,1,'Bank Lines'!$C$5:$C$1640,"&lt;="&amp;Cover!$C$15),2)</f>
        <v>3955.36</v>
      </c>
      <c r="Z41" s="9">
        <f>ROUND(SUMIFS('Odoo Items'!$G$5:$G$4331,'Odoo Items'!$J$5:$J$4331,A41,'Odoo Items'!$C$5:$C$4331,"&lt;="&amp;Cover!$C$15),2)</f>
        <v>4035</v>
      </c>
      <c r="AA41">
        <f>COUNTIFS('Bank Lines'!$G$5:$G$1640,A41,'Bank Lines'!$J$5:$J$1640,1,'Bank Lines'!$C$5:$C$1640,"&lt;="&amp;Cover!$C$15)</f>
        <v>1</v>
      </c>
      <c r="AB41">
        <f>COUNTIFS('Odoo Items'!$J$5:$J$4331,A41,'Odoo Items'!$C$5:$C$4331,"&lt;="&amp;Cover!$C$15)</f>
        <v>30</v>
      </c>
      <c r="AC41" t="str">
        <f>IF(AND(AA41=0,AB41=0),"",IF(AA41=0,"ODOO-ONLY",IF(AB41=0,"BANK-ONLY","BOTH")))</f>
        <v>BOTH</v>
      </c>
      <c r="AD41" s="9">
        <f>IF(AC41="BOTH",ROUND(Y41-Z41,2),0)</f>
        <v>-79.64</v>
      </c>
    </row>
    <row r="42">
      <c r="A42" t="inlineStr">
        <is>
          <t>G00038</t>
        </is>
      </c>
      <c r="B42" t="inlineStr">
        <is>
          <t>OPS</t>
        </is>
      </c>
      <c r="C42" t="inlineStr">
        <is>
          <t>R02</t>
        </is>
      </c>
      <c r="D42" t="inlineStr">
        <is>
          <t>STRIPE-FEE</t>
        </is>
      </c>
      <c r="E42" t="inlineStr"/>
      <c r="G42" t="inlineStr">
        <is>
          <t>28 report lines; fees 69.70</t>
        </is>
      </c>
      <c r="H42">
        <f>COUNTIFS('Bank Lines'!$G$5:$G$1640,A42,'Bank Lines'!$J$5:$J$1640,1)</f>
        <v>1</v>
      </c>
      <c r="I42">
        <f>COUNTIFS('Odoo Items'!$J$5:$J$4331,A42)</f>
        <v>28</v>
      </c>
      <c r="J42" s="9">
        <f>ROUND(SUMIFS('Bank Lines'!$E$5:$E$1640,'Bank Lines'!$G$5:$G$1640,A42,'Bank Lines'!$J$5:$J$1640,1),2)</f>
        <v>3430.3</v>
      </c>
      <c r="K42" s="9">
        <f>ROUND(SUMIFS('Odoo Items'!$G$5:$G$4331,'Odoo Items'!$J$5:$J$4331,A42),2)</f>
        <v>3500</v>
      </c>
      <c r="L42" s="9">
        <f>ROUND(J42-K42,2)</f>
        <v>-69.7</v>
      </c>
      <c r="M42" s="9">
        <f>ROUND(SUMIFS('Bank Lines'!$E$5:$E$1640,'Bank Lines'!$G$5:$G$1640,A42,'Bank Lines'!$J$5:$J$1640,1,'Bank Lines'!$C$5:$C$1640,"&lt;="&amp;Cover!$C$13),2)</f>
        <v>0</v>
      </c>
      <c r="N42" s="9">
        <f>ROUND(SUMIFS('Odoo Items'!$G$5:$G$4331,'Odoo Items'!$J$5:$J$4331,A42,'Odoo Items'!$C$5:$C$4331,"&lt;="&amp;Cover!$C$13),2)</f>
        <v>2305</v>
      </c>
      <c r="O42">
        <f>COUNTIFS('Bank Lines'!$G$5:$G$1640,A42,'Bank Lines'!$J$5:$J$1640,1,'Bank Lines'!$C$5:$C$1640,"&lt;="&amp;Cover!$C$13)</f>
        <v>0</v>
      </c>
      <c r="P42">
        <f>COUNTIFS('Odoo Items'!$J$5:$J$4331,A42,'Odoo Items'!$C$5:$C$4331,"&lt;="&amp;Cover!$C$13)</f>
        <v>18</v>
      </c>
      <c r="Q42" t="str">
        <f>IF(AND(O42=0,P42=0),"",IF(O42=0,"ODOO-ONLY",IF(P42=0,"BANK-ONLY","BOTH")))</f>
        <v>ODOO-ONLY</v>
      </c>
      <c r="R42" s="9">
        <f>IF(Q42="BOTH",ROUND(M42-N42,2),0)</f>
        <v>0</v>
      </c>
      <c r="S42" s="9">
        <f>ROUND(SUMIFS('Bank Lines'!$E$5:$E$1640,'Bank Lines'!$G$5:$G$1640,A42,'Bank Lines'!$J$5:$J$1640,1,'Bank Lines'!$C$5:$C$1640,"&lt;="&amp;Cover!$C$14),2)</f>
        <v>3430.3</v>
      </c>
      <c r="T42" s="9">
        <f>ROUND(SUMIFS('Odoo Items'!$G$5:$G$4331,'Odoo Items'!$J$5:$J$4331,A42,'Odoo Items'!$C$5:$C$4331,"&lt;="&amp;Cover!$C$14),2)</f>
        <v>3500</v>
      </c>
      <c r="U42">
        <f>COUNTIFS('Bank Lines'!$G$5:$G$1640,A42,'Bank Lines'!$J$5:$J$1640,1,'Bank Lines'!$C$5:$C$1640,"&lt;="&amp;Cover!$C$14)</f>
        <v>1</v>
      </c>
      <c r="V42">
        <f>COUNTIFS('Odoo Items'!$J$5:$J$4331,A42,'Odoo Items'!$C$5:$C$4331,"&lt;="&amp;Cover!$C$14)</f>
        <v>28</v>
      </c>
      <c r="W42" t="str">
        <f>IF(AND(U42=0,V42=0),"",IF(U42=0,"ODOO-ONLY",IF(V42=0,"BANK-ONLY","BOTH")))</f>
        <v>BOTH</v>
      </c>
      <c r="X42" s="9">
        <f>IF(W42="BOTH",ROUND(S42-T42,2),0)</f>
        <v>-69.7</v>
      </c>
      <c r="Y42" s="9">
        <f>ROUND(SUMIFS('Bank Lines'!$E$5:$E$1640,'Bank Lines'!$G$5:$G$1640,A42,'Bank Lines'!$J$5:$J$1640,1,'Bank Lines'!$C$5:$C$1640,"&lt;="&amp;Cover!$C$15),2)</f>
        <v>3430.3</v>
      </c>
      <c r="Z42" s="9">
        <f>ROUND(SUMIFS('Odoo Items'!$G$5:$G$4331,'Odoo Items'!$J$5:$J$4331,A42,'Odoo Items'!$C$5:$C$4331,"&lt;="&amp;Cover!$C$15),2)</f>
        <v>3500</v>
      </c>
      <c r="AA42">
        <f>COUNTIFS('Bank Lines'!$G$5:$G$1640,A42,'Bank Lines'!$J$5:$J$1640,1,'Bank Lines'!$C$5:$C$1640,"&lt;="&amp;Cover!$C$15)</f>
        <v>1</v>
      </c>
      <c r="AB42">
        <f>COUNTIFS('Odoo Items'!$J$5:$J$4331,A42,'Odoo Items'!$C$5:$C$4331,"&lt;="&amp;Cover!$C$15)</f>
        <v>28</v>
      </c>
      <c r="AC42" t="str">
        <f>IF(AND(AA42=0,AB42=0),"",IF(AA42=0,"ODOO-ONLY",IF(AB42=0,"BANK-ONLY","BOTH")))</f>
        <v>BOTH</v>
      </c>
      <c r="AD42" s="9">
        <f>IF(AC42="BOTH",ROUND(Y42-Z42,2),0)</f>
        <v>-69.7</v>
      </c>
    </row>
    <row r="43">
      <c r="A43" t="inlineStr">
        <is>
          <t>G00039</t>
        </is>
      </c>
      <c r="B43" t="inlineStr">
        <is>
          <t>OPS</t>
        </is>
      </c>
      <c r="C43" t="inlineStr">
        <is>
          <t>R02</t>
        </is>
      </c>
      <c r="D43" t="inlineStr">
        <is>
          <t>STRIPE-FEE</t>
        </is>
      </c>
      <c r="E43" t="inlineStr"/>
      <c r="G43" t="inlineStr">
        <is>
          <t>28 report lines; fees 74.47</t>
        </is>
      </c>
      <c r="H43">
        <f>COUNTIFS('Bank Lines'!$G$5:$G$1640,A43,'Bank Lines'!$J$5:$J$1640,1)</f>
        <v>1</v>
      </c>
      <c r="I43">
        <f>COUNTIFS('Odoo Items'!$J$5:$J$4331,A43)</f>
        <v>28</v>
      </c>
      <c r="J43" s="9">
        <f>ROUND(SUMIFS('Bank Lines'!$E$5:$E$1640,'Bank Lines'!$G$5:$G$1640,A43,'Bank Lines'!$J$5:$J$1640,1),2)</f>
        <v>3700.53</v>
      </c>
      <c r="K43" s="9">
        <f>ROUND(SUMIFS('Odoo Items'!$G$5:$G$4331,'Odoo Items'!$J$5:$J$4331,A43),2)</f>
        <v>3775</v>
      </c>
      <c r="L43" s="9">
        <f>ROUND(J43-K43,2)</f>
        <v>-74.47</v>
      </c>
      <c r="M43" s="9">
        <f>ROUND(SUMIFS('Bank Lines'!$E$5:$E$1640,'Bank Lines'!$G$5:$G$1640,A43,'Bank Lines'!$J$5:$J$1640,1,'Bank Lines'!$C$5:$C$1640,"&lt;="&amp;Cover!$C$13),2)</f>
        <v>0</v>
      </c>
      <c r="N43" s="9">
        <f>ROUND(SUMIFS('Odoo Items'!$G$5:$G$4331,'Odoo Items'!$J$5:$J$4331,A43,'Odoo Items'!$C$5:$C$4331,"&lt;="&amp;Cover!$C$13),2)</f>
        <v>0</v>
      </c>
      <c r="O43">
        <f>COUNTIFS('Bank Lines'!$G$5:$G$1640,A43,'Bank Lines'!$J$5:$J$1640,1,'Bank Lines'!$C$5:$C$1640,"&lt;="&amp;Cover!$C$13)</f>
        <v>0</v>
      </c>
      <c r="P43">
        <f>COUNTIFS('Odoo Items'!$J$5:$J$4331,A43,'Odoo Items'!$C$5:$C$4331,"&lt;="&amp;Cover!$C$13)</f>
        <v>0</v>
      </c>
      <c r="Q43">
        <f>IF(AND(O43=0,P43=0),"",IF(O43=0,"ODOO-ONLY",IF(P43=0,"BANK-ONLY","BOTH")))</f>
      </c>
      <c r="R43" s="9">
        <f>IF(Q43="BOTH",ROUND(M43-N43,2),0)</f>
        <v>0</v>
      </c>
      <c r="S43" s="9">
        <f>ROUND(SUMIFS('Bank Lines'!$E$5:$E$1640,'Bank Lines'!$G$5:$G$1640,A43,'Bank Lines'!$J$5:$J$1640,1,'Bank Lines'!$C$5:$C$1640,"&lt;="&amp;Cover!$C$14),2)</f>
        <v>3700.53</v>
      </c>
      <c r="T43" s="9">
        <f>ROUND(SUMIFS('Odoo Items'!$G$5:$G$4331,'Odoo Items'!$J$5:$J$4331,A43,'Odoo Items'!$C$5:$C$4331,"&lt;="&amp;Cover!$C$14),2)</f>
        <v>3775</v>
      </c>
      <c r="U43">
        <f>COUNTIFS('Bank Lines'!$G$5:$G$1640,A43,'Bank Lines'!$J$5:$J$1640,1,'Bank Lines'!$C$5:$C$1640,"&lt;="&amp;Cover!$C$14)</f>
        <v>1</v>
      </c>
      <c r="V43">
        <f>COUNTIFS('Odoo Items'!$J$5:$J$4331,A43,'Odoo Items'!$C$5:$C$4331,"&lt;="&amp;Cover!$C$14)</f>
        <v>28</v>
      </c>
      <c r="W43" t="str">
        <f>IF(AND(U43=0,V43=0),"",IF(U43=0,"ODOO-ONLY",IF(V43=0,"BANK-ONLY","BOTH")))</f>
        <v>BOTH</v>
      </c>
      <c r="X43" s="9">
        <f>IF(W43="BOTH",ROUND(S43-T43,2),0)</f>
        <v>-74.47</v>
      </c>
      <c r="Y43" s="9">
        <f>ROUND(SUMIFS('Bank Lines'!$E$5:$E$1640,'Bank Lines'!$G$5:$G$1640,A43,'Bank Lines'!$J$5:$J$1640,1,'Bank Lines'!$C$5:$C$1640,"&lt;="&amp;Cover!$C$15),2)</f>
        <v>3700.53</v>
      </c>
      <c r="Z43" s="9">
        <f>ROUND(SUMIFS('Odoo Items'!$G$5:$G$4331,'Odoo Items'!$J$5:$J$4331,A43,'Odoo Items'!$C$5:$C$4331,"&lt;="&amp;Cover!$C$15),2)</f>
        <v>3775</v>
      </c>
      <c r="AA43">
        <f>COUNTIFS('Bank Lines'!$G$5:$G$1640,A43,'Bank Lines'!$J$5:$J$1640,1,'Bank Lines'!$C$5:$C$1640,"&lt;="&amp;Cover!$C$15)</f>
        <v>1</v>
      </c>
      <c r="AB43">
        <f>COUNTIFS('Odoo Items'!$J$5:$J$4331,A43,'Odoo Items'!$C$5:$C$4331,"&lt;="&amp;Cover!$C$15)</f>
        <v>28</v>
      </c>
      <c r="AC43" t="str">
        <f>IF(AND(AA43=0,AB43=0),"",IF(AA43=0,"ODOO-ONLY",IF(AB43=0,"BANK-ONLY","BOTH")))</f>
        <v>BOTH</v>
      </c>
      <c r="AD43" s="9">
        <f>IF(AC43="BOTH",ROUND(Y43-Z43,2),0)</f>
        <v>-74.47</v>
      </c>
    </row>
    <row r="44">
      <c r="A44" t="inlineStr">
        <is>
          <t>G00040</t>
        </is>
      </c>
      <c r="B44" t="inlineStr">
        <is>
          <t>OPS</t>
        </is>
      </c>
      <c r="C44" t="inlineStr">
        <is>
          <t>R02</t>
        </is>
      </c>
      <c r="D44" t="inlineStr">
        <is>
          <t>STRIPE-FEE</t>
        </is>
      </c>
      <c r="E44" t="inlineStr"/>
      <c r="G44" t="inlineStr">
        <is>
          <t>34 report lines; fees 86.27</t>
        </is>
      </c>
      <c r="H44">
        <f>COUNTIFS('Bank Lines'!$G$5:$G$1640,A44,'Bank Lines'!$J$5:$J$1640,1)</f>
        <v>1</v>
      </c>
      <c r="I44">
        <f>COUNTIFS('Odoo Items'!$J$5:$J$4331,A44)</f>
        <v>34</v>
      </c>
      <c r="J44" s="9">
        <f>ROUND(SUMIFS('Bank Lines'!$E$5:$E$1640,'Bank Lines'!$G$5:$G$1640,A44,'Bank Lines'!$J$5:$J$1640,1),2)</f>
        <v>4258.73</v>
      </c>
      <c r="K44" s="9">
        <f>ROUND(SUMIFS('Odoo Items'!$G$5:$G$4331,'Odoo Items'!$J$5:$J$4331,A44),2)</f>
        <v>4345</v>
      </c>
      <c r="L44" s="9">
        <f>ROUND(J44-K44,2)</f>
        <v>-86.27</v>
      </c>
      <c r="M44" s="9">
        <f>ROUND(SUMIFS('Bank Lines'!$E$5:$E$1640,'Bank Lines'!$G$5:$G$1640,A44,'Bank Lines'!$J$5:$J$1640,1,'Bank Lines'!$C$5:$C$1640,"&lt;="&amp;Cover!$C$13),2)</f>
        <v>0</v>
      </c>
      <c r="N44" s="9">
        <f>ROUND(SUMIFS('Odoo Items'!$G$5:$G$4331,'Odoo Items'!$J$5:$J$4331,A44,'Odoo Items'!$C$5:$C$4331,"&lt;="&amp;Cover!$C$13),2)</f>
        <v>0</v>
      </c>
      <c r="O44">
        <f>COUNTIFS('Bank Lines'!$G$5:$G$1640,A44,'Bank Lines'!$J$5:$J$1640,1,'Bank Lines'!$C$5:$C$1640,"&lt;="&amp;Cover!$C$13)</f>
        <v>0</v>
      </c>
      <c r="P44">
        <f>COUNTIFS('Odoo Items'!$J$5:$J$4331,A44,'Odoo Items'!$C$5:$C$4331,"&lt;="&amp;Cover!$C$13)</f>
        <v>0</v>
      </c>
      <c r="Q44">
        <f>IF(AND(O44=0,P44=0),"",IF(O44=0,"ODOO-ONLY",IF(P44=0,"BANK-ONLY","BOTH")))</f>
      </c>
      <c r="R44" s="9">
        <f>IF(Q44="BOTH",ROUND(M44-N44,2),0)</f>
        <v>0</v>
      </c>
      <c r="S44" s="9">
        <f>ROUND(SUMIFS('Bank Lines'!$E$5:$E$1640,'Bank Lines'!$G$5:$G$1640,A44,'Bank Lines'!$J$5:$J$1640,1,'Bank Lines'!$C$5:$C$1640,"&lt;="&amp;Cover!$C$14),2)</f>
        <v>4258.73</v>
      </c>
      <c r="T44" s="9">
        <f>ROUND(SUMIFS('Odoo Items'!$G$5:$G$4331,'Odoo Items'!$J$5:$J$4331,A44,'Odoo Items'!$C$5:$C$4331,"&lt;="&amp;Cover!$C$14),2)</f>
        <v>4345</v>
      </c>
      <c r="U44">
        <f>COUNTIFS('Bank Lines'!$G$5:$G$1640,A44,'Bank Lines'!$J$5:$J$1640,1,'Bank Lines'!$C$5:$C$1640,"&lt;="&amp;Cover!$C$14)</f>
        <v>1</v>
      </c>
      <c r="V44">
        <f>COUNTIFS('Odoo Items'!$J$5:$J$4331,A44,'Odoo Items'!$C$5:$C$4331,"&lt;="&amp;Cover!$C$14)</f>
        <v>34</v>
      </c>
      <c r="W44" t="str">
        <f>IF(AND(U44=0,V44=0),"",IF(U44=0,"ODOO-ONLY",IF(V44=0,"BANK-ONLY","BOTH")))</f>
        <v>BOTH</v>
      </c>
      <c r="X44" s="9">
        <f>IF(W44="BOTH",ROUND(S44-T44,2),0)</f>
        <v>-86.27</v>
      </c>
      <c r="Y44" s="9">
        <f>ROUND(SUMIFS('Bank Lines'!$E$5:$E$1640,'Bank Lines'!$G$5:$G$1640,A44,'Bank Lines'!$J$5:$J$1640,1,'Bank Lines'!$C$5:$C$1640,"&lt;="&amp;Cover!$C$15),2)</f>
        <v>4258.73</v>
      </c>
      <c r="Z44" s="9">
        <f>ROUND(SUMIFS('Odoo Items'!$G$5:$G$4331,'Odoo Items'!$J$5:$J$4331,A44,'Odoo Items'!$C$5:$C$4331,"&lt;="&amp;Cover!$C$15),2)</f>
        <v>4345</v>
      </c>
      <c r="AA44">
        <f>COUNTIFS('Bank Lines'!$G$5:$G$1640,A44,'Bank Lines'!$J$5:$J$1640,1,'Bank Lines'!$C$5:$C$1640,"&lt;="&amp;Cover!$C$15)</f>
        <v>1</v>
      </c>
      <c r="AB44">
        <f>COUNTIFS('Odoo Items'!$J$5:$J$4331,A44,'Odoo Items'!$C$5:$C$4331,"&lt;="&amp;Cover!$C$15)</f>
        <v>34</v>
      </c>
      <c r="AC44" t="str">
        <f>IF(AND(AA44=0,AB44=0),"",IF(AA44=0,"ODOO-ONLY",IF(AB44=0,"BANK-ONLY","BOTH")))</f>
        <v>BOTH</v>
      </c>
      <c r="AD44" s="9">
        <f>IF(AC44="BOTH",ROUND(Y44-Z44,2),0)</f>
        <v>-86.27</v>
      </c>
    </row>
    <row r="45">
      <c r="A45" t="inlineStr">
        <is>
          <t>G00041</t>
        </is>
      </c>
      <c r="B45" t="inlineStr">
        <is>
          <t>OPS</t>
        </is>
      </c>
      <c r="C45" t="inlineStr">
        <is>
          <t>R02</t>
        </is>
      </c>
      <c r="D45" t="inlineStr">
        <is>
          <t>STRIPE-FEE</t>
        </is>
      </c>
      <c r="E45" t="inlineStr"/>
      <c r="G45" t="inlineStr">
        <is>
          <t>30 report lines; fees 77.19</t>
        </is>
      </c>
      <c r="H45">
        <f>COUNTIFS('Bank Lines'!$G$5:$G$1640,A45,'Bank Lines'!$J$5:$J$1640,1)</f>
        <v>1</v>
      </c>
      <c r="I45">
        <f>COUNTIFS('Odoo Items'!$J$5:$J$4331,A45)</f>
        <v>30</v>
      </c>
      <c r="J45" s="9">
        <f>ROUND(SUMIFS('Bank Lines'!$E$5:$E$1640,'Bank Lines'!$G$5:$G$1640,A45,'Bank Lines'!$J$5:$J$1640,1),2)</f>
        <v>3817.81</v>
      </c>
      <c r="K45" s="9">
        <f>ROUND(SUMIFS('Odoo Items'!$G$5:$G$4331,'Odoo Items'!$J$5:$J$4331,A45),2)</f>
        <v>3895</v>
      </c>
      <c r="L45" s="9">
        <f>ROUND(J45-K45,2)</f>
        <v>-77.19</v>
      </c>
      <c r="M45" s="9">
        <f>ROUND(SUMIFS('Bank Lines'!$E$5:$E$1640,'Bank Lines'!$G$5:$G$1640,A45,'Bank Lines'!$J$5:$J$1640,1,'Bank Lines'!$C$5:$C$1640,"&lt;="&amp;Cover!$C$13),2)</f>
        <v>0</v>
      </c>
      <c r="N45" s="9">
        <f>ROUND(SUMIFS('Odoo Items'!$G$5:$G$4331,'Odoo Items'!$J$5:$J$4331,A45,'Odoo Items'!$C$5:$C$4331,"&lt;="&amp;Cover!$C$13),2)</f>
        <v>0</v>
      </c>
      <c r="O45">
        <f>COUNTIFS('Bank Lines'!$G$5:$G$1640,A45,'Bank Lines'!$J$5:$J$1640,1,'Bank Lines'!$C$5:$C$1640,"&lt;="&amp;Cover!$C$13)</f>
        <v>0</v>
      </c>
      <c r="P45">
        <f>COUNTIFS('Odoo Items'!$J$5:$J$4331,A45,'Odoo Items'!$C$5:$C$4331,"&lt;="&amp;Cover!$C$13)</f>
        <v>0</v>
      </c>
      <c r="Q45">
        <f>IF(AND(O45=0,P45=0),"",IF(O45=0,"ODOO-ONLY",IF(P45=0,"BANK-ONLY","BOTH")))</f>
      </c>
      <c r="R45" s="9">
        <f>IF(Q45="BOTH",ROUND(M45-N45,2),0)</f>
        <v>0</v>
      </c>
      <c r="S45" s="9">
        <f>ROUND(SUMIFS('Bank Lines'!$E$5:$E$1640,'Bank Lines'!$G$5:$G$1640,A45,'Bank Lines'!$J$5:$J$1640,1,'Bank Lines'!$C$5:$C$1640,"&lt;="&amp;Cover!$C$14),2)</f>
        <v>3817.81</v>
      </c>
      <c r="T45" s="9">
        <f>ROUND(SUMIFS('Odoo Items'!$G$5:$G$4331,'Odoo Items'!$J$5:$J$4331,A45,'Odoo Items'!$C$5:$C$4331,"&lt;="&amp;Cover!$C$14),2)</f>
        <v>3895</v>
      </c>
      <c r="U45">
        <f>COUNTIFS('Bank Lines'!$G$5:$G$1640,A45,'Bank Lines'!$J$5:$J$1640,1,'Bank Lines'!$C$5:$C$1640,"&lt;="&amp;Cover!$C$14)</f>
        <v>1</v>
      </c>
      <c r="V45">
        <f>COUNTIFS('Odoo Items'!$J$5:$J$4331,A45,'Odoo Items'!$C$5:$C$4331,"&lt;="&amp;Cover!$C$14)</f>
        <v>30</v>
      </c>
      <c r="W45" t="str">
        <f>IF(AND(U45=0,V45=0),"",IF(U45=0,"ODOO-ONLY",IF(V45=0,"BANK-ONLY","BOTH")))</f>
        <v>BOTH</v>
      </c>
      <c r="X45" s="9">
        <f>IF(W45="BOTH",ROUND(S45-T45,2),0)</f>
        <v>-77.19</v>
      </c>
      <c r="Y45" s="9">
        <f>ROUND(SUMIFS('Bank Lines'!$E$5:$E$1640,'Bank Lines'!$G$5:$G$1640,A45,'Bank Lines'!$J$5:$J$1640,1,'Bank Lines'!$C$5:$C$1640,"&lt;="&amp;Cover!$C$15),2)</f>
        <v>3817.81</v>
      </c>
      <c r="Z45" s="9">
        <f>ROUND(SUMIFS('Odoo Items'!$G$5:$G$4331,'Odoo Items'!$J$5:$J$4331,A45,'Odoo Items'!$C$5:$C$4331,"&lt;="&amp;Cover!$C$15),2)</f>
        <v>3895</v>
      </c>
      <c r="AA45">
        <f>COUNTIFS('Bank Lines'!$G$5:$G$1640,A45,'Bank Lines'!$J$5:$J$1640,1,'Bank Lines'!$C$5:$C$1640,"&lt;="&amp;Cover!$C$15)</f>
        <v>1</v>
      </c>
      <c r="AB45">
        <f>COUNTIFS('Odoo Items'!$J$5:$J$4331,A45,'Odoo Items'!$C$5:$C$4331,"&lt;="&amp;Cover!$C$15)</f>
        <v>30</v>
      </c>
      <c r="AC45" t="str">
        <f>IF(AND(AA45=0,AB45=0),"",IF(AA45=0,"ODOO-ONLY",IF(AB45=0,"BANK-ONLY","BOTH")))</f>
        <v>BOTH</v>
      </c>
      <c r="AD45" s="9">
        <f>IF(AC45="BOTH",ROUND(Y45-Z45,2),0)</f>
        <v>-77.19</v>
      </c>
    </row>
    <row r="46">
      <c r="A46" t="inlineStr">
        <is>
          <t>G00042</t>
        </is>
      </c>
      <c r="B46" t="inlineStr">
        <is>
          <t>OPS</t>
        </is>
      </c>
      <c r="C46" t="inlineStr">
        <is>
          <t>R02</t>
        </is>
      </c>
      <c r="D46" t="inlineStr">
        <is>
          <t>STRIPE-FEE</t>
        </is>
      </c>
      <c r="E46" t="inlineStr"/>
      <c r="G46" t="inlineStr">
        <is>
          <t>33 report lines; fees 82.82</t>
        </is>
      </c>
      <c r="H46">
        <f>COUNTIFS('Bank Lines'!$G$5:$G$1640,A46,'Bank Lines'!$J$5:$J$1640,1)</f>
        <v>1</v>
      </c>
      <c r="I46">
        <f>COUNTIFS('Odoo Items'!$J$5:$J$4331,A46)</f>
        <v>33</v>
      </c>
      <c r="J46" s="9">
        <f>ROUND(SUMIFS('Bank Lines'!$E$5:$E$1640,'Bank Lines'!$G$5:$G$1640,A46,'Bank Lines'!$J$5:$J$1640,1),2)</f>
        <v>4082.18</v>
      </c>
      <c r="K46" s="9">
        <f>ROUND(SUMIFS('Odoo Items'!$G$5:$G$4331,'Odoo Items'!$J$5:$J$4331,A46),2)</f>
        <v>4165</v>
      </c>
      <c r="L46" s="9">
        <f>ROUND(J46-K46,2)</f>
        <v>-82.82</v>
      </c>
      <c r="M46" s="9">
        <f>ROUND(SUMIFS('Bank Lines'!$E$5:$E$1640,'Bank Lines'!$G$5:$G$1640,A46,'Bank Lines'!$J$5:$J$1640,1,'Bank Lines'!$C$5:$C$1640,"&lt;="&amp;Cover!$C$13),2)</f>
        <v>0</v>
      </c>
      <c r="N46" s="9">
        <f>ROUND(SUMIFS('Odoo Items'!$G$5:$G$4331,'Odoo Items'!$J$5:$J$4331,A46,'Odoo Items'!$C$5:$C$4331,"&lt;="&amp;Cover!$C$13),2)</f>
        <v>0</v>
      </c>
      <c r="O46">
        <f>COUNTIFS('Bank Lines'!$G$5:$G$1640,A46,'Bank Lines'!$J$5:$J$1640,1,'Bank Lines'!$C$5:$C$1640,"&lt;="&amp;Cover!$C$13)</f>
        <v>0</v>
      </c>
      <c r="P46">
        <f>COUNTIFS('Odoo Items'!$J$5:$J$4331,A46,'Odoo Items'!$C$5:$C$4331,"&lt;="&amp;Cover!$C$13)</f>
        <v>0</v>
      </c>
      <c r="Q46">
        <f>IF(AND(O46=0,P46=0),"",IF(O46=0,"ODOO-ONLY",IF(P46=0,"BANK-ONLY","BOTH")))</f>
      </c>
      <c r="R46" s="9">
        <f>IF(Q46="BOTH",ROUND(M46-N46,2),0)</f>
        <v>0</v>
      </c>
      <c r="S46" s="9">
        <f>ROUND(SUMIFS('Bank Lines'!$E$5:$E$1640,'Bank Lines'!$G$5:$G$1640,A46,'Bank Lines'!$J$5:$J$1640,1,'Bank Lines'!$C$5:$C$1640,"&lt;="&amp;Cover!$C$14),2)</f>
        <v>4082.18</v>
      </c>
      <c r="T46" s="9">
        <f>ROUND(SUMIFS('Odoo Items'!$G$5:$G$4331,'Odoo Items'!$J$5:$J$4331,A46,'Odoo Items'!$C$5:$C$4331,"&lt;="&amp;Cover!$C$14),2)</f>
        <v>4165</v>
      </c>
      <c r="U46">
        <f>COUNTIFS('Bank Lines'!$G$5:$G$1640,A46,'Bank Lines'!$J$5:$J$1640,1,'Bank Lines'!$C$5:$C$1640,"&lt;="&amp;Cover!$C$14)</f>
        <v>1</v>
      </c>
      <c r="V46">
        <f>COUNTIFS('Odoo Items'!$J$5:$J$4331,A46,'Odoo Items'!$C$5:$C$4331,"&lt;="&amp;Cover!$C$14)</f>
        <v>33</v>
      </c>
      <c r="W46" t="str">
        <f>IF(AND(U46=0,V46=0),"",IF(U46=0,"ODOO-ONLY",IF(V46=0,"BANK-ONLY","BOTH")))</f>
        <v>BOTH</v>
      </c>
      <c r="X46" s="9">
        <f>IF(W46="BOTH",ROUND(S46-T46,2),0)</f>
        <v>-82.82</v>
      </c>
      <c r="Y46" s="9">
        <f>ROUND(SUMIFS('Bank Lines'!$E$5:$E$1640,'Bank Lines'!$G$5:$G$1640,A46,'Bank Lines'!$J$5:$J$1640,1,'Bank Lines'!$C$5:$C$1640,"&lt;="&amp;Cover!$C$15),2)</f>
        <v>4082.18</v>
      </c>
      <c r="Z46" s="9">
        <f>ROUND(SUMIFS('Odoo Items'!$G$5:$G$4331,'Odoo Items'!$J$5:$J$4331,A46,'Odoo Items'!$C$5:$C$4331,"&lt;="&amp;Cover!$C$15),2)</f>
        <v>4165</v>
      </c>
      <c r="AA46">
        <f>COUNTIFS('Bank Lines'!$G$5:$G$1640,A46,'Bank Lines'!$J$5:$J$1640,1,'Bank Lines'!$C$5:$C$1640,"&lt;="&amp;Cover!$C$15)</f>
        <v>1</v>
      </c>
      <c r="AB46">
        <f>COUNTIFS('Odoo Items'!$J$5:$J$4331,A46,'Odoo Items'!$C$5:$C$4331,"&lt;="&amp;Cover!$C$15)</f>
        <v>33</v>
      </c>
      <c r="AC46" t="str">
        <f>IF(AND(AA46=0,AB46=0),"",IF(AA46=0,"ODOO-ONLY",IF(AB46=0,"BANK-ONLY","BOTH")))</f>
        <v>BOTH</v>
      </c>
      <c r="AD46" s="9">
        <f>IF(AC46="BOTH",ROUND(Y46-Z46,2),0)</f>
        <v>-82.82</v>
      </c>
    </row>
    <row r="47">
      <c r="A47" t="inlineStr">
        <is>
          <t>G00043</t>
        </is>
      </c>
      <c r="B47" t="inlineStr">
        <is>
          <t>OPS</t>
        </is>
      </c>
      <c r="C47" t="inlineStr">
        <is>
          <t>R02</t>
        </is>
      </c>
      <c r="D47" t="inlineStr">
        <is>
          <t>STRIPE-FEE</t>
        </is>
      </c>
      <c r="E47" t="inlineStr"/>
      <c r="G47" t="inlineStr">
        <is>
          <t>33 report lines; fees 82.04</t>
        </is>
      </c>
      <c r="H47">
        <f>COUNTIFS('Bank Lines'!$G$5:$G$1640,A47,'Bank Lines'!$J$5:$J$1640,1)</f>
        <v>1</v>
      </c>
      <c r="I47">
        <f>COUNTIFS('Odoo Items'!$J$5:$J$4331,A47)</f>
        <v>33</v>
      </c>
      <c r="J47" s="9">
        <f>ROUND(SUMIFS('Bank Lines'!$E$5:$E$1640,'Bank Lines'!$G$5:$G$1640,A47,'Bank Lines'!$J$5:$J$1640,1),2)</f>
        <v>4037.96</v>
      </c>
      <c r="K47" s="9">
        <f>ROUND(SUMIFS('Odoo Items'!$G$5:$G$4331,'Odoo Items'!$J$5:$J$4331,A47),2)</f>
        <v>4120</v>
      </c>
      <c r="L47" s="9">
        <f>ROUND(J47-K47,2)</f>
        <v>-82.04</v>
      </c>
      <c r="M47" s="9">
        <f>ROUND(SUMIFS('Bank Lines'!$E$5:$E$1640,'Bank Lines'!$G$5:$G$1640,A47,'Bank Lines'!$J$5:$J$1640,1,'Bank Lines'!$C$5:$C$1640,"&lt;="&amp;Cover!$C$13),2)</f>
        <v>0</v>
      </c>
      <c r="N47" s="9">
        <f>ROUND(SUMIFS('Odoo Items'!$G$5:$G$4331,'Odoo Items'!$J$5:$J$4331,A47,'Odoo Items'!$C$5:$C$4331,"&lt;="&amp;Cover!$C$13),2)</f>
        <v>0</v>
      </c>
      <c r="O47">
        <f>COUNTIFS('Bank Lines'!$G$5:$G$1640,A47,'Bank Lines'!$J$5:$J$1640,1,'Bank Lines'!$C$5:$C$1640,"&lt;="&amp;Cover!$C$13)</f>
        <v>0</v>
      </c>
      <c r="P47">
        <f>COUNTIFS('Odoo Items'!$J$5:$J$4331,A47,'Odoo Items'!$C$5:$C$4331,"&lt;="&amp;Cover!$C$13)</f>
        <v>0</v>
      </c>
      <c r="Q47">
        <f>IF(AND(O47=0,P47=0),"",IF(O47=0,"ODOO-ONLY",IF(P47=0,"BANK-ONLY","BOTH")))</f>
      </c>
      <c r="R47" s="9">
        <f>IF(Q47="BOTH",ROUND(M47-N47,2),0)</f>
        <v>0</v>
      </c>
      <c r="S47" s="9">
        <f>ROUND(SUMIFS('Bank Lines'!$E$5:$E$1640,'Bank Lines'!$G$5:$G$1640,A47,'Bank Lines'!$J$5:$J$1640,1,'Bank Lines'!$C$5:$C$1640,"&lt;="&amp;Cover!$C$14),2)</f>
        <v>4037.96</v>
      </c>
      <c r="T47" s="9">
        <f>ROUND(SUMIFS('Odoo Items'!$G$5:$G$4331,'Odoo Items'!$J$5:$J$4331,A47,'Odoo Items'!$C$5:$C$4331,"&lt;="&amp;Cover!$C$14),2)</f>
        <v>4120</v>
      </c>
      <c r="U47">
        <f>COUNTIFS('Bank Lines'!$G$5:$G$1640,A47,'Bank Lines'!$J$5:$J$1640,1,'Bank Lines'!$C$5:$C$1640,"&lt;="&amp;Cover!$C$14)</f>
        <v>1</v>
      </c>
      <c r="V47">
        <f>COUNTIFS('Odoo Items'!$J$5:$J$4331,A47,'Odoo Items'!$C$5:$C$4331,"&lt;="&amp;Cover!$C$14)</f>
        <v>33</v>
      </c>
      <c r="W47" t="str">
        <f>IF(AND(U47=0,V47=0),"",IF(U47=0,"ODOO-ONLY",IF(V47=0,"BANK-ONLY","BOTH")))</f>
        <v>BOTH</v>
      </c>
      <c r="X47" s="9">
        <f>IF(W47="BOTH",ROUND(S47-T47,2),0)</f>
        <v>-82.04</v>
      </c>
      <c r="Y47" s="9">
        <f>ROUND(SUMIFS('Bank Lines'!$E$5:$E$1640,'Bank Lines'!$G$5:$G$1640,A47,'Bank Lines'!$J$5:$J$1640,1,'Bank Lines'!$C$5:$C$1640,"&lt;="&amp;Cover!$C$15),2)</f>
        <v>4037.96</v>
      </c>
      <c r="Z47" s="9">
        <f>ROUND(SUMIFS('Odoo Items'!$G$5:$G$4331,'Odoo Items'!$J$5:$J$4331,A47,'Odoo Items'!$C$5:$C$4331,"&lt;="&amp;Cover!$C$15),2)</f>
        <v>4120</v>
      </c>
      <c r="AA47">
        <f>COUNTIFS('Bank Lines'!$G$5:$G$1640,A47,'Bank Lines'!$J$5:$J$1640,1,'Bank Lines'!$C$5:$C$1640,"&lt;="&amp;Cover!$C$15)</f>
        <v>1</v>
      </c>
      <c r="AB47">
        <f>COUNTIFS('Odoo Items'!$J$5:$J$4331,A47,'Odoo Items'!$C$5:$C$4331,"&lt;="&amp;Cover!$C$15)</f>
        <v>33</v>
      </c>
      <c r="AC47" t="str">
        <f>IF(AND(AA47=0,AB47=0),"",IF(AA47=0,"ODOO-ONLY",IF(AB47=0,"BANK-ONLY","BOTH")))</f>
        <v>BOTH</v>
      </c>
      <c r="AD47" s="9">
        <f>IF(AC47="BOTH",ROUND(Y47-Z47,2),0)</f>
        <v>-82.04</v>
      </c>
    </row>
    <row r="48">
      <c r="A48" t="inlineStr">
        <is>
          <t>G00044</t>
        </is>
      </c>
      <c r="B48" t="inlineStr">
        <is>
          <t>OPS</t>
        </is>
      </c>
      <c r="C48" t="inlineStr">
        <is>
          <t>R02</t>
        </is>
      </c>
      <c r="D48" t="inlineStr">
        <is>
          <t>STRIPE-FEE</t>
        </is>
      </c>
      <c r="E48" t="inlineStr"/>
      <c r="G48" t="inlineStr">
        <is>
          <t>34 report lines; fees 85.59</t>
        </is>
      </c>
      <c r="H48">
        <f>COUNTIFS('Bank Lines'!$G$5:$G$1640,A48,'Bank Lines'!$J$5:$J$1640,1)</f>
        <v>1</v>
      </c>
      <c r="I48">
        <f>COUNTIFS('Odoo Items'!$J$5:$J$4331,A48)</f>
        <v>34</v>
      </c>
      <c r="J48" s="9">
        <f>ROUND(SUMIFS('Bank Lines'!$E$5:$E$1640,'Bank Lines'!$G$5:$G$1640,A48,'Bank Lines'!$J$5:$J$1640,1),2)</f>
        <v>4219.41</v>
      </c>
      <c r="K48" s="9">
        <f>ROUND(SUMIFS('Odoo Items'!$G$5:$G$4331,'Odoo Items'!$J$5:$J$4331,A48),2)</f>
        <v>4305</v>
      </c>
      <c r="L48" s="9">
        <f>ROUND(J48-K48,2)</f>
        <v>-85.59</v>
      </c>
      <c r="M48" s="9">
        <f>ROUND(SUMIFS('Bank Lines'!$E$5:$E$1640,'Bank Lines'!$G$5:$G$1640,A48,'Bank Lines'!$J$5:$J$1640,1,'Bank Lines'!$C$5:$C$1640,"&lt;="&amp;Cover!$C$13),2)</f>
        <v>0</v>
      </c>
      <c r="N48" s="9">
        <f>ROUND(SUMIFS('Odoo Items'!$G$5:$G$4331,'Odoo Items'!$J$5:$J$4331,A48,'Odoo Items'!$C$5:$C$4331,"&lt;="&amp;Cover!$C$13),2)</f>
        <v>0</v>
      </c>
      <c r="O48">
        <f>COUNTIFS('Bank Lines'!$G$5:$G$1640,A48,'Bank Lines'!$J$5:$J$1640,1,'Bank Lines'!$C$5:$C$1640,"&lt;="&amp;Cover!$C$13)</f>
        <v>0</v>
      </c>
      <c r="P48">
        <f>COUNTIFS('Odoo Items'!$J$5:$J$4331,A48,'Odoo Items'!$C$5:$C$4331,"&lt;="&amp;Cover!$C$13)</f>
        <v>0</v>
      </c>
      <c r="Q48">
        <f>IF(AND(O48=0,P48=0),"",IF(O48=0,"ODOO-ONLY",IF(P48=0,"BANK-ONLY","BOTH")))</f>
      </c>
      <c r="R48" s="9">
        <f>IF(Q48="BOTH",ROUND(M48-N48,2),0)</f>
        <v>0</v>
      </c>
      <c r="S48" s="9">
        <f>ROUND(SUMIFS('Bank Lines'!$E$5:$E$1640,'Bank Lines'!$G$5:$G$1640,A48,'Bank Lines'!$J$5:$J$1640,1,'Bank Lines'!$C$5:$C$1640,"&lt;="&amp;Cover!$C$14),2)</f>
        <v>4219.41</v>
      </c>
      <c r="T48" s="9">
        <f>ROUND(SUMIFS('Odoo Items'!$G$5:$G$4331,'Odoo Items'!$J$5:$J$4331,A48,'Odoo Items'!$C$5:$C$4331,"&lt;="&amp;Cover!$C$14),2)</f>
        <v>4305</v>
      </c>
      <c r="U48">
        <f>COUNTIFS('Bank Lines'!$G$5:$G$1640,A48,'Bank Lines'!$J$5:$J$1640,1,'Bank Lines'!$C$5:$C$1640,"&lt;="&amp;Cover!$C$14)</f>
        <v>1</v>
      </c>
      <c r="V48">
        <f>COUNTIFS('Odoo Items'!$J$5:$J$4331,A48,'Odoo Items'!$C$5:$C$4331,"&lt;="&amp;Cover!$C$14)</f>
        <v>34</v>
      </c>
      <c r="W48" t="str">
        <f>IF(AND(U48=0,V48=0),"",IF(U48=0,"ODOO-ONLY",IF(V48=0,"BANK-ONLY","BOTH")))</f>
        <v>BOTH</v>
      </c>
      <c r="X48" s="9">
        <f>IF(W48="BOTH",ROUND(S48-T48,2),0)</f>
        <v>-85.59</v>
      </c>
      <c r="Y48" s="9">
        <f>ROUND(SUMIFS('Bank Lines'!$E$5:$E$1640,'Bank Lines'!$G$5:$G$1640,A48,'Bank Lines'!$J$5:$J$1640,1,'Bank Lines'!$C$5:$C$1640,"&lt;="&amp;Cover!$C$15),2)</f>
        <v>4219.41</v>
      </c>
      <c r="Z48" s="9">
        <f>ROUND(SUMIFS('Odoo Items'!$G$5:$G$4331,'Odoo Items'!$J$5:$J$4331,A48,'Odoo Items'!$C$5:$C$4331,"&lt;="&amp;Cover!$C$15),2)</f>
        <v>4305</v>
      </c>
      <c r="AA48">
        <f>COUNTIFS('Bank Lines'!$G$5:$G$1640,A48,'Bank Lines'!$J$5:$J$1640,1,'Bank Lines'!$C$5:$C$1640,"&lt;="&amp;Cover!$C$15)</f>
        <v>1</v>
      </c>
      <c r="AB48">
        <f>COUNTIFS('Odoo Items'!$J$5:$J$4331,A48,'Odoo Items'!$C$5:$C$4331,"&lt;="&amp;Cover!$C$15)</f>
        <v>34</v>
      </c>
      <c r="AC48" t="str">
        <f>IF(AND(AA48=0,AB48=0),"",IF(AA48=0,"ODOO-ONLY",IF(AB48=0,"BANK-ONLY","BOTH")))</f>
        <v>BOTH</v>
      </c>
      <c r="AD48" s="9">
        <f>IF(AC48="BOTH",ROUND(Y48-Z48,2),0)</f>
        <v>-85.59</v>
      </c>
    </row>
    <row r="49">
      <c r="A49" t="inlineStr">
        <is>
          <t>G00045</t>
        </is>
      </c>
      <c r="B49" t="inlineStr">
        <is>
          <t>OPS</t>
        </is>
      </c>
      <c r="C49" t="inlineStr">
        <is>
          <t>R02</t>
        </is>
      </c>
      <c r="D49" t="inlineStr">
        <is>
          <t>STRIPE-FEE</t>
        </is>
      </c>
      <c r="E49" t="inlineStr"/>
      <c r="G49" t="inlineStr">
        <is>
          <t>22 report lines; fees 55.24</t>
        </is>
      </c>
      <c r="H49">
        <f>COUNTIFS('Bank Lines'!$G$5:$G$1640,A49,'Bank Lines'!$J$5:$J$1640,1)</f>
        <v>1</v>
      </c>
      <c r="I49">
        <f>COUNTIFS('Odoo Items'!$J$5:$J$4331,A49)</f>
        <v>22</v>
      </c>
      <c r="J49" s="9">
        <f>ROUND(SUMIFS('Bank Lines'!$E$5:$E$1640,'Bank Lines'!$G$5:$G$1640,A49,'Bank Lines'!$J$5:$J$1640,1),2)</f>
        <v>2654.76</v>
      </c>
      <c r="K49" s="9">
        <f>ROUND(SUMIFS('Odoo Items'!$G$5:$G$4331,'Odoo Items'!$J$5:$J$4331,A49),2)</f>
        <v>2710</v>
      </c>
      <c r="L49" s="9">
        <f>ROUND(J49-K49,2)</f>
        <v>-55.24</v>
      </c>
      <c r="M49" s="9">
        <f>ROUND(SUMIFS('Bank Lines'!$E$5:$E$1640,'Bank Lines'!$G$5:$G$1640,A49,'Bank Lines'!$J$5:$J$1640,1,'Bank Lines'!$C$5:$C$1640,"&lt;="&amp;Cover!$C$13),2)</f>
        <v>0</v>
      </c>
      <c r="N49" s="9">
        <f>ROUND(SUMIFS('Odoo Items'!$G$5:$G$4331,'Odoo Items'!$J$5:$J$4331,A49,'Odoo Items'!$C$5:$C$4331,"&lt;="&amp;Cover!$C$13),2)</f>
        <v>0</v>
      </c>
      <c r="O49">
        <f>COUNTIFS('Bank Lines'!$G$5:$G$1640,A49,'Bank Lines'!$J$5:$J$1640,1,'Bank Lines'!$C$5:$C$1640,"&lt;="&amp;Cover!$C$13)</f>
        <v>0</v>
      </c>
      <c r="P49">
        <f>COUNTIFS('Odoo Items'!$J$5:$J$4331,A49,'Odoo Items'!$C$5:$C$4331,"&lt;="&amp;Cover!$C$13)</f>
        <v>0</v>
      </c>
      <c r="Q49">
        <f>IF(AND(O49=0,P49=0),"",IF(O49=0,"ODOO-ONLY",IF(P49=0,"BANK-ONLY","BOTH")))</f>
      </c>
      <c r="R49" s="9">
        <f>IF(Q49="BOTH",ROUND(M49-N49,2),0)</f>
        <v>0</v>
      </c>
      <c r="S49" s="9">
        <f>ROUND(SUMIFS('Bank Lines'!$E$5:$E$1640,'Bank Lines'!$G$5:$G$1640,A49,'Bank Lines'!$J$5:$J$1640,1,'Bank Lines'!$C$5:$C$1640,"&lt;="&amp;Cover!$C$14),2)</f>
        <v>2654.76</v>
      </c>
      <c r="T49" s="9">
        <f>ROUND(SUMIFS('Odoo Items'!$G$5:$G$4331,'Odoo Items'!$J$5:$J$4331,A49,'Odoo Items'!$C$5:$C$4331,"&lt;="&amp;Cover!$C$14),2)</f>
        <v>2710</v>
      </c>
      <c r="U49">
        <f>COUNTIFS('Bank Lines'!$G$5:$G$1640,A49,'Bank Lines'!$J$5:$J$1640,1,'Bank Lines'!$C$5:$C$1640,"&lt;="&amp;Cover!$C$14)</f>
        <v>1</v>
      </c>
      <c r="V49">
        <f>COUNTIFS('Odoo Items'!$J$5:$J$4331,A49,'Odoo Items'!$C$5:$C$4331,"&lt;="&amp;Cover!$C$14)</f>
        <v>22</v>
      </c>
      <c r="W49" t="str">
        <f>IF(AND(U49=0,V49=0),"",IF(U49=0,"ODOO-ONLY",IF(V49=0,"BANK-ONLY","BOTH")))</f>
        <v>BOTH</v>
      </c>
      <c r="X49" s="9">
        <f>IF(W49="BOTH",ROUND(S49-T49,2),0)</f>
        <v>-55.24</v>
      </c>
      <c r="Y49" s="9">
        <f>ROUND(SUMIFS('Bank Lines'!$E$5:$E$1640,'Bank Lines'!$G$5:$G$1640,A49,'Bank Lines'!$J$5:$J$1640,1,'Bank Lines'!$C$5:$C$1640,"&lt;="&amp;Cover!$C$15),2)</f>
        <v>2654.76</v>
      </c>
      <c r="Z49" s="9">
        <f>ROUND(SUMIFS('Odoo Items'!$G$5:$G$4331,'Odoo Items'!$J$5:$J$4331,A49,'Odoo Items'!$C$5:$C$4331,"&lt;="&amp;Cover!$C$15),2)</f>
        <v>2710</v>
      </c>
      <c r="AA49">
        <f>COUNTIFS('Bank Lines'!$G$5:$G$1640,A49,'Bank Lines'!$J$5:$J$1640,1,'Bank Lines'!$C$5:$C$1640,"&lt;="&amp;Cover!$C$15)</f>
        <v>1</v>
      </c>
      <c r="AB49">
        <f>COUNTIFS('Odoo Items'!$J$5:$J$4331,A49,'Odoo Items'!$C$5:$C$4331,"&lt;="&amp;Cover!$C$15)</f>
        <v>22</v>
      </c>
      <c r="AC49" t="str">
        <f>IF(AND(AA49=0,AB49=0),"",IF(AA49=0,"ODOO-ONLY",IF(AB49=0,"BANK-ONLY","BOTH")))</f>
        <v>BOTH</v>
      </c>
      <c r="AD49" s="9">
        <f>IF(AC49="BOTH",ROUND(Y49-Z49,2),0)</f>
        <v>-55.24</v>
      </c>
    </row>
    <row r="50">
      <c r="A50" t="inlineStr">
        <is>
          <t>G00046</t>
        </is>
      </c>
      <c r="B50" t="inlineStr">
        <is>
          <t>OPS</t>
        </is>
      </c>
      <c r="C50" t="inlineStr">
        <is>
          <t>R02</t>
        </is>
      </c>
      <c r="D50" t="inlineStr">
        <is>
          <t>STRIPE-FEE</t>
        </is>
      </c>
      <c r="E50" t="inlineStr"/>
      <c r="G50" t="inlineStr">
        <is>
          <t>24 report lines; fees 58.48</t>
        </is>
      </c>
      <c r="H50">
        <f>COUNTIFS('Bank Lines'!$G$5:$G$1640,A50,'Bank Lines'!$J$5:$J$1640,1)</f>
        <v>1</v>
      </c>
      <c r="I50">
        <f>COUNTIFS('Odoo Items'!$J$5:$J$4331,A50)</f>
        <v>24</v>
      </c>
      <c r="J50" s="9">
        <f>ROUND(SUMIFS('Bank Lines'!$E$5:$E$1640,'Bank Lines'!$G$5:$G$1640,A50,'Bank Lines'!$J$5:$J$1640,1),2)</f>
        <v>2871.52</v>
      </c>
      <c r="K50" s="9">
        <f>ROUND(SUMIFS('Odoo Items'!$G$5:$G$4331,'Odoo Items'!$J$5:$J$4331,A50),2)</f>
        <v>2930</v>
      </c>
      <c r="L50" s="9">
        <f>ROUND(J50-K50,2)</f>
        <v>-58.48</v>
      </c>
      <c r="M50" s="9">
        <f>ROUND(SUMIFS('Bank Lines'!$E$5:$E$1640,'Bank Lines'!$G$5:$G$1640,A50,'Bank Lines'!$J$5:$J$1640,1,'Bank Lines'!$C$5:$C$1640,"&lt;="&amp;Cover!$C$13),2)</f>
        <v>0</v>
      </c>
      <c r="N50" s="9">
        <f>ROUND(SUMIFS('Odoo Items'!$G$5:$G$4331,'Odoo Items'!$J$5:$J$4331,A50,'Odoo Items'!$C$5:$C$4331,"&lt;="&amp;Cover!$C$13),2)</f>
        <v>0</v>
      </c>
      <c r="O50">
        <f>COUNTIFS('Bank Lines'!$G$5:$G$1640,A50,'Bank Lines'!$J$5:$J$1640,1,'Bank Lines'!$C$5:$C$1640,"&lt;="&amp;Cover!$C$13)</f>
        <v>0</v>
      </c>
      <c r="P50">
        <f>COUNTIFS('Odoo Items'!$J$5:$J$4331,A50,'Odoo Items'!$C$5:$C$4331,"&lt;="&amp;Cover!$C$13)</f>
        <v>0</v>
      </c>
      <c r="Q50">
        <f>IF(AND(O50=0,P50=0),"",IF(O50=0,"ODOO-ONLY",IF(P50=0,"BANK-ONLY","BOTH")))</f>
      </c>
      <c r="R50" s="9">
        <f>IF(Q50="BOTH",ROUND(M50-N50,2),0)</f>
        <v>0</v>
      </c>
      <c r="S50" s="9">
        <f>ROUND(SUMIFS('Bank Lines'!$E$5:$E$1640,'Bank Lines'!$G$5:$G$1640,A50,'Bank Lines'!$J$5:$J$1640,1,'Bank Lines'!$C$5:$C$1640,"&lt;="&amp;Cover!$C$14),2)</f>
        <v>2871.52</v>
      </c>
      <c r="T50" s="9">
        <f>ROUND(SUMIFS('Odoo Items'!$G$5:$G$4331,'Odoo Items'!$J$5:$J$4331,A50,'Odoo Items'!$C$5:$C$4331,"&lt;="&amp;Cover!$C$14),2)</f>
        <v>2930</v>
      </c>
      <c r="U50">
        <f>COUNTIFS('Bank Lines'!$G$5:$G$1640,A50,'Bank Lines'!$J$5:$J$1640,1,'Bank Lines'!$C$5:$C$1640,"&lt;="&amp;Cover!$C$14)</f>
        <v>1</v>
      </c>
      <c r="V50">
        <f>COUNTIFS('Odoo Items'!$J$5:$J$4331,A50,'Odoo Items'!$C$5:$C$4331,"&lt;="&amp;Cover!$C$14)</f>
        <v>24</v>
      </c>
      <c r="W50" t="str">
        <f>IF(AND(U50=0,V50=0),"",IF(U50=0,"ODOO-ONLY",IF(V50=0,"BANK-ONLY","BOTH")))</f>
        <v>BOTH</v>
      </c>
      <c r="X50" s="9">
        <f>IF(W50="BOTH",ROUND(S50-T50,2),0)</f>
        <v>-58.48</v>
      </c>
      <c r="Y50" s="9">
        <f>ROUND(SUMIFS('Bank Lines'!$E$5:$E$1640,'Bank Lines'!$G$5:$G$1640,A50,'Bank Lines'!$J$5:$J$1640,1,'Bank Lines'!$C$5:$C$1640,"&lt;="&amp;Cover!$C$15),2)</f>
        <v>2871.52</v>
      </c>
      <c r="Z50" s="9">
        <f>ROUND(SUMIFS('Odoo Items'!$G$5:$G$4331,'Odoo Items'!$J$5:$J$4331,A50,'Odoo Items'!$C$5:$C$4331,"&lt;="&amp;Cover!$C$15),2)</f>
        <v>2930</v>
      </c>
      <c r="AA50">
        <f>COUNTIFS('Bank Lines'!$G$5:$G$1640,A50,'Bank Lines'!$J$5:$J$1640,1,'Bank Lines'!$C$5:$C$1640,"&lt;="&amp;Cover!$C$15)</f>
        <v>1</v>
      </c>
      <c r="AB50">
        <f>COUNTIFS('Odoo Items'!$J$5:$J$4331,A50,'Odoo Items'!$C$5:$C$4331,"&lt;="&amp;Cover!$C$15)</f>
        <v>24</v>
      </c>
      <c r="AC50" t="str">
        <f>IF(AND(AA50=0,AB50=0),"",IF(AA50=0,"ODOO-ONLY",IF(AB50=0,"BANK-ONLY","BOTH")))</f>
        <v>BOTH</v>
      </c>
      <c r="AD50" s="9">
        <f>IF(AC50="BOTH",ROUND(Y50-Z50,2),0)</f>
        <v>-58.48</v>
      </c>
    </row>
    <row r="51">
      <c r="A51" t="inlineStr">
        <is>
          <t>G00047</t>
        </is>
      </c>
      <c r="B51" t="inlineStr">
        <is>
          <t>OPS</t>
        </is>
      </c>
      <c r="C51" t="inlineStr">
        <is>
          <t>R02</t>
        </is>
      </c>
      <c r="D51" t="inlineStr">
        <is>
          <t>STRIPE-FEE</t>
        </is>
      </c>
      <c r="E51" t="inlineStr"/>
      <c r="G51" t="inlineStr">
        <is>
          <t>30 report lines; fees 81.04</t>
        </is>
      </c>
      <c r="H51">
        <f>COUNTIFS('Bank Lines'!$G$5:$G$1640,A51,'Bank Lines'!$J$5:$J$1640,1)</f>
        <v>1</v>
      </c>
      <c r="I51">
        <f>COUNTIFS('Odoo Items'!$J$5:$J$4331,A51)</f>
        <v>30</v>
      </c>
      <c r="J51" s="9">
        <f>ROUND(SUMIFS('Bank Lines'!$E$5:$E$1640,'Bank Lines'!$G$5:$G$1640,A51,'Bank Lines'!$J$5:$J$1640,1),2)</f>
        <v>4033.96</v>
      </c>
      <c r="K51" s="9">
        <f>ROUND(SUMIFS('Odoo Items'!$G$5:$G$4331,'Odoo Items'!$J$5:$J$4331,A51),2)</f>
        <v>4115</v>
      </c>
      <c r="L51" s="9">
        <f>ROUND(J51-K51,2)</f>
        <v>-81.04</v>
      </c>
      <c r="M51" s="9">
        <f>ROUND(SUMIFS('Bank Lines'!$E$5:$E$1640,'Bank Lines'!$G$5:$G$1640,A51,'Bank Lines'!$J$5:$J$1640,1,'Bank Lines'!$C$5:$C$1640,"&lt;="&amp;Cover!$C$13),2)</f>
        <v>0</v>
      </c>
      <c r="N51" s="9">
        <f>ROUND(SUMIFS('Odoo Items'!$G$5:$G$4331,'Odoo Items'!$J$5:$J$4331,A51,'Odoo Items'!$C$5:$C$4331,"&lt;="&amp;Cover!$C$13),2)</f>
        <v>0</v>
      </c>
      <c r="O51">
        <f>COUNTIFS('Bank Lines'!$G$5:$G$1640,A51,'Bank Lines'!$J$5:$J$1640,1,'Bank Lines'!$C$5:$C$1640,"&lt;="&amp;Cover!$C$13)</f>
        <v>0</v>
      </c>
      <c r="P51">
        <f>COUNTIFS('Odoo Items'!$J$5:$J$4331,A51,'Odoo Items'!$C$5:$C$4331,"&lt;="&amp;Cover!$C$13)</f>
        <v>0</v>
      </c>
      <c r="Q51">
        <f>IF(AND(O51=0,P51=0),"",IF(O51=0,"ODOO-ONLY",IF(P51=0,"BANK-ONLY","BOTH")))</f>
      </c>
      <c r="R51" s="9">
        <f>IF(Q51="BOTH",ROUND(M51-N51,2),0)</f>
        <v>0</v>
      </c>
      <c r="S51" s="9">
        <f>ROUND(SUMIFS('Bank Lines'!$E$5:$E$1640,'Bank Lines'!$G$5:$G$1640,A51,'Bank Lines'!$J$5:$J$1640,1,'Bank Lines'!$C$5:$C$1640,"&lt;="&amp;Cover!$C$14),2)</f>
        <v>4033.96</v>
      </c>
      <c r="T51" s="9">
        <f>ROUND(SUMIFS('Odoo Items'!$G$5:$G$4331,'Odoo Items'!$J$5:$J$4331,A51,'Odoo Items'!$C$5:$C$4331,"&lt;="&amp;Cover!$C$14),2)</f>
        <v>4115</v>
      </c>
      <c r="U51">
        <f>COUNTIFS('Bank Lines'!$G$5:$G$1640,A51,'Bank Lines'!$J$5:$J$1640,1,'Bank Lines'!$C$5:$C$1640,"&lt;="&amp;Cover!$C$14)</f>
        <v>1</v>
      </c>
      <c r="V51">
        <f>COUNTIFS('Odoo Items'!$J$5:$J$4331,A51,'Odoo Items'!$C$5:$C$4331,"&lt;="&amp;Cover!$C$14)</f>
        <v>30</v>
      </c>
      <c r="W51" t="str">
        <f>IF(AND(U51=0,V51=0),"",IF(U51=0,"ODOO-ONLY",IF(V51=0,"BANK-ONLY","BOTH")))</f>
        <v>BOTH</v>
      </c>
      <c r="X51" s="9">
        <f>IF(W51="BOTH",ROUND(S51-T51,2),0)</f>
        <v>-81.04</v>
      </c>
      <c r="Y51" s="9">
        <f>ROUND(SUMIFS('Bank Lines'!$E$5:$E$1640,'Bank Lines'!$G$5:$G$1640,A51,'Bank Lines'!$J$5:$J$1640,1,'Bank Lines'!$C$5:$C$1640,"&lt;="&amp;Cover!$C$15),2)</f>
        <v>4033.96</v>
      </c>
      <c r="Z51" s="9">
        <f>ROUND(SUMIFS('Odoo Items'!$G$5:$G$4331,'Odoo Items'!$J$5:$J$4331,A51,'Odoo Items'!$C$5:$C$4331,"&lt;="&amp;Cover!$C$15),2)</f>
        <v>4115</v>
      </c>
      <c r="AA51">
        <f>COUNTIFS('Bank Lines'!$G$5:$G$1640,A51,'Bank Lines'!$J$5:$J$1640,1,'Bank Lines'!$C$5:$C$1640,"&lt;="&amp;Cover!$C$15)</f>
        <v>1</v>
      </c>
      <c r="AB51">
        <f>COUNTIFS('Odoo Items'!$J$5:$J$4331,A51,'Odoo Items'!$C$5:$C$4331,"&lt;="&amp;Cover!$C$15)</f>
        <v>30</v>
      </c>
      <c r="AC51" t="str">
        <f>IF(AND(AA51=0,AB51=0),"",IF(AA51=0,"ODOO-ONLY",IF(AB51=0,"BANK-ONLY","BOTH")))</f>
        <v>BOTH</v>
      </c>
      <c r="AD51" s="9">
        <f>IF(AC51="BOTH",ROUND(Y51-Z51,2),0)</f>
        <v>-81.04</v>
      </c>
    </row>
    <row r="52">
      <c r="A52" t="inlineStr">
        <is>
          <t>G00048</t>
        </is>
      </c>
      <c r="B52" t="inlineStr">
        <is>
          <t>OPS</t>
        </is>
      </c>
      <c r="C52" t="inlineStr">
        <is>
          <t>R02</t>
        </is>
      </c>
      <c r="D52" t="inlineStr">
        <is>
          <t>STRIPE-FEE</t>
        </is>
      </c>
      <c r="E52" t="inlineStr"/>
      <c r="G52" t="inlineStr">
        <is>
          <t>39 report lines; fees 104.31</t>
        </is>
      </c>
      <c r="H52">
        <f>COUNTIFS('Bank Lines'!$G$5:$G$1640,A52,'Bank Lines'!$J$5:$J$1640,1)</f>
        <v>1</v>
      </c>
      <c r="I52">
        <f>COUNTIFS('Odoo Items'!$J$5:$J$4331,A52)</f>
        <v>39</v>
      </c>
      <c r="J52" s="9">
        <f>ROUND(SUMIFS('Bank Lines'!$E$5:$E$1640,'Bank Lines'!$G$5:$G$1640,A52,'Bank Lines'!$J$5:$J$1640,1),2)</f>
        <v>5185.69</v>
      </c>
      <c r="K52" s="9">
        <f>ROUND(SUMIFS('Odoo Items'!$G$5:$G$4331,'Odoo Items'!$J$5:$J$4331,A52),2)</f>
        <v>5290</v>
      </c>
      <c r="L52" s="9">
        <f>ROUND(J52-K52,2)</f>
        <v>-104.31</v>
      </c>
      <c r="M52" s="9">
        <f>ROUND(SUMIFS('Bank Lines'!$E$5:$E$1640,'Bank Lines'!$G$5:$G$1640,A52,'Bank Lines'!$J$5:$J$1640,1,'Bank Lines'!$C$5:$C$1640,"&lt;="&amp;Cover!$C$13),2)</f>
        <v>0</v>
      </c>
      <c r="N52" s="9">
        <f>ROUND(SUMIFS('Odoo Items'!$G$5:$G$4331,'Odoo Items'!$J$5:$J$4331,A52,'Odoo Items'!$C$5:$C$4331,"&lt;="&amp;Cover!$C$13),2)</f>
        <v>0</v>
      </c>
      <c r="O52">
        <f>COUNTIFS('Bank Lines'!$G$5:$G$1640,A52,'Bank Lines'!$J$5:$J$1640,1,'Bank Lines'!$C$5:$C$1640,"&lt;="&amp;Cover!$C$13)</f>
        <v>0</v>
      </c>
      <c r="P52">
        <f>COUNTIFS('Odoo Items'!$J$5:$J$4331,A52,'Odoo Items'!$C$5:$C$4331,"&lt;="&amp;Cover!$C$13)</f>
        <v>0</v>
      </c>
      <c r="Q52">
        <f>IF(AND(O52=0,P52=0),"",IF(O52=0,"ODOO-ONLY",IF(P52=0,"BANK-ONLY","BOTH")))</f>
      </c>
      <c r="R52" s="9">
        <f>IF(Q52="BOTH",ROUND(M52-N52,2),0)</f>
        <v>0</v>
      </c>
      <c r="S52" s="9">
        <f>ROUND(SUMIFS('Bank Lines'!$E$5:$E$1640,'Bank Lines'!$G$5:$G$1640,A52,'Bank Lines'!$J$5:$J$1640,1,'Bank Lines'!$C$5:$C$1640,"&lt;="&amp;Cover!$C$14),2)</f>
        <v>5185.69</v>
      </c>
      <c r="T52" s="9">
        <f>ROUND(SUMIFS('Odoo Items'!$G$5:$G$4331,'Odoo Items'!$J$5:$J$4331,A52,'Odoo Items'!$C$5:$C$4331,"&lt;="&amp;Cover!$C$14),2)</f>
        <v>5290</v>
      </c>
      <c r="U52">
        <f>COUNTIFS('Bank Lines'!$G$5:$G$1640,A52,'Bank Lines'!$J$5:$J$1640,1,'Bank Lines'!$C$5:$C$1640,"&lt;="&amp;Cover!$C$14)</f>
        <v>1</v>
      </c>
      <c r="V52">
        <f>COUNTIFS('Odoo Items'!$J$5:$J$4331,A52,'Odoo Items'!$C$5:$C$4331,"&lt;="&amp;Cover!$C$14)</f>
        <v>39</v>
      </c>
      <c r="W52" t="str">
        <f>IF(AND(U52=0,V52=0),"",IF(U52=0,"ODOO-ONLY",IF(V52=0,"BANK-ONLY","BOTH")))</f>
        <v>BOTH</v>
      </c>
      <c r="X52" s="9">
        <f>IF(W52="BOTH",ROUND(S52-T52,2),0)</f>
        <v>-104.31</v>
      </c>
      <c r="Y52" s="9">
        <f>ROUND(SUMIFS('Bank Lines'!$E$5:$E$1640,'Bank Lines'!$G$5:$G$1640,A52,'Bank Lines'!$J$5:$J$1640,1,'Bank Lines'!$C$5:$C$1640,"&lt;="&amp;Cover!$C$15),2)</f>
        <v>5185.69</v>
      </c>
      <c r="Z52" s="9">
        <f>ROUND(SUMIFS('Odoo Items'!$G$5:$G$4331,'Odoo Items'!$J$5:$J$4331,A52,'Odoo Items'!$C$5:$C$4331,"&lt;="&amp;Cover!$C$15),2)</f>
        <v>5290</v>
      </c>
      <c r="AA52">
        <f>COUNTIFS('Bank Lines'!$G$5:$G$1640,A52,'Bank Lines'!$J$5:$J$1640,1,'Bank Lines'!$C$5:$C$1640,"&lt;="&amp;Cover!$C$15)</f>
        <v>1</v>
      </c>
      <c r="AB52">
        <f>COUNTIFS('Odoo Items'!$J$5:$J$4331,A52,'Odoo Items'!$C$5:$C$4331,"&lt;="&amp;Cover!$C$15)</f>
        <v>39</v>
      </c>
      <c r="AC52" t="str">
        <f>IF(AND(AA52=0,AB52=0),"",IF(AA52=0,"ODOO-ONLY",IF(AB52=0,"BANK-ONLY","BOTH")))</f>
        <v>BOTH</v>
      </c>
      <c r="AD52" s="9">
        <f>IF(AC52="BOTH",ROUND(Y52-Z52,2),0)</f>
        <v>-104.31</v>
      </c>
    </row>
    <row r="53">
      <c r="A53" t="inlineStr">
        <is>
          <t>G00049</t>
        </is>
      </c>
      <c r="B53" t="inlineStr">
        <is>
          <t>OPS</t>
        </is>
      </c>
      <c r="C53" t="inlineStr">
        <is>
          <t>R02</t>
        </is>
      </c>
      <c r="D53" t="inlineStr">
        <is>
          <t>STRIPE-FEE</t>
        </is>
      </c>
      <c r="E53" t="inlineStr"/>
      <c r="G53" t="inlineStr">
        <is>
          <t>23 report lines; fees 61.67</t>
        </is>
      </c>
      <c r="H53">
        <f>COUNTIFS('Bank Lines'!$G$5:$G$1640,A53,'Bank Lines'!$J$5:$J$1640,1)</f>
        <v>1</v>
      </c>
      <c r="I53">
        <f>COUNTIFS('Odoo Items'!$J$5:$J$4331,A53)</f>
        <v>23</v>
      </c>
      <c r="J53" s="9">
        <f>ROUND(SUMIFS('Bank Lines'!$E$5:$E$1640,'Bank Lines'!$G$5:$G$1640,A53,'Bank Lines'!$J$5:$J$1640,1),2)</f>
        <v>3068.33</v>
      </c>
      <c r="K53" s="9">
        <f>ROUND(SUMIFS('Odoo Items'!$G$5:$G$4331,'Odoo Items'!$J$5:$J$4331,A53),2)</f>
        <v>3130</v>
      </c>
      <c r="L53" s="9">
        <f>ROUND(J53-K53,2)</f>
        <v>-61.67</v>
      </c>
      <c r="M53" s="9">
        <f>ROUND(SUMIFS('Bank Lines'!$E$5:$E$1640,'Bank Lines'!$G$5:$G$1640,A53,'Bank Lines'!$J$5:$J$1640,1,'Bank Lines'!$C$5:$C$1640,"&lt;="&amp;Cover!$C$13),2)</f>
        <v>0</v>
      </c>
      <c r="N53" s="9">
        <f>ROUND(SUMIFS('Odoo Items'!$G$5:$G$4331,'Odoo Items'!$J$5:$J$4331,A53,'Odoo Items'!$C$5:$C$4331,"&lt;="&amp;Cover!$C$13),2)</f>
        <v>0</v>
      </c>
      <c r="O53">
        <f>COUNTIFS('Bank Lines'!$G$5:$G$1640,A53,'Bank Lines'!$J$5:$J$1640,1,'Bank Lines'!$C$5:$C$1640,"&lt;="&amp;Cover!$C$13)</f>
        <v>0</v>
      </c>
      <c r="P53">
        <f>COUNTIFS('Odoo Items'!$J$5:$J$4331,A53,'Odoo Items'!$C$5:$C$4331,"&lt;="&amp;Cover!$C$13)</f>
        <v>0</v>
      </c>
      <c r="Q53">
        <f>IF(AND(O53=0,P53=0),"",IF(O53=0,"ODOO-ONLY",IF(P53=0,"BANK-ONLY","BOTH")))</f>
      </c>
      <c r="R53" s="9">
        <f>IF(Q53="BOTH",ROUND(M53-N53,2),0)</f>
        <v>0</v>
      </c>
      <c r="S53" s="9">
        <f>ROUND(SUMIFS('Bank Lines'!$E$5:$E$1640,'Bank Lines'!$G$5:$G$1640,A53,'Bank Lines'!$J$5:$J$1640,1,'Bank Lines'!$C$5:$C$1640,"&lt;="&amp;Cover!$C$14),2)</f>
        <v>3068.33</v>
      </c>
      <c r="T53" s="9">
        <f>ROUND(SUMIFS('Odoo Items'!$G$5:$G$4331,'Odoo Items'!$J$5:$J$4331,A53,'Odoo Items'!$C$5:$C$4331,"&lt;="&amp;Cover!$C$14),2)</f>
        <v>3130</v>
      </c>
      <c r="U53">
        <f>COUNTIFS('Bank Lines'!$G$5:$G$1640,A53,'Bank Lines'!$J$5:$J$1640,1,'Bank Lines'!$C$5:$C$1640,"&lt;="&amp;Cover!$C$14)</f>
        <v>1</v>
      </c>
      <c r="V53">
        <f>COUNTIFS('Odoo Items'!$J$5:$J$4331,A53,'Odoo Items'!$C$5:$C$4331,"&lt;="&amp;Cover!$C$14)</f>
        <v>23</v>
      </c>
      <c r="W53" t="str">
        <f>IF(AND(U53=0,V53=0),"",IF(U53=0,"ODOO-ONLY",IF(V53=0,"BANK-ONLY","BOTH")))</f>
        <v>BOTH</v>
      </c>
      <c r="X53" s="9">
        <f>IF(W53="BOTH",ROUND(S53-T53,2),0)</f>
        <v>-61.67</v>
      </c>
      <c r="Y53" s="9">
        <f>ROUND(SUMIFS('Bank Lines'!$E$5:$E$1640,'Bank Lines'!$G$5:$G$1640,A53,'Bank Lines'!$J$5:$J$1640,1,'Bank Lines'!$C$5:$C$1640,"&lt;="&amp;Cover!$C$15),2)</f>
        <v>3068.33</v>
      </c>
      <c r="Z53" s="9">
        <f>ROUND(SUMIFS('Odoo Items'!$G$5:$G$4331,'Odoo Items'!$J$5:$J$4331,A53,'Odoo Items'!$C$5:$C$4331,"&lt;="&amp;Cover!$C$15),2)</f>
        <v>3130</v>
      </c>
      <c r="AA53">
        <f>COUNTIFS('Bank Lines'!$G$5:$G$1640,A53,'Bank Lines'!$J$5:$J$1640,1,'Bank Lines'!$C$5:$C$1640,"&lt;="&amp;Cover!$C$15)</f>
        <v>1</v>
      </c>
      <c r="AB53">
        <f>COUNTIFS('Odoo Items'!$J$5:$J$4331,A53,'Odoo Items'!$C$5:$C$4331,"&lt;="&amp;Cover!$C$15)</f>
        <v>23</v>
      </c>
      <c r="AC53" t="str">
        <f>IF(AND(AA53=0,AB53=0),"",IF(AA53=0,"ODOO-ONLY",IF(AB53=0,"BANK-ONLY","BOTH")))</f>
        <v>BOTH</v>
      </c>
      <c r="AD53" s="9">
        <f>IF(AC53="BOTH",ROUND(Y53-Z53,2),0)</f>
        <v>-61.67</v>
      </c>
    </row>
    <row r="54">
      <c r="A54" t="inlineStr">
        <is>
          <t>G00050</t>
        </is>
      </c>
      <c r="B54" t="inlineStr">
        <is>
          <t>OPS</t>
        </is>
      </c>
      <c r="C54" t="inlineStr">
        <is>
          <t>R02</t>
        </is>
      </c>
      <c r="D54" t="inlineStr">
        <is>
          <t>STRIPE-FEE</t>
        </is>
      </c>
      <c r="E54" t="inlineStr"/>
      <c r="G54" t="inlineStr">
        <is>
          <t>31 report lines; fees 79.42</t>
        </is>
      </c>
      <c r="H54">
        <f>COUNTIFS('Bank Lines'!$G$5:$G$1640,A54,'Bank Lines'!$J$5:$J$1640,1)</f>
        <v>1</v>
      </c>
      <c r="I54">
        <f>COUNTIFS('Odoo Items'!$J$5:$J$4331,A54)</f>
        <v>31</v>
      </c>
      <c r="J54" s="9">
        <f>ROUND(SUMIFS('Bank Lines'!$E$5:$E$1640,'Bank Lines'!$G$5:$G$1640,A54,'Bank Lines'!$J$5:$J$1640,1),2)</f>
        <v>3925.58</v>
      </c>
      <c r="K54" s="9">
        <f>ROUND(SUMIFS('Odoo Items'!$G$5:$G$4331,'Odoo Items'!$J$5:$J$4331,A54),2)</f>
        <v>4005</v>
      </c>
      <c r="L54" s="9">
        <f>ROUND(J54-K54,2)</f>
        <v>-79.42</v>
      </c>
      <c r="M54" s="9">
        <f>ROUND(SUMIFS('Bank Lines'!$E$5:$E$1640,'Bank Lines'!$G$5:$G$1640,A54,'Bank Lines'!$J$5:$J$1640,1,'Bank Lines'!$C$5:$C$1640,"&lt;="&amp;Cover!$C$13),2)</f>
        <v>0</v>
      </c>
      <c r="N54" s="9">
        <f>ROUND(SUMIFS('Odoo Items'!$G$5:$G$4331,'Odoo Items'!$J$5:$J$4331,A54,'Odoo Items'!$C$5:$C$4331,"&lt;="&amp;Cover!$C$13),2)</f>
        <v>0</v>
      </c>
      <c r="O54">
        <f>COUNTIFS('Bank Lines'!$G$5:$G$1640,A54,'Bank Lines'!$J$5:$J$1640,1,'Bank Lines'!$C$5:$C$1640,"&lt;="&amp;Cover!$C$13)</f>
        <v>0</v>
      </c>
      <c r="P54">
        <f>COUNTIFS('Odoo Items'!$J$5:$J$4331,A54,'Odoo Items'!$C$5:$C$4331,"&lt;="&amp;Cover!$C$13)</f>
        <v>0</v>
      </c>
      <c r="Q54">
        <f>IF(AND(O54=0,P54=0),"",IF(O54=0,"ODOO-ONLY",IF(P54=0,"BANK-ONLY","BOTH")))</f>
      </c>
      <c r="R54" s="9">
        <f>IF(Q54="BOTH",ROUND(M54-N54,2),0)</f>
        <v>0</v>
      </c>
      <c r="S54" s="9">
        <f>ROUND(SUMIFS('Bank Lines'!$E$5:$E$1640,'Bank Lines'!$G$5:$G$1640,A54,'Bank Lines'!$J$5:$J$1640,1,'Bank Lines'!$C$5:$C$1640,"&lt;="&amp;Cover!$C$14),2)</f>
        <v>3925.58</v>
      </c>
      <c r="T54" s="9">
        <f>ROUND(SUMIFS('Odoo Items'!$G$5:$G$4331,'Odoo Items'!$J$5:$J$4331,A54,'Odoo Items'!$C$5:$C$4331,"&lt;="&amp;Cover!$C$14),2)</f>
        <v>4005</v>
      </c>
      <c r="U54">
        <f>COUNTIFS('Bank Lines'!$G$5:$G$1640,A54,'Bank Lines'!$J$5:$J$1640,1,'Bank Lines'!$C$5:$C$1640,"&lt;="&amp;Cover!$C$14)</f>
        <v>1</v>
      </c>
      <c r="V54">
        <f>COUNTIFS('Odoo Items'!$J$5:$J$4331,A54,'Odoo Items'!$C$5:$C$4331,"&lt;="&amp;Cover!$C$14)</f>
        <v>31</v>
      </c>
      <c r="W54" t="str">
        <f>IF(AND(U54=0,V54=0),"",IF(U54=0,"ODOO-ONLY",IF(V54=0,"BANK-ONLY","BOTH")))</f>
        <v>BOTH</v>
      </c>
      <c r="X54" s="9">
        <f>IF(W54="BOTH",ROUND(S54-T54,2),0)</f>
        <v>-79.42</v>
      </c>
      <c r="Y54" s="9">
        <f>ROUND(SUMIFS('Bank Lines'!$E$5:$E$1640,'Bank Lines'!$G$5:$G$1640,A54,'Bank Lines'!$J$5:$J$1640,1,'Bank Lines'!$C$5:$C$1640,"&lt;="&amp;Cover!$C$15),2)</f>
        <v>3925.58</v>
      </c>
      <c r="Z54" s="9">
        <f>ROUND(SUMIFS('Odoo Items'!$G$5:$G$4331,'Odoo Items'!$J$5:$J$4331,A54,'Odoo Items'!$C$5:$C$4331,"&lt;="&amp;Cover!$C$15),2)</f>
        <v>4005</v>
      </c>
      <c r="AA54">
        <f>COUNTIFS('Bank Lines'!$G$5:$G$1640,A54,'Bank Lines'!$J$5:$J$1640,1,'Bank Lines'!$C$5:$C$1640,"&lt;="&amp;Cover!$C$15)</f>
        <v>1</v>
      </c>
      <c r="AB54">
        <f>COUNTIFS('Odoo Items'!$J$5:$J$4331,A54,'Odoo Items'!$C$5:$C$4331,"&lt;="&amp;Cover!$C$15)</f>
        <v>31</v>
      </c>
      <c r="AC54" t="str">
        <f>IF(AND(AA54=0,AB54=0),"",IF(AA54=0,"ODOO-ONLY",IF(AB54=0,"BANK-ONLY","BOTH")))</f>
        <v>BOTH</v>
      </c>
      <c r="AD54" s="9">
        <f>IF(AC54="BOTH",ROUND(Y54-Z54,2),0)</f>
        <v>-79.42</v>
      </c>
    </row>
    <row r="55">
      <c r="A55" t="inlineStr">
        <is>
          <t>G00051</t>
        </is>
      </c>
      <c r="B55" t="inlineStr">
        <is>
          <t>OPS</t>
        </is>
      </c>
      <c r="C55" t="inlineStr">
        <is>
          <t>R02</t>
        </is>
      </c>
      <c r="D55" t="inlineStr">
        <is>
          <t>STRIPE-FEE</t>
        </is>
      </c>
      <c r="E55" t="inlineStr"/>
      <c r="G55" t="inlineStr">
        <is>
          <t>34 report lines; fees 86.54</t>
        </is>
      </c>
      <c r="H55">
        <f>COUNTIFS('Bank Lines'!$G$5:$G$1640,A55,'Bank Lines'!$J$5:$J$1640,1)</f>
        <v>1</v>
      </c>
      <c r="I55">
        <f>COUNTIFS('Odoo Items'!$J$5:$J$4331,A55)</f>
        <v>34</v>
      </c>
      <c r="J55" s="9">
        <f>ROUND(SUMIFS('Bank Lines'!$E$5:$E$1640,'Bank Lines'!$G$5:$G$1640,A55,'Bank Lines'!$J$5:$J$1640,1),2)</f>
        <v>4273.46</v>
      </c>
      <c r="K55" s="9">
        <f>ROUND(SUMIFS('Odoo Items'!$G$5:$G$4331,'Odoo Items'!$J$5:$J$4331,A55),2)</f>
        <v>4360</v>
      </c>
      <c r="L55" s="9">
        <f>ROUND(J55-K55,2)</f>
        <v>-86.54</v>
      </c>
      <c r="M55" s="9">
        <f>ROUND(SUMIFS('Bank Lines'!$E$5:$E$1640,'Bank Lines'!$G$5:$G$1640,A55,'Bank Lines'!$J$5:$J$1640,1,'Bank Lines'!$C$5:$C$1640,"&lt;="&amp;Cover!$C$13),2)</f>
        <v>0</v>
      </c>
      <c r="N55" s="9">
        <f>ROUND(SUMIFS('Odoo Items'!$G$5:$G$4331,'Odoo Items'!$J$5:$J$4331,A55,'Odoo Items'!$C$5:$C$4331,"&lt;="&amp;Cover!$C$13),2)</f>
        <v>0</v>
      </c>
      <c r="O55">
        <f>COUNTIFS('Bank Lines'!$G$5:$G$1640,A55,'Bank Lines'!$J$5:$J$1640,1,'Bank Lines'!$C$5:$C$1640,"&lt;="&amp;Cover!$C$13)</f>
        <v>0</v>
      </c>
      <c r="P55">
        <f>COUNTIFS('Odoo Items'!$J$5:$J$4331,A55,'Odoo Items'!$C$5:$C$4331,"&lt;="&amp;Cover!$C$13)</f>
        <v>0</v>
      </c>
      <c r="Q55">
        <f>IF(AND(O55=0,P55=0),"",IF(O55=0,"ODOO-ONLY",IF(P55=0,"BANK-ONLY","BOTH")))</f>
      </c>
      <c r="R55" s="9">
        <f>IF(Q55="BOTH",ROUND(M55-N55,2),0)</f>
        <v>0</v>
      </c>
      <c r="S55" s="9">
        <f>ROUND(SUMIFS('Bank Lines'!$E$5:$E$1640,'Bank Lines'!$G$5:$G$1640,A55,'Bank Lines'!$J$5:$J$1640,1,'Bank Lines'!$C$5:$C$1640,"&lt;="&amp;Cover!$C$14),2)</f>
        <v>4273.46</v>
      </c>
      <c r="T55" s="9">
        <f>ROUND(SUMIFS('Odoo Items'!$G$5:$G$4331,'Odoo Items'!$J$5:$J$4331,A55,'Odoo Items'!$C$5:$C$4331,"&lt;="&amp;Cover!$C$14),2)</f>
        <v>4360</v>
      </c>
      <c r="U55">
        <f>COUNTIFS('Bank Lines'!$G$5:$G$1640,A55,'Bank Lines'!$J$5:$J$1640,1,'Bank Lines'!$C$5:$C$1640,"&lt;="&amp;Cover!$C$14)</f>
        <v>1</v>
      </c>
      <c r="V55">
        <f>COUNTIFS('Odoo Items'!$J$5:$J$4331,A55,'Odoo Items'!$C$5:$C$4331,"&lt;="&amp;Cover!$C$14)</f>
        <v>34</v>
      </c>
      <c r="W55" t="str">
        <f>IF(AND(U55=0,V55=0),"",IF(U55=0,"ODOO-ONLY",IF(V55=0,"BANK-ONLY","BOTH")))</f>
        <v>BOTH</v>
      </c>
      <c r="X55" s="9">
        <f>IF(W55="BOTH",ROUND(S55-T55,2),0)</f>
        <v>-86.54</v>
      </c>
      <c r="Y55" s="9">
        <f>ROUND(SUMIFS('Bank Lines'!$E$5:$E$1640,'Bank Lines'!$G$5:$G$1640,A55,'Bank Lines'!$J$5:$J$1640,1,'Bank Lines'!$C$5:$C$1640,"&lt;="&amp;Cover!$C$15),2)</f>
        <v>4273.46</v>
      </c>
      <c r="Z55" s="9">
        <f>ROUND(SUMIFS('Odoo Items'!$G$5:$G$4331,'Odoo Items'!$J$5:$J$4331,A55,'Odoo Items'!$C$5:$C$4331,"&lt;="&amp;Cover!$C$15),2)</f>
        <v>4360</v>
      </c>
      <c r="AA55">
        <f>COUNTIFS('Bank Lines'!$G$5:$G$1640,A55,'Bank Lines'!$J$5:$J$1640,1,'Bank Lines'!$C$5:$C$1640,"&lt;="&amp;Cover!$C$15)</f>
        <v>1</v>
      </c>
      <c r="AB55">
        <f>COUNTIFS('Odoo Items'!$J$5:$J$4331,A55,'Odoo Items'!$C$5:$C$4331,"&lt;="&amp;Cover!$C$15)</f>
        <v>34</v>
      </c>
      <c r="AC55" t="str">
        <f>IF(AND(AA55=0,AB55=0),"",IF(AA55=0,"ODOO-ONLY",IF(AB55=0,"BANK-ONLY","BOTH")))</f>
        <v>BOTH</v>
      </c>
      <c r="AD55" s="9">
        <f>IF(AC55="BOTH",ROUND(Y55-Z55,2),0)</f>
        <v>-86.54</v>
      </c>
    </row>
    <row r="56">
      <c r="A56" t="inlineStr">
        <is>
          <t>G00052</t>
        </is>
      </c>
      <c r="B56" t="inlineStr">
        <is>
          <t>OPS</t>
        </is>
      </c>
      <c r="C56" t="inlineStr">
        <is>
          <t>R02</t>
        </is>
      </c>
      <c r="D56" t="inlineStr">
        <is>
          <t>STRIPE-FEE</t>
        </is>
      </c>
      <c r="E56" t="inlineStr"/>
      <c r="G56" t="inlineStr">
        <is>
          <t>32 report lines; fees 78.12</t>
        </is>
      </c>
      <c r="H56">
        <f>COUNTIFS('Bank Lines'!$G$5:$G$1640,A56,'Bank Lines'!$J$5:$J$1640,1)</f>
        <v>1</v>
      </c>
      <c r="I56">
        <f>COUNTIFS('Odoo Items'!$J$5:$J$4331,A56)</f>
        <v>32</v>
      </c>
      <c r="J56" s="9">
        <f>ROUND(SUMIFS('Bank Lines'!$E$5:$E$1640,'Bank Lines'!$G$5:$G$1640,A56,'Bank Lines'!$J$5:$J$1640,1),2)</f>
        <v>3671.88</v>
      </c>
      <c r="K56" s="9">
        <f>ROUND(SUMIFS('Odoo Items'!$G$5:$G$4331,'Odoo Items'!$J$5:$J$4331,A56),2)</f>
        <v>3750</v>
      </c>
      <c r="L56" s="9">
        <f>ROUND(J56-K56,2)</f>
        <v>-78.12</v>
      </c>
      <c r="M56" s="9">
        <f>ROUND(SUMIFS('Bank Lines'!$E$5:$E$1640,'Bank Lines'!$G$5:$G$1640,A56,'Bank Lines'!$J$5:$J$1640,1,'Bank Lines'!$C$5:$C$1640,"&lt;="&amp;Cover!$C$13),2)</f>
        <v>0</v>
      </c>
      <c r="N56" s="9">
        <f>ROUND(SUMIFS('Odoo Items'!$G$5:$G$4331,'Odoo Items'!$J$5:$J$4331,A56,'Odoo Items'!$C$5:$C$4331,"&lt;="&amp;Cover!$C$13),2)</f>
        <v>0</v>
      </c>
      <c r="O56">
        <f>COUNTIFS('Bank Lines'!$G$5:$G$1640,A56,'Bank Lines'!$J$5:$J$1640,1,'Bank Lines'!$C$5:$C$1640,"&lt;="&amp;Cover!$C$13)</f>
        <v>0</v>
      </c>
      <c r="P56">
        <f>COUNTIFS('Odoo Items'!$J$5:$J$4331,A56,'Odoo Items'!$C$5:$C$4331,"&lt;="&amp;Cover!$C$13)</f>
        <v>0</v>
      </c>
      <c r="Q56">
        <f>IF(AND(O56=0,P56=0),"",IF(O56=0,"ODOO-ONLY",IF(P56=0,"BANK-ONLY","BOTH")))</f>
      </c>
      <c r="R56" s="9">
        <f>IF(Q56="BOTH",ROUND(M56-N56,2),0)</f>
        <v>0</v>
      </c>
      <c r="S56" s="9">
        <f>ROUND(SUMIFS('Bank Lines'!$E$5:$E$1640,'Bank Lines'!$G$5:$G$1640,A56,'Bank Lines'!$J$5:$J$1640,1,'Bank Lines'!$C$5:$C$1640,"&lt;="&amp;Cover!$C$14),2)</f>
        <v>3671.88</v>
      </c>
      <c r="T56" s="9">
        <f>ROUND(SUMIFS('Odoo Items'!$G$5:$G$4331,'Odoo Items'!$J$5:$J$4331,A56,'Odoo Items'!$C$5:$C$4331,"&lt;="&amp;Cover!$C$14),2)</f>
        <v>3750</v>
      </c>
      <c r="U56">
        <f>COUNTIFS('Bank Lines'!$G$5:$G$1640,A56,'Bank Lines'!$J$5:$J$1640,1,'Bank Lines'!$C$5:$C$1640,"&lt;="&amp;Cover!$C$14)</f>
        <v>1</v>
      </c>
      <c r="V56">
        <f>COUNTIFS('Odoo Items'!$J$5:$J$4331,A56,'Odoo Items'!$C$5:$C$4331,"&lt;="&amp;Cover!$C$14)</f>
        <v>32</v>
      </c>
      <c r="W56" t="str">
        <f>IF(AND(U56=0,V56=0),"",IF(U56=0,"ODOO-ONLY",IF(V56=0,"BANK-ONLY","BOTH")))</f>
        <v>BOTH</v>
      </c>
      <c r="X56" s="9">
        <f>IF(W56="BOTH",ROUND(S56-T56,2),0)</f>
        <v>-78.12</v>
      </c>
      <c r="Y56" s="9">
        <f>ROUND(SUMIFS('Bank Lines'!$E$5:$E$1640,'Bank Lines'!$G$5:$G$1640,A56,'Bank Lines'!$J$5:$J$1640,1,'Bank Lines'!$C$5:$C$1640,"&lt;="&amp;Cover!$C$15),2)</f>
        <v>3671.88</v>
      </c>
      <c r="Z56" s="9">
        <f>ROUND(SUMIFS('Odoo Items'!$G$5:$G$4331,'Odoo Items'!$J$5:$J$4331,A56,'Odoo Items'!$C$5:$C$4331,"&lt;="&amp;Cover!$C$15),2)</f>
        <v>3750</v>
      </c>
      <c r="AA56">
        <f>COUNTIFS('Bank Lines'!$G$5:$G$1640,A56,'Bank Lines'!$J$5:$J$1640,1,'Bank Lines'!$C$5:$C$1640,"&lt;="&amp;Cover!$C$15)</f>
        <v>1</v>
      </c>
      <c r="AB56">
        <f>COUNTIFS('Odoo Items'!$J$5:$J$4331,A56,'Odoo Items'!$C$5:$C$4331,"&lt;="&amp;Cover!$C$15)</f>
        <v>32</v>
      </c>
      <c r="AC56" t="str">
        <f>IF(AND(AA56=0,AB56=0),"",IF(AA56=0,"ODOO-ONLY",IF(AB56=0,"BANK-ONLY","BOTH")))</f>
        <v>BOTH</v>
      </c>
      <c r="AD56" s="9">
        <f>IF(AC56="BOTH",ROUND(Y56-Z56,2),0)</f>
        <v>-78.12</v>
      </c>
    </row>
    <row r="57">
      <c r="A57" t="inlineStr">
        <is>
          <t>G00053</t>
        </is>
      </c>
      <c r="B57" t="inlineStr">
        <is>
          <t>OPS</t>
        </is>
      </c>
      <c r="C57" t="inlineStr">
        <is>
          <t>R02</t>
        </is>
      </c>
      <c r="D57" t="inlineStr">
        <is>
          <t>STRIPE-FEE</t>
        </is>
      </c>
      <c r="E57" t="inlineStr"/>
      <c r="G57" t="inlineStr">
        <is>
          <t>28 report lines; fees 69.59</t>
        </is>
      </c>
      <c r="H57">
        <f>COUNTIFS('Bank Lines'!$G$5:$G$1640,A57,'Bank Lines'!$J$5:$J$1640,1)</f>
        <v>1</v>
      </c>
      <c r="I57">
        <f>COUNTIFS('Odoo Items'!$J$5:$J$4331,A57)</f>
        <v>28</v>
      </c>
      <c r="J57" s="9">
        <f>ROUND(SUMIFS('Bank Lines'!$E$5:$E$1640,'Bank Lines'!$G$5:$G$1640,A57,'Bank Lines'!$J$5:$J$1640,1),2)</f>
        <v>3425.41</v>
      </c>
      <c r="K57" s="9">
        <f>ROUND(SUMIFS('Odoo Items'!$G$5:$G$4331,'Odoo Items'!$J$5:$J$4331,A57),2)</f>
        <v>3495</v>
      </c>
      <c r="L57" s="9">
        <f>ROUND(J57-K57,2)</f>
        <v>-69.59</v>
      </c>
      <c r="M57" s="9">
        <f>ROUND(SUMIFS('Bank Lines'!$E$5:$E$1640,'Bank Lines'!$G$5:$G$1640,A57,'Bank Lines'!$J$5:$J$1640,1,'Bank Lines'!$C$5:$C$1640,"&lt;="&amp;Cover!$C$13),2)</f>
        <v>0</v>
      </c>
      <c r="N57" s="9">
        <f>ROUND(SUMIFS('Odoo Items'!$G$5:$G$4331,'Odoo Items'!$J$5:$J$4331,A57,'Odoo Items'!$C$5:$C$4331,"&lt;="&amp;Cover!$C$13),2)</f>
        <v>0</v>
      </c>
      <c r="O57">
        <f>COUNTIFS('Bank Lines'!$G$5:$G$1640,A57,'Bank Lines'!$J$5:$J$1640,1,'Bank Lines'!$C$5:$C$1640,"&lt;="&amp;Cover!$C$13)</f>
        <v>0</v>
      </c>
      <c r="P57">
        <f>COUNTIFS('Odoo Items'!$J$5:$J$4331,A57,'Odoo Items'!$C$5:$C$4331,"&lt;="&amp;Cover!$C$13)</f>
        <v>0</v>
      </c>
      <c r="Q57">
        <f>IF(AND(O57=0,P57=0),"",IF(O57=0,"ODOO-ONLY",IF(P57=0,"BANK-ONLY","BOTH")))</f>
      </c>
      <c r="R57" s="9">
        <f>IF(Q57="BOTH",ROUND(M57-N57,2),0)</f>
        <v>0</v>
      </c>
      <c r="S57" s="9">
        <f>ROUND(SUMIFS('Bank Lines'!$E$5:$E$1640,'Bank Lines'!$G$5:$G$1640,A57,'Bank Lines'!$J$5:$J$1640,1,'Bank Lines'!$C$5:$C$1640,"&lt;="&amp;Cover!$C$14),2)</f>
        <v>3425.41</v>
      </c>
      <c r="T57" s="9">
        <f>ROUND(SUMIFS('Odoo Items'!$G$5:$G$4331,'Odoo Items'!$J$5:$J$4331,A57,'Odoo Items'!$C$5:$C$4331,"&lt;="&amp;Cover!$C$14),2)</f>
        <v>3495</v>
      </c>
      <c r="U57">
        <f>COUNTIFS('Bank Lines'!$G$5:$G$1640,A57,'Bank Lines'!$J$5:$J$1640,1,'Bank Lines'!$C$5:$C$1640,"&lt;="&amp;Cover!$C$14)</f>
        <v>1</v>
      </c>
      <c r="V57">
        <f>COUNTIFS('Odoo Items'!$J$5:$J$4331,A57,'Odoo Items'!$C$5:$C$4331,"&lt;="&amp;Cover!$C$14)</f>
        <v>28</v>
      </c>
      <c r="W57" t="str">
        <f>IF(AND(U57=0,V57=0),"",IF(U57=0,"ODOO-ONLY",IF(V57=0,"BANK-ONLY","BOTH")))</f>
        <v>BOTH</v>
      </c>
      <c r="X57" s="9">
        <f>IF(W57="BOTH",ROUND(S57-T57,2),0)</f>
        <v>-69.59</v>
      </c>
      <c r="Y57" s="9">
        <f>ROUND(SUMIFS('Bank Lines'!$E$5:$E$1640,'Bank Lines'!$G$5:$G$1640,A57,'Bank Lines'!$J$5:$J$1640,1,'Bank Lines'!$C$5:$C$1640,"&lt;="&amp;Cover!$C$15),2)</f>
        <v>3425.41</v>
      </c>
      <c r="Z57" s="9">
        <f>ROUND(SUMIFS('Odoo Items'!$G$5:$G$4331,'Odoo Items'!$J$5:$J$4331,A57,'Odoo Items'!$C$5:$C$4331,"&lt;="&amp;Cover!$C$15),2)</f>
        <v>3495</v>
      </c>
      <c r="AA57">
        <f>COUNTIFS('Bank Lines'!$G$5:$G$1640,A57,'Bank Lines'!$J$5:$J$1640,1,'Bank Lines'!$C$5:$C$1640,"&lt;="&amp;Cover!$C$15)</f>
        <v>1</v>
      </c>
      <c r="AB57">
        <f>COUNTIFS('Odoo Items'!$J$5:$J$4331,A57,'Odoo Items'!$C$5:$C$4331,"&lt;="&amp;Cover!$C$15)</f>
        <v>28</v>
      </c>
      <c r="AC57" t="str">
        <f>IF(AND(AA57=0,AB57=0),"",IF(AA57=0,"ODOO-ONLY",IF(AB57=0,"BANK-ONLY","BOTH")))</f>
        <v>BOTH</v>
      </c>
      <c r="AD57" s="9">
        <f>IF(AC57="BOTH",ROUND(Y57-Z57,2),0)</f>
        <v>-69.59</v>
      </c>
    </row>
    <row r="58">
      <c r="A58" t="inlineStr">
        <is>
          <t>G00054</t>
        </is>
      </c>
      <c r="B58" t="inlineStr">
        <is>
          <t>OPS</t>
        </is>
      </c>
      <c r="C58" t="inlineStr">
        <is>
          <t>R02</t>
        </is>
      </c>
      <c r="D58" t="inlineStr">
        <is>
          <t>STRIPE-FEE</t>
        </is>
      </c>
      <c r="E58" t="inlineStr"/>
      <c r="G58" t="inlineStr">
        <is>
          <t>29 report lines; fees 94.57; dispute 95.00</t>
        </is>
      </c>
      <c r="H58">
        <f>COUNTIFS('Bank Lines'!$G$5:$G$1640,A58,'Bank Lines'!$J$5:$J$1640,1)</f>
        <v>1</v>
      </c>
      <c r="I58">
        <f>COUNTIFS('Odoo Items'!$J$5:$J$4331,A58)</f>
        <v>28</v>
      </c>
      <c r="J58" s="9">
        <f>ROUND(SUMIFS('Bank Lines'!$E$5:$E$1640,'Bank Lines'!$G$5:$G$1640,A58,'Bank Lines'!$J$5:$J$1640,1),2)</f>
        <v>3305.43</v>
      </c>
      <c r="K58" s="9">
        <f>ROUND(SUMIFS('Odoo Items'!$G$5:$G$4331,'Odoo Items'!$J$5:$J$4331,A58),2)</f>
        <v>3495</v>
      </c>
      <c r="L58" s="9">
        <f>ROUND(J58-K58,2)</f>
        <v>-189.57</v>
      </c>
      <c r="M58" s="9">
        <f>ROUND(SUMIFS('Bank Lines'!$E$5:$E$1640,'Bank Lines'!$G$5:$G$1640,A58,'Bank Lines'!$J$5:$J$1640,1,'Bank Lines'!$C$5:$C$1640,"&lt;="&amp;Cover!$C$13),2)</f>
        <v>0</v>
      </c>
      <c r="N58" s="9">
        <f>ROUND(SUMIFS('Odoo Items'!$G$5:$G$4331,'Odoo Items'!$J$5:$J$4331,A58,'Odoo Items'!$C$5:$C$4331,"&lt;="&amp;Cover!$C$13),2)</f>
        <v>0</v>
      </c>
      <c r="O58">
        <f>COUNTIFS('Bank Lines'!$G$5:$G$1640,A58,'Bank Lines'!$J$5:$J$1640,1,'Bank Lines'!$C$5:$C$1640,"&lt;="&amp;Cover!$C$13)</f>
        <v>0</v>
      </c>
      <c r="P58">
        <f>COUNTIFS('Odoo Items'!$J$5:$J$4331,A58,'Odoo Items'!$C$5:$C$4331,"&lt;="&amp;Cover!$C$13)</f>
        <v>0</v>
      </c>
      <c r="Q58">
        <f>IF(AND(O58=0,P58=0),"",IF(O58=0,"ODOO-ONLY",IF(P58=0,"BANK-ONLY","BOTH")))</f>
      </c>
      <c r="R58" s="9">
        <f>IF(Q58="BOTH",ROUND(M58-N58,2),0)</f>
        <v>0</v>
      </c>
      <c r="S58" s="9">
        <f>ROUND(SUMIFS('Bank Lines'!$E$5:$E$1640,'Bank Lines'!$G$5:$G$1640,A58,'Bank Lines'!$J$5:$J$1640,1,'Bank Lines'!$C$5:$C$1640,"&lt;="&amp;Cover!$C$14),2)</f>
        <v>3305.43</v>
      </c>
      <c r="T58" s="9">
        <f>ROUND(SUMIFS('Odoo Items'!$G$5:$G$4331,'Odoo Items'!$J$5:$J$4331,A58,'Odoo Items'!$C$5:$C$4331,"&lt;="&amp;Cover!$C$14),2)</f>
        <v>3495</v>
      </c>
      <c r="U58">
        <f>COUNTIFS('Bank Lines'!$G$5:$G$1640,A58,'Bank Lines'!$J$5:$J$1640,1,'Bank Lines'!$C$5:$C$1640,"&lt;="&amp;Cover!$C$14)</f>
        <v>1</v>
      </c>
      <c r="V58">
        <f>COUNTIFS('Odoo Items'!$J$5:$J$4331,A58,'Odoo Items'!$C$5:$C$4331,"&lt;="&amp;Cover!$C$14)</f>
        <v>28</v>
      </c>
      <c r="W58" t="str">
        <f>IF(AND(U58=0,V58=0),"",IF(U58=0,"ODOO-ONLY",IF(V58=0,"BANK-ONLY","BOTH")))</f>
        <v>BOTH</v>
      </c>
      <c r="X58" s="9">
        <f>IF(W58="BOTH",ROUND(S58-T58,2),0)</f>
        <v>-189.57</v>
      </c>
      <c r="Y58" s="9">
        <f>ROUND(SUMIFS('Bank Lines'!$E$5:$E$1640,'Bank Lines'!$G$5:$G$1640,A58,'Bank Lines'!$J$5:$J$1640,1,'Bank Lines'!$C$5:$C$1640,"&lt;="&amp;Cover!$C$15),2)</f>
        <v>3305.43</v>
      </c>
      <c r="Z58" s="9">
        <f>ROUND(SUMIFS('Odoo Items'!$G$5:$G$4331,'Odoo Items'!$J$5:$J$4331,A58,'Odoo Items'!$C$5:$C$4331,"&lt;="&amp;Cover!$C$15),2)</f>
        <v>3495</v>
      </c>
      <c r="AA58">
        <f>COUNTIFS('Bank Lines'!$G$5:$G$1640,A58,'Bank Lines'!$J$5:$J$1640,1,'Bank Lines'!$C$5:$C$1640,"&lt;="&amp;Cover!$C$15)</f>
        <v>1</v>
      </c>
      <c r="AB58">
        <f>COUNTIFS('Odoo Items'!$J$5:$J$4331,A58,'Odoo Items'!$C$5:$C$4331,"&lt;="&amp;Cover!$C$15)</f>
        <v>28</v>
      </c>
      <c r="AC58" t="str">
        <f>IF(AND(AA58=0,AB58=0),"",IF(AA58=0,"ODOO-ONLY",IF(AB58=0,"BANK-ONLY","BOTH")))</f>
        <v>BOTH</v>
      </c>
      <c r="AD58" s="9">
        <f>IF(AC58="BOTH",ROUND(Y58-Z58,2),0)</f>
        <v>-189.57</v>
      </c>
    </row>
    <row r="59">
      <c r="A59" t="inlineStr">
        <is>
          <t>G00055</t>
        </is>
      </c>
      <c r="B59" t="inlineStr">
        <is>
          <t>OPS</t>
        </is>
      </c>
      <c r="C59" t="inlineStr">
        <is>
          <t>R02</t>
        </is>
      </c>
      <c r="D59" t="inlineStr">
        <is>
          <t>STRIPE-FEE</t>
        </is>
      </c>
      <c r="E59" t="inlineStr"/>
      <c r="G59" t="inlineStr">
        <is>
          <t>20 report lines; fees 51.33</t>
        </is>
      </c>
      <c r="H59">
        <f>COUNTIFS('Bank Lines'!$G$5:$G$1640,A59,'Bank Lines'!$J$5:$J$1640,1)</f>
        <v>1</v>
      </c>
      <c r="I59">
        <f>COUNTIFS('Odoo Items'!$J$5:$J$4331,A59)</f>
        <v>20</v>
      </c>
      <c r="J59" s="9">
        <f>ROUND(SUMIFS('Bank Lines'!$E$5:$E$1640,'Bank Lines'!$G$5:$G$1640,A59,'Bank Lines'!$J$5:$J$1640,1),2)</f>
        <v>2538.67</v>
      </c>
      <c r="K59" s="9">
        <f>ROUND(SUMIFS('Odoo Items'!$G$5:$G$4331,'Odoo Items'!$J$5:$J$4331,A59),2)</f>
        <v>2590</v>
      </c>
      <c r="L59" s="9">
        <f>ROUND(J59-K59,2)</f>
        <v>-51.33</v>
      </c>
      <c r="M59" s="9">
        <f>ROUND(SUMIFS('Bank Lines'!$E$5:$E$1640,'Bank Lines'!$G$5:$G$1640,A59,'Bank Lines'!$J$5:$J$1640,1,'Bank Lines'!$C$5:$C$1640,"&lt;="&amp;Cover!$C$13),2)</f>
        <v>0</v>
      </c>
      <c r="N59" s="9">
        <f>ROUND(SUMIFS('Odoo Items'!$G$5:$G$4331,'Odoo Items'!$J$5:$J$4331,A59,'Odoo Items'!$C$5:$C$4331,"&lt;="&amp;Cover!$C$13),2)</f>
        <v>0</v>
      </c>
      <c r="O59">
        <f>COUNTIFS('Bank Lines'!$G$5:$G$1640,A59,'Bank Lines'!$J$5:$J$1640,1,'Bank Lines'!$C$5:$C$1640,"&lt;="&amp;Cover!$C$13)</f>
        <v>0</v>
      </c>
      <c r="P59">
        <f>COUNTIFS('Odoo Items'!$J$5:$J$4331,A59,'Odoo Items'!$C$5:$C$4331,"&lt;="&amp;Cover!$C$13)</f>
        <v>0</v>
      </c>
      <c r="Q59">
        <f>IF(AND(O59=0,P59=0),"",IF(O59=0,"ODOO-ONLY",IF(P59=0,"BANK-ONLY","BOTH")))</f>
      </c>
      <c r="R59" s="9">
        <f>IF(Q59="BOTH",ROUND(M59-N59,2),0)</f>
        <v>0</v>
      </c>
      <c r="S59" s="9">
        <f>ROUND(SUMIFS('Bank Lines'!$E$5:$E$1640,'Bank Lines'!$G$5:$G$1640,A59,'Bank Lines'!$J$5:$J$1640,1,'Bank Lines'!$C$5:$C$1640,"&lt;="&amp;Cover!$C$14),2)</f>
        <v>2538.67</v>
      </c>
      <c r="T59" s="9">
        <f>ROUND(SUMIFS('Odoo Items'!$G$5:$G$4331,'Odoo Items'!$J$5:$J$4331,A59,'Odoo Items'!$C$5:$C$4331,"&lt;="&amp;Cover!$C$14),2)</f>
        <v>2590</v>
      </c>
      <c r="U59">
        <f>COUNTIFS('Bank Lines'!$G$5:$G$1640,A59,'Bank Lines'!$J$5:$J$1640,1,'Bank Lines'!$C$5:$C$1640,"&lt;="&amp;Cover!$C$14)</f>
        <v>1</v>
      </c>
      <c r="V59">
        <f>COUNTIFS('Odoo Items'!$J$5:$J$4331,A59,'Odoo Items'!$C$5:$C$4331,"&lt;="&amp;Cover!$C$14)</f>
        <v>20</v>
      </c>
      <c r="W59" t="str">
        <f>IF(AND(U59=0,V59=0),"",IF(U59=0,"ODOO-ONLY",IF(V59=0,"BANK-ONLY","BOTH")))</f>
        <v>BOTH</v>
      </c>
      <c r="X59" s="9">
        <f>IF(W59="BOTH",ROUND(S59-T59,2),0)</f>
        <v>-51.33</v>
      </c>
      <c r="Y59" s="9">
        <f>ROUND(SUMIFS('Bank Lines'!$E$5:$E$1640,'Bank Lines'!$G$5:$G$1640,A59,'Bank Lines'!$J$5:$J$1640,1,'Bank Lines'!$C$5:$C$1640,"&lt;="&amp;Cover!$C$15),2)</f>
        <v>2538.67</v>
      </c>
      <c r="Z59" s="9">
        <f>ROUND(SUMIFS('Odoo Items'!$G$5:$G$4331,'Odoo Items'!$J$5:$J$4331,A59,'Odoo Items'!$C$5:$C$4331,"&lt;="&amp;Cover!$C$15),2)</f>
        <v>2590</v>
      </c>
      <c r="AA59">
        <f>COUNTIFS('Bank Lines'!$G$5:$G$1640,A59,'Bank Lines'!$J$5:$J$1640,1,'Bank Lines'!$C$5:$C$1640,"&lt;="&amp;Cover!$C$15)</f>
        <v>1</v>
      </c>
      <c r="AB59">
        <f>COUNTIFS('Odoo Items'!$J$5:$J$4331,A59,'Odoo Items'!$C$5:$C$4331,"&lt;="&amp;Cover!$C$15)</f>
        <v>20</v>
      </c>
      <c r="AC59" t="str">
        <f>IF(AND(AA59=0,AB59=0),"",IF(AA59=0,"ODOO-ONLY",IF(AB59=0,"BANK-ONLY","BOTH")))</f>
        <v>BOTH</v>
      </c>
      <c r="AD59" s="9">
        <f>IF(AC59="BOTH",ROUND(Y59-Z59,2),0)</f>
        <v>-51.33</v>
      </c>
    </row>
    <row r="60">
      <c r="A60" t="inlineStr">
        <is>
          <t>G00056</t>
        </is>
      </c>
      <c r="B60" t="inlineStr">
        <is>
          <t>OPS</t>
        </is>
      </c>
      <c r="C60" t="inlineStr">
        <is>
          <t>R02</t>
        </is>
      </c>
      <c r="D60" t="inlineStr">
        <is>
          <t>STRIPE-FEE</t>
        </is>
      </c>
      <c r="E60" t="inlineStr"/>
      <c r="G60" t="inlineStr">
        <is>
          <t>28 report lines; fees 66.98</t>
        </is>
      </c>
      <c r="H60">
        <f>COUNTIFS('Bank Lines'!$G$5:$G$1640,A60,'Bank Lines'!$J$5:$J$1640,1)</f>
        <v>1</v>
      </c>
      <c r="I60">
        <f>COUNTIFS('Odoo Items'!$J$5:$J$4331,A60)</f>
        <v>28</v>
      </c>
      <c r="J60" s="9">
        <f>ROUND(SUMIFS('Bank Lines'!$E$5:$E$1640,'Bank Lines'!$G$5:$G$1640,A60,'Bank Lines'!$J$5:$J$1640,1),2)</f>
        <v>3278.02</v>
      </c>
      <c r="K60" s="9">
        <f>ROUND(SUMIFS('Odoo Items'!$G$5:$G$4331,'Odoo Items'!$J$5:$J$4331,A60),2)</f>
        <v>3345</v>
      </c>
      <c r="L60" s="9">
        <f>ROUND(J60-K60,2)</f>
        <v>-66.98</v>
      </c>
      <c r="M60" s="9">
        <f>ROUND(SUMIFS('Bank Lines'!$E$5:$E$1640,'Bank Lines'!$G$5:$G$1640,A60,'Bank Lines'!$J$5:$J$1640,1,'Bank Lines'!$C$5:$C$1640,"&lt;="&amp;Cover!$C$13),2)</f>
        <v>0</v>
      </c>
      <c r="N60" s="9">
        <f>ROUND(SUMIFS('Odoo Items'!$G$5:$G$4331,'Odoo Items'!$J$5:$J$4331,A60,'Odoo Items'!$C$5:$C$4331,"&lt;="&amp;Cover!$C$13),2)</f>
        <v>0</v>
      </c>
      <c r="O60">
        <f>COUNTIFS('Bank Lines'!$G$5:$G$1640,A60,'Bank Lines'!$J$5:$J$1640,1,'Bank Lines'!$C$5:$C$1640,"&lt;="&amp;Cover!$C$13)</f>
        <v>0</v>
      </c>
      <c r="P60">
        <f>COUNTIFS('Odoo Items'!$J$5:$J$4331,A60,'Odoo Items'!$C$5:$C$4331,"&lt;="&amp;Cover!$C$13)</f>
        <v>0</v>
      </c>
      <c r="Q60">
        <f>IF(AND(O60=0,P60=0),"",IF(O60=0,"ODOO-ONLY",IF(P60=0,"BANK-ONLY","BOTH")))</f>
      </c>
      <c r="R60" s="9">
        <f>IF(Q60="BOTH",ROUND(M60-N60,2),0)</f>
        <v>0</v>
      </c>
      <c r="S60" s="9">
        <f>ROUND(SUMIFS('Bank Lines'!$E$5:$E$1640,'Bank Lines'!$G$5:$G$1640,A60,'Bank Lines'!$J$5:$J$1640,1,'Bank Lines'!$C$5:$C$1640,"&lt;="&amp;Cover!$C$14),2)</f>
        <v>3278.02</v>
      </c>
      <c r="T60" s="9">
        <f>ROUND(SUMIFS('Odoo Items'!$G$5:$G$4331,'Odoo Items'!$J$5:$J$4331,A60,'Odoo Items'!$C$5:$C$4331,"&lt;="&amp;Cover!$C$14),2)</f>
        <v>3345</v>
      </c>
      <c r="U60">
        <f>COUNTIFS('Bank Lines'!$G$5:$G$1640,A60,'Bank Lines'!$J$5:$J$1640,1,'Bank Lines'!$C$5:$C$1640,"&lt;="&amp;Cover!$C$14)</f>
        <v>1</v>
      </c>
      <c r="V60">
        <f>COUNTIFS('Odoo Items'!$J$5:$J$4331,A60,'Odoo Items'!$C$5:$C$4331,"&lt;="&amp;Cover!$C$14)</f>
        <v>28</v>
      </c>
      <c r="W60" t="str">
        <f>IF(AND(U60=0,V60=0),"",IF(U60=0,"ODOO-ONLY",IF(V60=0,"BANK-ONLY","BOTH")))</f>
        <v>BOTH</v>
      </c>
      <c r="X60" s="9">
        <f>IF(W60="BOTH",ROUND(S60-T60,2),0)</f>
        <v>-66.98</v>
      </c>
      <c r="Y60" s="9">
        <f>ROUND(SUMIFS('Bank Lines'!$E$5:$E$1640,'Bank Lines'!$G$5:$G$1640,A60,'Bank Lines'!$J$5:$J$1640,1,'Bank Lines'!$C$5:$C$1640,"&lt;="&amp;Cover!$C$15),2)</f>
        <v>3278.02</v>
      </c>
      <c r="Z60" s="9">
        <f>ROUND(SUMIFS('Odoo Items'!$G$5:$G$4331,'Odoo Items'!$J$5:$J$4331,A60,'Odoo Items'!$C$5:$C$4331,"&lt;="&amp;Cover!$C$15),2)</f>
        <v>3345</v>
      </c>
      <c r="AA60">
        <f>COUNTIFS('Bank Lines'!$G$5:$G$1640,A60,'Bank Lines'!$J$5:$J$1640,1,'Bank Lines'!$C$5:$C$1640,"&lt;="&amp;Cover!$C$15)</f>
        <v>1</v>
      </c>
      <c r="AB60">
        <f>COUNTIFS('Odoo Items'!$J$5:$J$4331,A60,'Odoo Items'!$C$5:$C$4331,"&lt;="&amp;Cover!$C$15)</f>
        <v>28</v>
      </c>
      <c r="AC60" t="str">
        <f>IF(AND(AA60=0,AB60=0),"",IF(AA60=0,"ODOO-ONLY",IF(AB60=0,"BANK-ONLY","BOTH")))</f>
        <v>BOTH</v>
      </c>
      <c r="AD60" s="9">
        <f>IF(AC60="BOTH",ROUND(Y60-Z60,2),0)</f>
        <v>-66.98</v>
      </c>
    </row>
    <row r="61">
      <c r="A61" t="inlineStr">
        <is>
          <t>G00057</t>
        </is>
      </c>
      <c r="B61" t="inlineStr">
        <is>
          <t>OPS</t>
        </is>
      </c>
      <c r="C61" t="inlineStr">
        <is>
          <t>R02</t>
        </is>
      </c>
      <c r="D61" t="inlineStr">
        <is>
          <t>STRIPE-FEE</t>
        </is>
      </c>
      <c r="E61" t="inlineStr"/>
      <c r="G61" t="inlineStr">
        <is>
          <t>29 report lines; fees 73.11</t>
        </is>
      </c>
      <c r="H61">
        <f>COUNTIFS('Bank Lines'!$G$5:$G$1640,A61,'Bank Lines'!$J$5:$J$1640,1)</f>
        <v>1</v>
      </c>
      <c r="I61">
        <f>COUNTIFS('Odoo Items'!$J$5:$J$4331,A61)</f>
        <v>29</v>
      </c>
      <c r="J61" s="9">
        <f>ROUND(SUMIFS('Bank Lines'!$E$5:$E$1640,'Bank Lines'!$G$5:$G$1640,A61,'Bank Lines'!$J$5:$J$1640,1),2)</f>
        <v>3606.89</v>
      </c>
      <c r="K61" s="9">
        <f>ROUND(SUMIFS('Odoo Items'!$G$5:$G$4331,'Odoo Items'!$J$5:$J$4331,A61),2)</f>
        <v>3680</v>
      </c>
      <c r="L61" s="9">
        <f>ROUND(J61-K61,2)</f>
        <v>-73.11</v>
      </c>
      <c r="M61" s="9">
        <f>ROUND(SUMIFS('Bank Lines'!$E$5:$E$1640,'Bank Lines'!$G$5:$G$1640,A61,'Bank Lines'!$J$5:$J$1640,1,'Bank Lines'!$C$5:$C$1640,"&lt;="&amp;Cover!$C$13),2)</f>
        <v>0</v>
      </c>
      <c r="N61" s="9">
        <f>ROUND(SUMIFS('Odoo Items'!$G$5:$G$4331,'Odoo Items'!$J$5:$J$4331,A61,'Odoo Items'!$C$5:$C$4331,"&lt;="&amp;Cover!$C$13),2)</f>
        <v>0</v>
      </c>
      <c r="O61">
        <f>COUNTIFS('Bank Lines'!$G$5:$G$1640,A61,'Bank Lines'!$J$5:$J$1640,1,'Bank Lines'!$C$5:$C$1640,"&lt;="&amp;Cover!$C$13)</f>
        <v>0</v>
      </c>
      <c r="P61">
        <f>COUNTIFS('Odoo Items'!$J$5:$J$4331,A61,'Odoo Items'!$C$5:$C$4331,"&lt;="&amp;Cover!$C$13)</f>
        <v>0</v>
      </c>
      <c r="Q61">
        <f>IF(AND(O61=0,P61=0),"",IF(O61=0,"ODOO-ONLY",IF(P61=0,"BANK-ONLY","BOTH")))</f>
      </c>
      <c r="R61" s="9">
        <f>IF(Q61="BOTH",ROUND(M61-N61,2),0)</f>
        <v>0</v>
      </c>
      <c r="S61" s="9">
        <f>ROUND(SUMIFS('Bank Lines'!$E$5:$E$1640,'Bank Lines'!$G$5:$G$1640,A61,'Bank Lines'!$J$5:$J$1640,1,'Bank Lines'!$C$5:$C$1640,"&lt;="&amp;Cover!$C$14),2)</f>
        <v>3606.89</v>
      </c>
      <c r="T61" s="9">
        <f>ROUND(SUMIFS('Odoo Items'!$G$5:$G$4331,'Odoo Items'!$J$5:$J$4331,A61,'Odoo Items'!$C$5:$C$4331,"&lt;="&amp;Cover!$C$14),2)</f>
        <v>3680</v>
      </c>
      <c r="U61">
        <f>COUNTIFS('Bank Lines'!$G$5:$G$1640,A61,'Bank Lines'!$J$5:$J$1640,1,'Bank Lines'!$C$5:$C$1640,"&lt;="&amp;Cover!$C$14)</f>
        <v>1</v>
      </c>
      <c r="V61">
        <f>COUNTIFS('Odoo Items'!$J$5:$J$4331,A61,'Odoo Items'!$C$5:$C$4331,"&lt;="&amp;Cover!$C$14)</f>
        <v>29</v>
      </c>
      <c r="W61" t="str">
        <f>IF(AND(U61=0,V61=0),"",IF(U61=0,"ODOO-ONLY",IF(V61=0,"BANK-ONLY","BOTH")))</f>
        <v>BOTH</v>
      </c>
      <c r="X61" s="9">
        <f>IF(W61="BOTH",ROUND(S61-T61,2),0)</f>
        <v>-73.11</v>
      </c>
      <c r="Y61" s="9">
        <f>ROUND(SUMIFS('Bank Lines'!$E$5:$E$1640,'Bank Lines'!$G$5:$G$1640,A61,'Bank Lines'!$J$5:$J$1640,1,'Bank Lines'!$C$5:$C$1640,"&lt;="&amp;Cover!$C$15),2)</f>
        <v>3606.89</v>
      </c>
      <c r="Z61" s="9">
        <f>ROUND(SUMIFS('Odoo Items'!$G$5:$G$4331,'Odoo Items'!$J$5:$J$4331,A61,'Odoo Items'!$C$5:$C$4331,"&lt;="&amp;Cover!$C$15),2)</f>
        <v>3680</v>
      </c>
      <c r="AA61">
        <f>COUNTIFS('Bank Lines'!$G$5:$G$1640,A61,'Bank Lines'!$J$5:$J$1640,1,'Bank Lines'!$C$5:$C$1640,"&lt;="&amp;Cover!$C$15)</f>
        <v>1</v>
      </c>
      <c r="AB61">
        <f>COUNTIFS('Odoo Items'!$J$5:$J$4331,A61,'Odoo Items'!$C$5:$C$4331,"&lt;="&amp;Cover!$C$15)</f>
        <v>29</v>
      </c>
      <c r="AC61" t="str">
        <f>IF(AND(AA61=0,AB61=0),"",IF(AA61=0,"ODOO-ONLY",IF(AB61=0,"BANK-ONLY","BOTH")))</f>
        <v>BOTH</v>
      </c>
      <c r="AD61" s="9">
        <f>IF(AC61="BOTH",ROUND(Y61-Z61,2),0)</f>
        <v>-73.11</v>
      </c>
    </row>
    <row r="62">
      <c r="A62" t="inlineStr">
        <is>
          <t>G00058</t>
        </is>
      </c>
      <c r="B62" t="inlineStr">
        <is>
          <t>OPS</t>
        </is>
      </c>
      <c r="C62" t="inlineStr">
        <is>
          <t>R02</t>
        </is>
      </c>
      <c r="D62" t="inlineStr">
        <is>
          <t>STRIPE-FEE</t>
        </is>
      </c>
      <c r="E62" t="inlineStr"/>
      <c r="G62" t="inlineStr">
        <is>
          <t>38 report lines; fees 87.53</t>
        </is>
      </c>
      <c r="H62">
        <f>COUNTIFS('Bank Lines'!$G$5:$G$1640,A62,'Bank Lines'!$J$5:$J$1640,1)</f>
        <v>1</v>
      </c>
      <c r="I62">
        <f>COUNTIFS('Odoo Items'!$J$5:$J$4331,A62)</f>
        <v>38</v>
      </c>
      <c r="J62" s="9">
        <f>ROUND(SUMIFS('Bank Lines'!$E$5:$E$1640,'Bank Lines'!$G$5:$G$1640,A62,'Bank Lines'!$J$5:$J$1640,1),2)</f>
        <v>4182.47</v>
      </c>
      <c r="K62" s="9">
        <f>ROUND(SUMIFS('Odoo Items'!$G$5:$G$4331,'Odoo Items'!$J$5:$J$4331,A62),2)</f>
        <v>4270</v>
      </c>
      <c r="L62" s="9">
        <f>ROUND(J62-K62,2)</f>
        <v>-87.53</v>
      </c>
      <c r="M62" s="9">
        <f>ROUND(SUMIFS('Bank Lines'!$E$5:$E$1640,'Bank Lines'!$G$5:$G$1640,A62,'Bank Lines'!$J$5:$J$1640,1,'Bank Lines'!$C$5:$C$1640,"&lt;="&amp;Cover!$C$13),2)</f>
        <v>0</v>
      </c>
      <c r="N62" s="9">
        <f>ROUND(SUMIFS('Odoo Items'!$G$5:$G$4331,'Odoo Items'!$J$5:$J$4331,A62,'Odoo Items'!$C$5:$C$4331,"&lt;="&amp;Cover!$C$13),2)</f>
        <v>0</v>
      </c>
      <c r="O62">
        <f>COUNTIFS('Bank Lines'!$G$5:$G$1640,A62,'Bank Lines'!$J$5:$J$1640,1,'Bank Lines'!$C$5:$C$1640,"&lt;="&amp;Cover!$C$13)</f>
        <v>0</v>
      </c>
      <c r="P62">
        <f>COUNTIFS('Odoo Items'!$J$5:$J$4331,A62,'Odoo Items'!$C$5:$C$4331,"&lt;="&amp;Cover!$C$13)</f>
        <v>0</v>
      </c>
      <c r="Q62">
        <f>IF(AND(O62=0,P62=0),"",IF(O62=0,"ODOO-ONLY",IF(P62=0,"BANK-ONLY","BOTH")))</f>
      </c>
      <c r="R62" s="9">
        <f>IF(Q62="BOTH",ROUND(M62-N62,2),0)</f>
        <v>0</v>
      </c>
      <c r="S62" s="9">
        <f>ROUND(SUMIFS('Bank Lines'!$E$5:$E$1640,'Bank Lines'!$G$5:$G$1640,A62,'Bank Lines'!$J$5:$J$1640,1,'Bank Lines'!$C$5:$C$1640,"&lt;="&amp;Cover!$C$14),2)</f>
        <v>0</v>
      </c>
      <c r="T62" s="9">
        <f>ROUND(SUMIFS('Odoo Items'!$G$5:$G$4331,'Odoo Items'!$J$5:$J$4331,A62,'Odoo Items'!$C$5:$C$4331,"&lt;="&amp;Cover!$C$14),2)</f>
        <v>4365</v>
      </c>
      <c r="U62">
        <f>COUNTIFS('Bank Lines'!$G$5:$G$1640,A62,'Bank Lines'!$J$5:$J$1640,1,'Bank Lines'!$C$5:$C$1640,"&lt;="&amp;Cover!$C$14)</f>
        <v>0</v>
      </c>
      <c r="V62">
        <f>COUNTIFS('Odoo Items'!$J$5:$J$4331,A62,'Odoo Items'!$C$5:$C$4331,"&lt;="&amp;Cover!$C$14)</f>
        <v>37</v>
      </c>
      <c r="W62" t="str">
        <f>IF(AND(U62=0,V62=0),"",IF(U62=0,"ODOO-ONLY",IF(V62=0,"BANK-ONLY","BOTH")))</f>
        <v>ODOO-ONLY</v>
      </c>
      <c r="X62" s="9">
        <f>IF(W62="BOTH",ROUND(S62-T62,2),0)</f>
        <v>0</v>
      </c>
      <c r="Y62" s="9">
        <f>ROUND(SUMIFS('Bank Lines'!$E$5:$E$1640,'Bank Lines'!$G$5:$G$1640,A62,'Bank Lines'!$J$5:$J$1640,1,'Bank Lines'!$C$5:$C$1640,"&lt;="&amp;Cover!$C$15),2)</f>
        <v>4182.47</v>
      </c>
      <c r="Z62" s="9">
        <f>ROUND(SUMIFS('Odoo Items'!$G$5:$G$4331,'Odoo Items'!$J$5:$J$4331,A62,'Odoo Items'!$C$5:$C$4331,"&lt;="&amp;Cover!$C$15),2)</f>
        <v>4270</v>
      </c>
      <c r="AA62">
        <f>COUNTIFS('Bank Lines'!$G$5:$G$1640,A62,'Bank Lines'!$J$5:$J$1640,1,'Bank Lines'!$C$5:$C$1640,"&lt;="&amp;Cover!$C$15)</f>
        <v>1</v>
      </c>
      <c r="AB62">
        <f>COUNTIFS('Odoo Items'!$J$5:$J$4331,A62,'Odoo Items'!$C$5:$C$4331,"&lt;="&amp;Cover!$C$15)</f>
        <v>38</v>
      </c>
      <c r="AC62" t="str">
        <f>IF(AND(AA62=0,AB62=0),"",IF(AA62=0,"ODOO-ONLY",IF(AB62=0,"BANK-ONLY","BOTH")))</f>
        <v>BOTH</v>
      </c>
      <c r="AD62" s="9">
        <f>IF(AC62="BOTH",ROUND(Y62-Z62,2),0)</f>
        <v>-87.53</v>
      </c>
    </row>
    <row r="63">
      <c r="A63" t="inlineStr">
        <is>
          <t>G00059</t>
        </is>
      </c>
      <c r="B63" t="inlineStr">
        <is>
          <t>OPS</t>
        </is>
      </c>
      <c r="C63" t="inlineStr">
        <is>
          <t>R02</t>
        </is>
      </c>
      <c r="D63" t="inlineStr">
        <is>
          <t>STRIPE-FEE</t>
        </is>
      </c>
      <c r="E63" t="inlineStr"/>
      <c r="G63" t="inlineStr">
        <is>
          <t>33 report lines; fees 79.66</t>
        </is>
      </c>
      <c r="H63">
        <f>COUNTIFS('Bank Lines'!$G$5:$G$1640,A63,'Bank Lines'!$J$5:$J$1640,1)</f>
        <v>1</v>
      </c>
      <c r="I63">
        <f>COUNTIFS('Odoo Items'!$J$5:$J$4331,A63)</f>
        <v>33</v>
      </c>
      <c r="J63" s="9">
        <f>ROUND(SUMIFS('Bank Lines'!$E$5:$E$1640,'Bank Lines'!$G$5:$G$1640,A63,'Bank Lines'!$J$5:$J$1640,1),2)</f>
        <v>3905.34</v>
      </c>
      <c r="K63" s="9">
        <f>ROUND(SUMIFS('Odoo Items'!$G$5:$G$4331,'Odoo Items'!$J$5:$J$4331,A63),2)</f>
        <v>3985</v>
      </c>
      <c r="L63" s="9">
        <f>ROUND(J63-K63,2)</f>
        <v>-79.66</v>
      </c>
      <c r="M63" s="9">
        <f>ROUND(SUMIFS('Bank Lines'!$E$5:$E$1640,'Bank Lines'!$G$5:$G$1640,A63,'Bank Lines'!$J$5:$J$1640,1,'Bank Lines'!$C$5:$C$1640,"&lt;="&amp;Cover!$C$13),2)</f>
        <v>0</v>
      </c>
      <c r="N63" s="9">
        <f>ROUND(SUMIFS('Odoo Items'!$G$5:$G$4331,'Odoo Items'!$J$5:$J$4331,A63,'Odoo Items'!$C$5:$C$4331,"&lt;="&amp;Cover!$C$13),2)</f>
        <v>0</v>
      </c>
      <c r="O63">
        <f>COUNTIFS('Bank Lines'!$G$5:$G$1640,A63,'Bank Lines'!$J$5:$J$1640,1,'Bank Lines'!$C$5:$C$1640,"&lt;="&amp;Cover!$C$13)</f>
        <v>0</v>
      </c>
      <c r="P63">
        <f>COUNTIFS('Odoo Items'!$J$5:$J$4331,A63,'Odoo Items'!$C$5:$C$4331,"&lt;="&amp;Cover!$C$13)</f>
        <v>0</v>
      </c>
      <c r="Q63">
        <f>IF(AND(O63=0,P63=0),"",IF(O63=0,"ODOO-ONLY",IF(P63=0,"BANK-ONLY","BOTH")))</f>
      </c>
      <c r="R63" s="9">
        <f>IF(Q63="BOTH",ROUND(M63-N63,2),0)</f>
        <v>0</v>
      </c>
      <c r="S63" s="9">
        <f>ROUND(SUMIFS('Bank Lines'!$E$5:$E$1640,'Bank Lines'!$G$5:$G$1640,A63,'Bank Lines'!$J$5:$J$1640,1,'Bank Lines'!$C$5:$C$1640,"&lt;="&amp;Cover!$C$14),2)</f>
        <v>0</v>
      </c>
      <c r="T63" s="9">
        <f>ROUND(SUMIFS('Odoo Items'!$G$5:$G$4331,'Odoo Items'!$J$5:$J$4331,A63,'Odoo Items'!$C$5:$C$4331,"&lt;="&amp;Cover!$C$14),2)</f>
        <v>3985</v>
      </c>
      <c r="U63">
        <f>COUNTIFS('Bank Lines'!$G$5:$G$1640,A63,'Bank Lines'!$J$5:$J$1640,1,'Bank Lines'!$C$5:$C$1640,"&lt;="&amp;Cover!$C$14)</f>
        <v>0</v>
      </c>
      <c r="V63">
        <f>COUNTIFS('Odoo Items'!$J$5:$J$4331,A63,'Odoo Items'!$C$5:$C$4331,"&lt;="&amp;Cover!$C$14)</f>
        <v>33</v>
      </c>
      <c r="W63" t="str">
        <f>IF(AND(U63=0,V63=0),"",IF(U63=0,"ODOO-ONLY",IF(V63=0,"BANK-ONLY","BOTH")))</f>
        <v>ODOO-ONLY</v>
      </c>
      <c r="X63" s="9">
        <f>IF(W63="BOTH",ROUND(S63-T63,2),0)</f>
        <v>0</v>
      </c>
      <c r="Y63" s="9">
        <f>ROUND(SUMIFS('Bank Lines'!$E$5:$E$1640,'Bank Lines'!$G$5:$G$1640,A63,'Bank Lines'!$J$5:$J$1640,1,'Bank Lines'!$C$5:$C$1640,"&lt;="&amp;Cover!$C$15),2)</f>
        <v>3905.34</v>
      </c>
      <c r="Z63" s="9">
        <f>ROUND(SUMIFS('Odoo Items'!$G$5:$G$4331,'Odoo Items'!$J$5:$J$4331,A63,'Odoo Items'!$C$5:$C$4331,"&lt;="&amp;Cover!$C$15),2)</f>
        <v>3985</v>
      </c>
      <c r="AA63">
        <f>COUNTIFS('Bank Lines'!$G$5:$G$1640,A63,'Bank Lines'!$J$5:$J$1640,1,'Bank Lines'!$C$5:$C$1640,"&lt;="&amp;Cover!$C$15)</f>
        <v>1</v>
      </c>
      <c r="AB63">
        <f>COUNTIFS('Odoo Items'!$J$5:$J$4331,A63,'Odoo Items'!$C$5:$C$4331,"&lt;="&amp;Cover!$C$15)</f>
        <v>33</v>
      </c>
      <c r="AC63" t="str">
        <f>IF(AND(AA63=0,AB63=0),"",IF(AA63=0,"ODOO-ONLY",IF(AB63=0,"BANK-ONLY","BOTH")))</f>
        <v>BOTH</v>
      </c>
      <c r="AD63" s="9">
        <f>IF(AC63="BOTH",ROUND(Y63-Z63,2),0)</f>
        <v>-79.66</v>
      </c>
    </row>
    <row r="64">
      <c r="A64" t="inlineStr">
        <is>
          <t>G00060</t>
        </is>
      </c>
      <c r="B64" t="inlineStr">
        <is>
          <t>OPS</t>
        </is>
      </c>
      <c r="C64" t="inlineStr">
        <is>
          <t>R02</t>
        </is>
      </c>
      <c r="D64" t="inlineStr">
        <is>
          <t>STRIPE-FEE</t>
        </is>
      </c>
      <c r="E64" t="inlineStr"/>
      <c r="G64" t="inlineStr">
        <is>
          <t>20 report lines; fees 46.90</t>
        </is>
      </c>
      <c r="H64">
        <f>COUNTIFS('Bank Lines'!$G$5:$G$1640,A64,'Bank Lines'!$J$5:$J$1640,1)</f>
        <v>1</v>
      </c>
      <c r="I64">
        <f>COUNTIFS('Odoo Items'!$J$5:$J$4331,A64)</f>
        <v>20</v>
      </c>
      <c r="J64" s="9">
        <f>ROUND(SUMIFS('Bank Lines'!$E$5:$E$1640,'Bank Lines'!$G$5:$G$1640,A64,'Bank Lines'!$J$5:$J$1640,1),2)</f>
        <v>2288.1</v>
      </c>
      <c r="K64" s="9">
        <f>ROUND(SUMIFS('Odoo Items'!$G$5:$G$4331,'Odoo Items'!$J$5:$J$4331,A64),2)</f>
        <v>2335</v>
      </c>
      <c r="L64" s="9">
        <f>ROUND(J64-K64,2)</f>
        <v>-46.9</v>
      </c>
      <c r="M64" s="9">
        <f>ROUND(SUMIFS('Bank Lines'!$E$5:$E$1640,'Bank Lines'!$G$5:$G$1640,A64,'Bank Lines'!$J$5:$J$1640,1,'Bank Lines'!$C$5:$C$1640,"&lt;="&amp;Cover!$C$13),2)</f>
        <v>0</v>
      </c>
      <c r="N64" s="9">
        <f>ROUND(SUMIFS('Odoo Items'!$G$5:$G$4331,'Odoo Items'!$J$5:$J$4331,A64,'Odoo Items'!$C$5:$C$4331,"&lt;="&amp;Cover!$C$13),2)</f>
        <v>0</v>
      </c>
      <c r="O64">
        <f>COUNTIFS('Bank Lines'!$G$5:$G$1640,A64,'Bank Lines'!$J$5:$J$1640,1,'Bank Lines'!$C$5:$C$1640,"&lt;="&amp;Cover!$C$13)</f>
        <v>0</v>
      </c>
      <c r="P64">
        <f>COUNTIFS('Odoo Items'!$J$5:$J$4331,A64,'Odoo Items'!$C$5:$C$4331,"&lt;="&amp;Cover!$C$13)</f>
        <v>0</v>
      </c>
      <c r="Q64">
        <f>IF(AND(O64=0,P64=0),"",IF(O64=0,"ODOO-ONLY",IF(P64=0,"BANK-ONLY","BOTH")))</f>
      </c>
      <c r="R64" s="9">
        <f>IF(Q64="BOTH",ROUND(M64-N64,2),0)</f>
        <v>0</v>
      </c>
      <c r="S64" s="9">
        <f>ROUND(SUMIFS('Bank Lines'!$E$5:$E$1640,'Bank Lines'!$G$5:$G$1640,A64,'Bank Lines'!$J$5:$J$1640,1,'Bank Lines'!$C$5:$C$1640,"&lt;="&amp;Cover!$C$14),2)</f>
        <v>0</v>
      </c>
      <c r="T64" s="9">
        <f>ROUND(SUMIFS('Odoo Items'!$G$5:$G$4331,'Odoo Items'!$J$5:$J$4331,A64,'Odoo Items'!$C$5:$C$4331,"&lt;="&amp;Cover!$C$14),2)</f>
        <v>0</v>
      </c>
      <c r="U64">
        <f>COUNTIFS('Bank Lines'!$G$5:$G$1640,A64,'Bank Lines'!$J$5:$J$1640,1,'Bank Lines'!$C$5:$C$1640,"&lt;="&amp;Cover!$C$14)</f>
        <v>0</v>
      </c>
      <c r="V64">
        <f>COUNTIFS('Odoo Items'!$J$5:$J$4331,A64,'Odoo Items'!$C$5:$C$4331,"&lt;="&amp;Cover!$C$14)</f>
        <v>0</v>
      </c>
      <c r="W64">
        <f>IF(AND(U64=0,V64=0),"",IF(U64=0,"ODOO-ONLY",IF(V64=0,"BANK-ONLY","BOTH")))</f>
      </c>
      <c r="X64" s="9">
        <f>IF(W64="BOTH",ROUND(S64-T64,2),0)</f>
        <v>0</v>
      </c>
      <c r="Y64" s="9">
        <f>ROUND(SUMIFS('Bank Lines'!$E$5:$E$1640,'Bank Lines'!$G$5:$G$1640,A64,'Bank Lines'!$J$5:$J$1640,1,'Bank Lines'!$C$5:$C$1640,"&lt;="&amp;Cover!$C$15),2)</f>
        <v>2288.1</v>
      </c>
      <c r="Z64" s="9">
        <f>ROUND(SUMIFS('Odoo Items'!$G$5:$G$4331,'Odoo Items'!$J$5:$J$4331,A64,'Odoo Items'!$C$5:$C$4331,"&lt;="&amp;Cover!$C$15),2)</f>
        <v>2335</v>
      </c>
      <c r="AA64">
        <f>COUNTIFS('Bank Lines'!$G$5:$G$1640,A64,'Bank Lines'!$J$5:$J$1640,1,'Bank Lines'!$C$5:$C$1640,"&lt;="&amp;Cover!$C$15)</f>
        <v>1</v>
      </c>
      <c r="AB64">
        <f>COUNTIFS('Odoo Items'!$J$5:$J$4331,A64,'Odoo Items'!$C$5:$C$4331,"&lt;="&amp;Cover!$C$15)</f>
        <v>20</v>
      </c>
      <c r="AC64" t="str">
        <f>IF(AND(AA64=0,AB64=0),"",IF(AA64=0,"ODOO-ONLY",IF(AB64=0,"BANK-ONLY","BOTH")))</f>
        <v>BOTH</v>
      </c>
      <c r="AD64" s="9">
        <f>IF(AC64="BOTH",ROUND(Y64-Z64,2),0)</f>
        <v>-46.9</v>
      </c>
    </row>
    <row r="65">
      <c r="A65" t="inlineStr">
        <is>
          <t>G00061</t>
        </is>
      </c>
      <c r="B65" t="inlineStr">
        <is>
          <t>OPS</t>
        </is>
      </c>
      <c r="C65" t="inlineStr">
        <is>
          <t>R02</t>
        </is>
      </c>
      <c r="D65" t="inlineStr">
        <is>
          <t>STRIPE-FEE</t>
        </is>
      </c>
      <c r="E65" t="inlineStr"/>
      <c r="G65" t="inlineStr">
        <is>
          <t>29 report lines; fees 70.29</t>
        </is>
      </c>
      <c r="H65">
        <f>COUNTIFS('Bank Lines'!$G$5:$G$1640,A65,'Bank Lines'!$J$5:$J$1640,1)</f>
        <v>1</v>
      </c>
      <c r="I65">
        <f>COUNTIFS('Odoo Items'!$J$5:$J$4331,A65)</f>
        <v>29</v>
      </c>
      <c r="J65" s="9">
        <f>ROUND(SUMIFS('Bank Lines'!$E$5:$E$1640,'Bank Lines'!$G$5:$G$1640,A65,'Bank Lines'!$J$5:$J$1640,1),2)</f>
        <v>3354.71</v>
      </c>
      <c r="K65" s="9">
        <f>ROUND(SUMIFS('Odoo Items'!$G$5:$G$4331,'Odoo Items'!$J$5:$J$4331,A65),2)</f>
        <v>3425</v>
      </c>
      <c r="L65" s="9">
        <f>ROUND(J65-K65,2)</f>
        <v>-70.29</v>
      </c>
      <c r="M65" s="9">
        <f>ROUND(SUMIFS('Bank Lines'!$E$5:$E$1640,'Bank Lines'!$G$5:$G$1640,A65,'Bank Lines'!$J$5:$J$1640,1,'Bank Lines'!$C$5:$C$1640,"&lt;="&amp;Cover!$C$13),2)</f>
        <v>0</v>
      </c>
      <c r="N65" s="9">
        <f>ROUND(SUMIFS('Odoo Items'!$G$5:$G$4331,'Odoo Items'!$J$5:$J$4331,A65,'Odoo Items'!$C$5:$C$4331,"&lt;="&amp;Cover!$C$13),2)</f>
        <v>0</v>
      </c>
      <c r="O65">
        <f>COUNTIFS('Bank Lines'!$G$5:$G$1640,A65,'Bank Lines'!$J$5:$J$1640,1,'Bank Lines'!$C$5:$C$1640,"&lt;="&amp;Cover!$C$13)</f>
        <v>0</v>
      </c>
      <c r="P65">
        <f>COUNTIFS('Odoo Items'!$J$5:$J$4331,A65,'Odoo Items'!$C$5:$C$4331,"&lt;="&amp;Cover!$C$13)</f>
        <v>0</v>
      </c>
      <c r="Q65">
        <f>IF(AND(O65=0,P65=0),"",IF(O65=0,"ODOO-ONLY",IF(P65=0,"BANK-ONLY","BOTH")))</f>
      </c>
      <c r="R65" s="9">
        <f>IF(Q65="BOTH",ROUND(M65-N65,2),0)</f>
        <v>0</v>
      </c>
      <c r="S65" s="9">
        <f>ROUND(SUMIFS('Bank Lines'!$E$5:$E$1640,'Bank Lines'!$G$5:$G$1640,A65,'Bank Lines'!$J$5:$J$1640,1,'Bank Lines'!$C$5:$C$1640,"&lt;="&amp;Cover!$C$14),2)</f>
        <v>0</v>
      </c>
      <c r="T65" s="9">
        <f>ROUND(SUMIFS('Odoo Items'!$G$5:$G$4331,'Odoo Items'!$J$5:$J$4331,A65,'Odoo Items'!$C$5:$C$4331,"&lt;="&amp;Cover!$C$14),2)</f>
        <v>0</v>
      </c>
      <c r="U65">
        <f>COUNTIFS('Bank Lines'!$G$5:$G$1640,A65,'Bank Lines'!$J$5:$J$1640,1,'Bank Lines'!$C$5:$C$1640,"&lt;="&amp;Cover!$C$14)</f>
        <v>0</v>
      </c>
      <c r="V65">
        <f>COUNTIFS('Odoo Items'!$J$5:$J$4331,A65,'Odoo Items'!$C$5:$C$4331,"&lt;="&amp;Cover!$C$14)</f>
        <v>0</v>
      </c>
      <c r="W65">
        <f>IF(AND(U65=0,V65=0),"",IF(U65=0,"ODOO-ONLY",IF(V65=0,"BANK-ONLY","BOTH")))</f>
      </c>
      <c r="X65" s="9">
        <f>IF(W65="BOTH",ROUND(S65-T65,2),0)</f>
        <v>0</v>
      </c>
      <c r="Y65" s="9">
        <f>ROUND(SUMIFS('Bank Lines'!$E$5:$E$1640,'Bank Lines'!$G$5:$G$1640,A65,'Bank Lines'!$J$5:$J$1640,1,'Bank Lines'!$C$5:$C$1640,"&lt;="&amp;Cover!$C$15),2)</f>
        <v>3354.71</v>
      </c>
      <c r="Z65" s="9">
        <f>ROUND(SUMIFS('Odoo Items'!$G$5:$G$4331,'Odoo Items'!$J$5:$J$4331,A65,'Odoo Items'!$C$5:$C$4331,"&lt;="&amp;Cover!$C$15),2)</f>
        <v>3425</v>
      </c>
      <c r="AA65">
        <f>COUNTIFS('Bank Lines'!$G$5:$G$1640,A65,'Bank Lines'!$J$5:$J$1640,1,'Bank Lines'!$C$5:$C$1640,"&lt;="&amp;Cover!$C$15)</f>
        <v>1</v>
      </c>
      <c r="AB65">
        <f>COUNTIFS('Odoo Items'!$J$5:$J$4331,A65,'Odoo Items'!$C$5:$C$4331,"&lt;="&amp;Cover!$C$15)</f>
        <v>29</v>
      </c>
      <c r="AC65" t="str">
        <f>IF(AND(AA65=0,AB65=0),"",IF(AA65=0,"ODOO-ONLY",IF(AB65=0,"BANK-ONLY","BOTH")))</f>
        <v>BOTH</v>
      </c>
      <c r="AD65" s="9">
        <f>IF(AC65="BOTH",ROUND(Y65-Z65,2),0)</f>
        <v>-70.29</v>
      </c>
    </row>
    <row r="66">
      <c r="A66" t="inlineStr">
        <is>
          <t>G00062</t>
        </is>
      </c>
      <c r="B66" t="inlineStr">
        <is>
          <t>OPS</t>
        </is>
      </c>
      <c r="C66" t="inlineStr">
        <is>
          <t>R02</t>
        </is>
      </c>
      <c r="D66" t="inlineStr">
        <is>
          <t>STRIPE-FEE</t>
        </is>
      </c>
      <c r="E66" t="inlineStr"/>
      <c r="G66" t="inlineStr">
        <is>
          <t>34 report lines; fees 77.28</t>
        </is>
      </c>
      <c r="H66">
        <f>COUNTIFS('Bank Lines'!$G$5:$G$1640,A66,'Bank Lines'!$J$5:$J$1640,1)</f>
        <v>1</v>
      </c>
      <c r="I66">
        <f>COUNTIFS('Odoo Items'!$J$5:$J$4331,A66)</f>
        <v>34</v>
      </c>
      <c r="J66" s="9">
        <f>ROUND(SUMIFS('Bank Lines'!$E$5:$E$1640,'Bank Lines'!$G$5:$G$1640,A66,'Bank Lines'!$J$5:$J$1640,1),2)</f>
        <v>3752.72</v>
      </c>
      <c r="K66" s="9">
        <f>ROUND(SUMIFS('Odoo Items'!$G$5:$G$4331,'Odoo Items'!$J$5:$J$4331,A66),2)</f>
        <v>3830</v>
      </c>
      <c r="L66" s="9">
        <f>ROUND(J66-K66,2)</f>
        <v>-77.28</v>
      </c>
      <c r="M66" s="9">
        <f>ROUND(SUMIFS('Bank Lines'!$E$5:$E$1640,'Bank Lines'!$G$5:$G$1640,A66,'Bank Lines'!$J$5:$J$1640,1,'Bank Lines'!$C$5:$C$1640,"&lt;="&amp;Cover!$C$13),2)</f>
        <v>0</v>
      </c>
      <c r="N66" s="9">
        <f>ROUND(SUMIFS('Odoo Items'!$G$5:$G$4331,'Odoo Items'!$J$5:$J$4331,A66,'Odoo Items'!$C$5:$C$4331,"&lt;="&amp;Cover!$C$13),2)</f>
        <v>0</v>
      </c>
      <c r="O66">
        <f>COUNTIFS('Bank Lines'!$G$5:$G$1640,A66,'Bank Lines'!$J$5:$J$1640,1,'Bank Lines'!$C$5:$C$1640,"&lt;="&amp;Cover!$C$13)</f>
        <v>0</v>
      </c>
      <c r="P66">
        <f>COUNTIFS('Odoo Items'!$J$5:$J$4331,A66,'Odoo Items'!$C$5:$C$4331,"&lt;="&amp;Cover!$C$13)</f>
        <v>0</v>
      </c>
      <c r="Q66">
        <f>IF(AND(O66=0,P66=0),"",IF(O66=0,"ODOO-ONLY",IF(P66=0,"BANK-ONLY","BOTH")))</f>
      </c>
      <c r="R66" s="9">
        <f>IF(Q66="BOTH",ROUND(M66-N66,2),0)</f>
        <v>0</v>
      </c>
      <c r="S66" s="9">
        <f>ROUND(SUMIFS('Bank Lines'!$E$5:$E$1640,'Bank Lines'!$G$5:$G$1640,A66,'Bank Lines'!$J$5:$J$1640,1,'Bank Lines'!$C$5:$C$1640,"&lt;="&amp;Cover!$C$14),2)</f>
        <v>0</v>
      </c>
      <c r="T66" s="9">
        <f>ROUND(SUMIFS('Odoo Items'!$G$5:$G$4331,'Odoo Items'!$J$5:$J$4331,A66,'Odoo Items'!$C$5:$C$4331,"&lt;="&amp;Cover!$C$14),2)</f>
        <v>0</v>
      </c>
      <c r="U66">
        <f>COUNTIFS('Bank Lines'!$G$5:$G$1640,A66,'Bank Lines'!$J$5:$J$1640,1,'Bank Lines'!$C$5:$C$1640,"&lt;="&amp;Cover!$C$14)</f>
        <v>0</v>
      </c>
      <c r="V66">
        <f>COUNTIFS('Odoo Items'!$J$5:$J$4331,A66,'Odoo Items'!$C$5:$C$4331,"&lt;="&amp;Cover!$C$14)</f>
        <v>0</v>
      </c>
      <c r="W66">
        <f>IF(AND(U66=0,V66=0),"",IF(U66=0,"ODOO-ONLY",IF(V66=0,"BANK-ONLY","BOTH")))</f>
      </c>
      <c r="X66" s="9">
        <f>IF(W66="BOTH",ROUND(S66-T66,2),0)</f>
        <v>0</v>
      </c>
      <c r="Y66" s="9">
        <f>ROUND(SUMIFS('Bank Lines'!$E$5:$E$1640,'Bank Lines'!$G$5:$G$1640,A66,'Bank Lines'!$J$5:$J$1640,1,'Bank Lines'!$C$5:$C$1640,"&lt;="&amp;Cover!$C$15),2)</f>
        <v>3752.72</v>
      </c>
      <c r="Z66" s="9">
        <f>ROUND(SUMIFS('Odoo Items'!$G$5:$G$4331,'Odoo Items'!$J$5:$J$4331,A66,'Odoo Items'!$C$5:$C$4331,"&lt;="&amp;Cover!$C$15),2)</f>
        <v>3830</v>
      </c>
      <c r="AA66">
        <f>COUNTIFS('Bank Lines'!$G$5:$G$1640,A66,'Bank Lines'!$J$5:$J$1640,1,'Bank Lines'!$C$5:$C$1640,"&lt;="&amp;Cover!$C$15)</f>
        <v>1</v>
      </c>
      <c r="AB66">
        <f>COUNTIFS('Odoo Items'!$J$5:$J$4331,A66,'Odoo Items'!$C$5:$C$4331,"&lt;="&amp;Cover!$C$15)</f>
        <v>34</v>
      </c>
      <c r="AC66" t="str">
        <f>IF(AND(AA66=0,AB66=0),"",IF(AA66=0,"ODOO-ONLY",IF(AB66=0,"BANK-ONLY","BOTH")))</f>
        <v>BOTH</v>
      </c>
      <c r="AD66" s="9">
        <f>IF(AC66="BOTH",ROUND(Y66-Z66,2),0)</f>
        <v>-77.28</v>
      </c>
    </row>
    <row r="67">
      <c r="A67" t="inlineStr">
        <is>
          <t>G00063</t>
        </is>
      </c>
      <c r="B67" t="inlineStr">
        <is>
          <t>OPS</t>
        </is>
      </c>
      <c r="C67" t="inlineStr">
        <is>
          <t>R02</t>
        </is>
      </c>
      <c r="D67" t="inlineStr">
        <is>
          <t>STRIPE-FEE</t>
        </is>
      </c>
      <c r="E67" t="inlineStr"/>
      <c r="G67" t="inlineStr">
        <is>
          <t>24 report lines; fees 60.22</t>
        </is>
      </c>
      <c r="H67">
        <f>COUNTIFS('Bank Lines'!$G$5:$G$1640,A67,'Bank Lines'!$J$5:$J$1640,1)</f>
        <v>1</v>
      </c>
      <c r="I67">
        <f>COUNTIFS('Odoo Items'!$J$5:$J$4331,A67)</f>
        <v>24</v>
      </c>
      <c r="J67" s="9">
        <f>ROUND(SUMIFS('Bank Lines'!$E$5:$E$1640,'Bank Lines'!$G$5:$G$1640,A67,'Bank Lines'!$J$5:$J$1640,1),2)</f>
        <v>2969.78</v>
      </c>
      <c r="K67" s="9">
        <f>ROUND(SUMIFS('Odoo Items'!$G$5:$G$4331,'Odoo Items'!$J$5:$J$4331,A67),2)</f>
        <v>3030</v>
      </c>
      <c r="L67" s="9">
        <f>ROUND(J67-K67,2)</f>
        <v>-60.22</v>
      </c>
      <c r="M67" s="9">
        <f>ROUND(SUMIFS('Bank Lines'!$E$5:$E$1640,'Bank Lines'!$G$5:$G$1640,A67,'Bank Lines'!$J$5:$J$1640,1,'Bank Lines'!$C$5:$C$1640,"&lt;="&amp;Cover!$C$13),2)</f>
        <v>0</v>
      </c>
      <c r="N67" s="9">
        <f>ROUND(SUMIFS('Odoo Items'!$G$5:$G$4331,'Odoo Items'!$J$5:$J$4331,A67,'Odoo Items'!$C$5:$C$4331,"&lt;="&amp;Cover!$C$13),2)</f>
        <v>0</v>
      </c>
      <c r="O67">
        <f>COUNTIFS('Bank Lines'!$G$5:$G$1640,A67,'Bank Lines'!$J$5:$J$1640,1,'Bank Lines'!$C$5:$C$1640,"&lt;="&amp;Cover!$C$13)</f>
        <v>0</v>
      </c>
      <c r="P67">
        <f>COUNTIFS('Odoo Items'!$J$5:$J$4331,A67,'Odoo Items'!$C$5:$C$4331,"&lt;="&amp;Cover!$C$13)</f>
        <v>0</v>
      </c>
      <c r="Q67">
        <f>IF(AND(O67=0,P67=0),"",IF(O67=0,"ODOO-ONLY",IF(P67=0,"BANK-ONLY","BOTH")))</f>
      </c>
      <c r="R67" s="9">
        <f>IF(Q67="BOTH",ROUND(M67-N67,2),0)</f>
        <v>0</v>
      </c>
      <c r="S67" s="9">
        <f>ROUND(SUMIFS('Bank Lines'!$E$5:$E$1640,'Bank Lines'!$G$5:$G$1640,A67,'Bank Lines'!$J$5:$J$1640,1,'Bank Lines'!$C$5:$C$1640,"&lt;="&amp;Cover!$C$14),2)</f>
        <v>0</v>
      </c>
      <c r="T67" s="9">
        <f>ROUND(SUMIFS('Odoo Items'!$G$5:$G$4331,'Odoo Items'!$J$5:$J$4331,A67,'Odoo Items'!$C$5:$C$4331,"&lt;="&amp;Cover!$C$14),2)</f>
        <v>0</v>
      </c>
      <c r="U67">
        <f>COUNTIFS('Bank Lines'!$G$5:$G$1640,A67,'Bank Lines'!$J$5:$J$1640,1,'Bank Lines'!$C$5:$C$1640,"&lt;="&amp;Cover!$C$14)</f>
        <v>0</v>
      </c>
      <c r="V67">
        <f>COUNTIFS('Odoo Items'!$J$5:$J$4331,A67,'Odoo Items'!$C$5:$C$4331,"&lt;="&amp;Cover!$C$14)</f>
        <v>0</v>
      </c>
      <c r="W67">
        <f>IF(AND(U67=0,V67=0),"",IF(U67=0,"ODOO-ONLY",IF(V67=0,"BANK-ONLY","BOTH")))</f>
      </c>
      <c r="X67" s="9">
        <f>IF(W67="BOTH",ROUND(S67-T67,2),0)</f>
        <v>0</v>
      </c>
      <c r="Y67" s="9">
        <f>ROUND(SUMIFS('Bank Lines'!$E$5:$E$1640,'Bank Lines'!$G$5:$G$1640,A67,'Bank Lines'!$J$5:$J$1640,1,'Bank Lines'!$C$5:$C$1640,"&lt;="&amp;Cover!$C$15),2)</f>
        <v>2969.78</v>
      </c>
      <c r="Z67" s="9">
        <f>ROUND(SUMIFS('Odoo Items'!$G$5:$G$4331,'Odoo Items'!$J$5:$J$4331,A67,'Odoo Items'!$C$5:$C$4331,"&lt;="&amp;Cover!$C$15),2)</f>
        <v>3030</v>
      </c>
      <c r="AA67">
        <f>COUNTIFS('Bank Lines'!$G$5:$G$1640,A67,'Bank Lines'!$J$5:$J$1640,1,'Bank Lines'!$C$5:$C$1640,"&lt;="&amp;Cover!$C$15)</f>
        <v>1</v>
      </c>
      <c r="AB67">
        <f>COUNTIFS('Odoo Items'!$J$5:$J$4331,A67,'Odoo Items'!$C$5:$C$4331,"&lt;="&amp;Cover!$C$15)</f>
        <v>24</v>
      </c>
      <c r="AC67" t="str">
        <f>IF(AND(AA67=0,AB67=0),"",IF(AA67=0,"ODOO-ONLY",IF(AB67=0,"BANK-ONLY","BOTH")))</f>
        <v>BOTH</v>
      </c>
      <c r="AD67" s="9">
        <f>IF(AC67="BOTH",ROUND(Y67-Z67,2),0)</f>
        <v>-60.22</v>
      </c>
    </row>
    <row r="68">
      <c r="A68" t="inlineStr">
        <is>
          <t>G00064</t>
        </is>
      </c>
      <c r="B68" t="inlineStr">
        <is>
          <t>OPS</t>
        </is>
      </c>
      <c r="C68" t="inlineStr">
        <is>
          <t>R02</t>
        </is>
      </c>
      <c r="D68" t="inlineStr">
        <is>
          <t>STRIPE-FEE</t>
        </is>
      </c>
      <c r="E68" t="inlineStr"/>
      <c r="G68" t="inlineStr">
        <is>
          <t>23 report lines; fees 62.99</t>
        </is>
      </c>
      <c r="H68">
        <f>COUNTIFS('Bank Lines'!$G$5:$G$1640,A68,'Bank Lines'!$J$5:$J$1640,1)</f>
        <v>1</v>
      </c>
      <c r="I68">
        <f>COUNTIFS('Odoo Items'!$J$5:$J$4331,A68)</f>
        <v>23</v>
      </c>
      <c r="J68" s="9">
        <f>ROUND(SUMIFS('Bank Lines'!$E$5:$E$1640,'Bank Lines'!$G$5:$G$1640,A68,'Bank Lines'!$J$5:$J$1640,1),2)</f>
        <v>3037.01</v>
      </c>
      <c r="K68" s="9">
        <f>ROUND(SUMIFS('Odoo Items'!$G$5:$G$4331,'Odoo Items'!$J$5:$J$4331,A68),2)</f>
        <v>3100</v>
      </c>
      <c r="L68" s="9">
        <f>ROUND(J68-K68,2)</f>
        <v>-62.99</v>
      </c>
      <c r="M68" s="9">
        <f>ROUND(SUMIFS('Bank Lines'!$E$5:$E$1640,'Bank Lines'!$G$5:$G$1640,A68,'Bank Lines'!$J$5:$J$1640,1,'Bank Lines'!$C$5:$C$1640,"&lt;="&amp;Cover!$C$13),2)</f>
        <v>0</v>
      </c>
      <c r="N68" s="9">
        <f>ROUND(SUMIFS('Odoo Items'!$G$5:$G$4331,'Odoo Items'!$J$5:$J$4331,A68,'Odoo Items'!$C$5:$C$4331,"&lt;="&amp;Cover!$C$13),2)</f>
        <v>0</v>
      </c>
      <c r="O68">
        <f>COUNTIFS('Bank Lines'!$G$5:$G$1640,A68,'Bank Lines'!$J$5:$J$1640,1,'Bank Lines'!$C$5:$C$1640,"&lt;="&amp;Cover!$C$13)</f>
        <v>0</v>
      </c>
      <c r="P68">
        <f>COUNTIFS('Odoo Items'!$J$5:$J$4331,A68,'Odoo Items'!$C$5:$C$4331,"&lt;="&amp;Cover!$C$13)</f>
        <v>0</v>
      </c>
      <c r="Q68">
        <f>IF(AND(O68=0,P68=0),"",IF(O68=0,"ODOO-ONLY",IF(P68=0,"BANK-ONLY","BOTH")))</f>
      </c>
      <c r="R68" s="9">
        <f>IF(Q68="BOTH",ROUND(M68-N68,2),0)</f>
        <v>0</v>
      </c>
      <c r="S68" s="9">
        <f>ROUND(SUMIFS('Bank Lines'!$E$5:$E$1640,'Bank Lines'!$G$5:$G$1640,A68,'Bank Lines'!$J$5:$J$1640,1,'Bank Lines'!$C$5:$C$1640,"&lt;="&amp;Cover!$C$14),2)</f>
        <v>0</v>
      </c>
      <c r="T68" s="9">
        <f>ROUND(SUMIFS('Odoo Items'!$G$5:$G$4331,'Odoo Items'!$J$5:$J$4331,A68,'Odoo Items'!$C$5:$C$4331,"&lt;="&amp;Cover!$C$14),2)</f>
        <v>0</v>
      </c>
      <c r="U68">
        <f>COUNTIFS('Bank Lines'!$G$5:$G$1640,A68,'Bank Lines'!$J$5:$J$1640,1,'Bank Lines'!$C$5:$C$1640,"&lt;="&amp;Cover!$C$14)</f>
        <v>0</v>
      </c>
      <c r="V68">
        <f>COUNTIFS('Odoo Items'!$J$5:$J$4331,A68,'Odoo Items'!$C$5:$C$4331,"&lt;="&amp;Cover!$C$14)</f>
        <v>0</v>
      </c>
      <c r="W68">
        <f>IF(AND(U68=0,V68=0),"",IF(U68=0,"ODOO-ONLY",IF(V68=0,"BANK-ONLY","BOTH")))</f>
      </c>
      <c r="X68" s="9">
        <f>IF(W68="BOTH",ROUND(S68-T68,2),0)</f>
        <v>0</v>
      </c>
      <c r="Y68" s="9">
        <f>ROUND(SUMIFS('Bank Lines'!$E$5:$E$1640,'Bank Lines'!$G$5:$G$1640,A68,'Bank Lines'!$J$5:$J$1640,1,'Bank Lines'!$C$5:$C$1640,"&lt;="&amp;Cover!$C$15),2)</f>
        <v>3037.01</v>
      </c>
      <c r="Z68" s="9">
        <f>ROUND(SUMIFS('Odoo Items'!$G$5:$G$4331,'Odoo Items'!$J$5:$J$4331,A68,'Odoo Items'!$C$5:$C$4331,"&lt;="&amp;Cover!$C$15),2)</f>
        <v>3100</v>
      </c>
      <c r="AA68">
        <f>COUNTIFS('Bank Lines'!$G$5:$G$1640,A68,'Bank Lines'!$J$5:$J$1640,1,'Bank Lines'!$C$5:$C$1640,"&lt;="&amp;Cover!$C$15)</f>
        <v>1</v>
      </c>
      <c r="AB68">
        <f>COUNTIFS('Odoo Items'!$J$5:$J$4331,A68,'Odoo Items'!$C$5:$C$4331,"&lt;="&amp;Cover!$C$15)</f>
        <v>23</v>
      </c>
      <c r="AC68" t="str">
        <f>IF(AND(AA68=0,AB68=0),"",IF(AA68=0,"ODOO-ONLY",IF(AB68=0,"BANK-ONLY","BOTH")))</f>
        <v>BOTH</v>
      </c>
      <c r="AD68" s="9">
        <f>IF(AC68="BOTH",ROUND(Y68-Z68,2),0)</f>
        <v>-62.99</v>
      </c>
    </row>
    <row r="69">
      <c r="A69" t="inlineStr">
        <is>
          <t>G00065</t>
        </is>
      </c>
      <c r="B69" t="inlineStr">
        <is>
          <t>OPS</t>
        </is>
      </c>
      <c r="C69" t="inlineStr">
        <is>
          <t>R02</t>
        </is>
      </c>
      <c r="D69" t="inlineStr">
        <is>
          <t>STRIPE-FEE</t>
        </is>
      </c>
      <c r="E69" t="inlineStr"/>
      <c r="G69" t="inlineStr">
        <is>
          <t>20 report lines; fees 46.63</t>
        </is>
      </c>
      <c r="H69">
        <f>COUNTIFS('Bank Lines'!$G$5:$G$1640,A69,'Bank Lines'!$J$5:$J$1640,1)</f>
        <v>1</v>
      </c>
      <c r="I69">
        <f>COUNTIFS('Odoo Items'!$J$5:$J$4331,A69)</f>
        <v>20</v>
      </c>
      <c r="J69" s="9">
        <f>ROUND(SUMIFS('Bank Lines'!$E$5:$E$1640,'Bank Lines'!$G$5:$G$1640,A69,'Bank Lines'!$J$5:$J$1640,1),2)</f>
        <v>2273.37</v>
      </c>
      <c r="K69" s="9">
        <f>ROUND(SUMIFS('Odoo Items'!$G$5:$G$4331,'Odoo Items'!$J$5:$J$4331,A69),2)</f>
        <v>2320</v>
      </c>
      <c r="L69" s="9">
        <f>ROUND(J69-K69,2)</f>
        <v>-46.63</v>
      </c>
      <c r="M69" s="9">
        <f>ROUND(SUMIFS('Bank Lines'!$E$5:$E$1640,'Bank Lines'!$G$5:$G$1640,A69,'Bank Lines'!$J$5:$J$1640,1,'Bank Lines'!$C$5:$C$1640,"&lt;="&amp;Cover!$C$13),2)</f>
        <v>0</v>
      </c>
      <c r="N69" s="9">
        <f>ROUND(SUMIFS('Odoo Items'!$G$5:$G$4331,'Odoo Items'!$J$5:$J$4331,A69,'Odoo Items'!$C$5:$C$4331,"&lt;="&amp;Cover!$C$13),2)</f>
        <v>0</v>
      </c>
      <c r="O69">
        <f>COUNTIFS('Bank Lines'!$G$5:$G$1640,A69,'Bank Lines'!$J$5:$J$1640,1,'Bank Lines'!$C$5:$C$1640,"&lt;="&amp;Cover!$C$13)</f>
        <v>0</v>
      </c>
      <c r="P69">
        <f>COUNTIFS('Odoo Items'!$J$5:$J$4331,A69,'Odoo Items'!$C$5:$C$4331,"&lt;="&amp;Cover!$C$13)</f>
        <v>0</v>
      </c>
      <c r="Q69">
        <f>IF(AND(O69=0,P69=0),"",IF(O69=0,"ODOO-ONLY",IF(P69=0,"BANK-ONLY","BOTH")))</f>
      </c>
      <c r="R69" s="9">
        <f>IF(Q69="BOTH",ROUND(M69-N69,2),0)</f>
        <v>0</v>
      </c>
      <c r="S69" s="9">
        <f>ROUND(SUMIFS('Bank Lines'!$E$5:$E$1640,'Bank Lines'!$G$5:$G$1640,A69,'Bank Lines'!$J$5:$J$1640,1,'Bank Lines'!$C$5:$C$1640,"&lt;="&amp;Cover!$C$14),2)</f>
        <v>0</v>
      </c>
      <c r="T69" s="9">
        <f>ROUND(SUMIFS('Odoo Items'!$G$5:$G$4331,'Odoo Items'!$J$5:$J$4331,A69,'Odoo Items'!$C$5:$C$4331,"&lt;="&amp;Cover!$C$14),2)</f>
        <v>0</v>
      </c>
      <c r="U69">
        <f>COUNTIFS('Bank Lines'!$G$5:$G$1640,A69,'Bank Lines'!$J$5:$J$1640,1,'Bank Lines'!$C$5:$C$1640,"&lt;="&amp;Cover!$C$14)</f>
        <v>0</v>
      </c>
      <c r="V69">
        <f>COUNTIFS('Odoo Items'!$J$5:$J$4331,A69,'Odoo Items'!$C$5:$C$4331,"&lt;="&amp;Cover!$C$14)</f>
        <v>0</v>
      </c>
      <c r="W69">
        <f>IF(AND(U69=0,V69=0),"",IF(U69=0,"ODOO-ONLY",IF(V69=0,"BANK-ONLY","BOTH")))</f>
      </c>
      <c r="X69" s="9">
        <f>IF(W69="BOTH",ROUND(S69-T69,2),0)</f>
        <v>0</v>
      </c>
      <c r="Y69" s="9">
        <f>ROUND(SUMIFS('Bank Lines'!$E$5:$E$1640,'Bank Lines'!$G$5:$G$1640,A69,'Bank Lines'!$J$5:$J$1640,1,'Bank Lines'!$C$5:$C$1640,"&lt;="&amp;Cover!$C$15),2)</f>
        <v>2273.37</v>
      </c>
      <c r="Z69" s="9">
        <f>ROUND(SUMIFS('Odoo Items'!$G$5:$G$4331,'Odoo Items'!$J$5:$J$4331,A69,'Odoo Items'!$C$5:$C$4331,"&lt;="&amp;Cover!$C$15),2)</f>
        <v>2320</v>
      </c>
      <c r="AA69">
        <f>COUNTIFS('Bank Lines'!$G$5:$G$1640,A69,'Bank Lines'!$J$5:$J$1640,1,'Bank Lines'!$C$5:$C$1640,"&lt;="&amp;Cover!$C$15)</f>
        <v>1</v>
      </c>
      <c r="AB69">
        <f>COUNTIFS('Odoo Items'!$J$5:$J$4331,A69,'Odoo Items'!$C$5:$C$4331,"&lt;="&amp;Cover!$C$15)</f>
        <v>20</v>
      </c>
      <c r="AC69" t="str">
        <f>IF(AND(AA69=0,AB69=0),"",IF(AA69=0,"ODOO-ONLY",IF(AB69=0,"BANK-ONLY","BOTH")))</f>
        <v>BOTH</v>
      </c>
      <c r="AD69" s="9">
        <f>IF(AC69="BOTH",ROUND(Y69-Z69,2),0)</f>
        <v>-46.63</v>
      </c>
    </row>
    <row r="70">
      <c r="A70" t="inlineStr">
        <is>
          <t>G00066</t>
        </is>
      </c>
      <c r="B70" t="inlineStr">
        <is>
          <t>OPS</t>
        </is>
      </c>
      <c r="C70" t="inlineStr">
        <is>
          <t>R02</t>
        </is>
      </c>
      <c r="D70" t="inlineStr">
        <is>
          <t>STRIPE-FEE</t>
        </is>
      </c>
      <c r="E70" t="inlineStr"/>
      <c r="G70" t="inlineStr">
        <is>
          <t>29 report lines; fees 68.85</t>
        </is>
      </c>
      <c r="H70">
        <f>COUNTIFS('Bank Lines'!$G$5:$G$1640,A70,'Bank Lines'!$J$5:$J$1640,1)</f>
        <v>1</v>
      </c>
      <c r="I70">
        <f>COUNTIFS('Odoo Items'!$J$5:$J$4331,A70)</f>
        <v>29</v>
      </c>
      <c r="J70" s="9">
        <f>ROUND(SUMIFS('Bank Lines'!$E$5:$E$1640,'Bank Lines'!$G$5:$G$1640,A70,'Bank Lines'!$J$5:$J$1640,1),2)</f>
        <v>3366.15</v>
      </c>
      <c r="K70" s="9">
        <f>ROUND(SUMIFS('Odoo Items'!$G$5:$G$4331,'Odoo Items'!$J$5:$J$4331,A70),2)</f>
        <v>3435</v>
      </c>
      <c r="L70" s="9">
        <f>ROUND(J70-K70,2)</f>
        <v>-68.85</v>
      </c>
      <c r="M70" s="9">
        <f>ROUND(SUMIFS('Bank Lines'!$E$5:$E$1640,'Bank Lines'!$G$5:$G$1640,A70,'Bank Lines'!$J$5:$J$1640,1,'Bank Lines'!$C$5:$C$1640,"&lt;="&amp;Cover!$C$13),2)</f>
        <v>0</v>
      </c>
      <c r="N70" s="9">
        <f>ROUND(SUMIFS('Odoo Items'!$G$5:$G$4331,'Odoo Items'!$J$5:$J$4331,A70,'Odoo Items'!$C$5:$C$4331,"&lt;="&amp;Cover!$C$13),2)</f>
        <v>0</v>
      </c>
      <c r="O70">
        <f>COUNTIFS('Bank Lines'!$G$5:$G$1640,A70,'Bank Lines'!$J$5:$J$1640,1,'Bank Lines'!$C$5:$C$1640,"&lt;="&amp;Cover!$C$13)</f>
        <v>0</v>
      </c>
      <c r="P70">
        <f>COUNTIFS('Odoo Items'!$J$5:$J$4331,A70,'Odoo Items'!$C$5:$C$4331,"&lt;="&amp;Cover!$C$13)</f>
        <v>0</v>
      </c>
      <c r="Q70">
        <f>IF(AND(O70=0,P70=0),"",IF(O70=0,"ODOO-ONLY",IF(P70=0,"BANK-ONLY","BOTH")))</f>
      </c>
      <c r="R70" s="9">
        <f>IF(Q70="BOTH",ROUND(M70-N70,2),0)</f>
        <v>0</v>
      </c>
      <c r="S70" s="9">
        <f>ROUND(SUMIFS('Bank Lines'!$E$5:$E$1640,'Bank Lines'!$G$5:$G$1640,A70,'Bank Lines'!$J$5:$J$1640,1,'Bank Lines'!$C$5:$C$1640,"&lt;="&amp;Cover!$C$14),2)</f>
        <v>0</v>
      </c>
      <c r="T70" s="9">
        <f>ROUND(SUMIFS('Odoo Items'!$G$5:$G$4331,'Odoo Items'!$J$5:$J$4331,A70,'Odoo Items'!$C$5:$C$4331,"&lt;="&amp;Cover!$C$14),2)</f>
        <v>0</v>
      </c>
      <c r="U70">
        <f>COUNTIFS('Bank Lines'!$G$5:$G$1640,A70,'Bank Lines'!$J$5:$J$1640,1,'Bank Lines'!$C$5:$C$1640,"&lt;="&amp;Cover!$C$14)</f>
        <v>0</v>
      </c>
      <c r="V70">
        <f>COUNTIFS('Odoo Items'!$J$5:$J$4331,A70,'Odoo Items'!$C$5:$C$4331,"&lt;="&amp;Cover!$C$14)</f>
        <v>0</v>
      </c>
      <c r="W70">
        <f>IF(AND(U70=0,V70=0),"",IF(U70=0,"ODOO-ONLY",IF(V70=0,"BANK-ONLY","BOTH")))</f>
      </c>
      <c r="X70" s="9">
        <f>IF(W70="BOTH",ROUND(S70-T70,2),0)</f>
        <v>0</v>
      </c>
      <c r="Y70" s="9">
        <f>ROUND(SUMIFS('Bank Lines'!$E$5:$E$1640,'Bank Lines'!$G$5:$G$1640,A70,'Bank Lines'!$J$5:$J$1640,1,'Bank Lines'!$C$5:$C$1640,"&lt;="&amp;Cover!$C$15),2)</f>
        <v>3366.15</v>
      </c>
      <c r="Z70" s="9">
        <f>ROUND(SUMIFS('Odoo Items'!$G$5:$G$4331,'Odoo Items'!$J$5:$J$4331,A70,'Odoo Items'!$C$5:$C$4331,"&lt;="&amp;Cover!$C$15),2)</f>
        <v>3435</v>
      </c>
      <c r="AA70">
        <f>COUNTIFS('Bank Lines'!$G$5:$G$1640,A70,'Bank Lines'!$J$5:$J$1640,1,'Bank Lines'!$C$5:$C$1640,"&lt;="&amp;Cover!$C$15)</f>
        <v>1</v>
      </c>
      <c r="AB70">
        <f>COUNTIFS('Odoo Items'!$J$5:$J$4331,A70,'Odoo Items'!$C$5:$C$4331,"&lt;="&amp;Cover!$C$15)</f>
        <v>29</v>
      </c>
      <c r="AC70" t="str">
        <f>IF(AND(AA70=0,AB70=0),"",IF(AA70=0,"ODOO-ONLY",IF(AB70=0,"BANK-ONLY","BOTH")))</f>
        <v>BOTH</v>
      </c>
      <c r="AD70" s="9">
        <f>IF(AC70="BOTH",ROUND(Y70-Z70,2),0)</f>
        <v>-68.85</v>
      </c>
    </row>
    <row r="71">
      <c r="A71" t="inlineStr">
        <is>
          <t>G00067</t>
        </is>
      </c>
      <c r="B71" t="inlineStr">
        <is>
          <t>OPS</t>
        </is>
      </c>
      <c r="C71" t="inlineStr">
        <is>
          <t>R02</t>
        </is>
      </c>
      <c r="D71" t="inlineStr">
        <is>
          <t>STRIPE-FEE</t>
        </is>
      </c>
      <c r="E71" t="inlineStr"/>
      <c r="G71" t="inlineStr">
        <is>
          <t>24 report lines; fees 66.18</t>
        </is>
      </c>
      <c r="H71">
        <f>COUNTIFS('Bank Lines'!$G$5:$G$1640,A71,'Bank Lines'!$J$5:$J$1640,1)</f>
        <v>1</v>
      </c>
      <c r="I71">
        <f>COUNTIFS('Odoo Items'!$J$5:$J$4331,A71)</f>
        <v>24</v>
      </c>
      <c r="J71" s="9">
        <f>ROUND(SUMIFS('Bank Lines'!$E$5:$E$1640,'Bank Lines'!$G$5:$G$1640,A71,'Bank Lines'!$J$5:$J$1640,1),2)</f>
        <v>3303.82</v>
      </c>
      <c r="K71" s="9">
        <f>ROUND(SUMIFS('Odoo Items'!$G$5:$G$4331,'Odoo Items'!$J$5:$J$4331,A71),2)</f>
        <v>3370</v>
      </c>
      <c r="L71" s="9">
        <f>ROUND(J71-K71,2)</f>
        <v>-66.18</v>
      </c>
      <c r="M71" s="9">
        <f>ROUND(SUMIFS('Bank Lines'!$E$5:$E$1640,'Bank Lines'!$G$5:$G$1640,A71,'Bank Lines'!$J$5:$J$1640,1,'Bank Lines'!$C$5:$C$1640,"&lt;="&amp;Cover!$C$13),2)</f>
        <v>0</v>
      </c>
      <c r="N71" s="9">
        <f>ROUND(SUMIFS('Odoo Items'!$G$5:$G$4331,'Odoo Items'!$J$5:$J$4331,A71,'Odoo Items'!$C$5:$C$4331,"&lt;="&amp;Cover!$C$13),2)</f>
        <v>0</v>
      </c>
      <c r="O71">
        <f>COUNTIFS('Bank Lines'!$G$5:$G$1640,A71,'Bank Lines'!$J$5:$J$1640,1,'Bank Lines'!$C$5:$C$1640,"&lt;="&amp;Cover!$C$13)</f>
        <v>0</v>
      </c>
      <c r="P71">
        <f>COUNTIFS('Odoo Items'!$J$5:$J$4331,A71,'Odoo Items'!$C$5:$C$4331,"&lt;="&amp;Cover!$C$13)</f>
        <v>0</v>
      </c>
      <c r="Q71">
        <f>IF(AND(O71=0,P71=0),"",IF(O71=0,"ODOO-ONLY",IF(P71=0,"BANK-ONLY","BOTH")))</f>
      </c>
      <c r="R71" s="9">
        <f>IF(Q71="BOTH",ROUND(M71-N71,2),0)</f>
        <v>0</v>
      </c>
      <c r="S71" s="9">
        <f>ROUND(SUMIFS('Bank Lines'!$E$5:$E$1640,'Bank Lines'!$G$5:$G$1640,A71,'Bank Lines'!$J$5:$J$1640,1,'Bank Lines'!$C$5:$C$1640,"&lt;="&amp;Cover!$C$14),2)</f>
        <v>0</v>
      </c>
      <c r="T71" s="9">
        <f>ROUND(SUMIFS('Odoo Items'!$G$5:$G$4331,'Odoo Items'!$J$5:$J$4331,A71,'Odoo Items'!$C$5:$C$4331,"&lt;="&amp;Cover!$C$14),2)</f>
        <v>0</v>
      </c>
      <c r="U71">
        <f>COUNTIFS('Bank Lines'!$G$5:$G$1640,A71,'Bank Lines'!$J$5:$J$1640,1,'Bank Lines'!$C$5:$C$1640,"&lt;="&amp;Cover!$C$14)</f>
        <v>0</v>
      </c>
      <c r="V71">
        <f>COUNTIFS('Odoo Items'!$J$5:$J$4331,A71,'Odoo Items'!$C$5:$C$4331,"&lt;="&amp;Cover!$C$14)</f>
        <v>0</v>
      </c>
      <c r="W71">
        <f>IF(AND(U71=0,V71=0),"",IF(U71=0,"ODOO-ONLY",IF(V71=0,"BANK-ONLY","BOTH")))</f>
      </c>
      <c r="X71" s="9">
        <f>IF(W71="BOTH",ROUND(S71-T71,2),0)</f>
        <v>0</v>
      </c>
      <c r="Y71" s="9">
        <f>ROUND(SUMIFS('Bank Lines'!$E$5:$E$1640,'Bank Lines'!$G$5:$G$1640,A71,'Bank Lines'!$J$5:$J$1640,1,'Bank Lines'!$C$5:$C$1640,"&lt;="&amp;Cover!$C$15),2)</f>
        <v>3303.82</v>
      </c>
      <c r="Z71" s="9">
        <f>ROUND(SUMIFS('Odoo Items'!$G$5:$G$4331,'Odoo Items'!$J$5:$J$4331,A71,'Odoo Items'!$C$5:$C$4331,"&lt;="&amp;Cover!$C$15),2)</f>
        <v>3370</v>
      </c>
      <c r="AA71">
        <f>COUNTIFS('Bank Lines'!$G$5:$G$1640,A71,'Bank Lines'!$J$5:$J$1640,1,'Bank Lines'!$C$5:$C$1640,"&lt;="&amp;Cover!$C$15)</f>
        <v>1</v>
      </c>
      <c r="AB71">
        <f>COUNTIFS('Odoo Items'!$J$5:$J$4331,A71,'Odoo Items'!$C$5:$C$4331,"&lt;="&amp;Cover!$C$15)</f>
        <v>24</v>
      </c>
      <c r="AC71" t="str">
        <f>IF(AND(AA71=0,AB71=0),"",IF(AA71=0,"ODOO-ONLY",IF(AB71=0,"BANK-ONLY","BOTH")))</f>
        <v>BOTH</v>
      </c>
      <c r="AD71" s="9">
        <f>IF(AC71="BOTH",ROUND(Y71-Z71,2),0)</f>
        <v>-66.18</v>
      </c>
    </row>
    <row r="72">
      <c r="A72" t="inlineStr">
        <is>
          <t>G00068</t>
        </is>
      </c>
      <c r="B72" t="inlineStr">
        <is>
          <t>OPS</t>
        </is>
      </c>
      <c r="C72" t="inlineStr">
        <is>
          <t>R02</t>
        </is>
      </c>
      <c r="D72" t="inlineStr">
        <is>
          <t>STRIPE-FEE</t>
        </is>
      </c>
      <c r="E72" t="inlineStr"/>
      <c r="G72" t="inlineStr">
        <is>
          <t>38 report lines; fees 94.91</t>
        </is>
      </c>
      <c r="H72">
        <f>COUNTIFS('Bank Lines'!$G$5:$G$1640,A72,'Bank Lines'!$J$5:$J$1640,1)</f>
        <v>1</v>
      </c>
      <c r="I72">
        <f>COUNTIFS('Odoo Items'!$J$5:$J$4331,A72)</f>
        <v>38</v>
      </c>
      <c r="J72" s="9">
        <f>ROUND(SUMIFS('Bank Lines'!$E$5:$E$1640,'Bank Lines'!$G$5:$G$1640,A72,'Bank Lines'!$J$5:$J$1640,1),2)</f>
        <v>4675.09</v>
      </c>
      <c r="K72" s="9">
        <f>ROUND(SUMIFS('Odoo Items'!$G$5:$G$4331,'Odoo Items'!$J$5:$J$4331,A72),2)</f>
        <v>4770</v>
      </c>
      <c r="L72" s="9">
        <f>ROUND(J72-K72,2)</f>
        <v>-94.91</v>
      </c>
      <c r="M72" s="9">
        <f>ROUND(SUMIFS('Bank Lines'!$E$5:$E$1640,'Bank Lines'!$G$5:$G$1640,A72,'Bank Lines'!$J$5:$J$1640,1,'Bank Lines'!$C$5:$C$1640,"&lt;="&amp;Cover!$C$13),2)</f>
        <v>0</v>
      </c>
      <c r="N72" s="9">
        <f>ROUND(SUMIFS('Odoo Items'!$G$5:$G$4331,'Odoo Items'!$J$5:$J$4331,A72,'Odoo Items'!$C$5:$C$4331,"&lt;="&amp;Cover!$C$13),2)</f>
        <v>0</v>
      </c>
      <c r="O72">
        <f>COUNTIFS('Bank Lines'!$G$5:$G$1640,A72,'Bank Lines'!$J$5:$J$1640,1,'Bank Lines'!$C$5:$C$1640,"&lt;="&amp;Cover!$C$13)</f>
        <v>0</v>
      </c>
      <c r="P72">
        <f>COUNTIFS('Odoo Items'!$J$5:$J$4331,A72,'Odoo Items'!$C$5:$C$4331,"&lt;="&amp;Cover!$C$13)</f>
        <v>0</v>
      </c>
      <c r="Q72">
        <f>IF(AND(O72=0,P72=0),"",IF(O72=0,"ODOO-ONLY",IF(P72=0,"BANK-ONLY","BOTH")))</f>
      </c>
      <c r="R72" s="9">
        <f>IF(Q72="BOTH",ROUND(M72-N72,2),0)</f>
        <v>0</v>
      </c>
      <c r="S72" s="9">
        <f>ROUND(SUMIFS('Bank Lines'!$E$5:$E$1640,'Bank Lines'!$G$5:$G$1640,A72,'Bank Lines'!$J$5:$J$1640,1,'Bank Lines'!$C$5:$C$1640,"&lt;="&amp;Cover!$C$14),2)</f>
        <v>0</v>
      </c>
      <c r="T72" s="9">
        <f>ROUND(SUMIFS('Odoo Items'!$G$5:$G$4331,'Odoo Items'!$J$5:$J$4331,A72,'Odoo Items'!$C$5:$C$4331,"&lt;="&amp;Cover!$C$14),2)</f>
        <v>0</v>
      </c>
      <c r="U72">
        <f>COUNTIFS('Bank Lines'!$G$5:$G$1640,A72,'Bank Lines'!$J$5:$J$1640,1,'Bank Lines'!$C$5:$C$1640,"&lt;="&amp;Cover!$C$14)</f>
        <v>0</v>
      </c>
      <c r="V72">
        <f>COUNTIFS('Odoo Items'!$J$5:$J$4331,A72,'Odoo Items'!$C$5:$C$4331,"&lt;="&amp;Cover!$C$14)</f>
        <v>0</v>
      </c>
      <c r="W72">
        <f>IF(AND(U72=0,V72=0),"",IF(U72=0,"ODOO-ONLY",IF(V72=0,"BANK-ONLY","BOTH")))</f>
      </c>
      <c r="X72" s="9">
        <f>IF(W72="BOTH",ROUND(S72-T72,2),0)</f>
        <v>0</v>
      </c>
      <c r="Y72" s="9">
        <f>ROUND(SUMIFS('Bank Lines'!$E$5:$E$1640,'Bank Lines'!$G$5:$G$1640,A72,'Bank Lines'!$J$5:$J$1640,1,'Bank Lines'!$C$5:$C$1640,"&lt;="&amp;Cover!$C$15),2)</f>
        <v>4675.09</v>
      </c>
      <c r="Z72" s="9">
        <f>ROUND(SUMIFS('Odoo Items'!$G$5:$G$4331,'Odoo Items'!$J$5:$J$4331,A72,'Odoo Items'!$C$5:$C$4331,"&lt;="&amp;Cover!$C$15),2)</f>
        <v>4770</v>
      </c>
      <c r="AA72">
        <f>COUNTIFS('Bank Lines'!$G$5:$G$1640,A72,'Bank Lines'!$J$5:$J$1640,1,'Bank Lines'!$C$5:$C$1640,"&lt;="&amp;Cover!$C$15)</f>
        <v>1</v>
      </c>
      <c r="AB72">
        <f>COUNTIFS('Odoo Items'!$J$5:$J$4331,A72,'Odoo Items'!$C$5:$C$4331,"&lt;="&amp;Cover!$C$15)</f>
        <v>38</v>
      </c>
      <c r="AC72" t="str">
        <f>IF(AND(AA72=0,AB72=0),"",IF(AA72=0,"ODOO-ONLY",IF(AB72=0,"BANK-ONLY","BOTH")))</f>
        <v>BOTH</v>
      </c>
      <c r="AD72" s="9">
        <f>IF(AC72="BOTH",ROUND(Y72-Z72,2),0)</f>
        <v>-94.91</v>
      </c>
    </row>
    <row r="73">
      <c r="A73" t="inlineStr">
        <is>
          <t>G00069</t>
        </is>
      </c>
      <c r="B73" t="inlineStr">
        <is>
          <t>OPS</t>
        </is>
      </c>
      <c r="C73" t="inlineStr">
        <is>
          <t>R02</t>
        </is>
      </c>
      <c r="D73" t="inlineStr">
        <is>
          <t>STRIPE-FEE</t>
        </is>
      </c>
      <c r="E73" t="inlineStr"/>
      <c r="G73" t="inlineStr">
        <is>
          <t>20 report lines; fees 45.60</t>
        </is>
      </c>
      <c r="H73">
        <f>COUNTIFS('Bank Lines'!$G$5:$G$1640,A73,'Bank Lines'!$J$5:$J$1640,1)</f>
        <v>1</v>
      </c>
      <c r="I73">
        <f>COUNTIFS('Odoo Items'!$J$5:$J$4331,A73)</f>
        <v>20</v>
      </c>
      <c r="J73" s="9">
        <f>ROUND(SUMIFS('Bank Lines'!$E$5:$E$1640,'Bank Lines'!$G$5:$G$1640,A73,'Bank Lines'!$J$5:$J$1640,1),2)</f>
        <v>2214.4</v>
      </c>
      <c r="K73" s="9">
        <f>ROUND(SUMIFS('Odoo Items'!$G$5:$G$4331,'Odoo Items'!$J$5:$J$4331,A73),2)</f>
        <v>2260</v>
      </c>
      <c r="L73" s="9">
        <f>ROUND(J73-K73,2)</f>
        <v>-45.6</v>
      </c>
      <c r="M73" s="9">
        <f>ROUND(SUMIFS('Bank Lines'!$E$5:$E$1640,'Bank Lines'!$G$5:$G$1640,A73,'Bank Lines'!$J$5:$J$1640,1,'Bank Lines'!$C$5:$C$1640,"&lt;="&amp;Cover!$C$13),2)</f>
        <v>0</v>
      </c>
      <c r="N73" s="9">
        <f>ROUND(SUMIFS('Odoo Items'!$G$5:$G$4331,'Odoo Items'!$J$5:$J$4331,A73,'Odoo Items'!$C$5:$C$4331,"&lt;="&amp;Cover!$C$13),2)</f>
        <v>0</v>
      </c>
      <c r="O73">
        <f>COUNTIFS('Bank Lines'!$G$5:$G$1640,A73,'Bank Lines'!$J$5:$J$1640,1,'Bank Lines'!$C$5:$C$1640,"&lt;="&amp;Cover!$C$13)</f>
        <v>0</v>
      </c>
      <c r="P73">
        <f>COUNTIFS('Odoo Items'!$J$5:$J$4331,A73,'Odoo Items'!$C$5:$C$4331,"&lt;="&amp;Cover!$C$13)</f>
        <v>0</v>
      </c>
      <c r="Q73">
        <f>IF(AND(O73=0,P73=0),"",IF(O73=0,"ODOO-ONLY",IF(P73=0,"BANK-ONLY","BOTH")))</f>
      </c>
      <c r="R73" s="9">
        <f>IF(Q73="BOTH",ROUND(M73-N73,2),0)</f>
        <v>0</v>
      </c>
      <c r="S73" s="9">
        <f>ROUND(SUMIFS('Bank Lines'!$E$5:$E$1640,'Bank Lines'!$G$5:$G$1640,A73,'Bank Lines'!$J$5:$J$1640,1,'Bank Lines'!$C$5:$C$1640,"&lt;="&amp;Cover!$C$14),2)</f>
        <v>0</v>
      </c>
      <c r="T73" s="9">
        <f>ROUND(SUMIFS('Odoo Items'!$G$5:$G$4331,'Odoo Items'!$J$5:$J$4331,A73,'Odoo Items'!$C$5:$C$4331,"&lt;="&amp;Cover!$C$14),2)</f>
        <v>0</v>
      </c>
      <c r="U73">
        <f>COUNTIFS('Bank Lines'!$G$5:$G$1640,A73,'Bank Lines'!$J$5:$J$1640,1,'Bank Lines'!$C$5:$C$1640,"&lt;="&amp;Cover!$C$14)</f>
        <v>0</v>
      </c>
      <c r="V73">
        <f>COUNTIFS('Odoo Items'!$J$5:$J$4331,A73,'Odoo Items'!$C$5:$C$4331,"&lt;="&amp;Cover!$C$14)</f>
        <v>0</v>
      </c>
      <c r="W73">
        <f>IF(AND(U73=0,V73=0),"",IF(U73=0,"ODOO-ONLY",IF(V73=0,"BANK-ONLY","BOTH")))</f>
      </c>
      <c r="X73" s="9">
        <f>IF(W73="BOTH",ROUND(S73-T73,2),0)</f>
        <v>0</v>
      </c>
      <c r="Y73" s="9">
        <f>ROUND(SUMIFS('Bank Lines'!$E$5:$E$1640,'Bank Lines'!$G$5:$G$1640,A73,'Bank Lines'!$J$5:$J$1640,1,'Bank Lines'!$C$5:$C$1640,"&lt;="&amp;Cover!$C$15),2)</f>
        <v>2214.4</v>
      </c>
      <c r="Z73" s="9">
        <f>ROUND(SUMIFS('Odoo Items'!$G$5:$G$4331,'Odoo Items'!$J$5:$J$4331,A73,'Odoo Items'!$C$5:$C$4331,"&lt;="&amp;Cover!$C$15),2)</f>
        <v>2260</v>
      </c>
      <c r="AA73">
        <f>COUNTIFS('Bank Lines'!$G$5:$G$1640,A73,'Bank Lines'!$J$5:$J$1640,1,'Bank Lines'!$C$5:$C$1640,"&lt;="&amp;Cover!$C$15)</f>
        <v>1</v>
      </c>
      <c r="AB73">
        <f>COUNTIFS('Odoo Items'!$J$5:$J$4331,A73,'Odoo Items'!$C$5:$C$4331,"&lt;="&amp;Cover!$C$15)</f>
        <v>20</v>
      </c>
      <c r="AC73" t="str">
        <f>IF(AND(AA73=0,AB73=0),"",IF(AA73=0,"ODOO-ONLY",IF(AB73=0,"BANK-ONLY","BOTH")))</f>
        <v>BOTH</v>
      </c>
      <c r="AD73" s="9">
        <f>IF(AC73="BOTH",ROUND(Y73-Z73,2),0)</f>
        <v>-45.6</v>
      </c>
    </row>
    <row r="74">
      <c r="A74" t="inlineStr">
        <is>
          <t>G00070</t>
        </is>
      </c>
      <c r="B74" t="inlineStr">
        <is>
          <t>OPS</t>
        </is>
      </c>
      <c r="C74" t="inlineStr">
        <is>
          <t>R02</t>
        </is>
      </c>
      <c r="D74" t="inlineStr">
        <is>
          <t>STRIPE-FEE</t>
        </is>
      </c>
      <c r="E74" t="inlineStr"/>
      <c r="G74" t="inlineStr">
        <is>
          <t>28 report lines; fees 71.60</t>
        </is>
      </c>
      <c r="H74">
        <f>COUNTIFS('Bank Lines'!$G$5:$G$1640,A74,'Bank Lines'!$J$5:$J$1640,1)</f>
        <v>1</v>
      </c>
      <c r="I74">
        <f>COUNTIFS('Odoo Items'!$J$5:$J$4331,A74)</f>
        <v>28</v>
      </c>
      <c r="J74" s="9">
        <f>ROUND(SUMIFS('Bank Lines'!$E$5:$E$1640,'Bank Lines'!$G$5:$G$1640,A74,'Bank Lines'!$J$5:$J$1640,1),2)</f>
        <v>3538.4</v>
      </c>
      <c r="K74" s="9">
        <f>ROUND(SUMIFS('Odoo Items'!$G$5:$G$4331,'Odoo Items'!$J$5:$J$4331,A74),2)</f>
        <v>3610</v>
      </c>
      <c r="L74" s="9">
        <f>ROUND(J74-K74,2)</f>
        <v>-71.6</v>
      </c>
      <c r="M74" s="9">
        <f>ROUND(SUMIFS('Bank Lines'!$E$5:$E$1640,'Bank Lines'!$G$5:$G$1640,A74,'Bank Lines'!$J$5:$J$1640,1,'Bank Lines'!$C$5:$C$1640,"&lt;="&amp;Cover!$C$13),2)</f>
        <v>0</v>
      </c>
      <c r="N74" s="9">
        <f>ROUND(SUMIFS('Odoo Items'!$G$5:$G$4331,'Odoo Items'!$J$5:$J$4331,A74,'Odoo Items'!$C$5:$C$4331,"&lt;="&amp;Cover!$C$13),2)</f>
        <v>0</v>
      </c>
      <c r="O74">
        <f>COUNTIFS('Bank Lines'!$G$5:$G$1640,A74,'Bank Lines'!$J$5:$J$1640,1,'Bank Lines'!$C$5:$C$1640,"&lt;="&amp;Cover!$C$13)</f>
        <v>0</v>
      </c>
      <c r="P74">
        <f>COUNTIFS('Odoo Items'!$J$5:$J$4331,A74,'Odoo Items'!$C$5:$C$4331,"&lt;="&amp;Cover!$C$13)</f>
        <v>0</v>
      </c>
      <c r="Q74">
        <f>IF(AND(O74=0,P74=0),"",IF(O74=0,"ODOO-ONLY",IF(P74=0,"BANK-ONLY","BOTH")))</f>
      </c>
      <c r="R74" s="9">
        <f>IF(Q74="BOTH",ROUND(M74-N74,2),0)</f>
        <v>0</v>
      </c>
      <c r="S74" s="9">
        <f>ROUND(SUMIFS('Bank Lines'!$E$5:$E$1640,'Bank Lines'!$G$5:$G$1640,A74,'Bank Lines'!$J$5:$J$1640,1,'Bank Lines'!$C$5:$C$1640,"&lt;="&amp;Cover!$C$14),2)</f>
        <v>0</v>
      </c>
      <c r="T74" s="9">
        <f>ROUND(SUMIFS('Odoo Items'!$G$5:$G$4331,'Odoo Items'!$J$5:$J$4331,A74,'Odoo Items'!$C$5:$C$4331,"&lt;="&amp;Cover!$C$14),2)</f>
        <v>0</v>
      </c>
      <c r="U74">
        <f>COUNTIFS('Bank Lines'!$G$5:$G$1640,A74,'Bank Lines'!$J$5:$J$1640,1,'Bank Lines'!$C$5:$C$1640,"&lt;="&amp;Cover!$C$14)</f>
        <v>0</v>
      </c>
      <c r="V74">
        <f>COUNTIFS('Odoo Items'!$J$5:$J$4331,A74,'Odoo Items'!$C$5:$C$4331,"&lt;="&amp;Cover!$C$14)</f>
        <v>0</v>
      </c>
      <c r="W74">
        <f>IF(AND(U74=0,V74=0),"",IF(U74=0,"ODOO-ONLY",IF(V74=0,"BANK-ONLY","BOTH")))</f>
      </c>
      <c r="X74" s="9">
        <f>IF(W74="BOTH",ROUND(S74-T74,2),0)</f>
        <v>0</v>
      </c>
      <c r="Y74" s="9">
        <f>ROUND(SUMIFS('Bank Lines'!$E$5:$E$1640,'Bank Lines'!$G$5:$G$1640,A74,'Bank Lines'!$J$5:$J$1640,1,'Bank Lines'!$C$5:$C$1640,"&lt;="&amp;Cover!$C$15),2)</f>
        <v>3538.4</v>
      </c>
      <c r="Z74" s="9">
        <f>ROUND(SUMIFS('Odoo Items'!$G$5:$G$4331,'Odoo Items'!$J$5:$J$4331,A74,'Odoo Items'!$C$5:$C$4331,"&lt;="&amp;Cover!$C$15),2)</f>
        <v>3610</v>
      </c>
      <c r="AA74">
        <f>COUNTIFS('Bank Lines'!$G$5:$G$1640,A74,'Bank Lines'!$J$5:$J$1640,1,'Bank Lines'!$C$5:$C$1640,"&lt;="&amp;Cover!$C$15)</f>
        <v>1</v>
      </c>
      <c r="AB74">
        <f>COUNTIFS('Odoo Items'!$J$5:$J$4331,A74,'Odoo Items'!$C$5:$C$4331,"&lt;="&amp;Cover!$C$15)</f>
        <v>28</v>
      </c>
      <c r="AC74" t="str">
        <f>IF(AND(AA74=0,AB74=0),"",IF(AA74=0,"ODOO-ONLY",IF(AB74=0,"BANK-ONLY","BOTH")))</f>
        <v>BOTH</v>
      </c>
      <c r="AD74" s="9">
        <f>IF(AC74="BOTH",ROUND(Y74-Z74,2),0)</f>
        <v>-71.6</v>
      </c>
    </row>
    <row r="75">
      <c r="A75" t="inlineStr">
        <is>
          <t>G00071</t>
        </is>
      </c>
      <c r="B75" t="inlineStr">
        <is>
          <t>OPS</t>
        </is>
      </c>
      <c r="C75" t="inlineStr">
        <is>
          <t>R02</t>
        </is>
      </c>
      <c r="D75" t="inlineStr">
        <is>
          <t>STRIPE-FEE</t>
        </is>
      </c>
      <c r="E75" t="inlineStr"/>
      <c r="G75" t="inlineStr">
        <is>
          <t>19 report lines; fees 47.73</t>
        </is>
      </c>
      <c r="H75">
        <f>COUNTIFS('Bank Lines'!$G$5:$G$1640,A75,'Bank Lines'!$J$5:$J$1640,1)</f>
        <v>1</v>
      </c>
      <c r="I75">
        <f>COUNTIFS('Odoo Items'!$J$5:$J$4331,A75)</f>
        <v>19</v>
      </c>
      <c r="J75" s="9">
        <f>ROUND(SUMIFS('Bank Lines'!$E$5:$E$1640,'Bank Lines'!$G$5:$G$1640,A75,'Bank Lines'!$J$5:$J$1640,1),2)</f>
        <v>2352.27</v>
      </c>
      <c r="K75" s="9">
        <f>ROUND(SUMIFS('Odoo Items'!$G$5:$G$4331,'Odoo Items'!$J$5:$J$4331,A75),2)</f>
        <v>2400</v>
      </c>
      <c r="L75" s="9">
        <f>ROUND(J75-K75,2)</f>
        <v>-47.73</v>
      </c>
      <c r="M75" s="9">
        <f>ROUND(SUMIFS('Bank Lines'!$E$5:$E$1640,'Bank Lines'!$G$5:$G$1640,A75,'Bank Lines'!$J$5:$J$1640,1,'Bank Lines'!$C$5:$C$1640,"&lt;="&amp;Cover!$C$13),2)</f>
        <v>0</v>
      </c>
      <c r="N75" s="9">
        <f>ROUND(SUMIFS('Odoo Items'!$G$5:$G$4331,'Odoo Items'!$J$5:$J$4331,A75,'Odoo Items'!$C$5:$C$4331,"&lt;="&amp;Cover!$C$13),2)</f>
        <v>0</v>
      </c>
      <c r="O75">
        <f>COUNTIFS('Bank Lines'!$G$5:$G$1640,A75,'Bank Lines'!$J$5:$J$1640,1,'Bank Lines'!$C$5:$C$1640,"&lt;="&amp;Cover!$C$13)</f>
        <v>0</v>
      </c>
      <c r="P75">
        <f>COUNTIFS('Odoo Items'!$J$5:$J$4331,A75,'Odoo Items'!$C$5:$C$4331,"&lt;="&amp;Cover!$C$13)</f>
        <v>0</v>
      </c>
      <c r="Q75">
        <f>IF(AND(O75=0,P75=0),"",IF(O75=0,"ODOO-ONLY",IF(P75=0,"BANK-ONLY","BOTH")))</f>
      </c>
      <c r="R75" s="9">
        <f>IF(Q75="BOTH",ROUND(M75-N75,2),0)</f>
        <v>0</v>
      </c>
      <c r="S75" s="9">
        <f>ROUND(SUMIFS('Bank Lines'!$E$5:$E$1640,'Bank Lines'!$G$5:$G$1640,A75,'Bank Lines'!$J$5:$J$1640,1,'Bank Lines'!$C$5:$C$1640,"&lt;="&amp;Cover!$C$14),2)</f>
        <v>0</v>
      </c>
      <c r="T75" s="9">
        <f>ROUND(SUMIFS('Odoo Items'!$G$5:$G$4331,'Odoo Items'!$J$5:$J$4331,A75,'Odoo Items'!$C$5:$C$4331,"&lt;="&amp;Cover!$C$14),2)</f>
        <v>0</v>
      </c>
      <c r="U75">
        <f>COUNTIFS('Bank Lines'!$G$5:$G$1640,A75,'Bank Lines'!$J$5:$J$1640,1,'Bank Lines'!$C$5:$C$1640,"&lt;="&amp;Cover!$C$14)</f>
        <v>0</v>
      </c>
      <c r="V75">
        <f>COUNTIFS('Odoo Items'!$J$5:$J$4331,A75,'Odoo Items'!$C$5:$C$4331,"&lt;="&amp;Cover!$C$14)</f>
        <v>0</v>
      </c>
      <c r="W75">
        <f>IF(AND(U75=0,V75=0),"",IF(U75=0,"ODOO-ONLY",IF(V75=0,"BANK-ONLY","BOTH")))</f>
      </c>
      <c r="X75" s="9">
        <f>IF(W75="BOTH",ROUND(S75-T75,2),0)</f>
        <v>0</v>
      </c>
      <c r="Y75" s="9">
        <f>ROUND(SUMIFS('Bank Lines'!$E$5:$E$1640,'Bank Lines'!$G$5:$G$1640,A75,'Bank Lines'!$J$5:$J$1640,1,'Bank Lines'!$C$5:$C$1640,"&lt;="&amp;Cover!$C$15),2)</f>
        <v>2352.27</v>
      </c>
      <c r="Z75" s="9">
        <f>ROUND(SUMIFS('Odoo Items'!$G$5:$G$4331,'Odoo Items'!$J$5:$J$4331,A75,'Odoo Items'!$C$5:$C$4331,"&lt;="&amp;Cover!$C$15),2)</f>
        <v>2400</v>
      </c>
      <c r="AA75">
        <f>COUNTIFS('Bank Lines'!$G$5:$G$1640,A75,'Bank Lines'!$J$5:$J$1640,1,'Bank Lines'!$C$5:$C$1640,"&lt;="&amp;Cover!$C$15)</f>
        <v>1</v>
      </c>
      <c r="AB75">
        <f>COUNTIFS('Odoo Items'!$J$5:$J$4331,A75,'Odoo Items'!$C$5:$C$4331,"&lt;="&amp;Cover!$C$15)</f>
        <v>19</v>
      </c>
      <c r="AC75" t="str">
        <f>IF(AND(AA75=0,AB75=0),"",IF(AA75=0,"ODOO-ONLY",IF(AB75=0,"BANK-ONLY","BOTH")))</f>
        <v>BOTH</v>
      </c>
      <c r="AD75" s="9">
        <f>IF(AC75="BOTH",ROUND(Y75-Z75,2),0)</f>
        <v>-47.73</v>
      </c>
    </row>
    <row r="76">
      <c r="A76" t="inlineStr">
        <is>
          <t>G00072</t>
        </is>
      </c>
      <c r="B76" t="inlineStr">
        <is>
          <t>OPS</t>
        </is>
      </c>
      <c r="C76" t="inlineStr">
        <is>
          <t>R02</t>
        </is>
      </c>
      <c r="D76" t="inlineStr">
        <is>
          <t>STRIPE-FEE</t>
        </is>
      </c>
      <c r="E76" t="inlineStr"/>
      <c r="G76" t="inlineStr">
        <is>
          <t>22 report lines; fees 61.13</t>
        </is>
      </c>
      <c r="H76">
        <f>COUNTIFS('Bank Lines'!$G$5:$G$1640,A76,'Bank Lines'!$J$5:$J$1640,1)</f>
        <v>1</v>
      </c>
      <c r="I76">
        <f>COUNTIFS('Odoo Items'!$J$5:$J$4331,A76)</f>
        <v>22</v>
      </c>
      <c r="J76" s="9">
        <f>ROUND(SUMIFS('Bank Lines'!$E$5:$E$1640,'Bank Lines'!$G$5:$G$1640,A76,'Bank Lines'!$J$5:$J$1640,1),2)</f>
        <v>3053.87</v>
      </c>
      <c r="K76" s="9">
        <f>ROUND(SUMIFS('Odoo Items'!$G$5:$G$4331,'Odoo Items'!$J$5:$J$4331,A76),2)</f>
        <v>3115</v>
      </c>
      <c r="L76" s="9">
        <f>ROUND(J76-K76,2)</f>
        <v>-61.13</v>
      </c>
      <c r="M76" s="9">
        <f>ROUND(SUMIFS('Bank Lines'!$E$5:$E$1640,'Bank Lines'!$G$5:$G$1640,A76,'Bank Lines'!$J$5:$J$1640,1,'Bank Lines'!$C$5:$C$1640,"&lt;="&amp;Cover!$C$13),2)</f>
        <v>0</v>
      </c>
      <c r="N76" s="9">
        <f>ROUND(SUMIFS('Odoo Items'!$G$5:$G$4331,'Odoo Items'!$J$5:$J$4331,A76,'Odoo Items'!$C$5:$C$4331,"&lt;="&amp;Cover!$C$13),2)</f>
        <v>0</v>
      </c>
      <c r="O76">
        <f>COUNTIFS('Bank Lines'!$G$5:$G$1640,A76,'Bank Lines'!$J$5:$J$1640,1,'Bank Lines'!$C$5:$C$1640,"&lt;="&amp;Cover!$C$13)</f>
        <v>0</v>
      </c>
      <c r="P76">
        <f>COUNTIFS('Odoo Items'!$J$5:$J$4331,A76,'Odoo Items'!$C$5:$C$4331,"&lt;="&amp;Cover!$C$13)</f>
        <v>0</v>
      </c>
      <c r="Q76">
        <f>IF(AND(O76=0,P76=0),"",IF(O76=0,"ODOO-ONLY",IF(P76=0,"BANK-ONLY","BOTH")))</f>
      </c>
      <c r="R76" s="9">
        <f>IF(Q76="BOTH",ROUND(M76-N76,2),0)</f>
        <v>0</v>
      </c>
      <c r="S76" s="9">
        <f>ROUND(SUMIFS('Bank Lines'!$E$5:$E$1640,'Bank Lines'!$G$5:$G$1640,A76,'Bank Lines'!$J$5:$J$1640,1,'Bank Lines'!$C$5:$C$1640,"&lt;="&amp;Cover!$C$14),2)</f>
        <v>0</v>
      </c>
      <c r="T76" s="9">
        <f>ROUND(SUMIFS('Odoo Items'!$G$5:$G$4331,'Odoo Items'!$J$5:$J$4331,A76,'Odoo Items'!$C$5:$C$4331,"&lt;="&amp;Cover!$C$14),2)</f>
        <v>0</v>
      </c>
      <c r="U76">
        <f>COUNTIFS('Bank Lines'!$G$5:$G$1640,A76,'Bank Lines'!$J$5:$J$1640,1,'Bank Lines'!$C$5:$C$1640,"&lt;="&amp;Cover!$C$14)</f>
        <v>0</v>
      </c>
      <c r="V76">
        <f>COUNTIFS('Odoo Items'!$J$5:$J$4331,A76,'Odoo Items'!$C$5:$C$4331,"&lt;="&amp;Cover!$C$14)</f>
        <v>0</v>
      </c>
      <c r="W76">
        <f>IF(AND(U76=0,V76=0),"",IF(U76=0,"ODOO-ONLY",IF(V76=0,"BANK-ONLY","BOTH")))</f>
      </c>
      <c r="X76" s="9">
        <f>IF(W76="BOTH",ROUND(S76-T76,2),0)</f>
        <v>0</v>
      </c>
      <c r="Y76" s="9">
        <f>ROUND(SUMIFS('Bank Lines'!$E$5:$E$1640,'Bank Lines'!$G$5:$G$1640,A76,'Bank Lines'!$J$5:$J$1640,1,'Bank Lines'!$C$5:$C$1640,"&lt;="&amp;Cover!$C$15),2)</f>
        <v>3053.87</v>
      </c>
      <c r="Z76" s="9">
        <f>ROUND(SUMIFS('Odoo Items'!$G$5:$G$4331,'Odoo Items'!$J$5:$J$4331,A76,'Odoo Items'!$C$5:$C$4331,"&lt;="&amp;Cover!$C$15),2)</f>
        <v>3115</v>
      </c>
      <c r="AA76">
        <f>COUNTIFS('Bank Lines'!$G$5:$G$1640,A76,'Bank Lines'!$J$5:$J$1640,1,'Bank Lines'!$C$5:$C$1640,"&lt;="&amp;Cover!$C$15)</f>
        <v>1</v>
      </c>
      <c r="AB76">
        <f>COUNTIFS('Odoo Items'!$J$5:$J$4331,A76,'Odoo Items'!$C$5:$C$4331,"&lt;="&amp;Cover!$C$15)</f>
        <v>22</v>
      </c>
      <c r="AC76" t="str">
        <f>IF(AND(AA76=0,AB76=0),"",IF(AA76=0,"ODOO-ONLY",IF(AB76=0,"BANK-ONLY","BOTH")))</f>
        <v>BOTH</v>
      </c>
      <c r="AD76" s="9">
        <f>IF(AC76="BOTH",ROUND(Y76-Z76,2),0)</f>
        <v>-61.13</v>
      </c>
    </row>
    <row r="77">
      <c r="A77" t="inlineStr">
        <is>
          <t>G00073</t>
        </is>
      </c>
      <c r="B77" t="inlineStr">
        <is>
          <t>OPS</t>
        </is>
      </c>
      <c r="C77" t="inlineStr">
        <is>
          <t>R02</t>
        </is>
      </c>
      <c r="D77" t="inlineStr">
        <is>
          <t>STRIPE-FEE</t>
        </is>
      </c>
      <c r="E77" t="inlineStr"/>
      <c r="G77" t="inlineStr">
        <is>
          <t>39 report lines; fees 98.55</t>
        </is>
      </c>
      <c r="H77">
        <f>COUNTIFS('Bank Lines'!$G$5:$G$1640,A77,'Bank Lines'!$J$5:$J$1640,1)</f>
        <v>1</v>
      </c>
      <c r="I77">
        <f>COUNTIFS('Odoo Items'!$J$5:$J$4331,A77)</f>
        <v>39</v>
      </c>
      <c r="J77" s="9">
        <f>ROUND(SUMIFS('Bank Lines'!$E$5:$E$1640,'Bank Lines'!$G$5:$G$1640,A77,'Bank Lines'!$J$5:$J$1640,1),2)</f>
        <v>4861.45</v>
      </c>
      <c r="K77" s="9">
        <f>ROUND(SUMIFS('Odoo Items'!$G$5:$G$4331,'Odoo Items'!$J$5:$J$4331,A77),2)</f>
        <v>4960</v>
      </c>
      <c r="L77" s="9">
        <f>ROUND(J77-K77,2)</f>
        <v>-98.55</v>
      </c>
      <c r="M77" s="9">
        <f>ROUND(SUMIFS('Bank Lines'!$E$5:$E$1640,'Bank Lines'!$G$5:$G$1640,A77,'Bank Lines'!$J$5:$J$1640,1,'Bank Lines'!$C$5:$C$1640,"&lt;="&amp;Cover!$C$13),2)</f>
        <v>0</v>
      </c>
      <c r="N77" s="9">
        <f>ROUND(SUMIFS('Odoo Items'!$G$5:$G$4331,'Odoo Items'!$J$5:$J$4331,A77,'Odoo Items'!$C$5:$C$4331,"&lt;="&amp;Cover!$C$13),2)</f>
        <v>0</v>
      </c>
      <c r="O77">
        <f>COUNTIFS('Bank Lines'!$G$5:$G$1640,A77,'Bank Lines'!$J$5:$J$1640,1,'Bank Lines'!$C$5:$C$1640,"&lt;="&amp;Cover!$C$13)</f>
        <v>0</v>
      </c>
      <c r="P77">
        <f>COUNTIFS('Odoo Items'!$J$5:$J$4331,A77,'Odoo Items'!$C$5:$C$4331,"&lt;="&amp;Cover!$C$13)</f>
        <v>0</v>
      </c>
      <c r="Q77">
        <f>IF(AND(O77=0,P77=0),"",IF(O77=0,"ODOO-ONLY",IF(P77=0,"BANK-ONLY","BOTH")))</f>
      </c>
      <c r="R77" s="9">
        <f>IF(Q77="BOTH",ROUND(M77-N77,2),0)</f>
        <v>0</v>
      </c>
      <c r="S77" s="9">
        <f>ROUND(SUMIFS('Bank Lines'!$E$5:$E$1640,'Bank Lines'!$G$5:$G$1640,A77,'Bank Lines'!$J$5:$J$1640,1,'Bank Lines'!$C$5:$C$1640,"&lt;="&amp;Cover!$C$14),2)</f>
        <v>0</v>
      </c>
      <c r="T77" s="9">
        <f>ROUND(SUMIFS('Odoo Items'!$G$5:$G$4331,'Odoo Items'!$J$5:$J$4331,A77,'Odoo Items'!$C$5:$C$4331,"&lt;="&amp;Cover!$C$14),2)</f>
        <v>0</v>
      </c>
      <c r="U77">
        <f>COUNTIFS('Bank Lines'!$G$5:$G$1640,A77,'Bank Lines'!$J$5:$J$1640,1,'Bank Lines'!$C$5:$C$1640,"&lt;="&amp;Cover!$C$14)</f>
        <v>0</v>
      </c>
      <c r="V77">
        <f>COUNTIFS('Odoo Items'!$J$5:$J$4331,A77,'Odoo Items'!$C$5:$C$4331,"&lt;="&amp;Cover!$C$14)</f>
        <v>0</v>
      </c>
      <c r="W77">
        <f>IF(AND(U77=0,V77=0),"",IF(U77=0,"ODOO-ONLY",IF(V77=0,"BANK-ONLY","BOTH")))</f>
      </c>
      <c r="X77" s="9">
        <f>IF(W77="BOTH",ROUND(S77-T77,2),0)</f>
        <v>0</v>
      </c>
      <c r="Y77" s="9">
        <f>ROUND(SUMIFS('Bank Lines'!$E$5:$E$1640,'Bank Lines'!$G$5:$G$1640,A77,'Bank Lines'!$J$5:$J$1640,1,'Bank Lines'!$C$5:$C$1640,"&lt;="&amp;Cover!$C$15),2)</f>
        <v>4861.45</v>
      </c>
      <c r="Z77" s="9">
        <f>ROUND(SUMIFS('Odoo Items'!$G$5:$G$4331,'Odoo Items'!$J$5:$J$4331,A77,'Odoo Items'!$C$5:$C$4331,"&lt;="&amp;Cover!$C$15),2)</f>
        <v>4960</v>
      </c>
      <c r="AA77">
        <f>COUNTIFS('Bank Lines'!$G$5:$G$1640,A77,'Bank Lines'!$J$5:$J$1640,1,'Bank Lines'!$C$5:$C$1640,"&lt;="&amp;Cover!$C$15)</f>
        <v>1</v>
      </c>
      <c r="AB77">
        <f>COUNTIFS('Odoo Items'!$J$5:$J$4331,A77,'Odoo Items'!$C$5:$C$4331,"&lt;="&amp;Cover!$C$15)</f>
        <v>39</v>
      </c>
      <c r="AC77" t="str">
        <f>IF(AND(AA77=0,AB77=0),"",IF(AA77=0,"ODOO-ONLY",IF(AB77=0,"BANK-ONLY","BOTH")))</f>
        <v>BOTH</v>
      </c>
      <c r="AD77" s="9">
        <f>IF(AC77="BOTH",ROUND(Y77-Z77,2),0)</f>
        <v>-98.55</v>
      </c>
    </row>
    <row r="78">
      <c r="A78" t="inlineStr">
        <is>
          <t>G00074</t>
        </is>
      </c>
      <c r="B78" t="inlineStr">
        <is>
          <t>OPS</t>
        </is>
      </c>
      <c r="C78" t="inlineStr">
        <is>
          <t>R02</t>
        </is>
      </c>
      <c r="D78" t="inlineStr">
        <is>
          <t>STRIPE-FEE</t>
        </is>
      </c>
      <c r="E78" t="inlineStr"/>
      <c r="G78" t="inlineStr">
        <is>
          <t>34 report lines; fees 86.19</t>
        </is>
      </c>
      <c r="H78">
        <f>COUNTIFS('Bank Lines'!$G$5:$G$1640,A78,'Bank Lines'!$J$5:$J$1640,1)</f>
        <v>1</v>
      </c>
      <c r="I78">
        <f>COUNTIFS('Odoo Items'!$J$5:$J$4331,A78)</f>
        <v>34</v>
      </c>
      <c r="J78" s="9">
        <f>ROUND(SUMIFS('Bank Lines'!$E$5:$E$1640,'Bank Lines'!$G$5:$G$1640,A78,'Bank Lines'!$J$5:$J$1640,1),2)</f>
        <v>4253.81</v>
      </c>
      <c r="K78" s="9">
        <f>ROUND(SUMIFS('Odoo Items'!$G$5:$G$4331,'Odoo Items'!$J$5:$J$4331,A78),2)</f>
        <v>4340</v>
      </c>
      <c r="L78" s="9">
        <f>ROUND(J78-K78,2)</f>
        <v>-86.19</v>
      </c>
      <c r="M78" s="9">
        <f>ROUND(SUMIFS('Bank Lines'!$E$5:$E$1640,'Bank Lines'!$G$5:$G$1640,A78,'Bank Lines'!$J$5:$J$1640,1,'Bank Lines'!$C$5:$C$1640,"&lt;="&amp;Cover!$C$13),2)</f>
        <v>0</v>
      </c>
      <c r="N78" s="9">
        <f>ROUND(SUMIFS('Odoo Items'!$G$5:$G$4331,'Odoo Items'!$J$5:$J$4331,A78,'Odoo Items'!$C$5:$C$4331,"&lt;="&amp;Cover!$C$13),2)</f>
        <v>0</v>
      </c>
      <c r="O78">
        <f>COUNTIFS('Bank Lines'!$G$5:$G$1640,A78,'Bank Lines'!$J$5:$J$1640,1,'Bank Lines'!$C$5:$C$1640,"&lt;="&amp;Cover!$C$13)</f>
        <v>0</v>
      </c>
      <c r="P78">
        <f>COUNTIFS('Odoo Items'!$J$5:$J$4331,A78,'Odoo Items'!$C$5:$C$4331,"&lt;="&amp;Cover!$C$13)</f>
        <v>0</v>
      </c>
      <c r="Q78">
        <f>IF(AND(O78=0,P78=0),"",IF(O78=0,"ODOO-ONLY",IF(P78=0,"BANK-ONLY","BOTH")))</f>
      </c>
      <c r="R78" s="9">
        <f>IF(Q78="BOTH",ROUND(M78-N78,2),0)</f>
        <v>0</v>
      </c>
      <c r="S78" s="9">
        <f>ROUND(SUMIFS('Bank Lines'!$E$5:$E$1640,'Bank Lines'!$G$5:$G$1640,A78,'Bank Lines'!$J$5:$J$1640,1,'Bank Lines'!$C$5:$C$1640,"&lt;="&amp;Cover!$C$14),2)</f>
        <v>0</v>
      </c>
      <c r="T78" s="9">
        <f>ROUND(SUMIFS('Odoo Items'!$G$5:$G$4331,'Odoo Items'!$J$5:$J$4331,A78,'Odoo Items'!$C$5:$C$4331,"&lt;="&amp;Cover!$C$14),2)</f>
        <v>0</v>
      </c>
      <c r="U78">
        <f>COUNTIFS('Bank Lines'!$G$5:$G$1640,A78,'Bank Lines'!$J$5:$J$1640,1,'Bank Lines'!$C$5:$C$1640,"&lt;="&amp;Cover!$C$14)</f>
        <v>0</v>
      </c>
      <c r="V78">
        <f>COUNTIFS('Odoo Items'!$J$5:$J$4331,A78,'Odoo Items'!$C$5:$C$4331,"&lt;="&amp;Cover!$C$14)</f>
        <v>0</v>
      </c>
      <c r="W78">
        <f>IF(AND(U78=0,V78=0),"",IF(U78=0,"ODOO-ONLY",IF(V78=0,"BANK-ONLY","BOTH")))</f>
      </c>
      <c r="X78" s="9">
        <f>IF(W78="BOTH",ROUND(S78-T78,2),0)</f>
        <v>0</v>
      </c>
      <c r="Y78" s="9">
        <f>ROUND(SUMIFS('Bank Lines'!$E$5:$E$1640,'Bank Lines'!$G$5:$G$1640,A78,'Bank Lines'!$J$5:$J$1640,1,'Bank Lines'!$C$5:$C$1640,"&lt;="&amp;Cover!$C$15),2)</f>
        <v>4253.81</v>
      </c>
      <c r="Z78" s="9">
        <f>ROUND(SUMIFS('Odoo Items'!$G$5:$G$4331,'Odoo Items'!$J$5:$J$4331,A78,'Odoo Items'!$C$5:$C$4331,"&lt;="&amp;Cover!$C$15),2)</f>
        <v>4340</v>
      </c>
      <c r="AA78">
        <f>COUNTIFS('Bank Lines'!$G$5:$G$1640,A78,'Bank Lines'!$J$5:$J$1640,1,'Bank Lines'!$C$5:$C$1640,"&lt;="&amp;Cover!$C$15)</f>
        <v>1</v>
      </c>
      <c r="AB78">
        <f>COUNTIFS('Odoo Items'!$J$5:$J$4331,A78,'Odoo Items'!$C$5:$C$4331,"&lt;="&amp;Cover!$C$15)</f>
        <v>34</v>
      </c>
      <c r="AC78" t="str">
        <f>IF(AND(AA78=0,AB78=0),"",IF(AA78=0,"ODOO-ONLY",IF(AB78=0,"BANK-ONLY","BOTH")))</f>
        <v>BOTH</v>
      </c>
      <c r="AD78" s="9">
        <f>IF(AC78="BOTH",ROUND(Y78-Z78,2),0)</f>
        <v>-86.19</v>
      </c>
    </row>
    <row r="79">
      <c r="A79" t="inlineStr">
        <is>
          <t>G00075</t>
        </is>
      </c>
      <c r="B79" t="inlineStr">
        <is>
          <t>OPS</t>
        </is>
      </c>
      <c r="C79" t="inlineStr">
        <is>
          <t>R02</t>
        </is>
      </c>
      <c r="D79" t="inlineStr">
        <is>
          <t>STRIPE-FEE</t>
        </is>
      </c>
      <c r="E79" t="inlineStr"/>
      <c r="G79" t="inlineStr">
        <is>
          <t>18 report lines; fees 49.59</t>
        </is>
      </c>
      <c r="H79">
        <f>COUNTIFS('Bank Lines'!$G$5:$G$1640,A79,'Bank Lines'!$J$5:$J$1640,1)</f>
        <v>1</v>
      </c>
      <c r="I79">
        <f>COUNTIFS('Odoo Items'!$J$5:$J$4331,A79)</f>
        <v>18</v>
      </c>
      <c r="J79" s="9">
        <f>ROUND(SUMIFS('Bank Lines'!$E$5:$E$1640,'Bank Lines'!$G$5:$G$1640,A79,'Bank Lines'!$J$5:$J$1640,1),2)</f>
        <v>2475.41</v>
      </c>
      <c r="K79" s="9">
        <f>ROUND(SUMIFS('Odoo Items'!$G$5:$G$4331,'Odoo Items'!$J$5:$J$4331,A79),2)</f>
        <v>2525</v>
      </c>
      <c r="L79" s="9">
        <f>ROUND(J79-K79,2)</f>
        <v>-49.59</v>
      </c>
      <c r="M79" s="9">
        <f>ROUND(SUMIFS('Bank Lines'!$E$5:$E$1640,'Bank Lines'!$G$5:$G$1640,A79,'Bank Lines'!$J$5:$J$1640,1,'Bank Lines'!$C$5:$C$1640,"&lt;="&amp;Cover!$C$13),2)</f>
        <v>0</v>
      </c>
      <c r="N79" s="9">
        <f>ROUND(SUMIFS('Odoo Items'!$G$5:$G$4331,'Odoo Items'!$J$5:$J$4331,A79,'Odoo Items'!$C$5:$C$4331,"&lt;="&amp;Cover!$C$13),2)</f>
        <v>0</v>
      </c>
      <c r="O79">
        <f>COUNTIFS('Bank Lines'!$G$5:$G$1640,A79,'Bank Lines'!$J$5:$J$1640,1,'Bank Lines'!$C$5:$C$1640,"&lt;="&amp;Cover!$C$13)</f>
        <v>0</v>
      </c>
      <c r="P79">
        <f>COUNTIFS('Odoo Items'!$J$5:$J$4331,A79,'Odoo Items'!$C$5:$C$4331,"&lt;="&amp;Cover!$C$13)</f>
        <v>0</v>
      </c>
      <c r="Q79">
        <f>IF(AND(O79=0,P79=0),"",IF(O79=0,"ODOO-ONLY",IF(P79=0,"BANK-ONLY","BOTH")))</f>
      </c>
      <c r="R79" s="9">
        <f>IF(Q79="BOTH",ROUND(M79-N79,2),0)</f>
        <v>0</v>
      </c>
      <c r="S79" s="9">
        <f>ROUND(SUMIFS('Bank Lines'!$E$5:$E$1640,'Bank Lines'!$G$5:$G$1640,A79,'Bank Lines'!$J$5:$J$1640,1,'Bank Lines'!$C$5:$C$1640,"&lt;="&amp;Cover!$C$14),2)</f>
        <v>0</v>
      </c>
      <c r="T79" s="9">
        <f>ROUND(SUMIFS('Odoo Items'!$G$5:$G$4331,'Odoo Items'!$J$5:$J$4331,A79,'Odoo Items'!$C$5:$C$4331,"&lt;="&amp;Cover!$C$14),2)</f>
        <v>0</v>
      </c>
      <c r="U79">
        <f>COUNTIFS('Bank Lines'!$G$5:$G$1640,A79,'Bank Lines'!$J$5:$J$1640,1,'Bank Lines'!$C$5:$C$1640,"&lt;="&amp;Cover!$C$14)</f>
        <v>0</v>
      </c>
      <c r="V79">
        <f>COUNTIFS('Odoo Items'!$J$5:$J$4331,A79,'Odoo Items'!$C$5:$C$4331,"&lt;="&amp;Cover!$C$14)</f>
        <v>0</v>
      </c>
      <c r="W79">
        <f>IF(AND(U79=0,V79=0),"",IF(U79=0,"ODOO-ONLY",IF(V79=0,"BANK-ONLY","BOTH")))</f>
      </c>
      <c r="X79" s="9">
        <f>IF(W79="BOTH",ROUND(S79-T79,2),0)</f>
        <v>0</v>
      </c>
      <c r="Y79" s="9">
        <f>ROUND(SUMIFS('Bank Lines'!$E$5:$E$1640,'Bank Lines'!$G$5:$G$1640,A79,'Bank Lines'!$J$5:$J$1640,1,'Bank Lines'!$C$5:$C$1640,"&lt;="&amp;Cover!$C$15),2)</f>
        <v>2475.41</v>
      </c>
      <c r="Z79" s="9">
        <f>ROUND(SUMIFS('Odoo Items'!$G$5:$G$4331,'Odoo Items'!$J$5:$J$4331,A79,'Odoo Items'!$C$5:$C$4331,"&lt;="&amp;Cover!$C$15),2)</f>
        <v>2525</v>
      </c>
      <c r="AA79">
        <f>COUNTIFS('Bank Lines'!$G$5:$G$1640,A79,'Bank Lines'!$J$5:$J$1640,1,'Bank Lines'!$C$5:$C$1640,"&lt;="&amp;Cover!$C$15)</f>
        <v>1</v>
      </c>
      <c r="AB79">
        <f>COUNTIFS('Odoo Items'!$J$5:$J$4331,A79,'Odoo Items'!$C$5:$C$4331,"&lt;="&amp;Cover!$C$15)</f>
        <v>18</v>
      </c>
      <c r="AC79" t="str">
        <f>IF(AND(AA79=0,AB79=0),"",IF(AA79=0,"ODOO-ONLY",IF(AB79=0,"BANK-ONLY","BOTH")))</f>
        <v>BOTH</v>
      </c>
      <c r="AD79" s="9">
        <f>IF(AC79="BOTH",ROUND(Y79-Z79,2),0)</f>
        <v>-49.59</v>
      </c>
    </row>
    <row r="80">
      <c r="A80" t="inlineStr">
        <is>
          <t>G00076</t>
        </is>
      </c>
      <c r="B80" t="inlineStr">
        <is>
          <t>OPS</t>
        </is>
      </c>
      <c r="C80" t="inlineStr">
        <is>
          <t>R02</t>
        </is>
      </c>
      <c r="D80" t="inlineStr">
        <is>
          <t>STRIPE-FEE</t>
        </is>
      </c>
      <c r="E80" t="inlineStr"/>
      <c r="G80" t="inlineStr">
        <is>
          <t>27 report lines; fees 66.58</t>
        </is>
      </c>
      <c r="H80">
        <f>COUNTIFS('Bank Lines'!$G$5:$G$1640,A80,'Bank Lines'!$J$5:$J$1640,1)</f>
        <v>1</v>
      </c>
      <c r="I80">
        <f>COUNTIFS('Odoo Items'!$J$5:$J$4331,A80)</f>
        <v>27</v>
      </c>
      <c r="J80" s="9">
        <f>ROUND(SUMIFS('Bank Lines'!$E$5:$E$1640,'Bank Lines'!$G$5:$G$1640,A80,'Bank Lines'!$J$5:$J$1640,1),2)</f>
        <v>3273.42</v>
      </c>
      <c r="K80" s="9">
        <f>ROUND(SUMIFS('Odoo Items'!$G$5:$G$4331,'Odoo Items'!$J$5:$J$4331,A80),2)</f>
        <v>3340</v>
      </c>
      <c r="L80" s="9">
        <f>ROUND(J80-K80,2)</f>
        <v>-66.58</v>
      </c>
      <c r="M80" s="9">
        <f>ROUND(SUMIFS('Bank Lines'!$E$5:$E$1640,'Bank Lines'!$G$5:$G$1640,A80,'Bank Lines'!$J$5:$J$1640,1,'Bank Lines'!$C$5:$C$1640,"&lt;="&amp;Cover!$C$13),2)</f>
        <v>0</v>
      </c>
      <c r="N80" s="9">
        <f>ROUND(SUMIFS('Odoo Items'!$G$5:$G$4331,'Odoo Items'!$J$5:$J$4331,A80,'Odoo Items'!$C$5:$C$4331,"&lt;="&amp;Cover!$C$13),2)</f>
        <v>0</v>
      </c>
      <c r="O80">
        <f>COUNTIFS('Bank Lines'!$G$5:$G$1640,A80,'Bank Lines'!$J$5:$J$1640,1,'Bank Lines'!$C$5:$C$1640,"&lt;="&amp;Cover!$C$13)</f>
        <v>0</v>
      </c>
      <c r="P80">
        <f>COUNTIFS('Odoo Items'!$J$5:$J$4331,A80,'Odoo Items'!$C$5:$C$4331,"&lt;="&amp;Cover!$C$13)</f>
        <v>0</v>
      </c>
      <c r="Q80">
        <f>IF(AND(O80=0,P80=0),"",IF(O80=0,"ODOO-ONLY",IF(P80=0,"BANK-ONLY","BOTH")))</f>
      </c>
      <c r="R80" s="9">
        <f>IF(Q80="BOTH",ROUND(M80-N80,2),0)</f>
        <v>0</v>
      </c>
      <c r="S80" s="9">
        <f>ROUND(SUMIFS('Bank Lines'!$E$5:$E$1640,'Bank Lines'!$G$5:$G$1640,A80,'Bank Lines'!$J$5:$J$1640,1,'Bank Lines'!$C$5:$C$1640,"&lt;="&amp;Cover!$C$14),2)</f>
        <v>0</v>
      </c>
      <c r="T80" s="9">
        <f>ROUND(SUMIFS('Odoo Items'!$G$5:$G$4331,'Odoo Items'!$J$5:$J$4331,A80,'Odoo Items'!$C$5:$C$4331,"&lt;="&amp;Cover!$C$14),2)</f>
        <v>0</v>
      </c>
      <c r="U80">
        <f>COUNTIFS('Bank Lines'!$G$5:$G$1640,A80,'Bank Lines'!$J$5:$J$1640,1,'Bank Lines'!$C$5:$C$1640,"&lt;="&amp;Cover!$C$14)</f>
        <v>0</v>
      </c>
      <c r="V80">
        <f>COUNTIFS('Odoo Items'!$J$5:$J$4331,A80,'Odoo Items'!$C$5:$C$4331,"&lt;="&amp;Cover!$C$14)</f>
        <v>0</v>
      </c>
      <c r="W80">
        <f>IF(AND(U80=0,V80=0),"",IF(U80=0,"ODOO-ONLY",IF(V80=0,"BANK-ONLY","BOTH")))</f>
      </c>
      <c r="X80" s="9">
        <f>IF(W80="BOTH",ROUND(S80-T80,2),0)</f>
        <v>0</v>
      </c>
      <c r="Y80" s="9">
        <f>ROUND(SUMIFS('Bank Lines'!$E$5:$E$1640,'Bank Lines'!$G$5:$G$1640,A80,'Bank Lines'!$J$5:$J$1640,1,'Bank Lines'!$C$5:$C$1640,"&lt;="&amp;Cover!$C$15),2)</f>
        <v>3273.42</v>
      </c>
      <c r="Z80" s="9">
        <f>ROUND(SUMIFS('Odoo Items'!$G$5:$G$4331,'Odoo Items'!$J$5:$J$4331,A80,'Odoo Items'!$C$5:$C$4331,"&lt;="&amp;Cover!$C$15),2)</f>
        <v>3340</v>
      </c>
      <c r="AA80">
        <f>COUNTIFS('Bank Lines'!$G$5:$G$1640,A80,'Bank Lines'!$J$5:$J$1640,1,'Bank Lines'!$C$5:$C$1640,"&lt;="&amp;Cover!$C$15)</f>
        <v>1</v>
      </c>
      <c r="AB80">
        <f>COUNTIFS('Odoo Items'!$J$5:$J$4331,A80,'Odoo Items'!$C$5:$C$4331,"&lt;="&amp;Cover!$C$15)</f>
        <v>27</v>
      </c>
      <c r="AC80" t="str">
        <f>IF(AND(AA80=0,AB80=0),"",IF(AA80=0,"ODOO-ONLY",IF(AB80=0,"BANK-ONLY","BOTH")))</f>
        <v>BOTH</v>
      </c>
      <c r="AD80" s="9">
        <f>IF(AC80="BOTH",ROUND(Y80-Z80,2),0)</f>
        <v>-66.58</v>
      </c>
    </row>
    <row r="81">
      <c r="A81" t="inlineStr">
        <is>
          <t>G00077</t>
        </is>
      </c>
      <c r="B81" t="inlineStr">
        <is>
          <t>OPS</t>
        </is>
      </c>
      <c r="C81" t="inlineStr">
        <is>
          <t>R02</t>
        </is>
      </c>
      <c r="D81" t="inlineStr">
        <is>
          <t>STRIPE-FEE</t>
        </is>
      </c>
      <c r="E81" t="inlineStr"/>
      <c r="G81" t="inlineStr">
        <is>
          <t>26 report lines; fees 68.19</t>
        </is>
      </c>
      <c r="H81">
        <f>COUNTIFS('Bank Lines'!$G$5:$G$1640,A81,'Bank Lines'!$J$5:$J$1640,1)</f>
        <v>1</v>
      </c>
      <c r="I81">
        <f>COUNTIFS('Odoo Items'!$J$5:$J$4331,A81)</f>
        <v>26</v>
      </c>
      <c r="J81" s="9">
        <f>ROUND(SUMIFS('Bank Lines'!$E$5:$E$1640,'Bank Lines'!$G$5:$G$1640,A81,'Bank Lines'!$J$5:$J$1640,1),2)</f>
        <v>3381.81</v>
      </c>
      <c r="K81" s="9">
        <f>ROUND(SUMIFS('Odoo Items'!$G$5:$G$4331,'Odoo Items'!$J$5:$J$4331,A81),2)</f>
        <v>3450</v>
      </c>
      <c r="L81" s="9">
        <f>ROUND(J81-K81,2)</f>
        <v>-68.19</v>
      </c>
      <c r="M81" s="9">
        <f>ROUND(SUMIFS('Bank Lines'!$E$5:$E$1640,'Bank Lines'!$G$5:$G$1640,A81,'Bank Lines'!$J$5:$J$1640,1,'Bank Lines'!$C$5:$C$1640,"&lt;="&amp;Cover!$C$13),2)</f>
        <v>0</v>
      </c>
      <c r="N81" s="9">
        <f>ROUND(SUMIFS('Odoo Items'!$G$5:$G$4331,'Odoo Items'!$J$5:$J$4331,A81,'Odoo Items'!$C$5:$C$4331,"&lt;="&amp;Cover!$C$13),2)</f>
        <v>0</v>
      </c>
      <c r="O81">
        <f>COUNTIFS('Bank Lines'!$G$5:$G$1640,A81,'Bank Lines'!$J$5:$J$1640,1,'Bank Lines'!$C$5:$C$1640,"&lt;="&amp;Cover!$C$13)</f>
        <v>0</v>
      </c>
      <c r="P81">
        <f>COUNTIFS('Odoo Items'!$J$5:$J$4331,A81,'Odoo Items'!$C$5:$C$4331,"&lt;="&amp;Cover!$C$13)</f>
        <v>0</v>
      </c>
      <c r="Q81">
        <f>IF(AND(O81=0,P81=0),"",IF(O81=0,"ODOO-ONLY",IF(P81=0,"BANK-ONLY","BOTH")))</f>
      </c>
      <c r="R81" s="9">
        <f>IF(Q81="BOTH",ROUND(M81-N81,2),0)</f>
        <v>0</v>
      </c>
      <c r="S81" s="9">
        <f>ROUND(SUMIFS('Bank Lines'!$E$5:$E$1640,'Bank Lines'!$G$5:$G$1640,A81,'Bank Lines'!$J$5:$J$1640,1,'Bank Lines'!$C$5:$C$1640,"&lt;="&amp;Cover!$C$14),2)</f>
        <v>0</v>
      </c>
      <c r="T81" s="9">
        <f>ROUND(SUMIFS('Odoo Items'!$G$5:$G$4331,'Odoo Items'!$J$5:$J$4331,A81,'Odoo Items'!$C$5:$C$4331,"&lt;="&amp;Cover!$C$14),2)</f>
        <v>0</v>
      </c>
      <c r="U81">
        <f>COUNTIFS('Bank Lines'!$G$5:$G$1640,A81,'Bank Lines'!$J$5:$J$1640,1,'Bank Lines'!$C$5:$C$1640,"&lt;="&amp;Cover!$C$14)</f>
        <v>0</v>
      </c>
      <c r="V81">
        <f>COUNTIFS('Odoo Items'!$J$5:$J$4331,A81,'Odoo Items'!$C$5:$C$4331,"&lt;="&amp;Cover!$C$14)</f>
        <v>0</v>
      </c>
      <c r="W81">
        <f>IF(AND(U81=0,V81=0),"",IF(U81=0,"ODOO-ONLY",IF(V81=0,"BANK-ONLY","BOTH")))</f>
      </c>
      <c r="X81" s="9">
        <f>IF(W81="BOTH",ROUND(S81-T81,2),0)</f>
        <v>0</v>
      </c>
      <c r="Y81" s="9">
        <f>ROUND(SUMIFS('Bank Lines'!$E$5:$E$1640,'Bank Lines'!$G$5:$G$1640,A81,'Bank Lines'!$J$5:$J$1640,1,'Bank Lines'!$C$5:$C$1640,"&lt;="&amp;Cover!$C$15),2)</f>
        <v>3381.81</v>
      </c>
      <c r="Z81" s="9">
        <f>ROUND(SUMIFS('Odoo Items'!$G$5:$G$4331,'Odoo Items'!$J$5:$J$4331,A81,'Odoo Items'!$C$5:$C$4331,"&lt;="&amp;Cover!$C$15),2)</f>
        <v>3450</v>
      </c>
      <c r="AA81">
        <f>COUNTIFS('Bank Lines'!$G$5:$G$1640,A81,'Bank Lines'!$J$5:$J$1640,1,'Bank Lines'!$C$5:$C$1640,"&lt;="&amp;Cover!$C$15)</f>
        <v>1</v>
      </c>
      <c r="AB81">
        <f>COUNTIFS('Odoo Items'!$J$5:$J$4331,A81,'Odoo Items'!$C$5:$C$4331,"&lt;="&amp;Cover!$C$15)</f>
        <v>26</v>
      </c>
      <c r="AC81" t="str">
        <f>IF(AND(AA81=0,AB81=0),"",IF(AA81=0,"ODOO-ONLY",IF(AB81=0,"BANK-ONLY","BOTH")))</f>
        <v>BOTH</v>
      </c>
      <c r="AD81" s="9">
        <f>IF(AC81="BOTH",ROUND(Y81-Z81,2),0)</f>
        <v>-68.19</v>
      </c>
    </row>
    <row r="82">
      <c r="A82" t="inlineStr">
        <is>
          <t>G00078</t>
        </is>
      </c>
      <c r="B82" t="inlineStr">
        <is>
          <t>OPS</t>
        </is>
      </c>
      <c r="C82" t="inlineStr">
        <is>
          <t>R02</t>
        </is>
      </c>
      <c r="D82" t="inlineStr">
        <is>
          <t>STRIPE-FEE</t>
        </is>
      </c>
      <c r="E82" t="inlineStr"/>
      <c r="G82" t="inlineStr">
        <is>
          <t>37 report lines; fees 89.81</t>
        </is>
      </c>
      <c r="H82">
        <f>COUNTIFS('Bank Lines'!$G$5:$G$1640,A82,'Bank Lines'!$J$5:$J$1640,1)</f>
        <v>1</v>
      </c>
      <c r="I82">
        <f>COUNTIFS('Odoo Items'!$J$5:$J$4331,A82)</f>
        <v>37</v>
      </c>
      <c r="J82" s="9">
        <f>ROUND(SUMIFS('Bank Lines'!$E$5:$E$1640,'Bank Lines'!$G$5:$G$1640,A82,'Bank Lines'!$J$5:$J$1640,1),2)</f>
        <v>4405.19</v>
      </c>
      <c r="K82" s="9">
        <f>ROUND(SUMIFS('Odoo Items'!$G$5:$G$4331,'Odoo Items'!$J$5:$J$4331,A82),2)</f>
        <v>4495</v>
      </c>
      <c r="L82" s="9">
        <f>ROUND(J82-K82,2)</f>
        <v>-89.81</v>
      </c>
      <c r="M82" s="9">
        <f>ROUND(SUMIFS('Bank Lines'!$E$5:$E$1640,'Bank Lines'!$G$5:$G$1640,A82,'Bank Lines'!$J$5:$J$1640,1,'Bank Lines'!$C$5:$C$1640,"&lt;="&amp;Cover!$C$13),2)</f>
        <v>0</v>
      </c>
      <c r="N82" s="9">
        <f>ROUND(SUMIFS('Odoo Items'!$G$5:$G$4331,'Odoo Items'!$J$5:$J$4331,A82,'Odoo Items'!$C$5:$C$4331,"&lt;="&amp;Cover!$C$13),2)</f>
        <v>0</v>
      </c>
      <c r="O82">
        <f>COUNTIFS('Bank Lines'!$G$5:$G$1640,A82,'Bank Lines'!$J$5:$J$1640,1,'Bank Lines'!$C$5:$C$1640,"&lt;="&amp;Cover!$C$13)</f>
        <v>0</v>
      </c>
      <c r="P82">
        <f>COUNTIFS('Odoo Items'!$J$5:$J$4331,A82,'Odoo Items'!$C$5:$C$4331,"&lt;="&amp;Cover!$C$13)</f>
        <v>0</v>
      </c>
      <c r="Q82">
        <f>IF(AND(O82=0,P82=0),"",IF(O82=0,"ODOO-ONLY",IF(P82=0,"BANK-ONLY","BOTH")))</f>
      </c>
      <c r="R82" s="9">
        <f>IF(Q82="BOTH",ROUND(M82-N82,2),0)</f>
        <v>0</v>
      </c>
      <c r="S82" s="9">
        <f>ROUND(SUMIFS('Bank Lines'!$E$5:$E$1640,'Bank Lines'!$G$5:$G$1640,A82,'Bank Lines'!$J$5:$J$1640,1,'Bank Lines'!$C$5:$C$1640,"&lt;="&amp;Cover!$C$14),2)</f>
        <v>0</v>
      </c>
      <c r="T82" s="9">
        <f>ROUND(SUMIFS('Odoo Items'!$G$5:$G$4331,'Odoo Items'!$J$5:$J$4331,A82,'Odoo Items'!$C$5:$C$4331,"&lt;="&amp;Cover!$C$14),2)</f>
        <v>0</v>
      </c>
      <c r="U82">
        <f>COUNTIFS('Bank Lines'!$G$5:$G$1640,A82,'Bank Lines'!$J$5:$J$1640,1,'Bank Lines'!$C$5:$C$1640,"&lt;="&amp;Cover!$C$14)</f>
        <v>0</v>
      </c>
      <c r="V82">
        <f>COUNTIFS('Odoo Items'!$J$5:$J$4331,A82,'Odoo Items'!$C$5:$C$4331,"&lt;="&amp;Cover!$C$14)</f>
        <v>0</v>
      </c>
      <c r="W82">
        <f>IF(AND(U82=0,V82=0),"",IF(U82=0,"ODOO-ONLY",IF(V82=0,"BANK-ONLY","BOTH")))</f>
      </c>
      <c r="X82" s="9">
        <f>IF(W82="BOTH",ROUND(S82-T82,2),0)</f>
        <v>0</v>
      </c>
      <c r="Y82" s="9">
        <f>ROUND(SUMIFS('Bank Lines'!$E$5:$E$1640,'Bank Lines'!$G$5:$G$1640,A82,'Bank Lines'!$J$5:$J$1640,1,'Bank Lines'!$C$5:$C$1640,"&lt;="&amp;Cover!$C$15),2)</f>
        <v>4405.19</v>
      </c>
      <c r="Z82" s="9">
        <f>ROUND(SUMIFS('Odoo Items'!$G$5:$G$4331,'Odoo Items'!$J$5:$J$4331,A82,'Odoo Items'!$C$5:$C$4331,"&lt;="&amp;Cover!$C$15),2)</f>
        <v>4495</v>
      </c>
      <c r="AA82">
        <f>COUNTIFS('Bank Lines'!$G$5:$G$1640,A82,'Bank Lines'!$J$5:$J$1640,1,'Bank Lines'!$C$5:$C$1640,"&lt;="&amp;Cover!$C$15)</f>
        <v>1</v>
      </c>
      <c r="AB82">
        <f>COUNTIFS('Odoo Items'!$J$5:$J$4331,A82,'Odoo Items'!$C$5:$C$4331,"&lt;="&amp;Cover!$C$15)</f>
        <v>37</v>
      </c>
      <c r="AC82" t="str">
        <f>IF(AND(AA82=0,AB82=0),"",IF(AA82=0,"ODOO-ONLY",IF(AB82=0,"BANK-ONLY","BOTH")))</f>
        <v>BOTH</v>
      </c>
      <c r="AD82" s="9">
        <f>IF(AC82="BOTH",ROUND(Y82-Z82,2),0)</f>
        <v>-89.81</v>
      </c>
    </row>
    <row r="83">
      <c r="A83" t="inlineStr">
        <is>
          <t>G00079</t>
        </is>
      </c>
      <c r="B83" t="inlineStr">
        <is>
          <t>OPS</t>
        </is>
      </c>
      <c r="C83" t="inlineStr">
        <is>
          <t>R02</t>
        </is>
      </c>
      <c r="D83" t="inlineStr">
        <is>
          <t>STRIPE-FEE</t>
        </is>
      </c>
      <c r="E83" t="inlineStr"/>
      <c r="G83" t="inlineStr">
        <is>
          <t>27 report lines; fees 70.51</t>
        </is>
      </c>
      <c r="H83">
        <f>COUNTIFS('Bank Lines'!$G$5:$G$1640,A83,'Bank Lines'!$J$5:$J$1640,1)</f>
        <v>1</v>
      </c>
      <c r="I83">
        <f>COUNTIFS('Odoo Items'!$J$5:$J$4331,A83)</f>
        <v>27</v>
      </c>
      <c r="J83" s="9">
        <f>ROUND(SUMIFS('Bank Lines'!$E$5:$E$1640,'Bank Lines'!$G$5:$G$1640,A83,'Bank Lines'!$J$5:$J$1640,1),2)</f>
        <v>3494.49</v>
      </c>
      <c r="K83" s="9">
        <f>ROUND(SUMIFS('Odoo Items'!$G$5:$G$4331,'Odoo Items'!$J$5:$J$4331,A83),2)</f>
        <v>3565</v>
      </c>
      <c r="L83" s="9">
        <f>ROUND(J83-K83,2)</f>
        <v>-70.51</v>
      </c>
      <c r="M83" s="9">
        <f>ROUND(SUMIFS('Bank Lines'!$E$5:$E$1640,'Bank Lines'!$G$5:$G$1640,A83,'Bank Lines'!$J$5:$J$1640,1,'Bank Lines'!$C$5:$C$1640,"&lt;="&amp;Cover!$C$13),2)</f>
        <v>0</v>
      </c>
      <c r="N83" s="9">
        <f>ROUND(SUMIFS('Odoo Items'!$G$5:$G$4331,'Odoo Items'!$J$5:$J$4331,A83,'Odoo Items'!$C$5:$C$4331,"&lt;="&amp;Cover!$C$13),2)</f>
        <v>0</v>
      </c>
      <c r="O83">
        <f>COUNTIFS('Bank Lines'!$G$5:$G$1640,A83,'Bank Lines'!$J$5:$J$1640,1,'Bank Lines'!$C$5:$C$1640,"&lt;="&amp;Cover!$C$13)</f>
        <v>0</v>
      </c>
      <c r="P83">
        <f>COUNTIFS('Odoo Items'!$J$5:$J$4331,A83,'Odoo Items'!$C$5:$C$4331,"&lt;="&amp;Cover!$C$13)</f>
        <v>0</v>
      </c>
      <c r="Q83">
        <f>IF(AND(O83=0,P83=0),"",IF(O83=0,"ODOO-ONLY",IF(P83=0,"BANK-ONLY","BOTH")))</f>
      </c>
      <c r="R83" s="9">
        <f>IF(Q83="BOTH",ROUND(M83-N83,2),0)</f>
        <v>0</v>
      </c>
      <c r="S83" s="9">
        <f>ROUND(SUMIFS('Bank Lines'!$E$5:$E$1640,'Bank Lines'!$G$5:$G$1640,A83,'Bank Lines'!$J$5:$J$1640,1,'Bank Lines'!$C$5:$C$1640,"&lt;="&amp;Cover!$C$14),2)</f>
        <v>0</v>
      </c>
      <c r="T83" s="9">
        <f>ROUND(SUMIFS('Odoo Items'!$G$5:$G$4331,'Odoo Items'!$J$5:$J$4331,A83,'Odoo Items'!$C$5:$C$4331,"&lt;="&amp;Cover!$C$14),2)</f>
        <v>0</v>
      </c>
      <c r="U83">
        <f>COUNTIFS('Bank Lines'!$G$5:$G$1640,A83,'Bank Lines'!$J$5:$J$1640,1,'Bank Lines'!$C$5:$C$1640,"&lt;="&amp;Cover!$C$14)</f>
        <v>0</v>
      </c>
      <c r="V83">
        <f>COUNTIFS('Odoo Items'!$J$5:$J$4331,A83,'Odoo Items'!$C$5:$C$4331,"&lt;="&amp;Cover!$C$14)</f>
        <v>0</v>
      </c>
      <c r="W83">
        <f>IF(AND(U83=0,V83=0),"",IF(U83=0,"ODOO-ONLY",IF(V83=0,"BANK-ONLY","BOTH")))</f>
      </c>
      <c r="X83" s="9">
        <f>IF(W83="BOTH",ROUND(S83-T83,2),0)</f>
        <v>0</v>
      </c>
      <c r="Y83" s="9">
        <f>ROUND(SUMIFS('Bank Lines'!$E$5:$E$1640,'Bank Lines'!$G$5:$G$1640,A83,'Bank Lines'!$J$5:$J$1640,1,'Bank Lines'!$C$5:$C$1640,"&lt;="&amp;Cover!$C$15),2)</f>
        <v>3494.49</v>
      </c>
      <c r="Z83" s="9">
        <f>ROUND(SUMIFS('Odoo Items'!$G$5:$G$4331,'Odoo Items'!$J$5:$J$4331,A83,'Odoo Items'!$C$5:$C$4331,"&lt;="&amp;Cover!$C$15),2)</f>
        <v>3565</v>
      </c>
      <c r="AA83">
        <f>COUNTIFS('Bank Lines'!$G$5:$G$1640,A83,'Bank Lines'!$J$5:$J$1640,1,'Bank Lines'!$C$5:$C$1640,"&lt;="&amp;Cover!$C$15)</f>
        <v>1</v>
      </c>
      <c r="AB83">
        <f>COUNTIFS('Odoo Items'!$J$5:$J$4331,A83,'Odoo Items'!$C$5:$C$4331,"&lt;="&amp;Cover!$C$15)</f>
        <v>27</v>
      </c>
      <c r="AC83" t="str">
        <f>IF(AND(AA83=0,AB83=0),"",IF(AA83=0,"ODOO-ONLY",IF(AB83=0,"BANK-ONLY","BOTH")))</f>
        <v>BOTH</v>
      </c>
      <c r="AD83" s="9">
        <f>IF(AC83="BOTH",ROUND(Y83-Z83,2),0)</f>
        <v>-70.51</v>
      </c>
    </row>
    <row r="84">
      <c r="A84" t="inlineStr">
        <is>
          <t>G00080</t>
        </is>
      </c>
      <c r="B84" t="inlineStr">
        <is>
          <t>OPS</t>
        </is>
      </c>
      <c r="C84" t="inlineStr">
        <is>
          <t>R03</t>
        </is>
      </c>
      <c r="D84" t="inlineStr">
        <is>
          <t>SHORT</t>
        </is>
      </c>
      <c r="E84" t="inlineStr">
        <is>
          <t>Riverbend Plan Partners</t>
        </is>
      </c>
      <c r="F84" t="n">
        <v>1</v>
      </c>
      <c r="G84" t="inlineStr">
        <is>
          <t>Registered at invoice value; remittance shows short payment on INV/2026/01426</t>
        </is>
      </c>
      <c r="H84">
        <f>COUNTIFS('Bank Lines'!$G$5:$G$1640,A84,'Bank Lines'!$J$5:$J$1640,1)</f>
        <v>1</v>
      </c>
      <c r="I84">
        <f>COUNTIFS('Odoo Items'!$J$5:$J$4331,A84)</f>
        <v>4</v>
      </c>
      <c r="J84" s="9">
        <f>ROUND(SUMIFS('Bank Lines'!$E$5:$E$1640,'Bank Lines'!$G$5:$G$1640,A84,'Bank Lines'!$J$5:$J$1640,1),2)</f>
        <v>1140.59</v>
      </c>
      <c r="K84" s="9">
        <f>ROUND(SUMIFS('Odoo Items'!$G$5:$G$4331,'Odoo Items'!$J$5:$J$4331,A84),2)</f>
        <v>1155.14</v>
      </c>
      <c r="L84" s="9">
        <f>ROUND(J84-K84,2)</f>
        <v>-14.55</v>
      </c>
      <c r="M84" s="9">
        <f>ROUND(SUMIFS('Bank Lines'!$E$5:$E$1640,'Bank Lines'!$G$5:$G$1640,A84,'Bank Lines'!$J$5:$J$1640,1,'Bank Lines'!$C$5:$C$1640,"&lt;="&amp;Cover!$C$13),2)</f>
        <v>1140.59</v>
      </c>
      <c r="N84" s="9">
        <f>ROUND(SUMIFS('Odoo Items'!$G$5:$G$4331,'Odoo Items'!$J$5:$J$4331,A84,'Odoo Items'!$C$5:$C$4331,"&lt;="&amp;Cover!$C$13),2)</f>
        <v>1155.14</v>
      </c>
      <c r="O84">
        <f>COUNTIFS('Bank Lines'!$G$5:$G$1640,A84,'Bank Lines'!$J$5:$J$1640,1,'Bank Lines'!$C$5:$C$1640,"&lt;="&amp;Cover!$C$13)</f>
        <v>1</v>
      </c>
      <c r="P84">
        <f>COUNTIFS('Odoo Items'!$J$5:$J$4331,A84,'Odoo Items'!$C$5:$C$4331,"&lt;="&amp;Cover!$C$13)</f>
        <v>4</v>
      </c>
      <c r="Q84" t="str">
        <f>IF(AND(O84=0,P84=0),"",IF(O84=0,"ODOO-ONLY",IF(P84=0,"BANK-ONLY","BOTH")))</f>
        <v>BOTH</v>
      </c>
      <c r="R84" s="9">
        <f>IF(Q84="BOTH",ROUND(M84-N84,2),0)</f>
        <v>-14.55</v>
      </c>
      <c r="S84" s="9">
        <f>ROUND(SUMIFS('Bank Lines'!$E$5:$E$1640,'Bank Lines'!$G$5:$G$1640,A84,'Bank Lines'!$J$5:$J$1640,1,'Bank Lines'!$C$5:$C$1640,"&lt;="&amp;Cover!$C$14),2)</f>
        <v>1140.59</v>
      </c>
      <c r="T84" s="9">
        <f>ROUND(SUMIFS('Odoo Items'!$G$5:$G$4331,'Odoo Items'!$J$5:$J$4331,A84,'Odoo Items'!$C$5:$C$4331,"&lt;="&amp;Cover!$C$14),2)</f>
        <v>1155.14</v>
      </c>
      <c r="U84">
        <f>COUNTIFS('Bank Lines'!$G$5:$G$1640,A84,'Bank Lines'!$J$5:$J$1640,1,'Bank Lines'!$C$5:$C$1640,"&lt;="&amp;Cover!$C$14)</f>
        <v>1</v>
      </c>
      <c r="V84">
        <f>COUNTIFS('Odoo Items'!$J$5:$J$4331,A84,'Odoo Items'!$C$5:$C$4331,"&lt;="&amp;Cover!$C$14)</f>
        <v>4</v>
      </c>
      <c r="W84" t="str">
        <f>IF(AND(U84=0,V84=0),"",IF(U84=0,"ODOO-ONLY",IF(V84=0,"BANK-ONLY","BOTH")))</f>
        <v>BOTH</v>
      </c>
      <c r="X84" s="9">
        <f>IF(W84="BOTH",ROUND(S84-T84,2),0)</f>
        <v>-14.55</v>
      </c>
      <c r="Y84" s="9">
        <f>ROUND(SUMIFS('Bank Lines'!$E$5:$E$1640,'Bank Lines'!$G$5:$G$1640,A84,'Bank Lines'!$J$5:$J$1640,1,'Bank Lines'!$C$5:$C$1640,"&lt;="&amp;Cover!$C$15),2)</f>
        <v>1140.59</v>
      </c>
      <c r="Z84" s="9">
        <f>ROUND(SUMIFS('Odoo Items'!$G$5:$G$4331,'Odoo Items'!$J$5:$J$4331,A84,'Odoo Items'!$C$5:$C$4331,"&lt;="&amp;Cover!$C$15),2)</f>
        <v>1155.14</v>
      </c>
      <c r="AA84">
        <f>COUNTIFS('Bank Lines'!$G$5:$G$1640,A84,'Bank Lines'!$J$5:$J$1640,1,'Bank Lines'!$C$5:$C$1640,"&lt;="&amp;Cover!$C$15)</f>
        <v>1</v>
      </c>
      <c r="AB84">
        <f>COUNTIFS('Odoo Items'!$J$5:$J$4331,A84,'Odoo Items'!$C$5:$C$4331,"&lt;="&amp;Cover!$C$15)</f>
        <v>4</v>
      </c>
      <c r="AC84" t="str">
        <f>IF(AND(AA84=0,AB84=0),"",IF(AA84=0,"ODOO-ONLY",IF(AB84=0,"BANK-ONLY","BOTH")))</f>
        <v>BOTH</v>
      </c>
      <c r="AD84" s="9">
        <f>IF(AC84="BOTH",ROUND(Y84-Z84,2),0)</f>
        <v>-14.55</v>
      </c>
    </row>
    <row r="85">
      <c r="A85" t="inlineStr">
        <is>
          <t>G00081</t>
        </is>
      </c>
      <c r="B85" t="inlineStr">
        <is>
          <t>OPS</t>
        </is>
      </c>
      <c r="C85" t="inlineStr">
        <is>
          <t>R03</t>
        </is>
      </c>
      <c r="D85" t="inlineStr">
        <is>
          <t>MATCH</t>
        </is>
      </c>
      <c r="E85" t="inlineStr">
        <is>
          <t>Banksia Plan Co</t>
        </is>
      </c>
      <c r="F85" t="n">
        <v>1</v>
      </c>
      <c r="G85" t="inlineStr">
        <is>
          <t>6 invoices</t>
        </is>
      </c>
      <c r="H85">
        <f>COUNTIFS('Bank Lines'!$G$5:$G$1640,A85,'Bank Lines'!$J$5:$J$1640,1)</f>
        <v>1</v>
      </c>
      <c r="I85">
        <f>COUNTIFS('Odoo Items'!$J$5:$J$4331,A85)</f>
        <v>6</v>
      </c>
      <c r="J85" s="9">
        <f>ROUND(SUMIFS('Bank Lines'!$E$5:$E$1640,'Bank Lines'!$G$5:$G$1640,A85,'Bank Lines'!$J$5:$J$1640,1),2)</f>
        <v>1445.23</v>
      </c>
      <c r="K85" s="9">
        <f>ROUND(SUMIFS('Odoo Items'!$G$5:$G$4331,'Odoo Items'!$J$5:$J$4331,A85),2)</f>
        <v>1445.23</v>
      </c>
      <c r="L85" s="9">
        <f>ROUND(J85-K85,2)</f>
        <v>0</v>
      </c>
      <c r="M85" s="9">
        <f>ROUND(SUMIFS('Bank Lines'!$E$5:$E$1640,'Bank Lines'!$G$5:$G$1640,A85,'Bank Lines'!$J$5:$J$1640,1,'Bank Lines'!$C$5:$C$1640,"&lt;="&amp;Cover!$C$13),2)</f>
        <v>1445.23</v>
      </c>
      <c r="N85" s="9">
        <f>ROUND(SUMIFS('Odoo Items'!$G$5:$G$4331,'Odoo Items'!$J$5:$J$4331,A85,'Odoo Items'!$C$5:$C$4331,"&lt;="&amp;Cover!$C$13),2)</f>
        <v>1445.23</v>
      </c>
      <c r="O85">
        <f>COUNTIFS('Bank Lines'!$G$5:$G$1640,A85,'Bank Lines'!$J$5:$J$1640,1,'Bank Lines'!$C$5:$C$1640,"&lt;="&amp;Cover!$C$13)</f>
        <v>1</v>
      </c>
      <c r="P85">
        <f>COUNTIFS('Odoo Items'!$J$5:$J$4331,A85,'Odoo Items'!$C$5:$C$4331,"&lt;="&amp;Cover!$C$13)</f>
        <v>6</v>
      </c>
      <c r="Q85" t="str">
        <f>IF(AND(O85=0,P85=0),"",IF(O85=0,"ODOO-ONLY",IF(P85=0,"BANK-ONLY","BOTH")))</f>
        <v>BOTH</v>
      </c>
      <c r="R85" s="9">
        <f>IF(Q85="BOTH",ROUND(M85-N85,2),0)</f>
        <v>0</v>
      </c>
      <c r="S85" s="9">
        <f>ROUND(SUMIFS('Bank Lines'!$E$5:$E$1640,'Bank Lines'!$G$5:$G$1640,A85,'Bank Lines'!$J$5:$J$1640,1,'Bank Lines'!$C$5:$C$1640,"&lt;="&amp;Cover!$C$14),2)</f>
        <v>1445.23</v>
      </c>
      <c r="T85" s="9">
        <f>ROUND(SUMIFS('Odoo Items'!$G$5:$G$4331,'Odoo Items'!$J$5:$J$4331,A85,'Odoo Items'!$C$5:$C$4331,"&lt;="&amp;Cover!$C$14),2)</f>
        <v>1445.23</v>
      </c>
      <c r="U85">
        <f>COUNTIFS('Bank Lines'!$G$5:$G$1640,A85,'Bank Lines'!$J$5:$J$1640,1,'Bank Lines'!$C$5:$C$1640,"&lt;="&amp;Cover!$C$14)</f>
        <v>1</v>
      </c>
      <c r="V85">
        <f>COUNTIFS('Odoo Items'!$J$5:$J$4331,A85,'Odoo Items'!$C$5:$C$4331,"&lt;="&amp;Cover!$C$14)</f>
        <v>6</v>
      </c>
      <c r="W85" t="str">
        <f>IF(AND(U85=0,V85=0),"",IF(U85=0,"ODOO-ONLY",IF(V85=0,"BANK-ONLY","BOTH")))</f>
        <v>BOTH</v>
      </c>
      <c r="X85" s="9">
        <f>IF(W85="BOTH",ROUND(S85-T85,2),0)</f>
        <v>0</v>
      </c>
      <c r="Y85" s="9">
        <f>ROUND(SUMIFS('Bank Lines'!$E$5:$E$1640,'Bank Lines'!$G$5:$G$1640,A85,'Bank Lines'!$J$5:$J$1640,1,'Bank Lines'!$C$5:$C$1640,"&lt;="&amp;Cover!$C$15),2)</f>
        <v>1445.23</v>
      </c>
      <c r="Z85" s="9">
        <f>ROUND(SUMIFS('Odoo Items'!$G$5:$G$4331,'Odoo Items'!$J$5:$J$4331,A85,'Odoo Items'!$C$5:$C$4331,"&lt;="&amp;Cover!$C$15),2)</f>
        <v>1445.23</v>
      </c>
      <c r="AA85">
        <f>COUNTIFS('Bank Lines'!$G$5:$G$1640,A85,'Bank Lines'!$J$5:$J$1640,1,'Bank Lines'!$C$5:$C$1640,"&lt;="&amp;Cover!$C$15)</f>
        <v>1</v>
      </c>
      <c r="AB85">
        <f>COUNTIFS('Odoo Items'!$J$5:$J$4331,A85,'Odoo Items'!$C$5:$C$4331,"&lt;="&amp;Cover!$C$15)</f>
        <v>6</v>
      </c>
      <c r="AC85" t="str">
        <f>IF(AND(AA85=0,AB85=0),"",IF(AA85=0,"ODOO-ONLY",IF(AB85=0,"BANK-ONLY","BOTH")))</f>
        <v>BOTH</v>
      </c>
      <c r="AD85" s="9">
        <f>IF(AC85="BOTH",ROUND(Y85-Z85,2),0)</f>
        <v>0</v>
      </c>
    </row>
    <row r="86">
      <c r="A86" t="inlineStr">
        <is>
          <t>G00082</t>
        </is>
      </c>
      <c r="B86" t="inlineStr">
        <is>
          <t>OPS</t>
        </is>
      </c>
      <c r="C86" t="inlineStr">
        <is>
          <t>R03</t>
        </is>
      </c>
      <c r="D86" t="inlineStr">
        <is>
          <t>MATCH</t>
        </is>
      </c>
      <c r="E86" t="inlineStr">
        <is>
          <t>Ironbark Plan Management</t>
        </is>
      </c>
      <c r="F86" t="n">
        <v>1</v>
      </c>
      <c r="G86" t="inlineStr">
        <is>
          <t>12 invoices</t>
        </is>
      </c>
      <c r="H86">
        <f>COUNTIFS('Bank Lines'!$G$5:$G$1640,A86,'Bank Lines'!$J$5:$J$1640,1)</f>
        <v>1</v>
      </c>
      <c r="I86">
        <f>COUNTIFS('Odoo Items'!$J$5:$J$4331,A86)</f>
        <v>12</v>
      </c>
      <c r="J86" s="9">
        <f>ROUND(SUMIFS('Bank Lines'!$E$5:$E$1640,'Bank Lines'!$G$5:$G$1640,A86,'Bank Lines'!$J$5:$J$1640,1),2)</f>
        <v>2892.24</v>
      </c>
      <c r="K86" s="9">
        <f>ROUND(SUMIFS('Odoo Items'!$G$5:$G$4331,'Odoo Items'!$J$5:$J$4331,A86),2)</f>
        <v>2892.24</v>
      </c>
      <c r="L86" s="9">
        <f>ROUND(J86-K86,2)</f>
        <v>0</v>
      </c>
      <c r="M86" s="9">
        <f>ROUND(SUMIFS('Bank Lines'!$E$5:$E$1640,'Bank Lines'!$G$5:$G$1640,A86,'Bank Lines'!$J$5:$J$1640,1,'Bank Lines'!$C$5:$C$1640,"&lt;="&amp;Cover!$C$13),2)</f>
        <v>2892.24</v>
      </c>
      <c r="N86" s="9">
        <f>ROUND(SUMIFS('Odoo Items'!$G$5:$G$4331,'Odoo Items'!$J$5:$J$4331,A86,'Odoo Items'!$C$5:$C$4331,"&lt;="&amp;Cover!$C$13),2)</f>
        <v>2892.24</v>
      </c>
      <c r="O86">
        <f>COUNTIFS('Bank Lines'!$G$5:$G$1640,A86,'Bank Lines'!$J$5:$J$1640,1,'Bank Lines'!$C$5:$C$1640,"&lt;="&amp;Cover!$C$13)</f>
        <v>1</v>
      </c>
      <c r="P86">
        <f>COUNTIFS('Odoo Items'!$J$5:$J$4331,A86,'Odoo Items'!$C$5:$C$4331,"&lt;="&amp;Cover!$C$13)</f>
        <v>12</v>
      </c>
      <c r="Q86" t="str">
        <f>IF(AND(O86=0,P86=0),"",IF(O86=0,"ODOO-ONLY",IF(P86=0,"BANK-ONLY","BOTH")))</f>
        <v>BOTH</v>
      </c>
      <c r="R86" s="9">
        <f>IF(Q86="BOTH",ROUND(M86-N86,2),0)</f>
        <v>0</v>
      </c>
      <c r="S86" s="9">
        <f>ROUND(SUMIFS('Bank Lines'!$E$5:$E$1640,'Bank Lines'!$G$5:$G$1640,A86,'Bank Lines'!$J$5:$J$1640,1,'Bank Lines'!$C$5:$C$1640,"&lt;="&amp;Cover!$C$14),2)</f>
        <v>2892.24</v>
      </c>
      <c r="T86" s="9">
        <f>ROUND(SUMIFS('Odoo Items'!$G$5:$G$4331,'Odoo Items'!$J$5:$J$4331,A86,'Odoo Items'!$C$5:$C$4331,"&lt;="&amp;Cover!$C$14),2)</f>
        <v>2892.24</v>
      </c>
      <c r="U86">
        <f>COUNTIFS('Bank Lines'!$G$5:$G$1640,A86,'Bank Lines'!$J$5:$J$1640,1,'Bank Lines'!$C$5:$C$1640,"&lt;="&amp;Cover!$C$14)</f>
        <v>1</v>
      </c>
      <c r="V86">
        <f>COUNTIFS('Odoo Items'!$J$5:$J$4331,A86,'Odoo Items'!$C$5:$C$4331,"&lt;="&amp;Cover!$C$14)</f>
        <v>12</v>
      </c>
      <c r="W86" t="str">
        <f>IF(AND(U86=0,V86=0),"",IF(U86=0,"ODOO-ONLY",IF(V86=0,"BANK-ONLY","BOTH")))</f>
        <v>BOTH</v>
      </c>
      <c r="X86" s="9">
        <f>IF(W86="BOTH",ROUND(S86-T86,2),0)</f>
        <v>0</v>
      </c>
      <c r="Y86" s="9">
        <f>ROUND(SUMIFS('Bank Lines'!$E$5:$E$1640,'Bank Lines'!$G$5:$G$1640,A86,'Bank Lines'!$J$5:$J$1640,1,'Bank Lines'!$C$5:$C$1640,"&lt;="&amp;Cover!$C$15),2)</f>
        <v>2892.24</v>
      </c>
      <c r="Z86" s="9">
        <f>ROUND(SUMIFS('Odoo Items'!$G$5:$G$4331,'Odoo Items'!$J$5:$J$4331,A86,'Odoo Items'!$C$5:$C$4331,"&lt;="&amp;Cover!$C$15),2)</f>
        <v>2892.24</v>
      </c>
      <c r="AA86">
        <f>COUNTIFS('Bank Lines'!$G$5:$G$1640,A86,'Bank Lines'!$J$5:$J$1640,1,'Bank Lines'!$C$5:$C$1640,"&lt;="&amp;Cover!$C$15)</f>
        <v>1</v>
      </c>
      <c r="AB86">
        <f>COUNTIFS('Odoo Items'!$J$5:$J$4331,A86,'Odoo Items'!$C$5:$C$4331,"&lt;="&amp;Cover!$C$15)</f>
        <v>12</v>
      </c>
      <c r="AC86" t="str">
        <f>IF(AND(AA86=0,AB86=0),"",IF(AA86=0,"ODOO-ONLY",IF(AB86=0,"BANK-ONLY","BOTH")))</f>
        <v>BOTH</v>
      </c>
      <c r="AD86" s="9">
        <f>IF(AC86="BOTH",ROUND(Y86-Z86,2),0)</f>
        <v>0</v>
      </c>
    </row>
    <row r="87">
      <c r="A87" t="inlineStr">
        <is>
          <t>G00083</t>
        </is>
      </c>
      <c r="B87" t="inlineStr">
        <is>
          <t>OPS</t>
        </is>
      </c>
      <c r="C87" t="inlineStr">
        <is>
          <t>R03</t>
        </is>
      </c>
      <c r="D87" t="inlineStr">
        <is>
          <t>MATCH</t>
        </is>
      </c>
      <c r="E87" t="inlineStr">
        <is>
          <t>Tallowwood Plans</t>
        </is>
      </c>
      <c r="F87" t="n">
        <v>1</v>
      </c>
      <c r="G87" t="inlineStr">
        <is>
          <t>2 invoices</t>
        </is>
      </c>
      <c r="H87">
        <f>COUNTIFS('Bank Lines'!$G$5:$G$1640,A87,'Bank Lines'!$J$5:$J$1640,1)</f>
        <v>1</v>
      </c>
      <c r="I87">
        <f>COUNTIFS('Odoo Items'!$J$5:$J$4331,A87)</f>
        <v>2</v>
      </c>
      <c r="J87" s="9">
        <f>ROUND(SUMIFS('Bank Lines'!$E$5:$E$1640,'Bank Lines'!$G$5:$G$1640,A87,'Bank Lines'!$J$5:$J$1640,1),2)</f>
        <v>379.18</v>
      </c>
      <c r="K87" s="9">
        <f>ROUND(SUMIFS('Odoo Items'!$G$5:$G$4331,'Odoo Items'!$J$5:$J$4331,A87),2)</f>
        <v>379.18</v>
      </c>
      <c r="L87" s="9">
        <f>ROUND(J87-K87,2)</f>
        <v>0</v>
      </c>
      <c r="M87" s="9">
        <f>ROUND(SUMIFS('Bank Lines'!$E$5:$E$1640,'Bank Lines'!$G$5:$G$1640,A87,'Bank Lines'!$J$5:$J$1640,1,'Bank Lines'!$C$5:$C$1640,"&lt;="&amp;Cover!$C$13),2)</f>
        <v>379.18</v>
      </c>
      <c r="N87" s="9">
        <f>ROUND(SUMIFS('Odoo Items'!$G$5:$G$4331,'Odoo Items'!$J$5:$J$4331,A87,'Odoo Items'!$C$5:$C$4331,"&lt;="&amp;Cover!$C$13),2)</f>
        <v>379.18</v>
      </c>
      <c r="O87">
        <f>COUNTIFS('Bank Lines'!$G$5:$G$1640,A87,'Bank Lines'!$J$5:$J$1640,1,'Bank Lines'!$C$5:$C$1640,"&lt;="&amp;Cover!$C$13)</f>
        <v>1</v>
      </c>
      <c r="P87">
        <f>COUNTIFS('Odoo Items'!$J$5:$J$4331,A87,'Odoo Items'!$C$5:$C$4331,"&lt;="&amp;Cover!$C$13)</f>
        <v>2</v>
      </c>
      <c r="Q87" t="str">
        <f>IF(AND(O87=0,P87=0),"",IF(O87=0,"ODOO-ONLY",IF(P87=0,"BANK-ONLY","BOTH")))</f>
        <v>BOTH</v>
      </c>
      <c r="R87" s="9">
        <f>IF(Q87="BOTH",ROUND(M87-N87,2),0)</f>
        <v>0</v>
      </c>
      <c r="S87" s="9">
        <f>ROUND(SUMIFS('Bank Lines'!$E$5:$E$1640,'Bank Lines'!$G$5:$G$1640,A87,'Bank Lines'!$J$5:$J$1640,1,'Bank Lines'!$C$5:$C$1640,"&lt;="&amp;Cover!$C$14),2)</f>
        <v>379.18</v>
      </c>
      <c r="T87" s="9">
        <f>ROUND(SUMIFS('Odoo Items'!$G$5:$G$4331,'Odoo Items'!$J$5:$J$4331,A87,'Odoo Items'!$C$5:$C$4331,"&lt;="&amp;Cover!$C$14),2)</f>
        <v>379.18</v>
      </c>
      <c r="U87">
        <f>COUNTIFS('Bank Lines'!$G$5:$G$1640,A87,'Bank Lines'!$J$5:$J$1640,1,'Bank Lines'!$C$5:$C$1640,"&lt;="&amp;Cover!$C$14)</f>
        <v>1</v>
      </c>
      <c r="V87">
        <f>COUNTIFS('Odoo Items'!$J$5:$J$4331,A87,'Odoo Items'!$C$5:$C$4331,"&lt;="&amp;Cover!$C$14)</f>
        <v>2</v>
      </c>
      <c r="W87" t="str">
        <f>IF(AND(U87=0,V87=0),"",IF(U87=0,"ODOO-ONLY",IF(V87=0,"BANK-ONLY","BOTH")))</f>
        <v>BOTH</v>
      </c>
      <c r="X87" s="9">
        <f>IF(W87="BOTH",ROUND(S87-T87,2),0)</f>
        <v>0</v>
      </c>
      <c r="Y87" s="9">
        <f>ROUND(SUMIFS('Bank Lines'!$E$5:$E$1640,'Bank Lines'!$G$5:$G$1640,A87,'Bank Lines'!$J$5:$J$1640,1,'Bank Lines'!$C$5:$C$1640,"&lt;="&amp;Cover!$C$15),2)</f>
        <v>379.18</v>
      </c>
      <c r="Z87" s="9">
        <f>ROUND(SUMIFS('Odoo Items'!$G$5:$G$4331,'Odoo Items'!$J$5:$J$4331,A87,'Odoo Items'!$C$5:$C$4331,"&lt;="&amp;Cover!$C$15),2)</f>
        <v>379.18</v>
      </c>
      <c r="AA87">
        <f>COUNTIFS('Bank Lines'!$G$5:$G$1640,A87,'Bank Lines'!$J$5:$J$1640,1,'Bank Lines'!$C$5:$C$1640,"&lt;="&amp;Cover!$C$15)</f>
        <v>1</v>
      </c>
      <c r="AB87">
        <f>COUNTIFS('Odoo Items'!$J$5:$J$4331,A87,'Odoo Items'!$C$5:$C$4331,"&lt;="&amp;Cover!$C$15)</f>
        <v>2</v>
      </c>
      <c r="AC87" t="str">
        <f>IF(AND(AA87=0,AB87=0),"",IF(AA87=0,"ODOO-ONLY",IF(AB87=0,"BANK-ONLY","BOTH")))</f>
        <v>BOTH</v>
      </c>
      <c r="AD87" s="9">
        <f>IF(AC87="BOTH",ROUND(Y87-Z87,2),0)</f>
        <v>0</v>
      </c>
    </row>
    <row r="88">
      <c r="A88" t="inlineStr">
        <is>
          <t>G00084</t>
        </is>
      </c>
      <c r="B88" t="inlineStr">
        <is>
          <t>OPS</t>
        </is>
      </c>
      <c r="C88" t="inlineStr">
        <is>
          <t>R03</t>
        </is>
      </c>
      <c r="D88" t="inlineStr">
        <is>
          <t>REG</t>
        </is>
      </c>
      <c r="E88" t="inlineStr">
        <is>
          <t>Acacia Plan Partners</t>
        </is>
      </c>
      <c r="F88" t="n">
        <v>1</v>
      </c>
      <c r="G88" t="inlineStr">
        <is>
          <t>Receipt not registered in Odoo; remittance RA44805 lists 6 invoices</t>
        </is>
      </c>
      <c r="H88">
        <f>COUNTIFS('Bank Lines'!$G$5:$G$1640,A88,'Bank Lines'!$J$5:$J$1640,1)</f>
        <v>1</v>
      </c>
      <c r="I88">
        <f>COUNTIFS('Odoo Items'!$J$5:$J$4331,A88)</f>
        <v>0</v>
      </c>
      <c r="J88" s="9">
        <f>ROUND(SUMIFS('Bank Lines'!$E$5:$E$1640,'Bank Lines'!$G$5:$G$1640,A88,'Bank Lines'!$J$5:$J$1640,1),2)</f>
        <v>969.93</v>
      </c>
      <c r="K88" s="9">
        <f>ROUND(SUMIFS('Odoo Items'!$G$5:$G$4331,'Odoo Items'!$J$5:$J$4331,A88),2)</f>
        <v>0</v>
      </c>
      <c r="L88" s="9">
        <f>ROUND(J88-K88,2)</f>
        <v>969.93</v>
      </c>
      <c r="M88" s="9">
        <f>ROUND(SUMIFS('Bank Lines'!$E$5:$E$1640,'Bank Lines'!$G$5:$G$1640,A88,'Bank Lines'!$J$5:$J$1640,1,'Bank Lines'!$C$5:$C$1640,"&lt;="&amp;Cover!$C$13),2)</f>
        <v>969.93</v>
      </c>
      <c r="N88" s="9">
        <f>ROUND(SUMIFS('Odoo Items'!$G$5:$G$4331,'Odoo Items'!$J$5:$J$4331,A88,'Odoo Items'!$C$5:$C$4331,"&lt;="&amp;Cover!$C$13),2)</f>
        <v>0</v>
      </c>
      <c r="O88">
        <f>COUNTIFS('Bank Lines'!$G$5:$G$1640,A88,'Bank Lines'!$J$5:$J$1640,1,'Bank Lines'!$C$5:$C$1640,"&lt;="&amp;Cover!$C$13)</f>
        <v>1</v>
      </c>
      <c r="P88">
        <f>COUNTIFS('Odoo Items'!$J$5:$J$4331,A88,'Odoo Items'!$C$5:$C$4331,"&lt;="&amp;Cover!$C$13)</f>
        <v>0</v>
      </c>
      <c r="Q88" t="str">
        <f>IF(AND(O88=0,P88=0),"",IF(O88=0,"ODOO-ONLY",IF(P88=0,"BANK-ONLY","BOTH")))</f>
        <v>BANK-ONLY</v>
      </c>
      <c r="R88" s="9">
        <f>IF(Q88="BOTH",ROUND(M88-N88,2),0)</f>
        <v>0</v>
      </c>
      <c r="S88" s="9">
        <f>ROUND(SUMIFS('Bank Lines'!$E$5:$E$1640,'Bank Lines'!$G$5:$G$1640,A88,'Bank Lines'!$J$5:$J$1640,1,'Bank Lines'!$C$5:$C$1640,"&lt;="&amp;Cover!$C$14),2)</f>
        <v>969.93</v>
      </c>
      <c r="T88" s="9">
        <f>ROUND(SUMIFS('Odoo Items'!$G$5:$G$4331,'Odoo Items'!$J$5:$J$4331,A88,'Odoo Items'!$C$5:$C$4331,"&lt;="&amp;Cover!$C$14),2)</f>
        <v>0</v>
      </c>
      <c r="U88">
        <f>COUNTIFS('Bank Lines'!$G$5:$G$1640,A88,'Bank Lines'!$J$5:$J$1640,1,'Bank Lines'!$C$5:$C$1640,"&lt;="&amp;Cover!$C$14)</f>
        <v>1</v>
      </c>
      <c r="V88">
        <f>COUNTIFS('Odoo Items'!$J$5:$J$4331,A88,'Odoo Items'!$C$5:$C$4331,"&lt;="&amp;Cover!$C$14)</f>
        <v>0</v>
      </c>
      <c r="W88" t="str">
        <f>IF(AND(U88=0,V88=0),"",IF(U88=0,"ODOO-ONLY",IF(V88=0,"BANK-ONLY","BOTH")))</f>
        <v>BANK-ONLY</v>
      </c>
      <c r="X88" s="9">
        <f>IF(W88="BOTH",ROUND(S88-T88,2),0)</f>
        <v>0</v>
      </c>
      <c r="Y88" s="9">
        <f>ROUND(SUMIFS('Bank Lines'!$E$5:$E$1640,'Bank Lines'!$G$5:$G$1640,A88,'Bank Lines'!$J$5:$J$1640,1,'Bank Lines'!$C$5:$C$1640,"&lt;="&amp;Cover!$C$15),2)</f>
        <v>969.93</v>
      </c>
      <c r="Z88" s="9">
        <f>ROUND(SUMIFS('Odoo Items'!$G$5:$G$4331,'Odoo Items'!$J$5:$J$4331,A88,'Odoo Items'!$C$5:$C$4331,"&lt;="&amp;Cover!$C$15),2)</f>
        <v>0</v>
      </c>
      <c r="AA88">
        <f>COUNTIFS('Bank Lines'!$G$5:$G$1640,A88,'Bank Lines'!$J$5:$J$1640,1,'Bank Lines'!$C$5:$C$1640,"&lt;="&amp;Cover!$C$15)</f>
        <v>1</v>
      </c>
      <c r="AB88">
        <f>COUNTIFS('Odoo Items'!$J$5:$J$4331,A88,'Odoo Items'!$C$5:$C$4331,"&lt;="&amp;Cover!$C$15)</f>
        <v>0</v>
      </c>
      <c r="AC88" t="str">
        <f>IF(AND(AA88=0,AB88=0),"",IF(AA88=0,"ODOO-ONLY",IF(AB88=0,"BANK-ONLY","BOTH")))</f>
        <v>BANK-ONLY</v>
      </c>
      <c r="AD88" s="9">
        <f>IF(AC88="BOTH",ROUND(Y88-Z88,2),0)</f>
        <v>0</v>
      </c>
    </row>
    <row r="89">
      <c r="A89" t="inlineStr">
        <is>
          <t>G00085</t>
        </is>
      </c>
      <c r="B89" t="inlineStr">
        <is>
          <t>OPS</t>
        </is>
      </c>
      <c r="C89" t="inlineStr">
        <is>
          <t>R03</t>
        </is>
      </c>
      <c r="D89" t="inlineStr">
        <is>
          <t>MATCH</t>
        </is>
      </c>
      <c r="E89" t="inlineStr">
        <is>
          <t>Mallee Plan Services</t>
        </is>
      </c>
      <c r="F89" t="n">
        <v>1</v>
      </c>
      <c r="G89" t="inlineStr">
        <is>
          <t>2 invoices</t>
        </is>
      </c>
      <c r="H89">
        <f>COUNTIFS('Bank Lines'!$G$5:$G$1640,A89,'Bank Lines'!$J$5:$J$1640,1)</f>
        <v>1</v>
      </c>
      <c r="I89">
        <f>COUNTIFS('Odoo Items'!$J$5:$J$4331,A89)</f>
        <v>2</v>
      </c>
      <c r="J89" s="9">
        <f>ROUND(SUMIFS('Bank Lines'!$E$5:$E$1640,'Bank Lines'!$G$5:$G$1640,A89,'Bank Lines'!$J$5:$J$1640,1),2)</f>
        <v>300.68</v>
      </c>
      <c r="K89" s="9">
        <f>ROUND(SUMIFS('Odoo Items'!$G$5:$G$4331,'Odoo Items'!$J$5:$J$4331,A89),2)</f>
        <v>300.68</v>
      </c>
      <c r="L89" s="9">
        <f>ROUND(J89-K89,2)</f>
        <v>0</v>
      </c>
      <c r="M89" s="9">
        <f>ROUND(SUMIFS('Bank Lines'!$E$5:$E$1640,'Bank Lines'!$G$5:$G$1640,A89,'Bank Lines'!$J$5:$J$1640,1,'Bank Lines'!$C$5:$C$1640,"&lt;="&amp;Cover!$C$13),2)</f>
        <v>300.68</v>
      </c>
      <c r="N89" s="9">
        <f>ROUND(SUMIFS('Odoo Items'!$G$5:$G$4331,'Odoo Items'!$J$5:$J$4331,A89,'Odoo Items'!$C$5:$C$4331,"&lt;="&amp;Cover!$C$13),2)</f>
        <v>300.68</v>
      </c>
      <c r="O89">
        <f>COUNTIFS('Bank Lines'!$G$5:$G$1640,A89,'Bank Lines'!$J$5:$J$1640,1,'Bank Lines'!$C$5:$C$1640,"&lt;="&amp;Cover!$C$13)</f>
        <v>1</v>
      </c>
      <c r="P89">
        <f>COUNTIFS('Odoo Items'!$J$5:$J$4331,A89,'Odoo Items'!$C$5:$C$4331,"&lt;="&amp;Cover!$C$13)</f>
        <v>2</v>
      </c>
      <c r="Q89" t="str">
        <f>IF(AND(O89=0,P89=0),"",IF(O89=0,"ODOO-ONLY",IF(P89=0,"BANK-ONLY","BOTH")))</f>
        <v>BOTH</v>
      </c>
      <c r="R89" s="9">
        <f>IF(Q89="BOTH",ROUND(M89-N89,2),0)</f>
        <v>0</v>
      </c>
      <c r="S89" s="9">
        <f>ROUND(SUMIFS('Bank Lines'!$E$5:$E$1640,'Bank Lines'!$G$5:$G$1640,A89,'Bank Lines'!$J$5:$J$1640,1,'Bank Lines'!$C$5:$C$1640,"&lt;="&amp;Cover!$C$14),2)</f>
        <v>300.68</v>
      </c>
      <c r="T89" s="9">
        <f>ROUND(SUMIFS('Odoo Items'!$G$5:$G$4331,'Odoo Items'!$J$5:$J$4331,A89,'Odoo Items'!$C$5:$C$4331,"&lt;="&amp;Cover!$C$14),2)</f>
        <v>300.68</v>
      </c>
      <c r="U89">
        <f>COUNTIFS('Bank Lines'!$G$5:$G$1640,A89,'Bank Lines'!$J$5:$J$1640,1,'Bank Lines'!$C$5:$C$1640,"&lt;="&amp;Cover!$C$14)</f>
        <v>1</v>
      </c>
      <c r="V89">
        <f>COUNTIFS('Odoo Items'!$J$5:$J$4331,A89,'Odoo Items'!$C$5:$C$4331,"&lt;="&amp;Cover!$C$14)</f>
        <v>2</v>
      </c>
      <c r="W89" t="str">
        <f>IF(AND(U89=0,V89=0),"",IF(U89=0,"ODOO-ONLY",IF(V89=0,"BANK-ONLY","BOTH")))</f>
        <v>BOTH</v>
      </c>
      <c r="X89" s="9">
        <f>IF(W89="BOTH",ROUND(S89-T89,2),0)</f>
        <v>0</v>
      </c>
      <c r="Y89" s="9">
        <f>ROUND(SUMIFS('Bank Lines'!$E$5:$E$1640,'Bank Lines'!$G$5:$G$1640,A89,'Bank Lines'!$J$5:$J$1640,1,'Bank Lines'!$C$5:$C$1640,"&lt;="&amp;Cover!$C$15),2)</f>
        <v>300.68</v>
      </c>
      <c r="Z89" s="9">
        <f>ROUND(SUMIFS('Odoo Items'!$G$5:$G$4331,'Odoo Items'!$J$5:$J$4331,A89,'Odoo Items'!$C$5:$C$4331,"&lt;="&amp;Cover!$C$15),2)</f>
        <v>300.68</v>
      </c>
      <c r="AA89">
        <f>COUNTIFS('Bank Lines'!$G$5:$G$1640,A89,'Bank Lines'!$J$5:$J$1640,1,'Bank Lines'!$C$5:$C$1640,"&lt;="&amp;Cover!$C$15)</f>
        <v>1</v>
      </c>
      <c r="AB89">
        <f>COUNTIFS('Odoo Items'!$J$5:$J$4331,A89,'Odoo Items'!$C$5:$C$4331,"&lt;="&amp;Cover!$C$15)</f>
        <v>2</v>
      </c>
      <c r="AC89" t="str">
        <f>IF(AND(AA89=0,AB89=0),"",IF(AA89=0,"ODOO-ONLY",IF(AB89=0,"BANK-ONLY","BOTH")))</f>
        <v>BOTH</v>
      </c>
      <c r="AD89" s="9">
        <f>IF(AC89="BOTH",ROUND(Y89-Z89,2),0)</f>
        <v>0</v>
      </c>
    </row>
    <row r="90">
      <c r="A90" t="inlineStr">
        <is>
          <t>G00086</t>
        </is>
      </c>
      <c r="B90" t="inlineStr">
        <is>
          <t>OPS</t>
        </is>
      </c>
      <c r="C90" t="inlineStr">
        <is>
          <t>R03</t>
        </is>
      </c>
      <c r="D90" t="inlineStr">
        <is>
          <t>MATCH</t>
        </is>
      </c>
      <c r="E90" t="inlineStr">
        <is>
          <t>Clearpath NDIS Plans</t>
        </is>
      </c>
      <c r="F90" t="n">
        <v>1</v>
      </c>
      <c r="G90" t="inlineStr">
        <is>
          <t>2 invoices</t>
        </is>
      </c>
      <c r="H90">
        <f>COUNTIFS('Bank Lines'!$G$5:$G$1640,A90,'Bank Lines'!$J$5:$J$1640,1)</f>
        <v>1</v>
      </c>
      <c r="I90">
        <f>COUNTIFS('Odoo Items'!$J$5:$J$4331,A90)</f>
        <v>2</v>
      </c>
      <c r="J90" s="9">
        <f>ROUND(SUMIFS('Bank Lines'!$E$5:$E$1640,'Bank Lines'!$G$5:$G$1640,A90,'Bank Lines'!$J$5:$J$1640,1),2)</f>
        <v>504.38</v>
      </c>
      <c r="K90" s="9">
        <f>ROUND(SUMIFS('Odoo Items'!$G$5:$G$4331,'Odoo Items'!$J$5:$J$4331,A90),2)</f>
        <v>504.38</v>
      </c>
      <c r="L90" s="9">
        <f>ROUND(J90-K90,2)</f>
        <v>0</v>
      </c>
      <c r="M90" s="9">
        <f>ROUND(SUMIFS('Bank Lines'!$E$5:$E$1640,'Bank Lines'!$G$5:$G$1640,A90,'Bank Lines'!$J$5:$J$1640,1,'Bank Lines'!$C$5:$C$1640,"&lt;="&amp;Cover!$C$13),2)</f>
        <v>504.38</v>
      </c>
      <c r="N90" s="9">
        <f>ROUND(SUMIFS('Odoo Items'!$G$5:$G$4331,'Odoo Items'!$J$5:$J$4331,A90,'Odoo Items'!$C$5:$C$4331,"&lt;="&amp;Cover!$C$13),2)</f>
        <v>504.38</v>
      </c>
      <c r="O90">
        <f>COUNTIFS('Bank Lines'!$G$5:$G$1640,A90,'Bank Lines'!$J$5:$J$1640,1,'Bank Lines'!$C$5:$C$1640,"&lt;="&amp;Cover!$C$13)</f>
        <v>1</v>
      </c>
      <c r="P90">
        <f>COUNTIFS('Odoo Items'!$J$5:$J$4331,A90,'Odoo Items'!$C$5:$C$4331,"&lt;="&amp;Cover!$C$13)</f>
        <v>2</v>
      </c>
      <c r="Q90" t="str">
        <f>IF(AND(O90=0,P90=0),"",IF(O90=0,"ODOO-ONLY",IF(P90=0,"BANK-ONLY","BOTH")))</f>
        <v>BOTH</v>
      </c>
      <c r="R90" s="9">
        <f>IF(Q90="BOTH",ROUND(M90-N90,2),0)</f>
        <v>0</v>
      </c>
      <c r="S90" s="9">
        <f>ROUND(SUMIFS('Bank Lines'!$E$5:$E$1640,'Bank Lines'!$G$5:$G$1640,A90,'Bank Lines'!$J$5:$J$1640,1,'Bank Lines'!$C$5:$C$1640,"&lt;="&amp;Cover!$C$14),2)</f>
        <v>504.38</v>
      </c>
      <c r="T90" s="9">
        <f>ROUND(SUMIFS('Odoo Items'!$G$5:$G$4331,'Odoo Items'!$J$5:$J$4331,A90,'Odoo Items'!$C$5:$C$4331,"&lt;="&amp;Cover!$C$14),2)</f>
        <v>504.38</v>
      </c>
      <c r="U90">
        <f>COUNTIFS('Bank Lines'!$G$5:$G$1640,A90,'Bank Lines'!$J$5:$J$1640,1,'Bank Lines'!$C$5:$C$1640,"&lt;="&amp;Cover!$C$14)</f>
        <v>1</v>
      </c>
      <c r="V90">
        <f>COUNTIFS('Odoo Items'!$J$5:$J$4331,A90,'Odoo Items'!$C$5:$C$4331,"&lt;="&amp;Cover!$C$14)</f>
        <v>2</v>
      </c>
      <c r="W90" t="str">
        <f>IF(AND(U90=0,V90=0),"",IF(U90=0,"ODOO-ONLY",IF(V90=0,"BANK-ONLY","BOTH")))</f>
        <v>BOTH</v>
      </c>
      <c r="X90" s="9">
        <f>IF(W90="BOTH",ROUND(S90-T90,2),0)</f>
        <v>0</v>
      </c>
      <c r="Y90" s="9">
        <f>ROUND(SUMIFS('Bank Lines'!$E$5:$E$1640,'Bank Lines'!$G$5:$G$1640,A90,'Bank Lines'!$J$5:$J$1640,1,'Bank Lines'!$C$5:$C$1640,"&lt;="&amp;Cover!$C$15),2)</f>
        <v>504.38</v>
      </c>
      <c r="Z90" s="9">
        <f>ROUND(SUMIFS('Odoo Items'!$G$5:$G$4331,'Odoo Items'!$J$5:$J$4331,A90,'Odoo Items'!$C$5:$C$4331,"&lt;="&amp;Cover!$C$15),2)</f>
        <v>504.38</v>
      </c>
      <c r="AA90">
        <f>COUNTIFS('Bank Lines'!$G$5:$G$1640,A90,'Bank Lines'!$J$5:$J$1640,1,'Bank Lines'!$C$5:$C$1640,"&lt;="&amp;Cover!$C$15)</f>
        <v>1</v>
      </c>
      <c r="AB90">
        <f>COUNTIFS('Odoo Items'!$J$5:$J$4331,A90,'Odoo Items'!$C$5:$C$4331,"&lt;="&amp;Cover!$C$15)</f>
        <v>2</v>
      </c>
      <c r="AC90" t="str">
        <f>IF(AND(AA90=0,AB90=0),"",IF(AA90=0,"ODOO-ONLY",IF(AB90=0,"BANK-ONLY","BOTH")))</f>
        <v>BOTH</v>
      </c>
      <c r="AD90" s="9">
        <f>IF(AC90="BOTH",ROUND(Y90-Z90,2),0)</f>
        <v>0</v>
      </c>
    </row>
    <row r="91">
      <c r="A91" t="inlineStr">
        <is>
          <t>G00087</t>
        </is>
      </c>
      <c r="B91" t="inlineStr">
        <is>
          <t>OPS</t>
        </is>
      </c>
      <c r="C91" t="inlineStr">
        <is>
          <t>R03</t>
        </is>
      </c>
      <c r="D91" t="inlineStr">
        <is>
          <t>MATCH</t>
        </is>
      </c>
      <c r="E91" t="inlineStr">
        <is>
          <t>Wattle Plan Services</t>
        </is>
      </c>
      <c r="F91" t="n">
        <v>1</v>
      </c>
      <c r="G91" t="inlineStr">
        <is>
          <t>6 invoices</t>
        </is>
      </c>
      <c r="H91">
        <f>COUNTIFS('Bank Lines'!$G$5:$G$1640,A91,'Bank Lines'!$J$5:$J$1640,1)</f>
        <v>1</v>
      </c>
      <c r="I91">
        <f>COUNTIFS('Odoo Items'!$J$5:$J$4331,A91)</f>
        <v>6</v>
      </c>
      <c r="J91" s="9">
        <f>ROUND(SUMIFS('Bank Lines'!$E$5:$E$1640,'Bank Lines'!$G$5:$G$1640,A91,'Bank Lines'!$J$5:$J$1640,1),2)</f>
        <v>1349.12</v>
      </c>
      <c r="K91" s="9">
        <f>ROUND(SUMIFS('Odoo Items'!$G$5:$G$4331,'Odoo Items'!$J$5:$J$4331,A91),2)</f>
        <v>1349.12</v>
      </c>
      <c r="L91" s="9">
        <f>ROUND(J91-K91,2)</f>
        <v>0</v>
      </c>
      <c r="M91" s="9">
        <f>ROUND(SUMIFS('Bank Lines'!$E$5:$E$1640,'Bank Lines'!$G$5:$G$1640,A91,'Bank Lines'!$J$5:$J$1640,1,'Bank Lines'!$C$5:$C$1640,"&lt;="&amp;Cover!$C$13),2)</f>
        <v>1349.12</v>
      </c>
      <c r="N91" s="9">
        <f>ROUND(SUMIFS('Odoo Items'!$G$5:$G$4331,'Odoo Items'!$J$5:$J$4331,A91,'Odoo Items'!$C$5:$C$4331,"&lt;="&amp;Cover!$C$13),2)</f>
        <v>1349.12</v>
      </c>
      <c r="O91">
        <f>COUNTIFS('Bank Lines'!$G$5:$G$1640,A91,'Bank Lines'!$J$5:$J$1640,1,'Bank Lines'!$C$5:$C$1640,"&lt;="&amp;Cover!$C$13)</f>
        <v>1</v>
      </c>
      <c r="P91">
        <f>COUNTIFS('Odoo Items'!$J$5:$J$4331,A91,'Odoo Items'!$C$5:$C$4331,"&lt;="&amp;Cover!$C$13)</f>
        <v>6</v>
      </c>
      <c r="Q91" t="str">
        <f>IF(AND(O91=0,P91=0),"",IF(O91=0,"ODOO-ONLY",IF(P91=0,"BANK-ONLY","BOTH")))</f>
        <v>BOTH</v>
      </c>
      <c r="R91" s="9">
        <f>IF(Q91="BOTH",ROUND(M91-N91,2),0)</f>
        <v>0</v>
      </c>
      <c r="S91" s="9">
        <f>ROUND(SUMIFS('Bank Lines'!$E$5:$E$1640,'Bank Lines'!$G$5:$G$1640,A91,'Bank Lines'!$J$5:$J$1640,1,'Bank Lines'!$C$5:$C$1640,"&lt;="&amp;Cover!$C$14),2)</f>
        <v>1349.12</v>
      </c>
      <c r="T91" s="9">
        <f>ROUND(SUMIFS('Odoo Items'!$G$5:$G$4331,'Odoo Items'!$J$5:$J$4331,A91,'Odoo Items'!$C$5:$C$4331,"&lt;="&amp;Cover!$C$14),2)</f>
        <v>1349.12</v>
      </c>
      <c r="U91">
        <f>COUNTIFS('Bank Lines'!$G$5:$G$1640,A91,'Bank Lines'!$J$5:$J$1640,1,'Bank Lines'!$C$5:$C$1640,"&lt;="&amp;Cover!$C$14)</f>
        <v>1</v>
      </c>
      <c r="V91">
        <f>COUNTIFS('Odoo Items'!$J$5:$J$4331,A91,'Odoo Items'!$C$5:$C$4331,"&lt;="&amp;Cover!$C$14)</f>
        <v>6</v>
      </c>
      <c r="W91" t="str">
        <f>IF(AND(U91=0,V91=0),"",IF(U91=0,"ODOO-ONLY",IF(V91=0,"BANK-ONLY","BOTH")))</f>
        <v>BOTH</v>
      </c>
      <c r="X91" s="9">
        <f>IF(W91="BOTH",ROUND(S91-T91,2),0)</f>
        <v>0</v>
      </c>
      <c r="Y91" s="9">
        <f>ROUND(SUMIFS('Bank Lines'!$E$5:$E$1640,'Bank Lines'!$G$5:$G$1640,A91,'Bank Lines'!$J$5:$J$1640,1,'Bank Lines'!$C$5:$C$1640,"&lt;="&amp;Cover!$C$15),2)</f>
        <v>1349.12</v>
      </c>
      <c r="Z91" s="9">
        <f>ROUND(SUMIFS('Odoo Items'!$G$5:$G$4331,'Odoo Items'!$J$5:$J$4331,A91,'Odoo Items'!$C$5:$C$4331,"&lt;="&amp;Cover!$C$15),2)</f>
        <v>1349.12</v>
      </c>
      <c r="AA91">
        <f>COUNTIFS('Bank Lines'!$G$5:$G$1640,A91,'Bank Lines'!$J$5:$J$1640,1,'Bank Lines'!$C$5:$C$1640,"&lt;="&amp;Cover!$C$15)</f>
        <v>1</v>
      </c>
      <c r="AB91">
        <f>COUNTIFS('Odoo Items'!$J$5:$J$4331,A91,'Odoo Items'!$C$5:$C$4331,"&lt;="&amp;Cover!$C$15)</f>
        <v>6</v>
      </c>
      <c r="AC91" t="str">
        <f>IF(AND(AA91=0,AB91=0),"",IF(AA91=0,"ODOO-ONLY",IF(AB91=0,"BANK-ONLY","BOTH")))</f>
        <v>BOTH</v>
      </c>
      <c r="AD91" s="9">
        <f>IF(AC91="BOTH",ROUND(Y91-Z91,2),0)</f>
        <v>0</v>
      </c>
    </row>
    <row r="92">
      <c r="A92" t="inlineStr">
        <is>
          <t>G00088</t>
        </is>
      </c>
      <c r="B92" t="inlineStr">
        <is>
          <t>OPS</t>
        </is>
      </c>
      <c r="C92" t="inlineStr">
        <is>
          <t>R03</t>
        </is>
      </c>
      <c r="D92" t="inlineStr">
        <is>
          <t>REG</t>
        </is>
      </c>
      <c r="E92" t="inlineStr">
        <is>
          <t>Banksia Plan Co</t>
        </is>
      </c>
      <c r="F92" t="n">
        <v>1</v>
      </c>
      <c r="G92" t="inlineStr">
        <is>
          <t>Receipt not registered in Odoo; remittance RA44809 lists 2 invoices</t>
        </is>
      </c>
      <c r="H92">
        <f>COUNTIFS('Bank Lines'!$G$5:$G$1640,A92,'Bank Lines'!$J$5:$J$1640,1)</f>
        <v>1</v>
      </c>
      <c r="I92">
        <f>COUNTIFS('Odoo Items'!$J$5:$J$4331,A92)</f>
        <v>0</v>
      </c>
      <c r="J92" s="9">
        <f>ROUND(SUMIFS('Bank Lines'!$E$5:$E$1640,'Bank Lines'!$G$5:$G$1640,A92,'Bank Lines'!$J$5:$J$1640,1),2)</f>
        <v>290.98</v>
      </c>
      <c r="K92" s="9">
        <f>ROUND(SUMIFS('Odoo Items'!$G$5:$G$4331,'Odoo Items'!$J$5:$J$4331,A92),2)</f>
        <v>0</v>
      </c>
      <c r="L92" s="9">
        <f>ROUND(J92-K92,2)</f>
        <v>290.98</v>
      </c>
      <c r="M92" s="9">
        <f>ROUND(SUMIFS('Bank Lines'!$E$5:$E$1640,'Bank Lines'!$G$5:$G$1640,A92,'Bank Lines'!$J$5:$J$1640,1,'Bank Lines'!$C$5:$C$1640,"&lt;="&amp;Cover!$C$13),2)</f>
        <v>290.98</v>
      </c>
      <c r="N92" s="9">
        <f>ROUND(SUMIFS('Odoo Items'!$G$5:$G$4331,'Odoo Items'!$J$5:$J$4331,A92,'Odoo Items'!$C$5:$C$4331,"&lt;="&amp;Cover!$C$13),2)</f>
        <v>0</v>
      </c>
      <c r="O92">
        <f>COUNTIFS('Bank Lines'!$G$5:$G$1640,A92,'Bank Lines'!$J$5:$J$1640,1,'Bank Lines'!$C$5:$C$1640,"&lt;="&amp;Cover!$C$13)</f>
        <v>1</v>
      </c>
      <c r="P92">
        <f>COUNTIFS('Odoo Items'!$J$5:$J$4331,A92,'Odoo Items'!$C$5:$C$4331,"&lt;="&amp;Cover!$C$13)</f>
        <v>0</v>
      </c>
      <c r="Q92" t="str">
        <f>IF(AND(O92=0,P92=0),"",IF(O92=0,"ODOO-ONLY",IF(P92=0,"BANK-ONLY","BOTH")))</f>
        <v>BANK-ONLY</v>
      </c>
      <c r="R92" s="9">
        <f>IF(Q92="BOTH",ROUND(M92-N92,2),0)</f>
        <v>0</v>
      </c>
      <c r="S92" s="9">
        <f>ROUND(SUMIFS('Bank Lines'!$E$5:$E$1640,'Bank Lines'!$G$5:$G$1640,A92,'Bank Lines'!$J$5:$J$1640,1,'Bank Lines'!$C$5:$C$1640,"&lt;="&amp;Cover!$C$14),2)</f>
        <v>290.98</v>
      </c>
      <c r="T92" s="9">
        <f>ROUND(SUMIFS('Odoo Items'!$G$5:$G$4331,'Odoo Items'!$J$5:$J$4331,A92,'Odoo Items'!$C$5:$C$4331,"&lt;="&amp;Cover!$C$14),2)</f>
        <v>0</v>
      </c>
      <c r="U92">
        <f>COUNTIFS('Bank Lines'!$G$5:$G$1640,A92,'Bank Lines'!$J$5:$J$1640,1,'Bank Lines'!$C$5:$C$1640,"&lt;="&amp;Cover!$C$14)</f>
        <v>1</v>
      </c>
      <c r="V92">
        <f>COUNTIFS('Odoo Items'!$J$5:$J$4331,A92,'Odoo Items'!$C$5:$C$4331,"&lt;="&amp;Cover!$C$14)</f>
        <v>0</v>
      </c>
      <c r="W92" t="str">
        <f>IF(AND(U92=0,V92=0),"",IF(U92=0,"ODOO-ONLY",IF(V92=0,"BANK-ONLY","BOTH")))</f>
        <v>BANK-ONLY</v>
      </c>
      <c r="X92" s="9">
        <f>IF(W92="BOTH",ROUND(S92-T92,2),0)</f>
        <v>0</v>
      </c>
      <c r="Y92" s="9">
        <f>ROUND(SUMIFS('Bank Lines'!$E$5:$E$1640,'Bank Lines'!$G$5:$G$1640,A92,'Bank Lines'!$J$5:$J$1640,1,'Bank Lines'!$C$5:$C$1640,"&lt;="&amp;Cover!$C$15),2)</f>
        <v>290.98</v>
      </c>
      <c r="Z92" s="9">
        <f>ROUND(SUMIFS('Odoo Items'!$G$5:$G$4331,'Odoo Items'!$J$5:$J$4331,A92,'Odoo Items'!$C$5:$C$4331,"&lt;="&amp;Cover!$C$15),2)</f>
        <v>0</v>
      </c>
      <c r="AA92">
        <f>COUNTIFS('Bank Lines'!$G$5:$G$1640,A92,'Bank Lines'!$J$5:$J$1640,1,'Bank Lines'!$C$5:$C$1640,"&lt;="&amp;Cover!$C$15)</f>
        <v>1</v>
      </c>
      <c r="AB92">
        <f>COUNTIFS('Odoo Items'!$J$5:$J$4331,A92,'Odoo Items'!$C$5:$C$4331,"&lt;="&amp;Cover!$C$15)</f>
        <v>0</v>
      </c>
      <c r="AC92" t="str">
        <f>IF(AND(AA92=0,AB92=0),"",IF(AA92=0,"ODOO-ONLY",IF(AB92=0,"BANK-ONLY","BOTH")))</f>
        <v>BANK-ONLY</v>
      </c>
      <c r="AD92" s="9">
        <f>IF(AC92="BOTH",ROUND(Y92-Z92,2),0)</f>
        <v>0</v>
      </c>
    </row>
    <row r="93">
      <c r="A93" t="inlineStr">
        <is>
          <t>G00089</t>
        </is>
      </c>
      <c r="B93" t="inlineStr">
        <is>
          <t>OPS</t>
        </is>
      </c>
      <c r="C93" t="inlineStr">
        <is>
          <t>R03</t>
        </is>
      </c>
      <c r="D93" t="inlineStr">
        <is>
          <t>REG</t>
        </is>
      </c>
      <c r="E93" t="inlineStr">
        <is>
          <t>Lyrebird Plan Management</t>
        </is>
      </c>
      <c r="F93" t="n">
        <v>1</v>
      </c>
      <c r="G93" t="inlineStr">
        <is>
          <t>Receipt not registered in Odoo; remittance RA44810 lists 2 invoices</t>
        </is>
      </c>
      <c r="H93">
        <f>COUNTIFS('Bank Lines'!$G$5:$G$1640,A93,'Bank Lines'!$J$5:$J$1640,1)</f>
        <v>1</v>
      </c>
      <c r="I93">
        <f>COUNTIFS('Odoo Items'!$J$5:$J$4331,A93)</f>
        <v>0</v>
      </c>
      <c r="J93" s="9">
        <f>ROUND(SUMIFS('Bank Lines'!$E$5:$E$1640,'Bank Lines'!$G$5:$G$1640,A93,'Bank Lines'!$J$5:$J$1640,1),2)</f>
        <v>193.98</v>
      </c>
      <c r="K93" s="9">
        <f>ROUND(SUMIFS('Odoo Items'!$G$5:$G$4331,'Odoo Items'!$J$5:$J$4331,A93),2)</f>
        <v>0</v>
      </c>
      <c r="L93" s="9">
        <f>ROUND(J93-K93,2)</f>
        <v>193.98</v>
      </c>
      <c r="M93" s="9">
        <f>ROUND(SUMIFS('Bank Lines'!$E$5:$E$1640,'Bank Lines'!$G$5:$G$1640,A93,'Bank Lines'!$J$5:$J$1640,1,'Bank Lines'!$C$5:$C$1640,"&lt;="&amp;Cover!$C$13),2)</f>
        <v>193.98</v>
      </c>
      <c r="N93" s="9">
        <f>ROUND(SUMIFS('Odoo Items'!$G$5:$G$4331,'Odoo Items'!$J$5:$J$4331,A93,'Odoo Items'!$C$5:$C$4331,"&lt;="&amp;Cover!$C$13),2)</f>
        <v>0</v>
      </c>
      <c r="O93">
        <f>COUNTIFS('Bank Lines'!$G$5:$G$1640,A93,'Bank Lines'!$J$5:$J$1640,1,'Bank Lines'!$C$5:$C$1640,"&lt;="&amp;Cover!$C$13)</f>
        <v>1</v>
      </c>
      <c r="P93">
        <f>COUNTIFS('Odoo Items'!$J$5:$J$4331,A93,'Odoo Items'!$C$5:$C$4331,"&lt;="&amp;Cover!$C$13)</f>
        <v>0</v>
      </c>
      <c r="Q93" t="str">
        <f>IF(AND(O93=0,P93=0),"",IF(O93=0,"ODOO-ONLY",IF(P93=0,"BANK-ONLY","BOTH")))</f>
        <v>BANK-ONLY</v>
      </c>
      <c r="R93" s="9">
        <f>IF(Q93="BOTH",ROUND(M93-N93,2),0)</f>
        <v>0</v>
      </c>
      <c r="S93" s="9">
        <f>ROUND(SUMIFS('Bank Lines'!$E$5:$E$1640,'Bank Lines'!$G$5:$G$1640,A93,'Bank Lines'!$J$5:$J$1640,1,'Bank Lines'!$C$5:$C$1640,"&lt;="&amp;Cover!$C$14),2)</f>
        <v>193.98</v>
      </c>
      <c r="T93" s="9">
        <f>ROUND(SUMIFS('Odoo Items'!$G$5:$G$4331,'Odoo Items'!$J$5:$J$4331,A93,'Odoo Items'!$C$5:$C$4331,"&lt;="&amp;Cover!$C$14),2)</f>
        <v>0</v>
      </c>
      <c r="U93">
        <f>COUNTIFS('Bank Lines'!$G$5:$G$1640,A93,'Bank Lines'!$J$5:$J$1640,1,'Bank Lines'!$C$5:$C$1640,"&lt;="&amp;Cover!$C$14)</f>
        <v>1</v>
      </c>
      <c r="V93">
        <f>COUNTIFS('Odoo Items'!$J$5:$J$4331,A93,'Odoo Items'!$C$5:$C$4331,"&lt;="&amp;Cover!$C$14)</f>
        <v>0</v>
      </c>
      <c r="W93" t="str">
        <f>IF(AND(U93=0,V93=0),"",IF(U93=0,"ODOO-ONLY",IF(V93=0,"BANK-ONLY","BOTH")))</f>
        <v>BANK-ONLY</v>
      </c>
      <c r="X93" s="9">
        <f>IF(W93="BOTH",ROUND(S93-T93,2),0)</f>
        <v>0</v>
      </c>
      <c r="Y93" s="9">
        <f>ROUND(SUMIFS('Bank Lines'!$E$5:$E$1640,'Bank Lines'!$G$5:$G$1640,A93,'Bank Lines'!$J$5:$J$1640,1,'Bank Lines'!$C$5:$C$1640,"&lt;="&amp;Cover!$C$15),2)</f>
        <v>193.98</v>
      </c>
      <c r="Z93" s="9">
        <f>ROUND(SUMIFS('Odoo Items'!$G$5:$G$4331,'Odoo Items'!$J$5:$J$4331,A93,'Odoo Items'!$C$5:$C$4331,"&lt;="&amp;Cover!$C$15),2)</f>
        <v>0</v>
      </c>
      <c r="AA93">
        <f>COUNTIFS('Bank Lines'!$G$5:$G$1640,A93,'Bank Lines'!$J$5:$J$1640,1,'Bank Lines'!$C$5:$C$1640,"&lt;="&amp;Cover!$C$15)</f>
        <v>1</v>
      </c>
      <c r="AB93">
        <f>COUNTIFS('Odoo Items'!$J$5:$J$4331,A93,'Odoo Items'!$C$5:$C$4331,"&lt;="&amp;Cover!$C$15)</f>
        <v>0</v>
      </c>
      <c r="AC93" t="str">
        <f>IF(AND(AA93=0,AB93=0),"",IF(AA93=0,"ODOO-ONLY",IF(AB93=0,"BANK-ONLY","BOTH")))</f>
        <v>BANK-ONLY</v>
      </c>
      <c r="AD93" s="9">
        <f>IF(AC93="BOTH",ROUND(Y93-Z93,2),0)</f>
        <v>0</v>
      </c>
    </row>
    <row r="94">
      <c r="A94" t="inlineStr">
        <is>
          <t>G00090</t>
        </is>
      </c>
      <c r="B94" t="inlineStr">
        <is>
          <t>OPS</t>
        </is>
      </c>
      <c r="C94" t="inlineStr">
        <is>
          <t>R03</t>
        </is>
      </c>
      <c r="D94" t="inlineStr">
        <is>
          <t>MATCH</t>
        </is>
      </c>
      <c r="E94" t="inlineStr">
        <is>
          <t>Tallowwood Plans</t>
        </is>
      </c>
      <c r="F94" t="n">
        <v>1</v>
      </c>
      <c r="G94" t="inlineStr">
        <is>
          <t>3 invoices</t>
        </is>
      </c>
      <c r="H94">
        <f>COUNTIFS('Bank Lines'!$G$5:$G$1640,A94,'Bank Lines'!$J$5:$J$1640,1)</f>
        <v>1</v>
      </c>
      <c r="I94">
        <f>COUNTIFS('Odoo Items'!$J$5:$J$4331,A94)</f>
        <v>3</v>
      </c>
      <c r="J94" s="9">
        <f>ROUND(SUMIFS('Bank Lines'!$E$5:$E$1640,'Bank Lines'!$G$5:$G$1640,A94,'Bank Lines'!$J$5:$J$1640,1),2)</f>
        <v>641.97</v>
      </c>
      <c r="K94" s="9">
        <f>ROUND(SUMIFS('Odoo Items'!$G$5:$G$4331,'Odoo Items'!$J$5:$J$4331,A94),2)</f>
        <v>641.97</v>
      </c>
      <c r="L94" s="9">
        <f>ROUND(J94-K94,2)</f>
        <v>0</v>
      </c>
      <c r="M94" s="9">
        <f>ROUND(SUMIFS('Bank Lines'!$E$5:$E$1640,'Bank Lines'!$G$5:$G$1640,A94,'Bank Lines'!$J$5:$J$1640,1,'Bank Lines'!$C$5:$C$1640,"&lt;="&amp;Cover!$C$13),2)</f>
        <v>641.97</v>
      </c>
      <c r="N94" s="9">
        <f>ROUND(SUMIFS('Odoo Items'!$G$5:$G$4331,'Odoo Items'!$J$5:$J$4331,A94,'Odoo Items'!$C$5:$C$4331,"&lt;="&amp;Cover!$C$13),2)</f>
        <v>641.97</v>
      </c>
      <c r="O94">
        <f>COUNTIFS('Bank Lines'!$G$5:$G$1640,A94,'Bank Lines'!$J$5:$J$1640,1,'Bank Lines'!$C$5:$C$1640,"&lt;="&amp;Cover!$C$13)</f>
        <v>1</v>
      </c>
      <c r="P94">
        <f>COUNTIFS('Odoo Items'!$J$5:$J$4331,A94,'Odoo Items'!$C$5:$C$4331,"&lt;="&amp;Cover!$C$13)</f>
        <v>3</v>
      </c>
      <c r="Q94" t="str">
        <f>IF(AND(O94=0,P94=0),"",IF(O94=0,"ODOO-ONLY",IF(P94=0,"BANK-ONLY","BOTH")))</f>
        <v>BOTH</v>
      </c>
      <c r="R94" s="9">
        <f>IF(Q94="BOTH",ROUND(M94-N94,2),0)</f>
        <v>0</v>
      </c>
      <c r="S94" s="9">
        <f>ROUND(SUMIFS('Bank Lines'!$E$5:$E$1640,'Bank Lines'!$G$5:$G$1640,A94,'Bank Lines'!$J$5:$J$1640,1,'Bank Lines'!$C$5:$C$1640,"&lt;="&amp;Cover!$C$14),2)</f>
        <v>641.97</v>
      </c>
      <c r="T94" s="9">
        <f>ROUND(SUMIFS('Odoo Items'!$G$5:$G$4331,'Odoo Items'!$J$5:$J$4331,A94,'Odoo Items'!$C$5:$C$4331,"&lt;="&amp;Cover!$C$14),2)</f>
        <v>641.97</v>
      </c>
      <c r="U94">
        <f>COUNTIFS('Bank Lines'!$G$5:$G$1640,A94,'Bank Lines'!$J$5:$J$1640,1,'Bank Lines'!$C$5:$C$1640,"&lt;="&amp;Cover!$C$14)</f>
        <v>1</v>
      </c>
      <c r="V94">
        <f>COUNTIFS('Odoo Items'!$J$5:$J$4331,A94,'Odoo Items'!$C$5:$C$4331,"&lt;="&amp;Cover!$C$14)</f>
        <v>3</v>
      </c>
      <c r="W94" t="str">
        <f>IF(AND(U94=0,V94=0),"",IF(U94=0,"ODOO-ONLY",IF(V94=0,"BANK-ONLY","BOTH")))</f>
        <v>BOTH</v>
      </c>
      <c r="X94" s="9">
        <f>IF(W94="BOTH",ROUND(S94-T94,2),0)</f>
        <v>0</v>
      </c>
      <c r="Y94" s="9">
        <f>ROUND(SUMIFS('Bank Lines'!$E$5:$E$1640,'Bank Lines'!$G$5:$G$1640,A94,'Bank Lines'!$J$5:$J$1640,1,'Bank Lines'!$C$5:$C$1640,"&lt;="&amp;Cover!$C$15),2)</f>
        <v>641.97</v>
      </c>
      <c r="Z94" s="9">
        <f>ROUND(SUMIFS('Odoo Items'!$G$5:$G$4331,'Odoo Items'!$J$5:$J$4331,A94,'Odoo Items'!$C$5:$C$4331,"&lt;="&amp;Cover!$C$15),2)</f>
        <v>641.97</v>
      </c>
      <c r="AA94">
        <f>COUNTIFS('Bank Lines'!$G$5:$G$1640,A94,'Bank Lines'!$J$5:$J$1640,1,'Bank Lines'!$C$5:$C$1640,"&lt;="&amp;Cover!$C$15)</f>
        <v>1</v>
      </c>
      <c r="AB94">
        <f>COUNTIFS('Odoo Items'!$J$5:$J$4331,A94,'Odoo Items'!$C$5:$C$4331,"&lt;="&amp;Cover!$C$15)</f>
        <v>3</v>
      </c>
      <c r="AC94" t="str">
        <f>IF(AND(AA94=0,AB94=0),"",IF(AA94=0,"ODOO-ONLY",IF(AB94=0,"BANK-ONLY","BOTH")))</f>
        <v>BOTH</v>
      </c>
      <c r="AD94" s="9">
        <f>IF(AC94="BOTH",ROUND(Y94-Z94,2),0)</f>
        <v>0</v>
      </c>
    </row>
    <row r="95">
      <c r="A95" t="inlineStr">
        <is>
          <t>G00091</t>
        </is>
      </c>
      <c r="B95" t="inlineStr">
        <is>
          <t>OPS</t>
        </is>
      </c>
      <c r="C95" t="inlineStr">
        <is>
          <t>R03</t>
        </is>
      </c>
      <c r="D95" t="inlineStr">
        <is>
          <t>MATCH</t>
        </is>
      </c>
      <c r="E95" t="inlineStr">
        <is>
          <t>Acacia Plan Partners</t>
        </is>
      </c>
      <c r="F95" t="n">
        <v>1</v>
      </c>
      <c r="G95" t="inlineStr">
        <is>
          <t>3 invoices</t>
        </is>
      </c>
      <c r="H95">
        <f>COUNTIFS('Bank Lines'!$G$5:$G$1640,A95,'Bank Lines'!$J$5:$J$1640,1)</f>
        <v>1</v>
      </c>
      <c r="I95">
        <f>COUNTIFS('Odoo Items'!$J$5:$J$4331,A95)</f>
        <v>3</v>
      </c>
      <c r="J95" s="9">
        <f>ROUND(SUMIFS('Bank Lines'!$E$5:$E$1640,'Bank Lines'!$G$5:$G$1640,A95,'Bank Lines'!$J$5:$J$1640,1),2)</f>
        <v>1009.65</v>
      </c>
      <c r="K95" s="9">
        <f>ROUND(SUMIFS('Odoo Items'!$G$5:$G$4331,'Odoo Items'!$J$5:$J$4331,A95),2)</f>
        <v>1009.65</v>
      </c>
      <c r="L95" s="9">
        <f>ROUND(J95-K95,2)</f>
        <v>0</v>
      </c>
      <c r="M95" s="9">
        <f>ROUND(SUMIFS('Bank Lines'!$E$5:$E$1640,'Bank Lines'!$G$5:$G$1640,A95,'Bank Lines'!$J$5:$J$1640,1,'Bank Lines'!$C$5:$C$1640,"&lt;="&amp;Cover!$C$13),2)</f>
        <v>1009.65</v>
      </c>
      <c r="N95" s="9">
        <f>ROUND(SUMIFS('Odoo Items'!$G$5:$G$4331,'Odoo Items'!$J$5:$J$4331,A95,'Odoo Items'!$C$5:$C$4331,"&lt;="&amp;Cover!$C$13),2)</f>
        <v>1009.65</v>
      </c>
      <c r="O95">
        <f>COUNTIFS('Bank Lines'!$G$5:$G$1640,A95,'Bank Lines'!$J$5:$J$1640,1,'Bank Lines'!$C$5:$C$1640,"&lt;="&amp;Cover!$C$13)</f>
        <v>1</v>
      </c>
      <c r="P95">
        <f>COUNTIFS('Odoo Items'!$J$5:$J$4331,A95,'Odoo Items'!$C$5:$C$4331,"&lt;="&amp;Cover!$C$13)</f>
        <v>3</v>
      </c>
      <c r="Q95" t="str">
        <f>IF(AND(O95=0,P95=0),"",IF(O95=0,"ODOO-ONLY",IF(P95=0,"BANK-ONLY","BOTH")))</f>
        <v>BOTH</v>
      </c>
      <c r="R95" s="9">
        <f>IF(Q95="BOTH",ROUND(M95-N95,2),0)</f>
        <v>0</v>
      </c>
      <c r="S95" s="9">
        <f>ROUND(SUMIFS('Bank Lines'!$E$5:$E$1640,'Bank Lines'!$G$5:$G$1640,A95,'Bank Lines'!$J$5:$J$1640,1,'Bank Lines'!$C$5:$C$1640,"&lt;="&amp;Cover!$C$14),2)</f>
        <v>1009.65</v>
      </c>
      <c r="T95" s="9">
        <f>ROUND(SUMIFS('Odoo Items'!$G$5:$G$4331,'Odoo Items'!$J$5:$J$4331,A95,'Odoo Items'!$C$5:$C$4331,"&lt;="&amp;Cover!$C$14),2)</f>
        <v>1009.65</v>
      </c>
      <c r="U95">
        <f>COUNTIFS('Bank Lines'!$G$5:$G$1640,A95,'Bank Lines'!$J$5:$J$1640,1,'Bank Lines'!$C$5:$C$1640,"&lt;="&amp;Cover!$C$14)</f>
        <v>1</v>
      </c>
      <c r="V95">
        <f>COUNTIFS('Odoo Items'!$J$5:$J$4331,A95,'Odoo Items'!$C$5:$C$4331,"&lt;="&amp;Cover!$C$14)</f>
        <v>3</v>
      </c>
      <c r="W95" t="str">
        <f>IF(AND(U95=0,V95=0),"",IF(U95=0,"ODOO-ONLY",IF(V95=0,"BANK-ONLY","BOTH")))</f>
        <v>BOTH</v>
      </c>
      <c r="X95" s="9">
        <f>IF(W95="BOTH",ROUND(S95-T95,2),0)</f>
        <v>0</v>
      </c>
      <c r="Y95" s="9">
        <f>ROUND(SUMIFS('Bank Lines'!$E$5:$E$1640,'Bank Lines'!$G$5:$G$1640,A95,'Bank Lines'!$J$5:$J$1640,1,'Bank Lines'!$C$5:$C$1640,"&lt;="&amp;Cover!$C$15),2)</f>
        <v>1009.65</v>
      </c>
      <c r="Z95" s="9">
        <f>ROUND(SUMIFS('Odoo Items'!$G$5:$G$4331,'Odoo Items'!$J$5:$J$4331,A95,'Odoo Items'!$C$5:$C$4331,"&lt;="&amp;Cover!$C$15),2)</f>
        <v>1009.65</v>
      </c>
      <c r="AA95">
        <f>COUNTIFS('Bank Lines'!$G$5:$G$1640,A95,'Bank Lines'!$J$5:$J$1640,1,'Bank Lines'!$C$5:$C$1640,"&lt;="&amp;Cover!$C$15)</f>
        <v>1</v>
      </c>
      <c r="AB95">
        <f>COUNTIFS('Odoo Items'!$J$5:$J$4331,A95,'Odoo Items'!$C$5:$C$4331,"&lt;="&amp;Cover!$C$15)</f>
        <v>3</v>
      </c>
      <c r="AC95" t="str">
        <f>IF(AND(AA95=0,AB95=0),"",IF(AA95=0,"ODOO-ONLY",IF(AB95=0,"BANK-ONLY","BOTH")))</f>
        <v>BOTH</v>
      </c>
      <c r="AD95" s="9">
        <f>IF(AC95="BOTH",ROUND(Y95-Z95,2),0)</f>
        <v>0</v>
      </c>
    </row>
    <row r="96">
      <c r="A96" t="inlineStr">
        <is>
          <t>G00092</t>
        </is>
      </c>
      <c r="B96" t="inlineStr">
        <is>
          <t>OPS</t>
        </is>
      </c>
      <c r="C96" t="inlineStr">
        <is>
          <t>R03</t>
        </is>
      </c>
      <c r="D96" t="inlineStr">
        <is>
          <t>MATCH</t>
        </is>
      </c>
      <c r="E96" t="inlineStr">
        <is>
          <t>Mallee Plan Services</t>
        </is>
      </c>
      <c r="F96" t="n">
        <v>1</v>
      </c>
      <c r="G96" t="inlineStr">
        <is>
          <t>4 invoices</t>
        </is>
      </c>
      <c r="H96">
        <f>COUNTIFS('Bank Lines'!$G$5:$G$1640,A96,'Bank Lines'!$J$5:$J$1640,1)</f>
        <v>1</v>
      </c>
      <c r="I96">
        <f>COUNTIFS('Odoo Items'!$J$5:$J$4331,A96)</f>
        <v>4</v>
      </c>
      <c r="J96" s="9">
        <f>ROUND(SUMIFS('Bank Lines'!$E$5:$E$1640,'Bank Lines'!$G$5:$G$1640,A96,'Bank Lines'!$J$5:$J$1640,1),2)</f>
        <v>921.45</v>
      </c>
      <c r="K96" s="9">
        <f>ROUND(SUMIFS('Odoo Items'!$G$5:$G$4331,'Odoo Items'!$J$5:$J$4331,A96),2)</f>
        <v>921.45</v>
      </c>
      <c r="L96" s="9">
        <f>ROUND(J96-K96,2)</f>
        <v>0</v>
      </c>
      <c r="M96" s="9">
        <f>ROUND(SUMIFS('Bank Lines'!$E$5:$E$1640,'Bank Lines'!$G$5:$G$1640,A96,'Bank Lines'!$J$5:$J$1640,1,'Bank Lines'!$C$5:$C$1640,"&lt;="&amp;Cover!$C$13),2)</f>
        <v>921.45</v>
      </c>
      <c r="N96" s="9">
        <f>ROUND(SUMIFS('Odoo Items'!$G$5:$G$4331,'Odoo Items'!$J$5:$J$4331,A96,'Odoo Items'!$C$5:$C$4331,"&lt;="&amp;Cover!$C$13),2)</f>
        <v>921.45</v>
      </c>
      <c r="O96">
        <f>COUNTIFS('Bank Lines'!$G$5:$G$1640,A96,'Bank Lines'!$J$5:$J$1640,1,'Bank Lines'!$C$5:$C$1640,"&lt;="&amp;Cover!$C$13)</f>
        <v>1</v>
      </c>
      <c r="P96">
        <f>COUNTIFS('Odoo Items'!$J$5:$J$4331,A96,'Odoo Items'!$C$5:$C$4331,"&lt;="&amp;Cover!$C$13)</f>
        <v>4</v>
      </c>
      <c r="Q96" t="str">
        <f>IF(AND(O96=0,P96=0),"",IF(O96=0,"ODOO-ONLY",IF(P96=0,"BANK-ONLY","BOTH")))</f>
        <v>BOTH</v>
      </c>
      <c r="R96" s="9">
        <f>IF(Q96="BOTH",ROUND(M96-N96,2),0)</f>
        <v>0</v>
      </c>
      <c r="S96" s="9">
        <f>ROUND(SUMIFS('Bank Lines'!$E$5:$E$1640,'Bank Lines'!$G$5:$G$1640,A96,'Bank Lines'!$J$5:$J$1640,1,'Bank Lines'!$C$5:$C$1640,"&lt;="&amp;Cover!$C$14),2)</f>
        <v>921.45</v>
      </c>
      <c r="T96" s="9">
        <f>ROUND(SUMIFS('Odoo Items'!$G$5:$G$4331,'Odoo Items'!$J$5:$J$4331,A96,'Odoo Items'!$C$5:$C$4331,"&lt;="&amp;Cover!$C$14),2)</f>
        <v>921.45</v>
      </c>
      <c r="U96">
        <f>COUNTIFS('Bank Lines'!$G$5:$G$1640,A96,'Bank Lines'!$J$5:$J$1640,1,'Bank Lines'!$C$5:$C$1640,"&lt;="&amp;Cover!$C$14)</f>
        <v>1</v>
      </c>
      <c r="V96">
        <f>COUNTIFS('Odoo Items'!$J$5:$J$4331,A96,'Odoo Items'!$C$5:$C$4331,"&lt;="&amp;Cover!$C$14)</f>
        <v>4</v>
      </c>
      <c r="W96" t="str">
        <f>IF(AND(U96=0,V96=0),"",IF(U96=0,"ODOO-ONLY",IF(V96=0,"BANK-ONLY","BOTH")))</f>
        <v>BOTH</v>
      </c>
      <c r="X96" s="9">
        <f>IF(W96="BOTH",ROUND(S96-T96,2),0)</f>
        <v>0</v>
      </c>
      <c r="Y96" s="9">
        <f>ROUND(SUMIFS('Bank Lines'!$E$5:$E$1640,'Bank Lines'!$G$5:$G$1640,A96,'Bank Lines'!$J$5:$J$1640,1,'Bank Lines'!$C$5:$C$1640,"&lt;="&amp;Cover!$C$15),2)</f>
        <v>921.45</v>
      </c>
      <c r="Z96" s="9">
        <f>ROUND(SUMIFS('Odoo Items'!$G$5:$G$4331,'Odoo Items'!$J$5:$J$4331,A96,'Odoo Items'!$C$5:$C$4331,"&lt;="&amp;Cover!$C$15),2)</f>
        <v>921.45</v>
      </c>
      <c r="AA96">
        <f>COUNTIFS('Bank Lines'!$G$5:$G$1640,A96,'Bank Lines'!$J$5:$J$1640,1,'Bank Lines'!$C$5:$C$1640,"&lt;="&amp;Cover!$C$15)</f>
        <v>1</v>
      </c>
      <c r="AB96">
        <f>COUNTIFS('Odoo Items'!$J$5:$J$4331,A96,'Odoo Items'!$C$5:$C$4331,"&lt;="&amp;Cover!$C$15)</f>
        <v>4</v>
      </c>
      <c r="AC96" t="str">
        <f>IF(AND(AA96=0,AB96=0),"",IF(AA96=0,"ODOO-ONLY",IF(AB96=0,"BANK-ONLY","BOTH")))</f>
        <v>BOTH</v>
      </c>
      <c r="AD96" s="9">
        <f>IF(AC96="BOTH",ROUND(Y96-Z96,2),0)</f>
        <v>0</v>
      </c>
    </row>
    <row r="97">
      <c r="A97" t="inlineStr">
        <is>
          <t>G00093</t>
        </is>
      </c>
      <c r="B97" t="inlineStr">
        <is>
          <t>OPS</t>
        </is>
      </c>
      <c r="C97" t="inlineStr">
        <is>
          <t>R03</t>
        </is>
      </c>
      <c r="D97" t="inlineStr">
        <is>
          <t>SHORT</t>
        </is>
      </c>
      <c r="E97" t="inlineStr">
        <is>
          <t>Bluegum Plan Management</t>
        </is>
      </c>
      <c r="F97" t="n">
        <v>1</v>
      </c>
      <c r="G97" t="inlineStr">
        <is>
          <t>Registered at invoice value; remittance shows short payment on INV/2026/01401</t>
        </is>
      </c>
      <c r="H97">
        <f>COUNTIFS('Bank Lines'!$G$5:$G$1640,A97,'Bank Lines'!$J$5:$J$1640,1)</f>
        <v>1</v>
      </c>
      <c r="I97">
        <f>COUNTIFS('Odoo Items'!$J$5:$J$4331,A97)</f>
        <v>8</v>
      </c>
      <c r="J97" s="9">
        <f>ROUND(SUMIFS('Bank Lines'!$E$5:$E$1640,'Bank Lines'!$G$5:$G$1640,A97,'Bank Lines'!$J$5:$J$1640,1),2)</f>
        <v>1853.51</v>
      </c>
      <c r="K97" s="9">
        <f>ROUND(SUMIFS('Odoo Items'!$G$5:$G$4331,'Odoo Items'!$J$5:$J$4331,A97),2)</f>
        <v>1882.61</v>
      </c>
      <c r="L97" s="9">
        <f>ROUND(J97-K97,2)</f>
        <v>-29.1</v>
      </c>
      <c r="M97" s="9">
        <f>ROUND(SUMIFS('Bank Lines'!$E$5:$E$1640,'Bank Lines'!$G$5:$G$1640,A97,'Bank Lines'!$J$5:$J$1640,1,'Bank Lines'!$C$5:$C$1640,"&lt;="&amp;Cover!$C$13),2)</f>
        <v>1853.51</v>
      </c>
      <c r="N97" s="9">
        <f>ROUND(SUMIFS('Odoo Items'!$G$5:$G$4331,'Odoo Items'!$J$5:$J$4331,A97,'Odoo Items'!$C$5:$C$4331,"&lt;="&amp;Cover!$C$13),2)</f>
        <v>1882.61</v>
      </c>
      <c r="O97">
        <f>COUNTIFS('Bank Lines'!$G$5:$G$1640,A97,'Bank Lines'!$J$5:$J$1640,1,'Bank Lines'!$C$5:$C$1640,"&lt;="&amp;Cover!$C$13)</f>
        <v>1</v>
      </c>
      <c r="P97">
        <f>COUNTIFS('Odoo Items'!$J$5:$J$4331,A97,'Odoo Items'!$C$5:$C$4331,"&lt;="&amp;Cover!$C$13)</f>
        <v>8</v>
      </c>
      <c r="Q97" t="str">
        <f>IF(AND(O97=0,P97=0),"",IF(O97=0,"ODOO-ONLY",IF(P97=0,"BANK-ONLY","BOTH")))</f>
        <v>BOTH</v>
      </c>
      <c r="R97" s="9">
        <f>IF(Q97="BOTH",ROUND(M97-N97,2),0)</f>
        <v>-29.1</v>
      </c>
      <c r="S97" s="9">
        <f>ROUND(SUMIFS('Bank Lines'!$E$5:$E$1640,'Bank Lines'!$G$5:$G$1640,A97,'Bank Lines'!$J$5:$J$1640,1,'Bank Lines'!$C$5:$C$1640,"&lt;="&amp;Cover!$C$14),2)</f>
        <v>1853.51</v>
      </c>
      <c r="T97" s="9">
        <f>ROUND(SUMIFS('Odoo Items'!$G$5:$G$4331,'Odoo Items'!$J$5:$J$4331,A97,'Odoo Items'!$C$5:$C$4331,"&lt;="&amp;Cover!$C$14),2)</f>
        <v>1882.61</v>
      </c>
      <c r="U97">
        <f>COUNTIFS('Bank Lines'!$G$5:$G$1640,A97,'Bank Lines'!$J$5:$J$1640,1,'Bank Lines'!$C$5:$C$1640,"&lt;="&amp;Cover!$C$14)</f>
        <v>1</v>
      </c>
      <c r="V97">
        <f>COUNTIFS('Odoo Items'!$J$5:$J$4331,A97,'Odoo Items'!$C$5:$C$4331,"&lt;="&amp;Cover!$C$14)</f>
        <v>8</v>
      </c>
      <c r="W97" t="str">
        <f>IF(AND(U97=0,V97=0),"",IF(U97=0,"ODOO-ONLY",IF(V97=0,"BANK-ONLY","BOTH")))</f>
        <v>BOTH</v>
      </c>
      <c r="X97" s="9">
        <f>IF(W97="BOTH",ROUND(S97-T97,2),0)</f>
        <v>-29.1</v>
      </c>
      <c r="Y97" s="9">
        <f>ROUND(SUMIFS('Bank Lines'!$E$5:$E$1640,'Bank Lines'!$G$5:$G$1640,A97,'Bank Lines'!$J$5:$J$1640,1,'Bank Lines'!$C$5:$C$1640,"&lt;="&amp;Cover!$C$15),2)</f>
        <v>1853.51</v>
      </c>
      <c r="Z97" s="9">
        <f>ROUND(SUMIFS('Odoo Items'!$G$5:$G$4331,'Odoo Items'!$J$5:$J$4331,A97,'Odoo Items'!$C$5:$C$4331,"&lt;="&amp;Cover!$C$15),2)</f>
        <v>1882.61</v>
      </c>
      <c r="AA97">
        <f>COUNTIFS('Bank Lines'!$G$5:$G$1640,A97,'Bank Lines'!$J$5:$J$1640,1,'Bank Lines'!$C$5:$C$1640,"&lt;="&amp;Cover!$C$15)</f>
        <v>1</v>
      </c>
      <c r="AB97">
        <f>COUNTIFS('Odoo Items'!$J$5:$J$4331,A97,'Odoo Items'!$C$5:$C$4331,"&lt;="&amp;Cover!$C$15)</f>
        <v>8</v>
      </c>
      <c r="AC97" t="str">
        <f>IF(AND(AA97=0,AB97=0),"",IF(AA97=0,"ODOO-ONLY",IF(AB97=0,"BANK-ONLY","BOTH")))</f>
        <v>BOTH</v>
      </c>
      <c r="AD97" s="9">
        <f>IF(AC97="BOTH",ROUND(Y97-Z97,2),0)</f>
        <v>-29.1</v>
      </c>
    </row>
    <row r="98">
      <c r="A98" t="inlineStr">
        <is>
          <t>G00094</t>
        </is>
      </c>
      <c r="B98" t="inlineStr">
        <is>
          <t>OPS</t>
        </is>
      </c>
      <c r="C98" t="inlineStr">
        <is>
          <t>R03</t>
        </is>
      </c>
      <c r="D98" t="inlineStr">
        <is>
          <t>MATCH</t>
        </is>
      </c>
      <c r="E98" t="inlineStr">
        <is>
          <t>Riverbend Plan Partners</t>
        </is>
      </c>
      <c r="F98" t="n">
        <v>1</v>
      </c>
      <c r="G98" t="inlineStr">
        <is>
          <t>3 invoices</t>
        </is>
      </c>
      <c r="H98">
        <f>COUNTIFS('Bank Lines'!$G$5:$G$1640,A98,'Bank Lines'!$J$5:$J$1640,1)</f>
        <v>1</v>
      </c>
      <c r="I98">
        <f>COUNTIFS('Odoo Items'!$J$5:$J$4331,A98)</f>
        <v>3</v>
      </c>
      <c r="J98" s="9">
        <f>ROUND(SUMIFS('Bank Lines'!$E$5:$E$1640,'Bank Lines'!$G$5:$G$1640,A98,'Bank Lines'!$J$5:$J$1640,1),2)</f>
        <v>581.97</v>
      </c>
      <c r="K98" s="9">
        <f>ROUND(SUMIFS('Odoo Items'!$G$5:$G$4331,'Odoo Items'!$J$5:$J$4331,A98),2)</f>
        <v>581.97</v>
      </c>
      <c r="L98" s="9">
        <f>ROUND(J98-K98,2)</f>
        <v>0</v>
      </c>
      <c r="M98" s="9">
        <f>ROUND(SUMIFS('Bank Lines'!$E$5:$E$1640,'Bank Lines'!$G$5:$G$1640,A98,'Bank Lines'!$J$5:$J$1640,1,'Bank Lines'!$C$5:$C$1640,"&lt;="&amp;Cover!$C$13),2)</f>
        <v>581.97</v>
      </c>
      <c r="N98" s="9">
        <f>ROUND(SUMIFS('Odoo Items'!$G$5:$G$4331,'Odoo Items'!$J$5:$J$4331,A98,'Odoo Items'!$C$5:$C$4331,"&lt;="&amp;Cover!$C$13),2)</f>
        <v>581.97</v>
      </c>
      <c r="O98">
        <f>COUNTIFS('Bank Lines'!$G$5:$G$1640,A98,'Bank Lines'!$J$5:$J$1640,1,'Bank Lines'!$C$5:$C$1640,"&lt;="&amp;Cover!$C$13)</f>
        <v>1</v>
      </c>
      <c r="P98">
        <f>COUNTIFS('Odoo Items'!$J$5:$J$4331,A98,'Odoo Items'!$C$5:$C$4331,"&lt;="&amp;Cover!$C$13)</f>
        <v>3</v>
      </c>
      <c r="Q98" t="str">
        <f>IF(AND(O98=0,P98=0),"",IF(O98=0,"ODOO-ONLY",IF(P98=0,"BANK-ONLY","BOTH")))</f>
        <v>BOTH</v>
      </c>
      <c r="R98" s="9">
        <f>IF(Q98="BOTH",ROUND(M98-N98,2),0)</f>
        <v>0</v>
      </c>
      <c r="S98" s="9">
        <f>ROUND(SUMIFS('Bank Lines'!$E$5:$E$1640,'Bank Lines'!$G$5:$G$1640,A98,'Bank Lines'!$J$5:$J$1640,1,'Bank Lines'!$C$5:$C$1640,"&lt;="&amp;Cover!$C$14),2)</f>
        <v>581.97</v>
      </c>
      <c r="T98" s="9">
        <f>ROUND(SUMIFS('Odoo Items'!$G$5:$G$4331,'Odoo Items'!$J$5:$J$4331,A98,'Odoo Items'!$C$5:$C$4331,"&lt;="&amp;Cover!$C$14),2)</f>
        <v>581.97</v>
      </c>
      <c r="U98">
        <f>COUNTIFS('Bank Lines'!$G$5:$G$1640,A98,'Bank Lines'!$J$5:$J$1640,1,'Bank Lines'!$C$5:$C$1640,"&lt;="&amp;Cover!$C$14)</f>
        <v>1</v>
      </c>
      <c r="V98">
        <f>COUNTIFS('Odoo Items'!$J$5:$J$4331,A98,'Odoo Items'!$C$5:$C$4331,"&lt;="&amp;Cover!$C$14)</f>
        <v>3</v>
      </c>
      <c r="W98" t="str">
        <f>IF(AND(U98=0,V98=0),"",IF(U98=0,"ODOO-ONLY",IF(V98=0,"BANK-ONLY","BOTH")))</f>
        <v>BOTH</v>
      </c>
      <c r="X98" s="9">
        <f>IF(W98="BOTH",ROUND(S98-T98,2),0)</f>
        <v>0</v>
      </c>
      <c r="Y98" s="9">
        <f>ROUND(SUMIFS('Bank Lines'!$E$5:$E$1640,'Bank Lines'!$G$5:$G$1640,A98,'Bank Lines'!$J$5:$J$1640,1,'Bank Lines'!$C$5:$C$1640,"&lt;="&amp;Cover!$C$15),2)</f>
        <v>581.97</v>
      </c>
      <c r="Z98" s="9">
        <f>ROUND(SUMIFS('Odoo Items'!$G$5:$G$4331,'Odoo Items'!$J$5:$J$4331,A98,'Odoo Items'!$C$5:$C$4331,"&lt;="&amp;Cover!$C$15),2)</f>
        <v>581.97</v>
      </c>
      <c r="AA98">
        <f>COUNTIFS('Bank Lines'!$G$5:$G$1640,A98,'Bank Lines'!$J$5:$J$1640,1,'Bank Lines'!$C$5:$C$1640,"&lt;="&amp;Cover!$C$15)</f>
        <v>1</v>
      </c>
      <c r="AB98">
        <f>COUNTIFS('Odoo Items'!$J$5:$J$4331,A98,'Odoo Items'!$C$5:$C$4331,"&lt;="&amp;Cover!$C$15)</f>
        <v>3</v>
      </c>
      <c r="AC98" t="str">
        <f>IF(AND(AA98=0,AB98=0),"",IF(AA98=0,"ODOO-ONLY",IF(AB98=0,"BANK-ONLY","BOTH")))</f>
        <v>BOTH</v>
      </c>
      <c r="AD98" s="9">
        <f>IF(AC98="BOTH",ROUND(Y98-Z98,2),0)</f>
        <v>0</v>
      </c>
    </row>
    <row r="99">
      <c r="A99" t="inlineStr">
        <is>
          <t>G00095</t>
        </is>
      </c>
      <c r="B99" t="inlineStr">
        <is>
          <t>OPS</t>
        </is>
      </c>
      <c r="C99" t="inlineStr">
        <is>
          <t>R03</t>
        </is>
      </c>
      <c r="D99" t="inlineStr">
        <is>
          <t>REG</t>
        </is>
      </c>
      <c r="E99" t="inlineStr">
        <is>
          <t>Wattle Plan Services</t>
        </is>
      </c>
      <c r="F99" t="n">
        <v>1</v>
      </c>
      <c r="G99" t="inlineStr">
        <is>
          <t>Receipt not registered in Odoo; remittance RA44816 lists 3 invoices</t>
        </is>
      </c>
      <c r="H99">
        <f>COUNTIFS('Bank Lines'!$G$5:$G$1640,A99,'Bank Lines'!$J$5:$J$1640,1)</f>
        <v>1</v>
      </c>
      <c r="I99">
        <f>COUNTIFS('Odoo Items'!$J$5:$J$4331,A99)</f>
        <v>0</v>
      </c>
      <c r="J99" s="9">
        <f>ROUND(SUMIFS('Bank Lines'!$E$5:$E$1640,'Bank Lines'!$G$5:$G$1640,A99,'Bank Lines'!$J$5:$J$1640,1),2)</f>
        <v>494.67</v>
      </c>
      <c r="K99" s="9">
        <f>ROUND(SUMIFS('Odoo Items'!$G$5:$G$4331,'Odoo Items'!$J$5:$J$4331,A99),2)</f>
        <v>0</v>
      </c>
      <c r="L99" s="9">
        <f>ROUND(J99-K99,2)</f>
        <v>494.67</v>
      </c>
      <c r="M99" s="9">
        <f>ROUND(SUMIFS('Bank Lines'!$E$5:$E$1640,'Bank Lines'!$G$5:$G$1640,A99,'Bank Lines'!$J$5:$J$1640,1,'Bank Lines'!$C$5:$C$1640,"&lt;="&amp;Cover!$C$13),2)</f>
        <v>494.67</v>
      </c>
      <c r="N99" s="9">
        <f>ROUND(SUMIFS('Odoo Items'!$G$5:$G$4331,'Odoo Items'!$J$5:$J$4331,A99,'Odoo Items'!$C$5:$C$4331,"&lt;="&amp;Cover!$C$13),2)</f>
        <v>0</v>
      </c>
      <c r="O99">
        <f>COUNTIFS('Bank Lines'!$G$5:$G$1640,A99,'Bank Lines'!$J$5:$J$1640,1,'Bank Lines'!$C$5:$C$1640,"&lt;="&amp;Cover!$C$13)</f>
        <v>1</v>
      </c>
      <c r="P99">
        <f>COUNTIFS('Odoo Items'!$J$5:$J$4331,A99,'Odoo Items'!$C$5:$C$4331,"&lt;="&amp;Cover!$C$13)</f>
        <v>0</v>
      </c>
      <c r="Q99" t="str">
        <f>IF(AND(O99=0,P99=0),"",IF(O99=0,"ODOO-ONLY",IF(P99=0,"BANK-ONLY","BOTH")))</f>
        <v>BANK-ONLY</v>
      </c>
      <c r="R99" s="9">
        <f>IF(Q99="BOTH",ROUND(M99-N99,2),0)</f>
        <v>0</v>
      </c>
      <c r="S99" s="9">
        <f>ROUND(SUMIFS('Bank Lines'!$E$5:$E$1640,'Bank Lines'!$G$5:$G$1640,A99,'Bank Lines'!$J$5:$J$1640,1,'Bank Lines'!$C$5:$C$1640,"&lt;="&amp;Cover!$C$14),2)</f>
        <v>494.67</v>
      </c>
      <c r="T99" s="9">
        <f>ROUND(SUMIFS('Odoo Items'!$G$5:$G$4331,'Odoo Items'!$J$5:$J$4331,A99,'Odoo Items'!$C$5:$C$4331,"&lt;="&amp;Cover!$C$14),2)</f>
        <v>0</v>
      </c>
      <c r="U99">
        <f>COUNTIFS('Bank Lines'!$G$5:$G$1640,A99,'Bank Lines'!$J$5:$J$1640,1,'Bank Lines'!$C$5:$C$1640,"&lt;="&amp;Cover!$C$14)</f>
        <v>1</v>
      </c>
      <c r="V99">
        <f>COUNTIFS('Odoo Items'!$J$5:$J$4331,A99,'Odoo Items'!$C$5:$C$4331,"&lt;="&amp;Cover!$C$14)</f>
        <v>0</v>
      </c>
      <c r="W99" t="str">
        <f>IF(AND(U99=0,V99=0),"",IF(U99=0,"ODOO-ONLY",IF(V99=0,"BANK-ONLY","BOTH")))</f>
        <v>BANK-ONLY</v>
      </c>
      <c r="X99" s="9">
        <f>IF(W99="BOTH",ROUND(S99-T99,2),0)</f>
        <v>0</v>
      </c>
      <c r="Y99" s="9">
        <f>ROUND(SUMIFS('Bank Lines'!$E$5:$E$1640,'Bank Lines'!$G$5:$G$1640,A99,'Bank Lines'!$J$5:$J$1640,1,'Bank Lines'!$C$5:$C$1640,"&lt;="&amp;Cover!$C$15),2)</f>
        <v>494.67</v>
      </c>
      <c r="Z99" s="9">
        <f>ROUND(SUMIFS('Odoo Items'!$G$5:$G$4331,'Odoo Items'!$J$5:$J$4331,A99,'Odoo Items'!$C$5:$C$4331,"&lt;="&amp;Cover!$C$15),2)</f>
        <v>0</v>
      </c>
      <c r="AA99">
        <f>COUNTIFS('Bank Lines'!$G$5:$G$1640,A99,'Bank Lines'!$J$5:$J$1640,1,'Bank Lines'!$C$5:$C$1640,"&lt;="&amp;Cover!$C$15)</f>
        <v>1</v>
      </c>
      <c r="AB99">
        <f>COUNTIFS('Odoo Items'!$J$5:$J$4331,A99,'Odoo Items'!$C$5:$C$4331,"&lt;="&amp;Cover!$C$15)</f>
        <v>0</v>
      </c>
      <c r="AC99" t="str">
        <f>IF(AND(AA99=0,AB99=0),"",IF(AA99=0,"ODOO-ONLY",IF(AB99=0,"BANK-ONLY","BOTH")))</f>
        <v>BANK-ONLY</v>
      </c>
      <c r="AD99" s="9">
        <f>IF(AC99="BOTH",ROUND(Y99-Z99,2),0)</f>
        <v>0</v>
      </c>
    </row>
    <row r="100">
      <c r="A100" t="inlineStr">
        <is>
          <t>G00096</t>
        </is>
      </c>
      <c r="B100" t="inlineStr">
        <is>
          <t>OPS</t>
        </is>
      </c>
      <c r="C100" t="inlineStr">
        <is>
          <t>R03</t>
        </is>
      </c>
      <c r="D100" t="inlineStr">
        <is>
          <t>MATCH</t>
        </is>
      </c>
      <c r="E100" t="inlineStr">
        <is>
          <t>Saltbush Plan Managers</t>
        </is>
      </c>
      <c r="F100" t="n">
        <v>1</v>
      </c>
      <c r="G100" t="inlineStr">
        <is>
          <t>2 invoices</t>
        </is>
      </c>
      <c r="H100">
        <f>COUNTIFS('Bank Lines'!$G$5:$G$1640,A100,'Bank Lines'!$J$5:$J$1640,1)</f>
        <v>1</v>
      </c>
      <c r="I100">
        <f>COUNTIFS('Odoo Items'!$J$5:$J$4331,A100)</f>
        <v>2</v>
      </c>
      <c r="J100" s="9">
        <f>ROUND(SUMIFS('Bank Lines'!$E$5:$E$1640,'Bank Lines'!$G$5:$G$1640,A100,'Bank Lines'!$J$5:$J$1640,1),2)</f>
        <v>369.48</v>
      </c>
      <c r="K100" s="9">
        <f>ROUND(SUMIFS('Odoo Items'!$G$5:$G$4331,'Odoo Items'!$J$5:$J$4331,A100),2)</f>
        <v>369.48</v>
      </c>
      <c r="L100" s="9">
        <f>ROUND(J100-K100,2)</f>
        <v>0</v>
      </c>
      <c r="M100" s="9">
        <f>ROUND(SUMIFS('Bank Lines'!$E$5:$E$1640,'Bank Lines'!$G$5:$G$1640,A100,'Bank Lines'!$J$5:$J$1640,1,'Bank Lines'!$C$5:$C$1640,"&lt;="&amp;Cover!$C$13),2)</f>
        <v>369.48</v>
      </c>
      <c r="N100" s="9">
        <f>ROUND(SUMIFS('Odoo Items'!$G$5:$G$4331,'Odoo Items'!$J$5:$J$4331,A100,'Odoo Items'!$C$5:$C$4331,"&lt;="&amp;Cover!$C$13),2)</f>
        <v>369.48</v>
      </c>
      <c r="O100">
        <f>COUNTIFS('Bank Lines'!$G$5:$G$1640,A100,'Bank Lines'!$J$5:$J$1640,1,'Bank Lines'!$C$5:$C$1640,"&lt;="&amp;Cover!$C$13)</f>
        <v>1</v>
      </c>
      <c r="P100">
        <f>COUNTIFS('Odoo Items'!$J$5:$J$4331,A100,'Odoo Items'!$C$5:$C$4331,"&lt;="&amp;Cover!$C$13)</f>
        <v>2</v>
      </c>
      <c r="Q100" t="str">
        <f>IF(AND(O100=0,P100=0),"",IF(O100=0,"ODOO-ONLY",IF(P100=0,"BANK-ONLY","BOTH")))</f>
        <v>BOTH</v>
      </c>
      <c r="R100" s="9">
        <f>IF(Q100="BOTH",ROUND(M100-N100,2),0)</f>
        <v>0</v>
      </c>
      <c r="S100" s="9">
        <f>ROUND(SUMIFS('Bank Lines'!$E$5:$E$1640,'Bank Lines'!$G$5:$G$1640,A100,'Bank Lines'!$J$5:$J$1640,1,'Bank Lines'!$C$5:$C$1640,"&lt;="&amp;Cover!$C$14),2)</f>
        <v>369.48</v>
      </c>
      <c r="T100" s="9">
        <f>ROUND(SUMIFS('Odoo Items'!$G$5:$G$4331,'Odoo Items'!$J$5:$J$4331,A100,'Odoo Items'!$C$5:$C$4331,"&lt;="&amp;Cover!$C$14),2)</f>
        <v>369.48</v>
      </c>
      <c r="U100">
        <f>COUNTIFS('Bank Lines'!$G$5:$G$1640,A100,'Bank Lines'!$J$5:$J$1640,1,'Bank Lines'!$C$5:$C$1640,"&lt;="&amp;Cover!$C$14)</f>
        <v>1</v>
      </c>
      <c r="V100">
        <f>COUNTIFS('Odoo Items'!$J$5:$J$4331,A100,'Odoo Items'!$C$5:$C$4331,"&lt;="&amp;Cover!$C$14)</f>
        <v>2</v>
      </c>
      <c r="W100" t="str">
        <f>IF(AND(U100=0,V100=0),"",IF(U100=0,"ODOO-ONLY",IF(V100=0,"BANK-ONLY","BOTH")))</f>
        <v>BOTH</v>
      </c>
      <c r="X100" s="9">
        <f>IF(W100="BOTH",ROUND(S100-T100,2),0)</f>
        <v>0</v>
      </c>
      <c r="Y100" s="9">
        <f>ROUND(SUMIFS('Bank Lines'!$E$5:$E$1640,'Bank Lines'!$G$5:$G$1640,A100,'Bank Lines'!$J$5:$J$1640,1,'Bank Lines'!$C$5:$C$1640,"&lt;="&amp;Cover!$C$15),2)</f>
        <v>369.48</v>
      </c>
      <c r="Z100" s="9">
        <f>ROUND(SUMIFS('Odoo Items'!$G$5:$G$4331,'Odoo Items'!$J$5:$J$4331,A100,'Odoo Items'!$C$5:$C$4331,"&lt;="&amp;Cover!$C$15),2)</f>
        <v>369.48</v>
      </c>
      <c r="AA100">
        <f>COUNTIFS('Bank Lines'!$G$5:$G$1640,A100,'Bank Lines'!$J$5:$J$1640,1,'Bank Lines'!$C$5:$C$1640,"&lt;="&amp;Cover!$C$15)</f>
        <v>1</v>
      </c>
      <c r="AB100">
        <f>COUNTIFS('Odoo Items'!$J$5:$J$4331,A100,'Odoo Items'!$C$5:$C$4331,"&lt;="&amp;Cover!$C$15)</f>
        <v>2</v>
      </c>
      <c r="AC100" t="str">
        <f>IF(AND(AA100=0,AB100=0),"",IF(AA100=0,"ODOO-ONLY",IF(AB100=0,"BANK-ONLY","BOTH")))</f>
        <v>BOTH</v>
      </c>
      <c r="AD100" s="9">
        <f>IF(AC100="BOTH",ROUND(Y100-Z100,2),0)</f>
        <v>0</v>
      </c>
    </row>
    <row r="101">
      <c r="A101" t="inlineStr">
        <is>
          <t>G00097</t>
        </is>
      </c>
      <c r="B101" t="inlineStr">
        <is>
          <t>OPS</t>
        </is>
      </c>
      <c r="C101" t="inlineStr">
        <is>
          <t>R03</t>
        </is>
      </c>
      <c r="D101" t="inlineStr">
        <is>
          <t>MATCH</t>
        </is>
      </c>
      <c r="E101" t="inlineStr">
        <is>
          <t>Redgum Plan Admin</t>
        </is>
      </c>
      <c r="F101" t="n">
        <v>1</v>
      </c>
      <c r="G101" t="inlineStr">
        <is>
          <t>3 invoices</t>
        </is>
      </c>
      <c r="H101">
        <f>COUNTIFS('Bank Lines'!$G$5:$G$1640,A101,'Bank Lines'!$J$5:$J$1640,1)</f>
        <v>1</v>
      </c>
      <c r="I101">
        <f>COUNTIFS('Odoo Items'!$J$5:$J$4331,A101)</f>
        <v>3</v>
      </c>
      <c r="J101" s="9">
        <f>ROUND(SUMIFS('Bank Lines'!$E$5:$E$1640,'Bank Lines'!$G$5:$G$1640,A101,'Bank Lines'!$J$5:$J$1640,1),2)</f>
        <v>436.47</v>
      </c>
      <c r="K101" s="9">
        <f>ROUND(SUMIFS('Odoo Items'!$G$5:$G$4331,'Odoo Items'!$J$5:$J$4331,A101),2)</f>
        <v>436.47</v>
      </c>
      <c r="L101" s="9">
        <f>ROUND(J101-K101,2)</f>
        <v>0</v>
      </c>
      <c r="M101" s="9">
        <f>ROUND(SUMIFS('Bank Lines'!$E$5:$E$1640,'Bank Lines'!$G$5:$G$1640,A101,'Bank Lines'!$J$5:$J$1640,1,'Bank Lines'!$C$5:$C$1640,"&lt;="&amp;Cover!$C$13),2)</f>
        <v>436.47</v>
      </c>
      <c r="N101" s="9">
        <f>ROUND(SUMIFS('Odoo Items'!$G$5:$G$4331,'Odoo Items'!$J$5:$J$4331,A101,'Odoo Items'!$C$5:$C$4331,"&lt;="&amp;Cover!$C$13),2)</f>
        <v>436.47</v>
      </c>
      <c r="O101">
        <f>COUNTIFS('Bank Lines'!$G$5:$G$1640,A101,'Bank Lines'!$J$5:$J$1640,1,'Bank Lines'!$C$5:$C$1640,"&lt;="&amp;Cover!$C$13)</f>
        <v>1</v>
      </c>
      <c r="P101">
        <f>COUNTIFS('Odoo Items'!$J$5:$J$4331,A101,'Odoo Items'!$C$5:$C$4331,"&lt;="&amp;Cover!$C$13)</f>
        <v>3</v>
      </c>
      <c r="Q101" t="str">
        <f>IF(AND(O101=0,P101=0),"",IF(O101=0,"ODOO-ONLY",IF(P101=0,"BANK-ONLY","BOTH")))</f>
        <v>BOTH</v>
      </c>
      <c r="R101" s="9">
        <f>IF(Q101="BOTH",ROUND(M101-N101,2),0)</f>
        <v>0</v>
      </c>
      <c r="S101" s="9">
        <f>ROUND(SUMIFS('Bank Lines'!$E$5:$E$1640,'Bank Lines'!$G$5:$G$1640,A101,'Bank Lines'!$J$5:$J$1640,1,'Bank Lines'!$C$5:$C$1640,"&lt;="&amp;Cover!$C$14),2)</f>
        <v>436.47</v>
      </c>
      <c r="T101" s="9">
        <f>ROUND(SUMIFS('Odoo Items'!$G$5:$G$4331,'Odoo Items'!$J$5:$J$4331,A101,'Odoo Items'!$C$5:$C$4331,"&lt;="&amp;Cover!$C$14),2)</f>
        <v>436.47</v>
      </c>
      <c r="U101">
        <f>COUNTIFS('Bank Lines'!$G$5:$G$1640,A101,'Bank Lines'!$J$5:$J$1640,1,'Bank Lines'!$C$5:$C$1640,"&lt;="&amp;Cover!$C$14)</f>
        <v>1</v>
      </c>
      <c r="V101">
        <f>COUNTIFS('Odoo Items'!$J$5:$J$4331,A101,'Odoo Items'!$C$5:$C$4331,"&lt;="&amp;Cover!$C$14)</f>
        <v>3</v>
      </c>
      <c r="W101" t="str">
        <f>IF(AND(U101=0,V101=0),"",IF(U101=0,"ODOO-ONLY",IF(V101=0,"BANK-ONLY","BOTH")))</f>
        <v>BOTH</v>
      </c>
      <c r="X101" s="9">
        <f>IF(W101="BOTH",ROUND(S101-T101,2),0)</f>
        <v>0</v>
      </c>
      <c r="Y101" s="9">
        <f>ROUND(SUMIFS('Bank Lines'!$E$5:$E$1640,'Bank Lines'!$G$5:$G$1640,A101,'Bank Lines'!$J$5:$J$1640,1,'Bank Lines'!$C$5:$C$1640,"&lt;="&amp;Cover!$C$15),2)</f>
        <v>436.47</v>
      </c>
      <c r="Z101" s="9">
        <f>ROUND(SUMIFS('Odoo Items'!$G$5:$G$4331,'Odoo Items'!$J$5:$J$4331,A101,'Odoo Items'!$C$5:$C$4331,"&lt;="&amp;Cover!$C$15),2)</f>
        <v>436.47</v>
      </c>
      <c r="AA101">
        <f>COUNTIFS('Bank Lines'!$G$5:$G$1640,A101,'Bank Lines'!$J$5:$J$1640,1,'Bank Lines'!$C$5:$C$1640,"&lt;="&amp;Cover!$C$15)</f>
        <v>1</v>
      </c>
      <c r="AB101">
        <f>COUNTIFS('Odoo Items'!$J$5:$J$4331,A101,'Odoo Items'!$C$5:$C$4331,"&lt;="&amp;Cover!$C$15)</f>
        <v>3</v>
      </c>
      <c r="AC101" t="str">
        <f>IF(AND(AA101=0,AB101=0),"",IF(AA101=0,"ODOO-ONLY",IF(AB101=0,"BANK-ONLY","BOTH")))</f>
        <v>BOTH</v>
      </c>
      <c r="AD101" s="9">
        <f>IF(AC101="BOTH",ROUND(Y101-Z101,2),0)</f>
        <v>0</v>
      </c>
    </row>
    <row r="102">
      <c r="A102" t="inlineStr">
        <is>
          <t>G00098</t>
        </is>
      </c>
      <c r="B102" t="inlineStr">
        <is>
          <t>OPS</t>
        </is>
      </c>
      <c r="C102" t="inlineStr">
        <is>
          <t>R03</t>
        </is>
      </c>
      <c r="D102" t="inlineStr">
        <is>
          <t>MATCH</t>
        </is>
      </c>
      <c r="E102" t="inlineStr">
        <is>
          <t>Tallowwood Plans</t>
        </is>
      </c>
      <c r="F102" t="n">
        <v>1</v>
      </c>
      <c r="G102" t="inlineStr">
        <is>
          <t>12 invoices</t>
        </is>
      </c>
      <c r="H102">
        <f>COUNTIFS('Bank Lines'!$G$5:$G$1640,A102,'Bank Lines'!$J$5:$J$1640,1)</f>
        <v>1</v>
      </c>
      <c r="I102">
        <f>COUNTIFS('Odoo Items'!$J$5:$J$4331,A102)</f>
        <v>12</v>
      </c>
      <c r="J102" s="9">
        <f>ROUND(SUMIFS('Bank Lines'!$E$5:$E$1640,'Bank Lines'!$G$5:$G$1640,A102,'Bank Lines'!$J$5:$J$1640,1),2)</f>
        <v>3194.73</v>
      </c>
      <c r="K102" s="9">
        <f>ROUND(SUMIFS('Odoo Items'!$G$5:$G$4331,'Odoo Items'!$J$5:$J$4331,A102),2)</f>
        <v>3194.73</v>
      </c>
      <c r="L102" s="9">
        <f>ROUND(J102-K102,2)</f>
        <v>0</v>
      </c>
      <c r="M102" s="9">
        <f>ROUND(SUMIFS('Bank Lines'!$E$5:$E$1640,'Bank Lines'!$G$5:$G$1640,A102,'Bank Lines'!$J$5:$J$1640,1,'Bank Lines'!$C$5:$C$1640,"&lt;="&amp;Cover!$C$13),2)</f>
        <v>3194.73</v>
      </c>
      <c r="N102" s="9">
        <f>ROUND(SUMIFS('Odoo Items'!$G$5:$G$4331,'Odoo Items'!$J$5:$J$4331,A102,'Odoo Items'!$C$5:$C$4331,"&lt;="&amp;Cover!$C$13),2)</f>
        <v>3194.73</v>
      </c>
      <c r="O102">
        <f>COUNTIFS('Bank Lines'!$G$5:$G$1640,A102,'Bank Lines'!$J$5:$J$1640,1,'Bank Lines'!$C$5:$C$1640,"&lt;="&amp;Cover!$C$13)</f>
        <v>1</v>
      </c>
      <c r="P102">
        <f>COUNTIFS('Odoo Items'!$J$5:$J$4331,A102,'Odoo Items'!$C$5:$C$4331,"&lt;="&amp;Cover!$C$13)</f>
        <v>12</v>
      </c>
      <c r="Q102" t="str">
        <f>IF(AND(O102=0,P102=0),"",IF(O102=0,"ODOO-ONLY",IF(P102=0,"BANK-ONLY","BOTH")))</f>
        <v>BOTH</v>
      </c>
      <c r="R102" s="9">
        <f>IF(Q102="BOTH",ROUND(M102-N102,2),0)</f>
        <v>0</v>
      </c>
      <c r="S102" s="9">
        <f>ROUND(SUMIFS('Bank Lines'!$E$5:$E$1640,'Bank Lines'!$G$5:$G$1640,A102,'Bank Lines'!$J$5:$J$1640,1,'Bank Lines'!$C$5:$C$1640,"&lt;="&amp;Cover!$C$14),2)</f>
        <v>3194.73</v>
      </c>
      <c r="T102" s="9">
        <f>ROUND(SUMIFS('Odoo Items'!$G$5:$G$4331,'Odoo Items'!$J$5:$J$4331,A102,'Odoo Items'!$C$5:$C$4331,"&lt;="&amp;Cover!$C$14),2)</f>
        <v>3194.73</v>
      </c>
      <c r="U102">
        <f>COUNTIFS('Bank Lines'!$G$5:$G$1640,A102,'Bank Lines'!$J$5:$J$1640,1,'Bank Lines'!$C$5:$C$1640,"&lt;="&amp;Cover!$C$14)</f>
        <v>1</v>
      </c>
      <c r="V102">
        <f>COUNTIFS('Odoo Items'!$J$5:$J$4331,A102,'Odoo Items'!$C$5:$C$4331,"&lt;="&amp;Cover!$C$14)</f>
        <v>12</v>
      </c>
      <c r="W102" t="str">
        <f>IF(AND(U102=0,V102=0),"",IF(U102=0,"ODOO-ONLY",IF(V102=0,"BANK-ONLY","BOTH")))</f>
        <v>BOTH</v>
      </c>
      <c r="X102" s="9">
        <f>IF(W102="BOTH",ROUND(S102-T102,2),0)</f>
        <v>0</v>
      </c>
      <c r="Y102" s="9">
        <f>ROUND(SUMIFS('Bank Lines'!$E$5:$E$1640,'Bank Lines'!$G$5:$G$1640,A102,'Bank Lines'!$J$5:$J$1640,1,'Bank Lines'!$C$5:$C$1640,"&lt;="&amp;Cover!$C$15),2)</f>
        <v>3194.73</v>
      </c>
      <c r="Z102" s="9">
        <f>ROUND(SUMIFS('Odoo Items'!$G$5:$G$4331,'Odoo Items'!$J$5:$J$4331,A102,'Odoo Items'!$C$5:$C$4331,"&lt;="&amp;Cover!$C$15),2)</f>
        <v>3194.73</v>
      </c>
      <c r="AA102">
        <f>COUNTIFS('Bank Lines'!$G$5:$G$1640,A102,'Bank Lines'!$J$5:$J$1640,1,'Bank Lines'!$C$5:$C$1640,"&lt;="&amp;Cover!$C$15)</f>
        <v>1</v>
      </c>
      <c r="AB102">
        <f>COUNTIFS('Odoo Items'!$J$5:$J$4331,A102,'Odoo Items'!$C$5:$C$4331,"&lt;="&amp;Cover!$C$15)</f>
        <v>12</v>
      </c>
      <c r="AC102" t="str">
        <f>IF(AND(AA102=0,AB102=0),"",IF(AA102=0,"ODOO-ONLY",IF(AB102=0,"BANK-ONLY","BOTH")))</f>
        <v>BOTH</v>
      </c>
      <c r="AD102" s="9">
        <f>IF(AC102="BOTH",ROUND(Y102-Z102,2),0)</f>
        <v>0</v>
      </c>
    </row>
    <row r="103">
      <c r="A103" t="inlineStr">
        <is>
          <t>G00099</t>
        </is>
      </c>
      <c r="B103" t="inlineStr">
        <is>
          <t>OPS</t>
        </is>
      </c>
      <c r="C103" t="inlineStr">
        <is>
          <t>R03</t>
        </is>
      </c>
      <c r="D103" t="inlineStr">
        <is>
          <t>MATCH</t>
        </is>
      </c>
      <c r="E103" t="inlineStr">
        <is>
          <t>Acacia Plan Partners</t>
        </is>
      </c>
      <c r="F103" t="n">
        <v>1</v>
      </c>
      <c r="G103" t="inlineStr">
        <is>
          <t>6 invoices</t>
        </is>
      </c>
      <c r="H103">
        <f>COUNTIFS('Bank Lines'!$G$5:$G$1640,A103,'Bank Lines'!$J$5:$J$1640,1)</f>
        <v>1</v>
      </c>
      <c r="I103">
        <f>COUNTIFS('Odoo Items'!$J$5:$J$4331,A103)</f>
        <v>6</v>
      </c>
      <c r="J103" s="9">
        <f>ROUND(SUMIFS('Bank Lines'!$E$5:$E$1640,'Bank Lines'!$G$5:$G$1640,A103,'Bank Lines'!$J$5:$J$1640,1),2)</f>
        <v>1920.5</v>
      </c>
      <c r="K103" s="9">
        <f>ROUND(SUMIFS('Odoo Items'!$G$5:$G$4331,'Odoo Items'!$J$5:$J$4331,A103),2)</f>
        <v>1920.5</v>
      </c>
      <c r="L103" s="9">
        <f>ROUND(J103-K103,2)</f>
        <v>0</v>
      </c>
      <c r="M103" s="9">
        <f>ROUND(SUMIFS('Bank Lines'!$E$5:$E$1640,'Bank Lines'!$G$5:$G$1640,A103,'Bank Lines'!$J$5:$J$1640,1,'Bank Lines'!$C$5:$C$1640,"&lt;="&amp;Cover!$C$13),2)</f>
        <v>1920.5</v>
      </c>
      <c r="N103" s="9">
        <f>ROUND(SUMIFS('Odoo Items'!$G$5:$G$4331,'Odoo Items'!$J$5:$J$4331,A103,'Odoo Items'!$C$5:$C$4331,"&lt;="&amp;Cover!$C$13),2)</f>
        <v>1920.5</v>
      </c>
      <c r="O103">
        <f>COUNTIFS('Bank Lines'!$G$5:$G$1640,A103,'Bank Lines'!$J$5:$J$1640,1,'Bank Lines'!$C$5:$C$1640,"&lt;="&amp;Cover!$C$13)</f>
        <v>1</v>
      </c>
      <c r="P103">
        <f>COUNTIFS('Odoo Items'!$J$5:$J$4331,A103,'Odoo Items'!$C$5:$C$4331,"&lt;="&amp;Cover!$C$13)</f>
        <v>6</v>
      </c>
      <c r="Q103" t="str">
        <f>IF(AND(O103=0,P103=0),"",IF(O103=0,"ODOO-ONLY",IF(P103=0,"BANK-ONLY","BOTH")))</f>
        <v>BOTH</v>
      </c>
      <c r="R103" s="9">
        <f>IF(Q103="BOTH",ROUND(M103-N103,2),0)</f>
        <v>0</v>
      </c>
      <c r="S103" s="9">
        <f>ROUND(SUMIFS('Bank Lines'!$E$5:$E$1640,'Bank Lines'!$G$5:$G$1640,A103,'Bank Lines'!$J$5:$J$1640,1,'Bank Lines'!$C$5:$C$1640,"&lt;="&amp;Cover!$C$14),2)</f>
        <v>1920.5</v>
      </c>
      <c r="T103" s="9">
        <f>ROUND(SUMIFS('Odoo Items'!$G$5:$G$4331,'Odoo Items'!$J$5:$J$4331,A103,'Odoo Items'!$C$5:$C$4331,"&lt;="&amp;Cover!$C$14),2)</f>
        <v>1920.5</v>
      </c>
      <c r="U103">
        <f>COUNTIFS('Bank Lines'!$G$5:$G$1640,A103,'Bank Lines'!$J$5:$J$1640,1,'Bank Lines'!$C$5:$C$1640,"&lt;="&amp;Cover!$C$14)</f>
        <v>1</v>
      </c>
      <c r="V103">
        <f>COUNTIFS('Odoo Items'!$J$5:$J$4331,A103,'Odoo Items'!$C$5:$C$4331,"&lt;="&amp;Cover!$C$14)</f>
        <v>6</v>
      </c>
      <c r="W103" t="str">
        <f>IF(AND(U103=0,V103=0),"",IF(U103=0,"ODOO-ONLY",IF(V103=0,"BANK-ONLY","BOTH")))</f>
        <v>BOTH</v>
      </c>
      <c r="X103" s="9">
        <f>IF(W103="BOTH",ROUND(S103-T103,2),0)</f>
        <v>0</v>
      </c>
      <c r="Y103" s="9">
        <f>ROUND(SUMIFS('Bank Lines'!$E$5:$E$1640,'Bank Lines'!$G$5:$G$1640,A103,'Bank Lines'!$J$5:$J$1640,1,'Bank Lines'!$C$5:$C$1640,"&lt;="&amp;Cover!$C$15),2)</f>
        <v>1920.5</v>
      </c>
      <c r="Z103" s="9">
        <f>ROUND(SUMIFS('Odoo Items'!$G$5:$G$4331,'Odoo Items'!$J$5:$J$4331,A103,'Odoo Items'!$C$5:$C$4331,"&lt;="&amp;Cover!$C$15),2)</f>
        <v>1920.5</v>
      </c>
      <c r="AA103">
        <f>COUNTIFS('Bank Lines'!$G$5:$G$1640,A103,'Bank Lines'!$J$5:$J$1640,1,'Bank Lines'!$C$5:$C$1640,"&lt;="&amp;Cover!$C$15)</f>
        <v>1</v>
      </c>
      <c r="AB103">
        <f>COUNTIFS('Odoo Items'!$J$5:$J$4331,A103,'Odoo Items'!$C$5:$C$4331,"&lt;="&amp;Cover!$C$15)</f>
        <v>6</v>
      </c>
      <c r="AC103" t="str">
        <f>IF(AND(AA103=0,AB103=0),"",IF(AA103=0,"ODOO-ONLY",IF(AB103=0,"BANK-ONLY","BOTH")))</f>
        <v>BOTH</v>
      </c>
      <c r="AD103" s="9">
        <f>IF(AC103="BOTH",ROUND(Y103-Z103,2),0)</f>
        <v>0</v>
      </c>
    </row>
    <row r="104">
      <c r="A104" t="inlineStr">
        <is>
          <t>G00100</t>
        </is>
      </c>
      <c r="B104" t="inlineStr">
        <is>
          <t>OPS</t>
        </is>
      </c>
      <c r="C104" t="inlineStr">
        <is>
          <t>R03</t>
        </is>
      </c>
      <c r="D104" t="inlineStr">
        <is>
          <t>MATCH</t>
        </is>
      </c>
      <c r="E104" t="inlineStr">
        <is>
          <t>Riverbend Plan Partners</t>
        </is>
      </c>
      <c r="F104" t="n">
        <v>1</v>
      </c>
      <c r="G104" t="inlineStr">
        <is>
          <t>8 invoices</t>
        </is>
      </c>
      <c r="H104">
        <f>COUNTIFS('Bank Lines'!$G$5:$G$1640,A104,'Bank Lines'!$J$5:$J$1640,1)</f>
        <v>1</v>
      </c>
      <c r="I104">
        <f>COUNTIFS('Odoo Items'!$J$5:$J$4331,A104)</f>
        <v>8</v>
      </c>
      <c r="J104" s="9">
        <f>ROUND(SUMIFS('Bank Lines'!$E$5:$E$1640,'Bank Lines'!$G$5:$G$1640,A104,'Bank Lines'!$J$5:$J$1640,1),2)</f>
        <v>2154.19</v>
      </c>
      <c r="K104" s="9">
        <f>ROUND(SUMIFS('Odoo Items'!$G$5:$G$4331,'Odoo Items'!$J$5:$J$4331,A104),2)</f>
        <v>2154.19</v>
      </c>
      <c r="L104" s="9">
        <f>ROUND(J104-K104,2)</f>
        <v>0</v>
      </c>
      <c r="M104" s="9">
        <f>ROUND(SUMIFS('Bank Lines'!$E$5:$E$1640,'Bank Lines'!$G$5:$G$1640,A104,'Bank Lines'!$J$5:$J$1640,1,'Bank Lines'!$C$5:$C$1640,"&lt;="&amp;Cover!$C$13),2)</f>
        <v>2154.19</v>
      </c>
      <c r="N104" s="9">
        <f>ROUND(SUMIFS('Odoo Items'!$G$5:$G$4331,'Odoo Items'!$J$5:$J$4331,A104,'Odoo Items'!$C$5:$C$4331,"&lt;="&amp;Cover!$C$13),2)</f>
        <v>2154.19</v>
      </c>
      <c r="O104">
        <f>COUNTIFS('Bank Lines'!$G$5:$G$1640,A104,'Bank Lines'!$J$5:$J$1640,1,'Bank Lines'!$C$5:$C$1640,"&lt;="&amp;Cover!$C$13)</f>
        <v>1</v>
      </c>
      <c r="P104">
        <f>COUNTIFS('Odoo Items'!$J$5:$J$4331,A104,'Odoo Items'!$C$5:$C$4331,"&lt;="&amp;Cover!$C$13)</f>
        <v>8</v>
      </c>
      <c r="Q104" t="str">
        <f>IF(AND(O104=0,P104=0),"",IF(O104=0,"ODOO-ONLY",IF(P104=0,"BANK-ONLY","BOTH")))</f>
        <v>BOTH</v>
      </c>
      <c r="R104" s="9">
        <f>IF(Q104="BOTH",ROUND(M104-N104,2),0)</f>
        <v>0</v>
      </c>
      <c r="S104" s="9">
        <f>ROUND(SUMIFS('Bank Lines'!$E$5:$E$1640,'Bank Lines'!$G$5:$G$1640,A104,'Bank Lines'!$J$5:$J$1640,1,'Bank Lines'!$C$5:$C$1640,"&lt;="&amp;Cover!$C$14),2)</f>
        <v>2154.19</v>
      </c>
      <c r="T104" s="9">
        <f>ROUND(SUMIFS('Odoo Items'!$G$5:$G$4331,'Odoo Items'!$J$5:$J$4331,A104,'Odoo Items'!$C$5:$C$4331,"&lt;="&amp;Cover!$C$14),2)</f>
        <v>2154.19</v>
      </c>
      <c r="U104">
        <f>COUNTIFS('Bank Lines'!$G$5:$G$1640,A104,'Bank Lines'!$J$5:$J$1640,1,'Bank Lines'!$C$5:$C$1640,"&lt;="&amp;Cover!$C$14)</f>
        <v>1</v>
      </c>
      <c r="V104">
        <f>COUNTIFS('Odoo Items'!$J$5:$J$4331,A104,'Odoo Items'!$C$5:$C$4331,"&lt;="&amp;Cover!$C$14)</f>
        <v>8</v>
      </c>
      <c r="W104" t="str">
        <f>IF(AND(U104=0,V104=0),"",IF(U104=0,"ODOO-ONLY",IF(V104=0,"BANK-ONLY","BOTH")))</f>
        <v>BOTH</v>
      </c>
      <c r="X104" s="9">
        <f>IF(W104="BOTH",ROUND(S104-T104,2),0)</f>
        <v>0</v>
      </c>
      <c r="Y104" s="9">
        <f>ROUND(SUMIFS('Bank Lines'!$E$5:$E$1640,'Bank Lines'!$G$5:$G$1640,A104,'Bank Lines'!$J$5:$J$1640,1,'Bank Lines'!$C$5:$C$1640,"&lt;="&amp;Cover!$C$15),2)</f>
        <v>2154.19</v>
      </c>
      <c r="Z104" s="9">
        <f>ROUND(SUMIFS('Odoo Items'!$G$5:$G$4331,'Odoo Items'!$J$5:$J$4331,A104,'Odoo Items'!$C$5:$C$4331,"&lt;="&amp;Cover!$C$15),2)</f>
        <v>2154.19</v>
      </c>
      <c r="AA104">
        <f>COUNTIFS('Bank Lines'!$G$5:$G$1640,A104,'Bank Lines'!$J$5:$J$1640,1,'Bank Lines'!$C$5:$C$1640,"&lt;="&amp;Cover!$C$15)</f>
        <v>1</v>
      </c>
      <c r="AB104">
        <f>COUNTIFS('Odoo Items'!$J$5:$J$4331,A104,'Odoo Items'!$C$5:$C$4331,"&lt;="&amp;Cover!$C$15)</f>
        <v>8</v>
      </c>
      <c r="AC104" t="str">
        <f>IF(AND(AA104=0,AB104=0),"",IF(AA104=0,"ODOO-ONLY",IF(AB104=0,"BANK-ONLY","BOTH")))</f>
        <v>BOTH</v>
      </c>
      <c r="AD104" s="9">
        <f>IF(AC104="BOTH",ROUND(Y104-Z104,2),0)</f>
        <v>0</v>
      </c>
    </row>
    <row r="105">
      <c r="A105" t="inlineStr">
        <is>
          <t>G00101</t>
        </is>
      </c>
      <c r="B105" t="inlineStr">
        <is>
          <t>OPS</t>
        </is>
      </c>
      <c r="C105" t="inlineStr">
        <is>
          <t>R03</t>
        </is>
      </c>
      <c r="D105" t="inlineStr">
        <is>
          <t>MATCH</t>
        </is>
      </c>
      <c r="E105" t="inlineStr">
        <is>
          <t>Clearpath NDIS Plans</t>
        </is>
      </c>
      <c r="F105" t="n">
        <v>1</v>
      </c>
      <c r="G105" t="inlineStr">
        <is>
          <t>8 invoices</t>
        </is>
      </c>
      <c r="H105">
        <f>COUNTIFS('Bank Lines'!$G$5:$G$1640,A105,'Bank Lines'!$J$5:$J$1640,1)</f>
        <v>1</v>
      </c>
      <c r="I105">
        <f>COUNTIFS('Odoo Items'!$J$5:$J$4331,A105)</f>
        <v>8</v>
      </c>
      <c r="J105" s="9">
        <f>ROUND(SUMIFS('Bank Lines'!$E$5:$E$1640,'Bank Lines'!$G$5:$G$1640,A105,'Bank Lines'!$J$5:$J$1640,1),2)</f>
        <v>1543.11</v>
      </c>
      <c r="K105" s="9">
        <f>ROUND(SUMIFS('Odoo Items'!$G$5:$G$4331,'Odoo Items'!$J$5:$J$4331,A105),2)</f>
        <v>1543.11</v>
      </c>
      <c r="L105" s="9">
        <f>ROUND(J105-K105,2)</f>
        <v>0</v>
      </c>
      <c r="M105" s="9">
        <f>ROUND(SUMIFS('Bank Lines'!$E$5:$E$1640,'Bank Lines'!$G$5:$G$1640,A105,'Bank Lines'!$J$5:$J$1640,1,'Bank Lines'!$C$5:$C$1640,"&lt;="&amp;Cover!$C$13),2)</f>
        <v>1543.11</v>
      </c>
      <c r="N105" s="9">
        <f>ROUND(SUMIFS('Odoo Items'!$G$5:$G$4331,'Odoo Items'!$J$5:$J$4331,A105,'Odoo Items'!$C$5:$C$4331,"&lt;="&amp;Cover!$C$13),2)</f>
        <v>1543.11</v>
      </c>
      <c r="O105">
        <f>COUNTIFS('Bank Lines'!$G$5:$G$1640,A105,'Bank Lines'!$J$5:$J$1640,1,'Bank Lines'!$C$5:$C$1640,"&lt;="&amp;Cover!$C$13)</f>
        <v>1</v>
      </c>
      <c r="P105">
        <f>COUNTIFS('Odoo Items'!$J$5:$J$4331,A105,'Odoo Items'!$C$5:$C$4331,"&lt;="&amp;Cover!$C$13)</f>
        <v>8</v>
      </c>
      <c r="Q105" t="str">
        <f>IF(AND(O105=0,P105=0),"",IF(O105=0,"ODOO-ONLY",IF(P105=0,"BANK-ONLY","BOTH")))</f>
        <v>BOTH</v>
      </c>
      <c r="R105" s="9">
        <f>IF(Q105="BOTH",ROUND(M105-N105,2),0)</f>
        <v>0</v>
      </c>
      <c r="S105" s="9">
        <f>ROUND(SUMIFS('Bank Lines'!$E$5:$E$1640,'Bank Lines'!$G$5:$G$1640,A105,'Bank Lines'!$J$5:$J$1640,1,'Bank Lines'!$C$5:$C$1640,"&lt;="&amp;Cover!$C$14),2)</f>
        <v>1543.11</v>
      </c>
      <c r="T105" s="9">
        <f>ROUND(SUMIFS('Odoo Items'!$G$5:$G$4331,'Odoo Items'!$J$5:$J$4331,A105,'Odoo Items'!$C$5:$C$4331,"&lt;="&amp;Cover!$C$14),2)</f>
        <v>1543.11</v>
      </c>
      <c r="U105">
        <f>COUNTIFS('Bank Lines'!$G$5:$G$1640,A105,'Bank Lines'!$J$5:$J$1640,1,'Bank Lines'!$C$5:$C$1640,"&lt;="&amp;Cover!$C$14)</f>
        <v>1</v>
      </c>
      <c r="V105">
        <f>COUNTIFS('Odoo Items'!$J$5:$J$4331,A105,'Odoo Items'!$C$5:$C$4331,"&lt;="&amp;Cover!$C$14)</f>
        <v>8</v>
      </c>
      <c r="W105" t="str">
        <f>IF(AND(U105=0,V105=0),"",IF(U105=0,"ODOO-ONLY",IF(V105=0,"BANK-ONLY","BOTH")))</f>
        <v>BOTH</v>
      </c>
      <c r="X105" s="9">
        <f>IF(W105="BOTH",ROUND(S105-T105,2),0)</f>
        <v>0</v>
      </c>
      <c r="Y105" s="9">
        <f>ROUND(SUMIFS('Bank Lines'!$E$5:$E$1640,'Bank Lines'!$G$5:$G$1640,A105,'Bank Lines'!$J$5:$J$1640,1,'Bank Lines'!$C$5:$C$1640,"&lt;="&amp;Cover!$C$15),2)</f>
        <v>1543.11</v>
      </c>
      <c r="Z105" s="9">
        <f>ROUND(SUMIFS('Odoo Items'!$G$5:$G$4331,'Odoo Items'!$J$5:$J$4331,A105,'Odoo Items'!$C$5:$C$4331,"&lt;="&amp;Cover!$C$15),2)</f>
        <v>1543.11</v>
      </c>
      <c r="AA105">
        <f>COUNTIFS('Bank Lines'!$G$5:$G$1640,A105,'Bank Lines'!$J$5:$J$1640,1,'Bank Lines'!$C$5:$C$1640,"&lt;="&amp;Cover!$C$15)</f>
        <v>1</v>
      </c>
      <c r="AB105">
        <f>COUNTIFS('Odoo Items'!$J$5:$J$4331,A105,'Odoo Items'!$C$5:$C$4331,"&lt;="&amp;Cover!$C$15)</f>
        <v>8</v>
      </c>
      <c r="AC105" t="str">
        <f>IF(AND(AA105=0,AB105=0),"",IF(AA105=0,"ODOO-ONLY",IF(AB105=0,"BANK-ONLY","BOTH")))</f>
        <v>BOTH</v>
      </c>
      <c r="AD105" s="9">
        <f>IF(AC105="BOTH",ROUND(Y105-Z105,2),0)</f>
        <v>0</v>
      </c>
    </row>
    <row r="106">
      <c r="A106" t="inlineStr">
        <is>
          <t>G00102</t>
        </is>
      </c>
      <c r="B106" t="inlineStr">
        <is>
          <t>OPS</t>
        </is>
      </c>
      <c r="C106" t="inlineStr">
        <is>
          <t>R03</t>
        </is>
      </c>
      <c r="D106" t="inlineStr">
        <is>
          <t>MATCH</t>
        </is>
      </c>
      <c r="E106" t="inlineStr">
        <is>
          <t>Wattle Plan Services</t>
        </is>
      </c>
      <c r="F106" t="n">
        <v>0.973</v>
      </c>
      <c r="G106" t="inlineStr">
        <is>
          <t>6 invoices</t>
        </is>
      </c>
      <c r="H106">
        <f>COUNTIFS('Bank Lines'!$G$5:$G$1640,A106,'Bank Lines'!$J$5:$J$1640,1)</f>
        <v>1</v>
      </c>
      <c r="I106">
        <f>COUNTIFS('Odoo Items'!$J$5:$J$4331,A106)</f>
        <v>6</v>
      </c>
      <c r="J106" s="9">
        <f>ROUND(SUMIFS('Bank Lines'!$E$5:$E$1640,'Bank Lines'!$G$5:$G$1640,A106,'Bank Lines'!$J$5:$J$1640,1),2)</f>
        <v>1629.53</v>
      </c>
      <c r="K106" s="9">
        <f>ROUND(SUMIFS('Odoo Items'!$G$5:$G$4331,'Odoo Items'!$J$5:$J$4331,A106),2)</f>
        <v>1629.53</v>
      </c>
      <c r="L106" s="9">
        <f>ROUND(J106-K106,2)</f>
        <v>0</v>
      </c>
      <c r="M106" s="9">
        <f>ROUND(SUMIFS('Bank Lines'!$E$5:$E$1640,'Bank Lines'!$G$5:$G$1640,A106,'Bank Lines'!$J$5:$J$1640,1,'Bank Lines'!$C$5:$C$1640,"&lt;="&amp;Cover!$C$13),2)</f>
        <v>1629.53</v>
      </c>
      <c r="N106" s="9">
        <f>ROUND(SUMIFS('Odoo Items'!$G$5:$G$4331,'Odoo Items'!$J$5:$J$4331,A106,'Odoo Items'!$C$5:$C$4331,"&lt;="&amp;Cover!$C$13),2)</f>
        <v>1629.53</v>
      </c>
      <c r="O106">
        <f>COUNTIFS('Bank Lines'!$G$5:$G$1640,A106,'Bank Lines'!$J$5:$J$1640,1,'Bank Lines'!$C$5:$C$1640,"&lt;="&amp;Cover!$C$13)</f>
        <v>1</v>
      </c>
      <c r="P106">
        <f>COUNTIFS('Odoo Items'!$J$5:$J$4331,A106,'Odoo Items'!$C$5:$C$4331,"&lt;="&amp;Cover!$C$13)</f>
        <v>6</v>
      </c>
      <c r="Q106" t="str">
        <f>IF(AND(O106=0,P106=0),"",IF(O106=0,"ODOO-ONLY",IF(P106=0,"BANK-ONLY","BOTH")))</f>
        <v>BOTH</v>
      </c>
      <c r="R106" s="9">
        <f>IF(Q106="BOTH",ROUND(M106-N106,2),0)</f>
        <v>0</v>
      </c>
      <c r="S106" s="9">
        <f>ROUND(SUMIFS('Bank Lines'!$E$5:$E$1640,'Bank Lines'!$G$5:$G$1640,A106,'Bank Lines'!$J$5:$J$1640,1,'Bank Lines'!$C$5:$C$1640,"&lt;="&amp;Cover!$C$14),2)</f>
        <v>1629.53</v>
      </c>
      <c r="T106" s="9">
        <f>ROUND(SUMIFS('Odoo Items'!$G$5:$G$4331,'Odoo Items'!$J$5:$J$4331,A106,'Odoo Items'!$C$5:$C$4331,"&lt;="&amp;Cover!$C$14),2)</f>
        <v>1629.53</v>
      </c>
      <c r="U106">
        <f>COUNTIFS('Bank Lines'!$G$5:$G$1640,A106,'Bank Lines'!$J$5:$J$1640,1,'Bank Lines'!$C$5:$C$1640,"&lt;="&amp;Cover!$C$14)</f>
        <v>1</v>
      </c>
      <c r="V106">
        <f>COUNTIFS('Odoo Items'!$J$5:$J$4331,A106,'Odoo Items'!$C$5:$C$4331,"&lt;="&amp;Cover!$C$14)</f>
        <v>6</v>
      </c>
      <c r="W106" t="str">
        <f>IF(AND(U106=0,V106=0),"",IF(U106=0,"ODOO-ONLY",IF(V106=0,"BANK-ONLY","BOTH")))</f>
        <v>BOTH</v>
      </c>
      <c r="X106" s="9">
        <f>IF(W106="BOTH",ROUND(S106-T106,2),0)</f>
        <v>0</v>
      </c>
      <c r="Y106" s="9">
        <f>ROUND(SUMIFS('Bank Lines'!$E$5:$E$1640,'Bank Lines'!$G$5:$G$1640,A106,'Bank Lines'!$J$5:$J$1640,1,'Bank Lines'!$C$5:$C$1640,"&lt;="&amp;Cover!$C$15),2)</f>
        <v>1629.53</v>
      </c>
      <c r="Z106" s="9">
        <f>ROUND(SUMIFS('Odoo Items'!$G$5:$G$4331,'Odoo Items'!$J$5:$J$4331,A106,'Odoo Items'!$C$5:$C$4331,"&lt;="&amp;Cover!$C$15),2)</f>
        <v>1629.53</v>
      </c>
      <c r="AA106">
        <f>COUNTIFS('Bank Lines'!$G$5:$G$1640,A106,'Bank Lines'!$J$5:$J$1640,1,'Bank Lines'!$C$5:$C$1640,"&lt;="&amp;Cover!$C$15)</f>
        <v>1</v>
      </c>
      <c r="AB106">
        <f>COUNTIFS('Odoo Items'!$J$5:$J$4331,A106,'Odoo Items'!$C$5:$C$4331,"&lt;="&amp;Cover!$C$15)</f>
        <v>6</v>
      </c>
      <c r="AC106" t="str">
        <f>IF(AND(AA106=0,AB106=0),"",IF(AA106=0,"ODOO-ONLY",IF(AB106=0,"BANK-ONLY","BOTH")))</f>
        <v>BOTH</v>
      </c>
      <c r="AD106" s="9">
        <f>IF(AC106="BOTH",ROUND(Y106-Z106,2),0)</f>
        <v>0</v>
      </c>
    </row>
    <row r="107">
      <c r="A107" t="inlineStr">
        <is>
          <t>G00103</t>
        </is>
      </c>
      <c r="B107" t="inlineStr">
        <is>
          <t>OPS</t>
        </is>
      </c>
      <c r="C107" t="inlineStr">
        <is>
          <t>R03</t>
        </is>
      </c>
      <c r="D107" t="inlineStr">
        <is>
          <t>MATCH</t>
        </is>
      </c>
      <c r="E107" t="inlineStr">
        <is>
          <t>Saltbush Plan Managers</t>
        </is>
      </c>
      <c r="F107" t="n">
        <v>1</v>
      </c>
      <c r="G107" t="inlineStr">
        <is>
          <t>3 invoices</t>
        </is>
      </c>
      <c r="H107">
        <f>COUNTIFS('Bank Lines'!$G$5:$G$1640,A107,'Bank Lines'!$J$5:$J$1640,1)</f>
        <v>1</v>
      </c>
      <c r="I107">
        <f>COUNTIFS('Odoo Items'!$J$5:$J$4331,A107)</f>
        <v>3</v>
      </c>
      <c r="J107" s="9">
        <f>ROUND(SUMIFS('Bank Lines'!$E$5:$E$1640,'Bank Lines'!$G$5:$G$1640,A107,'Bank Lines'!$J$5:$J$1640,1),2)</f>
        <v>640.16</v>
      </c>
      <c r="K107" s="9">
        <f>ROUND(SUMIFS('Odoo Items'!$G$5:$G$4331,'Odoo Items'!$J$5:$J$4331,A107),2)</f>
        <v>640.16</v>
      </c>
      <c r="L107" s="9">
        <f>ROUND(J107-K107,2)</f>
        <v>0</v>
      </c>
      <c r="M107" s="9">
        <f>ROUND(SUMIFS('Bank Lines'!$E$5:$E$1640,'Bank Lines'!$G$5:$G$1640,A107,'Bank Lines'!$J$5:$J$1640,1,'Bank Lines'!$C$5:$C$1640,"&lt;="&amp;Cover!$C$13),2)</f>
        <v>640.16</v>
      </c>
      <c r="N107" s="9">
        <f>ROUND(SUMIFS('Odoo Items'!$G$5:$G$4331,'Odoo Items'!$J$5:$J$4331,A107,'Odoo Items'!$C$5:$C$4331,"&lt;="&amp;Cover!$C$13),2)</f>
        <v>640.16</v>
      </c>
      <c r="O107">
        <f>COUNTIFS('Bank Lines'!$G$5:$G$1640,A107,'Bank Lines'!$J$5:$J$1640,1,'Bank Lines'!$C$5:$C$1640,"&lt;="&amp;Cover!$C$13)</f>
        <v>1</v>
      </c>
      <c r="P107">
        <f>COUNTIFS('Odoo Items'!$J$5:$J$4331,A107,'Odoo Items'!$C$5:$C$4331,"&lt;="&amp;Cover!$C$13)</f>
        <v>3</v>
      </c>
      <c r="Q107" t="str">
        <f>IF(AND(O107=0,P107=0),"",IF(O107=0,"ODOO-ONLY",IF(P107=0,"BANK-ONLY","BOTH")))</f>
        <v>BOTH</v>
      </c>
      <c r="R107" s="9">
        <f>IF(Q107="BOTH",ROUND(M107-N107,2),0)</f>
        <v>0</v>
      </c>
      <c r="S107" s="9">
        <f>ROUND(SUMIFS('Bank Lines'!$E$5:$E$1640,'Bank Lines'!$G$5:$G$1640,A107,'Bank Lines'!$J$5:$J$1640,1,'Bank Lines'!$C$5:$C$1640,"&lt;="&amp;Cover!$C$14),2)</f>
        <v>640.16</v>
      </c>
      <c r="T107" s="9">
        <f>ROUND(SUMIFS('Odoo Items'!$G$5:$G$4331,'Odoo Items'!$J$5:$J$4331,A107,'Odoo Items'!$C$5:$C$4331,"&lt;="&amp;Cover!$C$14),2)</f>
        <v>640.16</v>
      </c>
      <c r="U107">
        <f>COUNTIFS('Bank Lines'!$G$5:$G$1640,A107,'Bank Lines'!$J$5:$J$1640,1,'Bank Lines'!$C$5:$C$1640,"&lt;="&amp;Cover!$C$14)</f>
        <v>1</v>
      </c>
      <c r="V107">
        <f>COUNTIFS('Odoo Items'!$J$5:$J$4331,A107,'Odoo Items'!$C$5:$C$4331,"&lt;="&amp;Cover!$C$14)</f>
        <v>3</v>
      </c>
      <c r="W107" t="str">
        <f>IF(AND(U107=0,V107=0),"",IF(U107=0,"ODOO-ONLY",IF(V107=0,"BANK-ONLY","BOTH")))</f>
        <v>BOTH</v>
      </c>
      <c r="X107" s="9">
        <f>IF(W107="BOTH",ROUND(S107-T107,2),0)</f>
        <v>0</v>
      </c>
      <c r="Y107" s="9">
        <f>ROUND(SUMIFS('Bank Lines'!$E$5:$E$1640,'Bank Lines'!$G$5:$G$1640,A107,'Bank Lines'!$J$5:$J$1640,1,'Bank Lines'!$C$5:$C$1640,"&lt;="&amp;Cover!$C$15),2)</f>
        <v>640.16</v>
      </c>
      <c r="Z107" s="9">
        <f>ROUND(SUMIFS('Odoo Items'!$G$5:$G$4331,'Odoo Items'!$J$5:$J$4331,A107,'Odoo Items'!$C$5:$C$4331,"&lt;="&amp;Cover!$C$15),2)</f>
        <v>640.16</v>
      </c>
      <c r="AA107">
        <f>COUNTIFS('Bank Lines'!$G$5:$G$1640,A107,'Bank Lines'!$J$5:$J$1640,1,'Bank Lines'!$C$5:$C$1640,"&lt;="&amp;Cover!$C$15)</f>
        <v>1</v>
      </c>
      <c r="AB107">
        <f>COUNTIFS('Odoo Items'!$J$5:$J$4331,A107,'Odoo Items'!$C$5:$C$4331,"&lt;="&amp;Cover!$C$15)</f>
        <v>3</v>
      </c>
      <c r="AC107" t="str">
        <f>IF(AND(AA107=0,AB107=0),"",IF(AA107=0,"ODOO-ONLY",IF(AB107=0,"BANK-ONLY","BOTH")))</f>
        <v>BOTH</v>
      </c>
      <c r="AD107" s="9">
        <f>IF(AC107="BOTH",ROUND(Y107-Z107,2),0)</f>
        <v>0</v>
      </c>
    </row>
    <row r="108">
      <c r="A108" t="inlineStr">
        <is>
          <t>G00104</t>
        </is>
      </c>
      <c r="B108" t="inlineStr">
        <is>
          <t>OPS</t>
        </is>
      </c>
      <c r="C108" t="inlineStr">
        <is>
          <t>R03</t>
        </is>
      </c>
      <c r="D108" t="inlineStr">
        <is>
          <t>MATCH</t>
        </is>
      </c>
      <c r="E108" t="inlineStr">
        <is>
          <t>Redgum Plan Admin</t>
        </is>
      </c>
      <c r="F108" t="n">
        <v>1</v>
      </c>
      <c r="G108" t="inlineStr">
        <is>
          <t>8 invoices</t>
        </is>
      </c>
      <c r="H108">
        <f>COUNTIFS('Bank Lines'!$G$5:$G$1640,A108,'Bank Lines'!$J$5:$J$1640,1)</f>
        <v>1</v>
      </c>
      <c r="I108">
        <f>COUNTIFS('Odoo Items'!$J$5:$J$4331,A108)</f>
        <v>8</v>
      </c>
      <c r="J108" s="9">
        <f>ROUND(SUMIFS('Bank Lines'!$E$5:$E$1640,'Bank Lines'!$G$5:$G$1640,A108,'Bank Lines'!$J$5:$J$1640,1),2)</f>
        <v>1514.89</v>
      </c>
      <c r="K108" s="9">
        <f>ROUND(SUMIFS('Odoo Items'!$G$5:$G$4331,'Odoo Items'!$J$5:$J$4331,A108),2)</f>
        <v>1514.89</v>
      </c>
      <c r="L108" s="9">
        <f>ROUND(J108-K108,2)</f>
        <v>0</v>
      </c>
      <c r="M108" s="9">
        <f>ROUND(SUMIFS('Bank Lines'!$E$5:$E$1640,'Bank Lines'!$G$5:$G$1640,A108,'Bank Lines'!$J$5:$J$1640,1,'Bank Lines'!$C$5:$C$1640,"&lt;="&amp;Cover!$C$13),2)</f>
        <v>1514.89</v>
      </c>
      <c r="N108" s="9">
        <f>ROUND(SUMIFS('Odoo Items'!$G$5:$G$4331,'Odoo Items'!$J$5:$J$4331,A108,'Odoo Items'!$C$5:$C$4331,"&lt;="&amp;Cover!$C$13),2)</f>
        <v>1514.89</v>
      </c>
      <c r="O108">
        <f>COUNTIFS('Bank Lines'!$G$5:$G$1640,A108,'Bank Lines'!$J$5:$J$1640,1,'Bank Lines'!$C$5:$C$1640,"&lt;="&amp;Cover!$C$13)</f>
        <v>1</v>
      </c>
      <c r="P108">
        <f>COUNTIFS('Odoo Items'!$J$5:$J$4331,A108,'Odoo Items'!$C$5:$C$4331,"&lt;="&amp;Cover!$C$13)</f>
        <v>8</v>
      </c>
      <c r="Q108" t="str">
        <f>IF(AND(O108=0,P108=0),"",IF(O108=0,"ODOO-ONLY",IF(P108=0,"BANK-ONLY","BOTH")))</f>
        <v>BOTH</v>
      </c>
      <c r="R108" s="9">
        <f>IF(Q108="BOTH",ROUND(M108-N108,2),0)</f>
        <v>0</v>
      </c>
      <c r="S108" s="9">
        <f>ROUND(SUMIFS('Bank Lines'!$E$5:$E$1640,'Bank Lines'!$G$5:$G$1640,A108,'Bank Lines'!$J$5:$J$1640,1,'Bank Lines'!$C$5:$C$1640,"&lt;="&amp;Cover!$C$14),2)</f>
        <v>1514.89</v>
      </c>
      <c r="T108" s="9">
        <f>ROUND(SUMIFS('Odoo Items'!$G$5:$G$4331,'Odoo Items'!$J$5:$J$4331,A108,'Odoo Items'!$C$5:$C$4331,"&lt;="&amp;Cover!$C$14),2)</f>
        <v>1514.89</v>
      </c>
      <c r="U108">
        <f>COUNTIFS('Bank Lines'!$G$5:$G$1640,A108,'Bank Lines'!$J$5:$J$1640,1,'Bank Lines'!$C$5:$C$1640,"&lt;="&amp;Cover!$C$14)</f>
        <v>1</v>
      </c>
      <c r="V108">
        <f>COUNTIFS('Odoo Items'!$J$5:$J$4331,A108,'Odoo Items'!$C$5:$C$4331,"&lt;="&amp;Cover!$C$14)</f>
        <v>8</v>
      </c>
      <c r="W108" t="str">
        <f>IF(AND(U108=0,V108=0),"",IF(U108=0,"ODOO-ONLY",IF(V108=0,"BANK-ONLY","BOTH")))</f>
        <v>BOTH</v>
      </c>
      <c r="X108" s="9">
        <f>IF(W108="BOTH",ROUND(S108-T108,2),0)</f>
        <v>0</v>
      </c>
      <c r="Y108" s="9">
        <f>ROUND(SUMIFS('Bank Lines'!$E$5:$E$1640,'Bank Lines'!$G$5:$G$1640,A108,'Bank Lines'!$J$5:$J$1640,1,'Bank Lines'!$C$5:$C$1640,"&lt;="&amp;Cover!$C$15),2)</f>
        <v>1514.89</v>
      </c>
      <c r="Z108" s="9">
        <f>ROUND(SUMIFS('Odoo Items'!$G$5:$G$4331,'Odoo Items'!$J$5:$J$4331,A108,'Odoo Items'!$C$5:$C$4331,"&lt;="&amp;Cover!$C$15),2)</f>
        <v>1514.89</v>
      </c>
      <c r="AA108">
        <f>COUNTIFS('Bank Lines'!$G$5:$G$1640,A108,'Bank Lines'!$J$5:$J$1640,1,'Bank Lines'!$C$5:$C$1640,"&lt;="&amp;Cover!$C$15)</f>
        <v>1</v>
      </c>
      <c r="AB108">
        <f>COUNTIFS('Odoo Items'!$J$5:$J$4331,A108,'Odoo Items'!$C$5:$C$4331,"&lt;="&amp;Cover!$C$15)</f>
        <v>8</v>
      </c>
      <c r="AC108" t="str">
        <f>IF(AND(AA108=0,AB108=0),"",IF(AA108=0,"ODOO-ONLY",IF(AB108=0,"BANK-ONLY","BOTH")))</f>
        <v>BOTH</v>
      </c>
      <c r="AD108" s="9">
        <f>IF(AC108="BOTH",ROUND(Y108-Z108,2),0)</f>
        <v>0</v>
      </c>
    </row>
    <row r="109">
      <c r="A109" t="inlineStr">
        <is>
          <t>G00105</t>
        </is>
      </c>
      <c r="B109" t="inlineStr">
        <is>
          <t>OPS</t>
        </is>
      </c>
      <c r="C109" t="inlineStr">
        <is>
          <t>R03</t>
        </is>
      </c>
      <c r="D109" t="inlineStr">
        <is>
          <t>MATCH</t>
        </is>
      </c>
      <c r="E109" t="inlineStr">
        <is>
          <t>Southern Cross Plan Mgmt</t>
        </is>
      </c>
      <c r="F109" t="n">
        <v>1</v>
      </c>
      <c r="G109" t="inlineStr">
        <is>
          <t>2 invoices</t>
        </is>
      </c>
      <c r="H109">
        <f>COUNTIFS('Bank Lines'!$G$5:$G$1640,A109,'Bank Lines'!$J$5:$J$1640,1)</f>
        <v>1</v>
      </c>
      <c r="I109">
        <f>COUNTIFS('Odoo Items'!$J$5:$J$4331,A109)</f>
        <v>2</v>
      </c>
      <c r="J109" s="9">
        <f>ROUND(SUMIFS('Bank Lines'!$E$5:$E$1640,'Bank Lines'!$G$5:$G$1640,A109,'Bank Lines'!$J$5:$J$1640,1),2)</f>
        <v>193.98</v>
      </c>
      <c r="K109" s="9">
        <f>ROUND(SUMIFS('Odoo Items'!$G$5:$G$4331,'Odoo Items'!$J$5:$J$4331,A109),2)</f>
        <v>193.98</v>
      </c>
      <c r="L109" s="9">
        <f>ROUND(J109-K109,2)</f>
        <v>0</v>
      </c>
      <c r="M109" s="9">
        <f>ROUND(SUMIFS('Bank Lines'!$E$5:$E$1640,'Bank Lines'!$G$5:$G$1640,A109,'Bank Lines'!$J$5:$J$1640,1,'Bank Lines'!$C$5:$C$1640,"&lt;="&amp;Cover!$C$13),2)</f>
        <v>193.98</v>
      </c>
      <c r="N109" s="9">
        <f>ROUND(SUMIFS('Odoo Items'!$G$5:$G$4331,'Odoo Items'!$J$5:$J$4331,A109,'Odoo Items'!$C$5:$C$4331,"&lt;="&amp;Cover!$C$13),2)</f>
        <v>193.98</v>
      </c>
      <c r="O109">
        <f>COUNTIFS('Bank Lines'!$G$5:$G$1640,A109,'Bank Lines'!$J$5:$J$1640,1,'Bank Lines'!$C$5:$C$1640,"&lt;="&amp;Cover!$C$13)</f>
        <v>1</v>
      </c>
      <c r="P109">
        <f>COUNTIFS('Odoo Items'!$J$5:$J$4331,A109,'Odoo Items'!$C$5:$C$4331,"&lt;="&amp;Cover!$C$13)</f>
        <v>2</v>
      </c>
      <c r="Q109" t="str">
        <f>IF(AND(O109=0,P109=0),"",IF(O109=0,"ODOO-ONLY",IF(P109=0,"BANK-ONLY","BOTH")))</f>
        <v>BOTH</v>
      </c>
      <c r="R109" s="9">
        <f>IF(Q109="BOTH",ROUND(M109-N109,2),0)</f>
        <v>0</v>
      </c>
      <c r="S109" s="9">
        <f>ROUND(SUMIFS('Bank Lines'!$E$5:$E$1640,'Bank Lines'!$G$5:$G$1640,A109,'Bank Lines'!$J$5:$J$1640,1,'Bank Lines'!$C$5:$C$1640,"&lt;="&amp;Cover!$C$14),2)</f>
        <v>193.98</v>
      </c>
      <c r="T109" s="9">
        <f>ROUND(SUMIFS('Odoo Items'!$G$5:$G$4331,'Odoo Items'!$J$5:$J$4331,A109,'Odoo Items'!$C$5:$C$4331,"&lt;="&amp;Cover!$C$14),2)</f>
        <v>193.98</v>
      </c>
      <c r="U109">
        <f>COUNTIFS('Bank Lines'!$G$5:$G$1640,A109,'Bank Lines'!$J$5:$J$1640,1,'Bank Lines'!$C$5:$C$1640,"&lt;="&amp;Cover!$C$14)</f>
        <v>1</v>
      </c>
      <c r="V109">
        <f>COUNTIFS('Odoo Items'!$J$5:$J$4331,A109,'Odoo Items'!$C$5:$C$4331,"&lt;="&amp;Cover!$C$14)</f>
        <v>2</v>
      </c>
      <c r="W109" t="str">
        <f>IF(AND(U109=0,V109=0),"",IF(U109=0,"ODOO-ONLY",IF(V109=0,"BANK-ONLY","BOTH")))</f>
        <v>BOTH</v>
      </c>
      <c r="X109" s="9">
        <f>IF(W109="BOTH",ROUND(S109-T109,2),0)</f>
        <v>0</v>
      </c>
      <c r="Y109" s="9">
        <f>ROUND(SUMIFS('Bank Lines'!$E$5:$E$1640,'Bank Lines'!$G$5:$G$1640,A109,'Bank Lines'!$J$5:$J$1640,1,'Bank Lines'!$C$5:$C$1640,"&lt;="&amp;Cover!$C$15),2)</f>
        <v>193.98</v>
      </c>
      <c r="Z109" s="9">
        <f>ROUND(SUMIFS('Odoo Items'!$G$5:$G$4331,'Odoo Items'!$J$5:$J$4331,A109,'Odoo Items'!$C$5:$C$4331,"&lt;="&amp;Cover!$C$15),2)</f>
        <v>193.98</v>
      </c>
      <c r="AA109">
        <f>COUNTIFS('Bank Lines'!$G$5:$G$1640,A109,'Bank Lines'!$J$5:$J$1640,1,'Bank Lines'!$C$5:$C$1640,"&lt;="&amp;Cover!$C$15)</f>
        <v>1</v>
      </c>
      <c r="AB109">
        <f>COUNTIFS('Odoo Items'!$J$5:$J$4331,A109,'Odoo Items'!$C$5:$C$4331,"&lt;="&amp;Cover!$C$15)</f>
        <v>2</v>
      </c>
      <c r="AC109" t="str">
        <f>IF(AND(AA109=0,AB109=0),"",IF(AA109=0,"ODOO-ONLY",IF(AB109=0,"BANK-ONLY","BOTH")))</f>
        <v>BOTH</v>
      </c>
      <c r="AD109" s="9">
        <f>IF(AC109="BOTH",ROUND(Y109-Z109,2),0)</f>
        <v>0</v>
      </c>
    </row>
    <row r="110">
      <c r="A110" t="inlineStr">
        <is>
          <t>G00106</t>
        </is>
      </c>
      <c r="B110" t="inlineStr">
        <is>
          <t>OPS</t>
        </is>
      </c>
      <c r="C110" t="inlineStr">
        <is>
          <t>R03</t>
        </is>
      </c>
      <c r="D110" t="inlineStr">
        <is>
          <t>MATCH</t>
        </is>
      </c>
      <c r="E110" t="inlineStr">
        <is>
          <t>Lyrebird Plan Management</t>
        </is>
      </c>
      <c r="F110" t="n">
        <v>1</v>
      </c>
      <c r="G110" t="inlineStr">
        <is>
          <t>3 invoices</t>
        </is>
      </c>
      <c r="H110">
        <f>COUNTIFS('Bank Lines'!$G$5:$G$1640,A110,'Bank Lines'!$J$5:$J$1640,1)</f>
        <v>1</v>
      </c>
      <c r="I110">
        <f>COUNTIFS('Odoo Items'!$J$5:$J$4331,A110)</f>
        <v>3</v>
      </c>
      <c r="J110" s="9">
        <f>ROUND(SUMIFS('Bank Lines'!$E$5:$E$1640,'Bank Lines'!$G$5:$G$1640,A110,'Bank Lines'!$J$5:$J$1640,1),2)</f>
        <v>524.67</v>
      </c>
      <c r="K110" s="9">
        <f>ROUND(SUMIFS('Odoo Items'!$G$5:$G$4331,'Odoo Items'!$J$5:$J$4331,A110),2)</f>
        <v>524.67</v>
      </c>
      <c r="L110" s="9">
        <f>ROUND(J110-K110,2)</f>
        <v>0</v>
      </c>
      <c r="M110" s="9">
        <f>ROUND(SUMIFS('Bank Lines'!$E$5:$E$1640,'Bank Lines'!$G$5:$G$1640,A110,'Bank Lines'!$J$5:$J$1640,1,'Bank Lines'!$C$5:$C$1640,"&lt;="&amp;Cover!$C$13),2)</f>
        <v>524.67</v>
      </c>
      <c r="N110" s="9">
        <f>ROUND(SUMIFS('Odoo Items'!$G$5:$G$4331,'Odoo Items'!$J$5:$J$4331,A110,'Odoo Items'!$C$5:$C$4331,"&lt;="&amp;Cover!$C$13),2)</f>
        <v>524.67</v>
      </c>
      <c r="O110">
        <f>COUNTIFS('Bank Lines'!$G$5:$G$1640,A110,'Bank Lines'!$J$5:$J$1640,1,'Bank Lines'!$C$5:$C$1640,"&lt;="&amp;Cover!$C$13)</f>
        <v>1</v>
      </c>
      <c r="P110">
        <f>COUNTIFS('Odoo Items'!$J$5:$J$4331,A110,'Odoo Items'!$C$5:$C$4331,"&lt;="&amp;Cover!$C$13)</f>
        <v>3</v>
      </c>
      <c r="Q110" t="str">
        <f>IF(AND(O110=0,P110=0),"",IF(O110=0,"ODOO-ONLY",IF(P110=0,"BANK-ONLY","BOTH")))</f>
        <v>BOTH</v>
      </c>
      <c r="R110" s="9">
        <f>IF(Q110="BOTH",ROUND(M110-N110,2),0)</f>
        <v>0</v>
      </c>
      <c r="S110" s="9">
        <f>ROUND(SUMIFS('Bank Lines'!$E$5:$E$1640,'Bank Lines'!$G$5:$G$1640,A110,'Bank Lines'!$J$5:$J$1640,1,'Bank Lines'!$C$5:$C$1640,"&lt;="&amp;Cover!$C$14),2)</f>
        <v>524.67</v>
      </c>
      <c r="T110" s="9">
        <f>ROUND(SUMIFS('Odoo Items'!$G$5:$G$4331,'Odoo Items'!$J$5:$J$4331,A110,'Odoo Items'!$C$5:$C$4331,"&lt;="&amp;Cover!$C$14),2)</f>
        <v>524.67</v>
      </c>
      <c r="U110">
        <f>COUNTIFS('Bank Lines'!$G$5:$G$1640,A110,'Bank Lines'!$J$5:$J$1640,1,'Bank Lines'!$C$5:$C$1640,"&lt;="&amp;Cover!$C$14)</f>
        <v>1</v>
      </c>
      <c r="V110">
        <f>COUNTIFS('Odoo Items'!$J$5:$J$4331,A110,'Odoo Items'!$C$5:$C$4331,"&lt;="&amp;Cover!$C$14)</f>
        <v>3</v>
      </c>
      <c r="W110" t="str">
        <f>IF(AND(U110=0,V110=0),"",IF(U110=0,"ODOO-ONLY",IF(V110=0,"BANK-ONLY","BOTH")))</f>
        <v>BOTH</v>
      </c>
      <c r="X110" s="9">
        <f>IF(W110="BOTH",ROUND(S110-T110,2),0)</f>
        <v>0</v>
      </c>
      <c r="Y110" s="9">
        <f>ROUND(SUMIFS('Bank Lines'!$E$5:$E$1640,'Bank Lines'!$G$5:$G$1640,A110,'Bank Lines'!$J$5:$J$1640,1,'Bank Lines'!$C$5:$C$1640,"&lt;="&amp;Cover!$C$15),2)</f>
        <v>524.67</v>
      </c>
      <c r="Z110" s="9">
        <f>ROUND(SUMIFS('Odoo Items'!$G$5:$G$4331,'Odoo Items'!$J$5:$J$4331,A110,'Odoo Items'!$C$5:$C$4331,"&lt;="&amp;Cover!$C$15),2)</f>
        <v>524.67</v>
      </c>
      <c r="AA110">
        <f>COUNTIFS('Bank Lines'!$G$5:$G$1640,A110,'Bank Lines'!$J$5:$J$1640,1,'Bank Lines'!$C$5:$C$1640,"&lt;="&amp;Cover!$C$15)</f>
        <v>1</v>
      </c>
      <c r="AB110">
        <f>COUNTIFS('Odoo Items'!$J$5:$J$4331,A110,'Odoo Items'!$C$5:$C$4331,"&lt;="&amp;Cover!$C$15)</f>
        <v>3</v>
      </c>
      <c r="AC110" t="str">
        <f>IF(AND(AA110=0,AB110=0),"",IF(AA110=0,"ODOO-ONLY",IF(AB110=0,"BANK-ONLY","BOTH")))</f>
        <v>BOTH</v>
      </c>
      <c r="AD110" s="9">
        <f>IF(AC110="BOTH",ROUND(Y110-Z110,2),0)</f>
        <v>0</v>
      </c>
    </row>
    <row r="111">
      <c r="A111" t="inlineStr">
        <is>
          <t>G00107</t>
        </is>
      </c>
      <c r="B111" t="inlineStr">
        <is>
          <t>OPS</t>
        </is>
      </c>
      <c r="C111" t="inlineStr">
        <is>
          <t>R03</t>
        </is>
      </c>
      <c r="D111" t="inlineStr">
        <is>
          <t>REG</t>
        </is>
      </c>
      <c r="E111" t="inlineStr">
        <is>
          <t>Acacia Plan Partners</t>
        </is>
      </c>
      <c r="F111" t="n">
        <v>1</v>
      </c>
      <c r="G111" t="inlineStr">
        <is>
          <t>Receipt not registered in Odoo; remittance RA44828 lists 4 invoices</t>
        </is>
      </c>
      <c r="H111">
        <f>COUNTIFS('Bank Lines'!$G$5:$G$1640,A111,'Bank Lines'!$J$5:$J$1640,1)</f>
        <v>1</v>
      </c>
      <c r="I111">
        <f>COUNTIFS('Odoo Items'!$J$5:$J$4331,A111)</f>
        <v>0</v>
      </c>
      <c r="J111" s="9">
        <f>ROUND(SUMIFS('Bank Lines'!$E$5:$E$1640,'Bank Lines'!$G$5:$G$1640,A111,'Bank Lines'!$J$5:$J$1640,1),2)</f>
        <v>1193.94</v>
      </c>
      <c r="K111" s="9">
        <f>ROUND(SUMIFS('Odoo Items'!$G$5:$G$4331,'Odoo Items'!$J$5:$J$4331,A111),2)</f>
        <v>0</v>
      </c>
      <c r="L111" s="9">
        <f>ROUND(J111-K111,2)</f>
        <v>1193.94</v>
      </c>
      <c r="M111" s="9">
        <f>ROUND(SUMIFS('Bank Lines'!$E$5:$E$1640,'Bank Lines'!$G$5:$G$1640,A111,'Bank Lines'!$J$5:$J$1640,1,'Bank Lines'!$C$5:$C$1640,"&lt;="&amp;Cover!$C$13),2)</f>
        <v>1193.94</v>
      </c>
      <c r="N111" s="9">
        <f>ROUND(SUMIFS('Odoo Items'!$G$5:$G$4331,'Odoo Items'!$J$5:$J$4331,A111,'Odoo Items'!$C$5:$C$4331,"&lt;="&amp;Cover!$C$13),2)</f>
        <v>0</v>
      </c>
      <c r="O111">
        <f>COUNTIFS('Bank Lines'!$G$5:$G$1640,A111,'Bank Lines'!$J$5:$J$1640,1,'Bank Lines'!$C$5:$C$1640,"&lt;="&amp;Cover!$C$13)</f>
        <v>1</v>
      </c>
      <c r="P111">
        <f>COUNTIFS('Odoo Items'!$J$5:$J$4331,A111,'Odoo Items'!$C$5:$C$4331,"&lt;="&amp;Cover!$C$13)</f>
        <v>0</v>
      </c>
      <c r="Q111" t="str">
        <f>IF(AND(O111=0,P111=0),"",IF(O111=0,"ODOO-ONLY",IF(P111=0,"BANK-ONLY","BOTH")))</f>
        <v>BANK-ONLY</v>
      </c>
      <c r="R111" s="9">
        <f>IF(Q111="BOTH",ROUND(M111-N111,2),0)</f>
        <v>0</v>
      </c>
      <c r="S111" s="9">
        <f>ROUND(SUMIFS('Bank Lines'!$E$5:$E$1640,'Bank Lines'!$G$5:$G$1640,A111,'Bank Lines'!$J$5:$J$1640,1,'Bank Lines'!$C$5:$C$1640,"&lt;="&amp;Cover!$C$14),2)</f>
        <v>1193.94</v>
      </c>
      <c r="T111" s="9">
        <f>ROUND(SUMIFS('Odoo Items'!$G$5:$G$4331,'Odoo Items'!$J$5:$J$4331,A111,'Odoo Items'!$C$5:$C$4331,"&lt;="&amp;Cover!$C$14),2)</f>
        <v>0</v>
      </c>
      <c r="U111">
        <f>COUNTIFS('Bank Lines'!$G$5:$G$1640,A111,'Bank Lines'!$J$5:$J$1640,1,'Bank Lines'!$C$5:$C$1640,"&lt;="&amp;Cover!$C$14)</f>
        <v>1</v>
      </c>
      <c r="V111">
        <f>COUNTIFS('Odoo Items'!$J$5:$J$4331,A111,'Odoo Items'!$C$5:$C$4331,"&lt;="&amp;Cover!$C$14)</f>
        <v>0</v>
      </c>
      <c r="W111" t="str">
        <f>IF(AND(U111=0,V111=0),"",IF(U111=0,"ODOO-ONLY",IF(V111=0,"BANK-ONLY","BOTH")))</f>
        <v>BANK-ONLY</v>
      </c>
      <c r="X111" s="9">
        <f>IF(W111="BOTH",ROUND(S111-T111,2),0)</f>
        <v>0</v>
      </c>
      <c r="Y111" s="9">
        <f>ROUND(SUMIFS('Bank Lines'!$E$5:$E$1640,'Bank Lines'!$G$5:$G$1640,A111,'Bank Lines'!$J$5:$J$1640,1,'Bank Lines'!$C$5:$C$1640,"&lt;="&amp;Cover!$C$15),2)</f>
        <v>1193.94</v>
      </c>
      <c r="Z111" s="9">
        <f>ROUND(SUMIFS('Odoo Items'!$G$5:$G$4331,'Odoo Items'!$J$5:$J$4331,A111,'Odoo Items'!$C$5:$C$4331,"&lt;="&amp;Cover!$C$15),2)</f>
        <v>0</v>
      </c>
      <c r="AA111">
        <f>COUNTIFS('Bank Lines'!$G$5:$G$1640,A111,'Bank Lines'!$J$5:$J$1640,1,'Bank Lines'!$C$5:$C$1640,"&lt;="&amp;Cover!$C$15)</f>
        <v>1</v>
      </c>
      <c r="AB111">
        <f>COUNTIFS('Odoo Items'!$J$5:$J$4331,A111,'Odoo Items'!$C$5:$C$4331,"&lt;="&amp;Cover!$C$15)</f>
        <v>0</v>
      </c>
      <c r="AC111" t="str">
        <f>IF(AND(AA111=0,AB111=0),"",IF(AA111=0,"ODOO-ONLY",IF(AB111=0,"BANK-ONLY","BOTH")))</f>
        <v>BANK-ONLY</v>
      </c>
      <c r="AD111" s="9">
        <f>IF(AC111="BOTH",ROUND(Y111-Z111,2),0)</f>
        <v>0</v>
      </c>
    </row>
    <row r="112">
      <c r="A112" t="inlineStr">
        <is>
          <t>G00108</t>
        </is>
      </c>
      <c r="B112" t="inlineStr">
        <is>
          <t>OPS</t>
        </is>
      </c>
      <c r="C112" t="inlineStr">
        <is>
          <t>R03</t>
        </is>
      </c>
      <c r="D112" t="inlineStr">
        <is>
          <t>MATCH</t>
        </is>
      </c>
      <c r="E112" t="inlineStr">
        <is>
          <t>Bluegum Plan Management</t>
        </is>
      </c>
      <c r="F112" t="n">
        <v>1</v>
      </c>
      <c r="G112" t="inlineStr">
        <is>
          <t>2 invoices</t>
        </is>
      </c>
      <c r="H112">
        <f>COUNTIFS('Bank Lines'!$G$5:$G$1640,A112,'Bank Lines'!$J$5:$J$1640,1)</f>
        <v>1</v>
      </c>
      <c r="I112">
        <f>COUNTIFS('Odoo Items'!$J$5:$J$4331,A112)</f>
        <v>2</v>
      </c>
      <c r="J112" s="9">
        <f>ROUND(SUMIFS('Bank Lines'!$E$5:$E$1640,'Bank Lines'!$G$5:$G$1640,A112,'Bank Lines'!$J$5:$J$1640,1),2)</f>
        <v>447.98</v>
      </c>
      <c r="K112" s="9">
        <f>ROUND(SUMIFS('Odoo Items'!$G$5:$G$4331,'Odoo Items'!$J$5:$J$4331,A112),2)</f>
        <v>447.98</v>
      </c>
      <c r="L112" s="9">
        <f>ROUND(J112-K112,2)</f>
        <v>0</v>
      </c>
      <c r="M112" s="9">
        <f>ROUND(SUMIFS('Bank Lines'!$E$5:$E$1640,'Bank Lines'!$G$5:$G$1640,A112,'Bank Lines'!$J$5:$J$1640,1,'Bank Lines'!$C$5:$C$1640,"&lt;="&amp;Cover!$C$13),2)</f>
        <v>447.98</v>
      </c>
      <c r="N112" s="9">
        <f>ROUND(SUMIFS('Odoo Items'!$G$5:$G$4331,'Odoo Items'!$J$5:$J$4331,A112,'Odoo Items'!$C$5:$C$4331,"&lt;="&amp;Cover!$C$13),2)</f>
        <v>447.98</v>
      </c>
      <c r="O112">
        <f>COUNTIFS('Bank Lines'!$G$5:$G$1640,A112,'Bank Lines'!$J$5:$J$1640,1,'Bank Lines'!$C$5:$C$1640,"&lt;="&amp;Cover!$C$13)</f>
        <v>1</v>
      </c>
      <c r="P112">
        <f>COUNTIFS('Odoo Items'!$J$5:$J$4331,A112,'Odoo Items'!$C$5:$C$4331,"&lt;="&amp;Cover!$C$13)</f>
        <v>2</v>
      </c>
      <c r="Q112" t="str">
        <f>IF(AND(O112=0,P112=0),"",IF(O112=0,"ODOO-ONLY",IF(P112=0,"BANK-ONLY","BOTH")))</f>
        <v>BOTH</v>
      </c>
      <c r="R112" s="9">
        <f>IF(Q112="BOTH",ROUND(M112-N112,2),0)</f>
        <v>0</v>
      </c>
      <c r="S112" s="9">
        <f>ROUND(SUMIFS('Bank Lines'!$E$5:$E$1640,'Bank Lines'!$G$5:$G$1640,A112,'Bank Lines'!$J$5:$J$1640,1,'Bank Lines'!$C$5:$C$1640,"&lt;="&amp;Cover!$C$14),2)</f>
        <v>447.98</v>
      </c>
      <c r="T112" s="9">
        <f>ROUND(SUMIFS('Odoo Items'!$G$5:$G$4331,'Odoo Items'!$J$5:$J$4331,A112,'Odoo Items'!$C$5:$C$4331,"&lt;="&amp;Cover!$C$14),2)</f>
        <v>447.98</v>
      </c>
      <c r="U112">
        <f>COUNTIFS('Bank Lines'!$G$5:$G$1640,A112,'Bank Lines'!$J$5:$J$1640,1,'Bank Lines'!$C$5:$C$1640,"&lt;="&amp;Cover!$C$14)</f>
        <v>1</v>
      </c>
      <c r="V112">
        <f>COUNTIFS('Odoo Items'!$J$5:$J$4331,A112,'Odoo Items'!$C$5:$C$4331,"&lt;="&amp;Cover!$C$14)</f>
        <v>2</v>
      </c>
      <c r="W112" t="str">
        <f>IF(AND(U112=0,V112=0),"",IF(U112=0,"ODOO-ONLY",IF(V112=0,"BANK-ONLY","BOTH")))</f>
        <v>BOTH</v>
      </c>
      <c r="X112" s="9">
        <f>IF(W112="BOTH",ROUND(S112-T112,2),0)</f>
        <v>0</v>
      </c>
      <c r="Y112" s="9">
        <f>ROUND(SUMIFS('Bank Lines'!$E$5:$E$1640,'Bank Lines'!$G$5:$G$1640,A112,'Bank Lines'!$J$5:$J$1640,1,'Bank Lines'!$C$5:$C$1640,"&lt;="&amp;Cover!$C$15),2)</f>
        <v>447.98</v>
      </c>
      <c r="Z112" s="9">
        <f>ROUND(SUMIFS('Odoo Items'!$G$5:$G$4331,'Odoo Items'!$J$5:$J$4331,A112,'Odoo Items'!$C$5:$C$4331,"&lt;="&amp;Cover!$C$15),2)</f>
        <v>447.98</v>
      </c>
      <c r="AA112">
        <f>COUNTIFS('Bank Lines'!$G$5:$G$1640,A112,'Bank Lines'!$J$5:$J$1640,1,'Bank Lines'!$C$5:$C$1640,"&lt;="&amp;Cover!$C$15)</f>
        <v>1</v>
      </c>
      <c r="AB112">
        <f>COUNTIFS('Odoo Items'!$J$5:$J$4331,A112,'Odoo Items'!$C$5:$C$4331,"&lt;="&amp;Cover!$C$15)</f>
        <v>2</v>
      </c>
      <c r="AC112" t="str">
        <f>IF(AND(AA112=0,AB112=0),"",IF(AA112=0,"ODOO-ONLY",IF(AB112=0,"BANK-ONLY","BOTH")))</f>
        <v>BOTH</v>
      </c>
      <c r="AD112" s="9">
        <f>IF(AC112="BOTH",ROUND(Y112-Z112,2),0)</f>
        <v>0</v>
      </c>
    </row>
    <row r="113">
      <c r="A113" t="inlineStr">
        <is>
          <t>G00109</t>
        </is>
      </c>
      <c r="B113" t="inlineStr">
        <is>
          <t>OPS</t>
        </is>
      </c>
      <c r="C113" t="inlineStr">
        <is>
          <t>R03</t>
        </is>
      </c>
      <c r="D113" t="inlineStr">
        <is>
          <t>MATCH</t>
        </is>
      </c>
      <c r="E113" t="inlineStr">
        <is>
          <t>Clearpath NDIS Plans</t>
        </is>
      </c>
      <c r="F113" t="n">
        <v>1</v>
      </c>
      <c r="G113" t="inlineStr">
        <is>
          <t>12 invoices</t>
        </is>
      </c>
      <c r="H113">
        <f>COUNTIFS('Bank Lines'!$G$5:$G$1640,A113,'Bank Lines'!$J$5:$J$1640,1)</f>
        <v>1</v>
      </c>
      <c r="I113">
        <f>COUNTIFS('Odoo Items'!$J$5:$J$4331,A113)</f>
        <v>12</v>
      </c>
      <c r="J113" s="9">
        <f>ROUND(SUMIFS('Bank Lines'!$E$5:$E$1640,'Bank Lines'!$G$5:$G$1640,A113,'Bank Lines'!$J$5:$J$1640,1),2)</f>
        <v>2494.54</v>
      </c>
      <c r="K113" s="9">
        <f>ROUND(SUMIFS('Odoo Items'!$G$5:$G$4331,'Odoo Items'!$J$5:$J$4331,A113),2)</f>
        <v>2494.54</v>
      </c>
      <c r="L113" s="9">
        <f>ROUND(J113-K113,2)</f>
        <v>0</v>
      </c>
      <c r="M113" s="9">
        <f>ROUND(SUMIFS('Bank Lines'!$E$5:$E$1640,'Bank Lines'!$G$5:$G$1640,A113,'Bank Lines'!$J$5:$J$1640,1,'Bank Lines'!$C$5:$C$1640,"&lt;="&amp;Cover!$C$13),2)</f>
        <v>2494.54</v>
      </c>
      <c r="N113" s="9">
        <f>ROUND(SUMIFS('Odoo Items'!$G$5:$G$4331,'Odoo Items'!$J$5:$J$4331,A113,'Odoo Items'!$C$5:$C$4331,"&lt;="&amp;Cover!$C$13),2)</f>
        <v>2494.54</v>
      </c>
      <c r="O113">
        <f>COUNTIFS('Bank Lines'!$G$5:$G$1640,A113,'Bank Lines'!$J$5:$J$1640,1,'Bank Lines'!$C$5:$C$1640,"&lt;="&amp;Cover!$C$13)</f>
        <v>1</v>
      </c>
      <c r="P113">
        <f>COUNTIFS('Odoo Items'!$J$5:$J$4331,A113,'Odoo Items'!$C$5:$C$4331,"&lt;="&amp;Cover!$C$13)</f>
        <v>12</v>
      </c>
      <c r="Q113" t="str">
        <f>IF(AND(O113=0,P113=0),"",IF(O113=0,"ODOO-ONLY",IF(P113=0,"BANK-ONLY","BOTH")))</f>
        <v>BOTH</v>
      </c>
      <c r="R113" s="9">
        <f>IF(Q113="BOTH",ROUND(M113-N113,2),0)</f>
        <v>0</v>
      </c>
      <c r="S113" s="9">
        <f>ROUND(SUMIFS('Bank Lines'!$E$5:$E$1640,'Bank Lines'!$G$5:$G$1640,A113,'Bank Lines'!$J$5:$J$1640,1,'Bank Lines'!$C$5:$C$1640,"&lt;="&amp;Cover!$C$14),2)</f>
        <v>2494.54</v>
      </c>
      <c r="T113" s="9">
        <f>ROUND(SUMIFS('Odoo Items'!$G$5:$G$4331,'Odoo Items'!$J$5:$J$4331,A113,'Odoo Items'!$C$5:$C$4331,"&lt;="&amp;Cover!$C$14),2)</f>
        <v>2494.54</v>
      </c>
      <c r="U113">
        <f>COUNTIFS('Bank Lines'!$G$5:$G$1640,A113,'Bank Lines'!$J$5:$J$1640,1,'Bank Lines'!$C$5:$C$1640,"&lt;="&amp;Cover!$C$14)</f>
        <v>1</v>
      </c>
      <c r="V113">
        <f>COUNTIFS('Odoo Items'!$J$5:$J$4331,A113,'Odoo Items'!$C$5:$C$4331,"&lt;="&amp;Cover!$C$14)</f>
        <v>12</v>
      </c>
      <c r="W113" t="str">
        <f>IF(AND(U113=0,V113=0),"",IF(U113=0,"ODOO-ONLY",IF(V113=0,"BANK-ONLY","BOTH")))</f>
        <v>BOTH</v>
      </c>
      <c r="X113" s="9">
        <f>IF(W113="BOTH",ROUND(S113-T113,2),0)</f>
        <v>0</v>
      </c>
      <c r="Y113" s="9">
        <f>ROUND(SUMIFS('Bank Lines'!$E$5:$E$1640,'Bank Lines'!$G$5:$G$1640,A113,'Bank Lines'!$J$5:$J$1640,1,'Bank Lines'!$C$5:$C$1640,"&lt;="&amp;Cover!$C$15),2)</f>
        <v>2494.54</v>
      </c>
      <c r="Z113" s="9">
        <f>ROUND(SUMIFS('Odoo Items'!$G$5:$G$4331,'Odoo Items'!$J$5:$J$4331,A113,'Odoo Items'!$C$5:$C$4331,"&lt;="&amp;Cover!$C$15),2)</f>
        <v>2494.54</v>
      </c>
      <c r="AA113">
        <f>COUNTIFS('Bank Lines'!$G$5:$G$1640,A113,'Bank Lines'!$J$5:$J$1640,1,'Bank Lines'!$C$5:$C$1640,"&lt;="&amp;Cover!$C$15)</f>
        <v>1</v>
      </c>
      <c r="AB113">
        <f>COUNTIFS('Odoo Items'!$J$5:$J$4331,A113,'Odoo Items'!$C$5:$C$4331,"&lt;="&amp;Cover!$C$15)</f>
        <v>12</v>
      </c>
      <c r="AC113" t="str">
        <f>IF(AND(AA113=0,AB113=0),"",IF(AA113=0,"ODOO-ONLY",IF(AB113=0,"BANK-ONLY","BOTH")))</f>
        <v>BOTH</v>
      </c>
      <c r="AD113" s="9">
        <f>IF(AC113="BOTH",ROUND(Y113-Z113,2),0)</f>
        <v>0</v>
      </c>
    </row>
    <row r="114">
      <c r="A114" t="inlineStr">
        <is>
          <t>G00110</t>
        </is>
      </c>
      <c r="B114" t="inlineStr">
        <is>
          <t>OPS</t>
        </is>
      </c>
      <c r="C114" t="inlineStr">
        <is>
          <t>R03</t>
        </is>
      </c>
      <c r="D114" t="inlineStr">
        <is>
          <t>REG</t>
        </is>
      </c>
      <c r="E114" t="inlineStr">
        <is>
          <t>Wattle Plan Services</t>
        </is>
      </c>
      <c r="F114" t="n">
        <v>0.973</v>
      </c>
      <c r="G114" t="inlineStr">
        <is>
          <t>Receipt not registered in Odoo; remittance RA44831 lists 4 invoices</t>
        </is>
      </c>
      <c r="H114">
        <f>COUNTIFS('Bank Lines'!$G$5:$G$1640,A114,'Bank Lines'!$J$5:$J$1640,1)</f>
        <v>1</v>
      </c>
      <c r="I114">
        <f>COUNTIFS('Odoo Items'!$J$5:$J$4331,A114)</f>
        <v>0</v>
      </c>
      <c r="J114" s="9">
        <f>ROUND(SUMIFS('Bank Lines'!$E$5:$E$1640,'Bank Lines'!$G$5:$G$1640,A114,'Bank Lines'!$J$5:$J$1640,1),2)</f>
        <v>884.45</v>
      </c>
      <c r="K114" s="9">
        <f>ROUND(SUMIFS('Odoo Items'!$G$5:$G$4331,'Odoo Items'!$J$5:$J$4331,A114),2)</f>
        <v>0</v>
      </c>
      <c r="L114" s="9">
        <f>ROUND(J114-K114,2)</f>
        <v>884.45</v>
      </c>
      <c r="M114" s="9">
        <f>ROUND(SUMIFS('Bank Lines'!$E$5:$E$1640,'Bank Lines'!$G$5:$G$1640,A114,'Bank Lines'!$J$5:$J$1640,1,'Bank Lines'!$C$5:$C$1640,"&lt;="&amp;Cover!$C$13),2)</f>
        <v>884.45</v>
      </c>
      <c r="N114" s="9">
        <f>ROUND(SUMIFS('Odoo Items'!$G$5:$G$4331,'Odoo Items'!$J$5:$J$4331,A114,'Odoo Items'!$C$5:$C$4331,"&lt;="&amp;Cover!$C$13),2)</f>
        <v>0</v>
      </c>
      <c r="O114">
        <f>COUNTIFS('Bank Lines'!$G$5:$G$1640,A114,'Bank Lines'!$J$5:$J$1640,1,'Bank Lines'!$C$5:$C$1640,"&lt;="&amp;Cover!$C$13)</f>
        <v>1</v>
      </c>
      <c r="P114">
        <f>COUNTIFS('Odoo Items'!$J$5:$J$4331,A114,'Odoo Items'!$C$5:$C$4331,"&lt;="&amp;Cover!$C$13)</f>
        <v>0</v>
      </c>
      <c r="Q114" t="str">
        <f>IF(AND(O114=0,P114=0),"",IF(O114=0,"ODOO-ONLY",IF(P114=0,"BANK-ONLY","BOTH")))</f>
        <v>BANK-ONLY</v>
      </c>
      <c r="R114" s="9">
        <f>IF(Q114="BOTH",ROUND(M114-N114,2),0)</f>
        <v>0</v>
      </c>
      <c r="S114" s="9">
        <f>ROUND(SUMIFS('Bank Lines'!$E$5:$E$1640,'Bank Lines'!$G$5:$G$1640,A114,'Bank Lines'!$J$5:$J$1640,1,'Bank Lines'!$C$5:$C$1640,"&lt;="&amp;Cover!$C$14),2)</f>
        <v>884.45</v>
      </c>
      <c r="T114" s="9">
        <f>ROUND(SUMIFS('Odoo Items'!$G$5:$G$4331,'Odoo Items'!$J$5:$J$4331,A114,'Odoo Items'!$C$5:$C$4331,"&lt;="&amp;Cover!$C$14),2)</f>
        <v>0</v>
      </c>
      <c r="U114">
        <f>COUNTIFS('Bank Lines'!$G$5:$G$1640,A114,'Bank Lines'!$J$5:$J$1640,1,'Bank Lines'!$C$5:$C$1640,"&lt;="&amp;Cover!$C$14)</f>
        <v>1</v>
      </c>
      <c r="V114">
        <f>COUNTIFS('Odoo Items'!$J$5:$J$4331,A114,'Odoo Items'!$C$5:$C$4331,"&lt;="&amp;Cover!$C$14)</f>
        <v>0</v>
      </c>
      <c r="W114" t="str">
        <f>IF(AND(U114=0,V114=0),"",IF(U114=0,"ODOO-ONLY",IF(V114=0,"BANK-ONLY","BOTH")))</f>
        <v>BANK-ONLY</v>
      </c>
      <c r="X114" s="9">
        <f>IF(W114="BOTH",ROUND(S114-T114,2),0)</f>
        <v>0</v>
      </c>
      <c r="Y114" s="9">
        <f>ROUND(SUMIFS('Bank Lines'!$E$5:$E$1640,'Bank Lines'!$G$5:$G$1640,A114,'Bank Lines'!$J$5:$J$1640,1,'Bank Lines'!$C$5:$C$1640,"&lt;="&amp;Cover!$C$15),2)</f>
        <v>884.45</v>
      </c>
      <c r="Z114" s="9">
        <f>ROUND(SUMIFS('Odoo Items'!$G$5:$G$4331,'Odoo Items'!$J$5:$J$4331,A114,'Odoo Items'!$C$5:$C$4331,"&lt;="&amp;Cover!$C$15),2)</f>
        <v>0</v>
      </c>
      <c r="AA114">
        <f>COUNTIFS('Bank Lines'!$G$5:$G$1640,A114,'Bank Lines'!$J$5:$J$1640,1,'Bank Lines'!$C$5:$C$1640,"&lt;="&amp;Cover!$C$15)</f>
        <v>1</v>
      </c>
      <c r="AB114">
        <f>COUNTIFS('Odoo Items'!$J$5:$J$4331,A114,'Odoo Items'!$C$5:$C$4331,"&lt;="&amp;Cover!$C$15)</f>
        <v>0</v>
      </c>
      <c r="AC114" t="str">
        <f>IF(AND(AA114=0,AB114=0),"",IF(AA114=0,"ODOO-ONLY",IF(AB114=0,"BANK-ONLY","BOTH")))</f>
        <v>BANK-ONLY</v>
      </c>
      <c r="AD114" s="9">
        <f>IF(AC114="BOTH",ROUND(Y114-Z114,2),0)</f>
        <v>0</v>
      </c>
    </row>
    <row r="115">
      <c r="A115" t="inlineStr">
        <is>
          <t>G00111</t>
        </is>
      </c>
      <c r="B115" t="inlineStr">
        <is>
          <t>OPS</t>
        </is>
      </c>
      <c r="C115" t="inlineStr">
        <is>
          <t>R03</t>
        </is>
      </c>
      <c r="D115" t="inlineStr">
        <is>
          <t>MATCH</t>
        </is>
      </c>
      <c r="E115" t="inlineStr">
        <is>
          <t>Banksia Plan Co</t>
        </is>
      </c>
      <c r="F115" t="n">
        <v>1</v>
      </c>
      <c r="G115" t="inlineStr">
        <is>
          <t>6 invoices</t>
        </is>
      </c>
      <c r="H115">
        <f>COUNTIFS('Bank Lines'!$G$5:$G$1640,A115,'Bank Lines'!$J$5:$J$1640,1)</f>
        <v>1</v>
      </c>
      <c r="I115">
        <f>COUNTIFS('Odoo Items'!$J$5:$J$4331,A115)</f>
        <v>6</v>
      </c>
      <c r="J115" s="9">
        <f>ROUND(SUMIFS('Bank Lines'!$E$5:$E$1640,'Bank Lines'!$G$5:$G$1640,A115,'Bank Lines'!$J$5:$J$1640,1),2)</f>
        <v>1077.54</v>
      </c>
      <c r="K115" s="9">
        <f>ROUND(SUMIFS('Odoo Items'!$G$5:$G$4331,'Odoo Items'!$J$5:$J$4331,A115),2)</f>
        <v>1077.54</v>
      </c>
      <c r="L115" s="9">
        <f>ROUND(J115-K115,2)</f>
        <v>0</v>
      </c>
      <c r="M115" s="9">
        <f>ROUND(SUMIFS('Bank Lines'!$E$5:$E$1640,'Bank Lines'!$G$5:$G$1640,A115,'Bank Lines'!$J$5:$J$1640,1,'Bank Lines'!$C$5:$C$1640,"&lt;="&amp;Cover!$C$13),2)</f>
        <v>1077.54</v>
      </c>
      <c r="N115" s="9">
        <f>ROUND(SUMIFS('Odoo Items'!$G$5:$G$4331,'Odoo Items'!$J$5:$J$4331,A115,'Odoo Items'!$C$5:$C$4331,"&lt;="&amp;Cover!$C$13),2)</f>
        <v>1077.54</v>
      </c>
      <c r="O115">
        <f>COUNTIFS('Bank Lines'!$G$5:$G$1640,A115,'Bank Lines'!$J$5:$J$1640,1,'Bank Lines'!$C$5:$C$1640,"&lt;="&amp;Cover!$C$13)</f>
        <v>1</v>
      </c>
      <c r="P115">
        <f>COUNTIFS('Odoo Items'!$J$5:$J$4331,A115,'Odoo Items'!$C$5:$C$4331,"&lt;="&amp;Cover!$C$13)</f>
        <v>6</v>
      </c>
      <c r="Q115" t="str">
        <f>IF(AND(O115=0,P115=0),"",IF(O115=0,"ODOO-ONLY",IF(P115=0,"BANK-ONLY","BOTH")))</f>
        <v>BOTH</v>
      </c>
      <c r="R115" s="9">
        <f>IF(Q115="BOTH",ROUND(M115-N115,2),0)</f>
        <v>0</v>
      </c>
      <c r="S115" s="9">
        <f>ROUND(SUMIFS('Bank Lines'!$E$5:$E$1640,'Bank Lines'!$G$5:$G$1640,A115,'Bank Lines'!$J$5:$J$1640,1,'Bank Lines'!$C$5:$C$1640,"&lt;="&amp;Cover!$C$14),2)</f>
        <v>1077.54</v>
      </c>
      <c r="T115" s="9">
        <f>ROUND(SUMIFS('Odoo Items'!$G$5:$G$4331,'Odoo Items'!$J$5:$J$4331,A115,'Odoo Items'!$C$5:$C$4331,"&lt;="&amp;Cover!$C$14),2)</f>
        <v>1077.54</v>
      </c>
      <c r="U115">
        <f>COUNTIFS('Bank Lines'!$G$5:$G$1640,A115,'Bank Lines'!$J$5:$J$1640,1,'Bank Lines'!$C$5:$C$1640,"&lt;="&amp;Cover!$C$14)</f>
        <v>1</v>
      </c>
      <c r="V115">
        <f>COUNTIFS('Odoo Items'!$J$5:$J$4331,A115,'Odoo Items'!$C$5:$C$4331,"&lt;="&amp;Cover!$C$14)</f>
        <v>6</v>
      </c>
      <c r="W115" t="str">
        <f>IF(AND(U115=0,V115=0),"",IF(U115=0,"ODOO-ONLY",IF(V115=0,"BANK-ONLY","BOTH")))</f>
        <v>BOTH</v>
      </c>
      <c r="X115" s="9">
        <f>IF(W115="BOTH",ROUND(S115-T115,2),0)</f>
        <v>0</v>
      </c>
      <c r="Y115" s="9">
        <f>ROUND(SUMIFS('Bank Lines'!$E$5:$E$1640,'Bank Lines'!$G$5:$G$1640,A115,'Bank Lines'!$J$5:$J$1640,1,'Bank Lines'!$C$5:$C$1640,"&lt;="&amp;Cover!$C$15),2)</f>
        <v>1077.54</v>
      </c>
      <c r="Z115" s="9">
        <f>ROUND(SUMIFS('Odoo Items'!$G$5:$G$4331,'Odoo Items'!$J$5:$J$4331,A115,'Odoo Items'!$C$5:$C$4331,"&lt;="&amp;Cover!$C$15),2)</f>
        <v>1077.54</v>
      </c>
      <c r="AA115">
        <f>COUNTIFS('Bank Lines'!$G$5:$G$1640,A115,'Bank Lines'!$J$5:$J$1640,1,'Bank Lines'!$C$5:$C$1640,"&lt;="&amp;Cover!$C$15)</f>
        <v>1</v>
      </c>
      <c r="AB115">
        <f>COUNTIFS('Odoo Items'!$J$5:$J$4331,A115,'Odoo Items'!$C$5:$C$4331,"&lt;="&amp;Cover!$C$15)</f>
        <v>6</v>
      </c>
      <c r="AC115" t="str">
        <f>IF(AND(AA115=0,AB115=0),"",IF(AA115=0,"ODOO-ONLY",IF(AB115=0,"BANK-ONLY","BOTH")))</f>
        <v>BOTH</v>
      </c>
      <c r="AD115" s="9">
        <f>IF(AC115="BOTH",ROUND(Y115-Z115,2),0)</f>
        <v>0</v>
      </c>
    </row>
    <row r="116">
      <c r="A116" t="inlineStr">
        <is>
          <t>G00112</t>
        </is>
      </c>
      <c r="B116" t="inlineStr">
        <is>
          <t>OPS</t>
        </is>
      </c>
      <c r="C116" t="inlineStr">
        <is>
          <t>R03</t>
        </is>
      </c>
      <c r="D116" t="inlineStr">
        <is>
          <t>MATCH</t>
        </is>
      </c>
      <c r="E116" t="inlineStr">
        <is>
          <t>Ironbark Plan Management</t>
        </is>
      </c>
      <c r="F116" t="n">
        <v>1</v>
      </c>
      <c r="G116" t="inlineStr">
        <is>
          <t>2 invoices</t>
        </is>
      </c>
      <c r="H116">
        <f>COUNTIFS('Bank Lines'!$G$5:$G$1640,A116,'Bank Lines'!$J$5:$J$1640,1)</f>
        <v>1</v>
      </c>
      <c r="I116">
        <f>COUNTIFS('Odoo Items'!$J$5:$J$4331,A116)</f>
        <v>2</v>
      </c>
      <c r="J116" s="9">
        <f>ROUND(SUMIFS('Bank Lines'!$E$5:$E$1640,'Bank Lines'!$G$5:$G$1640,A116,'Bank Lines'!$J$5:$J$1640,1),2)</f>
        <v>640.17</v>
      </c>
      <c r="K116" s="9">
        <f>ROUND(SUMIFS('Odoo Items'!$G$5:$G$4331,'Odoo Items'!$J$5:$J$4331,A116),2)</f>
        <v>640.17</v>
      </c>
      <c r="L116" s="9">
        <f>ROUND(J116-K116,2)</f>
        <v>0</v>
      </c>
      <c r="M116" s="9">
        <f>ROUND(SUMIFS('Bank Lines'!$E$5:$E$1640,'Bank Lines'!$G$5:$G$1640,A116,'Bank Lines'!$J$5:$J$1640,1,'Bank Lines'!$C$5:$C$1640,"&lt;="&amp;Cover!$C$13),2)</f>
        <v>640.17</v>
      </c>
      <c r="N116" s="9">
        <f>ROUND(SUMIFS('Odoo Items'!$G$5:$G$4331,'Odoo Items'!$J$5:$J$4331,A116,'Odoo Items'!$C$5:$C$4331,"&lt;="&amp;Cover!$C$13),2)</f>
        <v>640.17</v>
      </c>
      <c r="O116">
        <f>COUNTIFS('Bank Lines'!$G$5:$G$1640,A116,'Bank Lines'!$J$5:$J$1640,1,'Bank Lines'!$C$5:$C$1640,"&lt;="&amp;Cover!$C$13)</f>
        <v>1</v>
      </c>
      <c r="P116">
        <f>COUNTIFS('Odoo Items'!$J$5:$J$4331,A116,'Odoo Items'!$C$5:$C$4331,"&lt;="&amp;Cover!$C$13)</f>
        <v>2</v>
      </c>
      <c r="Q116" t="str">
        <f>IF(AND(O116=0,P116=0),"",IF(O116=0,"ODOO-ONLY",IF(P116=0,"BANK-ONLY","BOTH")))</f>
        <v>BOTH</v>
      </c>
      <c r="R116" s="9">
        <f>IF(Q116="BOTH",ROUND(M116-N116,2),0)</f>
        <v>0</v>
      </c>
      <c r="S116" s="9">
        <f>ROUND(SUMIFS('Bank Lines'!$E$5:$E$1640,'Bank Lines'!$G$5:$G$1640,A116,'Bank Lines'!$J$5:$J$1640,1,'Bank Lines'!$C$5:$C$1640,"&lt;="&amp;Cover!$C$14),2)</f>
        <v>640.17</v>
      </c>
      <c r="T116" s="9">
        <f>ROUND(SUMIFS('Odoo Items'!$G$5:$G$4331,'Odoo Items'!$J$5:$J$4331,A116,'Odoo Items'!$C$5:$C$4331,"&lt;="&amp;Cover!$C$14),2)</f>
        <v>640.17</v>
      </c>
      <c r="U116">
        <f>COUNTIFS('Bank Lines'!$G$5:$G$1640,A116,'Bank Lines'!$J$5:$J$1640,1,'Bank Lines'!$C$5:$C$1640,"&lt;="&amp;Cover!$C$14)</f>
        <v>1</v>
      </c>
      <c r="V116">
        <f>COUNTIFS('Odoo Items'!$J$5:$J$4331,A116,'Odoo Items'!$C$5:$C$4331,"&lt;="&amp;Cover!$C$14)</f>
        <v>2</v>
      </c>
      <c r="W116" t="str">
        <f>IF(AND(U116=0,V116=0),"",IF(U116=0,"ODOO-ONLY",IF(V116=0,"BANK-ONLY","BOTH")))</f>
        <v>BOTH</v>
      </c>
      <c r="X116" s="9">
        <f>IF(W116="BOTH",ROUND(S116-T116,2),0)</f>
        <v>0</v>
      </c>
      <c r="Y116" s="9">
        <f>ROUND(SUMIFS('Bank Lines'!$E$5:$E$1640,'Bank Lines'!$G$5:$G$1640,A116,'Bank Lines'!$J$5:$J$1640,1,'Bank Lines'!$C$5:$C$1640,"&lt;="&amp;Cover!$C$15),2)</f>
        <v>640.17</v>
      </c>
      <c r="Z116" s="9">
        <f>ROUND(SUMIFS('Odoo Items'!$G$5:$G$4331,'Odoo Items'!$J$5:$J$4331,A116,'Odoo Items'!$C$5:$C$4331,"&lt;="&amp;Cover!$C$15),2)</f>
        <v>640.17</v>
      </c>
      <c r="AA116">
        <f>COUNTIFS('Bank Lines'!$G$5:$G$1640,A116,'Bank Lines'!$J$5:$J$1640,1,'Bank Lines'!$C$5:$C$1640,"&lt;="&amp;Cover!$C$15)</f>
        <v>1</v>
      </c>
      <c r="AB116">
        <f>COUNTIFS('Odoo Items'!$J$5:$J$4331,A116,'Odoo Items'!$C$5:$C$4331,"&lt;="&amp;Cover!$C$15)</f>
        <v>2</v>
      </c>
      <c r="AC116" t="str">
        <f>IF(AND(AA116=0,AB116=0),"",IF(AA116=0,"ODOO-ONLY",IF(AB116=0,"BANK-ONLY","BOTH")))</f>
        <v>BOTH</v>
      </c>
      <c r="AD116" s="9">
        <f>IF(AC116="BOTH",ROUND(Y116-Z116,2),0)</f>
        <v>0</v>
      </c>
    </row>
    <row r="117">
      <c r="A117" t="inlineStr">
        <is>
          <t>G00113</t>
        </is>
      </c>
      <c r="B117" t="inlineStr">
        <is>
          <t>OPS</t>
        </is>
      </c>
      <c r="C117" t="inlineStr">
        <is>
          <t>R03</t>
        </is>
      </c>
      <c r="D117" t="inlineStr">
        <is>
          <t>MATCH</t>
        </is>
      </c>
      <c r="E117" t="inlineStr">
        <is>
          <t>Kookaburra Plan Support</t>
        </is>
      </c>
      <c r="F117" t="n">
        <v>1</v>
      </c>
      <c r="G117" t="inlineStr">
        <is>
          <t>6 invoices</t>
        </is>
      </c>
      <c r="H117">
        <f>COUNTIFS('Bank Lines'!$G$5:$G$1640,A117,'Bank Lines'!$J$5:$J$1640,1)</f>
        <v>1</v>
      </c>
      <c r="I117">
        <f>COUNTIFS('Odoo Items'!$J$5:$J$4331,A117)</f>
        <v>6</v>
      </c>
      <c r="J117" s="9">
        <f>ROUND(SUMIFS('Bank Lines'!$E$5:$E$1640,'Bank Lines'!$G$5:$G$1640,A117,'Bank Lines'!$J$5:$J$1640,1),2)</f>
        <v>1203.64</v>
      </c>
      <c r="K117" s="9">
        <f>ROUND(SUMIFS('Odoo Items'!$G$5:$G$4331,'Odoo Items'!$J$5:$J$4331,A117),2)</f>
        <v>1203.64</v>
      </c>
      <c r="L117" s="9">
        <f>ROUND(J117-K117,2)</f>
        <v>0</v>
      </c>
      <c r="M117" s="9">
        <f>ROUND(SUMIFS('Bank Lines'!$E$5:$E$1640,'Bank Lines'!$G$5:$G$1640,A117,'Bank Lines'!$J$5:$J$1640,1,'Bank Lines'!$C$5:$C$1640,"&lt;="&amp;Cover!$C$13),2)</f>
        <v>1203.64</v>
      </c>
      <c r="N117" s="9">
        <f>ROUND(SUMIFS('Odoo Items'!$G$5:$G$4331,'Odoo Items'!$J$5:$J$4331,A117,'Odoo Items'!$C$5:$C$4331,"&lt;="&amp;Cover!$C$13),2)</f>
        <v>1203.64</v>
      </c>
      <c r="O117">
        <f>COUNTIFS('Bank Lines'!$G$5:$G$1640,A117,'Bank Lines'!$J$5:$J$1640,1,'Bank Lines'!$C$5:$C$1640,"&lt;="&amp;Cover!$C$13)</f>
        <v>1</v>
      </c>
      <c r="P117">
        <f>COUNTIFS('Odoo Items'!$J$5:$J$4331,A117,'Odoo Items'!$C$5:$C$4331,"&lt;="&amp;Cover!$C$13)</f>
        <v>6</v>
      </c>
      <c r="Q117" t="str">
        <f>IF(AND(O117=0,P117=0),"",IF(O117=0,"ODOO-ONLY",IF(P117=0,"BANK-ONLY","BOTH")))</f>
        <v>BOTH</v>
      </c>
      <c r="R117" s="9">
        <f>IF(Q117="BOTH",ROUND(M117-N117,2),0)</f>
        <v>0</v>
      </c>
      <c r="S117" s="9">
        <f>ROUND(SUMIFS('Bank Lines'!$E$5:$E$1640,'Bank Lines'!$G$5:$G$1640,A117,'Bank Lines'!$J$5:$J$1640,1,'Bank Lines'!$C$5:$C$1640,"&lt;="&amp;Cover!$C$14),2)</f>
        <v>1203.64</v>
      </c>
      <c r="T117" s="9">
        <f>ROUND(SUMIFS('Odoo Items'!$G$5:$G$4331,'Odoo Items'!$J$5:$J$4331,A117,'Odoo Items'!$C$5:$C$4331,"&lt;="&amp;Cover!$C$14),2)</f>
        <v>1203.64</v>
      </c>
      <c r="U117">
        <f>COUNTIFS('Bank Lines'!$G$5:$G$1640,A117,'Bank Lines'!$J$5:$J$1640,1,'Bank Lines'!$C$5:$C$1640,"&lt;="&amp;Cover!$C$14)</f>
        <v>1</v>
      </c>
      <c r="V117">
        <f>COUNTIFS('Odoo Items'!$J$5:$J$4331,A117,'Odoo Items'!$C$5:$C$4331,"&lt;="&amp;Cover!$C$14)</f>
        <v>6</v>
      </c>
      <c r="W117" t="str">
        <f>IF(AND(U117=0,V117=0),"",IF(U117=0,"ODOO-ONLY",IF(V117=0,"BANK-ONLY","BOTH")))</f>
        <v>BOTH</v>
      </c>
      <c r="X117" s="9">
        <f>IF(W117="BOTH",ROUND(S117-T117,2),0)</f>
        <v>0</v>
      </c>
      <c r="Y117" s="9">
        <f>ROUND(SUMIFS('Bank Lines'!$E$5:$E$1640,'Bank Lines'!$G$5:$G$1640,A117,'Bank Lines'!$J$5:$J$1640,1,'Bank Lines'!$C$5:$C$1640,"&lt;="&amp;Cover!$C$15),2)</f>
        <v>1203.64</v>
      </c>
      <c r="Z117" s="9">
        <f>ROUND(SUMIFS('Odoo Items'!$G$5:$G$4331,'Odoo Items'!$J$5:$J$4331,A117,'Odoo Items'!$C$5:$C$4331,"&lt;="&amp;Cover!$C$15),2)</f>
        <v>1203.64</v>
      </c>
      <c r="AA117">
        <f>COUNTIFS('Bank Lines'!$G$5:$G$1640,A117,'Bank Lines'!$J$5:$J$1640,1,'Bank Lines'!$C$5:$C$1640,"&lt;="&amp;Cover!$C$15)</f>
        <v>1</v>
      </c>
      <c r="AB117">
        <f>COUNTIFS('Odoo Items'!$J$5:$J$4331,A117,'Odoo Items'!$C$5:$C$4331,"&lt;="&amp;Cover!$C$15)</f>
        <v>6</v>
      </c>
      <c r="AC117" t="str">
        <f>IF(AND(AA117=0,AB117=0),"",IF(AA117=0,"ODOO-ONLY",IF(AB117=0,"BANK-ONLY","BOTH")))</f>
        <v>BOTH</v>
      </c>
      <c r="AD117" s="9">
        <f>IF(AC117="BOTH",ROUND(Y117-Z117,2),0)</f>
        <v>0</v>
      </c>
    </row>
    <row r="118">
      <c r="A118" t="inlineStr">
        <is>
          <t>G00114</t>
        </is>
      </c>
      <c r="B118" t="inlineStr">
        <is>
          <t>OPS</t>
        </is>
      </c>
      <c r="C118" t="inlineStr">
        <is>
          <t>R03</t>
        </is>
      </c>
      <c r="D118" t="inlineStr">
        <is>
          <t>MATCH</t>
        </is>
      </c>
      <c r="E118" t="inlineStr">
        <is>
          <t>Redgum Plan Admin</t>
        </is>
      </c>
      <c r="F118" t="n">
        <v>1</v>
      </c>
      <c r="G118" t="inlineStr">
        <is>
          <t>12 invoices</t>
        </is>
      </c>
      <c r="H118">
        <f>COUNTIFS('Bank Lines'!$G$5:$G$1640,A118,'Bank Lines'!$J$5:$J$1640,1)</f>
        <v>1</v>
      </c>
      <c r="I118">
        <f>COUNTIFS('Odoo Items'!$J$5:$J$4331,A118)</f>
        <v>12</v>
      </c>
      <c r="J118" s="9">
        <f>ROUND(SUMIFS('Bank Lines'!$E$5:$E$1640,'Bank Lines'!$G$5:$G$1640,A118,'Bank Lines'!$J$5:$J$1640,1),2)</f>
        <v>2086.26</v>
      </c>
      <c r="K118" s="9">
        <f>ROUND(SUMIFS('Odoo Items'!$G$5:$G$4331,'Odoo Items'!$J$5:$J$4331,A118),2)</f>
        <v>2086.26</v>
      </c>
      <c r="L118" s="9">
        <f>ROUND(J118-K118,2)</f>
        <v>0</v>
      </c>
      <c r="M118" s="9">
        <f>ROUND(SUMIFS('Bank Lines'!$E$5:$E$1640,'Bank Lines'!$G$5:$G$1640,A118,'Bank Lines'!$J$5:$J$1640,1,'Bank Lines'!$C$5:$C$1640,"&lt;="&amp;Cover!$C$13),2)</f>
        <v>2086.26</v>
      </c>
      <c r="N118" s="9">
        <f>ROUND(SUMIFS('Odoo Items'!$G$5:$G$4331,'Odoo Items'!$J$5:$J$4331,A118,'Odoo Items'!$C$5:$C$4331,"&lt;="&amp;Cover!$C$13),2)</f>
        <v>2086.26</v>
      </c>
      <c r="O118">
        <f>COUNTIFS('Bank Lines'!$G$5:$G$1640,A118,'Bank Lines'!$J$5:$J$1640,1,'Bank Lines'!$C$5:$C$1640,"&lt;="&amp;Cover!$C$13)</f>
        <v>1</v>
      </c>
      <c r="P118">
        <f>COUNTIFS('Odoo Items'!$J$5:$J$4331,A118,'Odoo Items'!$C$5:$C$4331,"&lt;="&amp;Cover!$C$13)</f>
        <v>12</v>
      </c>
      <c r="Q118" t="str">
        <f>IF(AND(O118=0,P118=0),"",IF(O118=0,"ODOO-ONLY",IF(P118=0,"BANK-ONLY","BOTH")))</f>
        <v>BOTH</v>
      </c>
      <c r="R118" s="9">
        <f>IF(Q118="BOTH",ROUND(M118-N118,2),0)</f>
        <v>0</v>
      </c>
      <c r="S118" s="9">
        <f>ROUND(SUMIFS('Bank Lines'!$E$5:$E$1640,'Bank Lines'!$G$5:$G$1640,A118,'Bank Lines'!$J$5:$J$1640,1,'Bank Lines'!$C$5:$C$1640,"&lt;="&amp;Cover!$C$14),2)</f>
        <v>2086.26</v>
      </c>
      <c r="T118" s="9">
        <f>ROUND(SUMIFS('Odoo Items'!$G$5:$G$4331,'Odoo Items'!$J$5:$J$4331,A118,'Odoo Items'!$C$5:$C$4331,"&lt;="&amp;Cover!$C$14),2)</f>
        <v>2086.26</v>
      </c>
      <c r="U118">
        <f>COUNTIFS('Bank Lines'!$G$5:$G$1640,A118,'Bank Lines'!$J$5:$J$1640,1,'Bank Lines'!$C$5:$C$1640,"&lt;="&amp;Cover!$C$14)</f>
        <v>1</v>
      </c>
      <c r="V118">
        <f>COUNTIFS('Odoo Items'!$J$5:$J$4331,A118,'Odoo Items'!$C$5:$C$4331,"&lt;="&amp;Cover!$C$14)</f>
        <v>12</v>
      </c>
      <c r="W118" t="str">
        <f>IF(AND(U118=0,V118=0),"",IF(U118=0,"ODOO-ONLY",IF(V118=0,"BANK-ONLY","BOTH")))</f>
        <v>BOTH</v>
      </c>
      <c r="X118" s="9">
        <f>IF(W118="BOTH",ROUND(S118-T118,2),0)</f>
        <v>0</v>
      </c>
      <c r="Y118" s="9">
        <f>ROUND(SUMIFS('Bank Lines'!$E$5:$E$1640,'Bank Lines'!$G$5:$G$1640,A118,'Bank Lines'!$J$5:$J$1640,1,'Bank Lines'!$C$5:$C$1640,"&lt;="&amp;Cover!$C$15),2)</f>
        <v>2086.26</v>
      </c>
      <c r="Z118" s="9">
        <f>ROUND(SUMIFS('Odoo Items'!$G$5:$G$4331,'Odoo Items'!$J$5:$J$4331,A118,'Odoo Items'!$C$5:$C$4331,"&lt;="&amp;Cover!$C$15),2)</f>
        <v>2086.26</v>
      </c>
      <c r="AA118">
        <f>COUNTIFS('Bank Lines'!$G$5:$G$1640,A118,'Bank Lines'!$J$5:$J$1640,1,'Bank Lines'!$C$5:$C$1640,"&lt;="&amp;Cover!$C$15)</f>
        <v>1</v>
      </c>
      <c r="AB118">
        <f>COUNTIFS('Odoo Items'!$J$5:$J$4331,A118,'Odoo Items'!$C$5:$C$4331,"&lt;="&amp;Cover!$C$15)</f>
        <v>12</v>
      </c>
      <c r="AC118" t="str">
        <f>IF(AND(AA118=0,AB118=0),"",IF(AA118=0,"ODOO-ONLY",IF(AB118=0,"BANK-ONLY","BOTH")))</f>
        <v>BOTH</v>
      </c>
      <c r="AD118" s="9">
        <f>IF(AC118="BOTH",ROUND(Y118-Z118,2),0)</f>
        <v>0</v>
      </c>
    </row>
    <row r="119">
      <c r="A119" t="inlineStr">
        <is>
          <t>G00115</t>
        </is>
      </c>
      <c r="B119" t="inlineStr">
        <is>
          <t>OPS</t>
        </is>
      </c>
      <c r="C119" t="inlineStr">
        <is>
          <t>R03</t>
        </is>
      </c>
      <c r="D119" t="inlineStr">
        <is>
          <t>MATCH</t>
        </is>
      </c>
      <c r="E119" t="inlineStr">
        <is>
          <t>Tallowwood Plans</t>
        </is>
      </c>
      <c r="F119" t="n">
        <v>0.968</v>
      </c>
      <c r="G119" t="inlineStr">
        <is>
          <t>4 invoices</t>
        </is>
      </c>
      <c r="H119">
        <f>COUNTIFS('Bank Lines'!$G$5:$G$1640,A119,'Bank Lines'!$J$5:$J$1640,1)</f>
        <v>1</v>
      </c>
      <c r="I119">
        <f>COUNTIFS('Odoo Items'!$J$5:$J$4331,A119)</f>
        <v>4</v>
      </c>
      <c r="J119" s="9">
        <f>ROUND(SUMIFS('Bank Lines'!$E$5:$E$1640,'Bank Lines'!$G$5:$G$1640,A119,'Bank Lines'!$J$5:$J$1640,1),2)</f>
        <v>1193.93</v>
      </c>
      <c r="K119" s="9">
        <f>ROUND(SUMIFS('Odoo Items'!$G$5:$G$4331,'Odoo Items'!$J$5:$J$4331,A119),2)</f>
        <v>1193.93</v>
      </c>
      <c r="L119" s="9">
        <f>ROUND(J119-K119,2)</f>
        <v>0</v>
      </c>
      <c r="M119" s="9">
        <f>ROUND(SUMIFS('Bank Lines'!$E$5:$E$1640,'Bank Lines'!$G$5:$G$1640,A119,'Bank Lines'!$J$5:$J$1640,1,'Bank Lines'!$C$5:$C$1640,"&lt;="&amp;Cover!$C$13),2)</f>
        <v>1193.93</v>
      </c>
      <c r="N119" s="9">
        <f>ROUND(SUMIFS('Odoo Items'!$G$5:$G$4331,'Odoo Items'!$J$5:$J$4331,A119,'Odoo Items'!$C$5:$C$4331,"&lt;="&amp;Cover!$C$13),2)</f>
        <v>1193.93</v>
      </c>
      <c r="O119">
        <f>COUNTIFS('Bank Lines'!$G$5:$G$1640,A119,'Bank Lines'!$J$5:$J$1640,1,'Bank Lines'!$C$5:$C$1640,"&lt;="&amp;Cover!$C$13)</f>
        <v>1</v>
      </c>
      <c r="P119">
        <f>COUNTIFS('Odoo Items'!$J$5:$J$4331,A119,'Odoo Items'!$C$5:$C$4331,"&lt;="&amp;Cover!$C$13)</f>
        <v>4</v>
      </c>
      <c r="Q119" t="str">
        <f>IF(AND(O119=0,P119=0),"",IF(O119=0,"ODOO-ONLY",IF(P119=0,"BANK-ONLY","BOTH")))</f>
        <v>BOTH</v>
      </c>
      <c r="R119" s="9">
        <f>IF(Q119="BOTH",ROUND(M119-N119,2),0)</f>
        <v>0</v>
      </c>
      <c r="S119" s="9">
        <f>ROUND(SUMIFS('Bank Lines'!$E$5:$E$1640,'Bank Lines'!$G$5:$G$1640,A119,'Bank Lines'!$J$5:$J$1640,1,'Bank Lines'!$C$5:$C$1640,"&lt;="&amp;Cover!$C$14),2)</f>
        <v>1193.93</v>
      </c>
      <c r="T119" s="9">
        <f>ROUND(SUMIFS('Odoo Items'!$G$5:$G$4331,'Odoo Items'!$J$5:$J$4331,A119,'Odoo Items'!$C$5:$C$4331,"&lt;="&amp;Cover!$C$14),2)</f>
        <v>1193.93</v>
      </c>
      <c r="U119">
        <f>COUNTIFS('Bank Lines'!$G$5:$G$1640,A119,'Bank Lines'!$J$5:$J$1640,1,'Bank Lines'!$C$5:$C$1640,"&lt;="&amp;Cover!$C$14)</f>
        <v>1</v>
      </c>
      <c r="V119">
        <f>COUNTIFS('Odoo Items'!$J$5:$J$4331,A119,'Odoo Items'!$C$5:$C$4331,"&lt;="&amp;Cover!$C$14)</f>
        <v>4</v>
      </c>
      <c r="W119" t="str">
        <f>IF(AND(U119=0,V119=0),"",IF(U119=0,"ODOO-ONLY",IF(V119=0,"BANK-ONLY","BOTH")))</f>
        <v>BOTH</v>
      </c>
      <c r="X119" s="9">
        <f>IF(W119="BOTH",ROUND(S119-T119,2),0)</f>
        <v>0</v>
      </c>
      <c r="Y119" s="9">
        <f>ROUND(SUMIFS('Bank Lines'!$E$5:$E$1640,'Bank Lines'!$G$5:$G$1640,A119,'Bank Lines'!$J$5:$J$1640,1,'Bank Lines'!$C$5:$C$1640,"&lt;="&amp;Cover!$C$15),2)</f>
        <v>1193.93</v>
      </c>
      <c r="Z119" s="9">
        <f>ROUND(SUMIFS('Odoo Items'!$G$5:$G$4331,'Odoo Items'!$J$5:$J$4331,A119,'Odoo Items'!$C$5:$C$4331,"&lt;="&amp;Cover!$C$15),2)</f>
        <v>1193.93</v>
      </c>
      <c r="AA119">
        <f>COUNTIFS('Bank Lines'!$G$5:$G$1640,A119,'Bank Lines'!$J$5:$J$1640,1,'Bank Lines'!$C$5:$C$1640,"&lt;="&amp;Cover!$C$15)</f>
        <v>1</v>
      </c>
      <c r="AB119">
        <f>COUNTIFS('Odoo Items'!$J$5:$J$4331,A119,'Odoo Items'!$C$5:$C$4331,"&lt;="&amp;Cover!$C$15)</f>
        <v>4</v>
      </c>
      <c r="AC119" t="str">
        <f>IF(AND(AA119=0,AB119=0),"",IF(AA119=0,"ODOO-ONLY",IF(AB119=0,"BANK-ONLY","BOTH")))</f>
        <v>BOTH</v>
      </c>
      <c r="AD119" s="9">
        <f>IF(AC119="BOTH",ROUND(Y119-Z119,2),0)</f>
        <v>0</v>
      </c>
    </row>
    <row r="120">
      <c r="A120" t="inlineStr">
        <is>
          <t>G00116</t>
        </is>
      </c>
      <c r="B120" t="inlineStr">
        <is>
          <t>OPS</t>
        </is>
      </c>
      <c r="C120" t="inlineStr">
        <is>
          <t>R03</t>
        </is>
      </c>
      <c r="D120" t="inlineStr">
        <is>
          <t>MATCH</t>
        </is>
      </c>
      <c r="E120" t="inlineStr">
        <is>
          <t>Mallee Plan Services</t>
        </is>
      </c>
      <c r="F120" t="n">
        <v>1</v>
      </c>
      <c r="G120" t="inlineStr">
        <is>
          <t>2 invoices</t>
        </is>
      </c>
      <c r="H120">
        <f>COUNTIFS('Bank Lines'!$G$5:$G$1640,A120,'Bank Lines'!$J$5:$J$1640,1)</f>
        <v>1</v>
      </c>
      <c r="I120">
        <f>COUNTIFS('Odoo Items'!$J$5:$J$4331,A120)</f>
        <v>2</v>
      </c>
      <c r="J120" s="9">
        <f>ROUND(SUMIFS('Bank Lines'!$E$5:$E$1640,'Bank Lines'!$G$5:$G$1640,A120,'Bank Lines'!$J$5:$J$1640,1),2)</f>
        <v>242.48</v>
      </c>
      <c r="K120" s="9">
        <f>ROUND(SUMIFS('Odoo Items'!$G$5:$G$4331,'Odoo Items'!$J$5:$J$4331,A120),2)</f>
        <v>242.48</v>
      </c>
      <c r="L120" s="9">
        <f>ROUND(J120-K120,2)</f>
        <v>0</v>
      </c>
      <c r="M120" s="9">
        <f>ROUND(SUMIFS('Bank Lines'!$E$5:$E$1640,'Bank Lines'!$G$5:$G$1640,A120,'Bank Lines'!$J$5:$J$1640,1,'Bank Lines'!$C$5:$C$1640,"&lt;="&amp;Cover!$C$13),2)</f>
        <v>242.48</v>
      </c>
      <c r="N120" s="9">
        <f>ROUND(SUMIFS('Odoo Items'!$G$5:$G$4331,'Odoo Items'!$J$5:$J$4331,A120,'Odoo Items'!$C$5:$C$4331,"&lt;="&amp;Cover!$C$13),2)</f>
        <v>242.48</v>
      </c>
      <c r="O120">
        <f>COUNTIFS('Bank Lines'!$G$5:$G$1640,A120,'Bank Lines'!$J$5:$J$1640,1,'Bank Lines'!$C$5:$C$1640,"&lt;="&amp;Cover!$C$13)</f>
        <v>1</v>
      </c>
      <c r="P120">
        <f>COUNTIFS('Odoo Items'!$J$5:$J$4331,A120,'Odoo Items'!$C$5:$C$4331,"&lt;="&amp;Cover!$C$13)</f>
        <v>2</v>
      </c>
      <c r="Q120" t="str">
        <f>IF(AND(O120=0,P120=0),"",IF(O120=0,"ODOO-ONLY",IF(P120=0,"BANK-ONLY","BOTH")))</f>
        <v>BOTH</v>
      </c>
      <c r="R120" s="9">
        <f>IF(Q120="BOTH",ROUND(M120-N120,2),0)</f>
        <v>0</v>
      </c>
      <c r="S120" s="9">
        <f>ROUND(SUMIFS('Bank Lines'!$E$5:$E$1640,'Bank Lines'!$G$5:$G$1640,A120,'Bank Lines'!$J$5:$J$1640,1,'Bank Lines'!$C$5:$C$1640,"&lt;="&amp;Cover!$C$14),2)</f>
        <v>242.48</v>
      </c>
      <c r="T120" s="9">
        <f>ROUND(SUMIFS('Odoo Items'!$G$5:$G$4331,'Odoo Items'!$J$5:$J$4331,A120,'Odoo Items'!$C$5:$C$4331,"&lt;="&amp;Cover!$C$14),2)</f>
        <v>242.48</v>
      </c>
      <c r="U120">
        <f>COUNTIFS('Bank Lines'!$G$5:$G$1640,A120,'Bank Lines'!$J$5:$J$1640,1,'Bank Lines'!$C$5:$C$1640,"&lt;="&amp;Cover!$C$14)</f>
        <v>1</v>
      </c>
      <c r="V120">
        <f>COUNTIFS('Odoo Items'!$J$5:$J$4331,A120,'Odoo Items'!$C$5:$C$4331,"&lt;="&amp;Cover!$C$14)</f>
        <v>2</v>
      </c>
      <c r="W120" t="str">
        <f>IF(AND(U120=0,V120=0),"",IF(U120=0,"ODOO-ONLY",IF(V120=0,"BANK-ONLY","BOTH")))</f>
        <v>BOTH</v>
      </c>
      <c r="X120" s="9">
        <f>IF(W120="BOTH",ROUND(S120-T120,2),0)</f>
        <v>0</v>
      </c>
      <c r="Y120" s="9">
        <f>ROUND(SUMIFS('Bank Lines'!$E$5:$E$1640,'Bank Lines'!$G$5:$G$1640,A120,'Bank Lines'!$J$5:$J$1640,1,'Bank Lines'!$C$5:$C$1640,"&lt;="&amp;Cover!$C$15),2)</f>
        <v>242.48</v>
      </c>
      <c r="Z120" s="9">
        <f>ROUND(SUMIFS('Odoo Items'!$G$5:$G$4331,'Odoo Items'!$J$5:$J$4331,A120,'Odoo Items'!$C$5:$C$4331,"&lt;="&amp;Cover!$C$15),2)</f>
        <v>242.48</v>
      </c>
      <c r="AA120">
        <f>COUNTIFS('Bank Lines'!$G$5:$G$1640,A120,'Bank Lines'!$J$5:$J$1640,1,'Bank Lines'!$C$5:$C$1640,"&lt;="&amp;Cover!$C$15)</f>
        <v>1</v>
      </c>
      <c r="AB120">
        <f>COUNTIFS('Odoo Items'!$J$5:$J$4331,A120,'Odoo Items'!$C$5:$C$4331,"&lt;="&amp;Cover!$C$15)</f>
        <v>2</v>
      </c>
      <c r="AC120" t="str">
        <f>IF(AND(AA120=0,AB120=0),"",IF(AA120=0,"ODOO-ONLY",IF(AB120=0,"BANK-ONLY","BOTH")))</f>
        <v>BOTH</v>
      </c>
      <c r="AD120" s="9">
        <f>IF(AC120="BOTH",ROUND(Y120-Z120,2),0)</f>
        <v>0</v>
      </c>
    </row>
    <row r="121">
      <c r="A121" t="inlineStr">
        <is>
          <t>G00117</t>
        </is>
      </c>
      <c r="B121" t="inlineStr">
        <is>
          <t>OPS</t>
        </is>
      </c>
      <c r="C121" t="inlineStr">
        <is>
          <t>R03</t>
        </is>
      </c>
      <c r="D121" t="inlineStr">
        <is>
          <t>MATCH</t>
        </is>
      </c>
      <c r="E121" t="inlineStr">
        <is>
          <t>Clearpath NDIS Plans</t>
        </is>
      </c>
      <c r="F121" t="n">
        <v>1</v>
      </c>
      <c r="G121" t="inlineStr">
        <is>
          <t>4 invoices</t>
        </is>
      </c>
      <c r="H121">
        <f>COUNTIFS('Bank Lines'!$G$5:$G$1640,A121,'Bank Lines'!$J$5:$J$1640,1)</f>
        <v>1</v>
      </c>
      <c r="I121">
        <f>COUNTIFS('Odoo Items'!$J$5:$J$4331,A121)</f>
        <v>4</v>
      </c>
      <c r="J121" s="9">
        <f>ROUND(SUMIFS('Bank Lines'!$E$5:$E$1640,'Bank Lines'!$G$5:$G$1640,A121,'Bank Lines'!$J$5:$J$1640,1),2)</f>
        <v>737.16</v>
      </c>
      <c r="K121" s="9">
        <f>ROUND(SUMIFS('Odoo Items'!$G$5:$G$4331,'Odoo Items'!$J$5:$J$4331,A121),2)</f>
        <v>737.16</v>
      </c>
      <c r="L121" s="9">
        <f>ROUND(J121-K121,2)</f>
        <v>0</v>
      </c>
      <c r="M121" s="9">
        <f>ROUND(SUMIFS('Bank Lines'!$E$5:$E$1640,'Bank Lines'!$G$5:$G$1640,A121,'Bank Lines'!$J$5:$J$1640,1,'Bank Lines'!$C$5:$C$1640,"&lt;="&amp;Cover!$C$13),2)</f>
        <v>737.16</v>
      </c>
      <c r="N121" s="9">
        <f>ROUND(SUMIFS('Odoo Items'!$G$5:$G$4331,'Odoo Items'!$J$5:$J$4331,A121,'Odoo Items'!$C$5:$C$4331,"&lt;="&amp;Cover!$C$13),2)</f>
        <v>737.16</v>
      </c>
      <c r="O121">
        <f>COUNTIFS('Bank Lines'!$G$5:$G$1640,A121,'Bank Lines'!$J$5:$J$1640,1,'Bank Lines'!$C$5:$C$1640,"&lt;="&amp;Cover!$C$13)</f>
        <v>1</v>
      </c>
      <c r="P121">
        <f>COUNTIFS('Odoo Items'!$J$5:$J$4331,A121,'Odoo Items'!$C$5:$C$4331,"&lt;="&amp;Cover!$C$13)</f>
        <v>4</v>
      </c>
      <c r="Q121" t="str">
        <f>IF(AND(O121=0,P121=0),"",IF(O121=0,"ODOO-ONLY",IF(P121=0,"BANK-ONLY","BOTH")))</f>
        <v>BOTH</v>
      </c>
      <c r="R121" s="9">
        <f>IF(Q121="BOTH",ROUND(M121-N121,2),0)</f>
        <v>0</v>
      </c>
      <c r="S121" s="9">
        <f>ROUND(SUMIFS('Bank Lines'!$E$5:$E$1640,'Bank Lines'!$G$5:$G$1640,A121,'Bank Lines'!$J$5:$J$1640,1,'Bank Lines'!$C$5:$C$1640,"&lt;="&amp;Cover!$C$14),2)</f>
        <v>737.16</v>
      </c>
      <c r="T121" s="9">
        <f>ROUND(SUMIFS('Odoo Items'!$G$5:$G$4331,'Odoo Items'!$J$5:$J$4331,A121,'Odoo Items'!$C$5:$C$4331,"&lt;="&amp;Cover!$C$14),2)</f>
        <v>737.16</v>
      </c>
      <c r="U121">
        <f>COUNTIFS('Bank Lines'!$G$5:$G$1640,A121,'Bank Lines'!$J$5:$J$1640,1,'Bank Lines'!$C$5:$C$1640,"&lt;="&amp;Cover!$C$14)</f>
        <v>1</v>
      </c>
      <c r="V121">
        <f>COUNTIFS('Odoo Items'!$J$5:$J$4331,A121,'Odoo Items'!$C$5:$C$4331,"&lt;="&amp;Cover!$C$14)</f>
        <v>4</v>
      </c>
      <c r="W121" t="str">
        <f>IF(AND(U121=0,V121=0),"",IF(U121=0,"ODOO-ONLY",IF(V121=0,"BANK-ONLY","BOTH")))</f>
        <v>BOTH</v>
      </c>
      <c r="X121" s="9">
        <f>IF(W121="BOTH",ROUND(S121-T121,2),0)</f>
        <v>0</v>
      </c>
      <c r="Y121" s="9">
        <f>ROUND(SUMIFS('Bank Lines'!$E$5:$E$1640,'Bank Lines'!$G$5:$G$1640,A121,'Bank Lines'!$J$5:$J$1640,1,'Bank Lines'!$C$5:$C$1640,"&lt;="&amp;Cover!$C$15),2)</f>
        <v>737.16</v>
      </c>
      <c r="Z121" s="9">
        <f>ROUND(SUMIFS('Odoo Items'!$G$5:$G$4331,'Odoo Items'!$J$5:$J$4331,A121,'Odoo Items'!$C$5:$C$4331,"&lt;="&amp;Cover!$C$15),2)</f>
        <v>737.16</v>
      </c>
      <c r="AA121">
        <f>COUNTIFS('Bank Lines'!$G$5:$G$1640,A121,'Bank Lines'!$J$5:$J$1640,1,'Bank Lines'!$C$5:$C$1640,"&lt;="&amp;Cover!$C$15)</f>
        <v>1</v>
      </c>
      <c r="AB121">
        <f>COUNTIFS('Odoo Items'!$J$5:$J$4331,A121,'Odoo Items'!$C$5:$C$4331,"&lt;="&amp;Cover!$C$15)</f>
        <v>4</v>
      </c>
      <c r="AC121" t="str">
        <f>IF(AND(AA121=0,AB121=0),"",IF(AA121=0,"ODOO-ONLY",IF(AB121=0,"BANK-ONLY","BOTH")))</f>
        <v>BOTH</v>
      </c>
      <c r="AD121" s="9">
        <f>IF(AC121="BOTH",ROUND(Y121-Z121,2),0)</f>
        <v>0</v>
      </c>
    </row>
    <row r="122">
      <c r="A122" t="inlineStr">
        <is>
          <t>G00118</t>
        </is>
      </c>
      <c r="B122" t="inlineStr">
        <is>
          <t>OPS</t>
        </is>
      </c>
      <c r="C122" t="inlineStr">
        <is>
          <t>R03</t>
        </is>
      </c>
      <c r="D122" t="inlineStr">
        <is>
          <t>MATCH</t>
        </is>
      </c>
      <c r="E122" t="inlineStr">
        <is>
          <t>Saltbush Plan Managers</t>
        </is>
      </c>
      <c r="F122" t="n">
        <v>1</v>
      </c>
      <c r="G122" t="inlineStr">
        <is>
          <t>4 invoices</t>
        </is>
      </c>
      <c r="H122">
        <f>COUNTIFS('Bank Lines'!$G$5:$G$1640,A122,'Bank Lines'!$J$5:$J$1640,1)</f>
        <v>1</v>
      </c>
      <c r="I122">
        <f>COUNTIFS('Odoo Items'!$J$5:$J$4331,A122)</f>
        <v>4</v>
      </c>
      <c r="J122" s="9">
        <f>ROUND(SUMIFS('Bank Lines'!$E$5:$E$1640,'Bank Lines'!$G$5:$G$1640,A122,'Bank Lines'!$J$5:$J$1640,1),2)</f>
        <v>1115.44</v>
      </c>
      <c r="K122" s="9">
        <f>ROUND(SUMIFS('Odoo Items'!$G$5:$G$4331,'Odoo Items'!$J$5:$J$4331,A122),2)</f>
        <v>1115.44</v>
      </c>
      <c r="L122" s="9">
        <f>ROUND(J122-K122,2)</f>
        <v>0</v>
      </c>
      <c r="M122" s="9">
        <f>ROUND(SUMIFS('Bank Lines'!$E$5:$E$1640,'Bank Lines'!$G$5:$G$1640,A122,'Bank Lines'!$J$5:$J$1640,1,'Bank Lines'!$C$5:$C$1640,"&lt;="&amp;Cover!$C$13),2)</f>
        <v>1115.44</v>
      </c>
      <c r="N122" s="9">
        <f>ROUND(SUMIFS('Odoo Items'!$G$5:$G$4331,'Odoo Items'!$J$5:$J$4331,A122,'Odoo Items'!$C$5:$C$4331,"&lt;="&amp;Cover!$C$13),2)</f>
        <v>1115.44</v>
      </c>
      <c r="O122">
        <f>COUNTIFS('Bank Lines'!$G$5:$G$1640,A122,'Bank Lines'!$J$5:$J$1640,1,'Bank Lines'!$C$5:$C$1640,"&lt;="&amp;Cover!$C$13)</f>
        <v>1</v>
      </c>
      <c r="P122">
        <f>COUNTIFS('Odoo Items'!$J$5:$J$4331,A122,'Odoo Items'!$C$5:$C$4331,"&lt;="&amp;Cover!$C$13)</f>
        <v>4</v>
      </c>
      <c r="Q122" t="str">
        <f>IF(AND(O122=0,P122=0),"",IF(O122=0,"ODOO-ONLY",IF(P122=0,"BANK-ONLY","BOTH")))</f>
        <v>BOTH</v>
      </c>
      <c r="R122" s="9">
        <f>IF(Q122="BOTH",ROUND(M122-N122,2),0)</f>
        <v>0</v>
      </c>
      <c r="S122" s="9">
        <f>ROUND(SUMIFS('Bank Lines'!$E$5:$E$1640,'Bank Lines'!$G$5:$G$1640,A122,'Bank Lines'!$J$5:$J$1640,1,'Bank Lines'!$C$5:$C$1640,"&lt;="&amp;Cover!$C$14),2)</f>
        <v>1115.44</v>
      </c>
      <c r="T122" s="9">
        <f>ROUND(SUMIFS('Odoo Items'!$G$5:$G$4331,'Odoo Items'!$J$5:$J$4331,A122,'Odoo Items'!$C$5:$C$4331,"&lt;="&amp;Cover!$C$14),2)</f>
        <v>1115.44</v>
      </c>
      <c r="U122">
        <f>COUNTIFS('Bank Lines'!$G$5:$G$1640,A122,'Bank Lines'!$J$5:$J$1640,1,'Bank Lines'!$C$5:$C$1640,"&lt;="&amp;Cover!$C$14)</f>
        <v>1</v>
      </c>
      <c r="V122">
        <f>COUNTIFS('Odoo Items'!$J$5:$J$4331,A122,'Odoo Items'!$C$5:$C$4331,"&lt;="&amp;Cover!$C$14)</f>
        <v>4</v>
      </c>
      <c r="W122" t="str">
        <f>IF(AND(U122=0,V122=0),"",IF(U122=0,"ODOO-ONLY",IF(V122=0,"BANK-ONLY","BOTH")))</f>
        <v>BOTH</v>
      </c>
      <c r="X122" s="9">
        <f>IF(W122="BOTH",ROUND(S122-T122,2),0)</f>
        <v>0</v>
      </c>
      <c r="Y122" s="9">
        <f>ROUND(SUMIFS('Bank Lines'!$E$5:$E$1640,'Bank Lines'!$G$5:$G$1640,A122,'Bank Lines'!$J$5:$J$1640,1,'Bank Lines'!$C$5:$C$1640,"&lt;="&amp;Cover!$C$15),2)</f>
        <v>1115.44</v>
      </c>
      <c r="Z122" s="9">
        <f>ROUND(SUMIFS('Odoo Items'!$G$5:$G$4331,'Odoo Items'!$J$5:$J$4331,A122,'Odoo Items'!$C$5:$C$4331,"&lt;="&amp;Cover!$C$15),2)</f>
        <v>1115.44</v>
      </c>
      <c r="AA122">
        <f>COUNTIFS('Bank Lines'!$G$5:$G$1640,A122,'Bank Lines'!$J$5:$J$1640,1,'Bank Lines'!$C$5:$C$1640,"&lt;="&amp;Cover!$C$15)</f>
        <v>1</v>
      </c>
      <c r="AB122">
        <f>COUNTIFS('Odoo Items'!$J$5:$J$4331,A122,'Odoo Items'!$C$5:$C$4331,"&lt;="&amp;Cover!$C$15)</f>
        <v>4</v>
      </c>
      <c r="AC122" t="str">
        <f>IF(AND(AA122=0,AB122=0),"",IF(AA122=0,"ODOO-ONLY",IF(AB122=0,"BANK-ONLY","BOTH")))</f>
        <v>BOTH</v>
      </c>
      <c r="AD122" s="9">
        <f>IF(AC122="BOTH",ROUND(Y122-Z122,2),0)</f>
        <v>0</v>
      </c>
    </row>
    <row r="123">
      <c r="A123" t="inlineStr">
        <is>
          <t>G00119</t>
        </is>
      </c>
      <c r="B123" t="inlineStr">
        <is>
          <t>OPS</t>
        </is>
      </c>
      <c r="C123" t="inlineStr">
        <is>
          <t>R03</t>
        </is>
      </c>
      <c r="D123" t="inlineStr">
        <is>
          <t>MATCH</t>
        </is>
      </c>
      <c r="E123" t="inlineStr">
        <is>
          <t>Redgum Plan Admin</t>
        </is>
      </c>
      <c r="F123" t="n">
        <v>1</v>
      </c>
      <c r="G123" t="inlineStr">
        <is>
          <t>8 invoices</t>
        </is>
      </c>
      <c r="H123">
        <f>COUNTIFS('Bank Lines'!$G$5:$G$1640,A123,'Bank Lines'!$J$5:$J$1640,1)</f>
        <v>1</v>
      </c>
      <c r="I123">
        <f>COUNTIFS('Odoo Items'!$J$5:$J$4331,A123)</f>
        <v>8</v>
      </c>
      <c r="J123" s="9">
        <f>ROUND(SUMIFS('Bank Lines'!$E$5:$E$1640,'Bank Lines'!$G$5:$G$1640,A123,'Bank Lines'!$J$5:$J$1640,1),2)</f>
        <v>1959.29</v>
      </c>
      <c r="K123" s="9">
        <f>ROUND(SUMIFS('Odoo Items'!$G$5:$G$4331,'Odoo Items'!$J$5:$J$4331,A123),2)</f>
        <v>1959.29</v>
      </c>
      <c r="L123" s="9">
        <f>ROUND(J123-K123,2)</f>
        <v>0</v>
      </c>
      <c r="M123" s="9">
        <f>ROUND(SUMIFS('Bank Lines'!$E$5:$E$1640,'Bank Lines'!$G$5:$G$1640,A123,'Bank Lines'!$J$5:$J$1640,1,'Bank Lines'!$C$5:$C$1640,"&lt;="&amp;Cover!$C$13),2)</f>
        <v>1959.29</v>
      </c>
      <c r="N123" s="9">
        <f>ROUND(SUMIFS('Odoo Items'!$G$5:$G$4331,'Odoo Items'!$J$5:$J$4331,A123,'Odoo Items'!$C$5:$C$4331,"&lt;="&amp;Cover!$C$13),2)</f>
        <v>1959.29</v>
      </c>
      <c r="O123">
        <f>COUNTIFS('Bank Lines'!$G$5:$G$1640,A123,'Bank Lines'!$J$5:$J$1640,1,'Bank Lines'!$C$5:$C$1640,"&lt;="&amp;Cover!$C$13)</f>
        <v>1</v>
      </c>
      <c r="P123">
        <f>COUNTIFS('Odoo Items'!$J$5:$J$4331,A123,'Odoo Items'!$C$5:$C$4331,"&lt;="&amp;Cover!$C$13)</f>
        <v>8</v>
      </c>
      <c r="Q123" t="str">
        <f>IF(AND(O123=0,P123=0),"",IF(O123=0,"ODOO-ONLY",IF(P123=0,"BANK-ONLY","BOTH")))</f>
        <v>BOTH</v>
      </c>
      <c r="R123" s="9">
        <f>IF(Q123="BOTH",ROUND(M123-N123,2),0)</f>
        <v>0</v>
      </c>
      <c r="S123" s="9">
        <f>ROUND(SUMIFS('Bank Lines'!$E$5:$E$1640,'Bank Lines'!$G$5:$G$1640,A123,'Bank Lines'!$J$5:$J$1640,1,'Bank Lines'!$C$5:$C$1640,"&lt;="&amp;Cover!$C$14),2)</f>
        <v>1959.29</v>
      </c>
      <c r="T123" s="9">
        <f>ROUND(SUMIFS('Odoo Items'!$G$5:$G$4331,'Odoo Items'!$J$5:$J$4331,A123,'Odoo Items'!$C$5:$C$4331,"&lt;="&amp;Cover!$C$14),2)</f>
        <v>1959.29</v>
      </c>
      <c r="U123">
        <f>COUNTIFS('Bank Lines'!$G$5:$G$1640,A123,'Bank Lines'!$J$5:$J$1640,1,'Bank Lines'!$C$5:$C$1640,"&lt;="&amp;Cover!$C$14)</f>
        <v>1</v>
      </c>
      <c r="V123">
        <f>COUNTIFS('Odoo Items'!$J$5:$J$4331,A123,'Odoo Items'!$C$5:$C$4331,"&lt;="&amp;Cover!$C$14)</f>
        <v>8</v>
      </c>
      <c r="W123" t="str">
        <f>IF(AND(U123=0,V123=0),"",IF(U123=0,"ODOO-ONLY",IF(V123=0,"BANK-ONLY","BOTH")))</f>
        <v>BOTH</v>
      </c>
      <c r="X123" s="9">
        <f>IF(W123="BOTH",ROUND(S123-T123,2),0)</f>
        <v>0</v>
      </c>
      <c r="Y123" s="9">
        <f>ROUND(SUMIFS('Bank Lines'!$E$5:$E$1640,'Bank Lines'!$G$5:$G$1640,A123,'Bank Lines'!$J$5:$J$1640,1,'Bank Lines'!$C$5:$C$1640,"&lt;="&amp;Cover!$C$15),2)</f>
        <v>1959.29</v>
      </c>
      <c r="Z123" s="9">
        <f>ROUND(SUMIFS('Odoo Items'!$G$5:$G$4331,'Odoo Items'!$J$5:$J$4331,A123,'Odoo Items'!$C$5:$C$4331,"&lt;="&amp;Cover!$C$15),2)</f>
        <v>1959.29</v>
      </c>
      <c r="AA123">
        <f>COUNTIFS('Bank Lines'!$G$5:$G$1640,A123,'Bank Lines'!$J$5:$J$1640,1,'Bank Lines'!$C$5:$C$1640,"&lt;="&amp;Cover!$C$15)</f>
        <v>1</v>
      </c>
      <c r="AB123">
        <f>COUNTIFS('Odoo Items'!$J$5:$J$4331,A123,'Odoo Items'!$C$5:$C$4331,"&lt;="&amp;Cover!$C$15)</f>
        <v>8</v>
      </c>
      <c r="AC123" t="str">
        <f>IF(AND(AA123=0,AB123=0),"",IF(AA123=0,"ODOO-ONLY",IF(AB123=0,"BANK-ONLY","BOTH")))</f>
        <v>BOTH</v>
      </c>
      <c r="AD123" s="9">
        <f>IF(AC123="BOTH",ROUND(Y123-Z123,2),0)</f>
        <v>0</v>
      </c>
    </row>
    <row r="124">
      <c r="A124" t="inlineStr">
        <is>
          <t>G00120</t>
        </is>
      </c>
      <c r="B124" t="inlineStr">
        <is>
          <t>OPS</t>
        </is>
      </c>
      <c r="C124" t="inlineStr">
        <is>
          <t>R03</t>
        </is>
      </c>
      <c r="D124" t="inlineStr">
        <is>
          <t>MATCH</t>
        </is>
      </c>
      <c r="E124" t="inlineStr">
        <is>
          <t>Lyrebird Plan Management</t>
        </is>
      </c>
      <c r="F124" t="n">
        <v>1</v>
      </c>
      <c r="G124" t="inlineStr">
        <is>
          <t>2 invoices</t>
        </is>
      </c>
      <c r="H124">
        <f>COUNTIFS('Bank Lines'!$G$5:$G$1640,A124,'Bank Lines'!$J$5:$J$1640,1)</f>
        <v>1</v>
      </c>
      <c r="I124">
        <f>COUNTIFS('Odoo Items'!$J$5:$J$4331,A124)</f>
        <v>2</v>
      </c>
      <c r="J124" s="9">
        <f>ROUND(SUMIFS('Bank Lines'!$E$5:$E$1640,'Bank Lines'!$G$5:$G$1640,A124,'Bank Lines'!$J$5:$J$1640,1),2)</f>
        <v>670.17</v>
      </c>
      <c r="K124" s="9">
        <f>ROUND(SUMIFS('Odoo Items'!$G$5:$G$4331,'Odoo Items'!$J$5:$J$4331,A124),2)</f>
        <v>670.17</v>
      </c>
      <c r="L124" s="9">
        <f>ROUND(J124-K124,2)</f>
        <v>0</v>
      </c>
      <c r="M124" s="9">
        <f>ROUND(SUMIFS('Bank Lines'!$E$5:$E$1640,'Bank Lines'!$G$5:$G$1640,A124,'Bank Lines'!$J$5:$J$1640,1,'Bank Lines'!$C$5:$C$1640,"&lt;="&amp;Cover!$C$13),2)</f>
        <v>670.17</v>
      </c>
      <c r="N124" s="9">
        <f>ROUND(SUMIFS('Odoo Items'!$G$5:$G$4331,'Odoo Items'!$J$5:$J$4331,A124,'Odoo Items'!$C$5:$C$4331,"&lt;="&amp;Cover!$C$13),2)</f>
        <v>670.17</v>
      </c>
      <c r="O124">
        <f>COUNTIFS('Bank Lines'!$G$5:$G$1640,A124,'Bank Lines'!$J$5:$J$1640,1,'Bank Lines'!$C$5:$C$1640,"&lt;="&amp;Cover!$C$13)</f>
        <v>1</v>
      </c>
      <c r="P124">
        <f>COUNTIFS('Odoo Items'!$J$5:$J$4331,A124,'Odoo Items'!$C$5:$C$4331,"&lt;="&amp;Cover!$C$13)</f>
        <v>2</v>
      </c>
      <c r="Q124" t="str">
        <f>IF(AND(O124=0,P124=0),"",IF(O124=0,"ODOO-ONLY",IF(P124=0,"BANK-ONLY","BOTH")))</f>
        <v>BOTH</v>
      </c>
      <c r="R124" s="9">
        <f>IF(Q124="BOTH",ROUND(M124-N124,2),0)</f>
        <v>0</v>
      </c>
      <c r="S124" s="9">
        <f>ROUND(SUMIFS('Bank Lines'!$E$5:$E$1640,'Bank Lines'!$G$5:$G$1640,A124,'Bank Lines'!$J$5:$J$1640,1,'Bank Lines'!$C$5:$C$1640,"&lt;="&amp;Cover!$C$14),2)</f>
        <v>670.17</v>
      </c>
      <c r="T124" s="9">
        <f>ROUND(SUMIFS('Odoo Items'!$G$5:$G$4331,'Odoo Items'!$J$5:$J$4331,A124,'Odoo Items'!$C$5:$C$4331,"&lt;="&amp;Cover!$C$14),2)</f>
        <v>670.17</v>
      </c>
      <c r="U124">
        <f>COUNTIFS('Bank Lines'!$G$5:$G$1640,A124,'Bank Lines'!$J$5:$J$1640,1,'Bank Lines'!$C$5:$C$1640,"&lt;="&amp;Cover!$C$14)</f>
        <v>1</v>
      </c>
      <c r="V124">
        <f>COUNTIFS('Odoo Items'!$J$5:$J$4331,A124,'Odoo Items'!$C$5:$C$4331,"&lt;="&amp;Cover!$C$14)</f>
        <v>2</v>
      </c>
      <c r="W124" t="str">
        <f>IF(AND(U124=0,V124=0),"",IF(U124=0,"ODOO-ONLY",IF(V124=0,"BANK-ONLY","BOTH")))</f>
        <v>BOTH</v>
      </c>
      <c r="X124" s="9">
        <f>IF(W124="BOTH",ROUND(S124-T124,2),0)</f>
        <v>0</v>
      </c>
      <c r="Y124" s="9">
        <f>ROUND(SUMIFS('Bank Lines'!$E$5:$E$1640,'Bank Lines'!$G$5:$G$1640,A124,'Bank Lines'!$J$5:$J$1640,1,'Bank Lines'!$C$5:$C$1640,"&lt;="&amp;Cover!$C$15),2)</f>
        <v>670.17</v>
      </c>
      <c r="Z124" s="9">
        <f>ROUND(SUMIFS('Odoo Items'!$G$5:$G$4331,'Odoo Items'!$J$5:$J$4331,A124,'Odoo Items'!$C$5:$C$4331,"&lt;="&amp;Cover!$C$15),2)</f>
        <v>670.17</v>
      </c>
      <c r="AA124">
        <f>COUNTIFS('Bank Lines'!$G$5:$G$1640,A124,'Bank Lines'!$J$5:$J$1640,1,'Bank Lines'!$C$5:$C$1640,"&lt;="&amp;Cover!$C$15)</f>
        <v>1</v>
      </c>
      <c r="AB124">
        <f>COUNTIFS('Odoo Items'!$J$5:$J$4331,A124,'Odoo Items'!$C$5:$C$4331,"&lt;="&amp;Cover!$C$15)</f>
        <v>2</v>
      </c>
      <c r="AC124" t="str">
        <f>IF(AND(AA124=0,AB124=0),"",IF(AA124=0,"ODOO-ONLY",IF(AB124=0,"BANK-ONLY","BOTH")))</f>
        <v>BOTH</v>
      </c>
      <c r="AD124" s="9">
        <f>IF(AC124="BOTH",ROUND(Y124-Z124,2),0)</f>
        <v>0</v>
      </c>
    </row>
    <row r="125">
      <c r="A125" t="inlineStr">
        <is>
          <t>G00121</t>
        </is>
      </c>
      <c r="B125" t="inlineStr">
        <is>
          <t>OPS</t>
        </is>
      </c>
      <c r="C125" t="inlineStr">
        <is>
          <t>R03</t>
        </is>
      </c>
      <c r="D125" t="inlineStr">
        <is>
          <t>MATCH</t>
        </is>
      </c>
      <c r="E125" t="inlineStr">
        <is>
          <t>Mallee Plan Services</t>
        </is>
      </c>
      <c r="F125" t="n">
        <v>1</v>
      </c>
      <c r="G125" t="inlineStr">
        <is>
          <t>8 invoices</t>
        </is>
      </c>
      <c r="H125">
        <f>COUNTIFS('Bank Lines'!$G$5:$G$1640,A125,'Bank Lines'!$J$5:$J$1640,1)</f>
        <v>1</v>
      </c>
      <c r="I125">
        <f>COUNTIFS('Odoo Items'!$J$5:$J$4331,A125)</f>
        <v>8</v>
      </c>
      <c r="J125" s="9">
        <f>ROUND(SUMIFS('Bank Lines'!$E$5:$E$1640,'Bank Lines'!$G$5:$G$1640,A125,'Bank Lines'!$J$5:$J$1640,1),2)</f>
        <v>2368.49</v>
      </c>
      <c r="K125" s="9">
        <f>ROUND(SUMIFS('Odoo Items'!$G$5:$G$4331,'Odoo Items'!$J$5:$J$4331,A125),2)</f>
        <v>2368.49</v>
      </c>
      <c r="L125" s="9">
        <f>ROUND(J125-K125,2)</f>
        <v>0</v>
      </c>
      <c r="M125" s="9">
        <f>ROUND(SUMIFS('Bank Lines'!$E$5:$E$1640,'Bank Lines'!$G$5:$G$1640,A125,'Bank Lines'!$J$5:$J$1640,1,'Bank Lines'!$C$5:$C$1640,"&lt;="&amp;Cover!$C$13),2)</f>
        <v>2368.49</v>
      </c>
      <c r="N125" s="9">
        <f>ROUND(SUMIFS('Odoo Items'!$G$5:$G$4331,'Odoo Items'!$J$5:$J$4331,A125,'Odoo Items'!$C$5:$C$4331,"&lt;="&amp;Cover!$C$13),2)</f>
        <v>2368.49</v>
      </c>
      <c r="O125">
        <f>COUNTIFS('Bank Lines'!$G$5:$G$1640,A125,'Bank Lines'!$J$5:$J$1640,1,'Bank Lines'!$C$5:$C$1640,"&lt;="&amp;Cover!$C$13)</f>
        <v>1</v>
      </c>
      <c r="P125">
        <f>COUNTIFS('Odoo Items'!$J$5:$J$4331,A125,'Odoo Items'!$C$5:$C$4331,"&lt;="&amp;Cover!$C$13)</f>
        <v>8</v>
      </c>
      <c r="Q125" t="str">
        <f>IF(AND(O125=0,P125=0),"",IF(O125=0,"ODOO-ONLY",IF(P125=0,"BANK-ONLY","BOTH")))</f>
        <v>BOTH</v>
      </c>
      <c r="R125" s="9">
        <f>IF(Q125="BOTH",ROUND(M125-N125,2),0)</f>
        <v>0</v>
      </c>
      <c r="S125" s="9">
        <f>ROUND(SUMIFS('Bank Lines'!$E$5:$E$1640,'Bank Lines'!$G$5:$G$1640,A125,'Bank Lines'!$J$5:$J$1640,1,'Bank Lines'!$C$5:$C$1640,"&lt;="&amp;Cover!$C$14),2)</f>
        <v>2368.49</v>
      </c>
      <c r="T125" s="9">
        <f>ROUND(SUMIFS('Odoo Items'!$G$5:$G$4331,'Odoo Items'!$J$5:$J$4331,A125,'Odoo Items'!$C$5:$C$4331,"&lt;="&amp;Cover!$C$14),2)</f>
        <v>2368.49</v>
      </c>
      <c r="U125">
        <f>COUNTIFS('Bank Lines'!$G$5:$G$1640,A125,'Bank Lines'!$J$5:$J$1640,1,'Bank Lines'!$C$5:$C$1640,"&lt;="&amp;Cover!$C$14)</f>
        <v>1</v>
      </c>
      <c r="V125">
        <f>COUNTIFS('Odoo Items'!$J$5:$J$4331,A125,'Odoo Items'!$C$5:$C$4331,"&lt;="&amp;Cover!$C$14)</f>
        <v>8</v>
      </c>
      <c r="W125" t="str">
        <f>IF(AND(U125=0,V125=0),"",IF(U125=0,"ODOO-ONLY",IF(V125=0,"BANK-ONLY","BOTH")))</f>
        <v>BOTH</v>
      </c>
      <c r="X125" s="9">
        <f>IF(W125="BOTH",ROUND(S125-T125,2),0)</f>
        <v>0</v>
      </c>
      <c r="Y125" s="9">
        <f>ROUND(SUMIFS('Bank Lines'!$E$5:$E$1640,'Bank Lines'!$G$5:$G$1640,A125,'Bank Lines'!$J$5:$J$1640,1,'Bank Lines'!$C$5:$C$1640,"&lt;="&amp;Cover!$C$15),2)</f>
        <v>2368.49</v>
      </c>
      <c r="Z125" s="9">
        <f>ROUND(SUMIFS('Odoo Items'!$G$5:$G$4331,'Odoo Items'!$J$5:$J$4331,A125,'Odoo Items'!$C$5:$C$4331,"&lt;="&amp;Cover!$C$15),2)</f>
        <v>2368.49</v>
      </c>
      <c r="AA125">
        <f>COUNTIFS('Bank Lines'!$G$5:$G$1640,A125,'Bank Lines'!$J$5:$J$1640,1,'Bank Lines'!$C$5:$C$1640,"&lt;="&amp;Cover!$C$15)</f>
        <v>1</v>
      </c>
      <c r="AB125">
        <f>COUNTIFS('Odoo Items'!$J$5:$J$4331,A125,'Odoo Items'!$C$5:$C$4331,"&lt;="&amp;Cover!$C$15)</f>
        <v>8</v>
      </c>
      <c r="AC125" t="str">
        <f>IF(AND(AA125=0,AB125=0),"",IF(AA125=0,"ODOO-ONLY",IF(AB125=0,"BANK-ONLY","BOTH")))</f>
        <v>BOTH</v>
      </c>
      <c r="AD125" s="9">
        <f>IF(AC125="BOTH",ROUND(Y125-Z125,2),0)</f>
        <v>0</v>
      </c>
    </row>
    <row r="126">
      <c r="A126" t="inlineStr">
        <is>
          <t>G00122</t>
        </is>
      </c>
      <c r="B126" t="inlineStr">
        <is>
          <t>OPS</t>
        </is>
      </c>
      <c r="C126" t="inlineStr">
        <is>
          <t>R03</t>
        </is>
      </c>
      <c r="D126" t="inlineStr">
        <is>
          <t>MATCH</t>
        </is>
      </c>
      <c r="E126" t="inlineStr">
        <is>
          <t>Bluegum Plan Management</t>
        </is>
      </c>
      <c r="F126" t="n">
        <v>0.9</v>
      </c>
      <c r="G126" t="inlineStr">
        <is>
          <t>2 invoices</t>
        </is>
      </c>
      <c r="H126">
        <f>COUNTIFS('Bank Lines'!$G$5:$G$1640,A126,'Bank Lines'!$J$5:$J$1640,1)</f>
        <v>1</v>
      </c>
      <c r="I126">
        <f>COUNTIFS('Odoo Items'!$J$5:$J$4331,A126)</f>
        <v>2</v>
      </c>
      <c r="J126" s="9">
        <f>ROUND(SUMIFS('Bank Lines'!$E$5:$E$1640,'Bank Lines'!$G$5:$G$1640,A126,'Bank Lines'!$J$5:$J$1640,1),2)</f>
        <v>892.36</v>
      </c>
      <c r="K126" s="9">
        <f>ROUND(SUMIFS('Odoo Items'!$G$5:$G$4331,'Odoo Items'!$J$5:$J$4331,A126),2)</f>
        <v>892.36</v>
      </c>
      <c r="L126" s="9">
        <f>ROUND(J126-K126,2)</f>
        <v>0</v>
      </c>
      <c r="M126" s="9">
        <f>ROUND(SUMIFS('Bank Lines'!$E$5:$E$1640,'Bank Lines'!$G$5:$G$1640,A126,'Bank Lines'!$J$5:$J$1640,1,'Bank Lines'!$C$5:$C$1640,"&lt;="&amp;Cover!$C$13),2)</f>
        <v>892.36</v>
      </c>
      <c r="N126" s="9">
        <f>ROUND(SUMIFS('Odoo Items'!$G$5:$G$4331,'Odoo Items'!$J$5:$J$4331,A126,'Odoo Items'!$C$5:$C$4331,"&lt;="&amp;Cover!$C$13),2)</f>
        <v>892.36</v>
      </c>
      <c r="O126">
        <f>COUNTIFS('Bank Lines'!$G$5:$G$1640,A126,'Bank Lines'!$J$5:$J$1640,1,'Bank Lines'!$C$5:$C$1640,"&lt;="&amp;Cover!$C$13)</f>
        <v>1</v>
      </c>
      <c r="P126">
        <f>COUNTIFS('Odoo Items'!$J$5:$J$4331,A126,'Odoo Items'!$C$5:$C$4331,"&lt;="&amp;Cover!$C$13)</f>
        <v>2</v>
      </c>
      <c r="Q126" t="str">
        <f>IF(AND(O126=0,P126=0),"",IF(O126=0,"ODOO-ONLY",IF(P126=0,"BANK-ONLY","BOTH")))</f>
        <v>BOTH</v>
      </c>
      <c r="R126" s="9">
        <f>IF(Q126="BOTH",ROUND(M126-N126,2),0)</f>
        <v>0</v>
      </c>
      <c r="S126" s="9">
        <f>ROUND(SUMIFS('Bank Lines'!$E$5:$E$1640,'Bank Lines'!$G$5:$G$1640,A126,'Bank Lines'!$J$5:$J$1640,1,'Bank Lines'!$C$5:$C$1640,"&lt;="&amp;Cover!$C$14),2)</f>
        <v>892.36</v>
      </c>
      <c r="T126" s="9">
        <f>ROUND(SUMIFS('Odoo Items'!$G$5:$G$4331,'Odoo Items'!$J$5:$J$4331,A126,'Odoo Items'!$C$5:$C$4331,"&lt;="&amp;Cover!$C$14),2)</f>
        <v>892.36</v>
      </c>
      <c r="U126">
        <f>COUNTIFS('Bank Lines'!$G$5:$G$1640,A126,'Bank Lines'!$J$5:$J$1640,1,'Bank Lines'!$C$5:$C$1640,"&lt;="&amp;Cover!$C$14)</f>
        <v>1</v>
      </c>
      <c r="V126">
        <f>COUNTIFS('Odoo Items'!$J$5:$J$4331,A126,'Odoo Items'!$C$5:$C$4331,"&lt;="&amp;Cover!$C$14)</f>
        <v>2</v>
      </c>
      <c r="W126" t="str">
        <f>IF(AND(U126=0,V126=0),"",IF(U126=0,"ODOO-ONLY",IF(V126=0,"BANK-ONLY","BOTH")))</f>
        <v>BOTH</v>
      </c>
      <c r="X126" s="9">
        <f>IF(W126="BOTH",ROUND(S126-T126,2),0)</f>
        <v>0</v>
      </c>
      <c r="Y126" s="9">
        <f>ROUND(SUMIFS('Bank Lines'!$E$5:$E$1640,'Bank Lines'!$G$5:$G$1640,A126,'Bank Lines'!$J$5:$J$1640,1,'Bank Lines'!$C$5:$C$1640,"&lt;="&amp;Cover!$C$15),2)</f>
        <v>892.36</v>
      </c>
      <c r="Z126" s="9">
        <f>ROUND(SUMIFS('Odoo Items'!$G$5:$G$4331,'Odoo Items'!$J$5:$J$4331,A126,'Odoo Items'!$C$5:$C$4331,"&lt;="&amp;Cover!$C$15),2)</f>
        <v>892.36</v>
      </c>
      <c r="AA126">
        <f>COUNTIFS('Bank Lines'!$G$5:$G$1640,A126,'Bank Lines'!$J$5:$J$1640,1,'Bank Lines'!$C$5:$C$1640,"&lt;="&amp;Cover!$C$15)</f>
        <v>1</v>
      </c>
      <c r="AB126">
        <f>COUNTIFS('Odoo Items'!$J$5:$J$4331,A126,'Odoo Items'!$C$5:$C$4331,"&lt;="&amp;Cover!$C$15)</f>
        <v>2</v>
      </c>
      <c r="AC126" t="str">
        <f>IF(AND(AA126=0,AB126=0),"",IF(AA126=0,"ODOO-ONLY",IF(AB126=0,"BANK-ONLY","BOTH")))</f>
        <v>BOTH</v>
      </c>
      <c r="AD126" s="9">
        <f>IF(AC126="BOTH",ROUND(Y126-Z126,2),0)</f>
        <v>0</v>
      </c>
    </row>
    <row r="127">
      <c r="A127" t="inlineStr">
        <is>
          <t>G00123</t>
        </is>
      </c>
      <c r="B127" t="inlineStr">
        <is>
          <t>OPS</t>
        </is>
      </c>
      <c r="C127" t="inlineStr">
        <is>
          <t>R03</t>
        </is>
      </c>
      <c r="D127" t="inlineStr">
        <is>
          <t>SHORT</t>
        </is>
      </c>
      <c r="E127" t="inlineStr">
        <is>
          <t>Clearpath NDIS Plans</t>
        </is>
      </c>
      <c r="F127" t="n">
        <v>0.973</v>
      </c>
      <c r="G127" t="inlineStr">
        <is>
          <t>Registered at invoice value; remittance shows short payment on INV/2026/01847</t>
        </is>
      </c>
      <c r="H127">
        <f>COUNTIFS('Bank Lines'!$G$5:$G$1640,A127,'Bank Lines'!$J$5:$J$1640,1)</f>
        <v>1</v>
      </c>
      <c r="I127">
        <f>COUNTIFS('Odoo Items'!$J$5:$J$4331,A127)</f>
        <v>3</v>
      </c>
      <c r="J127" s="9">
        <f>ROUND(SUMIFS('Bank Lines'!$E$5:$E$1640,'Bank Lines'!$G$5:$G$1640,A127,'Bank Lines'!$J$5:$J$1640,1),2)</f>
        <v>364.62</v>
      </c>
      <c r="K127" s="9">
        <f>ROUND(SUMIFS('Odoo Items'!$G$5:$G$4331,'Odoo Items'!$J$5:$J$4331,A127),2)</f>
        <v>379.17</v>
      </c>
      <c r="L127" s="9">
        <f>ROUND(J127-K127,2)</f>
        <v>-14.55</v>
      </c>
      <c r="M127" s="9">
        <f>ROUND(SUMIFS('Bank Lines'!$E$5:$E$1640,'Bank Lines'!$G$5:$G$1640,A127,'Bank Lines'!$J$5:$J$1640,1,'Bank Lines'!$C$5:$C$1640,"&lt;="&amp;Cover!$C$13),2)</f>
        <v>364.62</v>
      </c>
      <c r="N127" s="9">
        <f>ROUND(SUMIFS('Odoo Items'!$G$5:$G$4331,'Odoo Items'!$J$5:$J$4331,A127,'Odoo Items'!$C$5:$C$4331,"&lt;="&amp;Cover!$C$13),2)</f>
        <v>379.17</v>
      </c>
      <c r="O127">
        <f>COUNTIFS('Bank Lines'!$G$5:$G$1640,A127,'Bank Lines'!$J$5:$J$1640,1,'Bank Lines'!$C$5:$C$1640,"&lt;="&amp;Cover!$C$13)</f>
        <v>1</v>
      </c>
      <c r="P127">
        <f>COUNTIFS('Odoo Items'!$J$5:$J$4331,A127,'Odoo Items'!$C$5:$C$4331,"&lt;="&amp;Cover!$C$13)</f>
        <v>3</v>
      </c>
      <c r="Q127" t="str">
        <f>IF(AND(O127=0,P127=0),"",IF(O127=0,"ODOO-ONLY",IF(P127=0,"BANK-ONLY","BOTH")))</f>
        <v>BOTH</v>
      </c>
      <c r="R127" s="9">
        <f>IF(Q127="BOTH",ROUND(M127-N127,2),0)</f>
        <v>-14.55</v>
      </c>
      <c r="S127" s="9">
        <f>ROUND(SUMIFS('Bank Lines'!$E$5:$E$1640,'Bank Lines'!$G$5:$G$1640,A127,'Bank Lines'!$J$5:$J$1640,1,'Bank Lines'!$C$5:$C$1640,"&lt;="&amp;Cover!$C$14),2)</f>
        <v>364.62</v>
      </c>
      <c r="T127" s="9">
        <f>ROUND(SUMIFS('Odoo Items'!$G$5:$G$4331,'Odoo Items'!$J$5:$J$4331,A127,'Odoo Items'!$C$5:$C$4331,"&lt;="&amp;Cover!$C$14),2)</f>
        <v>379.17</v>
      </c>
      <c r="U127">
        <f>COUNTIFS('Bank Lines'!$G$5:$G$1640,A127,'Bank Lines'!$J$5:$J$1640,1,'Bank Lines'!$C$5:$C$1640,"&lt;="&amp;Cover!$C$14)</f>
        <v>1</v>
      </c>
      <c r="V127">
        <f>COUNTIFS('Odoo Items'!$J$5:$J$4331,A127,'Odoo Items'!$C$5:$C$4331,"&lt;="&amp;Cover!$C$14)</f>
        <v>3</v>
      </c>
      <c r="W127" t="str">
        <f>IF(AND(U127=0,V127=0),"",IF(U127=0,"ODOO-ONLY",IF(V127=0,"BANK-ONLY","BOTH")))</f>
        <v>BOTH</v>
      </c>
      <c r="X127" s="9">
        <f>IF(W127="BOTH",ROUND(S127-T127,2),0)</f>
        <v>-14.55</v>
      </c>
      <c r="Y127" s="9">
        <f>ROUND(SUMIFS('Bank Lines'!$E$5:$E$1640,'Bank Lines'!$G$5:$G$1640,A127,'Bank Lines'!$J$5:$J$1640,1,'Bank Lines'!$C$5:$C$1640,"&lt;="&amp;Cover!$C$15),2)</f>
        <v>364.62</v>
      </c>
      <c r="Z127" s="9">
        <f>ROUND(SUMIFS('Odoo Items'!$G$5:$G$4331,'Odoo Items'!$J$5:$J$4331,A127,'Odoo Items'!$C$5:$C$4331,"&lt;="&amp;Cover!$C$15),2)</f>
        <v>379.17</v>
      </c>
      <c r="AA127">
        <f>COUNTIFS('Bank Lines'!$G$5:$G$1640,A127,'Bank Lines'!$J$5:$J$1640,1,'Bank Lines'!$C$5:$C$1640,"&lt;="&amp;Cover!$C$15)</f>
        <v>1</v>
      </c>
      <c r="AB127">
        <f>COUNTIFS('Odoo Items'!$J$5:$J$4331,A127,'Odoo Items'!$C$5:$C$4331,"&lt;="&amp;Cover!$C$15)</f>
        <v>3</v>
      </c>
      <c r="AC127" t="str">
        <f>IF(AND(AA127=0,AB127=0),"",IF(AA127=0,"ODOO-ONLY",IF(AB127=0,"BANK-ONLY","BOTH")))</f>
        <v>BOTH</v>
      </c>
      <c r="AD127" s="9">
        <f>IF(AC127="BOTH",ROUND(Y127-Z127,2),0)</f>
        <v>-14.55</v>
      </c>
    </row>
    <row r="128">
      <c r="A128" t="inlineStr">
        <is>
          <t>G00124</t>
        </is>
      </c>
      <c r="B128" t="inlineStr">
        <is>
          <t>OPS</t>
        </is>
      </c>
      <c r="C128" t="inlineStr">
        <is>
          <t>R03</t>
        </is>
      </c>
      <c r="D128" t="inlineStr">
        <is>
          <t>MATCH</t>
        </is>
      </c>
      <c r="E128" t="inlineStr">
        <is>
          <t>Redgum Plan Admin</t>
        </is>
      </c>
      <c r="F128" t="n">
        <v>1</v>
      </c>
      <c r="G128" t="inlineStr">
        <is>
          <t>2 invoices</t>
        </is>
      </c>
      <c r="H128">
        <f>COUNTIFS('Bank Lines'!$G$5:$G$1640,A128,'Bank Lines'!$J$5:$J$1640,1)</f>
        <v>1</v>
      </c>
      <c r="I128">
        <f>COUNTIFS('Odoo Items'!$J$5:$J$4331,A128)</f>
        <v>2</v>
      </c>
      <c r="J128" s="9">
        <f>ROUND(SUMIFS('Bank Lines'!$E$5:$E$1640,'Bank Lines'!$G$5:$G$1640,A128,'Bank Lines'!$J$5:$J$1640,1),2)</f>
        <v>805.96</v>
      </c>
      <c r="K128" s="9">
        <f>ROUND(SUMIFS('Odoo Items'!$G$5:$G$4331,'Odoo Items'!$J$5:$J$4331,A128),2)</f>
        <v>805.96</v>
      </c>
      <c r="L128" s="9">
        <f>ROUND(J128-K128,2)</f>
        <v>0</v>
      </c>
      <c r="M128" s="9">
        <f>ROUND(SUMIFS('Bank Lines'!$E$5:$E$1640,'Bank Lines'!$G$5:$G$1640,A128,'Bank Lines'!$J$5:$J$1640,1,'Bank Lines'!$C$5:$C$1640,"&lt;="&amp;Cover!$C$13),2)</f>
        <v>805.96</v>
      </c>
      <c r="N128" s="9">
        <f>ROUND(SUMIFS('Odoo Items'!$G$5:$G$4331,'Odoo Items'!$J$5:$J$4331,A128,'Odoo Items'!$C$5:$C$4331,"&lt;="&amp;Cover!$C$13),2)</f>
        <v>805.96</v>
      </c>
      <c r="O128">
        <f>COUNTIFS('Bank Lines'!$G$5:$G$1640,A128,'Bank Lines'!$J$5:$J$1640,1,'Bank Lines'!$C$5:$C$1640,"&lt;="&amp;Cover!$C$13)</f>
        <v>1</v>
      </c>
      <c r="P128">
        <f>COUNTIFS('Odoo Items'!$J$5:$J$4331,A128,'Odoo Items'!$C$5:$C$4331,"&lt;="&amp;Cover!$C$13)</f>
        <v>2</v>
      </c>
      <c r="Q128" t="str">
        <f>IF(AND(O128=0,P128=0),"",IF(O128=0,"ODOO-ONLY",IF(P128=0,"BANK-ONLY","BOTH")))</f>
        <v>BOTH</v>
      </c>
      <c r="R128" s="9">
        <f>IF(Q128="BOTH",ROUND(M128-N128,2),0)</f>
        <v>0</v>
      </c>
      <c r="S128" s="9">
        <f>ROUND(SUMIFS('Bank Lines'!$E$5:$E$1640,'Bank Lines'!$G$5:$G$1640,A128,'Bank Lines'!$J$5:$J$1640,1,'Bank Lines'!$C$5:$C$1640,"&lt;="&amp;Cover!$C$14),2)</f>
        <v>805.96</v>
      </c>
      <c r="T128" s="9">
        <f>ROUND(SUMIFS('Odoo Items'!$G$5:$G$4331,'Odoo Items'!$J$5:$J$4331,A128,'Odoo Items'!$C$5:$C$4331,"&lt;="&amp;Cover!$C$14),2)</f>
        <v>805.96</v>
      </c>
      <c r="U128">
        <f>COUNTIFS('Bank Lines'!$G$5:$G$1640,A128,'Bank Lines'!$J$5:$J$1640,1,'Bank Lines'!$C$5:$C$1640,"&lt;="&amp;Cover!$C$14)</f>
        <v>1</v>
      </c>
      <c r="V128">
        <f>COUNTIFS('Odoo Items'!$J$5:$J$4331,A128,'Odoo Items'!$C$5:$C$4331,"&lt;="&amp;Cover!$C$14)</f>
        <v>2</v>
      </c>
      <c r="W128" t="str">
        <f>IF(AND(U128=0,V128=0),"",IF(U128=0,"ODOO-ONLY",IF(V128=0,"BANK-ONLY","BOTH")))</f>
        <v>BOTH</v>
      </c>
      <c r="X128" s="9">
        <f>IF(W128="BOTH",ROUND(S128-T128,2),0)</f>
        <v>0</v>
      </c>
      <c r="Y128" s="9">
        <f>ROUND(SUMIFS('Bank Lines'!$E$5:$E$1640,'Bank Lines'!$G$5:$G$1640,A128,'Bank Lines'!$J$5:$J$1640,1,'Bank Lines'!$C$5:$C$1640,"&lt;="&amp;Cover!$C$15),2)</f>
        <v>805.96</v>
      </c>
      <c r="Z128" s="9">
        <f>ROUND(SUMIFS('Odoo Items'!$G$5:$G$4331,'Odoo Items'!$J$5:$J$4331,A128,'Odoo Items'!$C$5:$C$4331,"&lt;="&amp;Cover!$C$15),2)</f>
        <v>805.96</v>
      </c>
      <c r="AA128">
        <f>COUNTIFS('Bank Lines'!$G$5:$G$1640,A128,'Bank Lines'!$J$5:$J$1640,1,'Bank Lines'!$C$5:$C$1640,"&lt;="&amp;Cover!$C$15)</f>
        <v>1</v>
      </c>
      <c r="AB128">
        <f>COUNTIFS('Odoo Items'!$J$5:$J$4331,A128,'Odoo Items'!$C$5:$C$4331,"&lt;="&amp;Cover!$C$15)</f>
        <v>2</v>
      </c>
      <c r="AC128" t="str">
        <f>IF(AND(AA128=0,AB128=0),"",IF(AA128=0,"ODOO-ONLY",IF(AB128=0,"BANK-ONLY","BOTH")))</f>
        <v>BOTH</v>
      </c>
      <c r="AD128" s="9">
        <f>IF(AC128="BOTH",ROUND(Y128-Z128,2),0)</f>
        <v>0</v>
      </c>
    </row>
    <row r="129">
      <c r="A129" t="inlineStr">
        <is>
          <t>G00125</t>
        </is>
      </c>
      <c r="B129" t="inlineStr">
        <is>
          <t>OPS</t>
        </is>
      </c>
      <c r="C129" t="inlineStr">
        <is>
          <t>R03</t>
        </is>
      </c>
      <c r="D129" t="inlineStr">
        <is>
          <t>MATCH</t>
        </is>
      </c>
      <c r="E129" t="inlineStr">
        <is>
          <t>Southern Cross Plan Mgmt</t>
        </is>
      </c>
      <c r="F129" t="n">
        <v>1</v>
      </c>
      <c r="G129" t="inlineStr">
        <is>
          <t>2 invoices</t>
        </is>
      </c>
      <c r="H129">
        <f>COUNTIFS('Bank Lines'!$G$5:$G$1640,A129,'Bank Lines'!$J$5:$J$1640,1)</f>
        <v>1</v>
      </c>
      <c r="I129">
        <f>COUNTIFS('Odoo Items'!$J$5:$J$4331,A129)</f>
        <v>2</v>
      </c>
      <c r="J129" s="9">
        <f>ROUND(SUMIFS('Bank Lines'!$E$5:$E$1640,'Bank Lines'!$G$5:$G$1640,A129,'Bank Lines'!$J$5:$J$1640,1),2)</f>
        <v>601.37</v>
      </c>
      <c r="K129" s="9">
        <f>ROUND(SUMIFS('Odoo Items'!$G$5:$G$4331,'Odoo Items'!$J$5:$J$4331,A129),2)</f>
        <v>601.37</v>
      </c>
      <c r="L129" s="9">
        <f>ROUND(J129-K129,2)</f>
        <v>0</v>
      </c>
      <c r="M129" s="9">
        <f>ROUND(SUMIFS('Bank Lines'!$E$5:$E$1640,'Bank Lines'!$G$5:$G$1640,A129,'Bank Lines'!$J$5:$J$1640,1,'Bank Lines'!$C$5:$C$1640,"&lt;="&amp;Cover!$C$13),2)</f>
        <v>601.37</v>
      </c>
      <c r="N129" s="9">
        <f>ROUND(SUMIFS('Odoo Items'!$G$5:$G$4331,'Odoo Items'!$J$5:$J$4331,A129,'Odoo Items'!$C$5:$C$4331,"&lt;="&amp;Cover!$C$13),2)</f>
        <v>601.37</v>
      </c>
      <c r="O129">
        <f>COUNTIFS('Bank Lines'!$G$5:$G$1640,A129,'Bank Lines'!$J$5:$J$1640,1,'Bank Lines'!$C$5:$C$1640,"&lt;="&amp;Cover!$C$13)</f>
        <v>1</v>
      </c>
      <c r="P129">
        <f>COUNTIFS('Odoo Items'!$J$5:$J$4331,A129,'Odoo Items'!$C$5:$C$4331,"&lt;="&amp;Cover!$C$13)</f>
        <v>2</v>
      </c>
      <c r="Q129" t="str">
        <f>IF(AND(O129=0,P129=0),"",IF(O129=0,"ODOO-ONLY",IF(P129=0,"BANK-ONLY","BOTH")))</f>
        <v>BOTH</v>
      </c>
      <c r="R129" s="9">
        <f>IF(Q129="BOTH",ROUND(M129-N129,2),0)</f>
        <v>0</v>
      </c>
      <c r="S129" s="9">
        <f>ROUND(SUMIFS('Bank Lines'!$E$5:$E$1640,'Bank Lines'!$G$5:$G$1640,A129,'Bank Lines'!$J$5:$J$1640,1,'Bank Lines'!$C$5:$C$1640,"&lt;="&amp;Cover!$C$14),2)</f>
        <v>601.37</v>
      </c>
      <c r="T129" s="9">
        <f>ROUND(SUMIFS('Odoo Items'!$G$5:$G$4331,'Odoo Items'!$J$5:$J$4331,A129,'Odoo Items'!$C$5:$C$4331,"&lt;="&amp;Cover!$C$14),2)</f>
        <v>601.37</v>
      </c>
      <c r="U129">
        <f>COUNTIFS('Bank Lines'!$G$5:$G$1640,A129,'Bank Lines'!$J$5:$J$1640,1,'Bank Lines'!$C$5:$C$1640,"&lt;="&amp;Cover!$C$14)</f>
        <v>1</v>
      </c>
      <c r="V129">
        <f>COUNTIFS('Odoo Items'!$J$5:$J$4331,A129,'Odoo Items'!$C$5:$C$4331,"&lt;="&amp;Cover!$C$14)</f>
        <v>2</v>
      </c>
      <c r="W129" t="str">
        <f>IF(AND(U129=0,V129=0),"",IF(U129=0,"ODOO-ONLY",IF(V129=0,"BANK-ONLY","BOTH")))</f>
        <v>BOTH</v>
      </c>
      <c r="X129" s="9">
        <f>IF(W129="BOTH",ROUND(S129-T129,2),0)</f>
        <v>0</v>
      </c>
      <c r="Y129" s="9">
        <f>ROUND(SUMIFS('Bank Lines'!$E$5:$E$1640,'Bank Lines'!$G$5:$G$1640,A129,'Bank Lines'!$J$5:$J$1640,1,'Bank Lines'!$C$5:$C$1640,"&lt;="&amp;Cover!$C$15),2)</f>
        <v>601.37</v>
      </c>
      <c r="Z129" s="9">
        <f>ROUND(SUMIFS('Odoo Items'!$G$5:$G$4331,'Odoo Items'!$J$5:$J$4331,A129,'Odoo Items'!$C$5:$C$4331,"&lt;="&amp;Cover!$C$15),2)</f>
        <v>601.37</v>
      </c>
      <c r="AA129">
        <f>COUNTIFS('Bank Lines'!$G$5:$G$1640,A129,'Bank Lines'!$J$5:$J$1640,1,'Bank Lines'!$C$5:$C$1640,"&lt;="&amp;Cover!$C$15)</f>
        <v>1</v>
      </c>
      <c r="AB129">
        <f>COUNTIFS('Odoo Items'!$J$5:$J$4331,A129,'Odoo Items'!$C$5:$C$4331,"&lt;="&amp;Cover!$C$15)</f>
        <v>2</v>
      </c>
      <c r="AC129" t="str">
        <f>IF(AND(AA129=0,AB129=0),"",IF(AA129=0,"ODOO-ONLY",IF(AB129=0,"BANK-ONLY","BOTH")))</f>
        <v>BOTH</v>
      </c>
      <c r="AD129" s="9">
        <f>IF(AC129="BOTH",ROUND(Y129-Z129,2),0)</f>
        <v>0</v>
      </c>
    </row>
    <row r="130">
      <c r="A130" t="inlineStr">
        <is>
          <t>G00126</t>
        </is>
      </c>
      <c r="B130" t="inlineStr">
        <is>
          <t>OPS</t>
        </is>
      </c>
      <c r="C130" t="inlineStr">
        <is>
          <t>R03</t>
        </is>
      </c>
      <c r="D130" t="inlineStr">
        <is>
          <t>MATCH</t>
        </is>
      </c>
      <c r="E130" t="inlineStr">
        <is>
          <t>Lyrebird Plan Management</t>
        </is>
      </c>
      <c r="F130" t="n">
        <v>1</v>
      </c>
      <c r="G130" t="inlineStr">
        <is>
          <t>8 invoices</t>
        </is>
      </c>
      <c r="H130">
        <f>COUNTIFS('Bank Lines'!$G$5:$G$1640,A130,'Bank Lines'!$J$5:$J$1640,1)</f>
        <v>1</v>
      </c>
      <c r="I130">
        <f>COUNTIFS('Odoo Items'!$J$5:$J$4331,A130)</f>
        <v>8</v>
      </c>
      <c r="J130" s="9">
        <f>ROUND(SUMIFS('Bank Lines'!$E$5:$E$1640,'Bank Lines'!$G$5:$G$1640,A130,'Bank Lines'!$J$5:$J$1640,1),2)</f>
        <v>1998.09</v>
      </c>
      <c r="K130" s="9">
        <f>ROUND(SUMIFS('Odoo Items'!$G$5:$G$4331,'Odoo Items'!$J$5:$J$4331,A130),2)</f>
        <v>1998.09</v>
      </c>
      <c r="L130" s="9">
        <f>ROUND(J130-K130,2)</f>
        <v>0</v>
      </c>
      <c r="M130" s="9">
        <f>ROUND(SUMIFS('Bank Lines'!$E$5:$E$1640,'Bank Lines'!$G$5:$G$1640,A130,'Bank Lines'!$J$5:$J$1640,1,'Bank Lines'!$C$5:$C$1640,"&lt;="&amp;Cover!$C$13),2)</f>
        <v>1998.09</v>
      </c>
      <c r="N130" s="9">
        <f>ROUND(SUMIFS('Odoo Items'!$G$5:$G$4331,'Odoo Items'!$J$5:$J$4331,A130,'Odoo Items'!$C$5:$C$4331,"&lt;="&amp;Cover!$C$13),2)</f>
        <v>1998.09</v>
      </c>
      <c r="O130">
        <f>COUNTIFS('Bank Lines'!$G$5:$G$1640,A130,'Bank Lines'!$J$5:$J$1640,1,'Bank Lines'!$C$5:$C$1640,"&lt;="&amp;Cover!$C$13)</f>
        <v>1</v>
      </c>
      <c r="P130">
        <f>COUNTIFS('Odoo Items'!$J$5:$J$4331,A130,'Odoo Items'!$C$5:$C$4331,"&lt;="&amp;Cover!$C$13)</f>
        <v>8</v>
      </c>
      <c r="Q130" t="str">
        <f>IF(AND(O130=0,P130=0),"",IF(O130=0,"ODOO-ONLY",IF(P130=0,"BANK-ONLY","BOTH")))</f>
        <v>BOTH</v>
      </c>
      <c r="R130" s="9">
        <f>IF(Q130="BOTH",ROUND(M130-N130,2),0)</f>
        <v>0</v>
      </c>
      <c r="S130" s="9">
        <f>ROUND(SUMIFS('Bank Lines'!$E$5:$E$1640,'Bank Lines'!$G$5:$G$1640,A130,'Bank Lines'!$J$5:$J$1640,1,'Bank Lines'!$C$5:$C$1640,"&lt;="&amp;Cover!$C$14),2)</f>
        <v>1998.09</v>
      </c>
      <c r="T130" s="9">
        <f>ROUND(SUMIFS('Odoo Items'!$G$5:$G$4331,'Odoo Items'!$J$5:$J$4331,A130,'Odoo Items'!$C$5:$C$4331,"&lt;="&amp;Cover!$C$14),2)</f>
        <v>1998.09</v>
      </c>
      <c r="U130">
        <f>COUNTIFS('Bank Lines'!$G$5:$G$1640,A130,'Bank Lines'!$J$5:$J$1640,1,'Bank Lines'!$C$5:$C$1640,"&lt;="&amp;Cover!$C$14)</f>
        <v>1</v>
      </c>
      <c r="V130">
        <f>COUNTIFS('Odoo Items'!$J$5:$J$4331,A130,'Odoo Items'!$C$5:$C$4331,"&lt;="&amp;Cover!$C$14)</f>
        <v>8</v>
      </c>
      <c r="W130" t="str">
        <f>IF(AND(U130=0,V130=0),"",IF(U130=0,"ODOO-ONLY",IF(V130=0,"BANK-ONLY","BOTH")))</f>
        <v>BOTH</v>
      </c>
      <c r="X130" s="9">
        <f>IF(W130="BOTH",ROUND(S130-T130,2),0)</f>
        <v>0</v>
      </c>
      <c r="Y130" s="9">
        <f>ROUND(SUMIFS('Bank Lines'!$E$5:$E$1640,'Bank Lines'!$G$5:$G$1640,A130,'Bank Lines'!$J$5:$J$1640,1,'Bank Lines'!$C$5:$C$1640,"&lt;="&amp;Cover!$C$15),2)</f>
        <v>1998.09</v>
      </c>
      <c r="Z130" s="9">
        <f>ROUND(SUMIFS('Odoo Items'!$G$5:$G$4331,'Odoo Items'!$J$5:$J$4331,A130,'Odoo Items'!$C$5:$C$4331,"&lt;="&amp;Cover!$C$15),2)</f>
        <v>1998.09</v>
      </c>
      <c r="AA130">
        <f>COUNTIFS('Bank Lines'!$G$5:$G$1640,A130,'Bank Lines'!$J$5:$J$1640,1,'Bank Lines'!$C$5:$C$1640,"&lt;="&amp;Cover!$C$15)</f>
        <v>1</v>
      </c>
      <c r="AB130">
        <f>COUNTIFS('Odoo Items'!$J$5:$J$4331,A130,'Odoo Items'!$C$5:$C$4331,"&lt;="&amp;Cover!$C$15)</f>
        <v>8</v>
      </c>
      <c r="AC130" t="str">
        <f>IF(AND(AA130=0,AB130=0),"",IF(AA130=0,"ODOO-ONLY",IF(AB130=0,"BANK-ONLY","BOTH")))</f>
        <v>BOTH</v>
      </c>
      <c r="AD130" s="9">
        <f>IF(AC130="BOTH",ROUND(Y130-Z130,2),0)</f>
        <v>0</v>
      </c>
    </row>
    <row r="131">
      <c r="A131" t="inlineStr">
        <is>
          <t>G00127</t>
        </is>
      </c>
      <c r="B131" t="inlineStr">
        <is>
          <t>OPS</t>
        </is>
      </c>
      <c r="C131" t="inlineStr">
        <is>
          <t>R03</t>
        </is>
      </c>
      <c r="D131" t="inlineStr">
        <is>
          <t>MATCH</t>
        </is>
      </c>
      <c r="E131" t="inlineStr">
        <is>
          <t>Mallee Plan Services</t>
        </is>
      </c>
      <c r="F131" t="n">
        <v>1</v>
      </c>
      <c r="G131" t="inlineStr">
        <is>
          <t>6 invoices</t>
        </is>
      </c>
      <c r="H131">
        <f>COUNTIFS('Bank Lines'!$G$5:$G$1640,A131,'Bank Lines'!$J$5:$J$1640,1)</f>
        <v>1</v>
      </c>
      <c r="I131">
        <f>COUNTIFS('Odoo Items'!$J$5:$J$4331,A131)</f>
        <v>6</v>
      </c>
      <c r="J131" s="9">
        <f>ROUND(SUMIFS('Bank Lines'!$E$5:$E$1640,'Bank Lines'!$G$5:$G$1640,A131,'Bank Lines'!$J$5:$J$1640,1),2)</f>
        <v>1678.03</v>
      </c>
      <c r="K131" s="9">
        <f>ROUND(SUMIFS('Odoo Items'!$G$5:$G$4331,'Odoo Items'!$J$5:$J$4331,A131),2)</f>
        <v>1678.03</v>
      </c>
      <c r="L131" s="9">
        <f>ROUND(J131-K131,2)</f>
        <v>0</v>
      </c>
      <c r="M131" s="9">
        <f>ROUND(SUMIFS('Bank Lines'!$E$5:$E$1640,'Bank Lines'!$G$5:$G$1640,A131,'Bank Lines'!$J$5:$J$1640,1,'Bank Lines'!$C$5:$C$1640,"&lt;="&amp;Cover!$C$13),2)</f>
        <v>1678.03</v>
      </c>
      <c r="N131" s="9">
        <f>ROUND(SUMIFS('Odoo Items'!$G$5:$G$4331,'Odoo Items'!$J$5:$J$4331,A131,'Odoo Items'!$C$5:$C$4331,"&lt;="&amp;Cover!$C$13),2)</f>
        <v>1678.03</v>
      </c>
      <c r="O131">
        <f>COUNTIFS('Bank Lines'!$G$5:$G$1640,A131,'Bank Lines'!$J$5:$J$1640,1,'Bank Lines'!$C$5:$C$1640,"&lt;="&amp;Cover!$C$13)</f>
        <v>1</v>
      </c>
      <c r="P131">
        <f>COUNTIFS('Odoo Items'!$J$5:$J$4331,A131,'Odoo Items'!$C$5:$C$4331,"&lt;="&amp;Cover!$C$13)</f>
        <v>6</v>
      </c>
      <c r="Q131" t="str">
        <f>IF(AND(O131=0,P131=0),"",IF(O131=0,"ODOO-ONLY",IF(P131=0,"BANK-ONLY","BOTH")))</f>
        <v>BOTH</v>
      </c>
      <c r="R131" s="9">
        <f>IF(Q131="BOTH",ROUND(M131-N131,2),0)</f>
        <v>0</v>
      </c>
      <c r="S131" s="9">
        <f>ROUND(SUMIFS('Bank Lines'!$E$5:$E$1640,'Bank Lines'!$G$5:$G$1640,A131,'Bank Lines'!$J$5:$J$1640,1,'Bank Lines'!$C$5:$C$1640,"&lt;="&amp;Cover!$C$14),2)</f>
        <v>1678.03</v>
      </c>
      <c r="T131" s="9">
        <f>ROUND(SUMIFS('Odoo Items'!$G$5:$G$4331,'Odoo Items'!$J$5:$J$4331,A131,'Odoo Items'!$C$5:$C$4331,"&lt;="&amp;Cover!$C$14),2)</f>
        <v>1678.03</v>
      </c>
      <c r="U131">
        <f>COUNTIFS('Bank Lines'!$G$5:$G$1640,A131,'Bank Lines'!$J$5:$J$1640,1,'Bank Lines'!$C$5:$C$1640,"&lt;="&amp;Cover!$C$14)</f>
        <v>1</v>
      </c>
      <c r="V131">
        <f>COUNTIFS('Odoo Items'!$J$5:$J$4331,A131,'Odoo Items'!$C$5:$C$4331,"&lt;="&amp;Cover!$C$14)</f>
        <v>6</v>
      </c>
      <c r="W131" t="str">
        <f>IF(AND(U131=0,V131=0),"",IF(U131=0,"ODOO-ONLY",IF(V131=0,"BANK-ONLY","BOTH")))</f>
        <v>BOTH</v>
      </c>
      <c r="X131" s="9">
        <f>IF(W131="BOTH",ROUND(S131-T131,2),0)</f>
        <v>0</v>
      </c>
      <c r="Y131" s="9">
        <f>ROUND(SUMIFS('Bank Lines'!$E$5:$E$1640,'Bank Lines'!$G$5:$G$1640,A131,'Bank Lines'!$J$5:$J$1640,1,'Bank Lines'!$C$5:$C$1640,"&lt;="&amp;Cover!$C$15),2)</f>
        <v>1678.03</v>
      </c>
      <c r="Z131" s="9">
        <f>ROUND(SUMIFS('Odoo Items'!$G$5:$G$4331,'Odoo Items'!$J$5:$J$4331,A131,'Odoo Items'!$C$5:$C$4331,"&lt;="&amp;Cover!$C$15),2)</f>
        <v>1678.03</v>
      </c>
      <c r="AA131">
        <f>COUNTIFS('Bank Lines'!$G$5:$G$1640,A131,'Bank Lines'!$J$5:$J$1640,1,'Bank Lines'!$C$5:$C$1640,"&lt;="&amp;Cover!$C$15)</f>
        <v>1</v>
      </c>
      <c r="AB131">
        <f>COUNTIFS('Odoo Items'!$J$5:$J$4331,A131,'Odoo Items'!$C$5:$C$4331,"&lt;="&amp;Cover!$C$15)</f>
        <v>6</v>
      </c>
      <c r="AC131" t="str">
        <f>IF(AND(AA131=0,AB131=0),"",IF(AA131=0,"ODOO-ONLY",IF(AB131=0,"BANK-ONLY","BOTH")))</f>
        <v>BOTH</v>
      </c>
      <c r="AD131" s="9">
        <f>IF(AC131="BOTH",ROUND(Y131-Z131,2),0)</f>
        <v>0</v>
      </c>
    </row>
    <row r="132">
      <c r="A132" t="inlineStr">
        <is>
          <t>G00128</t>
        </is>
      </c>
      <c r="B132" t="inlineStr">
        <is>
          <t>OPS</t>
        </is>
      </c>
      <c r="C132" t="inlineStr">
        <is>
          <t>R03</t>
        </is>
      </c>
      <c r="D132" t="inlineStr">
        <is>
          <t>REG</t>
        </is>
      </c>
      <c r="E132" t="inlineStr">
        <is>
          <t>Bluegum Plan Management</t>
        </is>
      </c>
      <c r="F132" t="n">
        <v>1</v>
      </c>
      <c r="G132" t="inlineStr">
        <is>
          <t>Receipt not registered in Odoo; remittance RA44849 lists 2 invoices</t>
        </is>
      </c>
      <c r="H132">
        <f>COUNTIFS('Bank Lines'!$G$5:$G$1640,A132,'Bank Lines'!$J$5:$J$1640,1)</f>
        <v>1</v>
      </c>
      <c r="I132">
        <f>COUNTIFS('Odoo Items'!$J$5:$J$4331,A132)</f>
        <v>0</v>
      </c>
      <c r="J132" s="9">
        <f>ROUND(SUMIFS('Bank Lines'!$E$5:$E$1640,'Bank Lines'!$G$5:$G$1640,A132,'Bank Lines'!$J$5:$J$1640,1),2)</f>
        <v>581.97</v>
      </c>
      <c r="K132" s="9">
        <f>ROUND(SUMIFS('Odoo Items'!$G$5:$G$4331,'Odoo Items'!$J$5:$J$4331,A132),2)</f>
        <v>0</v>
      </c>
      <c r="L132" s="9">
        <f>ROUND(J132-K132,2)</f>
        <v>581.97</v>
      </c>
      <c r="M132" s="9">
        <f>ROUND(SUMIFS('Bank Lines'!$E$5:$E$1640,'Bank Lines'!$G$5:$G$1640,A132,'Bank Lines'!$J$5:$J$1640,1,'Bank Lines'!$C$5:$C$1640,"&lt;="&amp;Cover!$C$13),2)</f>
        <v>581.97</v>
      </c>
      <c r="N132" s="9">
        <f>ROUND(SUMIFS('Odoo Items'!$G$5:$G$4331,'Odoo Items'!$J$5:$J$4331,A132,'Odoo Items'!$C$5:$C$4331,"&lt;="&amp;Cover!$C$13),2)</f>
        <v>0</v>
      </c>
      <c r="O132">
        <f>COUNTIFS('Bank Lines'!$G$5:$G$1640,A132,'Bank Lines'!$J$5:$J$1640,1,'Bank Lines'!$C$5:$C$1640,"&lt;="&amp;Cover!$C$13)</f>
        <v>1</v>
      </c>
      <c r="P132">
        <f>COUNTIFS('Odoo Items'!$J$5:$J$4331,A132,'Odoo Items'!$C$5:$C$4331,"&lt;="&amp;Cover!$C$13)</f>
        <v>0</v>
      </c>
      <c r="Q132" t="str">
        <f>IF(AND(O132=0,P132=0),"",IF(O132=0,"ODOO-ONLY",IF(P132=0,"BANK-ONLY","BOTH")))</f>
        <v>BANK-ONLY</v>
      </c>
      <c r="R132" s="9">
        <f>IF(Q132="BOTH",ROUND(M132-N132,2),0)</f>
        <v>0</v>
      </c>
      <c r="S132" s="9">
        <f>ROUND(SUMIFS('Bank Lines'!$E$5:$E$1640,'Bank Lines'!$G$5:$G$1640,A132,'Bank Lines'!$J$5:$J$1640,1,'Bank Lines'!$C$5:$C$1640,"&lt;="&amp;Cover!$C$14),2)</f>
        <v>581.97</v>
      </c>
      <c r="T132" s="9">
        <f>ROUND(SUMIFS('Odoo Items'!$G$5:$G$4331,'Odoo Items'!$J$5:$J$4331,A132,'Odoo Items'!$C$5:$C$4331,"&lt;="&amp;Cover!$C$14),2)</f>
        <v>0</v>
      </c>
      <c r="U132">
        <f>COUNTIFS('Bank Lines'!$G$5:$G$1640,A132,'Bank Lines'!$J$5:$J$1640,1,'Bank Lines'!$C$5:$C$1640,"&lt;="&amp;Cover!$C$14)</f>
        <v>1</v>
      </c>
      <c r="V132">
        <f>COUNTIFS('Odoo Items'!$J$5:$J$4331,A132,'Odoo Items'!$C$5:$C$4331,"&lt;="&amp;Cover!$C$14)</f>
        <v>0</v>
      </c>
      <c r="W132" t="str">
        <f>IF(AND(U132=0,V132=0),"",IF(U132=0,"ODOO-ONLY",IF(V132=0,"BANK-ONLY","BOTH")))</f>
        <v>BANK-ONLY</v>
      </c>
      <c r="X132" s="9">
        <f>IF(W132="BOTH",ROUND(S132-T132,2),0)</f>
        <v>0</v>
      </c>
      <c r="Y132" s="9">
        <f>ROUND(SUMIFS('Bank Lines'!$E$5:$E$1640,'Bank Lines'!$G$5:$G$1640,A132,'Bank Lines'!$J$5:$J$1640,1,'Bank Lines'!$C$5:$C$1640,"&lt;="&amp;Cover!$C$15),2)</f>
        <v>581.97</v>
      </c>
      <c r="Z132" s="9">
        <f>ROUND(SUMIFS('Odoo Items'!$G$5:$G$4331,'Odoo Items'!$J$5:$J$4331,A132,'Odoo Items'!$C$5:$C$4331,"&lt;="&amp;Cover!$C$15),2)</f>
        <v>0</v>
      </c>
      <c r="AA132">
        <f>COUNTIFS('Bank Lines'!$G$5:$G$1640,A132,'Bank Lines'!$J$5:$J$1640,1,'Bank Lines'!$C$5:$C$1640,"&lt;="&amp;Cover!$C$15)</f>
        <v>1</v>
      </c>
      <c r="AB132">
        <f>COUNTIFS('Odoo Items'!$J$5:$J$4331,A132,'Odoo Items'!$C$5:$C$4331,"&lt;="&amp;Cover!$C$15)</f>
        <v>0</v>
      </c>
      <c r="AC132" t="str">
        <f>IF(AND(AA132=0,AB132=0),"",IF(AA132=0,"ODOO-ONLY",IF(AB132=0,"BANK-ONLY","BOTH")))</f>
        <v>BANK-ONLY</v>
      </c>
      <c r="AD132" s="9">
        <f>IF(AC132="BOTH",ROUND(Y132-Z132,2),0)</f>
        <v>0</v>
      </c>
    </row>
    <row r="133">
      <c r="A133" t="inlineStr">
        <is>
          <t>G00129</t>
        </is>
      </c>
      <c r="B133" t="inlineStr">
        <is>
          <t>OPS</t>
        </is>
      </c>
      <c r="C133" t="inlineStr">
        <is>
          <t>R03</t>
        </is>
      </c>
      <c r="D133" t="inlineStr">
        <is>
          <t>MATCH</t>
        </is>
      </c>
      <c r="E133" t="inlineStr">
        <is>
          <t>Wattle Plan Services</t>
        </is>
      </c>
      <c r="F133" t="n">
        <v>1</v>
      </c>
      <c r="G133" t="inlineStr">
        <is>
          <t>2 invoices</t>
        </is>
      </c>
      <c r="H133">
        <f>COUNTIFS('Bank Lines'!$G$5:$G$1640,A133,'Bank Lines'!$J$5:$J$1640,1)</f>
        <v>1</v>
      </c>
      <c r="I133">
        <f>COUNTIFS('Odoo Items'!$J$5:$J$4331,A133)</f>
        <v>2</v>
      </c>
      <c r="J133" s="9">
        <f>ROUND(SUMIFS('Bank Lines'!$E$5:$E$1640,'Bank Lines'!$G$5:$G$1640,A133,'Bank Lines'!$J$5:$J$1640,1),2)</f>
        <v>272.48</v>
      </c>
      <c r="K133" s="9">
        <f>ROUND(SUMIFS('Odoo Items'!$G$5:$G$4331,'Odoo Items'!$J$5:$J$4331,A133),2)</f>
        <v>272.48</v>
      </c>
      <c r="L133" s="9">
        <f>ROUND(J133-K133,2)</f>
        <v>0</v>
      </c>
      <c r="M133" s="9">
        <f>ROUND(SUMIFS('Bank Lines'!$E$5:$E$1640,'Bank Lines'!$G$5:$G$1640,A133,'Bank Lines'!$J$5:$J$1640,1,'Bank Lines'!$C$5:$C$1640,"&lt;="&amp;Cover!$C$13),2)</f>
        <v>272.48</v>
      </c>
      <c r="N133" s="9">
        <f>ROUND(SUMIFS('Odoo Items'!$G$5:$G$4331,'Odoo Items'!$J$5:$J$4331,A133,'Odoo Items'!$C$5:$C$4331,"&lt;="&amp;Cover!$C$13),2)</f>
        <v>272.48</v>
      </c>
      <c r="O133">
        <f>COUNTIFS('Bank Lines'!$G$5:$G$1640,A133,'Bank Lines'!$J$5:$J$1640,1,'Bank Lines'!$C$5:$C$1640,"&lt;="&amp;Cover!$C$13)</f>
        <v>1</v>
      </c>
      <c r="P133">
        <f>COUNTIFS('Odoo Items'!$J$5:$J$4331,A133,'Odoo Items'!$C$5:$C$4331,"&lt;="&amp;Cover!$C$13)</f>
        <v>2</v>
      </c>
      <c r="Q133" t="str">
        <f>IF(AND(O133=0,P133=0),"",IF(O133=0,"ODOO-ONLY",IF(P133=0,"BANK-ONLY","BOTH")))</f>
        <v>BOTH</v>
      </c>
      <c r="R133" s="9">
        <f>IF(Q133="BOTH",ROUND(M133-N133,2),0)</f>
        <v>0</v>
      </c>
      <c r="S133" s="9">
        <f>ROUND(SUMIFS('Bank Lines'!$E$5:$E$1640,'Bank Lines'!$G$5:$G$1640,A133,'Bank Lines'!$J$5:$J$1640,1,'Bank Lines'!$C$5:$C$1640,"&lt;="&amp;Cover!$C$14),2)</f>
        <v>272.48</v>
      </c>
      <c r="T133" s="9">
        <f>ROUND(SUMIFS('Odoo Items'!$G$5:$G$4331,'Odoo Items'!$J$5:$J$4331,A133,'Odoo Items'!$C$5:$C$4331,"&lt;="&amp;Cover!$C$14),2)</f>
        <v>272.48</v>
      </c>
      <c r="U133">
        <f>COUNTIFS('Bank Lines'!$G$5:$G$1640,A133,'Bank Lines'!$J$5:$J$1640,1,'Bank Lines'!$C$5:$C$1640,"&lt;="&amp;Cover!$C$14)</f>
        <v>1</v>
      </c>
      <c r="V133">
        <f>COUNTIFS('Odoo Items'!$J$5:$J$4331,A133,'Odoo Items'!$C$5:$C$4331,"&lt;="&amp;Cover!$C$14)</f>
        <v>2</v>
      </c>
      <c r="W133" t="str">
        <f>IF(AND(U133=0,V133=0),"",IF(U133=0,"ODOO-ONLY",IF(V133=0,"BANK-ONLY","BOTH")))</f>
        <v>BOTH</v>
      </c>
      <c r="X133" s="9">
        <f>IF(W133="BOTH",ROUND(S133-T133,2),0)</f>
        <v>0</v>
      </c>
      <c r="Y133" s="9">
        <f>ROUND(SUMIFS('Bank Lines'!$E$5:$E$1640,'Bank Lines'!$G$5:$G$1640,A133,'Bank Lines'!$J$5:$J$1640,1,'Bank Lines'!$C$5:$C$1640,"&lt;="&amp;Cover!$C$15),2)</f>
        <v>272.48</v>
      </c>
      <c r="Z133" s="9">
        <f>ROUND(SUMIFS('Odoo Items'!$G$5:$G$4331,'Odoo Items'!$J$5:$J$4331,A133,'Odoo Items'!$C$5:$C$4331,"&lt;="&amp;Cover!$C$15),2)</f>
        <v>272.48</v>
      </c>
      <c r="AA133">
        <f>COUNTIFS('Bank Lines'!$G$5:$G$1640,A133,'Bank Lines'!$J$5:$J$1640,1,'Bank Lines'!$C$5:$C$1640,"&lt;="&amp;Cover!$C$15)</f>
        <v>1</v>
      </c>
      <c r="AB133">
        <f>COUNTIFS('Odoo Items'!$J$5:$J$4331,A133,'Odoo Items'!$C$5:$C$4331,"&lt;="&amp;Cover!$C$15)</f>
        <v>2</v>
      </c>
      <c r="AC133" t="str">
        <f>IF(AND(AA133=0,AB133=0),"",IF(AA133=0,"ODOO-ONLY",IF(AB133=0,"BANK-ONLY","BOTH")))</f>
        <v>BOTH</v>
      </c>
      <c r="AD133" s="9">
        <f>IF(AC133="BOTH",ROUND(Y133-Z133,2),0)</f>
        <v>0</v>
      </c>
    </row>
    <row r="134">
      <c r="A134" t="inlineStr">
        <is>
          <t>G00130</t>
        </is>
      </c>
      <c r="B134" t="inlineStr">
        <is>
          <t>OPS</t>
        </is>
      </c>
      <c r="C134" t="inlineStr">
        <is>
          <t>R03</t>
        </is>
      </c>
      <c r="D134" t="inlineStr">
        <is>
          <t>MATCH</t>
        </is>
      </c>
      <c r="E134" t="inlineStr">
        <is>
          <t>Banksia Plan Co</t>
        </is>
      </c>
      <c r="F134" t="n">
        <v>1</v>
      </c>
      <c r="G134" t="inlineStr">
        <is>
          <t>12 invoices</t>
        </is>
      </c>
      <c r="H134">
        <f>COUNTIFS('Bank Lines'!$G$5:$G$1640,A134,'Bank Lines'!$J$5:$J$1640,1)</f>
        <v>1</v>
      </c>
      <c r="I134">
        <f>COUNTIFS('Odoo Items'!$J$5:$J$4331,A134)</f>
        <v>12</v>
      </c>
      <c r="J134" s="9">
        <f>ROUND(SUMIFS('Bank Lines'!$E$5:$E$1640,'Bank Lines'!$G$5:$G$1640,A134,'Bank Lines'!$J$5:$J$1640,1),2)</f>
        <v>3210.52</v>
      </c>
      <c r="K134" s="9">
        <f>ROUND(SUMIFS('Odoo Items'!$G$5:$G$4331,'Odoo Items'!$J$5:$J$4331,A134),2)</f>
        <v>3210.52</v>
      </c>
      <c r="L134" s="9">
        <f>ROUND(J134-K134,2)</f>
        <v>0</v>
      </c>
      <c r="M134" s="9">
        <f>ROUND(SUMIFS('Bank Lines'!$E$5:$E$1640,'Bank Lines'!$G$5:$G$1640,A134,'Bank Lines'!$J$5:$J$1640,1,'Bank Lines'!$C$5:$C$1640,"&lt;="&amp;Cover!$C$13),2)</f>
        <v>3210.52</v>
      </c>
      <c r="N134" s="9">
        <f>ROUND(SUMIFS('Odoo Items'!$G$5:$G$4331,'Odoo Items'!$J$5:$J$4331,A134,'Odoo Items'!$C$5:$C$4331,"&lt;="&amp;Cover!$C$13),2)</f>
        <v>3210.52</v>
      </c>
      <c r="O134">
        <f>COUNTIFS('Bank Lines'!$G$5:$G$1640,A134,'Bank Lines'!$J$5:$J$1640,1,'Bank Lines'!$C$5:$C$1640,"&lt;="&amp;Cover!$C$13)</f>
        <v>1</v>
      </c>
      <c r="P134">
        <f>COUNTIFS('Odoo Items'!$J$5:$J$4331,A134,'Odoo Items'!$C$5:$C$4331,"&lt;="&amp;Cover!$C$13)</f>
        <v>12</v>
      </c>
      <c r="Q134" t="str">
        <f>IF(AND(O134=0,P134=0),"",IF(O134=0,"ODOO-ONLY",IF(P134=0,"BANK-ONLY","BOTH")))</f>
        <v>BOTH</v>
      </c>
      <c r="R134" s="9">
        <f>IF(Q134="BOTH",ROUND(M134-N134,2),0)</f>
        <v>0</v>
      </c>
      <c r="S134" s="9">
        <f>ROUND(SUMIFS('Bank Lines'!$E$5:$E$1640,'Bank Lines'!$G$5:$G$1640,A134,'Bank Lines'!$J$5:$J$1640,1,'Bank Lines'!$C$5:$C$1640,"&lt;="&amp;Cover!$C$14),2)</f>
        <v>3210.52</v>
      </c>
      <c r="T134" s="9">
        <f>ROUND(SUMIFS('Odoo Items'!$G$5:$G$4331,'Odoo Items'!$J$5:$J$4331,A134,'Odoo Items'!$C$5:$C$4331,"&lt;="&amp;Cover!$C$14),2)</f>
        <v>3210.52</v>
      </c>
      <c r="U134">
        <f>COUNTIFS('Bank Lines'!$G$5:$G$1640,A134,'Bank Lines'!$J$5:$J$1640,1,'Bank Lines'!$C$5:$C$1640,"&lt;="&amp;Cover!$C$14)</f>
        <v>1</v>
      </c>
      <c r="V134">
        <f>COUNTIFS('Odoo Items'!$J$5:$J$4331,A134,'Odoo Items'!$C$5:$C$4331,"&lt;="&amp;Cover!$C$14)</f>
        <v>12</v>
      </c>
      <c r="W134" t="str">
        <f>IF(AND(U134=0,V134=0),"",IF(U134=0,"ODOO-ONLY",IF(V134=0,"BANK-ONLY","BOTH")))</f>
        <v>BOTH</v>
      </c>
      <c r="X134" s="9">
        <f>IF(W134="BOTH",ROUND(S134-T134,2),0)</f>
        <v>0</v>
      </c>
      <c r="Y134" s="9">
        <f>ROUND(SUMIFS('Bank Lines'!$E$5:$E$1640,'Bank Lines'!$G$5:$G$1640,A134,'Bank Lines'!$J$5:$J$1640,1,'Bank Lines'!$C$5:$C$1640,"&lt;="&amp;Cover!$C$15),2)</f>
        <v>3210.52</v>
      </c>
      <c r="Z134" s="9">
        <f>ROUND(SUMIFS('Odoo Items'!$G$5:$G$4331,'Odoo Items'!$J$5:$J$4331,A134,'Odoo Items'!$C$5:$C$4331,"&lt;="&amp;Cover!$C$15),2)</f>
        <v>3210.52</v>
      </c>
      <c r="AA134">
        <f>COUNTIFS('Bank Lines'!$G$5:$G$1640,A134,'Bank Lines'!$J$5:$J$1640,1,'Bank Lines'!$C$5:$C$1640,"&lt;="&amp;Cover!$C$15)</f>
        <v>1</v>
      </c>
      <c r="AB134">
        <f>COUNTIFS('Odoo Items'!$J$5:$J$4331,A134,'Odoo Items'!$C$5:$C$4331,"&lt;="&amp;Cover!$C$15)</f>
        <v>12</v>
      </c>
      <c r="AC134" t="str">
        <f>IF(AND(AA134=0,AB134=0),"",IF(AA134=0,"ODOO-ONLY",IF(AB134=0,"BANK-ONLY","BOTH")))</f>
        <v>BOTH</v>
      </c>
      <c r="AD134" s="9">
        <f>IF(AC134="BOTH",ROUND(Y134-Z134,2),0)</f>
        <v>0</v>
      </c>
    </row>
    <row r="135">
      <c r="A135" t="inlineStr">
        <is>
          <t>G00131</t>
        </is>
      </c>
      <c r="B135" t="inlineStr">
        <is>
          <t>OPS</t>
        </is>
      </c>
      <c r="C135" t="inlineStr">
        <is>
          <t>R03</t>
        </is>
      </c>
      <c r="D135" t="inlineStr">
        <is>
          <t>MATCH</t>
        </is>
      </c>
      <c r="E135" t="inlineStr">
        <is>
          <t>Kookaburra Plan Support</t>
        </is>
      </c>
      <c r="F135" t="n">
        <v>1</v>
      </c>
      <c r="G135" t="inlineStr">
        <is>
          <t>3 invoices</t>
        </is>
      </c>
      <c r="H135">
        <f>COUNTIFS('Bank Lines'!$G$5:$G$1640,A135,'Bank Lines'!$J$5:$J$1640,1)</f>
        <v>1</v>
      </c>
      <c r="I135">
        <f>COUNTIFS('Odoo Items'!$J$5:$J$4331,A135)</f>
        <v>3</v>
      </c>
      <c r="J135" s="9">
        <f>ROUND(SUMIFS('Bank Lines'!$E$5:$E$1640,'Bank Lines'!$G$5:$G$1640,A135,'Bank Lines'!$J$5:$J$1640,1),2)</f>
        <v>815.66</v>
      </c>
      <c r="K135" s="9">
        <f>ROUND(SUMIFS('Odoo Items'!$G$5:$G$4331,'Odoo Items'!$J$5:$J$4331,A135),2)</f>
        <v>815.66</v>
      </c>
      <c r="L135" s="9">
        <f>ROUND(J135-K135,2)</f>
        <v>0</v>
      </c>
      <c r="M135" s="9">
        <f>ROUND(SUMIFS('Bank Lines'!$E$5:$E$1640,'Bank Lines'!$G$5:$G$1640,A135,'Bank Lines'!$J$5:$J$1640,1,'Bank Lines'!$C$5:$C$1640,"&lt;="&amp;Cover!$C$13),2)</f>
        <v>815.66</v>
      </c>
      <c r="N135" s="9">
        <f>ROUND(SUMIFS('Odoo Items'!$G$5:$G$4331,'Odoo Items'!$J$5:$J$4331,A135,'Odoo Items'!$C$5:$C$4331,"&lt;="&amp;Cover!$C$13),2)</f>
        <v>815.66</v>
      </c>
      <c r="O135">
        <f>COUNTIFS('Bank Lines'!$G$5:$G$1640,A135,'Bank Lines'!$J$5:$J$1640,1,'Bank Lines'!$C$5:$C$1640,"&lt;="&amp;Cover!$C$13)</f>
        <v>1</v>
      </c>
      <c r="P135">
        <f>COUNTIFS('Odoo Items'!$J$5:$J$4331,A135,'Odoo Items'!$C$5:$C$4331,"&lt;="&amp;Cover!$C$13)</f>
        <v>3</v>
      </c>
      <c r="Q135" t="str">
        <f>IF(AND(O135=0,P135=0),"",IF(O135=0,"ODOO-ONLY",IF(P135=0,"BANK-ONLY","BOTH")))</f>
        <v>BOTH</v>
      </c>
      <c r="R135" s="9">
        <f>IF(Q135="BOTH",ROUND(M135-N135,2),0)</f>
        <v>0</v>
      </c>
      <c r="S135" s="9">
        <f>ROUND(SUMIFS('Bank Lines'!$E$5:$E$1640,'Bank Lines'!$G$5:$G$1640,A135,'Bank Lines'!$J$5:$J$1640,1,'Bank Lines'!$C$5:$C$1640,"&lt;="&amp;Cover!$C$14),2)</f>
        <v>815.66</v>
      </c>
      <c r="T135" s="9">
        <f>ROUND(SUMIFS('Odoo Items'!$G$5:$G$4331,'Odoo Items'!$J$5:$J$4331,A135,'Odoo Items'!$C$5:$C$4331,"&lt;="&amp;Cover!$C$14),2)</f>
        <v>815.66</v>
      </c>
      <c r="U135">
        <f>COUNTIFS('Bank Lines'!$G$5:$G$1640,A135,'Bank Lines'!$J$5:$J$1640,1,'Bank Lines'!$C$5:$C$1640,"&lt;="&amp;Cover!$C$14)</f>
        <v>1</v>
      </c>
      <c r="V135">
        <f>COUNTIFS('Odoo Items'!$J$5:$J$4331,A135,'Odoo Items'!$C$5:$C$4331,"&lt;="&amp;Cover!$C$14)</f>
        <v>3</v>
      </c>
      <c r="W135" t="str">
        <f>IF(AND(U135=0,V135=0),"",IF(U135=0,"ODOO-ONLY",IF(V135=0,"BANK-ONLY","BOTH")))</f>
        <v>BOTH</v>
      </c>
      <c r="X135" s="9">
        <f>IF(W135="BOTH",ROUND(S135-T135,2),0)</f>
        <v>0</v>
      </c>
      <c r="Y135" s="9">
        <f>ROUND(SUMIFS('Bank Lines'!$E$5:$E$1640,'Bank Lines'!$G$5:$G$1640,A135,'Bank Lines'!$J$5:$J$1640,1,'Bank Lines'!$C$5:$C$1640,"&lt;="&amp;Cover!$C$15),2)</f>
        <v>815.66</v>
      </c>
      <c r="Z135" s="9">
        <f>ROUND(SUMIFS('Odoo Items'!$G$5:$G$4331,'Odoo Items'!$J$5:$J$4331,A135,'Odoo Items'!$C$5:$C$4331,"&lt;="&amp;Cover!$C$15),2)</f>
        <v>815.66</v>
      </c>
      <c r="AA135">
        <f>COUNTIFS('Bank Lines'!$G$5:$G$1640,A135,'Bank Lines'!$J$5:$J$1640,1,'Bank Lines'!$C$5:$C$1640,"&lt;="&amp;Cover!$C$15)</f>
        <v>1</v>
      </c>
      <c r="AB135">
        <f>COUNTIFS('Odoo Items'!$J$5:$J$4331,A135,'Odoo Items'!$C$5:$C$4331,"&lt;="&amp;Cover!$C$15)</f>
        <v>3</v>
      </c>
      <c r="AC135" t="str">
        <f>IF(AND(AA135=0,AB135=0),"",IF(AA135=0,"ODOO-ONLY",IF(AB135=0,"BANK-ONLY","BOTH")))</f>
        <v>BOTH</v>
      </c>
      <c r="AD135" s="9">
        <f>IF(AC135="BOTH",ROUND(Y135-Z135,2),0)</f>
        <v>0</v>
      </c>
    </row>
    <row r="136">
      <c r="A136" t="inlineStr">
        <is>
          <t>G00132</t>
        </is>
      </c>
      <c r="B136" t="inlineStr">
        <is>
          <t>OPS</t>
        </is>
      </c>
      <c r="C136" t="inlineStr">
        <is>
          <t>R03</t>
        </is>
      </c>
      <c r="D136" t="inlineStr">
        <is>
          <t>MATCH</t>
        </is>
      </c>
      <c r="E136" t="inlineStr">
        <is>
          <t>Redgum Plan Admin</t>
        </is>
      </c>
      <c r="F136" t="n">
        <v>1</v>
      </c>
      <c r="G136" t="inlineStr">
        <is>
          <t>6 invoices</t>
        </is>
      </c>
      <c r="H136">
        <f>COUNTIFS('Bank Lines'!$G$5:$G$1640,A136,'Bank Lines'!$J$5:$J$1640,1)</f>
        <v>1</v>
      </c>
      <c r="I136">
        <f>COUNTIFS('Odoo Items'!$J$5:$J$4331,A136)</f>
        <v>6</v>
      </c>
      <c r="J136" s="9">
        <f>ROUND(SUMIFS('Bank Lines'!$E$5:$E$1640,'Bank Lines'!$G$5:$G$1640,A136,'Bank Lines'!$J$5:$J$1640,1),2)</f>
        <v>1940.8</v>
      </c>
      <c r="K136" s="9">
        <f>ROUND(SUMIFS('Odoo Items'!$G$5:$G$4331,'Odoo Items'!$J$5:$J$4331,A136),2)</f>
        <v>1940.8</v>
      </c>
      <c r="L136" s="9">
        <f>ROUND(J136-K136,2)</f>
        <v>0</v>
      </c>
      <c r="M136" s="9">
        <f>ROUND(SUMIFS('Bank Lines'!$E$5:$E$1640,'Bank Lines'!$G$5:$G$1640,A136,'Bank Lines'!$J$5:$J$1640,1,'Bank Lines'!$C$5:$C$1640,"&lt;="&amp;Cover!$C$13),2)</f>
        <v>1940.8</v>
      </c>
      <c r="N136" s="9">
        <f>ROUND(SUMIFS('Odoo Items'!$G$5:$G$4331,'Odoo Items'!$J$5:$J$4331,A136,'Odoo Items'!$C$5:$C$4331,"&lt;="&amp;Cover!$C$13),2)</f>
        <v>1940.8</v>
      </c>
      <c r="O136">
        <f>COUNTIFS('Bank Lines'!$G$5:$G$1640,A136,'Bank Lines'!$J$5:$J$1640,1,'Bank Lines'!$C$5:$C$1640,"&lt;="&amp;Cover!$C$13)</f>
        <v>1</v>
      </c>
      <c r="P136">
        <f>COUNTIFS('Odoo Items'!$J$5:$J$4331,A136,'Odoo Items'!$C$5:$C$4331,"&lt;="&amp;Cover!$C$13)</f>
        <v>6</v>
      </c>
      <c r="Q136" t="str">
        <f>IF(AND(O136=0,P136=0),"",IF(O136=0,"ODOO-ONLY",IF(P136=0,"BANK-ONLY","BOTH")))</f>
        <v>BOTH</v>
      </c>
      <c r="R136" s="9">
        <f>IF(Q136="BOTH",ROUND(M136-N136,2),0)</f>
        <v>0</v>
      </c>
      <c r="S136" s="9">
        <f>ROUND(SUMIFS('Bank Lines'!$E$5:$E$1640,'Bank Lines'!$G$5:$G$1640,A136,'Bank Lines'!$J$5:$J$1640,1,'Bank Lines'!$C$5:$C$1640,"&lt;="&amp;Cover!$C$14),2)</f>
        <v>1940.8</v>
      </c>
      <c r="T136" s="9">
        <f>ROUND(SUMIFS('Odoo Items'!$G$5:$G$4331,'Odoo Items'!$J$5:$J$4331,A136,'Odoo Items'!$C$5:$C$4331,"&lt;="&amp;Cover!$C$14),2)</f>
        <v>1940.8</v>
      </c>
      <c r="U136">
        <f>COUNTIFS('Bank Lines'!$G$5:$G$1640,A136,'Bank Lines'!$J$5:$J$1640,1,'Bank Lines'!$C$5:$C$1640,"&lt;="&amp;Cover!$C$14)</f>
        <v>1</v>
      </c>
      <c r="V136">
        <f>COUNTIFS('Odoo Items'!$J$5:$J$4331,A136,'Odoo Items'!$C$5:$C$4331,"&lt;="&amp;Cover!$C$14)</f>
        <v>6</v>
      </c>
      <c r="W136" t="str">
        <f>IF(AND(U136=0,V136=0),"",IF(U136=0,"ODOO-ONLY",IF(V136=0,"BANK-ONLY","BOTH")))</f>
        <v>BOTH</v>
      </c>
      <c r="X136" s="9">
        <f>IF(W136="BOTH",ROUND(S136-T136,2),0)</f>
        <v>0</v>
      </c>
      <c r="Y136" s="9">
        <f>ROUND(SUMIFS('Bank Lines'!$E$5:$E$1640,'Bank Lines'!$G$5:$G$1640,A136,'Bank Lines'!$J$5:$J$1640,1,'Bank Lines'!$C$5:$C$1640,"&lt;="&amp;Cover!$C$15),2)</f>
        <v>1940.8</v>
      </c>
      <c r="Z136" s="9">
        <f>ROUND(SUMIFS('Odoo Items'!$G$5:$G$4331,'Odoo Items'!$J$5:$J$4331,A136,'Odoo Items'!$C$5:$C$4331,"&lt;="&amp;Cover!$C$15),2)</f>
        <v>1940.8</v>
      </c>
      <c r="AA136">
        <f>COUNTIFS('Bank Lines'!$G$5:$G$1640,A136,'Bank Lines'!$J$5:$J$1640,1,'Bank Lines'!$C$5:$C$1640,"&lt;="&amp;Cover!$C$15)</f>
        <v>1</v>
      </c>
      <c r="AB136">
        <f>COUNTIFS('Odoo Items'!$J$5:$J$4331,A136,'Odoo Items'!$C$5:$C$4331,"&lt;="&amp;Cover!$C$15)</f>
        <v>6</v>
      </c>
      <c r="AC136" t="str">
        <f>IF(AND(AA136=0,AB136=0),"",IF(AA136=0,"ODOO-ONLY",IF(AB136=0,"BANK-ONLY","BOTH")))</f>
        <v>BOTH</v>
      </c>
      <c r="AD136" s="9">
        <f>IF(AC136="BOTH",ROUND(Y136-Z136,2),0)</f>
        <v>0</v>
      </c>
    </row>
    <row r="137">
      <c r="A137" t="inlineStr">
        <is>
          <t>G00133</t>
        </is>
      </c>
      <c r="B137" t="inlineStr">
        <is>
          <t>OPS</t>
        </is>
      </c>
      <c r="C137" t="inlineStr">
        <is>
          <t>R03</t>
        </is>
      </c>
      <c r="D137" t="inlineStr">
        <is>
          <t>MATCH</t>
        </is>
      </c>
      <c r="E137" t="inlineStr">
        <is>
          <t>Lyrebird Plan Management</t>
        </is>
      </c>
      <c r="F137" t="n">
        <v>1</v>
      </c>
      <c r="G137" t="inlineStr">
        <is>
          <t>6 invoices</t>
        </is>
      </c>
      <c r="H137">
        <f>COUNTIFS('Bank Lines'!$G$5:$G$1640,A137,'Bank Lines'!$J$5:$J$1640,1)</f>
        <v>1</v>
      </c>
      <c r="I137">
        <f>COUNTIFS('Odoo Items'!$J$5:$J$4331,A137)</f>
        <v>6</v>
      </c>
      <c r="J137" s="9">
        <f>ROUND(SUMIFS('Bank Lines'!$E$5:$E$1640,'Bank Lines'!$G$5:$G$1640,A137,'Bank Lines'!$J$5:$J$1640,1),2)</f>
        <v>1223.04</v>
      </c>
      <c r="K137" s="9">
        <f>ROUND(SUMIFS('Odoo Items'!$G$5:$G$4331,'Odoo Items'!$J$5:$J$4331,A137),2)</f>
        <v>1223.04</v>
      </c>
      <c r="L137" s="9">
        <f>ROUND(J137-K137,2)</f>
        <v>0</v>
      </c>
      <c r="M137" s="9">
        <f>ROUND(SUMIFS('Bank Lines'!$E$5:$E$1640,'Bank Lines'!$G$5:$G$1640,A137,'Bank Lines'!$J$5:$J$1640,1,'Bank Lines'!$C$5:$C$1640,"&lt;="&amp;Cover!$C$13),2)</f>
        <v>1223.04</v>
      </c>
      <c r="N137" s="9">
        <f>ROUND(SUMIFS('Odoo Items'!$G$5:$G$4331,'Odoo Items'!$J$5:$J$4331,A137,'Odoo Items'!$C$5:$C$4331,"&lt;="&amp;Cover!$C$13),2)</f>
        <v>1223.04</v>
      </c>
      <c r="O137">
        <f>COUNTIFS('Bank Lines'!$G$5:$G$1640,A137,'Bank Lines'!$J$5:$J$1640,1,'Bank Lines'!$C$5:$C$1640,"&lt;="&amp;Cover!$C$13)</f>
        <v>1</v>
      </c>
      <c r="P137">
        <f>COUNTIFS('Odoo Items'!$J$5:$J$4331,A137,'Odoo Items'!$C$5:$C$4331,"&lt;="&amp;Cover!$C$13)</f>
        <v>6</v>
      </c>
      <c r="Q137" t="str">
        <f>IF(AND(O137=0,P137=0),"",IF(O137=0,"ODOO-ONLY",IF(P137=0,"BANK-ONLY","BOTH")))</f>
        <v>BOTH</v>
      </c>
      <c r="R137" s="9">
        <f>IF(Q137="BOTH",ROUND(M137-N137,2),0)</f>
        <v>0</v>
      </c>
      <c r="S137" s="9">
        <f>ROUND(SUMIFS('Bank Lines'!$E$5:$E$1640,'Bank Lines'!$G$5:$G$1640,A137,'Bank Lines'!$J$5:$J$1640,1,'Bank Lines'!$C$5:$C$1640,"&lt;="&amp;Cover!$C$14),2)</f>
        <v>1223.04</v>
      </c>
      <c r="T137" s="9">
        <f>ROUND(SUMIFS('Odoo Items'!$G$5:$G$4331,'Odoo Items'!$J$5:$J$4331,A137,'Odoo Items'!$C$5:$C$4331,"&lt;="&amp;Cover!$C$14),2)</f>
        <v>1223.04</v>
      </c>
      <c r="U137">
        <f>COUNTIFS('Bank Lines'!$G$5:$G$1640,A137,'Bank Lines'!$J$5:$J$1640,1,'Bank Lines'!$C$5:$C$1640,"&lt;="&amp;Cover!$C$14)</f>
        <v>1</v>
      </c>
      <c r="V137">
        <f>COUNTIFS('Odoo Items'!$J$5:$J$4331,A137,'Odoo Items'!$C$5:$C$4331,"&lt;="&amp;Cover!$C$14)</f>
        <v>6</v>
      </c>
      <c r="W137" t="str">
        <f>IF(AND(U137=0,V137=0),"",IF(U137=0,"ODOO-ONLY",IF(V137=0,"BANK-ONLY","BOTH")))</f>
        <v>BOTH</v>
      </c>
      <c r="X137" s="9">
        <f>IF(W137="BOTH",ROUND(S137-T137,2),0)</f>
        <v>0</v>
      </c>
      <c r="Y137" s="9">
        <f>ROUND(SUMIFS('Bank Lines'!$E$5:$E$1640,'Bank Lines'!$G$5:$G$1640,A137,'Bank Lines'!$J$5:$J$1640,1,'Bank Lines'!$C$5:$C$1640,"&lt;="&amp;Cover!$C$15),2)</f>
        <v>1223.04</v>
      </c>
      <c r="Z137" s="9">
        <f>ROUND(SUMIFS('Odoo Items'!$G$5:$G$4331,'Odoo Items'!$J$5:$J$4331,A137,'Odoo Items'!$C$5:$C$4331,"&lt;="&amp;Cover!$C$15),2)</f>
        <v>1223.04</v>
      </c>
      <c r="AA137">
        <f>COUNTIFS('Bank Lines'!$G$5:$G$1640,A137,'Bank Lines'!$J$5:$J$1640,1,'Bank Lines'!$C$5:$C$1640,"&lt;="&amp;Cover!$C$15)</f>
        <v>1</v>
      </c>
      <c r="AB137">
        <f>COUNTIFS('Odoo Items'!$J$5:$J$4331,A137,'Odoo Items'!$C$5:$C$4331,"&lt;="&amp;Cover!$C$15)</f>
        <v>6</v>
      </c>
      <c r="AC137" t="str">
        <f>IF(AND(AA137=0,AB137=0),"",IF(AA137=0,"ODOO-ONLY",IF(AB137=0,"BANK-ONLY","BOTH")))</f>
        <v>BOTH</v>
      </c>
      <c r="AD137" s="9">
        <f>IF(AC137="BOTH",ROUND(Y137-Z137,2),0)</f>
        <v>0</v>
      </c>
    </row>
    <row r="138">
      <c r="A138" t="inlineStr">
        <is>
          <t>G00134</t>
        </is>
      </c>
      <c r="B138" t="inlineStr">
        <is>
          <t>OPS</t>
        </is>
      </c>
      <c r="C138" t="inlineStr">
        <is>
          <t>R03</t>
        </is>
      </c>
      <c r="D138" t="inlineStr">
        <is>
          <t>MATCH</t>
        </is>
      </c>
      <c r="E138" t="inlineStr">
        <is>
          <t>Tallowwood Plans</t>
        </is>
      </c>
      <c r="F138" t="n">
        <v>0.968</v>
      </c>
      <c r="G138" t="inlineStr">
        <is>
          <t>12 invoices</t>
        </is>
      </c>
      <c r="H138">
        <f>COUNTIFS('Bank Lines'!$G$5:$G$1640,A138,'Bank Lines'!$J$5:$J$1640,1)</f>
        <v>1</v>
      </c>
      <c r="I138">
        <f>COUNTIFS('Odoo Items'!$J$5:$J$4331,A138)</f>
        <v>12</v>
      </c>
      <c r="J138" s="9">
        <f>ROUND(SUMIFS('Bank Lines'!$E$5:$E$1640,'Bank Lines'!$G$5:$G$1640,A138,'Bank Lines'!$J$5:$J$1640,1),2)</f>
        <v>2591.55</v>
      </c>
      <c r="K138" s="9">
        <f>ROUND(SUMIFS('Odoo Items'!$G$5:$G$4331,'Odoo Items'!$J$5:$J$4331,A138),2)</f>
        <v>2591.55</v>
      </c>
      <c r="L138" s="9">
        <f>ROUND(J138-K138,2)</f>
        <v>0</v>
      </c>
      <c r="M138" s="9">
        <f>ROUND(SUMIFS('Bank Lines'!$E$5:$E$1640,'Bank Lines'!$G$5:$G$1640,A138,'Bank Lines'!$J$5:$J$1640,1,'Bank Lines'!$C$5:$C$1640,"&lt;="&amp;Cover!$C$13),2)</f>
        <v>2591.55</v>
      </c>
      <c r="N138" s="9">
        <f>ROUND(SUMIFS('Odoo Items'!$G$5:$G$4331,'Odoo Items'!$J$5:$J$4331,A138,'Odoo Items'!$C$5:$C$4331,"&lt;="&amp;Cover!$C$13),2)</f>
        <v>2591.55</v>
      </c>
      <c r="O138">
        <f>COUNTIFS('Bank Lines'!$G$5:$G$1640,A138,'Bank Lines'!$J$5:$J$1640,1,'Bank Lines'!$C$5:$C$1640,"&lt;="&amp;Cover!$C$13)</f>
        <v>1</v>
      </c>
      <c r="P138">
        <f>COUNTIFS('Odoo Items'!$J$5:$J$4331,A138,'Odoo Items'!$C$5:$C$4331,"&lt;="&amp;Cover!$C$13)</f>
        <v>12</v>
      </c>
      <c r="Q138" t="str">
        <f>IF(AND(O138=0,P138=0),"",IF(O138=0,"ODOO-ONLY",IF(P138=0,"BANK-ONLY","BOTH")))</f>
        <v>BOTH</v>
      </c>
      <c r="R138" s="9">
        <f>IF(Q138="BOTH",ROUND(M138-N138,2),0)</f>
        <v>0</v>
      </c>
      <c r="S138" s="9">
        <f>ROUND(SUMIFS('Bank Lines'!$E$5:$E$1640,'Bank Lines'!$G$5:$G$1640,A138,'Bank Lines'!$J$5:$J$1640,1,'Bank Lines'!$C$5:$C$1640,"&lt;="&amp;Cover!$C$14),2)</f>
        <v>2591.55</v>
      </c>
      <c r="T138" s="9">
        <f>ROUND(SUMIFS('Odoo Items'!$G$5:$G$4331,'Odoo Items'!$J$5:$J$4331,A138,'Odoo Items'!$C$5:$C$4331,"&lt;="&amp;Cover!$C$14),2)</f>
        <v>2591.55</v>
      </c>
      <c r="U138">
        <f>COUNTIFS('Bank Lines'!$G$5:$G$1640,A138,'Bank Lines'!$J$5:$J$1640,1,'Bank Lines'!$C$5:$C$1640,"&lt;="&amp;Cover!$C$14)</f>
        <v>1</v>
      </c>
      <c r="V138">
        <f>COUNTIFS('Odoo Items'!$J$5:$J$4331,A138,'Odoo Items'!$C$5:$C$4331,"&lt;="&amp;Cover!$C$14)</f>
        <v>12</v>
      </c>
      <c r="W138" t="str">
        <f>IF(AND(U138=0,V138=0),"",IF(U138=0,"ODOO-ONLY",IF(V138=0,"BANK-ONLY","BOTH")))</f>
        <v>BOTH</v>
      </c>
      <c r="X138" s="9">
        <f>IF(W138="BOTH",ROUND(S138-T138,2),0)</f>
        <v>0</v>
      </c>
      <c r="Y138" s="9">
        <f>ROUND(SUMIFS('Bank Lines'!$E$5:$E$1640,'Bank Lines'!$G$5:$G$1640,A138,'Bank Lines'!$J$5:$J$1640,1,'Bank Lines'!$C$5:$C$1640,"&lt;="&amp;Cover!$C$15),2)</f>
        <v>2591.55</v>
      </c>
      <c r="Z138" s="9">
        <f>ROUND(SUMIFS('Odoo Items'!$G$5:$G$4331,'Odoo Items'!$J$5:$J$4331,A138,'Odoo Items'!$C$5:$C$4331,"&lt;="&amp;Cover!$C$15),2)</f>
        <v>2591.55</v>
      </c>
      <c r="AA138">
        <f>COUNTIFS('Bank Lines'!$G$5:$G$1640,A138,'Bank Lines'!$J$5:$J$1640,1,'Bank Lines'!$C$5:$C$1640,"&lt;="&amp;Cover!$C$15)</f>
        <v>1</v>
      </c>
      <c r="AB138">
        <f>COUNTIFS('Odoo Items'!$J$5:$J$4331,A138,'Odoo Items'!$C$5:$C$4331,"&lt;="&amp;Cover!$C$15)</f>
        <v>12</v>
      </c>
      <c r="AC138" t="str">
        <f>IF(AND(AA138=0,AB138=0),"",IF(AA138=0,"ODOO-ONLY",IF(AB138=0,"BANK-ONLY","BOTH")))</f>
        <v>BOTH</v>
      </c>
      <c r="AD138" s="9">
        <f>IF(AC138="BOTH",ROUND(Y138-Z138,2),0)</f>
        <v>0</v>
      </c>
    </row>
    <row r="139">
      <c r="A139" t="inlineStr">
        <is>
          <t>G00135</t>
        </is>
      </c>
      <c r="B139" t="inlineStr">
        <is>
          <t>OPS</t>
        </is>
      </c>
      <c r="C139" t="inlineStr">
        <is>
          <t>R03</t>
        </is>
      </c>
      <c r="D139" t="inlineStr">
        <is>
          <t>MATCH</t>
        </is>
      </c>
      <c r="E139" t="inlineStr">
        <is>
          <t>Riverbend Plan Partners</t>
        </is>
      </c>
      <c r="F139" t="n">
        <v>1</v>
      </c>
      <c r="G139" t="inlineStr">
        <is>
          <t>8 invoices</t>
        </is>
      </c>
      <c r="H139">
        <f>COUNTIFS('Bank Lines'!$G$5:$G$1640,A139,'Bank Lines'!$J$5:$J$1640,1)</f>
        <v>1</v>
      </c>
      <c r="I139">
        <f>COUNTIFS('Odoo Items'!$J$5:$J$4331,A139)</f>
        <v>8</v>
      </c>
      <c r="J139" s="9">
        <f>ROUND(SUMIFS('Bank Lines'!$E$5:$E$1640,'Bank Lines'!$G$5:$G$1640,A139,'Bank Lines'!$J$5:$J$1640,1),2)</f>
        <v>1566.12</v>
      </c>
      <c r="K139" s="9">
        <f>ROUND(SUMIFS('Odoo Items'!$G$5:$G$4331,'Odoo Items'!$J$5:$J$4331,A139),2)</f>
        <v>1566.12</v>
      </c>
      <c r="L139" s="9">
        <f>ROUND(J139-K139,2)</f>
        <v>0</v>
      </c>
      <c r="M139" s="9">
        <f>ROUND(SUMIFS('Bank Lines'!$E$5:$E$1640,'Bank Lines'!$G$5:$G$1640,A139,'Bank Lines'!$J$5:$J$1640,1,'Bank Lines'!$C$5:$C$1640,"&lt;="&amp;Cover!$C$13),2)</f>
        <v>1566.12</v>
      </c>
      <c r="N139" s="9">
        <f>ROUND(SUMIFS('Odoo Items'!$G$5:$G$4331,'Odoo Items'!$J$5:$J$4331,A139,'Odoo Items'!$C$5:$C$4331,"&lt;="&amp;Cover!$C$13),2)</f>
        <v>1566.12</v>
      </c>
      <c r="O139">
        <f>COUNTIFS('Bank Lines'!$G$5:$G$1640,A139,'Bank Lines'!$J$5:$J$1640,1,'Bank Lines'!$C$5:$C$1640,"&lt;="&amp;Cover!$C$13)</f>
        <v>1</v>
      </c>
      <c r="P139">
        <f>COUNTIFS('Odoo Items'!$J$5:$J$4331,A139,'Odoo Items'!$C$5:$C$4331,"&lt;="&amp;Cover!$C$13)</f>
        <v>8</v>
      </c>
      <c r="Q139" t="str">
        <f>IF(AND(O139=0,P139=0),"",IF(O139=0,"ODOO-ONLY",IF(P139=0,"BANK-ONLY","BOTH")))</f>
        <v>BOTH</v>
      </c>
      <c r="R139" s="9">
        <f>IF(Q139="BOTH",ROUND(M139-N139,2),0)</f>
        <v>0</v>
      </c>
      <c r="S139" s="9">
        <f>ROUND(SUMIFS('Bank Lines'!$E$5:$E$1640,'Bank Lines'!$G$5:$G$1640,A139,'Bank Lines'!$J$5:$J$1640,1,'Bank Lines'!$C$5:$C$1640,"&lt;="&amp;Cover!$C$14),2)</f>
        <v>1566.12</v>
      </c>
      <c r="T139" s="9">
        <f>ROUND(SUMIFS('Odoo Items'!$G$5:$G$4331,'Odoo Items'!$J$5:$J$4331,A139,'Odoo Items'!$C$5:$C$4331,"&lt;="&amp;Cover!$C$14),2)</f>
        <v>1566.12</v>
      </c>
      <c r="U139">
        <f>COUNTIFS('Bank Lines'!$G$5:$G$1640,A139,'Bank Lines'!$J$5:$J$1640,1,'Bank Lines'!$C$5:$C$1640,"&lt;="&amp;Cover!$C$14)</f>
        <v>1</v>
      </c>
      <c r="V139">
        <f>COUNTIFS('Odoo Items'!$J$5:$J$4331,A139,'Odoo Items'!$C$5:$C$4331,"&lt;="&amp;Cover!$C$14)</f>
        <v>8</v>
      </c>
      <c r="W139" t="str">
        <f>IF(AND(U139=0,V139=0),"",IF(U139=0,"ODOO-ONLY",IF(V139=0,"BANK-ONLY","BOTH")))</f>
        <v>BOTH</v>
      </c>
      <c r="X139" s="9">
        <f>IF(W139="BOTH",ROUND(S139-T139,2),0)</f>
        <v>0</v>
      </c>
      <c r="Y139" s="9">
        <f>ROUND(SUMIFS('Bank Lines'!$E$5:$E$1640,'Bank Lines'!$G$5:$G$1640,A139,'Bank Lines'!$J$5:$J$1640,1,'Bank Lines'!$C$5:$C$1640,"&lt;="&amp;Cover!$C$15),2)</f>
        <v>1566.12</v>
      </c>
      <c r="Z139" s="9">
        <f>ROUND(SUMIFS('Odoo Items'!$G$5:$G$4331,'Odoo Items'!$J$5:$J$4331,A139,'Odoo Items'!$C$5:$C$4331,"&lt;="&amp;Cover!$C$15),2)</f>
        <v>1566.12</v>
      </c>
      <c r="AA139">
        <f>COUNTIFS('Bank Lines'!$G$5:$G$1640,A139,'Bank Lines'!$J$5:$J$1640,1,'Bank Lines'!$C$5:$C$1640,"&lt;="&amp;Cover!$C$15)</f>
        <v>1</v>
      </c>
      <c r="AB139">
        <f>COUNTIFS('Odoo Items'!$J$5:$J$4331,A139,'Odoo Items'!$C$5:$C$4331,"&lt;="&amp;Cover!$C$15)</f>
        <v>8</v>
      </c>
      <c r="AC139" t="str">
        <f>IF(AND(AA139=0,AB139=0),"",IF(AA139=0,"ODOO-ONLY",IF(AB139=0,"BANK-ONLY","BOTH")))</f>
        <v>BOTH</v>
      </c>
      <c r="AD139" s="9">
        <f>IF(AC139="BOTH",ROUND(Y139-Z139,2),0)</f>
        <v>0</v>
      </c>
    </row>
    <row r="140">
      <c r="A140" t="inlineStr">
        <is>
          <t>G00136</t>
        </is>
      </c>
      <c r="B140" t="inlineStr">
        <is>
          <t>OPS</t>
        </is>
      </c>
      <c r="C140" t="inlineStr">
        <is>
          <t>R03</t>
        </is>
      </c>
      <c r="D140" t="inlineStr">
        <is>
          <t>MATCH</t>
        </is>
      </c>
      <c r="E140" t="inlineStr">
        <is>
          <t>Ironbark Plan Management</t>
        </is>
      </c>
      <c r="F140" t="n">
        <v>1</v>
      </c>
      <c r="G140" t="inlineStr">
        <is>
          <t>2 invoices</t>
        </is>
      </c>
      <c r="H140">
        <f>COUNTIFS('Bank Lines'!$G$5:$G$1640,A140,'Bank Lines'!$J$5:$J$1640,1)</f>
        <v>1</v>
      </c>
      <c r="I140">
        <f>COUNTIFS('Odoo Items'!$J$5:$J$4331,A140)</f>
        <v>2</v>
      </c>
      <c r="J140" s="9">
        <f>ROUND(SUMIFS('Bank Lines'!$E$5:$E$1640,'Bank Lines'!$G$5:$G$1640,A140,'Bank Lines'!$J$5:$J$1640,1),2)</f>
        <v>436.48</v>
      </c>
      <c r="K140" s="9">
        <f>ROUND(SUMIFS('Odoo Items'!$G$5:$G$4331,'Odoo Items'!$J$5:$J$4331,A140),2)</f>
        <v>436.48</v>
      </c>
      <c r="L140" s="9">
        <f>ROUND(J140-K140,2)</f>
        <v>0</v>
      </c>
      <c r="M140" s="9">
        <f>ROUND(SUMIFS('Bank Lines'!$E$5:$E$1640,'Bank Lines'!$G$5:$G$1640,A140,'Bank Lines'!$J$5:$J$1640,1,'Bank Lines'!$C$5:$C$1640,"&lt;="&amp;Cover!$C$13),2)</f>
        <v>436.48</v>
      </c>
      <c r="N140" s="9">
        <f>ROUND(SUMIFS('Odoo Items'!$G$5:$G$4331,'Odoo Items'!$J$5:$J$4331,A140,'Odoo Items'!$C$5:$C$4331,"&lt;="&amp;Cover!$C$13),2)</f>
        <v>436.48</v>
      </c>
      <c r="O140">
        <f>COUNTIFS('Bank Lines'!$G$5:$G$1640,A140,'Bank Lines'!$J$5:$J$1640,1,'Bank Lines'!$C$5:$C$1640,"&lt;="&amp;Cover!$C$13)</f>
        <v>1</v>
      </c>
      <c r="P140">
        <f>COUNTIFS('Odoo Items'!$J$5:$J$4331,A140,'Odoo Items'!$C$5:$C$4331,"&lt;="&amp;Cover!$C$13)</f>
        <v>2</v>
      </c>
      <c r="Q140" t="str">
        <f>IF(AND(O140=0,P140=0),"",IF(O140=0,"ODOO-ONLY",IF(P140=0,"BANK-ONLY","BOTH")))</f>
        <v>BOTH</v>
      </c>
      <c r="R140" s="9">
        <f>IF(Q140="BOTH",ROUND(M140-N140,2),0)</f>
        <v>0</v>
      </c>
      <c r="S140" s="9">
        <f>ROUND(SUMIFS('Bank Lines'!$E$5:$E$1640,'Bank Lines'!$G$5:$G$1640,A140,'Bank Lines'!$J$5:$J$1640,1,'Bank Lines'!$C$5:$C$1640,"&lt;="&amp;Cover!$C$14),2)</f>
        <v>436.48</v>
      </c>
      <c r="T140" s="9">
        <f>ROUND(SUMIFS('Odoo Items'!$G$5:$G$4331,'Odoo Items'!$J$5:$J$4331,A140,'Odoo Items'!$C$5:$C$4331,"&lt;="&amp;Cover!$C$14),2)</f>
        <v>436.48</v>
      </c>
      <c r="U140">
        <f>COUNTIFS('Bank Lines'!$G$5:$G$1640,A140,'Bank Lines'!$J$5:$J$1640,1,'Bank Lines'!$C$5:$C$1640,"&lt;="&amp;Cover!$C$14)</f>
        <v>1</v>
      </c>
      <c r="V140">
        <f>COUNTIFS('Odoo Items'!$J$5:$J$4331,A140,'Odoo Items'!$C$5:$C$4331,"&lt;="&amp;Cover!$C$14)</f>
        <v>2</v>
      </c>
      <c r="W140" t="str">
        <f>IF(AND(U140=0,V140=0),"",IF(U140=0,"ODOO-ONLY",IF(V140=0,"BANK-ONLY","BOTH")))</f>
        <v>BOTH</v>
      </c>
      <c r="X140" s="9">
        <f>IF(W140="BOTH",ROUND(S140-T140,2),0)</f>
        <v>0</v>
      </c>
      <c r="Y140" s="9">
        <f>ROUND(SUMIFS('Bank Lines'!$E$5:$E$1640,'Bank Lines'!$G$5:$G$1640,A140,'Bank Lines'!$J$5:$J$1640,1,'Bank Lines'!$C$5:$C$1640,"&lt;="&amp;Cover!$C$15),2)</f>
        <v>436.48</v>
      </c>
      <c r="Z140" s="9">
        <f>ROUND(SUMIFS('Odoo Items'!$G$5:$G$4331,'Odoo Items'!$J$5:$J$4331,A140,'Odoo Items'!$C$5:$C$4331,"&lt;="&amp;Cover!$C$15),2)</f>
        <v>436.48</v>
      </c>
      <c r="AA140">
        <f>COUNTIFS('Bank Lines'!$G$5:$G$1640,A140,'Bank Lines'!$J$5:$J$1640,1,'Bank Lines'!$C$5:$C$1640,"&lt;="&amp;Cover!$C$15)</f>
        <v>1</v>
      </c>
      <c r="AB140">
        <f>COUNTIFS('Odoo Items'!$J$5:$J$4331,A140,'Odoo Items'!$C$5:$C$4331,"&lt;="&amp;Cover!$C$15)</f>
        <v>2</v>
      </c>
      <c r="AC140" t="str">
        <f>IF(AND(AA140=0,AB140=0),"",IF(AA140=0,"ODOO-ONLY",IF(AB140=0,"BANK-ONLY","BOTH")))</f>
        <v>BOTH</v>
      </c>
      <c r="AD140" s="9">
        <f>IF(AC140="BOTH",ROUND(Y140-Z140,2),0)</f>
        <v>0</v>
      </c>
    </row>
    <row r="141">
      <c r="A141" t="inlineStr">
        <is>
          <t>G00137</t>
        </is>
      </c>
      <c r="B141" t="inlineStr">
        <is>
          <t>OPS</t>
        </is>
      </c>
      <c r="C141" t="inlineStr">
        <is>
          <t>R03</t>
        </is>
      </c>
      <c r="D141" t="inlineStr">
        <is>
          <t>REG</t>
        </is>
      </c>
      <c r="E141" t="inlineStr">
        <is>
          <t>Kookaburra Plan Support</t>
        </is>
      </c>
      <c r="F141" t="n">
        <v>1</v>
      </c>
      <c r="G141" t="inlineStr">
        <is>
          <t>Receipt not registered in Odoo; remittance RA44858 lists 6 invoices</t>
        </is>
      </c>
      <c r="H141">
        <f>COUNTIFS('Bank Lines'!$G$5:$G$1640,A141,'Bank Lines'!$J$5:$J$1640,1)</f>
        <v>1</v>
      </c>
      <c r="I141">
        <f>COUNTIFS('Odoo Items'!$J$5:$J$4331,A141)</f>
        <v>0</v>
      </c>
      <c r="J141" s="9">
        <f>ROUND(SUMIFS('Bank Lines'!$E$5:$E$1640,'Bank Lines'!$G$5:$G$1640,A141,'Bank Lines'!$J$5:$J$1640,1),2)</f>
        <v>1058.13</v>
      </c>
      <c r="K141" s="9">
        <f>ROUND(SUMIFS('Odoo Items'!$G$5:$G$4331,'Odoo Items'!$J$5:$J$4331,A141),2)</f>
        <v>0</v>
      </c>
      <c r="L141" s="9">
        <f>ROUND(J141-K141,2)</f>
        <v>1058.13</v>
      </c>
      <c r="M141" s="9">
        <f>ROUND(SUMIFS('Bank Lines'!$E$5:$E$1640,'Bank Lines'!$G$5:$G$1640,A141,'Bank Lines'!$J$5:$J$1640,1,'Bank Lines'!$C$5:$C$1640,"&lt;="&amp;Cover!$C$13),2)</f>
        <v>1058.13</v>
      </c>
      <c r="N141" s="9">
        <f>ROUND(SUMIFS('Odoo Items'!$G$5:$G$4331,'Odoo Items'!$J$5:$J$4331,A141,'Odoo Items'!$C$5:$C$4331,"&lt;="&amp;Cover!$C$13),2)</f>
        <v>0</v>
      </c>
      <c r="O141">
        <f>COUNTIFS('Bank Lines'!$G$5:$G$1640,A141,'Bank Lines'!$J$5:$J$1640,1,'Bank Lines'!$C$5:$C$1640,"&lt;="&amp;Cover!$C$13)</f>
        <v>1</v>
      </c>
      <c r="P141">
        <f>COUNTIFS('Odoo Items'!$J$5:$J$4331,A141,'Odoo Items'!$C$5:$C$4331,"&lt;="&amp;Cover!$C$13)</f>
        <v>0</v>
      </c>
      <c r="Q141" t="str">
        <f>IF(AND(O141=0,P141=0),"",IF(O141=0,"ODOO-ONLY",IF(P141=0,"BANK-ONLY","BOTH")))</f>
        <v>BANK-ONLY</v>
      </c>
      <c r="R141" s="9">
        <f>IF(Q141="BOTH",ROUND(M141-N141,2),0)</f>
        <v>0</v>
      </c>
      <c r="S141" s="9">
        <f>ROUND(SUMIFS('Bank Lines'!$E$5:$E$1640,'Bank Lines'!$G$5:$G$1640,A141,'Bank Lines'!$J$5:$J$1640,1,'Bank Lines'!$C$5:$C$1640,"&lt;="&amp;Cover!$C$14),2)</f>
        <v>1058.13</v>
      </c>
      <c r="T141" s="9">
        <f>ROUND(SUMIFS('Odoo Items'!$G$5:$G$4331,'Odoo Items'!$J$5:$J$4331,A141,'Odoo Items'!$C$5:$C$4331,"&lt;="&amp;Cover!$C$14),2)</f>
        <v>0</v>
      </c>
      <c r="U141">
        <f>COUNTIFS('Bank Lines'!$G$5:$G$1640,A141,'Bank Lines'!$J$5:$J$1640,1,'Bank Lines'!$C$5:$C$1640,"&lt;="&amp;Cover!$C$14)</f>
        <v>1</v>
      </c>
      <c r="V141">
        <f>COUNTIFS('Odoo Items'!$J$5:$J$4331,A141,'Odoo Items'!$C$5:$C$4331,"&lt;="&amp;Cover!$C$14)</f>
        <v>0</v>
      </c>
      <c r="W141" t="str">
        <f>IF(AND(U141=0,V141=0),"",IF(U141=0,"ODOO-ONLY",IF(V141=0,"BANK-ONLY","BOTH")))</f>
        <v>BANK-ONLY</v>
      </c>
      <c r="X141" s="9">
        <f>IF(W141="BOTH",ROUND(S141-T141,2),0)</f>
        <v>0</v>
      </c>
      <c r="Y141" s="9">
        <f>ROUND(SUMIFS('Bank Lines'!$E$5:$E$1640,'Bank Lines'!$G$5:$G$1640,A141,'Bank Lines'!$J$5:$J$1640,1,'Bank Lines'!$C$5:$C$1640,"&lt;="&amp;Cover!$C$15),2)</f>
        <v>1058.13</v>
      </c>
      <c r="Z141" s="9">
        <f>ROUND(SUMIFS('Odoo Items'!$G$5:$G$4331,'Odoo Items'!$J$5:$J$4331,A141,'Odoo Items'!$C$5:$C$4331,"&lt;="&amp;Cover!$C$15),2)</f>
        <v>0</v>
      </c>
      <c r="AA141">
        <f>COUNTIFS('Bank Lines'!$G$5:$G$1640,A141,'Bank Lines'!$J$5:$J$1640,1,'Bank Lines'!$C$5:$C$1640,"&lt;="&amp;Cover!$C$15)</f>
        <v>1</v>
      </c>
      <c r="AB141">
        <f>COUNTIFS('Odoo Items'!$J$5:$J$4331,A141,'Odoo Items'!$C$5:$C$4331,"&lt;="&amp;Cover!$C$15)</f>
        <v>0</v>
      </c>
      <c r="AC141" t="str">
        <f>IF(AND(AA141=0,AB141=0),"",IF(AA141=0,"ODOO-ONLY",IF(AB141=0,"BANK-ONLY","BOTH")))</f>
        <v>BANK-ONLY</v>
      </c>
      <c r="AD141" s="9">
        <f>IF(AC141="BOTH",ROUND(Y141-Z141,2),0)</f>
        <v>0</v>
      </c>
    </row>
    <row r="142">
      <c r="A142" t="inlineStr">
        <is>
          <t>G00138</t>
        </is>
      </c>
      <c r="B142" t="inlineStr">
        <is>
          <t>OPS</t>
        </is>
      </c>
      <c r="C142" t="inlineStr">
        <is>
          <t>R03</t>
        </is>
      </c>
      <c r="D142" t="inlineStr">
        <is>
          <t>REG</t>
        </is>
      </c>
      <c r="E142" t="inlineStr">
        <is>
          <t>Saltbush Plan Managers</t>
        </is>
      </c>
      <c r="F142" t="n">
        <v>1</v>
      </c>
      <c r="G142" t="inlineStr">
        <is>
          <t>Receipt not registered in Odoo; remittance RA44859 lists 4 invoices</t>
        </is>
      </c>
      <c r="H142">
        <f>COUNTIFS('Bank Lines'!$G$5:$G$1640,A142,'Bank Lines'!$J$5:$J$1640,1)</f>
        <v>1</v>
      </c>
      <c r="I142">
        <f>COUNTIFS('Odoo Items'!$J$5:$J$4331,A142)</f>
        <v>0</v>
      </c>
      <c r="J142" s="9">
        <f>ROUND(SUMIFS('Bank Lines'!$E$5:$E$1640,'Bank Lines'!$G$5:$G$1640,A142,'Bank Lines'!$J$5:$J$1640,1),2)</f>
        <v>815.65</v>
      </c>
      <c r="K142" s="9">
        <f>ROUND(SUMIFS('Odoo Items'!$G$5:$G$4331,'Odoo Items'!$J$5:$J$4331,A142),2)</f>
        <v>0</v>
      </c>
      <c r="L142" s="9">
        <f>ROUND(J142-K142,2)</f>
        <v>815.65</v>
      </c>
      <c r="M142" s="9">
        <f>ROUND(SUMIFS('Bank Lines'!$E$5:$E$1640,'Bank Lines'!$G$5:$G$1640,A142,'Bank Lines'!$J$5:$J$1640,1,'Bank Lines'!$C$5:$C$1640,"&lt;="&amp;Cover!$C$13),2)</f>
        <v>815.65</v>
      </c>
      <c r="N142" s="9">
        <f>ROUND(SUMIFS('Odoo Items'!$G$5:$G$4331,'Odoo Items'!$J$5:$J$4331,A142,'Odoo Items'!$C$5:$C$4331,"&lt;="&amp;Cover!$C$13),2)</f>
        <v>0</v>
      </c>
      <c r="O142">
        <f>COUNTIFS('Bank Lines'!$G$5:$G$1640,A142,'Bank Lines'!$J$5:$J$1640,1,'Bank Lines'!$C$5:$C$1640,"&lt;="&amp;Cover!$C$13)</f>
        <v>1</v>
      </c>
      <c r="P142">
        <f>COUNTIFS('Odoo Items'!$J$5:$J$4331,A142,'Odoo Items'!$C$5:$C$4331,"&lt;="&amp;Cover!$C$13)</f>
        <v>0</v>
      </c>
      <c r="Q142" t="str">
        <f>IF(AND(O142=0,P142=0),"",IF(O142=0,"ODOO-ONLY",IF(P142=0,"BANK-ONLY","BOTH")))</f>
        <v>BANK-ONLY</v>
      </c>
      <c r="R142" s="9">
        <f>IF(Q142="BOTH",ROUND(M142-N142,2),0)</f>
        <v>0</v>
      </c>
      <c r="S142" s="9">
        <f>ROUND(SUMIFS('Bank Lines'!$E$5:$E$1640,'Bank Lines'!$G$5:$G$1640,A142,'Bank Lines'!$J$5:$J$1640,1,'Bank Lines'!$C$5:$C$1640,"&lt;="&amp;Cover!$C$14),2)</f>
        <v>815.65</v>
      </c>
      <c r="T142" s="9">
        <f>ROUND(SUMIFS('Odoo Items'!$G$5:$G$4331,'Odoo Items'!$J$5:$J$4331,A142,'Odoo Items'!$C$5:$C$4331,"&lt;="&amp;Cover!$C$14),2)</f>
        <v>0</v>
      </c>
      <c r="U142">
        <f>COUNTIFS('Bank Lines'!$G$5:$G$1640,A142,'Bank Lines'!$J$5:$J$1640,1,'Bank Lines'!$C$5:$C$1640,"&lt;="&amp;Cover!$C$14)</f>
        <v>1</v>
      </c>
      <c r="V142">
        <f>COUNTIFS('Odoo Items'!$J$5:$J$4331,A142,'Odoo Items'!$C$5:$C$4331,"&lt;="&amp;Cover!$C$14)</f>
        <v>0</v>
      </c>
      <c r="W142" t="str">
        <f>IF(AND(U142=0,V142=0),"",IF(U142=0,"ODOO-ONLY",IF(V142=0,"BANK-ONLY","BOTH")))</f>
        <v>BANK-ONLY</v>
      </c>
      <c r="X142" s="9">
        <f>IF(W142="BOTH",ROUND(S142-T142,2),0)</f>
        <v>0</v>
      </c>
      <c r="Y142" s="9">
        <f>ROUND(SUMIFS('Bank Lines'!$E$5:$E$1640,'Bank Lines'!$G$5:$G$1640,A142,'Bank Lines'!$J$5:$J$1640,1,'Bank Lines'!$C$5:$C$1640,"&lt;="&amp;Cover!$C$15),2)</f>
        <v>815.65</v>
      </c>
      <c r="Z142" s="9">
        <f>ROUND(SUMIFS('Odoo Items'!$G$5:$G$4331,'Odoo Items'!$J$5:$J$4331,A142,'Odoo Items'!$C$5:$C$4331,"&lt;="&amp;Cover!$C$15),2)</f>
        <v>0</v>
      </c>
      <c r="AA142">
        <f>COUNTIFS('Bank Lines'!$G$5:$G$1640,A142,'Bank Lines'!$J$5:$J$1640,1,'Bank Lines'!$C$5:$C$1640,"&lt;="&amp;Cover!$C$15)</f>
        <v>1</v>
      </c>
      <c r="AB142">
        <f>COUNTIFS('Odoo Items'!$J$5:$J$4331,A142,'Odoo Items'!$C$5:$C$4331,"&lt;="&amp;Cover!$C$15)</f>
        <v>0</v>
      </c>
      <c r="AC142" t="str">
        <f>IF(AND(AA142=0,AB142=0),"",IF(AA142=0,"ODOO-ONLY",IF(AB142=0,"BANK-ONLY","BOTH")))</f>
        <v>BANK-ONLY</v>
      </c>
      <c r="AD142" s="9">
        <f>IF(AC142="BOTH",ROUND(Y142-Z142,2),0)</f>
        <v>0</v>
      </c>
    </row>
    <row r="143">
      <c r="A143" t="inlineStr">
        <is>
          <t>G00139</t>
        </is>
      </c>
      <c r="B143" t="inlineStr">
        <is>
          <t>OPS</t>
        </is>
      </c>
      <c r="C143" t="inlineStr">
        <is>
          <t>R03</t>
        </is>
      </c>
      <c r="D143" t="inlineStr">
        <is>
          <t>MATCH</t>
        </is>
      </c>
      <c r="E143" t="inlineStr">
        <is>
          <t>Redgum Plan Admin</t>
        </is>
      </c>
      <c r="F143" t="n">
        <v>1</v>
      </c>
      <c r="G143" t="inlineStr">
        <is>
          <t>3 invoices</t>
        </is>
      </c>
      <c r="H143">
        <f>COUNTIFS('Bank Lines'!$G$5:$G$1640,A143,'Bank Lines'!$J$5:$J$1640,1)</f>
        <v>1</v>
      </c>
      <c r="I143">
        <f>COUNTIFS('Odoo Items'!$J$5:$J$4331,A143)</f>
        <v>3</v>
      </c>
      <c r="J143" s="9">
        <f>ROUND(SUMIFS('Bank Lines'!$E$5:$E$1640,'Bank Lines'!$G$5:$G$1640,A143,'Bank Lines'!$J$5:$J$1640,1),2)</f>
        <v>660.47</v>
      </c>
      <c r="K143" s="9">
        <f>ROUND(SUMIFS('Odoo Items'!$G$5:$G$4331,'Odoo Items'!$J$5:$J$4331,A143),2)</f>
        <v>660.47</v>
      </c>
      <c r="L143" s="9">
        <f>ROUND(J143-K143,2)</f>
        <v>0</v>
      </c>
      <c r="M143" s="9">
        <f>ROUND(SUMIFS('Bank Lines'!$E$5:$E$1640,'Bank Lines'!$G$5:$G$1640,A143,'Bank Lines'!$J$5:$J$1640,1,'Bank Lines'!$C$5:$C$1640,"&lt;="&amp;Cover!$C$13),2)</f>
        <v>660.47</v>
      </c>
      <c r="N143" s="9">
        <f>ROUND(SUMIFS('Odoo Items'!$G$5:$G$4331,'Odoo Items'!$J$5:$J$4331,A143,'Odoo Items'!$C$5:$C$4331,"&lt;="&amp;Cover!$C$13),2)</f>
        <v>660.47</v>
      </c>
      <c r="O143">
        <f>COUNTIFS('Bank Lines'!$G$5:$G$1640,A143,'Bank Lines'!$J$5:$J$1640,1,'Bank Lines'!$C$5:$C$1640,"&lt;="&amp;Cover!$C$13)</f>
        <v>1</v>
      </c>
      <c r="P143">
        <f>COUNTIFS('Odoo Items'!$J$5:$J$4331,A143,'Odoo Items'!$C$5:$C$4331,"&lt;="&amp;Cover!$C$13)</f>
        <v>3</v>
      </c>
      <c r="Q143" t="str">
        <f>IF(AND(O143=0,P143=0),"",IF(O143=0,"ODOO-ONLY",IF(P143=0,"BANK-ONLY","BOTH")))</f>
        <v>BOTH</v>
      </c>
      <c r="R143" s="9">
        <f>IF(Q143="BOTH",ROUND(M143-N143,2),0)</f>
        <v>0</v>
      </c>
      <c r="S143" s="9">
        <f>ROUND(SUMIFS('Bank Lines'!$E$5:$E$1640,'Bank Lines'!$G$5:$G$1640,A143,'Bank Lines'!$J$5:$J$1640,1,'Bank Lines'!$C$5:$C$1640,"&lt;="&amp;Cover!$C$14),2)</f>
        <v>660.47</v>
      </c>
      <c r="T143" s="9">
        <f>ROUND(SUMIFS('Odoo Items'!$G$5:$G$4331,'Odoo Items'!$J$5:$J$4331,A143,'Odoo Items'!$C$5:$C$4331,"&lt;="&amp;Cover!$C$14),2)</f>
        <v>660.47</v>
      </c>
      <c r="U143">
        <f>COUNTIFS('Bank Lines'!$G$5:$G$1640,A143,'Bank Lines'!$J$5:$J$1640,1,'Bank Lines'!$C$5:$C$1640,"&lt;="&amp;Cover!$C$14)</f>
        <v>1</v>
      </c>
      <c r="V143">
        <f>COUNTIFS('Odoo Items'!$J$5:$J$4331,A143,'Odoo Items'!$C$5:$C$4331,"&lt;="&amp;Cover!$C$14)</f>
        <v>3</v>
      </c>
      <c r="W143" t="str">
        <f>IF(AND(U143=0,V143=0),"",IF(U143=0,"ODOO-ONLY",IF(V143=0,"BANK-ONLY","BOTH")))</f>
        <v>BOTH</v>
      </c>
      <c r="X143" s="9">
        <f>IF(W143="BOTH",ROUND(S143-T143,2),0)</f>
        <v>0</v>
      </c>
      <c r="Y143" s="9">
        <f>ROUND(SUMIFS('Bank Lines'!$E$5:$E$1640,'Bank Lines'!$G$5:$G$1640,A143,'Bank Lines'!$J$5:$J$1640,1,'Bank Lines'!$C$5:$C$1640,"&lt;="&amp;Cover!$C$15),2)</f>
        <v>660.47</v>
      </c>
      <c r="Z143" s="9">
        <f>ROUND(SUMIFS('Odoo Items'!$G$5:$G$4331,'Odoo Items'!$J$5:$J$4331,A143,'Odoo Items'!$C$5:$C$4331,"&lt;="&amp;Cover!$C$15),2)</f>
        <v>660.47</v>
      </c>
      <c r="AA143">
        <f>COUNTIFS('Bank Lines'!$G$5:$G$1640,A143,'Bank Lines'!$J$5:$J$1640,1,'Bank Lines'!$C$5:$C$1640,"&lt;="&amp;Cover!$C$15)</f>
        <v>1</v>
      </c>
      <c r="AB143">
        <f>COUNTIFS('Odoo Items'!$J$5:$J$4331,A143,'Odoo Items'!$C$5:$C$4331,"&lt;="&amp;Cover!$C$15)</f>
        <v>3</v>
      </c>
      <c r="AC143" t="str">
        <f>IF(AND(AA143=0,AB143=0),"",IF(AA143=0,"ODOO-ONLY",IF(AB143=0,"BANK-ONLY","BOTH")))</f>
        <v>BOTH</v>
      </c>
      <c r="AD143" s="9">
        <f>IF(AC143="BOTH",ROUND(Y143-Z143,2),0)</f>
        <v>0</v>
      </c>
    </row>
    <row r="144">
      <c r="A144" t="inlineStr">
        <is>
          <t>G00140</t>
        </is>
      </c>
      <c r="B144" t="inlineStr">
        <is>
          <t>OPS</t>
        </is>
      </c>
      <c r="C144" t="inlineStr">
        <is>
          <t>R03</t>
        </is>
      </c>
      <c r="D144" t="inlineStr">
        <is>
          <t>MATCH</t>
        </is>
      </c>
      <c r="E144" t="inlineStr">
        <is>
          <t>Lyrebird Plan Management</t>
        </is>
      </c>
      <c r="F144" t="n">
        <v>1</v>
      </c>
      <c r="G144" t="inlineStr">
        <is>
          <t>8 invoices</t>
        </is>
      </c>
      <c r="H144">
        <f>COUNTIFS('Bank Lines'!$G$5:$G$1640,A144,'Bank Lines'!$J$5:$J$1640,1)</f>
        <v>1</v>
      </c>
      <c r="I144">
        <f>COUNTIFS('Odoo Items'!$J$5:$J$4331,A144)</f>
        <v>8</v>
      </c>
      <c r="J144" s="9">
        <f>ROUND(SUMIFS('Bank Lines'!$E$5:$E$1640,'Bank Lines'!$G$5:$G$1640,A144,'Bank Lines'!$J$5:$J$1640,1),2)</f>
        <v>1709.81</v>
      </c>
      <c r="K144" s="9">
        <f>ROUND(SUMIFS('Odoo Items'!$G$5:$G$4331,'Odoo Items'!$J$5:$J$4331,A144),2)</f>
        <v>1709.81</v>
      </c>
      <c r="L144" s="9">
        <f>ROUND(J144-K144,2)</f>
        <v>0</v>
      </c>
      <c r="M144" s="9">
        <f>ROUND(SUMIFS('Bank Lines'!$E$5:$E$1640,'Bank Lines'!$G$5:$G$1640,A144,'Bank Lines'!$J$5:$J$1640,1,'Bank Lines'!$C$5:$C$1640,"&lt;="&amp;Cover!$C$13),2)</f>
        <v>1709.81</v>
      </c>
      <c r="N144" s="9">
        <f>ROUND(SUMIFS('Odoo Items'!$G$5:$G$4331,'Odoo Items'!$J$5:$J$4331,A144,'Odoo Items'!$C$5:$C$4331,"&lt;="&amp;Cover!$C$13),2)</f>
        <v>1709.81</v>
      </c>
      <c r="O144">
        <f>COUNTIFS('Bank Lines'!$G$5:$G$1640,A144,'Bank Lines'!$J$5:$J$1640,1,'Bank Lines'!$C$5:$C$1640,"&lt;="&amp;Cover!$C$13)</f>
        <v>1</v>
      </c>
      <c r="P144">
        <f>COUNTIFS('Odoo Items'!$J$5:$J$4331,A144,'Odoo Items'!$C$5:$C$4331,"&lt;="&amp;Cover!$C$13)</f>
        <v>8</v>
      </c>
      <c r="Q144" t="str">
        <f>IF(AND(O144=0,P144=0),"",IF(O144=0,"ODOO-ONLY",IF(P144=0,"BANK-ONLY","BOTH")))</f>
        <v>BOTH</v>
      </c>
      <c r="R144" s="9">
        <f>IF(Q144="BOTH",ROUND(M144-N144,2),0)</f>
        <v>0</v>
      </c>
      <c r="S144" s="9">
        <f>ROUND(SUMIFS('Bank Lines'!$E$5:$E$1640,'Bank Lines'!$G$5:$G$1640,A144,'Bank Lines'!$J$5:$J$1640,1,'Bank Lines'!$C$5:$C$1640,"&lt;="&amp;Cover!$C$14),2)</f>
        <v>1709.81</v>
      </c>
      <c r="T144" s="9">
        <f>ROUND(SUMIFS('Odoo Items'!$G$5:$G$4331,'Odoo Items'!$J$5:$J$4331,A144,'Odoo Items'!$C$5:$C$4331,"&lt;="&amp;Cover!$C$14),2)</f>
        <v>1709.81</v>
      </c>
      <c r="U144">
        <f>COUNTIFS('Bank Lines'!$G$5:$G$1640,A144,'Bank Lines'!$J$5:$J$1640,1,'Bank Lines'!$C$5:$C$1640,"&lt;="&amp;Cover!$C$14)</f>
        <v>1</v>
      </c>
      <c r="V144">
        <f>COUNTIFS('Odoo Items'!$J$5:$J$4331,A144,'Odoo Items'!$C$5:$C$4331,"&lt;="&amp;Cover!$C$14)</f>
        <v>8</v>
      </c>
      <c r="W144" t="str">
        <f>IF(AND(U144=0,V144=0),"",IF(U144=0,"ODOO-ONLY",IF(V144=0,"BANK-ONLY","BOTH")))</f>
        <v>BOTH</v>
      </c>
      <c r="X144" s="9">
        <f>IF(W144="BOTH",ROUND(S144-T144,2),0)</f>
        <v>0</v>
      </c>
      <c r="Y144" s="9">
        <f>ROUND(SUMIFS('Bank Lines'!$E$5:$E$1640,'Bank Lines'!$G$5:$G$1640,A144,'Bank Lines'!$J$5:$J$1640,1,'Bank Lines'!$C$5:$C$1640,"&lt;="&amp;Cover!$C$15),2)</f>
        <v>1709.81</v>
      </c>
      <c r="Z144" s="9">
        <f>ROUND(SUMIFS('Odoo Items'!$G$5:$G$4331,'Odoo Items'!$J$5:$J$4331,A144,'Odoo Items'!$C$5:$C$4331,"&lt;="&amp;Cover!$C$15),2)</f>
        <v>1709.81</v>
      </c>
      <c r="AA144">
        <f>COUNTIFS('Bank Lines'!$G$5:$G$1640,A144,'Bank Lines'!$J$5:$J$1640,1,'Bank Lines'!$C$5:$C$1640,"&lt;="&amp;Cover!$C$15)</f>
        <v>1</v>
      </c>
      <c r="AB144">
        <f>COUNTIFS('Odoo Items'!$J$5:$J$4331,A144,'Odoo Items'!$C$5:$C$4331,"&lt;="&amp;Cover!$C$15)</f>
        <v>8</v>
      </c>
      <c r="AC144" t="str">
        <f>IF(AND(AA144=0,AB144=0),"",IF(AA144=0,"ODOO-ONLY",IF(AB144=0,"BANK-ONLY","BOTH")))</f>
        <v>BOTH</v>
      </c>
      <c r="AD144" s="9">
        <f>IF(AC144="BOTH",ROUND(Y144-Z144,2),0)</f>
        <v>0</v>
      </c>
    </row>
    <row r="145">
      <c r="A145" t="inlineStr">
        <is>
          <t>G00141</t>
        </is>
      </c>
      <c r="B145" t="inlineStr">
        <is>
          <t>OPS</t>
        </is>
      </c>
      <c r="C145" t="inlineStr">
        <is>
          <t>R03</t>
        </is>
      </c>
      <c r="D145" t="inlineStr">
        <is>
          <t>MATCH</t>
        </is>
      </c>
      <c r="E145" t="inlineStr">
        <is>
          <t>Acacia Plan Partners</t>
        </is>
      </c>
      <c r="F145" t="n">
        <v>1</v>
      </c>
      <c r="G145" t="inlineStr">
        <is>
          <t>6 invoices</t>
        </is>
      </c>
      <c r="H145">
        <f>COUNTIFS('Bank Lines'!$G$5:$G$1640,A145,'Bank Lines'!$J$5:$J$1640,1)</f>
        <v>1</v>
      </c>
      <c r="I145">
        <f>COUNTIFS('Odoo Items'!$J$5:$J$4331,A145)</f>
        <v>6</v>
      </c>
      <c r="J145" s="9">
        <f>ROUND(SUMIFS('Bank Lines'!$E$5:$E$1640,'Bank Lines'!$G$5:$G$1640,A145,'Bank Lines'!$J$5:$J$1640,1),2)</f>
        <v>2046.6</v>
      </c>
      <c r="K145" s="9">
        <f>ROUND(SUMIFS('Odoo Items'!$G$5:$G$4331,'Odoo Items'!$J$5:$J$4331,A145),2)</f>
        <v>2046.6</v>
      </c>
      <c r="L145" s="9">
        <f>ROUND(J145-K145,2)</f>
        <v>0</v>
      </c>
      <c r="M145" s="9">
        <f>ROUND(SUMIFS('Bank Lines'!$E$5:$E$1640,'Bank Lines'!$G$5:$G$1640,A145,'Bank Lines'!$J$5:$J$1640,1,'Bank Lines'!$C$5:$C$1640,"&lt;="&amp;Cover!$C$13),2)</f>
        <v>2046.6</v>
      </c>
      <c r="N145" s="9">
        <f>ROUND(SUMIFS('Odoo Items'!$G$5:$G$4331,'Odoo Items'!$J$5:$J$4331,A145,'Odoo Items'!$C$5:$C$4331,"&lt;="&amp;Cover!$C$13),2)</f>
        <v>2046.6</v>
      </c>
      <c r="O145">
        <f>COUNTIFS('Bank Lines'!$G$5:$G$1640,A145,'Bank Lines'!$J$5:$J$1640,1,'Bank Lines'!$C$5:$C$1640,"&lt;="&amp;Cover!$C$13)</f>
        <v>1</v>
      </c>
      <c r="P145">
        <f>COUNTIFS('Odoo Items'!$J$5:$J$4331,A145,'Odoo Items'!$C$5:$C$4331,"&lt;="&amp;Cover!$C$13)</f>
        <v>6</v>
      </c>
      <c r="Q145" t="str">
        <f>IF(AND(O145=0,P145=0),"",IF(O145=0,"ODOO-ONLY",IF(P145=0,"BANK-ONLY","BOTH")))</f>
        <v>BOTH</v>
      </c>
      <c r="R145" s="9">
        <f>IF(Q145="BOTH",ROUND(M145-N145,2),0)</f>
        <v>0</v>
      </c>
      <c r="S145" s="9">
        <f>ROUND(SUMIFS('Bank Lines'!$E$5:$E$1640,'Bank Lines'!$G$5:$G$1640,A145,'Bank Lines'!$J$5:$J$1640,1,'Bank Lines'!$C$5:$C$1640,"&lt;="&amp;Cover!$C$14),2)</f>
        <v>2046.6</v>
      </c>
      <c r="T145" s="9">
        <f>ROUND(SUMIFS('Odoo Items'!$G$5:$G$4331,'Odoo Items'!$J$5:$J$4331,A145,'Odoo Items'!$C$5:$C$4331,"&lt;="&amp;Cover!$C$14),2)</f>
        <v>2046.6</v>
      </c>
      <c r="U145">
        <f>COUNTIFS('Bank Lines'!$G$5:$G$1640,A145,'Bank Lines'!$J$5:$J$1640,1,'Bank Lines'!$C$5:$C$1640,"&lt;="&amp;Cover!$C$14)</f>
        <v>1</v>
      </c>
      <c r="V145">
        <f>COUNTIFS('Odoo Items'!$J$5:$J$4331,A145,'Odoo Items'!$C$5:$C$4331,"&lt;="&amp;Cover!$C$14)</f>
        <v>6</v>
      </c>
      <c r="W145" t="str">
        <f>IF(AND(U145=0,V145=0),"",IF(U145=0,"ODOO-ONLY",IF(V145=0,"BANK-ONLY","BOTH")))</f>
        <v>BOTH</v>
      </c>
      <c r="X145" s="9">
        <f>IF(W145="BOTH",ROUND(S145-T145,2),0)</f>
        <v>0</v>
      </c>
      <c r="Y145" s="9">
        <f>ROUND(SUMIFS('Bank Lines'!$E$5:$E$1640,'Bank Lines'!$G$5:$G$1640,A145,'Bank Lines'!$J$5:$J$1640,1,'Bank Lines'!$C$5:$C$1640,"&lt;="&amp;Cover!$C$15),2)</f>
        <v>2046.6</v>
      </c>
      <c r="Z145" s="9">
        <f>ROUND(SUMIFS('Odoo Items'!$G$5:$G$4331,'Odoo Items'!$J$5:$J$4331,A145,'Odoo Items'!$C$5:$C$4331,"&lt;="&amp;Cover!$C$15),2)</f>
        <v>2046.6</v>
      </c>
      <c r="AA145">
        <f>COUNTIFS('Bank Lines'!$G$5:$G$1640,A145,'Bank Lines'!$J$5:$J$1640,1,'Bank Lines'!$C$5:$C$1640,"&lt;="&amp;Cover!$C$15)</f>
        <v>1</v>
      </c>
      <c r="AB145">
        <f>COUNTIFS('Odoo Items'!$J$5:$J$4331,A145,'Odoo Items'!$C$5:$C$4331,"&lt;="&amp;Cover!$C$15)</f>
        <v>6</v>
      </c>
      <c r="AC145" t="str">
        <f>IF(AND(AA145=0,AB145=0),"",IF(AA145=0,"ODOO-ONLY",IF(AB145=0,"BANK-ONLY","BOTH")))</f>
        <v>BOTH</v>
      </c>
      <c r="AD145" s="9">
        <f>IF(AC145="BOTH",ROUND(Y145-Z145,2),0)</f>
        <v>0</v>
      </c>
    </row>
    <row r="146">
      <c r="A146" t="inlineStr">
        <is>
          <t>G00142</t>
        </is>
      </c>
      <c r="B146" t="inlineStr">
        <is>
          <t>OPS</t>
        </is>
      </c>
      <c r="C146" t="inlineStr">
        <is>
          <t>R03</t>
        </is>
      </c>
      <c r="D146" t="inlineStr">
        <is>
          <t>MATCH</t>
        </is>
      </c>
      <c r="E146" t="inlineStr">
        <is>
          <t>Bluegum Plan Management</t>
        </is>
      </c>
      <c r="F146" t="n">
        <v>1</v>
      </c>
      <c r="G146" t="inlineStr">
        <is>
          <t>3 invoices</t>
        </is>
      </c>
      <c r="H146">
        <f>COUNTIFS('Bank Lines'!$G$5:$G$1640,A146,'Bank Lines'!$J$5:$J$1640,1)</f>
        <v>1</v>
      </c>
      <c r="I146">
        <f>COUNTIFS('Odoo Items'!$J$5:$J$4331,A146)</f>
        <v>3</v>
      </c>
      <c r="J146" s="9">
        <f>ROUND(SUMIFS('Bank Lines'!$E$5:$E$1640,'Bank Lines'!$G$5:$G$1640,A146,'Bank Lines'!$J$5:$J$1640,1),2)</f>
        <v>708.96</v>
      </c>
      <c r="K146" s="9">
        <f>ROUND(SUMIFS('Odoo Items'!$G$5:$G$4331,'Odoo Items'!$J$5:$J$4331,A146),2)</f>
        <v>708.96</v>
      </c>
      <c r="L146" s="9">
        <f>ROUND(J146-K146,2)</f>
        <v>0</v>
      </c>
      <c r="M146" s="9">
        <f>ROUND(SUMIFS('Bank Lines'!$E$5:$E$1640,'Bank Lines'!$G$5:$G$1640,A146,'Bank Lines'!$J$5:$J$1640,1,'Bank Lines'!$C$5:$C$1640,"&lt;="&amp;Cover!$C$13),2)</f>
        <v>708.96</v>
      </c>
      <c r="N146" s="9">
        <f>ROUND(SUMIFS('Odoo Items'!$G$5:$G$4331,'Odoo Items'!$J$5:$J$4331,A146,'Odoo Items'!$C$5:$C$4331,"&lt;="&amp;Cover!$C$13),2)</f>
        <v>708.96</v>
      </c>
      <c r="O146">
        <f>COUNTIFS('Bank Lines'!$G$5:$G$1640,A146,'Bank Lines'!$J$5:$J$1640,1,'Bank Lines'!$C$5:$C$1640,"&lt;="&amp;Cover!$C$13)</f>
        <v>1</v>
      </c>
      <c r="P146">
        <f>COUNTIFS('Odoo Items'!$J$5:$J$4331,A146,'Odoo Items'!$C$5:$C$4331,"&lt;="&amp;Cover!$C$13)</f>
        <v>3</v>
      </c>
      <c r="Q146" t="str">
        <f>IF(AND(O146=0,P146=0),"",IF(O146=0,"ODOO-ONLY",IF(P146=0,"BANK-ONLY","BOTH")))</f>
        <v>BOTH</v>
      </c>
      <c r="R146" s="9">
        <f>IF(Q146="BOTH",ROUND(M146-N146,2),0)</f>
        <v>0</v>
      </c>
      <c r="S146" s="9">
        <f>ROUND(SUMIFS('Bank Lines'!$E$5:$E$1640,'Bank Lines'!$G$5:$G$1640,A146,'Bank Lines'!$J$5:$J$1640,1,'Bank Lines'!$C$5:$C$1640,"&lt;="&amp;Cover!$C$14),2)</f>
        <v>708.96</v>
      </c>
      <c r="T146" s="9">
        <f>ROUND(SUMIFS('Odoo Items'!$G$5:$G$4331,'Odoo Items'!$J$5:$J$4331,A146,'Odoo Items'!$C$5:$C$4331,"&lt;="&amp;Cover!$C$14),2)</f>
        <v>708.96</v>
      </c>
      <c r="U146">
        <f>COUNTIFS('Bank Lines'!$G$5:$G$1640,A146,'Bank Lines'!$J$5:$J$1640,1,'Bank Lines'!$C$5:$C$1640,"&lt;="&amp;Cover!$C$14)</f>
        <v>1</v>
      </c>
      <c r="V146">
        <f>COUNTIFS('Odoo Items'!$J$5:$J$4331,A146,'Odoo Items'!$C$5:$C$4331,"&lt;="&amp;Cover!$C$14)</f>
        <v>3</v>
      </c>
      <c r="W146" t="str">
        <f>IF(AND(U146=0,V146=0),"",IF(U146=0,"ODOO-ONLY",IF(V146=0,"BANK-ONLY","BOTH")))</f>
        <v>BOTH</v>
      </c>
      <c r="X146" s="9">
        <f>IF(W146="BOTH",ROUND(S146-T146,2),0)</f>
        <v>0</v>
      </c>
      <c r="Y146" s="9">
        <f>ROUND(SUMIFS('Bank Lines'!$E$5:$E$1640,'Bank Lines'!$G$5:$G$1640,A146,'Bank Lines'!$J$5:$J$1640,1,'Bank Lines'!$C$5:$C$1640,"&lt;="&amp;Cover!$C$15),2)</f>
        <v>708.96</v>
      </c>
      <c r="Z146" s="9">
        <f>ROUND(SUMIFS('Odoo Items'!$G$5:$G$4331,'Odoo Items'!$J$5:$J$4331,A146,'Odoo Items'!$C$5:$C$4331,"&lt;="&amp;Cover!$C$15),2)</f>
        <v>708.96</v>
      </c>
      <c r="AA146">
        <f>COUNTIFS('Bank Lines'!$G$5:$G$1640,A146,'Bank Lines'!$J$5:$J$1640,1,'Bank Lines'!$C$5:$C$1640,"&lt;="&amp;Cover!$C$15)</f>
        <v>1</v>
      </c>
      <c r="AB146">
        <f>COUNTIFS('Odoo Items'!$J$5:$J$4331,A146,'Odoo Items'!$C$5:$C$4331,"&lt;="&amp;Cover!$C$15)</f>
        <v>3</v>
      </c>
      <c r="AC146" t="str">
        <f>IF(AND(AA146=0,AB146=0),"",IF(AA146=0,"ODOO-ONLY",IF(AB146=0,"BANK-ONLY","BOTH")))</f>
        <v>BOTH</v>
      </c>
      <c r="AD146" s="9">
        <f>IF(AC146="BOTH",ROUND(Y146-Z146,2),0)</f>
        <v>0</v>
      </c>
    </row>
    <row r="147">
      <c r="A147" t="inlineStr">
        <is>
          <t>G00143</t>
        </is>
      </c>
      <c r="B147" t="inlineStr">
        <is>
          <t>OPS</t>
        </is>
      </c>
      <c r="C147" t="inlineStr">
        <is>
          <t>R03</t>
        </is>
      </c>
      <c r="D147" t="inlineStr">
        <is>
          <t>MATCH</t>
        </is>
      </c>
      <c r="E147" t="inlineStr">
        <is>
          <t>Banksia Plan Co</t>
        </is>
      </c>
      <c r="F147" t="n">
        <v>0.929</v>
      </c>
      <c r="G147" t="inlineStr">
        <is>
          <t>2 invoices</t>
        </is>
      </c>
      <c r="H147">
        <f>COUNTIFS('Bank Lines'!$G$5:$G$1640,A147,'Bank Lines'!$J$5:$J$1640,1)</f>
        <v>1</v>
      </c>
      <c r="I147">
        <f>COUNTIFS('Odoo Items'!$J$5:$J$4331,A147)</f>
        <v>2</v>
      </c>
      <c r="J147" s="9">
        <f>ROUND(SUMIFS('Bank Lines'!$E$5:$E$1640,'Bank Lines'!$G$5:$G$1640,A147,'Bank Lines'!$J$5:$J$1640,1),2)</f>
        <v>573.17</v>
      </c>
      <c r="K147" s="9">
        <f>ROUND(SUMIFS('Odoo Items'!$G$5:$G$4331,'Odoo Items'!$J$5:$J$4331,A147),2)</f>
        <v>573.17</v>
      </c>
      <c r="L147" s="9">
        <f>ROUND(J147-K147,2)</f>
        <v>0</v>
      </c>
      <c r="M147" s="9">
        <f>ROUND(SUMIFS('Bank Lines'!$E$5:$E$1640,'Bank Lines'!$G$5:$G$1640,A147,'Bank Lines'!$J$5:$J$1640,1,'Bank Lines'!$C$5:$C$1640,"&lt;="&amp;Cover!$C$13),2)</f>
        <v>573.17</v>
      </c>
      <c r="N147" s="9">
        <f>ROUND(SUMIFS('Odoo Items'!$G$5:$G$4331,'Odoo Items'!$J$5:$J$4331,A147,'Odoo Items'!$C$5:$C$4331,"&lt;="&amp;Cover!$C$13),2)</f>
        <v>573.17</v>
      </c>
      <c r="O147">
        <f>COUNTIFS('Bank Lines'!$G$5:$G$1640,A147,'Bank Lines'!$J$5:$J$1640,1,'Bank Lines'!$C$5:$C$1640,"&lt;="&amp;Cover!$C$13)</f>
        <v>1</v>
      </c>
      <c r="P147">
        <f>COUNTIFS('Odoo Items'!$J$5:$J$4331,A147,'Odoo Items'!$C$5:$C$4331,"&lt;="&amp;Cover!$C$13)</f>
        <v>2</v>
      </c>
      <c r="Q147" t="str">
        <f>IF(AND(O147=0,P147=0),"",IF(O147=0,"ODOO-ONLY",IF(P147=0,"BANK-ONLY","BOTH")))</f>
        <v>BOTH</v>
      </c>
      <c r="R147" s="9">
        <f>IF(Q147="BOTH",ROUND(M147-N147,2),0)</f>
        <v>0</v>
      </c>
      <c r="S147" s="9">
        <f>ROUND(SUMIFS('Bank Lines'!$E$5:$E$1640,'Bank Lines'!$G$5:$G$1640,A147,'Bank Lines'!$J$5:$J$1640,1,'Bank Lines'!$C$5:$C$1640,"&lt;="&amp;Cover!$C$14),2)</f>
        <v>573.17</v>
      </c>
      <c r="T147" s="9">
        <f>ROUND(SUMIFS('Odoo Items'!$G$5:$G$4331,'Odoo Items'!$J$5:$J$4331,A147,'Odoo Items'!$C$5:$C$4331,"&lt;="&amp;Cover!$C$14),2)</f>
        <v>573.17</v>
      </c>
      <c r="U147">
        <f>COUNTIFS('Bank Lines'!$G$5:$G$1640,A147,'Bank Lines'!$J$5:$J$1640,1,'Bank Lines'!$C$5:$C$1640,"&lt;="&amp;Cover!$C$14)</f>
        <v>1</v>
      </c>
      <c r="V147">
        <f>COUNTIFS('Odoo Items'!$J$5:$J$4331,A147,'Odoo Items'!$C$5:$C$4331,"&lt;="&amp;Cover!$C$14)</f>
        <v>2</v>
      </c>
      <c r="W147" t="str">
        <f>IF(AND(U147=0,V147=0),"",IF(U147=0,"ODOO-ONLY",IF(V147=0,"BANK-ONLY","BOTH")))</f>
        <v>BOTH</v>
      </c>
      <c r="X147" s="9">
        <f>IF(W147="BOTH",ROUND(S147-T147,2),0)</f>
        <v>0</v>
      </c>
      <c r="Y147" s="9">
        <f>ROUND(SUMIFS('Bank Lines'!$E$5:$E$1640,'Bank Lines'!$G$5:$G$1640,A147,'Bank Lines'!$J$5:$J$1640,1,'Bank Lines'!$C$5:$C$1640,"&lt;="&amp;Cover!$C$15),2)</f>
        <v>573.17</v>
      </c>
      <c r="Z147" s="9">
        <f>ROUND(SUMIFS('Odoo Items'!$G$5:$G$4331,'Odoo Items'!$J$5:$J$4331,A147,'Odoo Items'!$C$5:$C$4331,"&lt;="&amp;Cover!$C$15),2)</f>
        <v>573.17</v>
      </c>
      <c r="AA147">
        <f>COUNTIFS('Bank Lines'!$G$5:$G$1640,A147,'Bank Lines'!$J$5:$J$1640,1,'Bank Lines'!$C$5:$C$1640,"&lt;="&amp;Cover!$C$15)</f>
        <v>1</v>
      </c>
      <c r="AB147">
        <f>COUNTIFS('Odoo Items'!$J$5:$J$4331,A147,'Odoo Items'!$C$5:$C$4331,"&lt;="&amp;Cover!$C$15)</f>
        <v>2</v>
      </c>
      <c r="AC147" t="str">
        <f>IF(AND(AA147=0,AB147=0),"",IF(AA147=0,"ODOO-ONLY",IF(AB147=0,"BANK-ONLY","BOTH")))</f>
        <v>BOTH</v>
      </c>
      <c r="AD147" s="9">
        <f>IF(AC147="BOTH",ROUND(Y147-Z147,2),0)</f>
        <v>0</v>
      </c>
    </row>
    <row r="148">
      <c r="A148" t="inlineStr">
        <is>
          <t>G00144</t>
        </is>
      </c>
      <c r="B148" t="inlineStr">
        <is>
          <t>OPS</t>
        </is>
      </c>
      <c r="C148" t="inlineStr">
        <is>
          <t>R03</t>
        </is>
      </c>
      <c r="D148" t="inlineStr">
        <is>
          <t>MATCH</t>
        </is>
      </c>
      <c r="E148" t="inlineStr">
        <is>
          <t>Ironbark Plan Management</t>
        </is>
      </c>
      <c r="F148" t="n">
        <v>1</v>
      </c>
      <c r="G148" t="inlineStr">
        <is>
          <t>12 invoices</t>
        </is>
      </c>
      <c r="H148">
        <f>COUNTIFS('Bank Lines'!$G$5:$G$1640,A148,'Bank Lines'!$J$5:$J$1640,1)</f>
        <v>1</v>
      </c>
      <c r="I148">
        <f>COUNTIFS('Odoo Items'!$J$5:$J$4331,A148)</f>
        <v>12</v>
      </c>
      <c r="J148" s="9">
        <f>ROUND(SUMIFS('Bank Lines'!$E$5:$E$1640,'Bank Lines'!$G$5:$G$1640,A148,'Bank Lines'!$J$5:$J$1640,1),2)</f>
        <v>3358.73</v>
      </c>
      <c r="K148" s="9">
        <f>ROUND(SUMIFS('Odoo Items'!$G$5:$G$4331,'Odoo Items'!$J$5:$J$4331,A148),2)</f>
        <v>3358.73</v>
      </c>
      <c r="L148" s="9">
        <f>ROUND(J148-K148,2)</f>
        <v>0</v>
      </c>
      <c r="M148" s="9">
        <f>ROUND(SUMIFS('Bank Lines'!$E$5:$E$1640,'Bank Lines'!$G$5:$G$1640,A148,'Bank Lines'!$J$5:$J$1640,1,'Bank Lines'!$C$5:$C$1640,"&lt;="&amp;Cover!$C$13),2)</f>
        <v>3358.73</v>
      </c>
      <c r="N148" s="9">
        <f>ROUND(SUMIFS('Odoo Items'!$G$5:$G$4331,'Odoo Items'!$J$5:$J$4331,A148,'Odoo Items'!$C$5:$C$4331,"&lt;="&amp;Cover!$C$13),2)</f>
        <v>3358.73</v>
      </c>
      <c r="O148">
        <f>COUNTIFS('Bank Lines'!$G$5:$G$1640,A148,'Bank Lines'!$J$5:$J$1640,1,'Bank Lines'!$C$5:$C$1640,"&lt;="&amp;Cover!$C$13)</f>
        <v>1</v>
      </c>
      <c r="P148">
        <f>COUNTIFS('Odoo Items'!$J$5:$J$4331,A148,'Odoo Items'!$C$5:$C$4331,"&lt;="&amp;Cover!$C$13)</f>
        <v>12</v>
      </c>
      <c r="Q148" t="str">
        <f>IF(AND(O148=0,P148=0),"",IF(O148=0,"ODOO-ONLY",IF(P148=0,"BANK-ONLY","BOTH")))</f>
        <v>BOTH</v>
      </c>
      <c r="R148" s="9">
        <f>IF(Q148="BOTH",ROUND(M148-N148,2),0)</f>
        <v>0</v>
      </c>
      <c r="S148" s="9">
        <f>ROUND(SUMIFS('Bank Lines'!$E$5:$E$1640,'Bank Lines'!$G$5:$G$1640,A148,'Bank Lines'!$J$5:$J$1640,1,'Bank Lines'!$C$5:$C$1640,"&lt;="&amp;Cover!$C$14),2)</f>
        <v>3358.73</v>
      </c>
      <c r="T148" s="9">
        <f>ROUND(SUMIFS('Odoo Items'!$G$5:$G$4331,'Odoo Items'!$J$5:$J$4331,A148,'Odoo Items'!$C$5:$C$4331,"&lt;="&amp;Cover!$C$14),2)</f>
        <v>3358.73</v>
      </c>
      <c r="U148">
        <f>COUNTIFS('Bank Lines'!$G$5:$G$1640,A148,'Bank Lines'!$J$5:$J$1640,1,'Bank Lines'!$C$5:$C$1640,"&lt;="&amp;Cover!$C$14)</f>
        <v>1</v>
      </c>
      <c r="V148">
        <f>COUNTIFS('Odoo Items'!$J$5:$J$4331,A148,'Odoo Items'!$C$5:$C$4331,"&lt;="&amp;Cover!$C$14)</f>
        <v>12</v>
      </c>
      <c r="W148" t="str">
        <f>IF(AND(U148=0,V148=0),"",IF(U148=0,"ODOO-ONLY",IF(V148=0,"BANK-ONLY","BOTH")))</f>
        <v>BOTH</v>
      </c>
      <c r="X148" s="9">
        <f>IF(W148="BOTH",ROUND(S148-T148,2),0)</f>
        <v>0</v>
      </c>
      <c r="Y148" s="9">
        <f>ROUND(SUMIFS('Bank Lines'!$E$5:$E$1640,'Bank Lines'!$G$5:$G$1640,A148,'Bank Lines'!$J$5:$J$1640,1,'Bank Lines'!$C$5:$C$1640,"&lt;="&amp;Cover!$C$15),2)</f>
        <v>3358.73</v>
      </c>
      <c r="Z148" s="9">
        <f>ROUND(SUMIFS('Odoo Items'!$G$5:$G$4331,'Odoo Items'!$J$5:$J$4331,A148,'Odoo Items'!$C$5:$C$4331,"&lt;="&amp;Cover!$C$15),2)</f>
        <v>3358.73</v>
      </c>
      <c r="AA148">
        <f>COUNTIFS('Bank Lines'!$G$5:$G$1640,A148,'Bank Lines'!$J$5:$J$1640,1,'Bank Lines'!$C$5:$C$1640,"&lt;="&amp;Cover!$C$15)</f>
        <v>1</v>
      </c>
      <c r="AB148">
        <f>COUNTIFS('Odoo Items'!$J$5:$J$4331,A148,'Odoo Items'!$C$5:$C$4331,"&lt;="&amp;Cover!$C$15)</f>
        <v>12</v>
      </c>
      <c r="AC148" t="str">
        <f>IF(AND(AA148=0,AB148=0),"",IF(AA148=0,"ODOO-ONLY",IF(AB148=0,"BANK-ONLY","BOTH")))</f>
        <v>BOTH</v>
      </c>
      <c r="AD148" s="9">
        <f>IF(AC148="BOTH",ROUND(Y148-Z148,2),0)</f>
        <v>0</v>
      </c>
    </row>
    <row r="149">
      <c r="A149" t="inlineStr">
        <is>
          <t>G00145</t>
        </is>
      </c>
      <c r="B149" t="inlineStr">
        <is>
          <t>OPS</t>
        </is>
      </c>
      <c r="C149" t="inlineStr">
        <is>
          <t>R03</t>
        </is>
      </c>
      <c r="D149" t="inlineStr">
        <is>
          <t>MATCH</t>
        </is>
      </c>
      <c r="E149" t="inlineStr">
        <is>
          <t>Kookaburra Plan Support</t>
        </is>
      </c>
      <c r="F149" t="n">
        <v>1</v>
      </c>
      <c r="G149" t="inlineStr">
        <is>
          <t>4 invoices</t>
        </is>
      </c>
      <c r="H149">
        <f>COUNTIFS('Bank Lines'!$G$5:$G$1640,A149,'Bank Lines'!$J$5:$J$1640,1)</f>
        <v>1</v>
      </c>
      <c r="I149">
        <f>COUNTIFS('Odoo Items'!$J$5:$J$4331,A149)</f>
        <v>4</v>
      </c>
      <c r="J149" s="9">
        <f>ROUND(SUMIFS('Bank Lines'!$E$5:$E$1640,'Bank Lines'!$G$5:$G$1640,A149,'Bank Lines'!$J$5:$J$1640,1),2)</f>
        <v>1319.13</v>
      </c>
      <c r="K149" s="9">
        <f>ROUND(SUMIFS('Odoo Items'!$G$5:$G$4331,'Odoo Items'!$J$5:$J$4331,A149),2)</f>
        <v>1319.13</v>
      </c>
      <c r="L149" s="9">
        <f>ROUND(J149-K149,2)</f>
        <v>0</v>
      </c>
      <c r="M149" s="9">
        <f>ROUND(SUMIFS('Bank Lines'!$E$5:$E$1640,'Bank Lines'!$G$5:$G$1640,A149,'Bank Lines'!$J$5:$J$1640,1,'Bank Lines'!$C$5:$C$1640,"&lt;="&amp;Cover!$C$13),2)</f>
        <v>1319.13</v>
      </c>
      <c r="N149" s="9">
        <f>ROUND(SUMIFS('Odoo Items'!$G$5:$G$4331,'Odoo Items'!$J$5:$J$4331,A149,'Odoo Items'!$C$5:$C$4331,"&lt;="&amp;Cover!$C$13),2)</f>
        <v>1319.13</v>
      </c>
      <c r="O149">
        <f>COUNTIFS('Bank Lines'!$G$5:$G$1640,A149,'Bank Lines'!$J$5:$J$1640,1,'Bank Lines'!$C$5:$C$1640,"&lt;="&amp;Cover!$C$13)</f>
        <v>1</v>
      </c>
      <c r="P149">
        <f>COUNTIFS('Odoo Items'!$J$5:$J$4331,A149,'Odoo Items'!$C$5:$C$4331,"&lt;="&amp;Cover!$C$13)</f>
        <v>4</v>
      </c>
      <c r="Q149" t="str">
        <f>IF(AND(O149=0,P149=0),"",IF(O149=0,"ODOO-ONLY",IF(P149=0,"BANK-ONLY","BOTH")))</f>
        <v>BOTH</v>
      </c>
      <c r="R149" s="9">
        <f>IF(Q149="BOTH",ROUND(M149-N149,2),0)</f>
        <v>0</v>
      </c>
      <c r="S149" s="9">
        <f>ROUND(SUMIFS('Bank Lines'!$E$5:$E$1640,'Bank Lines'!$G$5:$G$1640,A149,'Bank Lines'!$J$5:$J$1640,1,'Bank Lines'!$C$5:$C$1640,"&lt;="&amp;Cover!$C$14),2)</f>
        <v>1319.13</v>
      </c>
      <c r="T149" s="9">
        <f>ROUND(SUMIFS('Odoo Items'!$G$5:$G$4331,'Odoo Items'!$J$5:$J$4331,A149,'Odoo Items'!$C$5:$C$4331,"&lt;="&amp;Cover!$C$14),2)</f>
        <v>1319.13</v>
      </c>
      <c r="U149">
        <f>COUNTIFS('Bank Lines'!$G$5:$G$1640,A149,'Bank Lines'!$J$5:$J$1640,1,'Bank Lines'!$C$5:$C$1640,"&lt;="&amp;Cover!$C$14)</f>
        <v>1</v>
      </c>
      <c r="V149">
        <f>COUNTIFS('Odoo Items'!$J$5:$J$4331,A149,'Odoo Items'!$C$5:$C$4331,"&lt;="&amp;Cover!$C$14)</f>
        <v>4</v>
      </c>
      <c r="W149" t="str">
        <f>IF(AND(U149=0,V149=0),"",IF(U149=0,"ODOO-ONLY",IF(V149=0,"BANK-ONLY","BOTH")))</f>
        <v>BOTH</v>
      </c>
      <c r="X149" s="9">
        <f>IF(W149="BOTH",ROUND(S149-T149,2),0)</f>
        <v>0</v>
      </c>
      <c r="Y149" s="9">
        <f>ROUND(SUMIFS('Bank Lines'!$E$5:$E$1640,'Bank Lines'!$G$5:$G$1640,A149,'Bank Lines'!$J$5:$J$1640,1,'Bank Lines'!$C$5:$C$1640,"&lt;="&amp;Cover!$C$15),2)</f>
        <v>1319.13</v>
      </c>
      <c r="Z149" s="9">
        <f>ROUND(SUMIFS('Odoo Items'!$G$5:$G$4331,'Odoo Items'!$J$5:$J$4331,A149,'Odoo Items'!$C$5:$C$4331,"&lt;="&amp;Cover!$C$15),2)</f>
        <v>1319.13</v>
      </c>
      <c r="AA149">
        <f>COUNTIFS('Bank Lines'!$G$5:$G$1640,A149,'Bank Lines'!$J$5:$J$1640,1,'Bank Lines'!$C$5:$C$1640,"&lt;="&amp;Cover!$C$15)</f>
        <v>1</v>
      </c>
      <c r="AB149">
        <f>COUNTIFS('Odoo Items'!$J$5:$J$4331,A149,'Odoo Items'!$C$5:$C$4331,"&lt;="&amp;Cover!$C$15)</f>
        <v>4</v>
      </c>
      <c r="AC149" t="str">
        <f>IF(AND(AA149=0,AB149=0),"",IF(AA149=0,"ODOO-ONLY",IF(AB149=0,"BANK-ONLY","BOTH")))</f>
        <v>BOTH</v>
      </c>
      <c r="AD149" s="9">
        <f>IF(AC149="BOTH",ROUND(Y149-Z149,2),0)</f>
        <v>0</v>
      </c>
    </row>
    <row r="150">
      <c r="A150" t="inlineStr">
        <is>
          <t>G00146</t>
        </is>
      </c>
      <c r="B150" t="inlineStr">
        <is>
          <t>OPS</t>
        </is>
      </c>
      <c r="C150" t="inlineStr">
        <is>
          <t>R03</t>
        </is>
      </c>
      <c r="D150" t="inlineStr">
        <is>
          <t>MATCH</t>
        </is>
      </c>
      <c r="E150" t="inlineStr">
        <is>
          <t>Saltbush Plan Managers</t>
        </is>
      </c>
      <c r="F150" t="n">
        <v>1</v>
      </c>
      <c r="G150" t="inlineStr">
        <is>
          <t>12 invoices</t>
        </is>
      </c>
      <c r="H150">
        <f>COUNTIFS('Bank Lines'!$G$5:$G$1640,A150,'Bank Lines'!$J$5:$J$1640,1)</f>
        <v>1</v>
      </c>
      <c r="I150">
        <f>COUNTIFS('Odoo Items'!$J$5:$J$4331,A150)</f>
        <v>12</v>
      </c>
      <c r="J150" s="9">
        <f>ROUND(SUMIFS('Bank Lines'!$E$5:$E$1640,'Bank Lines'!$G$5:$G$1640,A150,'Bank Lines'!$J$5:$J$1640,1),2)</f>
        <v>3173.52</v>
      </c>
      <c r="K150" s="9">
        <f>ROUND(SUMIFS('Odoo Items'!$G$5:$G$4331,'Odoo Items'!$J$5:$J$4331,A150),2)</f>
        <v>3173.52</v>
      </c>
      <c r="L150" s="9">
        <f>ROUND(J150-K150,2)</f>
        <v>0</v>
      </c>
      <c r="M150" s="9">
        <f>ROUND(SUMIFS('Bank Lines'!$E$5:$E$1640,'Bank Lines'!$G$5:$G$1640,A150,'Bank Lines'!$J$5:$J$1640,1,'Bank Lines'!$C$5:$C$1640,"&lt;="&amp;Cover!$C$13),2)</f>
        <v>3173.52</v>
      </c>
      <c r="N150" s="9">
        <f>ROUND(SUMIFS('Odoo Items'!$G$5:$G$4331,'Odoo Items'!$J$5:$J$4331,A150,'Odoo Items'!$C$5:$C$4331,"&lt;="&amp;Cover!$C$13),2)</f>
        <v>3173.52</v>
      </c>
      <c r="O150">
        <f>COUNTIFS('Bank Lines'!$G$5:$G$1640,A150,'Bank Lines'!$J$5:$J$1640,1,'Bank Lines'!$C$5:$C$1640,"&lt;="&amp;Cover!$C$13)</f>
        <v>1</v>
      </c>
      <c r="P150">
        <f>COUNTIFS('Odoo Items'!$J$5:$J$4331,A150,'Odoo Items'!$C$5:$C$4331,"&lt;="&amp;Cover!$C$13)</f>
        <v>12</v>
      </c>
      <c r="Q150" t="str">
        <f>IF(AND(O150=0,P150=0),"",IF(O150=0,"ODOO-ONLY",IF(P150=0,"BANK-ONLY","BOTH")))</f>
        <v>BOTH</v>
      </c>
      <c r="R150" s="9">
        <f>IF(Q150="BOTH",ROUND(M150-N150,2),0)</f>
        <v>0</v>
      </c>
      <c r="S150" s="9">
        <f>ROUND(SUMIFS('Bank Lines'!$E$5:$E$1640,'Bank Lines'!$G$5:$G$1640,A150,'Bank Lines'!$J$5:$J$1640,1,'Bank Lines'!$C$5:$C$1640,"&lt;="&amp;Cover!$C$14),2)</f>
        <v>3173.52</v>
      </c>
      <c r="T150" s="9">
        <f>ROUND(SUMIFS('Odoo Items'!$G$5:$G$4331,'Odoo Items'!$J$5:$J$4331,A150,'Odoo Items'!$C$5:$C$4331,"&lt;="&amp;Cover!$C$14),2)</f>
        <v>3173.52</v>
      </c>
      <c r="U150">
        <f>COUNTIFS('Bank Lines'!$G$5:$G$1640,A150,'Bank Lines'!$J$5:$J$1640,1,'Bank Lines'!$C$5:$C$1640,"&lt;="&amp;Cover!$C$14)</f>
        <v>1</v>
      </c>
      <c r="V150">
        <f>COUNTIFS('Odoo Items'!$J$5:$J$4331,A150,'Odoo Items'!$C$5:$C$4331,"&lt;="&amp;Cover!$C$14)</f>
        <v>12</v>
      </c>
      <c r="W150" t="str">
        <f>IF(AND(U150=0,V150=0),"",IF(U150=0,"ODOO-ONLY",IF(V150=0,"BANK-ONLY","BOTH")))</f>
        <v>BOTH</v>
      </c>
      <c r="X150" s="9">
        <f>IF(W150="BOTH",ROUND(S150-T150,2),0)</f>
        <v>0</v>
      </c>
      <c r="Y150" s="9">
        <f>ROUND(SUMIFS('Bank Lines'!$E$5:$E$1640,'Bank Lines'!$G$5:$G$1640,A150,'Bank Lines'!$J$5:$J$1640,1,'Bank Lines'!$C$5:$C$1640,"&lt;="&amp;Cover!$C$15),2)</f>
        <v>3173.52</v>
      </c>
      <c r="Z150" s="9">
        <f>ROUND(SUMIFS('Odoo Items'!$G$5:$G$4331,'Odoo Items'!$J$5:$J$4331,A150,'Odoo Items'!$C$5:$C$4331,"&lt;="&amp;Cover!$C$15),2)</f>
        <v>3173.52</v>
      </c>
      <c r="AA150">
        <f>COUNTIFS('Bank Lines'!$G$5:$G$1640,A150,'Bank Lines'!$J$5:$J$1640,1,'Bank Lines'!$C$5:$C$1640,"&lt;="&amp;Cover!$C$15)</f>
        <v>1</v>
      </c>
      <c r="AB150">
        <f>COUNTIFS('Odoo Items'!$J$5:$J$4331,A150,'Odoo Items'!$C$5:$C$4331,"&lt;="&amp;Cover!$C$15)</f>
        <v>12</v>
      </c>
      <c r="AC150" t="str">
        <f>IF(AND(AA150=0,AB150=0),"",IF(AA150=0,"ODOO-ONLY",IF(AB150=0,"BANK-ONLY","BOTH")))</f>
        <v>BOTH</v>
      </c>
      <c r="AD150" s="9">
        <f>IF(AC150="BOTH",ROUND(Y150-Z150,2),0)</f>
        <v>0</v>
      </c>
    </row>
    <row r="151">
      <c r="A151" t="inlineStr">
        <is>
          <t>G00147</t>
        </is>
      </c>
      <c r="B151" t="inlineStr">
        <is>
          <t>OPS</t>
        </is>
      </c>
      <c r="C151" t="inlineStr">
        <is>
          <t>R03</t>
        </is>
      </c>
      <c r="D151" t="inlineStr">
        <is>
          <t>MATCH</t>
        </is>
      </c>
      <c r="E151" t="inlineStr">
        <is>
          <t>Lyrebird Plan Management</t>
        </is>
      </c>
      <c r="F151" t="n">
        <v>1</v>
      </c>
      <c r="G151" t="inlineStr">
        <is>
          <t>2 invoices</t>
        </is>
      </c>
      <c r="H151">
        <f>COUNTIFS('Bank Lines'!$G$5:$G$1640,A151,'Bank Lines'!$J$5:$J$1640,1)</f>
        <v>1</v>
      </c>
      <c r="I151">
        <f>COUNTIFS('Odoo Items'!$J$5:$J$4331,A151)</f>
        <v>2</v>
      </c>
      <c r="J151" s="9">
        <f>ROUND(SUMIFS('Bank Lines'!$E$5:$E$1640,'Bank Lines'!$G$5:$G$1640,A151,'Bank Lines'!$J$5:$J$1640,1),2)</f>
        <v>805.96</v>
      </c>
      <c r="K151" s="9">
        <f>ROUND(SUMIFS('Odoo Items'!$G$5:$G$4331,'Odoo Items'!$J$5:$J$4331,A151),2)</f>
        <v>805.96</v>
      </c>
      <c r="L151" s="9">
        <f>ROUND(J151-K151,2)</f>
        <v>0</v>
      </c>
      <c r="M151" s="9">
        <f>ROUND(SUMIFS('Bank Lines'!$E$5:$E$1640,'Bank Lines'!$G$5:$G$1640,A151,'Bank Lines'!$J$5:$J$1640,1,'Bank Lines'!$C$5:$C$1640,"&lt;="&amp;Cover!$C$13),2)</f>
        <v>805.96</v>
      </c>
      <c r="N151" s="9">
        <f>ROUND(SUMIFS('Odoo Items'!$G$5:$G$4331,'Odoo Items'!$J$5:$J$4331,A151,'Odoo Items'!$C$5:$C$4331,"&lt;="&amp;Cover!$C$13),2)</f>
        <v>805.96</v>
      </c>
      <c r="O151">
        <f>COUNTIFS('Bank Lines'!$G$5:$G$1640,A151,'Bank Lines'!$J$5:$J$1640,1,'Bank Lines'!$C$5:$C$1640,"&lt;="&amp;Cover!$C$13)</f>
        <v>1</v>
      </c>
      <c r="P151">
        <f>COUNTIFS('Odoo Items'!$J$5:$J$4331,A151,'Odoo Items'!$C$5:$C$4331,"&lt;="&amp;Cover!$C$13)</f>
        <v>2</v>
      </c>
      <c r="Q151" t="str">
        <f>IF(AND(O151=0,P151=0),"",IF(O151=0,"ODOO-ONLY",IF(P151=0,"BANK-ONLY","BOTH")))</f>
        <v>BOTH</v>
      </c>
      <c r="R151" s="9">
        <f>IF(Q151="BOTH",ROUND(M151-N151,2),0)</f>
        <v>0</v>
      </c>
      <c r="S151" s="9">
        <f>ROUND(SUMIFS('Bank Lines'!$E$5:$E$1640,'Bank Lines'!$G$5:$G$1640,A151,'Bank Lines'!$J$5:$J$1640,1,'Bank Lines'!$C$5:$C$1640,"&lt;="&amp;Cover!$C$14),2)</f>
        <v>805.96</v>
      </c>
      <c r="T151" s="9">
        <f>ROUND(SUMIFS('Odoo Items'!$G$5:$G$4331,'Odoo Items'!$J$5:$J$4331,A151,'Odoo Items'!$C$5:$C$4331,"&lt;="&amp;Cover!$C$14),2)</f>
        <v>805.96</v>
      </c>
      <c r="U151">
        <f>COUNTIFS('Bank Lines'!$G$5:$G$1640,A151,'Bank Lines'!$J$5:$J$1640,1,'Bank Lines'!$C$5:$C$1640,"&lt;="&amp;Cover!$C$14)</f>
        <v>1</v>
      </c>
      <c r="V151">
        <f>COUNTIFS('Odoo Items'!$J$5:$J$4331,A151,'Odoo Items'!$C$5:$C$4331,"&lt;="&amp;Cover!$C$14)</f>
        <v>2</v>
      </c>
      <c r="W151" t="str">
        <f>IF(AND(U151=0,V151=0),"",IF(U151=0,"ODOO-ONLY",IF(V151=0,"BANK-ONLY","BOTH")))</f>
        <v>BOTH</v>
      </c>
      <c r="X151" s="9">
        <f>IF(W151="BOTH",ROUND(S151-T151,2),0)</f>
        <v>0</v>
      </c>
      <c r="Y151" s="9">
        <f>ROUND(SUMIFS('Bank Lines'!$E$5:$E$1640,'Bank Lines'!$G$5:$G$1640,A151,'Bank Lines'!$J$5:$J$1640,1,'Bank Lines'!$C$5:$C$1640,"&lt;="&amp;Cover!$C$15),2)</f>
        <v>805.96</v>
      </c>
      <c r="Z151" s="9">
        <f>ROUND(SUMIFS('Odoo Items'!$G$5:$G$4331,'Odoo Items'!$J$5:$J$4331,A151,'Odoo Items'!$C$5:$C$4331,"&lt;="&amp;Cover!$C$15),2)</f>
        <v>805.96</v>
      </c>
      <c r="AA151">
        <f>COUNTIFS('Bank Lines'!$G$5:$G$1640,A151,'Bank Lines'!$J$5:$J$1640,1,'Bank Lines'!$C$5:$C$1640,"&lt;="&amp;Cover!$C$15)</f>
        <v>1</v>
      </c>
      <c r="AB151">
        <f>COUNTIFS('Odoo Items'!$J$5:$J$4331,A151,'Odoo Items'!$C$5:$C$4331,"&lt;="&amp;Cover!$C$15)</f>
        <v>2</v>
      </c>
      <c r="AC151" t="str">
        <f>IF(AND(AA151=0,AB151=0),"",IF(AA151=0,"ODOO-ONLY",IF(AB151=0,"BANK-ONLY","BOTH")))</f>
        <v>BOTH</v>
      </c>
      <c r="AD151" s="9">
        <f>IF(AC151="BOTH",ROUND(Y151-Z151,2),0)</f>
        <v>0</v>
      </c>
    </row>
    <row r="152">
      <c r="A152" t="inlineStr">
        <is>
          <t>G00148</t>
        </is>
      </c>
      <c r="B152" t="inlineStr">
        <is>
          <t>OPS</t>
        </is>
      </c>
      <c r="C152" t="inlineStr">
        <is>
          <t>R03</t>
        </is>
      </c>
      <c r="D152" t="inlineStr">
        <is>
          <t>MATCH</t>
        </is>
      </c>
      <c r="E152" t="inlineStr">
        <is>
          <t>Bluegum Plan Management</t>
        </is>
      </c>
      <c r="F152" t="n">
        <v>1</v>
      </c>
      <c r="G152" t="inlineStr">
        <is>
          <t>3 invoices</t>
        </is>
      </c>
      <c r="H152">
        <f>COUNTIFS('Bank Lines'!$G$5:$G$1640,A152,'Bank Lines'!$J$5:$J$1640,1)</f>
        <v>1</v>
      </c>
      <c r="I152">
        <f>COUNTIFS('Odoo Items'!$J$5:$J$4331,A152)</f>
        <v>3</v>
      </c>
      <c r="J152" s="9">
        <f>ROUND(SUMIFS('Bank Lines'!$E$5:$E$1640,'Bank Lines'!$G$5:$G$1640,A152,'Bank Lines'!$J$5:$J$1640,1),2)</f>
        <v>466.47</v>
      </c>
      <c r="K152" s="9">
        <f>ROUND(SUMIFS('Odoo Items'!$G$5:$G$4331,'Odoo Items'!$J$5:$J$4331,A152),2)</f>
        <v>466.47</v>
      </c>
      <c r="L152" s="9">
        <f>ROUND(J152-K152,2)</f>
        <v>0</v>
      </c>
      <c r="M152" s="9">
        <f>ROUND(SUMIFS('Bank Lines'!$E$5:$E$1640,'Bank Lines'!$G$5:$G$1640,A152,'Bank Lines'!$J$5:$J$1640,1,'Bank Lines'!$C$5:$C$1640,"&lt;="&amp;Cover!$C$13),2)</f>
        <v>466.47</v>
      </c>
      <c r="N152" s="9">
        <f>ROUND(SUMIFS('Odoo Items'!$G$5:$G$4331,'Odoo Items'!$J$5:$J$4331,A152,'Odoo Items'!$C$5:$C$4331,"&lt;="&amp;Cover!$C$13),2)</f>
        <v>466.47</v>
      </c>
      <c r="O152">
        <f>COUNTIFS('Bank Lines'!$G$5:$G$1640,A152,'Bank Lines'!$J$5:$J$1640,1,'Bank Lines'!$C$5:$C$1640,"&lt;="&amp;Cover!$C$13)</f>
        <v>1</v>
      </c>
      <c r="P152">
        <f>COUNTIFS('Odoo Items'!$J$5:$J$4331,A152,'Odoo Items'!$C$5:$C$4331,"&lt;="&amp;Cover!$C$13)</f>
        <v>3</v>
      </c>
      <c r="Q152" t="str">
        <f>IF(AND(O152=0,P152=0),"",IF(O152=0,"ODOO-ONLY",IF(P152=0,"BANK-ONLY","BOTH")))</f>
        <v>BOTH</v>
      </c>
      <c r="R152" s="9">
        <f>IF(Q152="BOTH",ROUND(M152-N152,2),0)</f>
        <v>0</v>
      </c>
      <c r="S152" s="9">
        <f>ROUND(SUMIFS('Bank Lines'!$E$5:$E$1640,'Bank Lines'!$G$5:$G$1640,A152,'Bank Lines'!$J$5:$J$1640,1,'Bank Lines'!$C$5:$C$1640,"&lt;="&amp;Cover!$C$14),2)</f>
        <v>466.47</v>
      </c>
      <c r="T152" s="9">
        <f>ROUND(SUMIFS('Odoo Items'!$G$5:$G$4331,'Odoo Items'!$J$5:$J$4331,A152,'Odoo Items'!$C$5:$C$4331,"&lt;="&amp;Cover!$C$14),2)</f>
        <v>466.47</v>
      </c>
      <c r="U152">
        <f>COUNTIFS('Bank Lines'!$G$5:$G$1640,A152,'Bank Lines'!$J$5:$J$1640,1,'Bank Lines'!$C$5:$C$1640,"&lt;="&amp;Cover!$C$14)</f>
        <v>1</v>
      </c>
      <c r="V152">
        <f>COUNTIFS('Odoo Items'!$J$5:$J$4331,A152,'Odoo Items'!$C$5:$C$4331,"&lt;="&amp;Cover!$C$14)</f>
        <v>3</v>
      </c>
      <c r="W152" t="str">
        <f>IF(AND(U152=0,V152=0),"",IF(U152=0,"ODOO-ONLY",IF(V152=0,"BANK-ONLY","BOTH")))</f>
        <v>BOTH</v>
      </c>
      <c r="X152" s="9">
        <f>IF(W152="BOTH",ROUND(S152-T152,2),0)</f>
        <v>0</v>
      </c>
      <c r="Y152" s="9">
        <f>ROUND(SUMIFS('Bank Lines'!$E$5:$E$1640,'Bank Lines'!$G$5:$G$1640,A152,'Bank Lines'!$J$5:$J$1640,1,'Bank Lines'!$C$5:$C$1640,"&lt;="&amp;Cover!$C$15),2)</f>
        <v>466.47</v>
      </c>
      <c r="Z152" s="9">
        <f>ROUND(SUMIFS('Odoo Items'!$G$5:$G$4331,'Odoo Items'!$J$5:$J$4331,A152,'Odoo Items'!$C$5:$C$4331,"&lt;="&amp;Cover!$C$15),2)</f>
        <v>466.47</v>
      </c>
      <c r="AA152">
        <f>COUNTIFS('Bank Lines'!$G$5:$G$1640,A152,'Bank Lines'!$J$5:$J$1640,1,'Bank Lines'!$C$5:$C$1640,"&lt;="&amp;Cover!$C$15)</f>
        <v>1</v>
      </c>
      <c r="AB152">
        <f>COUNTIFS('Odoo Items'!$J$5:$J$4331,A152,'Odoo Items'!$C$5:$C$4331,"&lt;="&amp;Cover!$C$15)</f>
        <v>3</v>
      </c>
      <c r="AC152" t="str">
        <f>IF(AND(AA152=0,AB152=0),"",IF(AA152=0,"ODOO-ONLY",IF(AB152=0,"BANK-ONLY","BOTH")))</f>
        <v>BOTH</v>
      </c>
      <c r="AD152" s="9">
        <f>IF(AC152="BOTH",ROUND(Y152-Z152,2),0)</f>
        <v>0</v>
      </c>
    </row>
    <row r="153">
      <c r="A153" t="inlineStr">
        <is>
          <t>G00149</t>
        </is>
      </c>
      <c r="B153" t="inlineStr">
        <is>
          <t>OPS</t>
        </is>
      </c>
      <c r="C153" t="inlineStr">
        <is>
          <t>R03</t>
        </is>
      </c>
      <c r="D153" t="inlineStr">
        <is>
          <t>MATCH</t>
        </is>
      </c>
      <c r="E153" t="inlineStr">
        <is>
          <t>Riverbend Plan Partners</t>
        </is>
      </c>
      <c r="F153" t="n">
        <v>1</v>
      </c>
      <c r="G153" t="inlineStr">
        <is>
          <t>3 invoices</t>
        </is>
      </c>
      <c r="H153">
        <f>COUNTIFS('Bank Lines'!$G$5:$G$1640,A153,'Bank Lines'!$J$5:$J$1640,1)</f>
        <v>1</v>
      </c>
      <c r="I153">
        <f>COUNTIFS('Odoo Items'!$J$5:$J$4331,A153)</f>
        <v>3</v>
      </c>
      <c r="J153" s="9">
        <f>ROUND(SUMIFS('Bank Lines'!$E$5:$E$1640,'Bank Lines'!$G$5:$G$1640,A153,'Bank Lines'!$J$5:$J$1640,1),2)</f>
        <v>611.97</v>
      </c>
      <c r="K153" s="9">
        <f>ROUND(SUMIFS('Odoo Items'!$G$5:$G$4331,'Odoo Items'!$J$5:$J$4331,A153),2)</f>
        <v>611.97</v>
      </c>
      <c r="L153" s="9">
        <f>ROUND(J153-K153,2)</f>
        <v>0</v>
      </c>
      <c r="M153" s="9">
        <f>ROUND(SUMIFS('Bank Lines'!$E$5:$E$1640,'Bank Lines'!$G$5:$G$1640,A153,'Bank Lines'!$J$5:$J$1640,1,'Bank Lines'!$C$5:$C$1640,"&lt;="&amp;Cover!$C$13),2)</f>
        <v>611.97</v>
      </c>
      <c r="N153" s="9">
        <f>ROUND(SUMIFS('Odoo Items'!$G$5:$G$4331,'Odoo Items'!$J$5:$J$4331,A153,'Odoo Items'!$C$5:$C$4331,"&lt;="&amp;Cover!$C$13),2)</f>
        <v>611.97</v>
      </c>
      <c r="O153">
        <f>COUNTIFS('Bank Lines'!$G$5:$G$1640,A153,'Bank Lines'!$J$5:$J$1640,1,'Bank Lines'!$C$5:$C$1640,"&lt;="&amp;Cover!$C$13)</f>
        <v>1</v>
      </c>
      <c r="P153">
        <f>COUNTIFS('Odoo Items'!$J$5:$J$4331,A153,'Odoo Items'!$C$5:$C$4331,"&lt;="&amp;Cover!$C$13)</f>
        <v>3</v>
      </c>
      <c r="Q153" t="str">
        <f>IF(AND(O153=0,P153=0),"",IF(O153=0,"ODOO-ONLY",IF(P153=0,"BANK-ONLY","BOTH")))</f>
        <v>BOTH</v>
      </c>
      <c r="R153" s="9">
        <f>IF(Q153="BOTH",ROUND(M153-N153,2),0)</f>
        <v>0</v>
      </c>
      <c r="S153" s="9">
        <f>ROUND(SUMIFS('Bank Lines'!$E$5:$E$1640,'Bank Lines'!$G$5:$G$1640,A153,'Bank Lines'!$J$5:$J$1640,1,'Bank Lines'!$C$5:$C$1640,"&lt;="&amp;Cover!$C$14),2)</f>
        <v>611.97</v>
      </c>
      <c r="T153" s="9">
        <f>ROUND(SUMIFS('Odoo Items'!$G$5:$G$4331,'Odoo Items'!$J$5:$J$4331,A153,'Odoo Items'!$C$5:$C$4331,"&lt;="&amp;Cover!$C$14),2)</f>
        <v>611.97</v>
      </c>
      <c r="U153">
        <f>COUNTIFS('Bank Lines'!$G$5:$G$1640,A153,'Bank Lines'!$J$5:$J$1640,1,'Bank Lines'!$C$5:$C$1640,"&lt;="&amp;Cover!$C$14)</f>
        <v>1</v>
      </c>
      <c r="V153">
        <f>COUNTIFS('Odoo Items'!$J$5:$J$4331,A153,'Odoo Items'!$C$5:$C$4331,"&lt;="&amp;Cover!$C$14)</f>
        <v>3</v>
      </c>
      <c r="W153" t="str">
        <f>IF(AND(U153=0,V153=0),"",IF(U153=0,"ODOO-ONLY",IF(V153=0,"BANK-ONLY","BOTH")))</f>
        <v>BOTH</v>
      </c>
      <c r="X153" s="9">
        <f>IF(W153="BOTH",ROUND(S153-T153,2),0)</f>
        <v>0</v>
      </c>
      <c r="Y153" s="9">
        <f>ROUND(SUMIFS('Bank Lines'!$E$5:$E$1640,'Bank Lines'!$G$5:$G$1640,A153,'Bank Lines'!$J$5:$J$1640,1,'Bank Lines'!$C$5:$C$1640,"&lt;="&amp;Cover!$C$15),2)</f>
        <v>611.97</v>
      </c>
      <c r="Z153" s="9">
        <f>ROUND(SUMIFS('Odoo Items'!$G$5:$G$4331,'Odoo Items'!$J$5:$J$4331,A153,'Odoo Items'!$C$5:$C$4331,"&lt;="&amp;Cover!$C$15),2)</f>
        <v>611.97</v>
      </c>
      <c r="AA153">
        <f>COUNTIFS('Bank Lines'!$G$5:$G$1640,A153,'Bank Lines'!$J$5:$J$1640,1,'Bank Lines'!$C$5:$C$1640,"&lt;="&amp;Cover!$C$15)</f>
        <v>1</v>
      </c>
      <c r="AB153">
        <f>COUNTIFS('Odoo Items'!$J$5:$J$4331,A153,'Odoo Items'!$C$5:$C$4331,"&lt;="&amp;Cover!$C$15)</f>
        <v>3</v>
      </c>
      <c r="AC153" t="str">
        <f>IF(AND(AA153=0,AB153=0),"",IF(AA153=0,"ODOO-ONLY",IF(AB153=0,"BANK-ONLY","BOTH")))</f>
        <v>BOTH</v>
      </c>
      <c r="AD153" s="9">
        <f>IF(AC153="BOTH",ROUND(Y153-Z153,2),0)</f>
        <v>0</v>
      </c>
    </row>
    <row r="154">
      <c r="A154" t="inlineStr">
        <is>
          <t>G00150</t>
        </is>
      </c>
      <c r="B154" t="inlineStr">
        <is>
          <t>OPS</t>
        </is>
      </c>
      <c r="C154" t="inlineStr">
        <is>
          <t>R03</t>
        </is>
      </c>
      <c r="D154" t="inlineStr">
        <is>
          <t>MATCH</t>
        </is>
      </c>
      <c r="E154" t="inlineStr">
        <is>
          <t>Kookaburra Plan Support</t>
        </is>
      </c>
      <c r="F154" t="n">
        <v>1</v>
      </c>
      <c r="G154" t="inlineStr">
        <is>
          <t>4 invoices</t>
        </is>
      </c>
      <c r="H154">
        <f>COUNTIFS('Bank Lines'!$G$5:$G$1640,A154,'Bank Lines'!$J$5:$J$1640,1)</f>
        <v>1</v>
      </c>
      <c r="I154">
        <f>COUNTIFS('Odoo Items'!$J$5:$J$4331,A154)</f>
        <v>4</v>
      </c>
      <c r="J154" s="9">
        <f>ROUND(SUMIFS('Bank Lines'!$E$5:$E$1640,'Bank Lines'!$G$5:$G$1640,A154,'Bank Lines'!$J$5:$J$1640,1),2)</f>
        <v>854.45</v>
      </c>
      <c r="K154" s="9">
        <f>ROUND(SUMIFS('Odoo Items'!$G$5:$G$4331,'Odoo Items'!$J$5:$J$4331,A154),2)</f>
        <v>854.45</v>
      </c>
      <c r="L154" s="9">
        <f>ROUND(J154-K154,2)</f>
        <v>0</v>
      </c>
      <c r="M154" s="9">
        <f>ROUND(SUMIFS('Bank Lines'!$E$5:$E$1640,'Bank Lines'!$G$5:$G$1640,A154,'Bank Lines'!$J$5:$J$1640,1,'Bank Lines'!$C$5:$C$1640,"&lt;="&amp;Cover!$C$13),2)</f>
        <v>854.45</v>
      </c>
      <c r="N154" s="9">
        <f>ROUND(SUMIFS('Odoo Items'!$G$5:$G$4331,'Odoo Items'!$J$5:$J$4331,A154,'Odoo Items'!$C$5:$C$4331,"&lt;="&amp;Cover!$C$13),2)</f>
        <v>854.45</v>
      </c>
      <c r="O154">
        <f>COUNTIFS('Bank Lines'!$G$5:$G$1640,A154,'Bank Lines'!$J$5:$J$1640,1,'Bank Lines'!$C$5:$C$1640,"&lt;="&amp;Cover!$C$13)</f>
        <v>1</v>
      </c>
      <c r="P154">
        <f>COUNTIFS('Odoo Items'!$J$5:$J$4331,A154,'Odoo Items'!$C$5:$C$4331,"&lt;="&amp;Cover!$C$13)</f>
        <v>4</v>
      </c>
      <c r="Q154" t="str">
        <f>IF(AND(O154=0,P154=0),"",IF(O154=0,"ODOO-ONLY",IF(P154=0,"BANK-ONLY","BOTH")))</f>
        <v>BOTH</v>
      </c>
      <c r="R154" s="9">
        <f>IF(Q154="BOTH",ROUND(M154-N154,2),0)</f>
        <v>0</v>
      </c>
      <c r="S154" s="9">
        <f>ROUND(SUMIFS('Bank Lines'!$E$5:$E$1640,'Bank Lines'!$G$5:$G$1640,A154,'Bank Lines'!$J$5:$J$1640,1,'Bank Lines'!$C$5:$C$1640,"&lt;="&amp;Cover!$C$14),2)</f>
        <v>854.45</v>
      </c>
      <c r="T154" s="9">
        <f>ROUND(SUMIFS('Odoo Items'!$G$5:$G$4331,'Odoo Items'!$J$5:$J$4331,A154,'Odoo Items'!$C$5:$C$4331,"&lt;="&amp;Cover!$C$14),2)</f>
        <v>854.45</v>
      </c>
      <c r="U154">
        <f>COUNTIFS('Bank Lines'!$G$5:$G$1640,A154,'Bank Lines'!$J$5:$J$1640,1,'Bank Lines'!$C$5:$C$1640,"&lt;="&amp;Cover!$C$14)</f>
        <v>1</v>
      </c>
      <c r="V154">
        <f>COUNTIFS('Odoo Items'!$J$5:$J$4331,A154,'Odoo Items'!$C$5:$C$4331,"&lt;="&amp;Cover!$C$14)</f>
        <v>4</v>
      </c>
      <c r="W154" t="str">
        <f>IF(AND(U154=0,V154=0),"",IF(U154=0,"ODOO-ONLY",IF(V154=0,"BANK-ONLY","BOTH")))</f>
        <v>BOTH</v>
      </c>
      <c r="X154" s="9">
        <f>IF(W154="BOTH",ROUND(S154-T154,2),0)</f>
        <v>0</v>
      </c>
      <c r="Y154" s="9">
        <f>ROUND(SUMIFS('Bank Lines'!$E$5:$E$1640,'Bank Lines'!$G$5:$G$1640,A154,'Bank Lines'!$J$5:$J$1640,1,'Bank Lines'!$C$5:$C$1640,"&lt;="&amp;Cover!$C$15),2)</f>
        <v>854.45</v>
      </c>
      <c r="Z154" s="9">
        <f>ROUND(SUMIFS('Odoo Items'!$G$5:$G$4331,'Odoo Items'!$J$5:$J$4331,A154,'Odoo Items'!$C$5:$C$4331,"&lt;="&amp;Cover!$C$15),2)</f>
        <v>854.45</v>
      </c>
      <c r="AA154">
        <f>COUNTIFS('Bank Lines'!$G$5:$G$1640,A154,'Bank Lines'!$J$5:$J$1640,1,'Bank Lines'!$C$5:$C$1640,"&lt;="&amp;Cover!$C$15)</f>
        <v>1</v>
      </c>
      <c r="AB154">
        <f>COUNTIFS('Odoo Items'!$J$5:$J$4331,A154,'Odoo Items'!$C$5:$C$4331,"&lt;="&amp;Cover!$C$15)</f>
        <v>4</v>
      </c>
      <c r="AC154" t="str">
        <f>IF(AND(AA154=0,AB154=0),"",IF(AA154=0,"ODOO-ONLY",IF(AB154=0,"BANK-ONLY","BOTH")))</f>
        <v>BOTH</v>
      </c>
      <c r="AD154" s="9">
        <f>IF(AC154="BOTH",ROUND(Y154-Z154,2),0)</f>
        <v>0</v>
      </c>
    </row>
    <row r="155">
      <c r="A155" t="inlineStr">
        <is>
          <t>G00151</t>
        </is>
      </c>
      <c r="B155" t="inlineStr">
        <is>
          <t>OPS</t>
        </is>
      </c>
      <c r="C155" t="inlineStr">
        <is>
          <t>R03</t>
        </is>
      </c>
      <c r="D155" t="inlineStr">
        <is>
          <t>MATCH</t>
        </is>
      </c>
      <c r="E155" t="inlineStr">
        <is>
          <t>Redgum Plan Admin</t>
        </is>
      </c>
      <c r="F155" t="n">
        <v>1</v>
      </c>
      <c r="G155" t="inlineStr">
        <is>
          <t>1 invoices</t>
        </is>
      </c>
      <c r="H155">
        <f>COUNTIFS('Bank Lines'!$G$5:$G$1640,A155,'Bank Lines'!$J$5:$J$1640,1)</f>
        <v>1</v>
      </c>
      <c r="I155">
        <f>COUNTIFS('Odoo Items'!$J$5:$J$4331,A155)</f>
        <v>1</v>
      </c>
      <c r="J155" s="9">
        <f>ROUND(SUMIFS('Bank Lines'!$E$5:$E$1640,'Bank Lines'!$G$5:$G$1640,A155,'Bank Lines'!$J$5:$J$1640,1),2)</f>
        <v>203.69</v>
      </c>
      <c r="K155" s="9">
        <f>ROUND(SUMIFS('Odoo Items'!$G$5:$G$4331,'Odoo Items'!$J$5:$J$4331,A155),2)</f>
        <v>203.69</v>
      </c>
      <c r="L155" s="9">
        <f>ROUND(J155-K155,2)</f>
        <v>0</v>
      </c>
      <c r="M155" s="9">
        <f>ROUND(SUMIFS('Bank Lines'!$E$5:$E$1640,'Bank Lines'!$G$5:$G$1640,A155,'Bank Lines'!$J$5:$J$1640,1,'Bank Lines'!$C$5:$C$1640,"&lt;="&amp;Cover!$C$13),2)</f>
        <v>203.69</v>
      </c>
      <c r="N155" s="9">
        <f>ROUND(SUMIFS('Odoo Items'!$G$5:$G$4331,'Odoo Items'!$J$5:$J$4331,A155,'Odoo Items'!$C$5:$C$4331,"&lt;="&amp;Cover!$C$13),2)</f>
        <v>203.69</v>
      </c>
      <c r="O155">
        <f>COUNTIFS('Bank Lines'!$G$5:$G$1640,A155,'Bank Lines'!$J$5:$J$1640,1,'Bank Lines'!$C$5:$C$1640,"&lt;="&amp;Cover!$C$13)</f>
        <v>1</v>
      </c>
      <c r="P155">
        <f>COUNTIFS('Odoo Items'!$J$5:$J$4331,A155,'Odoo Items'!$C$5:$C$4331,"&lt;="&amp;Cover!$C$13)</f>
        <v>1</v>
      </c>
      <c r="Q155" t="str">
        <f>IF(AND(O155=0,P155=0),"",IF(O155=0,"ODOO-ONLY",IF(P155=0,"BANK-ONLY","BOTH")))</f>
        <v>BOTH</v>
      </c>
      <c r="R155" s="9">
        <f>IF(Q155="BOTH",ROUND(M155-N155,2),0)</f>
        <v>0</v>
      </c>
      <c r="S155" s="9">
        <f>ROUND(SUMIFS('Bank Lines'!$E$5:$E$1640,'Bank Lines'!$G$5:$G$1640,A155,'Bank Lines'!$J$5:$J$1640,1,'Bank Lines'!$C$5:$C$1640,"&lt;="&amp;Cover!$C$14),2)</f>
        <v>203.69</v>
      </c>
      <c r="T155" s="9">
        <f>ROUND(SUMIFS('Odoo Items'!$G$5:$G$4331,'Odoo Items'!$J$5:$J$4331,A155,'Odoo Items'!$C$5:$C$4331,"&lt;="&amp;Cover!$C$14),2)</f>
        <v>203.69</v>
      </c>
      <c r="U155">
        <f>COUNTIFS('Bank Lines'!$G$5:$G$1640,A155,'Bank Lines'!$J$5:$J$1640,1,'Bank Lines'!$C$5:$C$1640,"&lt;="&amp;Cover!$C$14)</f>
        <v>1</v>
      </c>
      <c r="V155">
        <f>COUNTIFS('Odoo Items'!$J$5:$J$4331,A155,'Odoo Items'!$C$5:$C$4331,"&lt;="&amp;Cover!$C$14)</f>
        <v>1</v>
      </c>
      <c r="W155" t="str">
        <f>IF(AND(U155=0,V155=0),"",IF(U155=0,"ODOO-ONLY",IF(V155=0,"BANK-ONLY","BOTH")))</f>
        <v>BOTH</v>
      </c>
      <c r="X155" s="9">
        <f>IF(W155="BOTH",ROUND(S155-T155,2),0)</f>
        <v>0</v>
      </c>
      <c r="Y155" s="9">
        <f>ROUND(SUMIFS('Bank Lines'!$E$5:$E$1640,'Bank Lines'!$G$5:$G$1640,A155,'Bank Lines'!$J$5:$J$1640,1,'Bank Lines'!$C$5:$C$1640,"&lt;="&amp;Cover!$C$15),2)</f>
        <v>203.69</v>
      </c>
      <c r="Z155" s="9">
        <f>ROUND(SUMIFS('Odoo Items'!$G$5:$G$4331,'Odoo Items'!$J$5:$J$4331,A155,'Odoo Items'!$C$5:$C$4331,"&lt;="&amp;Cover!$C$15),2)</f>
        <v>203.69</v>
      </c>
      <c r="AA155">
        <f>COUNTIFS('Bank Lines'!$G$5:$G$1640,A155,'Bank Lines'!$J$5:$J$1640,1,'Bank Lines'!$C$5:$C$1640,"&lt;="&amp;Cover!$C$15)</f>
        <v>1</v>
      </c>
      <c r="AB155">
        <f>COUNTIFS('Odoo Items'!$J$5:$J$4331,A155,'Odoo Items'!$C$5:$C$4331,"&lt;="&amp;Cover!$C$15)</f>
        <v>1</v>
      </c>
      <c r="AC155" t="str">
        <f>IF(AND(AA155=0,AB155=0),"",IF(AA155=0,"ODOO-ONLY",IF(AB155=0,"BANK-ONLY","BOTH")))</f>
        <v>BOTH</v>
      </c>
      <c r="AD155" s="9">
        <f>IF(AC155="BOTH",ROUND(Y155-Z155,2),0)</f>
        <v>0</v>
      </c>
    </row>
    <row r="156">
      <c r="A156" t="inlineStr">
        <is>
          <t>G00152</t>
        </is>
      </c>
      <c r="B156" t="inlineStr">
        <is>
          <t>OPS</t>
        </is>
      </c>
      <c r="C156" t="inlineStr">
        <is>
          <t>R03</t>
        </is>
      </c>
      <c r="D156" t="inlineStr">
        <is>
          <t>MATCH</t>
        </is>
      </c>
      <c r="E156" t="inlineStr">
        <is>
          <t>Mallee Plan Services</t>
        </is>
      </c>
      <c r="F156" t="n">
        <v>1</v>
      </c>
      <c r="G156" t="inlineStr">
        <is>
          <t>8 invoices</t>
        </is>
      </c>
      <c r="H156">
        <f>COUNTIFS('Bank Lines'!$G$5:$G$1640,A156,'Bank Lines'!$J$5:$J$1640,1)</f>
        <v>1</v>
      </c>
      <c r="I156">
        <f>COUNTIFS('Odoo Items'!$J$5:$J$4331,A156)</f>
        <v>8</v>
      </c>
      <c r="J156" s="9">
        <f>ROUND(SUMIFS('Bank Lines'!$E$5:$E$1640,'Bank Lines'!$G$5:$G$1640,A156,'Bank Lines'!$J$5:$J$1640,1),2)</f>
        <v>1746.8</v>
      </c>
      <c r="K156" s="9">
        <f>ROUND(SUMIFS('Odoo Items'!$G$5:$G$4331,'Odoo Items'!$J$5:$J$4331,A156),2)</f>
        <v>1746.8</v>
      </c>
      <c r="L156" s="9">
        <f>ROUND(J156-K156,2)</f>
        <v>0</v>
      </c>
      <c r="M156" s="9">
        <f>ROUND(SUMIFS('Bank Lines'!$E$5:$E$1640,'Bank Lines'!$G$5:$G$1640,A156,'Bank Lines'!$J$5:$J$1640,1,'Bank Lines'!$C$5:$C$1640,"&lt;="&amp;Cover!$C$13),2)</f>
        <v>1746.8</v>
      </c>
      <c r="N156" s="9">
        <f>ROUND(SUMIFS('Odoo Items'!$G$5:$G$4331,'Odoo Items'!$J$5:$J$4331,A156,'Odoo Items'!$C$5:$C$4331,"&lt;="&amp;Cover!$C$13),2)</f>
        <v>1746.8</v>
      </c>
      <c r="O156">
        <f>COUNTIFS('Bank Lines'!$G$5:$G$1640,A156,'Bank Lines'!$J$5:$J$1640,1,'Bank Lines'!$C$5:$C$1640,"&lt;="&amp;Cover!$C$13)</f>
        <v>1</v>
      </c>
      <c r="P156">
        <f>COUNTIFS('Odoo Items'!$J$5:$J$4331,A156,'Odoo Items'!$C$5:$C$4331,"&lt;="&amp;Cover!$C$13)</f>
        <v>8</v>
      </c>
      <c r="Q156" t="str">
        <f>IF(AND(O156=0,P156=0),"",IF(O156=0,"ODOO-ONLY",IF(P156=0,"BANK-ONLY","BOTH")))</f>
        <v>BOTH</v>
      </c>
      <c r="R156" s="9">
        <f>IF(Q156="BOTH",ROUND(M156-N156,2),0)</f>
        <v>0</v>
      </c>
      <c r="S156" s="9">
        <f>ROUND(SUMIFS('Bank Lines'!$E$5:$E$1640,'Bank Lines'!$G$5:$G$1640,A156,'Bank Lines'!$J$5:$J$1640,1,'Bank Lines'!$C$5:$C$1640,"&lt;="&amp;Cover!$C$14),2)</f>
        <v>1746.8</v>
      </c>
      <c r="T156" s="9">
        <f>ROUND(SUMIFS('Odoo Items'!$G$5:$G$4331,'Odoo Items'!$J$5:$J$4331,A156,'Odoo Items'!$C$5:$C$4331,"&lt;="&amp;Cover!$C$14),2)</f>
        <v>1746.8</v>
      </c>
      <c r="U156">
        <f>COUNTIFS('Bank Lines'!$G$5:$G$1640,A156,'Bank Lines'!$J$5:$J$1640,1,'Bank Lines'!$C$5:$C$1640,"&lt;="&amp;Cover!$C$14)</f>
        <v>1</v>
      </c>
      <c r="V156">
        <f>COUNTIFS('Odoo Items'!$J$5:$J$4331,A156,'Odoo Items'!$C$5:$C$4331,"&lt;="&amp;Cover!$C$14)</f>
        <v>8</v>
      </c>
      <c r="W156" t="str">
        <f>IF(AND(U156=0,V156=0),"",IF(U156=0,"ODOO-ONLY",IF(V156=0,"BANK-ONLY","BOTH")))</f>
        <v>BOTH</v>
      </c>
      <c r="X156" s="9">
        <f>IF(W156="BOTH",ROUND(S156-T156,2),0)</f>
        <v>0</v>
      </c>
      <c r="Y156" s="9">
        <f>ROUND(SUMIFS('Bank Lines'!$E$5:$E$1640,'Bank Lines'!$G$5:$G$1640,A156,'Bank Lines'!$J$5:$J$1640,1,'Bank Lines'!$C$5:$C$1640,"&lt;="&amp;Cover!$C$15),2)</f>
        <v>1746.8</v>
      </c>
      <c r="Z156" s="9">
        <f>ROUND(SUMIFS('Odoo Items'!$G$5:$G$4331,'Odoo Items'!$J$5:$J$4331,A156,'Odoo Items'!$C$5:$C$4331,"&lt;="&amp;Cover!$C$15),2)</f>
        <v>1746.8</v>
      </c>
      <c r="AA156">
        <f>COUNTIFS('Bank Lines'!$G$5:$G$1640,A156,'Bank Lines'!$J$5:$J$1640,1,'Bank Lines'!$C$5:$C$1640,"&lt;="&amp;Cover!$C$15)</f>
        <v>1</v>
      </c>
      <c r="AB156">
        <f>COUNTIFS('Odoo Items'!$J$5:$J$4331,A156,'Odoo Items'!$C$5:$C$4331,"&lt;="&amp;Cover!$C$15)</f>
        <v>8</v>
      </c>
      <c r="AC156" t="str">
        <f>IF(AND(AA156=0,AB156=0),"",IF(AA156=0,"ODOO-ONLY",IF(AB156=0,"BANK-ONLY","BOTH")))</f>
        <v>BOTH</v>
      </c>
      <c r="AD156" s="9">
        <f>IF(AC156="BOTH",ROUND(Y156-Z156,2),0)</f>
        <v>0</v>
      </c>
    </row>
    <row r="157">
      <c r="A157" t="inlineStr">
        <is>
          <t>G00153</t>
        </is>
      </c>
      <c r="B157" t="inlineStr">
        <is>
          <t>OPS</t>
        </is>
      </c>
      <c r="C157" t="inlineStr">
        <is>
          <t>R03</t>
        </is>
      </c>
      <c r="D157" t="inlineStr">
        <is>
          <t>MATCH</t>
        </is>
      </c>
      <c r="E157" t="inlineStr">
        <is>
          <t>Clearpath NDIS Plans</t>
        </is>
      </c>
      <c r="F157" t="n">
        <v>0.973</v>
      </c>
      <c r="G157" t="inlineStr">
        <is>
          <t>6 invoices</t>
        </is>
      </c>
      <c r="H157">
        <f>COUNTIFS('Bank Lines'!$G$5:$G$1640,A157,'Bank Lines'!$J$5:$J$1640,1)</f>
        <v>1</v>
      </c>
      <c r="I157">
        <f>COUNTIFS('Odoo Items'!$J$5:$J$4331,A157)</f>
        <v>6</v>
      </c>
      <c r="J157" s="9">
        <f>ROUND(SUMIFS('Bank Lines'!$E$5:$E$1640,'Bank Lines'!$G$5:$G$1640,A157,'Bank Lines'!$J$5:$J$1640,1),2)</f>
        <v>1825.31</v>
      </c>
      <c r="K157" s="9">
        <f>ROUND(SUMIFS('Odoo Items'!$G$5:$G$4331,'Odoo Items'!$J$5:$J$4331,A157),2)</f>
        <v>1825.31</v>
      </c>
      <c r="L157" s="9">
        <f>ROUND(J157-K157,2)</f>
        <v>0</v>
      </c>
      <c r="M157" s="9">
        <f>ROUND(SUMIFS('Bank Lines'!$E$5:$E$1640,'Bank Lines'!$G$5:$G$1640,A157,'Bank Lines'!$J$5:$J$1640,1,'Bank Lines'!$C$5:$C$1640,"&lt;="&amp;Cover!$C$13),2)</f>
        <v>1825.31</v>
      </c>
      <c r="N157" s="9">
        <f>ROUND(SUMIFS('Odoo Items'!$G$5:$G$4331,'Odoo Items'!$J$5:$J$4331,A157,'Odoo Items'!$C$5:$C$4331,"&lt;="&amp;Cover!$C$13),2)</f>
        <v>1825.31</v>
      </c>
      <c r="O157">
        <f>COUNTIFS('Bank Lines'!$G$5:$G$1640,A157,'Bank Lines'!$J$5:$J$1640,1,'Bank Lines'!$C$5:$C$1640,"&lt;="&amp;Cover!$C$13)</f>
        <v>1</v>
      </c>
      <c r="P157">
        <f>COUNTIFS('Odoo Items'!$J$5:$J$4331,A157,'Odoo Items'!$C$5:$C$4331,"&lt;="&amp;Cover!$C$13)</f>
        <v>6</v>
      </c>
      <c r="Q157" t="str">
        <f>IF(AND(O157=0,P157=0),"",IF(O157=0,"ODOO-ONLY",IF(P157=0,"BANK-ONLY","BOTH")))</f>
        <v>BOTH</v>
      </c>
      <c r="R157" s="9">
        <f>IF(Q157="BOTH",ROUND(M157-N157,2),0)</f>
        <v>0</v>
      </c>
      <c r="S157" s="9">
        <f>ROUND(SUMIFS('Bank Lines'!$E$5:$E$1640,'Bank Lines'!$G$5:$G$1640,A157,'Bank Lines'!$J$5:$J$1640,1,'Bank Lines'!$C$5:$C$1640,"&lt;="&amp;Cover!$C$14),2)</f>
        <v>1825.31</v>
      </c>
      <c r="T157" s="9">
        <f>ROUND(SUMIFS('Odoo Items'!$G$5:$G$4331,'Odoo Items'!$J$5:$J$4331,A157,'Odoo Items'!$C$5:$C$4331,"&lt;="&amp;Cover!$C$14),2)</f>
        <v>1825.31</v>
      </c>
      <c r="U157">
        <f>COUNTIFS('Bank Lines'!$G$5:$G$1640,A157,'Bank Lines'!$J$5:$J$1640,1,'Bank Lines'!$C$5:$C$1640,"&lt;="&amp;Cover!$C$14)</f>
        <v>1</v>
      </c>
      <c r="V157">
        <f>COUNTIFS('Odoo Items'!$J$5:$J$4331,A157,'Odoo Items'!$C$5:$C$4331,"&lt;="&amp;Cover!$C$14)</f>
        <v>6</v>
      </c>
      <c r="W157" t="str">
        <f>IF(AND(U157=0,V157=0),"",IF(U157=0,"ODOO-ONLY",IF(V157=0,"BANK-ONLY","BOTH")))</f>
        <v>BOTH</v>
      </c>
      <c r="X157" s="9">
        <f>IF(W157="BOTH",ROUND(S157-T157,2),0)</f>
        <v>0</v>
      </c>
      <c r="Y157" s="9">
        <f>ROUND(SUMIFS('Bank Lines'!$E$5:$E$1640,'Bank Lines'!$G$5:$G$1640,A157,'Bank Lines'!$J$5:$J$1640,1,'Bank Lines'!$C$5:$C$1640,"&lt;="&amp;Cover!$C$15),2)</f>
        <v>1825.31</v>
      </c>
      <c r="Z157" s="9">
        <f>ROUND(SUMIFS('Odoo Items'!$G$5:$G$4331,'Odoo Items'!$J$5:$J$4331,A157,'Odoo Items'!$C$5:$C$4331,"&lt;="&amp;Cover!$C$15),2)</f>
        <v>1825.31</v>
      </c>
      <c r="AA157">
        <f>COUNTIFS('Bank Lines'!$G$5:$G$1640,A157,'Bank Lines'!$J$5:$J$1640,1,'Bank Lines'!$C$5:$C$1640,"&lt;="&amp;Cover!$C$15)</f>
        <v>1</v>
      </c>
      <c r="AB157">
        <f>COUNTIFS('Odoo Items'!$J$5:$J$4331,A157,'Odoo Items'!$C$5:$C$4331,"&lt;="&amp;Cover!$C$15)</f>
        <v>6</v>
      </c>
      <c r="AC157" t="str">
        <f>IF(AND(AA157=0,AB157=0),"",IF(AA157=0,"ODOO-ONLY",IF(AB157=0,"BANK-ONLY","BOTH")))</f>
        <v>BOTH</v>
      </c>
      <c r="AD157" s="9">
        <f>IF(AC157="BOTH",ROUND(Y157-Z157,2),0)</f>
        <v>0</v>
      </c>
    </row>
    <row r="158">
      <c r="A158" t="inlineStr">
        <is>
          <t>G00154</t>
        </is>
      </c>
      <c r="B158" t="inlineStr">
        <is>
          <t>OPS</t>
        </is>
      </c>
      <c r="C158" t="inlineStr">
        <is>
          <t>R03</t>
        </is>
      </c>
      <c r="D158" t="inlineStr">
        <is>
          <t>MATCH</t>
        </is>
      </c>
      <c r="E158" t="inlineStr">
        <is>
          <t>Banksia Plan Co</t>
        </is>
      </c>
      <c r="F158" t="n">
        <v>1</v>
      </c>
      <c r="G158" t="inlineStr">
        <is>
          <t>12 invoices</t>
        </is>
      </c>
      <c r="H158">
        <f>COUNTIFS('Bank Lines'!$G$5:$G$1640,A158,'Bank Lines'!$J$5:$J$1640,1)</f>
        <v>1</v>
      </c>
      <c r="I158">
        <f>COUNTIFS('Odoo Items'!$J$5:$J$4331,A158)</f>
        <v>12</v>
      </c>
      <c r="J158" s="9">
        <f>ROUND(SUMIFS('Bank Lines'!$E$5:$E$1640,'Bank Lines'!$G$5:$G$1640,A158,'Bank Lines'!$J$5:$J$1640,1),2)</f>
        <v>3221.13</v>
      </c>
      <c r="K158" s="9">
        <f>ROUND(SUMIFS('Odoo Items'!$G$5:$G$4331,'Odoo Items'!$J$5:$J$4331,A158),2)</f>
        <v>3221.13</v>
      </c>
      <c r="L158" s="9">
        <f>ROUND(J158-K158,2)</f>
        <v>0</v>
      </c>
      <c r="M158" s="9">
        <f>ROUND(SUMIFS('Bank Lines'!$E$5:$E$1640,'Bank Lines'!$G$5:$G$1640,A158,'Bank Lines'!$J$5:$J$1640,1,'Bank Lines'!$C$5:$C$1640,"&lt;="&amp;Cover!$C$13),2)</f>
        <v>3221.13</v>
      </c>
      <c r="N158" s="9">
        <f>ROUND(SUMIFS('Odoo Items'!$G$5:$G$4331,'Odoo Items'!$J$5:$J$4331,A158,'Odoo Items'!$C$5:$C$4331,"&lt;="&amp;Cover!$C$13),2)</f>
        <v>3221.13</v>
      </c>
      <c r="O158">
        <f>COUNTIFS('Bank Lines'!$G$5:$G$1640,A158,'Bank Lines'!$J$5:$J$1640,1,'Bank Lines'!$C$5:$C$1640,"&lt;="&amp;Cover!$C$13)</f>
        <v>1</v>
      </c>
      <c r="P158">
        <f>COUNTIFS('Odoo Items'!$J$5:$J$4331,A158,'Odoo Items'!$C$5:$C$4331,"&lt;="&amp;Cover!$C$13)</f>
        <v>12</v>
      </c>
      <c r="Q158" t="str">
        <f>IF(AND(O158=0,P158=0),"",IF(O158=0,"ODOO-ONLY",IF(P158=0,"BANK-ONLY","BOTH")))</f>
        <v>BOTH</v>
      </c>
      <c r="R158" s="9">
        <f>IF(Q158="BOTH",ROUND(M158-N158,2),0)</f>
        <v>0</v>
      </c>
      <c r="S158" s="9">
        <f>ROUND(SUMIFS('Bank Lines'!$E$5:$E$1640,'Bank Lines'!$G$5:$G$1640,A158,'Bank Lines'!$J$5:$J$1640,1,'Bank Lines'!$C$5:$C$1640,"&lt;="&amp;Cover!$C$14),2)</f>
        <v>3221.13</v>
      </c>
      <c r="T158" s="9">
        <f>ROUND(SUMIFS('Odoo Items'!$G$5:$G$4331,'Odoo Items'!$J$5:$J$4331,A158,'Odoo Items'!$C$5:$C$4331,"&lt;="&amp;Cover!$C$14),2)</f>
        <v>3221.13</v>
      </c>
      <c r="U158">
        <f>COUNTIFS('Bank Lines'!$G$5:$G$1640,A158,'Bank Lines'!$J$5:$J$1640,1,'Bank Lines'!$C$5:$C$1640,"&lt;="&amp;Cover!$C$14)</f>
        <v>1</v>
      </c>
      <c r="V158">
        <f>COUNTIFS('Odoo Items'!$J$5:$J$4331,A158,'Odoo Items'!$C$5:$C$4331,"&lt;="&amp;Cover!$C$14)</f>
        <v>12</v>
      </c>
      <c r="W158" t="str">
        <f>IF(AND(U158=0,V158=0),"",IF(U158=0,"ODOO-ONLY",IF(V158=0,"BANK-ONLY","BOTH")))</f>
        <v>BOTH</v>
      </c>
      <c r="X158" s="9">
        <f>IF(W158="BOTH",ROUND(S158-T158,2),0)</f>
        <v>0</v>
      </c>
      <c r="Y158" s="9">
        <f>ROUND(SUMIFS('Bank Lines'!$E$5:$E$1640,'Bank Lines'!$G$5:$G$1640,A158,'Bank Lines'!$J$5:$J$1640,1,'Bank Lines'!$C$5:$C$1640,"&lt;="&amp;Cover!$C$15),2)</f>
        <v>3221.13</v>
      </c>
      <c r="Z158" s="9">
        <f>ROUND(SUMIFS('Odoo Items'!$G$5:$G$4331,'Odoo Items'!$J$5:$J$4331,A158,'Odoo Items'!$C$5:$C$4331,"&lt;="&amp;Cover!$C$15),2)</f>
        <v>3221.13</v>
      </c>
      <c r="AA158">
        <f>COUNTIFS('Bank Lines'!$G$5:$G$1640,A158,'Bank Lines'!$J$5:$J$1640,1,'Bank Lines'!$C$5:$C$1640,"&lt;="&amp;Cover!$C$15)</f>
        <v>1</v>
      </c>
      <c r="AB158">
        <f>COUNTIFS('Odoo Items'!$J$5:$J$4331,A158,'Odoo Items'!$C$5:$C$4331,"&lt;="&amp;Cover!$C$15)</f>
        <v>12</v>
      </c>
      <c r="AC158" t="str">
        <f>IF(AND(AA158=0,AB158=0),"",IF(AA158=0,"ODOO-ONLY",IF(AB158=0,"BANK-ONLY","BOTH")))</f>
        <v>BOTH</v>
      </c>
      <c r="AD158" s="9">
        <f>IF(AC158="BOTH",ROUND(Y158-Z158,2),0)</f>
        <v>0</v>
      </c>
    </row>
    <row r="159">
      <c r="A159" t="inlineStr">
        <is>
          <t>G00155</t>
        </is>
      </c>
      <c r="B159" t="inlineStr">
        <is>
          <t>OPS</t>
        </is>
      </c>
      <c r="C159" t="inlineStr">
        <is>
          <t>R03</t>
        </is>
      </c>
      <c r="D159" t="inlineStr">
        <is>
          <t>MATCH</t>
        </is>
      </c>
      <c r="E159" t="inlineStr">
        <is>
          <t>Saltbush Plan Managers</t>
        </is>
      </c>
      <c r="F159" t="n">
        <v>1</v>
      </c>
      <c r="G159" t="inlineStr">
        <is>
          <t>6 invoices</t>
        </is>
      </c>
      <c r="H159">
        <f>COUNTIFS('Bank Lines'!$G$5:$G$1640,A159,'Bank Lines'!$J$5:$J$1640,1)</f>
        <v>1</v>
      </c>
      <c r="I159">
        <f>COUNTIFS('Odoo Items'!$J$5:$J$4331,A159)</f>
        <v>6</v>
      </c>
      <c r="J159" s="9">
        <f>ROUND(SUMIFS('Bank Lines'!$E$5:$E$1640,'Bank Lines'!$G$5:$G$1640,A159,'Bank Lines'!$J$5:$J$1640,1),2)</f>
        <v>1328.81</v>
      </c>
      <c r="K159" s="9">
        <f>ROUND(SUMIFS('Odoo Items'!$G$5:$G$4331,'Odoo Items'!$J$5:$J$4331,A159),2)</f>
        <v>1328.81</v>
      </c>
      <c r="L159" s="9">
        <f>ROUND(J159-K159,2)</f>
        <v>0</v>
      </c>
      <c r="M159" s="9">
        <f>ROUND(SUMIFS('Bank Lines'!$E$5:$E$1640,'Bank Lines'!$G$5:$G$1640,A159,'Bank Lines'!$J$5:$J$1640,1,'Bank Lines'!$C$5:$C$1640,"&lt;="&amp;Cover!$C$13),2)</f>
        <v>1328.81</v>
      </c>
      <c r="N159" s="9">
        <f>ROUND(SUMIFS('Odoo Items'!$G$5:$G$4331,'Odoo Items'!$J$5:$J$4331,A159,'Odoo Items'!$C$5:$C$4331,"&lt;="&amp;Cover!$C$13),2)</f>
        <v>1328.81</v>
      </c>
      <c r="O159">
        <f>COUNTIFS('Bank Lines'!$G$5:$G$1640,A159,'Bank Lines'!$J$5:$J$1640,1,'Bank Lines'!$C$5:$C$1640,"&lt;="&amp;Cover!$C$13)</f>
        <v>1</v>
      </c>
      <c r="P159">
        <f>COUNTIFS('Odoo Items'!$J$5:$J$4331,A159,'Odoo Items'!$C$5:$C$4331,"&lt;="&amp;Cover!$C$13)</f>
        <v>6</v>
      </c>
      <c r="Q159" t="str">
        <f>IF(AND(O159=0,P159=0),"",IF(O159=0,"ODOO-ONLY",IF(P159=0,"BANK-ONLY","BOTH")))</f>
        <v>BOTH</v>
      </c>
      <c r="R159" s="9">
        <f>IF(Q159="BOTH",ROUND(M159-N159,2),0)</f>
        <v>0</v>
      </c>
      <c r="S159" s="9">
        <f>ROUND(SUMIFS('Bank Lines'!$E$5:$E$1640,'Bank Lines'!$G$5:$G$1640,A159,'Bank Lines'!$J$5:$J$1640,1,'Bank Lines'!$C$5:$C$1640,"&lt;="&amp;Cover!$C$14),2)</f>
        <v>1328.81</v>
      </c>
      <c r="T159" s="9">
        <f>ROUND(SUMIFS('Odoo Items'!$G$5:$G$4331,'Odoo Items'!$J$5:$J$4331,A159,'Odoo Items'!$C$5:$C$4331,"&lt;="&amp;Cover!$C$14),2)</f>
        <v>1328.81</v>
      </c>
      <c r="U159">
        <f>COUNTIFS('Bank Lines'!$G$5:$G$1640,A159,'Bank Lines'!$J$5:$J$1640,1,'Bank Lines'!$C$5:$C$1640,"&lt;="&amp;Cover!$C$14)</f>
        <v>1</v>
      </c>
      <c r="V159">
        <f>COUNTIFS('Odoo Items'!$J$5:$J$4331,A159,'Odoo Items'!$C$5:$C$4331,"&lt;="&amp;Cover!$C$14)</f>
        <v>6</v>
      </c>
      <c r="W159" t="str">
        <f>IF(AND(U159=0,V159=0),"",IF(U159=0,"ODOO-ONLY",IF(V159=0,"BANK-ONLY","BOTH")))</f>
        <v>BOTH</v>
      </c>
      <c r="X159" s="9">
        <f>IF(W159="BOTH",ROUND(S159-T159,2),0)</f>
        <v>0</v>
      </c>
      <c r="Y159" s="9">
        <f>ROUND(SUMIFS('Bank Lines'!$E$5:$E$1640,'Bank Lines'!$G$5:$G$1640,A159,'Bank Lines'!$J$5:$J$1640,1,'Bank Lines'!$C$5:$C$1640,"&lt;="&amp;Cover!$C$15),2)</f>
        <v>1328.81</v>
      </c>
      <c r="Z159" s="9">
        <f>ROUND(SUMIFS('Odoo Items'!$G$5:$G$4331,'Odoo Items'!$J$5:$J$4331,A159,'Odoo Items'!$C$5:$C$4331,"&lt;="&amp;Cover!$C$15),2)</f>
        <v>1328.81</v>
      </c>
      <c r="AA159">
        <f>COUNTIFS('Bank Lines'!$G$5:$G$1640,A159,'Bank Lines'!$J$5:$J$1640,1,'Bank Lines'!$C$5:$C$1640,"&lt;="&amp;Cover!$C$15)</f>
        <v>1</v>
      </c>
      <c r="AB159">
        <f>COUNTIFS('Odoo Items'!$J$5:$J$4331,A159,'Odoo Items'!$C$5:$C$4331,"&lt;="&amp;Cover!$C$15)</f>
        <v>6</v>
      </c>
      <c r="AC159" t="str">
        <f>IF(AND(AA159=0,AB159=0),"",IF(AA159=0,"ODOO-ONLY",IF(AB159=0,"BANK-ONLY","BOTH")))</f>
        <v>BOTH</v>
      </c>
      <c r="AD159" s="9">
        <f>IF(AC159="BOTH",ROUND(Y159-Z159,2),0)</f>
        <v>0</v>
      </c>
    </row>
    <row r="160">
      <c r="A160" t="inlineStr">
        <is>
          <t>G00156</t>
        </is>
      </c>
      <c r="B160" t="inlineStr">
        <is>
          <t>OPS</t>
        </is>
      </c>
      <c r="C160" t="inlineStr">
        <is>
          <t>R03</t>
        </is>
      </c>
      <c r="D160" t="inlineStr">
        <is>
          <t>MATCH</t>
        </is>
      </c>
      <c r="E160" t="inlineStr">
        <is>
          <t>Lyrebird Plan Management</t>
        </is>
      </c>
      <c r="F160" t="n">
        <v>1</v>
      </c>
      <c r="G160" t="inlineStr">
        <is>
          <t>8 invoices</t>
        </is>
      </c>
      <c r="H160">
        <f>COUNTIFS('Bank Lines'!$G$5:$G$1640,A160,'Bank Lines'!$J$5:$J$1640,1)</f>
        <v>1</v>
      </c>
      <c r="I160">
        <f>COUNTIFS('Odoo Items'!$J$5:$J$4331,A160)</f>
        <v>8</v>
      </c>
      <c r="J160" s="9">
        <f>ROUND(SUMIFS('Bank Lines'!$E$5:$E$1640,'Bank Lines'!$G$5:$G$1640,A160,'Bank Lines'!$J$5:$J$1640,1),2)</f>
        <v>1252.12</v>
      </c>
      <c r="K160" s="9">
        <f>ROUND(SUMIFS('Odoo Items'!$G$5:$G$4331,'Odoo Items'!$J$5:$J$4331,A160),2)</f>
        <v>1252.12</v>
      </c>
      <c r="L160" s="9">
        <f>ROUND(J160-K160,2)</f>
        <v>0</v>
      </c>
      <c r="M160" s="9">
        <f>ROUND(SUMIFS('Bank Lines'!$E$5:$E$1640,'Bank Lines'!$G$5:$G$1640,A160,'Bank Lines'!$J$5:$J$1640,1,'Bank Lines'!$C$5:$C$1640,"&lt;="&amp;Cover!$C$13),2)</f>
        <v>1252.12</v>
      </c>
      <c r="N160" s="9">
        <f>ROUND(SUMIFS('Odoo Items'!$G$5:$G$4331,'Odoo Items'!$J$5:$J$4331,A160,'Odoo Items'!$C$5:$C$4331,"&lt;="&amp;Cover!$C$13),2)</f>
        <v>1252.12</v>
      </c>
      <c r="O160">
        <f>COUNTIFS('Bank Lines'!$G$5:$G$1640,A160,'Bank Lines'!$J$5:$J$1640,1,'Bank Lines'!$C$5:$C$1640,"&lt;="&amp;Cover!$C$13)</f>
        <v>1</v>
      </c>
      <c r="P160">
        <f>COUNTIFS('Odoo Items'!$J$5:$J$4331,A160,'Odoo Items'!$C$5:$C$4331,"&lt;="&amp;Cover!$C$13)</f>
        <v>8</v>
      </c>
      <c r="Q160" t="str">
        <f>IF(AND(O160=0,P160=0),"",IF(O160=0,"ODOO-ONLY",IF(P160=0,"BANK-ONLY","BOTH")))</f>
        <v>BOTH</v>
      </c>
      <c r="R160" s="9">
        <f>IF(Q160="BOTH",ROUND(M160-N160,2),0)</f>
        <v>0</v>
      </c>
      <c r="S160" s="9">
        <f>ROUND(SUMIFS('Bank Lines'!$E$5:$E$1640,'Bank Lines'!$G$5:$G$1640,A160,'Bank Lines'!$J$5:$J$1640,1,'Bank Lines'!$C$5:$C$1640,"&lt;="&amp;Cover!$C$14),2)</f>
        <v>1252.12</v>
      </c>
      <c r="T160" s="9">
        <f>ROUND(SUMIFS('Odoo Items'!$G$5:$G$4331,'Odoo Items'!$J$5:$J$4331,A160,'Odoo Items'!$C$5:$C$4331,"&lt;="&amp;Cover!$C$14),2)</f>
        <v>1252.12</v>
      </c>
      <c r="U160">
        <f>COUNTIFS('Bank Lines'!$G$5:$G$1640,A160,'Bank Lines'!$J$5:$J$1640,1,'Bank Lines'!$C$5:$C$1640,"&lt;="&amp;Cover!$C$14)</f>
        <v>1</v>
      </c>
      <c r="V160">
        <f>COUNTIFS('Odoo Items'!$J$5:$J$4331,A160,'Odoo Items'!$C$5:$C$4331,"&lt;="&amp;Cover!$C$14)</f>
        <v>8</v>
      </c>
      <c r="W160" t="str">
        <f>IF(AND(U160=0,V160=0),"",IF(U160=0,"ODOO-ONLY",IF(V160=0,"BANK-ONLY","BOTH")))</f>
        <v>BOTH</v>
      </c>
      <c r="X160" s="9">
        <f>IF(W160="BOTH",ROUND(S160-T160,2),0)</f>
        <v>0</v>
      </c>
      <c r="Y160" s="9">
        <f>ROUND(SUMIFS('Bank Lines'!$E$5:$E$1640,'Bank Lines'!$G$5:$G$1640,A160,'Bank Lines'!$J$5:$J$1640,1,'Bank Lines'!$C$5:$C$1640,"&lt;="&amp;Cover!$C$15),2)</f>
        <v>1252.12</v>
      </c>
      <c r="Z160" s="9">
        <f>ROUND(SUMIFS('Odoo Items'!$G$5:$G$4331,'Odoo Items'!$J$5:$J$4331,A160,'Odoo Items'!$C$5:$C$4331,"&lt;="&amp;Cover!$C$15),2)</f>
        <v>1252.12</v>
      </c>
      <c r="AA160">
        <f>COUNTIFS('Bank Lines'!$G$5:$G$1640,A160,'Bank Lines'!$J$5:$J$1640,1,'Bank Lines'!$C$5:$C$1640,"&lt;="&amp;Cover!$C$15)</f>
        <v>1</v>
      </c>
      <c r="AB160">
        <f>COUNTIFS('Odoo Items'!$J$5:$J$4331,A160,'Odoo Items'!$C$5:$C$4331,"&lt;="&amp;Cover!$C$15)</f>
        <v>8</v>
      </c>
      <c r="AC160" t="str">
        <f>IF(AND(AA160=0,AB160=0),"",IF(AA160=0,"ODOO-ONLY",IF(AB160=0,"BANK-ONLY","BOTH")))</f>
        <v>BOTH</v>
      </c>
      <c r="AD160" s="9">
        <f>IF(AC160="BOTH",ROUND(Y160-Z160,2),0)</f>
        <v>0</v>
      </c>
    </row>
    <row r="161">
      <c r="A161" t="inlineStr">
        <is>
          <t>G00157</t>
        </is>
      </c>
      <c r="B161" t="inlineStr">
        <is>
          <t>OPS</t>
        </is>
      </c>
      <c r="C161" t="inlineStr">
        <is>
          <t>R03</t>
        </is>
      </c>
      <c r="D161" t="inlineStr">
        <is>
          <t>MATCH</t>
        </is>
      </c>
      <c r="E161" t="inlineStr">
        <is>
          <t>Tallowwood Plans</t>
        </is>
      </c>
      <c r="F161" t="n">
        <v>1</v>
      </c>
      <c r="G161" t="inlineStr">
        <is>
          <t>10 invoices</t>
        </is>
      </c>
      <c r="H161">
        <f>COUNTIFS('Bank Lines'!$G$5:$G$1640,A161,'Bank Lines'!$J$5:$J$1640,1)</f>
        <v>1</v>
      </c>
      <c r="I161">
        <f>COUNTIFS('Odoo Items'!$J$5:$J$4331,A161)</f>
        <v>10</v>
      </c>
      <c r="J161" s="9">
        <f>ROUND(SUMIFS('Bank Lines'!$E$5:$E$1640,'Bank Lines'!$G$5:$G$1640,A161,'Bank Lines'!$J$5:$J$1640,1),2)</f>
        <v>2998.96</v>
      </c>
      <c r="K161" s="9">
        <f>ROUND(SUMIFS('Odoo Items'!$G$5:$G$4331,'Odoo Items'!$J$5:$J$4331,A161),2)</f>
        <v>2998.96</v>
      </c>
      <c r="L161" s="9">
        <f>ROUND(J161-K161,2)</f>
        <v>0</v>
      </c>
      <c r="M161" s="9">
        <f>ROUND(SUMIFS('Bank Lines'!$E$5:$E$1640,'Bank Lines'!$G$5:$G$1640,A161,'Bank Lines'!$J$5:$J$1640,1,'Bank Lines'!$C$5:$C$1640,"&lt;="&amp;Cover!$C$13),2)</f>
        <v>2998.96</v>
      </c>
      <c r="N161" s="9">
        <f>ROUND(SUMIFS('Odoo Items'!$G$5:$G$4331,'Odoo Items'!$J$5:$J$4331,A161,'Odoo Items'!$C$5:$C$4331,"&lt;="&amp;Cover!$C$13),2)</f>
        <v>2998.96</v>
      </c>
      <c r="O161">
        <f>COUNTIFS('Bank Lines'!$G$5:$G$1640,A161,'Bank Lines'!$J$5:$J$1640,1,'Bank Lines'!$C$5:$C$1640,"&lt;="&amp;Cover!$C$13)</f>
        <v>1</v>
      </c>
      <c r="P161">
        <f>COUNTIFS('Odoo Items'!$J$5:$J$4331,A161,'Odoo Items'!$C$5:$C$4331,"&lt;="&amp;Cover!$C$13)</f>
        <v>10</v>
      </c>
      <c r="Q161" t="str">
        <f>IF(AND(O161=0,P161=0),"",IF(O161=0,"ODOO-ONLY",IF(P161=0,"BANK-ONLY","BOTH")))</f>
        <v>BOTH</v>
      </c>
      <c r="R161" s="9">
        <f>IF(Q161="BOTH",ROUND(M161-N161,2),0)</f>
        <v>0</v>
      </c>
      <c r="S161" s="9">
        <f>ROUND(SUMIFS('Bank Lines'!$E$5:$E$1640,'Bank Lines'!$G$5:$G$1640,A161,'Bank Lines'!$J$5:$J$1640,1,'Bank Lines'!$C$5:$C$1640,"&lt;="&amp;Cover!$C$14),2)</f>
        <v>2998.96</v>
      </c>
      <c r="T161" s="9">
        <f>ROUND(SUMIFS('Odoo Items'!$G$5:$G$4331,'Odoo Items'!$J$5:$J$4331,A161,'Odoo Items'!$C$5:$C$4331,"&lt;="&amp;Cover!$C$14),2)</f>
        <v>2998.96</v>
      </c>
      <c r="U161">
        <f>COUNTIFS('Bank Lines'!$G$5:$G$1640,A161,'Bank Lines'!$J$5:$J$1640,1,'Bank Lines'!$C$5:$C$1640,"&lt;="&amp;Cover!$C$14)</f>
        <v>1</v>
      </c>
      <c r="V161">
        <f>COUNTIFS('Odoo Items'!$J$5:$J$4331,A161,'Odoo Items'!$C$5:$C$4331,"&lt;="&amp;Cover!$C$14)</f>
        <v>10</v>
      </c>
      <c r="W161" t="str">
        <f>IF(AND(U161=0,V161=0),"",IF(U161=0,"ODOO-ONLY",IF(V161=0,"BANK-ONLY","BOTH")))</f>
        <v>BOTH</v>
      </c>
      <c r="X161" s="9">
        <f>IF(W161="BOTH",ROUND(S161-T161,2),0)</f>
        <v>0</v>
      </c>
      <c r="Y161" s="9">
        <f>ROUND(SUMIFS('Bank Lines'!$E$5:$E$1640,'Bank Lines'!$G$5:$G$1640,A161,'Bank Lines'!$J$5:$J$1640,1,'Bank Lines'!$C$5:$C$1640,"&lt;="&amp;Cover!$C$15),2)</f>
        <v>2998.96</v>
      </c>
      <c r="Z161" s="9">
        <f>ROUND(SUMIFS('Odoo Items'!$G$5:$G$4331,'Odoo Items'!$J$5:$J$4331,A161,'Odoo Items'!$C$5:$C$4331,"&lt;="&amp;Cover!$C$15),2)</f>
        <v>2998.96</v>
      </c>
      <c r="AA161">
        <f>COUNTIFS('Bank Lines'!$G$5:$G$1640,A161,'Bank Lines'!$J$5:$J$1640,1,'Bank Lines'!$C$5:$C$1640,"&lt;="&amp;Cover!$C$15)</f>
        <v>1</v>
      </c>
      <c r="AB161">
        <f>COUNTIFS('Odoo Items'!$J$5:$J$4331,A161,'Odoo Items'!$C$5:$C$4331,"&lt;="&amp;Cover!$C$15)</f>
        <v>10</v>
      </c>
      <c r="AC161" t="str">
        <f>IF(AND(AA161=0,AB161=0),"",IF(AA161=0,"ODOO-ONLY",IF(AB161=0,"BANK-ONLY","BOTH")))</f>
        <v>BOTH</v>
      </c>
      <c r="AD161" s="9">
        <f>IF(AC161="BOTH",ROUND(Y161-Z161,2),0)</f>
        <v>0</v>
      </c>
    </row>
    <row r="162">
      <c r="A162" t="inlineStr">
        <is>
          <t>G00158</t>
        </is>
      </c>
      <c r="B162" t="inlineStr">
        <is>
          <t>OPS</t>
        </is>
      </c>
      <c r="C162" t="inlineStr">
        <is>
          <t>R03</t>
        </is>
      </c>
      <c r="D162" t="inlineStr">
        <is>
          <t>MATCH</t>
        </is>
      </c>
      <c r="E162" t="inlineStr">
        <is>
          <t>Mallee Plan Services</t>
        </is>
      </c>
      <c r="F162" t="n">
        <v>0.973</v>
      </c>
      <c r="G162" t="inlineStr">
        <is>
          <t>4 invoices</t>
        </is>
      </c>
      <c r="H162">
        <f>COUNTIFS('Bank Lines'!$G$5:$G$1640,A162,'Bank Lines'!$J$5:$J$1640,1)</f>
        <v>1</v>
      </c>
      <c r="I162">
        <f>COUNTIFS('Odoo Items'!$J$5:$J$4331,A162)</f>
        <v>4</v>
      </c>
      <c r="J162" s="9">
        <f>ROUND(SUMIFS('Bank Lines'!$E$5:$E$1640,'Bank Lines'!$G$5:$G$1640,A162,'Bank Lines'!$J$5:$J$1640,1),2)</f>
        <v>718.65</v>
      </c>
      <c r="K162" s="9">
        <f>ROUND(SUMIFS('Odoo Items'!$G$5:$G$4331,'Odoo Items'!$J$5:$J$4331,A162),2)</f>
        <v>718.65</v>
      </c>
      <c r="L162" s="9">
        <f>ROUND(J162-K162,2)</f>
        <v>0</v>
      </c>
      <c r="M162" s="9">
        <f>ROUND(SUMIFS('Bank Lines'!$E$5:$E$1640,'Bank Lines'!$G$5:$G$1640,A162,'Bank Lines'!$J$5:$J$1640,1,'Bank Lines'!$C$5:$C$1640,"&lt;="&amp;Cover!$C$13),2)</f>
        <v>718.65</v>
      </c>
      <c r="N162" s="9">
        <f>ROUND(SUMIFS('Odoo Items'!$G$5:$G$4331,'Odoo Items'!$J$5:$J$4331,A162,'Odoo Items'!$C$5:$C$4331,"&lt;="&amp;Cover!$C$13),2)</f>
        <v>718.65</v>
      </c>
      <c r="O162">
        <f>COUNTIFS('Bank Lines'!$G$5:$G$1640,A162,'Bank Lines'!$J$5:$J$1640,1,'Bank Lines'!$C$5:$C$1640,"&lt;="&amp;Cover!$C$13)</f>
        <v>1</v>
      </c>
      <c r="P162">
        <f>COUNTIFS('Odoo Items'!$J$5:$J$4331,A162,'Odoo Items'!$C$5:$C$4331,"&lt;="&amp;Cover!$C$13)</f>
        <v>4</v>
      </c>
      <c r="Q162" t="str">
        <f>IF(AND(O162=0,P162=0),"",IF(O162=0,"ODOO-ONLY",IF(P162=0,"BANK-ONLY","BOTH")))</f>
        <v>BOTH</v>
      </c>
      <c r="R162" s="9">
        <f>IF(Q162="BOTH",ROUND(M162-N162,2),0)</f>
        <v>0</v>
      </c>
      <c r="S162" s="9">
        <f>ROUND(SUMIFS('Bank Lines'!$E$5:$E$1640,'Bank Lines'!$G$5:$G$1640,A162,'Bank Lines'!$J$5:$J$1640,1,'Bank Lines'!$C$5:$C$1640,"&lt;="&amp;Cover!$C$14),2)</f>
        <v>718.65</v>
      </c>
      <c r="T162" s="9">
        <f>ROUND(SUMIFS('Odoo Items'!$G$5:$G$4331,'Odoo Items'!$J$5:$J$4331,A162,'Odoo Items'!$C$5:$C$4331,"&lt;="&amp;Cover!$C$14),2)</f>
        <v>718.65</v>
      </c>
      <c r="U162">
        <f>COUNTIFS('Bank Lines'!$G$5:$G$1640,A162,'Bank Lines'!$J$5:$J$1640,1,'Bank Lines'!$C$5:$C$1640,"&lt;="&amp;Cover!$C$14)</f>
        <v>1</v>
      </c>
      <c r="V162">
        <f>COUNTIFS('Odoo Items'!$J$5:$J$4331,A162,'Odoo Items'!$C$5:$C$4331,"&lt;="&amp;Cover!$C$14)</f>
        <v>4</v>
      </c>
      <c r="W162" t="str">
        <f>IF(AND(U162=0,V162=0),"",IF(U162=0,"ODOO-ONLY",IF(V162=0,"BANK-ONLY","BOTH")))</f>
        <v>BOTH</v>
      </c>
      <c r="X162" s="9">
        <f>IF(W162="BOTH",ROUND(S162-T162,2),0)</f>
        <v>0</v>
      </c>
      <c r="Y162" s="9">
        <f>ROUND(SUMIFS('Bank Lines'!$E$5:$E$1640,'Bank Lines'!$G$5:$G$1640,A162,'Bank Lines'!$J$5:$J$1640,1,'Bank Lines'!$C$5:$C$1640,"&lt;="&amp;Cover!$C$15),2)</f>
        <v>718.65</v>
      </c>
      <c r="Z162" s="9">
        <f>ROUND(SUMIFS('Odoo Items'!$G$5:$G$4331,'Odoo Items'!$J$5:$J$4331,A162,'Odoo Items'!$C$5:$C$4331,"&lt;="&amp;Cover!$C$15),2)</f>
        <v>718.65</v>
      </c>
      <c r="AA162">
        <f>COUNTIFS('Bank Lines'!$G$5:$G$1640,A162,'Bank Lines'!$J$5:$J$1640,1,'Bank Lines'!$C$5:$C$1640,"&lt;="&amp;Cover!$C$15)</f>
        <v>1</v>
      </c>
      <c r="AB162">
        <f>COUNTIFS('Odoo Items'!$J$5:$J$4331,A162,'Odoo Items'!$C$5:$C$4331,"&lt;="&amp;Cover!$C$15)</f>
        <v>4</v>
      </c>
      <c r="AC162" t="str">
        <f>IF(AND(AA162=0,AB162=0),"",IF(AA162=0,"ODOO-ONLY",IF(AB162=0,"BANK-ONLY","BOTH")))</f>
        <v>BOTH</v>
      </c>
      <c r="AD162" s="9">
        <f>IF(AC162="BOTH",ROUND(Y162-Z162,2),0)</f>
        <v>0</v>
      </c>
    </row>
    <row r="163">
      <c r="A163" t="inlineStr">
        <is>
          <t>G00159</t>
        </is>
      </c>
      <c r="B163" t="inlineStr">
        <is>
          <t>OPS</t>
        </is>
      </c>
      <c r="C163" t="inlineStr">
        <is>
          <t>R03</t>
        </is>
      </c>
      <c r="D163" t="inlineStr">
        <is>
          <t>REG</t>
        </is>
      </c>
      <c r="E163" t="inlineStr">
        <is>
          <t>Riverbend Plan Partners</t>
        </is>
      </c>
      <c r="F163" t="n">
        <v>1</v>
      </c>
      <c r="G163" t="inlineStr">
        <is>
          <t>Receipt not registered in Odoo; remittance RA44880 lists 12 invoices</t>
        </is>
      </c>
      <c r="H163">
        <f>COUNTIFS('Bank Lines'!$G$5:$G$1640,A163,'Bank Lines'!$J$5:$J$1640,1)</f>
        <v>1</v>
      </c>
      <c r="I163">
        <f>COUNTIFS('Odoo Items'!$J$5:$J$4331,A163)</f>
        <v>0</v>
      </c>
      <c r="J163" s="9">
        <f>ROUND(SUMIFS('Bank Lines'!$E$5:$E$1640,'Bank Lines'!$G$5:$G$1640,A163,'Bank Lines'!$J$5:$J$1640,1),2)</f>
        <v>3339.34</v>
      </c>
      <c r="K163" s="9">
        <f>ROUND(SUMIFS('Odoo Items'!$G$5:$G$4331,'Odoo Items'!$J$5:$J$4331,A163),2)</f>
        <v>0</v>
      </c>
      <c r="L163" s="9">
        <f>ROUND(J163-K163,2)</f>
        <v>3339.34</v>
      </c>
      <c r="M163" s="9">
        <f>ROUND(SUMIFS('Bank Lines'!$E$5:$E$1640,'Bank Lines'!$G$5:$G$1640,A163,'Bank Lines'!$J$5:$J$1640,1,'Bank Lines'!$C$5:$C$1640,"&lt;="&amp;Cover!$C$13),2)</f>
        <v>3339.34</v>
      </c>
      <c r="N163" s="9">
        <f>ROUND(SUMIFS('Odoo Items'!$G$5:$G$4331,'Odoo Items'!$J$5:$J$4331,A163,'Odoo Items'!$C$5:$C$4331,"&lt;="&amp;Cover!$C$13),2)</f>
        <v>0</v>
      </c>
      <c r="O163">
        <f>COUNTIFS('Bank Lines'!$G$5:$G$1640,A163,'Bank Lines'!$J$5:$J$1640,1,'Bank Lines'!$C$5:$C$1640,"&lt;="&amp;Cover!$C$13)</f>
        <v>1</v>
      </c>
      <c r="P163">
        <f>COUNTIFS('Odoo Items'!$J$5:$J$4331,A163,'Odoo Items'!$C$5:$C$4331,"&lt;="&amp;Cover!$C$13)</f>
        <v>0</v>
      </c>
      <c r="Q163" t="str">
        <f>IF(AND(O163=0,P163=0),"",IF(O163=0,"ODOO-ONLY",IF(P163=0,"BANK-ONLY","BOTH")))</f>
        <v>BANK-ONLY</v>
      </c>
      <c r="R163" s="9">
        <f>IF(Q163="BOTH",ROUND(M163-N163,2),0)</f>
        <v>0</v>
      </c>
      <c r="S163" s="9">
        <f>ROUND(SUMIFS('Bank Lines'!$E$5:$E$1640,'Bank Lines'!$G$5:$G$1640,A163,'Bank Lines'!$J$5:$J$1640,1,'Bank Lines'!$C$5:$C$1640,"&lt;="&amp;Cover!$C$14),2)</f>
        <v>3339.34</v>
      </c>
      <c r="T163" s="9">
        <f>ROUND(SUMIFS('Odoo Items'!$G$5:$G$4331,'Odoo Items'!$J$5:$J$4331,A163,'Odoo Items'!$C$5:$C$4331,"&lt;="&amp;Cover!$C$14),2)</f>
        <v>0</v>
      </c>
      <c r="U163">
        <f>COUNTIFS('Bank Lines'!$G$5:$G$1640,A163,'Bank Lines'!$J$5:$J$1640,1,'Bank Lines'!$C$5:$C$1640,"&lt;="&amp;Cover!$C$14)</f>
        <v>1</v>
      </c>
      <c r="V163">
        <f>COUNTIFS('Odoo Items'!$J$5:$J$4331,A163,'Odoo Items'!$C$5:$C$4331,"&lt;="&amp;Cover!$C$14)</f>
        <v>0</v>
      </c>
      <c r="W163" t="str">
        <f>IF(AND(U163=0,V163=0),"",IF(U163=0,"ODOO-ONLY",IF(V163=0,"BANK-ONLY","BOTH")))</f>
        <v>BANK-ONLY</v>
      </c>
      <c r="X163" s="9">
        <f>IF(W163="BOTH",ROUND(S163-T163,2),0)</f>
        <v>0</v>
      </c>
      <c r="Y163" s="9">
        <f>ROUND(SUMIFS('Bank Lines'!$E$5:$E$1640,'Bank Lines'!$G$5:$G$1640,A163,'Bank Lines'!$J$5:$J$1640,1,'Bank Lines'!$C$5:$C$1640,"&lt;="&amp;Cover!$C$15),2)</f>
        <v>3339.34</v>
      </c>
      <c r="Z163" s="9">
        <f>ROUND(SUMIFS('Odoo Items'!$G$5:$G$4331,'Odoo Items'!$J$5:$J$4331,A163,'Odoo Items'!$C$5:$C$4331,"&lt;="&amp;Cover!$C$15),2)</f>
        <v>0</v>
      </c>
      <c r="AA163">
        <f>COUNTIFS('Bank Lines'!$G$5:$G$1640,A163,'Bank Lines'!$J$5:$J$1640,1,'Bank Lines'!$C$5:$C$1640,"&lt;="&amp;Cover!$C$15)</f>
        <v>1</v>
      </c>
      <c r="AB163">
        <f>COUNTIFS('Odoo Items'!$J$5:$J$4331,A163,'Odoo Items'!$C$5:$C$4331,"&lt;="&amp;Cover!$C$15)</f>
        <v>0</v>
      </c>
      <c r="AC163" t="str">
        <f>IF(AND(AA163=0,AB163=0),"",IF(AA163=0,"ODOO-ONLY",IF(AB163=0,"BANK-ONLY","BOTH")))</f>
        <v>BANK-ONLY</v>
      </c>
      <c r="AD163" s="9">
        <f>IF(AC163="BOTH",ROUND(Y163-Z163,2),0)</f>
        <v>0</v>
      </c>
    </row>
    <row r="164">
      <c r="A164" t="inlineStr">
        <is>
          <t>G00160</t>
        </is>
      </c>
      <c r="B164" t="inlineStr">
        <is>
          <t>OPS</t>
        </is>
      </c>
      <c r="C164" t="inlineStr">
        <is>
          <t>R03</t>
        </is>
      </c>
      <c r="D164" t="inlineStr">
        <is>
          <t>MATCH</t>
        </is>
      </c>
      <c r="E164" t="inlineStr">
        <is>
          <t>Clearpath NDIS Plans</t>
        </is>
      </c>
      <c r="F164" t="n">
        <v>1</v>
      </c>
      <c r="G164" t="inlineStr">
        <is>
          <t>2 invoices</t>
        </is>
      </c>
      <c r="H164">
        <f>COUNTIFS('Bank Lines'!$G$5:$G$1640,A164,'Bank Lines'!$J$5:$J$1640,1)</f>
        <v>1</v>
      </c>
      <c r="I164">
        <f>COUNTIFS('Odoo Items'!$J$5:$J$4331,A164)</f>
        <v>2</v>
      </c>
      <c r="J164" s="9">
        <f>ROUND(SUMIFS('Bank Lines'!$E$5:$E$1640,'Bank Lines'!$G$5:$G$1640,A164,'Bank Lines'!$J$5:$J$1640,1),2)</f>
        <v>300.68</v>
      </c>
      <c r="K164" s="9">
        <f>ROUND(SUMIFS('Odoo Items'!$G$5:$G$4331,'Odoo Items'!$J$5:$J$4331,A164),2)</f>
        <v>300.68</v>
      </c>
      <c r="L164" s="9">
        <f>ROUND(J164-K164,2)</f>
        <v>0</v>
      </c>
      <c r="M164" s="9">
        <f>ROUND(SUMIFS('Bank Lines'!$E$5:$E$1640,'Bank Lines'!$G$5:$G$1640,A164,'Bank Lines'!$J$5:$J$1640,1,'Bank Lines'!$C$5:$C$1640,"&lt;="&amp;Cover!$C$13),2)</f>
        <v>300.68</v>
      </c>
      <c r="N164" s="9">
        <f>ROUND(SUMIFS('Odoo Items'!$G$5:$G$4331,'Odoo Items'!$J$5:$J$4331,A164,'Odoo Items'!$C$5:$C$4331,"&lt;="&amp;Cover!$C$13),2)</f>
        <v>300.68</v>
      </c>
      <c r="O164">
        <f>COUNTIFS('Bank Lines'!$G$5:$G$1640,A164,'Bank Lines'!$J$5:$J$1640,1,'Bank Lines'!$C$5:$C$1640,"&lt;="&amp;Cover!$C$13)</f>
        <v>1</v>
      </c>
      <c r="P164">
        <f>COUNTIFS('Odoo Items'!$J$5:$J$4331,A164,'Odoo Items'!$C$5:$C$4331,"&lt;="&amp;Cover!$C$13)</f>
        <v>2</v>
      </c>
      <c r="Q164" t="str">
        <f>IF(AND(O164=0,P164=0),"",IF(O164=0,"ODOO-ONLY",IF(P164=0,"BANK-ONLY","BOTH")))</f>
        <v>BOTH</v>
      </c>
      <c r="R164" s="9">
        <f>IF(Q164="BOTH",ROUND(M164-N164,2),0)</f>
        <v>0</v>
      </c>
      <c r="S164" s="9">
        <f>ROUND(SUMIFS('Bank Lines'!$E$5:$E$1640,'Bank Lines'!$G$5:$G$1640,A164,'Bank Lines'!$J$5:$J$1640,1,'Bank Lines'!$C$5:$C$1640,"&lt;="&amp;Cover!$C$14),2)</f>
        <v>300.68</v>
      </c>
      <c r="T164" s="9">
        <f>ROUND(SUMIFS('Odoo Items'!$G$5:$G$4331,'Odoo Items'!$J$5:$J$4331,A164,'Odoo Items'!$C$5:$C$4331,"&lt;="&amp;Cover!$C$14),2)</f>
        <v>300.68</v>
      </c>
      <c r="U164">
        <f>COUNTIFS('Bank Lines'!$G$5:$G$1640,A164,'Bank Lines'!$J$5:$J$1640,1,'Bank Lines'!$C$5:$C$1640,"&lt;="&amp;Cover!$C$14)</f>
        <v>1</v>
      </c>
      <c r="V164">
        <f>COUNTIFS('Odoo Items'!$J$5:$J$4331,A164,'Odoo Items'!$C$5:$C$4331,"&lt;="&amp;Cover!$C$14)</f>
        <v>2</v>
      </c>
      <c r="W164" t="str">
        <f>IF(AND(U164=0,V164=0),"",IF(U164=0,"ODOO-ONLY",IF(V164=0,"BANK-ONLY","BOTH")))</f>
        <v>BOTH</v>
      </c>
      <c r="X164" s="9">
        <f>IF(W164="BOTH",ROUND(S164-T164,2),0)</f>
        <v>0</v>
      </c>
      <c r="Y164" s="9">
        <f>ROUND(SUMIFS('Bank Lines'!$E$5:$E$1640,'Bank Lines'!$G$5:$G$1640,A164,'Bank Lines'!$J$5:$J$1640,1,'Bank Lines'!$C$5:$C$1640,"&lt;="&amp;Cover!$C$15),2)</f>
        <v>300.68</v>
      </c>
      <c r="Z164" s="9">
        <f>ROUND(SUMIFS('Odoo Items'!$G$5:$G$4331,'Odoo Items'!$J$5:$J$4331,A164,'Odoo Items'!$C$5:$C$4331,"&lt;="&amp;Cover!$C$15),2)</f>
        <v>300.68</v>
      </c>
      <c r="AA164">
        <f>COUNTIFS('Bank Lines'!$G$5:$G$1640,A164,'Bank Lines'!$J$5:$J$1640,1,'Bank Lines'!$C$5:$C$1640,"&lt;="&amp;Cover!$C$15)</f>
        <v>1</v>
      </c>
      <c r="AB164">
        <f>COUNTIFS('Odoo Items'!$J$5:$J$4331,A164,'Odoo Items'!$C$5:$C$4331,"&lt;="&amp;Cover!$C$15)</f>
        <v>2</v>
      </c>
      <c r="AC164" t="str">
        <f>IF(AND(AA164=0,AB164=0),"",IF(AA164=0,"ODOO-ONLY",IF(AB164=0,"BANK-ONLY","BOTH")))</f>
        <v>BOTH</v>
      </c>
      <c r="AD164" s="9">
        <f>IF(AC164="BOTH",ROUND(Y164-Z164,2),0)</f>
        <v>0</v>
      </c>
    </row>
    <row r="165">
      <c r="A165" t="inlineStr">
        <is>
          <t>G00161</t>
        </is>
      </c>
      <c r="B165" t="inlineStr">
        <is>
          <t>OPS</t>
        </is>
      </c>
      <c r="C165" t="inlineStr">
        <is>
          <t>R03</t>
        </is>
      </c>
      <c r="D165" t="inlineStr">
        <is>
          <t>REG</t>
        </is>
      </c>
      <c r="E165" t="inlineStr">
        <is>
          <t>Banksia Plan Co</t>
        </is>
      </c>
      <c r="F165" t="n">
        <v>1</v>
      </c>
      <c r="G165" t="inlineStr">
        <is>
          <t>Receipt not registered in Odoo; remittance RA44882 lists 6 invoices</t>
        </is>
      </c>
      <c r="H165">
        <f>COUNTIFS('Bank Lines'!$G$5:$G$1640,A165,'Bank Lines'!$J$5:$J$1640,1)</f>
        <v>1</v>
      </c>
      <c r="I165">
        <f>COUNTIFS('Odoo Items'!$J$5:$J$4331,A165)</f>
        <v>0</v>
      </c>
      <c r="J165" s="9">
        <f>ROUND(SUMIFS('Bank Lines'!$E$5:$E$1640,'Bank Lines'!$G$5:$G$1640,A165,'Bank Lines'!$J$5:$J$1640,1),2)</f>
        <v>1718.61</v>
      </c>
      <c r="K165" s="9">
        <f>ROUND(SUMIFS('Odoo Items'!$G$5:$G$4331,'Odoo Items'!$J$5:$J$4331,A165),2)</f>
        <v>0</v>
      </c>
      <c r="L165" s="9">
        <f>ROUND(J165-K165,2)</f>
        <v>1718.61</v>
      </c>
      <c r="M165" s="9">
        <f>ROUND(SUMIFS('Bank Lines'!$E$5:$E$1640,'Bank Lines'!$G$5:$G$1640,A165,'Bank Lines'!$J$5:$J$1640,1,'Bank Lines'!$C$5:$C$1640,"&lt;="&amp;Cover!$C$13),2)</f>
        <v>1718.61</v>
      </c>
      <c r="N165" s="9">
        <f>ROUND(SUMIFS('Odoo Items'!$G$5:$G$4331,'Odoo Items'!$J$5:$J$4331,A165,'Odoo Items'!$C$5:$C$4331,"&lt;="&amp;Cover!$C$13),2)</f>
        <v>0</v>
      </c>
      <c r="O165">
        <f>COUNTIFS('Bank Lines'!$G$5:$G$1640,A165,'Bank Lines'!$J$5:$J$1640,1,'Bank Lines'!$C$5:$C$1640,"&lt;="&amp;Cover!$C$13)</f>
        <v>1</v>
      </c>
      <c r="P165">
        <f>COUNTIFS('Odoo Items'!$J$5:$J$4331,A165,'Odoo Items'!$C$5:$C$4331,"&lt;="&amp;Cover!$C$13)</f>
        <v>0</v>
      </c>
      <c r="Q165" t="str">
        <f>IF(AND(O165=0,P165=0),"",IF(O165=0,"ODOO-ONLY",IF(P165=0,"BANK-ONLY","BOTH")))</f>
        <v>BANK-ONLY</v>
      </c>
      <c r="R165" s="9">
        <f>IF(Q165="BOTH",ROUND(M165-N165,2),0)</f>
        <v>0</v>
      </c>
      <c r="S165" s="9">
        <f>ROUND(SUMIFS('Bank Lines'!$E$5:$E$1640,'Bank Lines'!$G$5:$G$1640,A165,'Bank Lines'!$J$5:$J$1640,1,'Bank Lines'!$C$5:$C$1640,"&lt;="&amp;Cover!$C$14),2)</f>
        <v>1718.61</v>
      </c>
      <c r="T165" s="9">
        <f>ROUND(SUMIFS('Odoo Items'!$G$5:$G$4331,'Odoo Items'!$J$5:$J$4331,A165,'Odoo Items'!$C$5:$C$4331,"&lt;="&amp;Cover!$C$14),2)</f>
        <v>0</v>
      </c>
      <c r="U165">
        <f>COUNTIFS('Bank Lines'!$G$5:$G$1640,A165,'Bank Lines'!$J$5:$J$1640,1,'Bank Lines'!$C$5:$C$1640,"&lt;="&amp;Cover!$C$14)</f>
        <v>1</v>
      </c>
      <c r="V165">
        <f>COUNTIFS('Odoo Items'!$J$5:$J$4331,A165,'Odoo Items'!$C$5:$C$4331,"&lt;="&amp;Cover!$C$14)</f>
        <v>0</v>
      </c>
      <c r="W165" t="str">
        <f>IF(AND(U165=0,V165=0),"",IF(U165=0,"ODOO-ONLY",IF(V165=0,"BANK-ONLY","BOTH")))</f>
        <v>BANK-ONLY</v>
      </c>
      <c r="X165" s="9">
        <f>IF(W165="BOTH",ROUND(S165-T165,2),0)</f>
        <v>0</v>
      </c>
      <c r="Y165" s="9">
        <f>ROUND(SUMIFS('Bank Lines'!$E$5:$E$1640,'Bank Lines'!$G$5:$G$1640,A165,'Bank Lines'!$J$5:$J$1640,1,'Bank Lines'!$C$5:$C$1640,"&lt;="&amp;Cover!$C$15),2)</f>
        <v>1718.61</v>
      </c>
      <c r="Z165" s="9">
        <f>ROUND(SUMIFS('Odoo Items'!$G$5:$G$4331,'Odoo Items'!$J$5:$J$4331,A165,'Odoo Items'!$C$5:$C$4331,"&lt;="&amp;Cover!$C$15),2)</f>
        <v>0</v>
      </c>
      <c r="AA165">
        <f>COUNTIFS('Bank Lines'!$G$5:$G$1640,A165,'Bank Lines'!$J$5:$J$1640,1,'Bank Lines'!$C$5:$C$1640,"&lt;="&amp;Cover!$C$15)</f>
        <v>1</v>
      </c>
      <c r="AB165">
        <f>COUNTIFS('Odoo Items'!$J$5:$J$4331,A165,'Odoo Items'!$C$5:$C$4331,"&lt;="&amp;Cover!$C$15)</f>
        <v>0</v>
      </c>
      <c r="AC165" t="str">
        <f>IF(AND(AA165=0,AB165=0),"",IF(AA165=0,"ODOO-ONLY",IF(AB165=0,"BANK-ONLY","BOTH")))</f>
        <v>BANK-ONLY</v>
      </c>
      <c r="AD165" s="9">
        <f>IF(AC165="BOTH",ROUND(Y165-Z165,2),0)</f>
        <v>0</v>
      </c>
    </row>
    <row r="166">
      <c r="A166" t="inlineStr">
        <is>
          <t>G00162</t>
        </is>
      </c>
      <c r="B166" t="inlineStr">
        <is>
          <t>OPS</t>
        </is>
      </c>
      <c r="C166" t="inlineStr">
        <is>
          <t>R03</t>
        </is>
      </c>
      <c r="D166" t="inlineStr">
        <is>
          <t>MATCH</t>
        </is>
      </c>
      <c r="E166" t="inlineStr">
        <is>
          <t>Ironbark Plan Management</t>
        </is>
      </c>
      <c r="F166" t="n">
        <v>1</v>
      </c>
      <c r="G166" t="inlineStr">
        <is>
          <t>4 invoices; 1 short-paid, registered correctly</t>
        </is>
      </c>
      <c r="H166">
        <f>COUNTIFS('Bank Lines'!$G$5:$G$1640,A166,'Bank Lines'!$J$5:$J$1640,1)</f>
        <v>1</v>
      </c>
      <c r="I166">
        <f>COUNTIFS('Odoo Items'!$J$5:$J$4331,A166)</f>
        <v>4</v>
      </c>
      <c r="J166" s="9">
        <f>ROUND(SUMIFS('Bank Lines'!$E$5:$E$1640,'Bank Lines'!$G$5:$G$1640,A166,'Bank Lines'!$J$5:$J$1640,1),2)</f>
        <v>911.75</v>
      </c>
      <c r="K166" s="9">
        <f>ROUND(SUMIFS('Odoo Items'!$G$5:$G$4331,'Odoo Items'!$J$5:$J$4331,A166),2)</f>
        <v>911.75</v>
      </c>
      <c r="L166" s="9">
        <f>ROUND(J166-K166,2)</f>
        <v>0</v>
      </c>
      <c r="M166" s="9">
        <f>ROUND(SUMIFS('Bank Lines'!$E$5:$E$1640,'Bank Lines'!$G$5:$G$1640,A166,'Bank Lines'!$J$5:$J$1640,1,'Bank Lines'!$C$5:$C$1640,"&lt;="&amp;Cover!$C$13),2)</f>
        <v>911.75</v>
      </c>
      <c r="N166" s="9">
        <f>ROUND(SUMIFS('Odoo Items'!$G$5:$G$4331,'Odoo Items'!$J$5:$J$4331,A166,'Odoo Items'!$C$5:$C$4331,"&lt;="&amp;Cover!$C$13),2)</f>
        <v>911.75</v>
      </c>
      <c r="O166">
        <f>COUNTIFS('Bank Lines'!$G$5:$G$1640,A166,'Bank Lines'!$J$5:$J$1640,1,'Bank Lines'!$C$5:$C$1640,"&lt;="&amp;Cover!$C$13)</f>
        <v>1</v>
      </c>
      <c r="P166">
        <f>COUNTIFS('Odoo Items'!$J$5:$J$4331,A166,'Odoo Items'!$C$5:$C$4331,"&lt;="&amp;Cover!$C$13)</f>
        <v>4</v>
      </c>
      <c r="Q166" t="str">
        <f>IF(AND(O166=0,P166=0),"",IF(O166=0,"ODOO-ONLY",IF(P166=0,"BANK-ONLY","BOTH")))</f>
        <v>BOTH</v>
      </c>
      <c r="R166" s="9">
        <f>IF(Q166="BOTH",ROUND(M166-N166,2),0)</f>
        <v>0</v>
      </c>
      <c r="S166" s="9">
        <f>ROUND(SUMIFS('Bank Lines'!$E$5:$E$1640,'Bank Lines'!$G$5:$G$1640,A166,'Bank Lines'!$J$5:$J$1640,1,'Bank Lines'!$C$5:$C$1640,"&lt;="&amp;Cover!$C$14),2)</f>
        <v>911.75</v>
      </c>
      <c r="T166" s="9">
        <f>ROUND(SUMIFS('Odoo Items'!$G$5:$G$4331,'Odoo Items'!$J$5:$J$4331,A166,'Odoo Items'!$C$5:$C$4331,"&lt;="&amp;Cover!$C$14),2)</f>
        <v>911.75</v>
      </c>
      <c r="U166">
        <f>COUNTIFS('Bank Lines'!$G$5:$G$1640,A166,'Bank Lines'!$J$5:$J$1640,1,'Bank Lines'!$C$5:$C$1640,"&lt;="&amp;Cover!$C$14)</f>
        <v>1</v>
      </c>
      <c r="V166">
        <f>COUNTIFS('Odoo Items'!$J$5:$J$4331,A166,'Odoo Items'!$C$5:$C$4331,"&lt;="&amp;Cover!$C$14)</f>
        <v>4</v>
      </c>
      <c r="W166" t="str">
        <f>IF(AND(U166=0,V166=0),"",IF(U166=0,"ODOO-ONLY",IF(V166=0,"BANK-ONLY","BOTH")))</f>
        <v>BOTH</v>
      </c>
      <c r="X166" s="9">
        <f>IF(W166="BOTH",ROUND(S166-T166,2),0)</f>
        <v>0</v>
      </c>
      <c r="Y166" s="9">
        <f>ROUND(SUMIFS('Bank Lines'!$E$5:$E$1640,'Bank Lines'!$G$5:$G$1640,A166,'Bank Lines'!$J$5:$J$1640,1,'Bank Lines'!$C$5:$C$1640,"&lt;="&amp;Cover!$C$15),2)</f>
        <v>911.75</v>
      </c>
      <c r="Z166" s="9">
        <f>ROUND(SUMIFS('Odoo Items'!$G$5:$G$4331,'Odoo Items'!$J$5:$J$4331,A166,'Odoo Items'!$C$5:$C$4331,"&lt;="&amp;Cover!$C$15),2)</f>
        <v>911.75</v>
      </c>
      <c r="AA166">
        <f>COUNTIFS('Bank Lines'!$G$5:$G$1640,A166,'Bank Lines'!$J$5:$J$1640,1,'Bank Lines'!$C$5:$C$1640,"&lt;="&amp;Cover!$C$15)</f>
        <v>1</v>
      </c>
      <c r="AB166">
        <f>COUNTIFS('Odoo Items'!$J$5:$J$4331,A166,'Odoo Items'!$C$5:$C$4331,"&lt;="&amp;Cover!$C$15)</f>
        <v>4</v>
      </c>
      <c r="AC166" t="str">
        <f>IF(AND(AA166=0,AB166=0),"",IF(AA166=0,"ODOO-ONLY",IF(AB166=0,"BANK-ONLY","BOTH")))</f>
        <v>BOTH</v>
      </c>
      <c r="AD166" s="9">
        <f>IF(AC166="BOTH",ROUND(Y166-Z166,2),0)</f>
        <v>0</v>
      </c>
    </row>
    <row r="167">
      <c r="A167" t="inlineStr">
        <is>
          <t>G00163</t>
        </is>
      </c>
      <c r="B167" t="inlineStr">
        <is>
          <t>OPS</t>
        </is>
      </c>
      <c r="C167" t="inlineStr">
        <is>
          <t>R03</t>
        </is>
      </c>
      <c r="D167" t="inlineStr">
        <is>
          <t>MATCH</t>
        </is>
      </c>
      <c r="E167" t="inlineStr">
        <is>
          <t>Tallowwood Plans</t>
        </is>
      </c>
      <c r="F167" t="n">
        <v>1</v>
      </c>
      <c r="G167" t="inlineStr">
        <is>
          <t>2 invoices</t>
        </is>
      </c>
      <c r="H167">
        <f>COUNTIFS('Bank Lines'!$G$5:$G$1640,A167,'Bank Lines'!$J$5:$J$1640,1)</f>
        <v>1</v>
      </c>
      <c r="I167">
        <f>COUNTIFS('Odoo Items'!$J$5:$J$4331,A167)</f>
        <v>2</v>
      </c>
      <c r="J167" s="9">
        <f>ROUND(SUMIFS('Bank Lines'!$E$5:$E$1640,'Bank Lines'!$G$5:$G$1640,A167,'Bank Lines'!$J$5:$J$1640,1),2)</f>
        <v>446.17</v>
      </c>
      <c r="K167" s="9">
        <f>ROUND(SUMIFS('Odoo Items'!$G$5:$G$4331,'Odoo Items'!$J$5:$J$4331,A167),2)</f>
        <v>446.17</v>
      </c>
      <c r="L167" s="9">
        <f>ROUND(J167-K167,2)</f>
        <v>0</v>
      </c>
      <c r="M167" s="9">
        <f>ROUND(SUMIFS('Bank Lines'!$E$5:$E$1640,'Bank Lines'!$G$5:$G$1640,A167,'Bank Lines'!$J$5:$J$1640,1,'Bank Lines'!$C$5:$C$1640,"&lt;="&amp;Cover!$C$13),2)</f>
        <v>446.17</v>
      </c>
      <c r="N167" s="9">
        <f>ROUND(SUMIFS('Odoo Items'!$G$5:$G$4331,'Odoo Items'!$J$5:$J$4331,A167,'Odoo Items'!$C$5:$C$4331,"&lt;="&amp;Cover!$C$13),2)</f>
        <v>446.17</v>
      </c>
      <c r="O167">
        <f>COUNTIFS('Bank Lines'!$G$5:$G$1640,A167,'Bank Lines'!$J$5:$J$1640,1,'Bank Lines'!$C$5:$C$1640,"&lt;="&amp;Cover!$C$13)</f>
        <v>1</v>
      </c>
      <c r="P167">
        <f>COUNTIFS('Odoo Items'!$J$5:$J$4331,A167,'Odoo Items'!$C$5:$C$4331,"&lt;="&amp;Cover!$C$13)</f>
        <v>2</v>
      </c>
      <c r="Q167" t="str">
        <f>IF(AND(O167=0,P167=0),"",IF(O167=0,"ODOO-ONLY",IF(P167=0,"BANK-ONLY","BOTH")))</f>
        <v>BOTH</v>
      </c>
      <c r="R167" s="9">
        <f>IF(Q167="BOTH",ROUND(M167-N167,2),0)</f>
        <v>0</v>
      </c>
      <c r="S167" s="9">
        <f>ROUND(SUMIFS('Bank Lines'!$E$5:$E$1640,'Bank Lines'!$G$5:$G$1640,A167,'Bank Lines'!$J$5:$J$1640,1,'Bank Lines'!$C$5:$C$1640,"&lt;="&amp;Cover!$C$14),2)</f>
        <v>446.17</v>
      </c>
      <c r="T167" s="9">
        <f>ROUND(SUMIFS('Odoo Items'!$G$5:$G$4331,'Odoo Items'!$J$5:$J$4331,A167,'Odoo Items'!$C$5:$C$4331,"&lt;="&amp;Cover!$C$14),2)</f>
        <v>446.17</v>
      </c>
      <c r="U167">
        <f>COUNTIFS('Bank Lines'!$G$5:$G$1640,A167,'Bank Lines'!$J$5:$J$1640,1,'Bank Lines'!$C$5:$C$1640,"&lt;="&amp;Cover!$C$14)</f>
        <v>1</v>
      </c>
      <c r="V167">
        <f>COUNTIFS('Odoo Items'!$J$5:$J$4331,A167,'Odoo Items'!$C$5:$C$4331,"&lt;="&amp;Cover!$C$14)</f>
        <v>2</v>
      </c>
      <c r="W167" t="str">
        <f>IF(AND(U167=0,V167=0),"",IF(U167=0,"ODOO-ONLY",IF(V167=0,"BANK-ONLY","BOTH")))</f>
        <v>BOTH</v>
      </c>
      <c r="X167" s="9">
        <f>IF(W167="BOTH",ROUND(S167-T167,2),0)</f>
        <v>0</v>
      </c>
      <c r="Y167" s="9">
        <f>ROUND(SUMIFS('Bank Lines'!$E$5:$E$1640,'Bank Lines'!$G$5:$G$1640,A167,'Bank Lines'!$J$5:$J$1640,1,'Bank Lines'!$C$5:$C$1640,"&lt;="&amp;Cover!$C$15),2)</f>
        <v>446.17</v>
      </c>
      <c r="Z167" s="9">
        <f>ROUND(SUMIFS('Odoo Items'!$G$5:$G$4331,'Odoo Items'!$J$5:$J$4331,A167,'Odoo Items'!$C$5:$C$4331,"&lt;="&amp;Cover!$C$15),2)</f>
        <v>446.17</v>
      </c>
      <c r="AA167">
        <f>COUNTIFS('Bank Lines'!$G$5:$G$1640,A167,'Bank Lines'!$J$5:$J$1640,1,'Bank Lines'!$C$5:$C$1640,"&lt;="&amp;Cover!$C$15)</f>
        <v>1</v>
      </c>
      <c r="AB167">
        <f>COUNTIFS('Odoo Items'!$J$5:$J$4331,A167,'Odoo Items'!$C$5:$C$4331,"&lt;="&amp;Cover!$C$15)</f>
        <v>2</v>
      </c>
      <c r="AC167" t="str">
        <f>IF(AND(AA167=0,AB167=0),"",IF(AA167=0,"ODOO-ONLY",IF(AB167=0,"BANK-ONLY","BOTH")))</f>
        <v>BOTH</v>
      </c>
      <c r="AD167" s="9">
        <f>IF(AC167="BOTH",ROUND(Y167-Z167,2),0)</f>
        <v>0</v>
      </c>
    </row>
    <row r="168">
      <c r="A168" t="inlineStr">
        <is>
          <t>G00164</t>
        </is>
      </c>
      <c r="B168" t="inlineStr">
        <is>
          <t>OPS</t>
        </is>
      </c>
      <c r="C168" t="inlineStr">
        <is>
          <t>R03</t>
        </is>
      </c>
      <c r="D168" t="inlineStr">
        <is>
          <t>MATCH</t>
        </is>
      </c>
      <c r="E168" t="inlineStr">
        <is>
          <t>Acacia Plan Partners</t>
        </is>
      </c>
      <c r="F168" t="n">
        <v>0.973</v>
      </c>
      <c r="G168" t="inlineStr">
        <is>
          <t>6 invoices</t>
        </is>
      </c>
      <c r="H168">
        <f>COUNTIFS('Bank Lines'!$G$5:$G$1640,A168,'Bank Lines'!$J$5:$J$1640,1)</f>
        <v>1</v>
      </c>
      <c r="I168">
        <f>COUNTIFS('Odoo Items'!$J$5:$J$4331,A168)</f>
        <v>6</v>
      </c>
      <c r="J168" s="9">
        <f>ROUND(SUMIFS('Bank Lines'!$E$5:$E$1640,'Bank Lines'!$G$5:$G$1640,A168,'Bank Lines'!$J$5:$J$1640,1),2)</f>
        <v>1242.43</v>
      </c>
      <c r="K168" s="9">
        <f>ROUND(SUMIFS('Odoo Items'!$G$5:$G$4331,'Odoo Items'!$J$5:$J$4331,A168),2)</f>
        <v>1242.43</v>
      </c>
      <c r="L168" s="9">
        <f>ROUND(J168-K168,2)</f>
        <v>0</v>
      </c>
      <c r="M168" s="9">
        <f>ROUND(SUMIFS('Bank Lines'!$E$5:$E$1640,'Bank Lines'!$G$5:$G$1640,A168,'Bank Lines'!$J$5:$J$1640,1,'Bank Lines'!$C$5:$C$1640,"&lt;="&amp;Cover!$C$13),2)</f>
        <v>1242.43</v>
      </c>
      <c r="N168" s="9">
        <f>ROUND(SUMIFS('Odoo Items'!$G$5:$G$4331,'Odoo Items'!$J$5:$J$4331,A168,'Odoo Items'!$C$5:$C$4331,"&lt;="&amp;Cover!$C$13),2)</f>
        <v>1242.43</v>
      </c>
      <c r="O168">
        <f>COUNTIFS('Bank Lines'!$G$5:$G$1640,A168,'Bank Lines'!$J$5:$J$1640,1,'Bank Lines'!$C$5:$C$1640,"&lt;="&amp;Cover!$C$13)</f>
        <v>1</v>
      </c>
      <c r="P168">
        <f>COUNTIFS('Odoo Items'!$J$5:$J$4331,A168,'Odoo Items'!$C$5:$C$4331,"&lt;="&amp;Cover!$C$13)</f>
        <v>6</v>
      </c>
      <c r="Q168" t="str">
        <f>IF(AND(O168=0,P168=0),"",IF(O168=0,"ODOO-ONLY",IF(P168=0,"BANK-ONLY","BOTH")))</f>
        <v>BOTH</v>
      </c>
      <c r="R168" s="9">
        <f>IF(Q168="BOTH",ROUND(M168-N168,2),0)</f>
        <v>0</v>
      </c>
      <c r="S168" s="9">
        <f>ROUND(SUMIFS('Bank Lines'!$E$5:$E$1640,'Bank Lines'!$G$5:$G$1640,A168,'Bank Lines'!$J$5:$J$1640,1,'Bank Lines'!$C$5:$C$1640,"&lt;="&amp;Cover!$C$14),2)</f>
        <v>1242.43</v>
      </c>
      <c r="T168" s="9">
        <f>ROUND(SUMIFS('Odoo Items'!$G$5:$G$4331,'Odoo Items'!$J$5:$J$4331,A168,'Odoo Items'!$C$5:$C$4331,"&lt;="&amp;Cover!$C$14),2)</f>
        <v>1242.43</v>
      </c>
      <c r="U168">
        <f>COUNTIFS('Bank Lines'!$G$5:$G$1640,A168,'Bank Lines'!$J$5:$J$1640,1,'Bank Lines'!$C$5:$C$1640,"&lt;="&amp;Cover!$C$14)</f>
        <v>1</v>
      </c>
      <c r="V168">
        <f>COUNTIFS('Odoo Items'!$J$5:$J$4331,A168,'Odoo Items'!$C$5:$C$4331,"&lt;="&amp;Cover!$C$14)</f>
        <v>6</v>
      </c>
      <c r="W168" t="str">
        <f>IF(AND(U168=0,V168=0),"",IF(U168=0,"ODOO-ONLY",IF(V168=0,"BANK-ONLY","BOTH")))</f>
        <v>BOTH</v>
      </c>
      <c r="X168" s="9">
        <f>IF(W168="BOTH",ROUND(S168-T168,2),0)</f>
        <v>0</v>
      </c>
      <c r="Y168" s="9">
        <f>ROUND(SUMIFS('Bank Lines'!$E$5:$E$1640,'Bank Lines'!$G$5:$G$1640,A168,'Bank Lines'!$J$5:$J$1640,1,'Bank Lines'!$C$5:$C$1640,"&lt;="&amp;Cover!$C$15),2)</f>
        <v>1242.43</v>
      </c>
      <c r="Z168" s="9">
        <f>ROUND(SUMIFS('Odoo Items'!$G$5:$G$4331,'Odoo Items'!$J$5:$J$4331,A168,'Odoo Items'!$C$5:$C$4331,"&lt;="&amp;Cover!$C$15),2)</f>
        <v>1242.43</v>
      </c>
      <c r="AA168">
        <f>COUNTIFS('Bank Lines'!$G$5:$G$1640,A168,'Bank Lines'!$J$5:$J$1640,1,'Bank Lines'!$C$5:$C$1640,"&lt;="&amp;Cover!$C$15)</f>
        <v>1</v>
      </c>
      <c r="AB168">
        <f>COUNTIFS('Odoo Items'!$J$5:$J$4331,A168,'Odoo Items'!$C$5:$C$4331,"&lt;="&amp;Cover!$C$15)</f>
        <v>6</v>
      </c>
      <c r="AC168" t="str">
        <f>IF(AND(AA168=0,AB168=0),"",IF(AA168=0,"ODOO-ONLY",IF(AB168=0,"BANK-ONLY","BOTH")))</f>
        <v>BOTH</v>
      </c>
      <c r="AD168" s="9">
        <f>IF(AC168="BOTH",ROUND(Y168-Z168,2),0)</f>
        <v>0</v>
      </c>
    </row>
    <row r="169">
      <c r="A169" t="inlineStr">
        <is>
          <t>G00165</t>
        </is>
      </c>
      <c r="B169" t="inlineStr">
        <is>
          <t>OPS</t>
        </is>
      </c>
      <c r="C169" t="inlineStr">
        <is>
          <t>R03</t>
        </is>
      </c>
      <c r="D169" t="inlineStr">
        <is>
          <t>MATCH</t>
        </is>
      </c>
      <c r="E169" t="inlineStr">
        <is>
          <t>Mallee Plan Services</t>
        </is>
      </c>
      <c r="F169" t="n">
        <v>1</v>
      </c>
      <c r="G169" t="inlineStr">
        <is>
          <t>2 invoices</t>
        </is>
      </c>
      <c r="H169">
        <f>COUNTIFS('Bank Lines'!$G$5:$G$1640,A169,'Bank Lines'!$J$5:$J$1640,1)</f>
        <v>1</v>
      </c>
      <c r="I169">
        <f>COUNTIFS('Odoo Items'!$J$5:$J$4331,A169)</f>
        <v>2</v>
      </c>
      <c r="J169" s="9">
        <f>ROUND(SUMIFS('Bank Lines'!$E$5:$E$1640,'Bank Lines'!$G$5:$G$1640,A169,'Bank Lines'!$J$5:$J$1640,1),2)</f>
        <v>290.98</v>
      </c>
      <c r="K169" s="9">
        <f>ROUND(SUMIFS('Odoo Items'!$G$5:$G$4331,'Odoo Items'!$J$5:$J$4331,A169),2)</f>
        <v>290.98</v>
      </c>
      <c r="L169" s="9">
        <f>ROUND(J169-K169,2)</f>
        <v>0</v>
      </c>
      <c r="M169" s="9">
        <f>ROUND(SUMIFS('Bank Lines'!$E$5:$E$1640,'Bank Lines'!$G$5:$G$1640,A169,'Bank Lines'!$J$5:$J$1640,1,'Bank Lines'!$C$5:$C$1640,"&lt;="&amp;Cover!$C$13),2)</f>
        <v>290.98</v>
      </c>
      <c r="N169" s="9">
        <f>ROUND(SUMIFS('Odoo Items'!$G$5:$G$4331,'Odoo Items'!$J$5:$J$4331,A169,'Odoo Items'!$C$5:$C$4331,"&lt;="&amp;Cover!$C$13),2)</f>
        <v>290.98</v>
      </c>
      <c r="O169">
        <f>COUNTIFS('Bank Lines'!$G$5:$G$1640,A169,'Bank Lines'!$J$5:$J$1640,1,'Bank Lines'!$C$5:$C$1640,"&lt;="&amp;Cover!$C$13)</f>
        <v>1</v>
      </c>
      <c r="P169">
        <f>COUNTIFS('Odoo Items'!$J$5:$J$4331,A169,'Odoo Items'!$C$5:$C$4331,"&lt;="&amp;Cover!$C$13)</f>
        <v>2</v>
      </c>
      <c r="Q169" t="str">
        <f>IF(AND(O169=0,P169=0),"",IF(O169=0,"ODOO-ONLY",IF(P169=0,"BANK-ONLY","BOTH")))</f>
        <v>BOTH</v>
      </c>
      <c r="R169" s="9">
        <f>IF(Q169="BOTH",ROUND(M169-N169,2),0)</f>
        <v>0</v>
      </c>
      <c r="S169" s="9">
        <f>ROUND(SUMIFS('Bank Lines'!$E$5:$E$1640,'Bank Lines'!$G$5:$G$1640,A169,'Bank Lines'!$J$5:$J$1640,1,'Bank Lines'!$C$5:$C$1640,"&lt;="&amp;Cover!$C$14),2)</f>
        <v>290.98</v>
      </c>
      <c r="T169" s="9">
        <f>ROUND(SUMIFS('Odoo Items'!$G$5:$G$4331,'Odoo Items'!$J$5:$J$4331,A169,'Odoo Items'!$C$5:$C$4331,"&lt;="&amp;Cover!$C$14),2)</f>
        <v>290.98</v>
      </c>
      <c r="U169">
        <f>COUNTIFS('Bank Lines'!$G$5:$G$1640,A169,'Bank Lines'!$J$5:$J$1640,1,'Bank Lines'!$C$5:$C$1640,"&lt;="&amp;Cover!$C$14)</f>
        <v>1</v>
      </c>
      <c r="V169">
        <f>COUNTIFS('Odoo Items'!$J$5:$J$4331,A169,'Odoo Items'!$C$5:$C$4331,"&lt;="&amp;Cover!$C$14)</f>
        <v>2</v>
      </c>
      <c r="W169" t="str">
        <f>IF(AND(U169=0,V169=0),"",IF(U169=0,"ODOO-ONLY",IF(V169=0,"BANK-ONLY","BOTH")))</f>
        <v>BOTH</v>
      </c>
      <c r="X169" s="9">
        <f>IF(W169="BOTH",ROUND(S169-T169,2),0)</f>
        <v>0</v>
      </c>
      <c r="Y169" s="9">
        <f>ROUND(SUMIFS('Bank Lines'!$E$5:$E$1640,'Bank Lines'!$G$5:$G$1640,A169,'Bank Lines'!$J$5:$J$1640,1,'Bank Lines'!$C$5:$C$1640,"&lt;="&amp;Cover!$C$15),2)</f>
        <v>290.98</v>
      </c>
      <c r="Z169" s="9">
        <f>ROUND(SUMIFS('Odoo Items'!$G$5:$G$4331,'Odoo Items'!$J$5:$J$4331,A169,'Odoo Items'!$C$5:$C$4331,"&lt;="&amp;Cover!$C$15),2)</f>
        <v>290.98</v>
      </c>
      <c r="AA169">
        <f>COUNTIFS('Bank Lines'!$G$5:$G$1640,A169,'Bank Lines'!$J$5:$J$1640,1,'Bank Lines'!$C$5:$C$1640,"&lt;="&amp;Cover!$C$15)</f>
        <v>1</v>
      </c>
      <c r="AB169">
        <f>COUNTIFS('Odoo Items'!$J$5:$J$4331,A169,'Odoo Items'!$C$5:$C$4331,"&lt;="&amp;Cover!$C$15)</f>
        <v>2</v>
      </c>
      <c r="AC169" t="str">
        <f>IF(AND(AA169=0,AB169=0),"",IF(AA169=0,"ODOO-ONLY",IF(AB169=0,"BANK-ONLY","BOTH")))</f>
        <v>BOTH</v>
      </c>
      <c r="AD169" s="9">
        <f>IF(AC169="BOTH",ROUND(Y169-Z169,2),0)</f>
        <v>0</v>
      </c>
    </row>
    <row r="170">
      <c r="A170" t="inlineStr">
        <is>
          <t>G00166</t>
        </is>
      </c>
      <c r="B170" t="inlineStr">
        <is>
          <t>OPS</t>
        </is>
      </c>
      <c r="C170" t="inlineStr">
        <is>
          <t>R03</t>
        </is>
      </c>
      <c r="D170" t="inlineStr">
        <is>
          <t>MATCH</t>
        </is>
      </c>
      <c r="E170" t="inlineStr">
        <is>
          <t>Bluegum Plan Management</t>
        </is>
      </c>
      <c r="F170" t="n">
        <v>0.9</v>
      </c>
      <c r="G170" t="inlineStr">
        <is>
          <t>6 invoices</t>
        </is>
      </c>
      <c r="H170">
        <f>COUNTIFS('Bank Lines'!$G$5:$G$1640,A170,'Bank Lines'!$J$5:$J$1640,1)</f>
        <v>1</v>
      </c>
      <c r="I170">
        <f>COUNTIFS('Odoo Items'!$J$5:$J$4331,A170)</f>
        <v>6</v>
      </c>
      <c r="J170" s="9">
        <f>ROUND(SUMIFS('Bank Lines'!$E$5:$E$1640,'Bank Lines'!$G$5:$G$1640,A170,'Bank Lines'!$J$5:$J$1640,1),2)</f>
        <v>1981.39</v>
      </c>
      <c r="K170" s="9">
        <f>ROUND(SUMIFS('Odoo Items'!$G$5:$G$4331,'Odoo Items'!$J$5:$J$4331,A170),2)</f>
        <v>1981.39</v>
      </c>
      <c r="L170" s="9">
        <f>ROUND(J170-K170,2)</f>
        <v>0</v>
      </c>
      <c r="M170" s="9">
        <f>ROUND(SUMIFS('Bank Lines'!$E$5:$E$1640,'Bank Lines'!$G$5:$G$1640,A170,'Bank Lines'!$J$5:$J$1640,1,'Bank Lines'!$C$5:$C$1640,"&lt;="&amp;Cover!$C$13),2)</f>
        <v>1981.39</v>
      </c>
      <c r="N170" s="9">
        <f>ROUND(SUMIFS('Odoo Items'!$G$5:$G$4331,'Odoo Items'!$J$5:$J$4331,A170,'Odoo Items'!$C$5:$C$4331,"&lt;="&amp;Cover!$C$13),2)</f>
        <v>1981.39</v>
      </c>
      <c r="O170">
        <f>COUNTIFS('Bank Lines'!$G$5:$G$1640,A170,'Bank Lines'!$J$5:$J$1640,1,'Bank Lines'!$C$5:$C$1640,"&lt;="&amp;Cover!$C$13)</f>
        <v>1</v>
      </c>
      <c r="P170">
        <f>COUNTIFS('Odoo Items'!$J$5:$J$4331,A170,'Odoo Items'!$C$5:$C$4331,"&lt;="&amp;Cover!$C$13)</f>
        <v>6</v>
      </c>
      <c r="Q170" t="str">
        <f>IF(AND(O170=0,P170=0),"",IF(O170=0,"ODOO-ONLY",IF(P170=0,"BANK-ONLY","BOTH")))</f>
        <v>BOTH</v>
      </c>
      <c r="R170" s="9">
        <f>IF(Q170="BOTH",ROUND(M170-N170,2),0)</f>
        <v>0</v>
      </c>
      <c r="S170" s="9">
        <f>ROUND(SUMIFS('Bank Lines'!$E$5:$E$1640,'Bank Lines'!$G$5:$G$1640,A170,'Bank Lines'!$J$5:$J$1640,1,'Bank Lines'!$C$5:$C$1640,"&lt;="&amp;Cover!$C$14),2)</f>
        <v>1981.39</v>
      </c>
      <c r="T170" s="9">
        <f>ROUND(SUMIFS('Odoo Items'!$G$5:$G$4331,'Odoo Items'!$J$5:$J$4331,A170,'Odoo Items'!$C$5:$C$4331,"&lt;="&amp;Cover!$C$14),2)</f>
        <v>1981.39</v>
      </c>
      <c r="U170">
        <f>COUNTIFS('Bank Lines'!$G$5:$G$1640,A170,'Bank Lines'!$J$5:$J$1640,1,'Bank Lines'!$C$5:$C$1640,"&lt;="&amp;Cover!$C$14)</f>
        <v>1</v>
      </c>
      <c r="V170">
        <f>COUNTIFS('Odoo Items'!$J$5:$J$4331,A170,'Odoo Items'!$C$5:$C$4331,"&lt;="&amp;Cover!$C$14)</f>
        <v>6</v>
      </c>
      <c r="W170" t="str">
        <f>IF(AND(U170=0,V170=0),"",IF(U170=0,"ODOO-ONLY",IF(V170=0,"BANK-ONLY","BOTH")))</f>
        <v>BOTH</v>
      </c>
      <c r="X170" s="9">
        <f>IF(W170="BOTH",ROUND(S170-T170,2),0)</f>
        <v>0</v>
      </c>
      <c r="Y170" s="9">
        <f>ROUND(SUMIFS('Bank Lines'!$E$5:$E$1640,'Bank Lines'!$G$5:$G$1640,A170,'Bank Lines'!$J$5:$J$1640,1,'Bank Lines'!$C$5:$C$1640,"&lt;="&amp;Cover!$C$15),2)</f>
        <v>1981.39</v>
      </c>
      <c r="Z170" s="9">
        <f>ROUND(SUMIFS('Odoo Items'!$G$5:$G$4331,'Odoo Items'!$J$5:$J$4331,A170,'Odoo Items'!$C$5:$C$4331,"&lt;="&amp;Cover!$C$15),2)</f>
        <v>1981.39</v>
      </c>
      <c r="AA170">
        <f>COUNTIFS('Bank Lines'!$G$5:$G$1640,A170,'Bank Lines'!$J$5:$J$1640,1,'Bank Lines'!$C$5:$C$1640,"&lt;="&amp;Cover!$C$15)</f>
        <v>1</v>
      </c>
      <c r="AB170">
        <f>COUNTIFS('Odoo Items'!$J$5:$J$4331,A170,'Odoo Items'!$C$5:$C$4331,"&lt;="&amp;Cover!$C$15)</f>
        <v>6</v>
      </c>
      <c r="AC170" t="str">
        <f>IF(AND(AA170=0,AB170=0),"",IF(AA170=0,"ODOO-ONLY",IF(AB170=0,"BANK-ONLY","BOTH")))</f>
        <v>BOTH</v>
      </c>
      <c r="AD170" s="9">
        <f>IF(AC170="BOTH",ROUND(Y170-Z170,2),0)</f>
        <v>0</v>
      </c>
    </row>
    <row r="171">
      <c r="A171" t="inlineStr">
        <is>
          <t>G00167</t>
        </is>
      </c>
      <c r="B171" t="inlineStr">
        <is>
          <t>OPS</t>
        </is>
      </c>
      <c r="C171" t="inlineStr">
        <is>
          <t>R03</t>
        </is>
      </c>
      <c r="D171" t="inlineStr">
        <is>
          <t>MATCH</t>
        </is>
      </c>
      <c r="E171" t="inlineStr">
        <is>
          <t>Clearpath NDIS Plans</t>
        </is>
      </c>
      <c r="F171" t="n">
        <v>1</v>
      </c>
      <c r="G171" t="inlineStr">
        <is>
          <t>4 invoices</t>
        </is>
      </c>
      <c r="H171">
        <f>COUNTIFS('Bank Lines'!$G$5:$G$1640,A171,'Bank Lines'!$J$5:$J$1640,1)</f>
        <v>1</v>
      </c>
      <c r="I171">
        <f>COUNTIFS('Odoo Items'!$J$5:$J$4331,A171)</f>
        <v>4</v>
      </c>
      <c r="J171" s="9">
        <f>ROUND(SUMIFS('Bank Lines'!$E$5:$E$1640,'Bank Lines'!$G$5:$G$1640,A171,'Bank Lines'!$J$5:$J$1640,1),2)</f>
        <v>1009.65</v>
      </c>
      <c r="K171" s="9">
        <f>ROUND(SUMIFS('Odoo Items'!$G$5:$G$4331,'Odoo Items'!$J$5:$J$4331,A171),2)</f>
        <v>1009.65</v>
      </c>
      <c r="L171" s="9">
        <f>ROUND(J171-K171,2)</f>
        <v>0</v>
      </c>
      <c r="M171" s="9">
        <f>ROUND(SUMIFS('Bank Lines'!$E$5:$E$1640,'Bank Lines'!$G$5:$G$1640,A171,'Bank Lines'!$J$5:$J$1640,1,'Bank Lines'!$C$5:$C$1640,"&lt;="&amp;Cover!$C$13),2)</f>
        <v>1009.65</v>
      </c>
      <c r="N171" s="9">
        <f>ROUND(SUMIFS('Odoo Items'!$G$5:$G$4331,'Odoo Items'!$J$5:$J$4331,A171,'Odoo Items'!$C$5:$C$4331,"&lt;="&amp;Cover!$C$13),2)</f>
        <v>1009.65</v>
      </c>
      <c r="O171">
        <f>COUNTIFS('Bank Lines'!$G$5:$G$1640,A171,'Bank Lines'!$J$5:$J$1640,1,'Bank Lines'!$C$5:$C$1640,"&lt;="&amp;Cover!$C$13)</f>
        <v>1</v>
      </c>
      <c r="P171">
        <f>COUNTIFS('Odoo Items'!$J$5:$J$4331,A171,'Odoo Items'!$C$5:$C$4331,"&lt;="&amp;Cover!$C$13)</f>
        <v>4</v>
      </c>
      <c r="Q171" t="str">
        <f>IF(AND(O171=0,P171=0),"",IF(O171=0,"ODOO-ONLY",IF(P171=0,"BANK-ONLY","BOTH")))</f>
        <v>BOTH</v>
      </c>
      <c r="R171" s="9">
        <f>IF(Q171="BOTH",ROUND(M171-N171,2),0)</f>
        <v>0</v>
      </c>
      <c r="S171" s="9">
        <f>ROUND(SUMIFS('Bank Lines'!$E$5:$E$1640,'Bank Lines'!$G$5:$G$1640,A171,'Bank Lines'!$J$5:$J$1640,1,'Bank Lines'!$C$5:$C$1640,"&lt;="&amp;Cover!$C$14),2)</f>
        <v>1009.65</v>
      </c>
      <c r="T171" s="9">
        <f>ROUND(SUMIFS('Odoo Items'!$G$5:$G$4331,'Odoo Items'!$J$5:$J$4331,A171,'Odoo Items'!$C$5:$C$4331,"&lt;="&amp;Cover!$C$14),2)</f>
        <v>1009.65</v>
      </c>
      <c r="U171">
        <f>COUNTIFS('Bank Lines'!$G$5:$G$1640,A171,'Bank Lines'!$J$5:$J$1640,1,'Bank Lines'!$C$5:$C$1640,"&lt;="&amp;Cover!$C$14)</f>
        <v>1</v>
      </c>
      <c r="V171">
        <f>COUNTIFS('Odoo Items'!$J$5:$J$4331,A171,'Odoo Items'!$C$5:$C$4331,"&lt;="&amp;Cover!$C$14)</f>
        <v>4</v>
      </c>
      <c r="W171" t="str">
        <f>IF(AND(U171=0,V171=0),"",IF(U171=0,"ODOO-ONLY",IF(V171=0,"BANK-ONLY","BOTH")))</f>
        <v>BOTH</v>
      </c>
      <c r="X171" s="9">
        <f>IF(W171="BOTH",ROUND(S171-T171,2),0)</f>
        <v>0</v>
      </c>
      <c r="Y171" s="9">
        <f>ROUND(SUMIFS('Bank Lines'!$E$5:$E$1640,'Bank Lines'!$G$5:$G$1640,A171,'Bank Lines'!$J$5:$J$1640,1,'Bank Lines'!$C$5:$C$1640,"&lt;="&amp;Cover!$C$15),2)</f>
        <v>1009.65</v>
      </c>
      <c r="Z171" s="9">
        <f>ROUND(SUMIFS('Odoo Items'!$G$5:$G$4331,'Odoo Items'!$J$5:$J$4331,A171,'Odoo Items'!$C$5:$C$4331,"&lt;="&amp;Cover!$C$15),2)</f>
        <v>1009.65</v>
      </c>
      <c r="AA171">
        <f>COUNTIFS('Bank Lines'!$G$5:$G$1640,A171,'Bank Lines'!$J$5:$J$1640,1,'Bank Lines'!$C$5:$C$1640,"&lt;="&amp;Cover!$C$15)</f>
        <v>1</v>
      </c>
      <c r="AB171">
        <f>COUNTIFS('Odoo Items'!$J$5:$J$4331,A171,'Odoo Items'!$C$5:$C$4331,"&lt;="&amp;Cover!$C$15)</f>
        <v>4</v>
      </c>
      <c r="AC171" t="str">
        <f>IF(AND(AA171=0,AB171=0),"",IF(AA171=0,"ODOO-ONLY",IF(AB171=0,"BANK-ONLY","BOTH")))</f>
        <v>BOTH</v>
      </c>
      <c r="AD171" s="9">
        <f>IF(AC171="BOTH",ROUND(Y171-Z171,2),0)</f>
        <v>0</v>
      </c>
    </row>
    <row r="172">
      <c r="A172" t="inlineStr">
        <is>
          <t>G00168</t>
        </is>
      </c>
      <c r="B172" t="inlineStr">
        <is>
          <t>OPS</t>
        </is>
      </c>
      <c r="C172" t="inlineStr">
        <is>
          <t>R03</t>
        </is>
      </c>
      <c r="D172" t="inlineStr">
        <is>
          <t>MATCH</t>
        </is>
      </c>
      <c r="E172" t="inlineStr">
        <is>
          <t>Wattle Plan Services</t>
        </is>
      </c>
      <c r="F172" t="n">
        <v>1</v>
      </c>
      <c r="G172" t="inlineStr">
        <is>
          <t>3 invoices</t>
        </is>
      </c>
      <c r="H172">
        <f>COUNTIFS('Bank Lines'!$G$5:$G$1640,A172,'Bank Lines'!$J$5:$J$1640,1)</f>
        <v>1</v>
      </c>
      <c r="I172">
        <f>COUNTIFS('Odoo Items'!$J$5:$J$4331,A172)</f>
        <v>3</v>
      </c>
      <c r="J172" s="9">
        <f>ROUND(SUMIFS('Bank Lines'!$E$5:$E$1640,'Bank Lines'!$G$5:$G$1640,A172,'Bank Lines'!$J$5:$J$1640,1),2)</f>
        <v>951.45</v>
      </c>
      <c r="K172" s="9">
        <f>ROUND(SUMIFS('Odoo Items'!$G$5:$G$4331,'Odoo Items'!$J$5:$J$4331,A172),2)</f>
        <v>951.45</v>
      </c>
      <c r="L172" s="9">
        <f>ROUND(J172-K172,2)</f>
        <v>0</v>
      </c>
      <c r="M172" s="9">
        <f>ROUND(SUMIFS('Bank Lines'!$E$5:$E$1640,'Bank Lines'!$G$5:$G$1640,A172,'Bank Lines'!$J$5:$J$1640,1,'Bank Lines'!$C$5:$C$1640,"&lt;="&amp;Cover!$C$13),2)</f>
        <v>951.45</v>
      </c>
      <c r="N172" s="9">
        <f>ROUND(SUMIFS('Odoo Items'!$G$5:$G$4331,'Odoo Items'!$J$5:$J$4331,A172,'Odoo Items'!$C$5:$C$4331,"&lt;="&amp;Cover!$C$13),2)</f>
        <v>951.45</v>
      </c>
      <c r="O172">
        <f>COUNTIFS('Bank Lines'!$G$5:$G$1640,A172,'Bank Lines'!$J$5:$J$1640,1,'Bank Lines'!$C$5:$C$1640,"&lt;="&amp;Cover!$C$13)</f>
        <v>1</v>
      </c>
      <c r="P172">
        <f>COUNTIFS('Odoo Items'!$J$5:$J$4331,A172,'Odoo Items'!$C$5:$C$4331,"&lt;="&amp;Cover!$C$13)</f>
        <v>3</v>
      </c>
      <c r="Q172" t="str">
        <f>IF(AND(O172=0,P172=0),"",IF(O172=0,"ODOO-ONLY",IF(P172=0,"BANK-ONLY","BOTH")))</f>
        <v>BOTH</v>
      </c>
      <c r="R172" s="9">
        <f>IF(Q172="BOTH",ROUND(M172-N172,2),0)</f>
        <v>0</v>
      </c>
      <c r="S172" s="9">
        <f>ROUND(SUMIFS('Bank Lines'!$E$5:$E$1640,'Bank Lines'!$G$5:$G$1640,A172,'Bank Lines'!$J$5:$J$1640,1,'Bank Lines'!$C$5:$C$1640,"&lt;="&amp;Cover!$C$14),2)</f>
        <v>951.45</v>
      </c>
      <c r="T172" s="9">
        <f>ROUND(SUMIFS('Odoo Items'!$G$5:$G$4331,'Odoo Items'!$J$5:$J$4331,A172,'Odoo Items'!$C$5:$C$4331,"&lt;="&amp;Cover!$C$14),2)</f>
        <v>951.45</v>
      </c>
      <c r="U172">
        <f>COUNTIFS('Bank Lines'!$G$5:$G$1640,A172,'Bank Lines'!$J$5:$J$1640,1,'Bank Lines'!$C$5:$C$1640,"&lt;="&amp;Cover!$C$14)</f>
        <v>1</v>
      </c>
      <c r="V172">
        <f>COUNTIFS('Odoo Items'!$J$5:$J$4331,A172,'Odoo Items'!$C$5:$C$4331,"&lt;="&amp;Cover!$C$14)</f>
        <v>3</v>
      </c>
      <c r="W172" t="str">
        <f>IF(AND(U172=0,V172=0),"",IF(U172=0,"ODOO-ONLY",IF(V172=0,"BANK-ONLY","BOTH")))</f>
        <v>BOTH</v>
      </c>
      <c r="X172" s="9">
        <f>IF(W172="BOTH",ROUND(S172-T172,2),0)</f>
        <v>0</v>
      </c>
      <c r="Y172" s="9">
        <f>ROUND(SUMIFS('Bank Lines'!$E$5:$E$1640,'Bank Lines'!$G$5:$G$1640,A172,'Bank Lines'!$J$5:$J$1640,1,'Bank Lines'!$C$5:$C$1640,"&lt;="&amp;Cover!$C$15),2)</f>
        <v>951.45</v>
      </c>
      <c r="Z172" s="9">
        <f>ROUND(SUMIFS('Odoo Items'!$G$5:$G$4331,'Odoo Items'!$J$5:$J$4331,A172,'Odoo Items'!$C$5:$C$4331,"&lt;="&amp;Cover!$C$15),2)</f>
        <v>951.45</v>
      </c>
      <c r="AA172">
        <f>COUNTIFS('Bank Lines'!$G$5:$G$1640,A172,'Bank Lines'!$J$5:$J$1640,1,'Bank Lines'!$C$5:$C$1640,"&lt;="&amp;Cover!$C$15)</f>
        <v>1</v>
      </c>
      <c r="AB172">
        <f>COUNTIFS('Odoo Items'!$J$5:$J$4331,A172,'Odoo Items'!$C$5:$C$4331,"&lt;="&amp;Cover!$C$15)</f>
        <v>3</v>
      </c>
      <c r="AC172" t="str">
        <f>IF(AND(AA172=0,AB172=0),"",IF(AA172=0,"ODOO-ONLY",IF(AB172=0,"BANK-ONLY","BOTH")))</f>
        <v>BOTH</v>
      </c>
      <c r="AD172" s="9">
        <f>IF(AC172="BOTH",ROUND(Y172-Z172,2),0)</f>
        <v>0</v>
      </c>
    </row>
    <row r="173">
      <c r="A173" t="inlineStr">
        <is>
          <t>G00169</t>
        </is>
      </c>
      <c r="B173" t="inlineStr">
        <is>
          <t>OPS</t>
        </is>
      </c>
      <c r="C173" t="inlineStr">
        <is>
          <t>R03</t>
        </is>
      </c>
      <c r="D173" t="inlineStr">
        <is>
          <t>MATCH</t>
        </is>
      </c>
      <c r="E173" t="inlineStr">
        <is>
          <t>Banksia Plan Co</t>
        </is>
      </c>
      <c r="F173" t="n">
        <v>1</v>
      </c>
      <c r="G173" t="inlineStr">
        <is>
          <t>4 invoices</t>
        </is>
      </c>
      <c r="H173">
        <f>COUNTIFS('Bank Lines'!$G$5:$G$1640,A173,'Bank Lines'!$J$5:$J$1640,1)</f>
        <v>1</v>
      </c>
      <c r="I173">
        <f>COUNTIFS('Odoo Items'!$J$5:$J$4331,A173)</f>
        <v>4</v>
      </c>
      <c r="J173" s="9">
        <f>ROUND(SUMIFS('Bank Lines'!$E$5:$E$1640,'Bank Lines'!$G$5:$G$1640,A173,'Bank Lines'!$J$5:$J$1640,1),2)</f>
        <v>1116.33</v>
      </c>
      <c r="K173" s="9">
        <f>ROUND(SUMIFS('Odoo Items'!$G$5:$G$4331,'Odoo Items'!$J$5:$J$4331,A173),2)</f>
        <v>1116.33</v>
      </c>
      <c r="L173" s="9">
        <f>ROUND(J173-K173,2)</f>
        <v>0</v>
      </c>
      <c r="M173" s="9">
        <f>ROUND(SUMIFS('Bank Lines'!$E$5:$E$1640,'Bank Lines'!$G$5:$G$1640,A173,'Bank Lines'!$J$5:$J$1640,1,'Bank Lines'!$C$5:$C$1640,"&lt;="&amp;Cover!$C$13),2)</f>
        <v>1116.33</v>
      </c>
      <c r="N173" s="9">
        <f>ROUND(SUMIFS('Odoo Items'!$G$5:$G$4331,'Odoo Items'!$J$5:$J$4331,A173,'Odoo Items'!$C$5:$C$4331,"&lt;="&amp;Cover!$C$13),2)</f>
        <v>1116.33</v>
      </c>
      <c r="O173">
        <f>COUNTIFS('Bank Lines'!$G$5:$G$1640,A173,'Bank Lines'!$J$5:$J$1640,1,'Bank Lines'!$C$5:$C$1640,"&lt;="&amp;Cover!$C$13)</f>
        <v>1</v>
      </c>
      <c r="P173">
        <f>COUNTIFS('Odoo Items'!$J$5:$J$4331,A173,'Odoo Items'!$C$5:$C$4331,"&lt;="&amp;Cover!$C$13)</f>
        <v>4</v>
      </c>
      <c r="Q173" t="str">
        <f>IF(AND(O173=0,P173=0),"",IF(O173=0,"ODOO-ONLY",IF(P173=0,"BANK-ONLY","BOTH")))</f>
        <v>BOTH</v>
      </c>
      <c r="R173" s="9">
        <f>IF(Q173="BOTH",ROUND(M173-N173,2),0)</f>
        <v>0</v>
      </c>
      <c r="S173" s="9">
        <f>ROUND(SUMIFS('Bank Lines'!$E$5:$E$1640,'Bank Lines'!$G$5:$G$1640,A173,'Bank Lines'!$J$5:$J$1640,1,'Bank Lines'!$C$5:$C$1640,"&lt;="&amp;Cover!$C$14),2)</f>
        <v>1116.33</v>
      </c>
      <c r="T173" s="9">
        <f>ROUND(SUMIFS('Odoo Items'!$G$5:$G$4331,'Odoo Items'!$J$5:$J$4331,A173,'Odoo Items'!$C$5:$C$4331,"&lt;="&amp;Cover!$C$14),2)</f>
        <v>1116.33</v>
      </c>
      <c r="U173">
        <f>COUNTIFS('Bank Lines'!$G$5:$G$1640,A173,'Bank Lines'!$J$5:$J$1640,1,'Bank Lines'!$C$5:$C$1640,"&lt;="&amp;Cover!$C$14)</f>
        <v>1</v>
      </c>
      <c r="V173">
        <f>COUNTIFS('Odoo Items'!$J$5:$J$4331,A173,'Odoo Items'!$C$5:$C$4331,"&lt;="&amp;Cover!$C$14)</f>
        <v>4</v>
      </c>
      <c r="W173" t="str">
        <f>IF(AND(U173=0,V173=0),"",IF(U173=0,"ODOO-ONLY",IF(V173=0,"BANK-ONLY","BOTH")))</f>
        <v>BOTH</v>
      </c>
      <c r="X173" s="9">
        <f>IF(W173="BOTH",ROUND(S173-T173,2),0)</f>
        <v>0</v>
      </c>
      <c r="Y173" s="9">
        <f>ROUND(SUMIFS('Bank Lines'!$E$5:$E$1640,'Bank Lines'!$G$5:$G$1640,A173,'Bank Lines'!$J$5:$J$1640,1,'Bank Lines'!$C$5:$C$1640,"&lt;="&amp;Cover!$C$15),2)</f>
        <v>1116.33</v>
      </c>
      <c r="Z173" s="9">
        <f>ROUND(SUMIFS('Odoo Items'!$G$5:$G$4331,'Odoo Items'!$J$5:$J$4331,A173,'Odoo Items'!$C$5:$C$4331,"&lt;="&amp;Cover!$C$15),2)</f>
        <v>1116.33</v>
      </c>
      <c r="AA173">
        <f>COUNTIFS('Bank Lines'!$G$5:$G$1640,A173,'Bank Lines'!$J$5:$J$1640,1,'Bank Lines'!$C$5:$C$1640,"&lt;="&amp;Cover!$C$15)</f>
        <v>1</v>
      </c>
      <c r="AB173">
        <f>COUNTIFS('Odoo Items'!$J$5:$J$4331,A173,'Odoo Items'!$C$5:$C$4331,"&lt;="&amp;Cover!$C$15)</f>
        <v>4</v>
      </c>
      <c r="AC173" t="str">
        <f>IF(AND(AA173=0,AB173=0),"",IF(AA173=0,"ODOO-ONLY",IF(AB173=0,"BANK-ONLY","BOTH")))</f>
        <v>BOTH</v>
      </c>
      <c r="AD173" s="9">
        <f>IF(AC173="BOTH",ROUND(Y173-Z173,2),0)</f>
        <v>0</v>
      </c>
    </row>
    <row r="174">
      <c r="A174" t="inlineStr">
        <is>
          <t>G00170</t>
        </is>
      </c>
      <c r="B174" t="inlineStr">
        <is>
          <t>OPS</t>
        </is>
      </c>
      <c r="C174" t="inlineStr">
        <is>
          <t>R03</t>
        </is>
      </c>
      <c r="D174" t="inlineStr">
        <is>
          <t>MATCH</t>
        </is>
      </c>
      <c r="E174" t="inlineStr">
        <is>
          <t>Kookaburra Plan Support</t>
        </is>
      </c>
      <c r="F174" t="n">
        <v>1</v>
      </c>
      <c r="G174" t="inlineStr">
        <is>
          <t>12 invoices</t>
        </is>
      </c>
      <c r="H174">
        <f>COUNTIFS('Bank Lines'!$G$5:$G$1640,A174,'Bank Lines'!$J$5:$J$1640,1)</f>
        <v>1</v>
      </c>
      <c r="I174">
        <f>COUNTIFS('Odoo Items'!$J$5:$J$4331,A174)</f>
        <v>12</v>
      </c>
      <c r="J174" s="9">
        <f>ROUND(SUMIFS('Bank Lines'!$E$5:$E$1640,'Bank Lines'!$G$5:$G$1640,A174,'Bank Lines'!$J$5:$J$1640,1),2)</f>
        <v>2851.64</v>
      </c>
      <c r="K174" s="9">
        <f>ROUND(SUMIFS('Odoo Items'!$G$5:$G$4331,'Odoo Items'!$J$5:$J$4331,A174),2)</f>
        <v>2851.64</v>
      </c>
      <c r="L174" s="9">
        <f>ROUND(J174-K174,2)</f>
        <v>0</v>
      </c>
      <c r="M174" s="9">
        <f>ROUND(SUMIFS('Bank Lines'!$E$5:$E$1640,'Bank Lines'!$G$5:$G$1640,A174,'Bank Lines'!$J$5:$J$1640,1,'Bank Lines'!$C$5:$C$1640,"&lt;="&amp;Cover!$C$13),2)</f>
        <v>2851.64</v>
      </c>
      <c r="N174" s="9">
        <f>ROUND(SUMIFS('Odoo Items'!$G$5:$G$4331,'Odoo Items'!$J$5:$J$4331,A174,'Odoo Items'!$C$5:$C$4331,"&lt;="&amp;Cover!$C$13),2)</f>
        <v>2851.64</v>
      </c>
      <c r="O174">
        <f>COUNTIFS('Bank Lines'!$G$5:$G$1640,A174,'Bank Lines'!$J$5:$J$1640,1,'Bank Lines'!$C$5:$C$1640,"&lt;="&amp;Cover!$C$13)</f>
        <v>1</v>
      </c>
      <c r="P174">
        <f>COUNTIFS('Odoo Items'!$J$5:$J$4331,A174,'Odoo Items'!$C$5:$C$4331,"&lt;="&amp;Cover!$C$13)</f>
        <v>12</v>
      </c>
      <c r="Q174" t="str">
        <f>IF(AND(O174=0,P174=0),"",IF(O174=0,"ODOO-ONLY",IF(P174=0,"BANK-ONLY","BOTH")))</f>
        <v>BOTH</v>
      </c>
      <c r="R174" s="9">
        <f>IF(Q174="BOTH",ROUND(M174-N174,2),0)</f>
        <v>0</v>
      </c>
      <c r="S174" s="9">
        <f>ROUND(SUMIFS('Bank Lines'!$E$5:$E$1640,'Bank Lines'!$G$5:$G$1640,A174,'Bank Lines'!$J$5:$J$1640,1,'Bank Lines'!$C$5:$C$1640,"&lt;="&amp;Cover!$C$14),2)</f>
        <v>2851.64</v>
      </c>
      <c r="T174" s="9">
        <f>ROUND(SUMIFS('Odoo Items'!$G$5:$G$4331,'Odoo Items'!$J$5:$J$4331,A174,'Odoo Items'!$C$5:$C$4331,"&lt;="&amp;Cover!$C$14),2)</f>
        <v>2851.64</v>
      </c>
      <c r="U174">
        <f>COUNTIFS('Bank Lines'!$G$5:$G$1640,A174,'Bank Lines'!$J$5:$J$1640,1,'Bank Lines'!$C$5:$C$1640,"&lt;="&amp;Cover!$C$14)</f>
        <v>1</v>
      </c>
      <c r="V174">
        <f>COUNTIFS('Odoo Items'!$J$5:$J$4331,A174,'Odoo Items'!$C$5:$C$4331,"&lt;="&amp;Cover!$C$14)</f>
        <v>12</v>
      </c>
      <c r="W174" t="str">
        <f>IF(AND(U174=0,V174=0),"",IF(U174=0,"ODOO-ONLY",IF(V174=0,"BANK-ONLY","BOTH")))</f>
        <v>BOTH</v>
      </c>
      <c r="X174" s="9">
        <f>IF(W174="BOTH",ROUND(S174-T174,2),0)</f>
        <v>0</v>
      </c>
      <c r="Y174" s="9">
        <f>ROUND(SUMIFS('Bank Lines'!$E$5:$E$1640,'Bank Lines'!$G$5:$G$1640,A174,'Bank Lines'!$J$5:$J$1640,1,'Bank Lines'!$C$5:$C$1640,"&lt;="&amp;Cover!$C$15),2)</f>
        <v>2851.64</v>
      </c>
      <c r="Z174" s="9">
        <f>ROUND(SUMIFS('Odoo Items'!$G$5:$G$4331,'Odoo Items'!$J$5:$J$4331,A174,'Odoo Items'!$C$5:$C$4331,"&lt;="&amp;Cover!$C$15),2)</f>
        <v>2851.64</v>
      </c>
      <c r="AA174">
        <f>COUNTIFS('Bank Lines'!$G$5:$G$1640,A174,'Bank Lines'!$J$5:$J$1640,1,'Bank Lines'!$C$5:$C$1640,"&lt;="&amp;Cover!$C$15)</f>
        <v>1</v>
      </c>
      <c r="AB174">
        <f>COUNTIFS('Odoo Items'!$J$5:$J$4331,A174,'Odoo Items'!$C$5:$C$4331,"&lt;="&amp;Cover!$C$15)</f>
        <v>12</v>
      </c>
      <c r="AC174" t="str">
        <f>IF(AND(AA174=0,AB174=0),"",IF(AA174=0,"ODOO-ONLY",IF(AB174=0,"BANK-ONLY","BOTH")))</f>
        <v>BOTH</v>
      </c>
      <c r="AD174" s="9">
        <f>IF(AC174="BOTH",ROUND(Y174-Z174,2),0)</f>
        <v>0</v>
      </c>
    </row>
    <row r="175">
      <c r="A175" t="inlineStr">
        <is>
          <t>G00171</t>
        </is>
      </c>
      <c r="B175" t="inlineStr">
        <is>
          <t>OPS</t>
        </is>
      </c>
      <c r="C175" t="inlineStr">
        <is>
          <t>R03</t>
        </is>
      </c>
      <c r="D175" t="inlineStr">
        <is>
          <t>MATCH</t>
        </is>
      </c>
      <c r="E175" t="inlineStr">
        <is>
          <t>Redgum Plan Admin</t>
        </is>
      </c>
      <c r="F175" t="n">
        <v>1</v>
      </c>
      <c r="G175" t="inlineStr">
        <is>
          <t>5 invoices</t>
        </is>
      </c>
      <c r="H175">
        <f>COUNTIFS('Bank Lines'!$G$5:$G$1640,A175,'Bank Lines'!$J$5:$J$1640,1)</f>
        <v>1</v>
      </c>
      <c r="I175">
        <f>COUNTIFS('Odoo Items'!$J$5:$J$4331,A175)</f>
        <v>5</v>
      </c>
      <c r="J175" s="9">
        <f>ROUND(SUMIFS('Bank Lines'!$E$5:$E$1640,'Bank Lines'!$G$5:$G$1640,A175,'Bank Lines'!$J$5:$J$1640,1),2)</f>
        <v>1039.64</v>
      </c>
      <c r="K175" s="9">
        <f>ROUND(SUMIFS('Odoo Items'!$G$5:$G$4331,'Odoo Items'!$J$5:$J$4331,A175),2)</f>
        <v>1039.64</v>
      </c>
      <c r="L175" s="9">
        <f>ROUND(J175-K175,2)</f>
        <v>0</v>
      </c>
      <c r="M175" s="9">
        <f>ROUND(SUMIFS('Bank Lines'!$E$5:$E$1640,'Bank Lines'!$G$5:$G$1640,A175,'Bank Lines'!$J$5:$J$1640,1,'Bank Lines'!$C$5:$C$1640,"&lt;="&amp;Cover!$C$13),2)</f>
        <v>1039.64</v>
      </c>
      <c r="N175" s="9">
        <f>ROUND(SUMIFS('Odoo Items'!$G$5:$G$4331,'Odoo Items'!$J$5:$J$4331,A175,'Odoo Items'!$C$5:$C$4331,"&lt;="&amp;Cover!$C$13),2)</f>
        <v>1039.64</v>
      </c>
      <c r="O175">
        <f>COUNTIFS('Bank Lines'!$G$5:$G$1640,A175,'Bank Lines'!$J$5:$J$1640,1,'Bank Lines'!$C$5:$C$1640,"&lt;="&amp;Cover!$C$13)</f>
        <v>1</v>
      </c>
      <c r="P175">
        <f>COUNTIFS('Odoo Items'!$J$5:$J$4331,A175,'Odoo Items'!$C$5:$C$4331,"&lt;="&amp;Cover!$C$13)</f>
        <v>5</v>
      </c>
      <c r="Q175" t="str">
        <f>IF(AND(O175=0,P175=0),"",IF(O175=0,"ODOO-ONLY",IF(P175=0,"BANK-ONLY","BOTH")))</f>
        <v>BOTH</v>
      </c>
      <c r="R175" s="9">
        <f>IF(Q175="BOTH",ROUND(M175-N175,2),0)</f>
        <v>0</v>
      </c>
      <c r="S175" s="9">
        <f>ROUND(SUMIFS('Bank Lines'!$E$5:$E$1640,'Bank Lines'!$G$5:$G$1640,A175,'Bank Lines'!$J$5:$J$1640,1,'Bank Lines'!$C$5:$C$1640,"&lt;="&amp;Cover!$C$14),2)</f>
        <v>1039.64</v>
      </c>
      <c r="T175" s="9">
        <f>ROUND(SUMIFS('Odoo Items'!$G$5:$G$4331,'Odoo Items'!$J$5:$J$4331,A175,'Odoo Items'!$C$5:$C$4331,"&lt;="&amp;Cover!$C$14),2)</f>
        <v>1039.64</v>
      </c>
      <c r="U175">
        <f>COUNTIFS('Bank Lines'!$G$5:$G$1640,A175,'Bank Lines'!$J$5:$J$1640,1,'Bank Lines'!$C$5:$C$1640,"&lt;="&amp;Cover!$C$14)</f>
        <v>1</v>
      </c>
      <c r="V175">
        <f>COUNTIFS('Odoo Items'!$J$5:$J$4331,A175,'Odoo Items'!$C$5:$C$4331,"&lt;="&amp;Cover!$C$14)</f>
        <v>5</v>
      </c>
      <c r="W175" t="str">
        <f>IF(AND(U175=0,V175=0),"",IF(U175=0,"ODOO-ONLY",IF(V175=0,"BANK-ONLY","BOTH")))</f>
        <v>BOTH</v>
      </c>
      <c r="X175" s="9">
        <f>IF(W175="BOTH",ROUND(S175-T175,2),0)</f>
        <v>0</v>
      </c>
      <c r="Y175" s="9">
        <f>ROUND(SUMIFS('Bank Lines'!$E$5:$E$1640,'Bank Lines'!$G$5:$G$1640,A175,'Bank Lines'!$J$5:$J$1640,1,'Bank Lines'!$C$5:$C$1640,"&lt;="&amp;Cover!$C$15),2)</f>
        <v>1039.64</v>
      </c>
      <c r="Z175" s="9">
        <f>ROUND(SUMIFS('Odoo Items'!$G$5:$G$4331,'Odoo Items'!$J$5:$J$4331,A175,'Odoo Items'!$C$5:$C$4331,"&lt;="&amp;Cover!$C$15),2)</f>
        <v>1039.64</v>
      </c>
      <c r="AA175">
        <f>COUNTIFS('Bank Lines'!$G$5:$G$1640,A175,'Bank Lines'!$J$5:$J$1640,1,'Bank Lines'!$C$5:$C$1640,"&lt;="&amp;Cover!$C$15)</f>
        <v>1</v>
      </c>
      <c r="AB175">
        <f>COUNTIFS('Odoo Items'!$J$5:$J$4331,A175,'Odoo Items'!$C$5:$C$4331,"&lt;="&amp;Cover!$C$15)</f>
        <v>5</v>
      </c>
      <c r="AC175" t="str">
        <f>IF(AND(AA175=0,AB175=0),"",IF(AA175=0,"ODOO-ONLY",IF(AB175=0,"BANK-ONLY","BOTH")))</f>
        <v>BOTH</v>
      </c>
      <c r="AD175" s="9">
        <f>IF(AC175="BOTH",ROUND(Y175-Z175,2),0)</f>
        <v>0</v>
      </c>
    </row>
    <row r="176">
      <c r="A176" t="inlineStr">
        <is>
          <t>G00172</t>
        </is>
      </c>
      <c r="B176" t="inlineStr">
        <is>
          <t>OPS</t>
        </is>
      </c>
      <c r="C176" t="inlineStr">
        <is>
          <t>R03</t>
        </is>
      </c>
      <c r="D176" t="inlineStr">
        <is>
          <t>MATCH</t>
        </is>
      </c>
      <c r="E176" t="inlineStr">
        <is>
          <t>Lyrebird Plan Management</t>
        </is>
      </c>
      <c r="F176" t="n">
        <v>1</v>
      </c>
      <c r="G176" t="inlineStr">
        <is>
          <t>3 invoices</t>
        </is>
      </c>
      <c r="H176">
        <f>COUNTIFS('Bank Lines'!$G$5:$G$1640,A176,'Bank Lines'!$J$5:$J$1640,1)</f>
        <v>1</v>
      </c>
      <c r="I176">
        <f>COUNTIFS('Odoo Items'!$J$5:$J$4331,A176)</f>
        <v>3</v>
      </c>
      <c r="J176" s="9">
        <f>ROUND(SUMIFS('Bank Lines'!$E$5:$E$1640,'Bank Lines'!$G$5:$G$1640,A176,'Bank Lines'!$J$5:$J$1640,1),2)</f>
        <v>785.66</v>
      </c>
      <c r="K176" s="9">
        <f>ROUND(SUMIFS('Odoo Items'!$G$5:$G$4331,'Odoo Items'!$J$5:$J$4331,A176),2)</f>
        <v>785.66</v>
      </c>
      <c r="L176" s="9">
        <f>ROUND(J176-K176,2)</f>
        <v>0</v>
      </c>
      <c r="M176" s="9">
        <f>ROUND(SUMIFS('Bank Lines'!$E$5:$E$1640,'Bank Lines'!$G$5:$G$1640,A176,'Bank Lines'!$J$5:$J$1640,1,'Bank Lines'!$C$5:$C$1640,"&lt;="&amp;Cover!$C$13),2)</f>
        <v>785.66</v>
      </c>
      <c r="N176" s="9">
        <f>ROUND(SUMIFS('Odoo Items'!$G$5:$G$4331,'Odoo Items'!$J$5:$J$4331,A176,'Odoo Items'!$C$5:$C$4331,"&lt;="&amp;Cover!$C$13),2)</f>
        <v>785.66</v>
      </c>
      <c r="O176">
        <f>COUNTIFS('Bank Lines'!$G$5:$G$1640,A176,'Bank Lines'!$J$5:$J$1640,1,'Bank Lines'!$C$5:$C$1640,"&lt;="&amp;Cover!$C$13)</f>
        <v>1</v>
      </c>
      <c r="P176">
        <f>COUNTIFS('Odoo Items'!$J$5:$J$4331,A176,'Odoo Items'!$C$5:$C$4331,"&lt;="&amp;Cover!$C$13)</f>
        <v>3</v>
      </c>
      <c r="Q176" t="str">
        <f>IF(AND(O176=0,P176=0),"",IF(O176=0,"ODOO-ONLY",IF(P176=0,"BANK-ONLY","BOTH")))</f>
        <v>BOTH</v>
      </c>
      <c r="R176" s="9">
        <f>IF(Q176="BOTH",ROUND(M176-N176,2),0)</f>
        <v>0</v>
      </c>
      <c r="S176" s="9">
        <f>ROUND(SUMIFS('Bank Lines'!$E$5:$E$1640,'Bank Lines'!$G$5:$G$1640,A176,'Bank Lines'!$J$5:$J$1640,1,'Bank Lines'!$C$5:$C$1640,"&lt;="&amp;Cover!$C$14),2)</f>
        <v>785.66</v>
      </c>
      <c r="T176" s="9">
        <f>ROUND(SUMIFS('Odoo Items'!$G$5:$G$4331,'Odoo Items'!$J$5:$J$4331,A176,'Odoo Items'!$C$5:$C$4331,"&lt;="&amp;Cover!$C$14),2)</f>
        <v>785.66</v>
      </c>
      <c r="U176">
        <f>COUNTIFS('Bank Lines'!$G$5:$G$1640,A176,'Bank Lines'!$J$5:$J$1640,1,'Bank Lines'!$C$5:$C$1640,"&lt;="&amp;Cover!$C$14)</f>
        <v>1</v>
      </c>
      <c r="V176">
        <f>COUNTIFS('Odoo Items'!$J$5:$J$4331,A176,'Odoo Items'!$C$5:$C$4331,"&lt;="&amp;Cover!$C$14)</f>
        <v>3</v>
      </c>
      <c r="W176" t="str">
        <f>IF(AND(U176=0,V176=0),"",IF(U176=0,"ODOO-ONLY",IF(V176=0,"BANK-ONLY","BOTH")))</f>
        <v>BOTH</v>
      </c>
      <c r="X176" s="9">
        <f>IF(W176="BOTH",ROUND(S176-T176,2),0)</f>
        <v>0</v>
      </c>
      <c r="Y176" s="9">
        <f>ROUND(SUMIFS('Bank Lines'!$E$5:$E$1640,'Bank Lines'!$G$5:$G$1640,A176,'Bank Lines'!$J$5:$J$1640,1,'Bank Lines'!$C$5:$C$1640,"&lt;="&amp;Cover!$C$15),2)</f>
        <v>785.66</v>
      </c>
      <c r="Z176" s="9">
        <f>ROUND(SUMIFS('Odoo Items'!$G$5:$G$4331,'Odoo Items'!$J$5:$J$4331,A176,'Odoo Items'!$C$5:$C$4331,"&lt;="&amp;Cover!$C$15),2)</f>
        <v>785.66</v>
      </c>
      <c r="AA176">
        <f>COUNTIFS('Bank Lines'!$G$5:$G$1640,A176,'Bank Lines'!$J$5:$J$1640,1,'Bank Lines'!$C$5:$C$1640,"&lt;="&amp;Cover!$C$15)</f>
        <v>1</v>
      </c>
      <c r="AB176">
        <f>COUNTIFS('Odoo Items'!$J$5:$J$4331,A176,'Odoo Items'!$C$5:$C$4331,"&lt;="&amp;Cover!$C$15)</f>
        <v>3</v>
      </c>
      <c r="AC176" t="str">
        <f>IF(AND(AA176=0,AB176=0),"",IF(AA176=0,"ODOO-ONLY",IF(AB176=0,"BANK-ONLY","BOTH")))</f>
        <v>BOTH</v>
      </c>
      <c r="AD176" s="9">
        <f>IF(AC176="BOTH",ROUND(Y176-Z176,2),0)</f>
        <v>0</v>
      </c>
    </row>
    <row r="177">
      <c r="A177" t="inlineStr">
        <is>
          <t>G00173</t>
        </is>
      </c>
      <c r="B177" t="inlineStr">
        <is>
          <t>OPS</t>
        </is>
      </c>
      <c r="C177" t="inlineStr">
        <is>
          <t>R03</t>
        </is>
      </c>
      <c r="D177" t="inlineStr">
        <is>
          <t>MATCH</t>
        </is>
      </c>
      <c r="E177" t="inlineStr">
        <is>
          <t>Tallowwood Plans</t>
        </is>
      </c>
      <c r="F177" t="n">
        <v>1</v>
      </c>
      <c r="G177" t="inlineStr">
        <is>
          <t>3 invoices</t>
        </is>
      </c>
      <c r="H177">
        <f>COUNTIFS('Bank Lines'!$G$5:$G$1640,A177,'Bank Lines'!$J$5:$J$1640,1)</f>
        <v>1</v>
      </c>
      <c r="I177">
        <f>COUNTIFS('Odoo Items'!$J$5:$J$4331,A177)</f>
        <v>3</v>
      </c>
      <c r="J177" s="9">
        <f>ROUND(SUMIFS('Bank Lines'!$E$5:$E$1640,'Bank Lines'!$G$5:$G$1640,A177,'Bank Lines'!$J$5:$J$1640,1),2)</f>
        <v>708.96</v>
      </c>
      <c r="K177" s="9">
        <f>ROUND(SUMIFS('Odoo Items'!$G$5:$G$4331,'Odoo Items'!$J$5:$J$4331,A177),2)</f>
        <v>708.96</v>
      </c>
      <c r="L177" s="9">
        <f>ROUND(J177-K177,2)</f>
        <v>0</v>
      </c>
      <c r="M177" s="9">
        <f>ROUND(SUMIFS('Bank Lines'!$E$5:$E$1640,'Bank Lines'!$G$5:$G$1640,A177,'Bank Lines'!$J$5:$J$1640,1,'Bank Lines'!$C$5:$C$1640,"&lt;="&amp;Cover!$C$13),2)</f>
        <v>708.96</v>
      </c>
      <c r="N177" s="9">
        <f>ROUND(SUMIFS('Odoo Items'!$G$5:$G$4331,'Odoo Items'!$J$5:$J$4331,A177,'Odoo Items'!$C$5:$C$4331,"&lt;="&amp;Cover!$C$13),2)</f>
        <v>708.96</v>
      </c>
      <c r="O177">
        <f>COUNTIFS('Bank Lines'!$G$5:$G$1640,A177,'Bank Lines'!$J$5:$J$1640,1,'Bank Lines'!$C$5:$C$1640,"&lt;="&amp;Cover!$C$13)</f>
        <v>1</v>
      </c>
      <c r="P177">
        <f>COUNTIFS('Odoo Items'!$J$5:$J$4331,A177,'Odoo Items'!$C$5:$C$4331,"&lt;="&amp;Cover!$C$13)</f>
        <v>3</v>
      </c>
      <c r="Q177" t="str">
        <f>IF(AND(O177=0,P177=0),"",IF(O177=0,"ODOO-ONLY",IF(P177=0,"BANK-ONLY","BOTH")))</f>
        <v>BOTH</v>
      </c>
      <c r="R177" s="9">
        <f>IF(Q177="BOTH",ROUND(M177-N177,2),0)</f>
        <v>0</v>
      </c>
      <c r="S177" s="9">
        <f>ROUND(SUMIFS('Bank Lines'!$E$5:$E$1640,'Bank Lines'!$G$5:$G$1640,A177,'Bank Lines'!$J$5:$J$1640,1,'Bank Lines'!$C$5:$C$1640,"&lt;="&amp;Cover!$C$14),2)</f>
        <v>708.96</v>
      </c>
      <c r="T177" s="9">
        <f>ROUND(SUMIFS('Odoo Items'!$G$5:$G$4331,'Odoo Items'!$J$5:$J$4331,A177,'Odoo Items'!$C$5:$C$4331,"&lt;="&amp;Cover!$C$14),2)</f>
        <v>708.96</v>
      </c>
      <c r="U177">
        <f>COUNTIFS('Bank Lines'!$G$5:$G$1640,A177,'Bank Lines'!$J$5:$J$1640,1,'Bank Lines'!$C$5:$C$1640,"&lt;="&amp;Cover!$C$14)</f>
        <v>1</v>
      </c>
      <c r="V177">
        <f>COUNTIFS('Odoo Items'!$J$5:$J$4331,A177,'Odoo Items'!$C$5:$C$4331,"&lt;="&amp;Cover!$C$14)</f>
        <v>3</v>
      </c>
      <c r="W177" t="str">
        <f>IF(AND(U177=0,V177=0),"",IF(U177=0,"ODOO-ONLY",IF(V177=0,"BANK-ONLY","BOTH")))</f>
        <v>BOTH</v>
      </c>
      <c r="X177" s="9">
        <f>IF(W177="BOTH",ROUND(S177-T177,2),0)</f>
        <v>0</v>
      </c>
      <c r="Y177" s="9">
        <f>ROUND(SUMIFS('Bank Lines'!$E$5:$E$1640,'Bank Lines'!$G$5:$G$1640,A177,'Bank Lines'!$J$5:$J$1640,1,'Bank Lines'!$C$5:$C$1640,"&lt;="&amp;Cover!$C$15),2)</f>
        <v>708.96</v>
      </c>
      <c r="Z177" s="9">
        <f>ROUND(SUMIFS('Odoo Items'!$G$5:$G$4331,'Odoo Items'!$J$5:$J$4331,A177,'Odoo Items'!$C$5:$C$4331,"&lt;="&amp;Cover!$C$15),2)</f>
        <v>708.96</v>
      </c>
      <c r="AA177">
        <f>COUNTIFS('Bank Lines'!$G$5:$G$1640,A177,'Bank Lines'!$J$5:$J$1640,1,'Bank Lines'!$C$5:$C$1640,"&lt;="&amp;Cover!$C$15)</f>
        <v>1</v>
      </c>
      <c r="AB177">
        <f>COUNTIFS('Odoo Items'!$J$5:$J$4331,A177,'Odoo Items'!$C$5:$C$4331,"&lt;="&amp;Cover!$C$15)</f>
        <v>3</v>
      </c>
      <c r="AC177" t="str">
        <f>IF(AND(AA177=0,AB177=0),"",IF(AA177=0,"ODOO-ONLY",IF(AB177=0,"BANK-ONLY","BOTH")))</f>
        <v>BOTH</v>
      </c>
      <c r="AD177" s="9">
        <f>IF(AC177="BOTH",ROUND(Y177-Z177,2),0)</f>
        <v>0</v>
      </c>
    </row>
    <row r="178">
      <c r="A178" t="inlineStr">
        <is>
          <t>G00174</t>
        </is>
      </c>
      <c r="B178" t="inlineStr">
        <is>
          <t>OPS</t>
        </is>
      </c>
      <c r="C178" t="inlineStr">
        <is>
          <t>R03</t>
        </is>
      </c>
      <c r="D178" t="inlineStr">
        <is>
          <t>MATCH</t>
        </is>
      </c>
      <c r="E178" t="inlineStr">
        <is>
          <t>Bluegum Plan Management</t>
        </is>
      </c>
      <c r="F178" t="n">
        <v>0.9</v>
      </c>
      <c r="G178" t="inlineStr">
        <is>
          <t>3 invoices</t>
        </is>
      </c>
      <c r="H178">
        <f>COUNTIFS('Bank Lines'!$G$5:$G$1640,A178,'Bank Lines'!$J$5:$J$1640,1)</f>
        <v>1</v>
      </c>
      <c r="I178">
        <f>COUNTIFS('Odoo Items'!$J$5:$J$4331,A178)</f>
        <v>3</v>
      </c>
      <c r="J178" s="9">
        <f>ROUND(SUMIFS('Bank Lines'!$E$5:$E$1640,'Bank Lines'!$G$5:$G$1640,A178,'Bank Lines'!$J$5:$J$1640,1),2)</f>
        <v>660.47</v>
      </c>
      <c r="K178" s="9">
        <f>ROUND(SUMIFS('Odoo Items'!$G$5:$G$4331,'Odoo Items'!$J$5:$J$4331,A178),2)</f>
        <v>660.47</v>
      </c>
      <c r="L178" s="9">
        <f>ROUND(J178-K178,2)</f>
        <v>0</v>
      </c>
      <c r="M178" s="9">
        <f>ROUND(SUMIFS('Bank Lines'!$E$5:$E$1640,'Bank Lines'!$G$5:$G$1640,A178,'Bank Lines'!$J$5:$J$1640,1,'Bank Lines'!$C$5:$C$1640,"&lt;="&amp;Cover!$C$13),2)</f>
        <v>660.47</v>
      </c>
      <c r="N178" s="9">
        <f>ROUND(SUMIFS('Odoo Items'!$G$5:$G$4331,'Odoo Items'!$J$5:$J$4331,A178,'Odoo Items'!$C$5:$C$4331,"&lt;="&amp;Cover!$C$13),2)</f>
        <v>660.47</v>
      </c>
      <c r="O178">
        <f>COUNTIFS('Bank Lines'!$G$5:$G$1640,A178,'Bank Lines'!$J$5:$J$1640,1,'Bank Lines'!$C$5:$C$1640,"&lt;="&amp;Cover!$C$13)</f>
        <v>1</v>
      </c>
      <c r="P178">
        <f>COUNTIFS('Odoo Items'!$J$5:$J$4331,A178,'Odoo Items'!$C$5:$C$4331,"&lt;="&amp;Cover!$C$13)</f>
        <v>3</v>
      </c>
      <c r="Q178" t="str">
        <f>IF(AND(O178=0,P178=0),"",IF(O178=0,"ODOO-ONLY",IF(P178=0,"BANK-ONLY","BOTH")))</f>
        <v>BOTH</v>
      </c>
      <c r="R178" s="9">
        <f>IF(Q178="BOTH",ROUND(M178-N178,2),0)</f>
        <v>0</v>
      </c>
      <c r="S178" s="9">
        <f>ROUND(SUMIFS('Bank Lines'!$E$5:$E$1640,'Bank Lines'!$G$5:$G$1640,A178,'Bank Lines'!$J$5:$J$1640,1,'Bank Lines'!$C$5:$C$1640,"&lt;="&amp;Cover!$C$14),2)</f>
        <v>660.47</v>
      </c>
      <c r="T178" s="9">
        <f>ROUND(SUMIFS('Odoo Items'!$G$5:$G$4331,'Odoo Items'!$J$5:$J$4331,A178,'Odoo Items'!$C$5:$C$4331,"&lt;="&amp;Cover!$C$14),2)</f>
        <v>660.47</v>
      </c>
      <c r="U178">
        <f>COUNTIFS('Bank Lines'!$G$5:$G$1640,A178,'Bank Lines'!$J$5:$J$1640,1,'Bank Lines'!$C$5:$C$1640,"&lt;="&amp;Cover!$C$14)</f>
        <v>1</v>
      </c>
      <c r="V178">
        <f>COUNTIFS('Odoo Items'!$J$5:$J$4331,A178,'Odoo Items'!$C$5:$C$4331,"&lt;="&amp;Cover!$C$14)</f>
        <v>3</v>
      </c>
      <c r="W178" t="str">
        <f>IF(AND(U178=0,V178=0),"",IF(U178=0,"ODOO-ONLY",IF(V178=0,"BANK-ONLY","BOTH")))</f>
        <v>BOTH</v>
      </c>
      <c r="X178" s="9">
        <f>IF(W178="BOTH",ROUND(S178-T178,2),0)</f>
        <v>0</v>
      </c>
      <c r="Y178" s="9">
        <f>ROUND(SUMIFS('Bank Lines'!$E$5:$E$1640,'Bank Lines'!$G$5:$G$1640,A178,'Bank Lines'!$J$5:$J$1640,1,'Bank Lines'!$C$5:$C$1640,"&lt;="&amp;Cover!$C$15),2)</f>
        <v>660.47</v>
      </c>
      <c r="Z178" s="9">
        <f>ROUND(SUMIFS('Odoo Items'!$G$5:$G$4331,'Odoo Items'!$J$5:$J$4331,A178,'Odoo Items'!$C$5:$C$4331,"&lt;="&amp;Cover!$C$15),2)</f>
        <v>660.47</v>
      </c>
      <c r="AA178">
        <f>COUNTIFS('Bank Lines'!$G$5:$G$1640,A178,'Bank Lines'!$J$5:$J$1640,1,'Bank Lines'!$C$5:$C$1640,"&lt;="&amp;Cover!$C$15)</f>
        <v>1</v>
      </c>
      <c r="AB178">
        <f>COUNTIFS('Odoo Items'!$J$5:$J$4331,A178,'Odoo Items'!$C$5:$C$4331,"&lt;="&amp;Cover!$C$15)</f>
        <v>3</v>
      </c>
      <c r="AC178" t="str">
        <f>IF(AND(AA178=0,AB178=0),"",IF(AA178=0,"ODOO-ONLY",IF(AB178=0,"BANK-ONLY","BOTH")))</f>
        <v>BOTH</v>
      </c>
      <c r="AD178" s="9">
        <f>IF(AC178="BOTH",ROUND(Y178-Z178,2),0)</f>
        <v>0</v>
      </c>
    </row>
    <row r="179">
      <c r="A179" t="inlineStr">
        <is>
          <t>G00175</t>
        </is>
      </c>
      <c r="B179" t="inlineStr">
        <is>
          <t>OPS</t>
        </is>
      </c>
      <c r="C179" t="inlineStr">
        <is>
          <t>R03</t>
        </is>
      </c>
      <c r="D179" t="inlineStr">
        <is>
          <t>MATCH</t>
        </is>
      </c>
      <c r="E179" t="inlineStr">
        <is>
          <t>Riverbend Plan Partners</t>
        </is>
      </c>
      <c r="F179" t="n">
        <v>1</v>
      </c>
      <c r="G179" t="inlineStr">
        <is>
          <t>6 invoices</t>
        </is>
      </c>
      <c r="H179">
        <f>COUNTIFS('Bank Lines'!$G$5:$G$1640,A179,'Bank Lines'!$J$5:$J$1640,1)</f>
        <v>1</v>
      </c>
      <c r="I179">
        <f>COUNTIFS('Odoo Items'!$J$5:$J$4331,A179)</f>
        <v>6</v>
      </c>
      <c r="J179" s="9">
        <f>ROUND(SUMIFS('Bank Lines'!$E$5:$E$1640,'Bank Lines'!$G$5:$G$1640,A179,'Bank Lines'!$J$5:$J$1640,1),2)</f>
        <v>1455.83</v>
      </c>
      <c r="K179" s="9">
        <f>ROUND(SUMIFS('Odoo Items'!$G$5:$G$4331,'Odoo Items'!$J$5:$J$4331,A179),2)</f>
        <v>1455.83</v>
      </c>
      <c r="L179" s="9">
        <f>ROUND(J179-K179,2)</f>
        <v>0</v>
      </c>
      <c r="M179" s="9">
        <f>ROUND(SUMIFS('Bank Lines'!$E$5:$E$1640,'Bank Lines'!$G$5:$G$1640,A179,'Bank Lines'!$J$5:$J$1640,1,'Bank Lines'!$C$5:$C$1640,"&lt;="&amp;Cover!$C$13),2)</f>
        <v>1455.83</v>
      </c>
      <c r="N179" s="9">
        <f>ROUND(SUMIFS('Odoo Items'!$G$5:$G$4331,'Odoo Items'!$J$5:$J$4331,A179,'Odoo Items'!$C$5:$C$4331,"&lt;="&amp;Cover!$C$13),2)</f>
        <v>1455.83</v>
      </c>
      <c r="O179">
        <f>COUNTIFS('Bank Lines'!$G$5:$G$1640,A179,'Bank Lines'!$J$5:$J$1640,1,'Bank Lines'!$C$5:$C$1640,"&lt;="&amp;Cover!$C$13)</f>
        <v>1</v>
      </c>
      <c r="P179">
        <f>COUNTIFS('Odoo Items'!$J$5:$J$4331,A179,'Odoo Items'!$C$5:$C$4331,"&lt;="&amp;Cover!$C$13)</f>
        <v>6</v>
      </c>
      <c r="Q179" t="str">
        <f>IF(AND(O179=0,P179=0),"",IF(O179=0,"ODOO-ONLY",IF(P179=0,"BANK-ONLY","BOTH")))</f>
        <v>BOTH</v>
      </c>
      <c r="R179" s="9">
        <f>IF(Q179="BOTH",ROUND(M179-N179,2),0)</f>
        <v>0</v>
      </c>
      <c r="S179" s="9">
        <f>ROUND(SUMIFS('Bank Lines'!$E$5:$E$1640,'Bank Lines'!$G$5:$G$1640,A179,'Bank Lines'!$J$5:$J$1640,1,'Bank Lines'!$C$5:$C$1640,"&lt;="&amp;Cover!$C$14),2)</f>
        <v>1455.83</v>
      </c>
      <c r="T179" s="9">
        <f>ROUND(SUMIFS('Odoo Items'!$G$5:$G$4331,'Odoo Items'!$J$5:$J$4331,A179,'Odoo Items'!$C$5:$C$4331,"&lt;="&amp;Cover!$C$14),2)</f>
        <v>1455.83</v>
      </c>
      <c r="U179">
        <f>COUNTIFS('Bank Lines'!$G$5:$G$1640,A179,'Bank Lines'!$J$5:$J$1640,1,'Bank Lines'!$C$5:$C$1640,"&lt;="&amp;Cover!$C$14)</f>
        <v>1</v>
      </c>
      <c r="V179">
        <f>COUNTIFS('Odoo Items'!$J$5:$J$4331,A179,'Odoo Items'!$C$5:$C$4331,"&lt;="&amp;Cover!$C$14)</f>
        <v>6</v>
      </c>
      <c r="W179" t="str">
        <f>IF(AND(U179=0,V179=0),"",IF(U179=0,"ODOO-ONLY",IF(V179=0,"BANK-ONLY","BOTH")))</f>
        <v>BOTH</v>
      </c>
      <c r="X179" s="9">
        <f>IF(W179="BOTH",ROUND(S179-T179,2),0)</f>
        <v>0</v>
      </c>
      <c r="Y179" s="9">
        <f>ROUND(SUMIFS('Bank Lines'!$E$5:$E$1640,'Bank Lines'!$G$5:$G$1640,A179,'Bank Lines'!$J$5:$J$1640,1,'Bank Lines'!$C$5:$C$1640,"&lt;="&amp;Cover!$C$15),2)</f>
        <v>1455.83</v>
      </c>
      <c r="Z179" s="9">
        <f>ROUND(SUMIFS('Odoo Items'!$G$5:$G$4331,'Odoo Items'!$J$5:$J$4331,A179,'Odoo Items'!$C$5:$C$4331,"&lt;="&amp;Cover!$C$15),2)</f>
        <v>1455.83</v>
      </c>
      <c r="AA179">
        <f>COUNTIFS('Bank Lines'!$G$5:$G$1640,A179,'Bank Lines'!$J$5:$J$1640,1,'Bank Lines'!$C$5:$C$1640,"&lt;="&amp;Cover!$C$15)</f>
        <v>1</v>
      </c>
      <c r="AB179">
        <f>COUNTIFS('Odoo Items'!$J$5:$J$4331,A179,'Odoo Items'!$C$5:$C$4331,"&lt;="&amp;Cover!$C$15)</f>
        <v>6</v>
      </c>
      <c r="AC179" t="str">
        <f>IF(AND(AA179=0,AB179=0),"",IF(AA179=0,"ODOO-ONLY",IF(AB179=0,"BANK-ONLY","BOTH")))</f>
        <v>BOTH</v>
      </c>
      <c r="AD179" s="9">
        <f>IF(AC179="BOTH",ROUND(Y179-Z179,2),0)</f>
        <v>0</v>
      </c>
    </row>
    <row r="180">
      <c r="A180" t="inlineStr">
        <is>
          <t>G00176</t>
        </is>
      </c>
      <c r="B180" t="inlineStr">
        <is>
          <t>OPS</t>
        </is>
      </c>
      <c r="C180" t="inlineStr">
        <is>
          <t>R03</t>
        </is>
      </c>
      <c r="D180" t="inlineStr">
        <is>
          <t>MATCH</t>
        </is>
      </c>
      <c r="E180" t="inlineStr">
        <is>
          <t>Clearpath NDIS Plans</t>
        </is>
      </c>
      <c r="F180" t="n">
        <v>1</v>
      </c>
      <c r="G180" t="inlineStr">
        <is>
          <t>12 invoices</t>
        </is>
      </c>
      <c r="H180">
        <f>COUNTIFS('Bank Lines'!$G$5:$G$1640,A180,'Bank Lines'!$J$5:$J$1640,1)</f>
        <v>1</v>
      </c>
      <c r="I180">
        <f>COUNTIFS('Odoo Items'!$J$5:$J$4331,A180)</f>
        <v>12</v>
      </c>
      <c r="J180" s="9">
        <f>ROUND(SUMIFS('Bank Lines'!$E$5:$E$1640,'Bank Lines'!$G$5:$G$1640,A180,'Bank Lines'!$J$5:$J$1640,1),2)</f>
        <v>3144.43</v>
      </c>
      <c r="K180" s="9">
        <f>ROUND(SUMIFS('Odoo Items'!$G$5:$G$4331,'Odoo Items'!$J$5:$J$4331,A180),2)</f>
        <v>3144.43</v>
      </c>
      <c r="L180" s="9">
        <f>ROUND(J180-K180,2)</f>
        <v>0</v>
      </c>
      <c r="M180" s="9">
        <f>ROUND(SUMIFS('Bank Lines'!$E$5:$E$1640,'Bank Lines'!$G$5:$G$1640,A180,'Bank Lines'!$J$5:$J$1640,1,'Bank Lines'!$C$5:$C$1640,"&lt;="&amp;Cover!$C$13),2)</f>
        <v>3144.43</v>
      </c>
      <c r="N180" s="9">
        <f>ROUND(SUMIFS('Odoo Items'!$G$5:$G$4331,'Odoo Items'!$J$5:$J$4331,A180,'Odoo Items'!$C$5:$C$4331,"&lt;="&amp;Cover!$C$13),2)</f>
        <v>3144.43</v>
      </c>
      <c r="O180">
        <f>COUNTIFS('Bank Lines'!$G$5:$G$1640,A180,'Bank Lines'!$J$5:$J$1640,1,'Bank Lines'!$C$5:$C$1640,"&lt;="&amp;Cover!$C$13)</f>
        <v>1</v>
      </c>
      <c r="P180">
        <f>COUNTIFS('Odoo Items'!$J$5:$J$4331,A180,'Odoo Items'!$C$5:$C$4331,"&lt;="&amp;Cover!$C$13)</f>
        <v>12</v>
      </c>
      <c r="Q180" t="str">
        <f>IF(AND(O180=0,P180=0),"",IF(O180=0,"ODOO-ONLY",IF(P180=0,"BANK-ONLY","BOTH")))</f>
        <v>BOTH</v>
      </c>
      <c r="R180" s="9">
        <f>IF(Q180="BOTH",ROUND(M180-N180,2),0)</f>
        <v>0</v>
      </c>
      <c r="S180" s="9">
        <f>ROUND(SUMIFS('Bank Lines'!$E$5:$E$1640,'Bank Lines'!$G$5:$G$1640,A180,'Bank Lines'!$J$5:$J$1640,1,'Bank Lines'!$C$5:$C$1640,"&lt;="&amp;Cover!$C$14),2)</f>
        <v>3144.43</v>
      </c>
      <c r="T180" s="9">
        <f>ROUND(SUMIFS('Odoo Items'!$G$5:$G$4331,'Odoo Items'!$J$5:$J$4331,A180,'Odoo Items'!$C$5:$C$4331,"&lt;="&amp;Cover!$C$14),2)</f>
        <v>3144.43</v>
      </c>
      <c r="U180">
        <f>COUNTIFS('Bank Lines'!$G$5:$G$1640,A180,'Bank Lines'!$J$5:$J$1640,1,'Bank Lines'!$C$5:$C$1640,"&lt;="&amp;Cover!$C$14)</f>
        <v>1</v>
      </c>
      <c r="V180">
        <f>COUNTIFS('Odoo Items'!$J$5:$J$4331,A180,'Odoo Items'!$C$5:$C$4331,"&lt;="&amp;Cover!$C$14)</f>
        <v>12</v>
      </c>
      <c r="W180" t="str">
        <f>IF(AND(U180=0,V180=0),"",IF(U180=0,"ODOO-ONLY",IF(V180=0,"BANK-ONLY","BOTH")))</f>
        <v>BOTH</v>
      </c>
      <c r="X180" s="9">
        <f>IF(W180="BOTH",ROUND(S180-T180,2),0)</f>
        <v>0</v>
      </c>
      <c r="Y180" s="9">
        <f>ROUND(SUMIFS('Bank Lines'!$E$5:$E$1640,'Bank Lines'!$G$5:$G$1640,A180,'Bank Lines'!$J$5:$J$1640,1,'Bank Lines'!$C$5:$C$1640,"&lt;="&amp;Cover!$C$15),2)</f>
        <v>3144.43</v>
      </c>
      <c r="Z180" s="9">
        <f>ROUND(SUMIFS('Odoo Items'!$G$5:$G$4331,'Odoo Items'!$J$5:$J$4331,A180,'Odoo Items'!$C$5:$C$4331,"&lt;="&amp;Cover!$C$15),2)</f>
        <v>3144.43</v>
      </c>
      <c r="AA180">
        <f>COUNTIFS('Bank Lines'!$G$5:$G$1640,A180,'Bank Lines'!$J$5:$J$1640,1,'Bank Lines'!$C$5:$C$1640,"&lt;="&amp;Cover!$C$15)</f>
        <v>1</v>
      </c>
      <c r="AB180">
        <f>COUNTIFS('Odoo Items'!$J$5:$J$4331,A180,'Odoo Items'!$C$5:$C$4331,"&lt;="&amp;Cover!$C$15)</f>
        <v>12</v>
      </c>
      <c r="AC180" t="str">
        <f>IF(AND(AA180=0,AB180=0),"",IF(AA180=0,"ODOO-ONLY",IF(AB180=0,"BANK-ONLY","BOTH")))</f>
        <v>BOTH</v>
      </c>
      <c r="AD180" s="9">
        <f>IF(AC180="BOTH",ROUND(Y180-Z180,2),0)</f>
        <v>0</v>
      </c>
    </row>
    <row r="181">
      <c r="A181" t="inlineStr">
        <is>
          <t>G00177</t>
        </is>
      </c>
      <c r="B181" t="inlineStr">
        <is>
          <t>OPS</t>
        </is>
      </c>
      <c r="C181" t="inlineStr">
        <is>
          <t>R03</t>
        </is>
      </c>
      <c r="D181" t="inlineStr">
        <is>
          <t>MATCH</t>
        </is>
      </c>
      <c r="E181" t="inlineStr">
        <is>
          <t>Wattle Plan Services</t>
        </is>
      </c>
      <c r="F181" t="n">
        <v>1</v>
      </c>
      <c r="G181" t="inlineStr">
        <is>
          <t>6 invoices</t>
        </is>
      </c>
      <c r="H181">
        <f>COUNTIFS('Bank Lines'!$G$5:$G$1640,A181,'Bank Lines'!$J$5:$J$1640,1)</f>
        <v>1</v>
      </c>
      <c r="I181">
        <f>COUNTIFS('Odoo Items'!$J$5:$J$4331,A181)</f>
        <v>6</v>
      </c>
      <c r="J181" s="9">
        <f>ROUND(SUMIFS('Bank Lines'!$E$5:$E$1640,'Bank Lines'!$G$5:$G$1640,A181,'Bank Lines'!$J$5:$J$1640,1),2)</f>
        <v>1367.61</v>
      </c>
      <c r="K181" s="9">
        <f>ROUND(SUMIFS('Odoo Items'!$G$5:$G$4331,'Odoo Items'!$J$5:$J$4331,A181),2)</f>
        <v>1367.61</v>
      </c>
      <c r="L181" s="9">
        <f>ROUND(J181-K181,2)</f>
        <v>0</v>
      </c>
      <c r="M181" s="9">
        <f>ROUND(SUMIFS('Bank Lines'!$E$5:$E$1640,'Bank Lines'!$G$5:$G$1640,A181,'Bank Lines'!$J$5:$J$1640,1,'Bank Lines'!$C$5:$C$1640,"&lt;="&amp;Cover!$C$13),2)</f>
        <v>1367.61</v>
      </c>
      <c r="N181" s="9">
        <f>ROUND(SUMIFS('Odoo Items'!$G$5:$G$4331,'Odoo Items'!$J$5:$J$4331,A181,'Odoo Items'!$C$5:$C$4331,"&lt;="&amp;Cover!$C$13),2)</f>
        <v>1367.61</v>
      </c>
      <c r="O181">
        <f>COUNTIFS('Bank Lines'!$G$5:$G$1640,A181,'Bank Lines'!$J$5:$J$1640,1,'Bank Lines'!$C$5:$C$1640,"&lt;="&amp;Cover!$C$13)</f>
        <v>1</v>
      </c>
      <c r="P181">
        <f>COUNTIFS('Odoo Items'!$J$5:$J$4331,A181,'Odoo Items'!$C$5:$C$4331,"&lt;="&amp;Cover!$C$13)</f>
        <v>6</v>
      </c>
      <c r="Q181" t="str">
        <f>IF(AND(O181=0,P181=0),"",IF(O181=0,"ODOO-ONLY",IF(P181=0,"BANK-ONLY","BOTH")))</f>
        <v>BOTH</v>
      </c>
      <c r="R181" s="9">
        <f>IF(Q181="BOTH",ROUND(M181-N181,2),0)</f>
        <v>0</v>
      </c>
      <c r="S181" s="9">
        <f>ROUND(SUMIFS('Bank Lines'!$E$5:$E$1640,'Bank Lines'!$G$5:$G$1640,A181,'Bank Lines'!$J$5:$J$1640,1,'Bank Lines'!$C$5:$C$1640,"&lt;="&amp;Cover!$C$14),2)</f>
        <v>1367.61</v>
      </c>
      <c r="T181" s="9">
        <f>ROUND(SUMIFS('Odoo Items'!$G$5:$G$4331,'Odoo Items'!$J$5:$J$4331,A181,'Odoo Items'!$C$5:$C$4331,"&lt;="&amp;Cover!$C$14),2)</f>
        <v>1367.61</v>
      </c>
      <c r="U181">
        <f>COUNTIFS('Bank Lines'!$G$5:$G$1640,A181,'Bank Lines'!$J$5:$J$1640,1,'Bank Lines'!$C$5:$C$1640,"&lt;="&amp;Cover!$C$14)</f>
        <v>1</v>
      </c>
      <c r="V181">
        <f>COUNTIFS('Odoo Items'!$J$5:$J$4331,A181,'Odoo Items'!$C$5:$C$4331,"&lt;="&amp;Cover!$C$14)</f>
        <v>6</v>
      </c>
      <c r="W181" t="str">
        <f>IF(AND(U181=0,V181=0),"",IF(U181=0,"ODOO-ONLY",IF(V181=0,"BANK-ONLY","BOTH")))</f>
        <v>BOTH</v>
      </c>
      <c r="X181" s="9">
        <f>IF(W181="BOTH",ROUND(S181-T181,2),0)</f>
        <v>0</v>
      </c>
      <c r="Y181" s="9">
        <f>ROUND(SUMIFS('Bank Lines'!$E$5:$E$1640,'Bank Lines'!$G$5:$G$1640,A181,'Bank Lines'!$J$5:$J$1640,1,'Bank Lines'!$C$5:$C$1640,"&lt;="&amp;Cover!$C$15),2)</f>
        <v>1367.61</v>
      </c>
      <c r="Z181" s="9">
        <f>ROUND(SUMIFS('Odoo Items'!$G$5:$G$4331,'Odoo Items'!$J$5:$J$4331,A181,'Odoo Items'!$C$5:$C$4331,"&lt;="&amp;Cover!$C$15),2)</f>
        <v>1367.61</v>
      </c>
      <c r="AA181">
        <f>COUNTIFS('Bank Lines'!$G$5:$G$1640,A181,'Bank Lines'!$J$5:$J$1640,1,'Bank Lines'!$C$5:$C$1640,"&lt;="&amp;Cover!$C$15)</f>
        <v>1</v>
      </c>
      <c r="AB181">
        <f>COUNTIFS('Odoo Items'!$J$5:$J$4331,A181,'Odoo Items'!$C$5:$C$4331,"&lt;="&amp;Cover!$C$15)</f>
        <v>6</v>
      </c>
      <c r="AC181" t="str">
        <f>IF(AND(AA181=0,AB181=0),"",IF(AA181=0,"ODOO-ONLY",IF(AB181=0,"BANK-ONLY","BOTH")))</f>
        <v>BOTH</v>
      </c>
      <c r="AD181" s="9">
        <f>IF(AC181="BOTH",ROUND(Y181-Z181,2),0)</f>
        <v>0</v>
      </c>
    </row>
    <row r="182">
      <c r="A182" t="inlineStr">
        <is>
          <t>G00178</t>
        </is>
      </c>
      <c r="B182" t="inlineStr">
        <is>
          <t>OPS</t>
        </is>
      </c>
      <c r="C182" t="inlineStr">
        <is>
          <t>R03</t>
        </is>
      </c>
      <c r="D182" t="inlineStr">
        <is>
          <t>MATCH</t>
        </is>
      </c>
      <c r="E182" t="inlineStr">
        <is>
          <t>Lyrebird Plan Management</t>
        </is>
      </c>
      <c r="F182" t="n">
        <v>1</v>
      </c>
      <c r="G182" t="inlineStr">
        <is>
          <t>3 invoices</t>
        </is>
      </c>
      <c r="H182">
        <f>COUNTIFS('Bank Lines'!$G$5:$G$1640,A182,'Bank Lines'!$J$5:$J$1640,1)</f>
        <v>1</v>
      </c>
      <c r="I182">
        <f>COUNTIFS('Odoo Items'!$J$5:$J$4331,A182)</f>
        <v>3</v>
      </c>
      <c r="J182" s="9">
        <f>ROUND(SUMIFS('Bank Lines'!$E$5:$E$1640,'Bank Lines'!$G$5:$G$1640,A182,'Bank Lines'!$J$5:$J$1640,1),2)</f>
        <v>466.47</v>
      </c>
      <c r="K182" s="9">
        <f>ROUND(SUMIFS('Odoo Items'!$G$5:$G$4331,'Odoo Items'!$J$5:$J$4331,A182),2)</f>
        <v>466.47</v>
      </c>
      <c r="L182" s="9">
        <f>ROUND(J182-K182,2)</f>
        <v>0</v>
      </c>
      <c r="M182" s="9">
        <f>ROUND(SUMIFS('Bank Lines'!$E$5:$E$1640,'Bank Lines'!$G$5:$G$1640,A182,'Bank Lines'!$J$5:$J$1640,1,'Bank Lines'!$C$5:$C$1640,"&lt;="&amp;Cover!$C$13),2)</f>
        <v>466.47</v>
      </c>
      <c r="N182" s="9">
        <f>ROUND(SUMIFS('Odoo Items'!$G$5:$G$4331,'Odoo Items'!$J$5:$J$4331,A182,'Odoo Items'!$C$5:$C$4331,"&lt;="&amp;Cover!$C$13),2)</f>
        <v>466.47</v>
      </c>
      <c r="O182">
        <f>COUNTIFS('Bank Lines'!$G$5:$G$1640,A182,'Bank Lines'!$J$5:$J$1640,1,'Bank Lines'!$C$5:$C$1640,"&lt;="&amp;Cover!$C$13)</f>
        <v>1</v>
      </c>
      <c r="P182">
        <f>COUNTIFS('Odoo Items'!$J$5:$J$4331,A182,'Odoo Items'!$C$5:$C$4331,"&lt;="&amp;Cover!$C$13)</f>
        <v>3</v>
      </c>
      <c r="Q182" t="str">
        <f>IF(AND(O182=0,P182=0),"",IF(O182=0,"ODOO-ONLY",IF(P182=0,"BANK-ONLY","BOTH")))</f>
        <v>BOTH</v>
      </c>
      <c r="R182" s="9">
        <f>IF(Q182="BOTH",ROUND(M182-N182,2),0)</f>
        <v>0</v>
      </c>
      <c r="S182" s="9">
        <f>ROUND(SUMIFS('Bank Lines'!$E$5:$E$1640,'Bank Lines'!$G$5:$G$1640,A182,'Bank Lines'!$J$5:$J$1640,1,'Bank Lines'!$C$5:$C$1640,"&lt;="&amp;Cover!$C$14),2)</f>
        <v>466.47</v>
      </c>
      <c r="T182" s="9">
        <f>ROUND(SUMIFS('Odoo Items'!$G$5:$G$4331,'Odoo Items'!$J$5:$J$4331,A182,'Odoo Items'!$C$5:$C$4331,"&lt;="&amp;Cover!$C$14),2)</f>
        <v>466.47</v>
      </c>
      <c r="U182">
        <f>COUNTIFS('Bank Lines'!$G$5:$G$1640,A182,'Bank Lines'!$J$5:$J$1640,1,'Bank Lines'!$C$5:$C$1640,"&lt;="&amp;Cover!$C$14)</f>
        <v>1</v>
      </c>
      <c r="V182">
        <f>COUNTIFS('Odoo Items'!$J$5:$J$4331,A182,'Odoo Items'!$C$5:$C$4331,"&lt;="&amp;Cover!$C$14)</f>
        <v>3</v>
      </c>
      <c r="W182" t="str">
        <f>IF(AND(U182=0,V182=0),"",IF(U182=0,"ODOO-ONLY",IF(V182=0,"BANK-ONLY","BOTH")))</f>
        <v>BOTH</v>
      </c>
      <c r="X182" s="9">
        <f>IF(W182="BOTH",ROUND(S182-T182,2),0)</f>
        <v>0</v>
      </c>
      <c r="Y182" s="9">
        <f>ROUND(SUMIFS('Bank Lines'!$E$5:$E$1640,'Bank Lines'!$G$5:$G$1640,A182,'Bank Lines'!$J$5:$J$1640,1,'Bank Lines'!$C$5:$C$1640,"&lt;="&amp;Cover!$C$15),2)</f>
        <v>466.47</v>
      </c>
      <c r="Z182" s="9">
        <f>ROUND(SUMIFS('Odoo Items'!$G$5:$G$4331,'Odoo Items'!$J$5:$J$4331,A182,'Odoo Items'!$C$5:$C$4331,"&lt;="&amp;Cover!$C$15),2)</f>
        <v>466.47</v>
      </c>
      <c r="AA182">
        <f>COUNTIFS('Bank Lines'!$G$5:$G$1640,A182,'Bank Lines'!$J$5:$J$1640,1,'Bank Lines'!$C$5:$C$1640,"&lt;="&amp;Cover!$C$15)</f>
        <v>1</v>
      </c>
      <c r="AB182">
        <f>COUNTIFS('Odoo Items'!$J$5:$J$4331,A182,'Odoo Items'!$C$5:$C$4331,"&lt;="&amp;Cover!$C$15)</f>
        <v>3</v>
      </c>
      <c r="AC182" t="str">
        <f>IF(AND(AA182=0,AB182=0),"",IF(AA182=0,"ODOO-ONLY",IF(AB182=0,"BANK-ONLY","BOTH")))</f>
        <v>BOTH</v>
      </c>
      <c r="AD182" s="9">
        <f>IF(AC182="BOTH",ROUND(Y182-Z182,2),0)</f>
        <v>0</v>
      </c>
    </row>
    <row r="183">
      <c r="A183" t="inlineStr">
        <is>
          <t>G00179</t>
        </is>
      </c>
      <c r="B183" t="inlineStr">
        <is>
          <t>OPS</t>
        </is>
      </c>
      <c r="C183" t="inlineStr">
        <is>
          <t>R03</t>
        </is>
      </c>
      <c r="D183" t="inlineStr">
        <is>
          <t>MATCH</t>
        </is>
      </c>
      <c r="E183" t="inlineStr">
        <is>
          <t>Acacia Plan Partners</t>
        </is>
      </c>
      <c r="F183" t="n">
        <v>1</v>
      </c>
      <c r="G183" t="inlineStr">
        <is>
          <t>8 invoices</t>
        </is>
      </c>
      <c r="H183">
        <f>COUNTIFS('Bank Lines'!$G$5:$G$1640,A183,'Bank Lines'!$J$5:$J$1640,1)</f>
        <v>1</v>
      </c>
      <c r="I183">
        <f>COUNTIFS('Odoo Items'!$J$5:$J$4331,A183)</f>
        <v>8</v>
      </c>
      <c r="J183" s="9">
        <f>ROUND(SUMIFS('Bank Lines'!$E$5:$E$1640,'Bank Lines'!$G$5:$G$1640,A183,'Bank Lines'!$J$5:$J$1640,1),2)</f>
        <v>2243.29</v>
      </c>
      <c r="K183" s="9">
        <f>ROUND(SUMIFS('Odoo Items'!$G$5:$G$4331,'Odoo Items'!$J$5:$J$4331,A183),2)</f>
        <v>2243.29</v>
      </c>
      <c r="L183" s="9">
        <f>ROUND(J183-K183,2)</f>
        <v>0</v>
      </c>
      <c r="M183" s="9">
        <f>ROUND(SUMIFS('Bank Lines'!$E$5:$E$1640,'Bank Lines'!$G$5:$G$1640,A183,'Bank Lines'!$J$5:$J$1640,1,'Bank Lines'!$C$5:$C$1640,"&lt;="&amp;Cover!$C$13),2)</f>
        <v>2243.29</v>
      </c>
      <c r="N183" s="9">
        <f>ROUND(SUMIFS('Odoo Items'!$G$5:$G$4331,'Odoo Items'!$J$5:$J$4331,A183,'Odoo Items'!$C$5:$C$4331,"&lt;="&amp;Cover!$C$13),2)</f>
        <v>2243.29</v>
      </c>
      <c r="O183">
        <f>COUNTIFS('Bank Lines'!$G$5:$G$1640,A183,'Bank Lines'!$J$5:$J$1640,1,'Bank Lines'!$C$5:$C$1640,"&lt;="&amp;Cover!$C$13)</f>
        <v>1</v>
      </c>
      <c r="P183">
        <f>COUNTIFS('Odoo Items'!$J$5:$J$4331,A183,'Odoo Items'!$C$5:$C$4331,"&lt;="&amp;Cover!$C$13)</f>
        <v>8</v>
      </c>
      <c r="Q183" t="str">
        <f>IF(AND(O183=0,P183=0),"",IF(O183=0,"ODOO-ONLY",IF(P183=0,"BANK-ONLY","BOTH")))</f>
        <v>BOTH</v>
      </c>
      <c r="R183" s="9">
        <f>IF(Q183="BOTH",ROUND(M183-N183,2),0)</f>
        <v>0</v>
      </c>
      <c r="S183" s="9">
        <f>ROUND(SUMIFS('Bank Lines'!$E$5:$E$1640,'Bank Lines'!$G$5:$G$1640,A183,'Bank Lines'!$J$5:$J$1640,1,'Bank Lines'!$C$5:$C$1640,"&lt;="&amp;Cover!$C$14),2)</f>
        <v>2243.29</v>
      </c>
      <c r="T183" s="9">
        <f>ROUND(SUMIFS('Odoo Items'!$G$5:$G$4331,'Odoo Items'!$J$5:$J$4331,A183,'Odoo Items'!$C$5:$C$4331,"&lt;="&amp;Cover!$C$14),2)</f>
        <v>2243.29</v>
      </c>
      <c r="U183">
        <f>COUNTIFS('Bank Lines'!$G$5:$G$1640,A183,'Bank Lines'!$J$5:$J$1640,1,'Bank Lines'!$C$5:$C$1640,"&lt;="&amp;Cover!$C$14)</f>
        <v>1</v>
      </c>
      <c r="V183">
        <f>COUNTIFS('Odoo Items'!$J$5:$J$4331,A183,'Odoo Items'!$C$5:$C$4331,"&lt;="&amp;Cover!$C$14)</f>
        <v>8</v>
      </c>
      <c r="W183" t="str">
        <f>IF(AND(U183=0,V183=0),"",IF(U183=0,"ODOO-ONLY",IF(V183=0,"BANK-ONLY","BOTH")))</f>
        <v>BOTH</v>
      </c>
      <c r="X183" s="9">
        <f>IF(W183="BOTH",ROUND(S183-T183,2),0)</f>
        <v>0</v>
      </c>
      <c r="Y183" s="9">
        <f>ROUND(SUMIFS('Bank Lines'!$E$5:$E$1640,'Bank Lines'!$G$5:$G$1640,A183,'Bank Lines'!$J$5:$J$1640,1,'Bank Lines'!$C$5:$C$1640,"&lt;="&amp;Cover!$C$15),2)</f>
        <v>2243.29</v>
      </c>
      <c r="Z183" s="9">
        <f>ROUND(SUMIFS('Odoo Items'!$G$5:$G$4331,'Odoo Items'!$J$5:$J$4331,A183,'Odoo Items'!$C$5:$C$4331,"&lt;="&amp;Cover!$C$15),2)</f>
        <v>2243.29</v>
      </c>
      <c r="AA183">
        <f>COUNTIFS('Bank Lines'!$G$5:$G$1640,A183,'Bank Lines'!$J$5:$J$1640,1,'Bank Lines'!$C$5:$C$1640,"&lt;="&amp;Cover!$C$15)</f>
        <v>1</v>
      </c>
      <c r="AB183">
        <f>COUNTIFS('Odoo Items'!$J$5:$J$4331,A183,'Odoo Items'!$C$5:$C$4331,"&lt;="&amp;Cover!$C$15)</f>
        <v>8</v>
      </c>
      <c r="AC183" t="str">
        <f>IF(AND(AA183=0,AB183=0),"",IF(AA183=0,"ODOO-ONLY",IF(AB183=0,"BANK-ONLY","BOTH")))</f>
        <v>BOTH</v>
      </c>
      <c r="AD183" s="9">
        <f>IF(AC183="BOTH",ROUND(Y183-Z183,2),0)</f>
        <v>0</v>
      </c>
    </row>
    <row r="184">
      <c r="A184" t="inlineStr">
        <is>
          <t>G00180</t>
        </is>
      </c>
      <c r="B184" t="inlineStr">
        <is>
          <t>OPS</t>
        </is>
      </c>
      <c r="C184" t="inlineStr">
        <is>
          <t>R03</t>
        </is>
      </c>
      <c r="D184" t="inlineStr">
        <is>
          <t>MATCH</t>
        </is>
      </c>
      <c r="E184" t="inlineStr">
        <is>
          <t>Bluegum Plan Management</t>
        </is>
      </c>
      <c r="F184" t="n">
        <v>0.9</v>
      </c>
      <c r="G184" t="inlineStr">
        <is>
          <t>2 invoices</t>
        </is>
      </c>
      <c r="H184">
        <f>COUNTIFS('Bank Lines'!$G$5:$G$1640,A184,'Bank Lines'!$J$5:$J$1640,1)</f>
        <v>1</v>
      </c>
      <c r="I184">
        <f>COUNTIFS('Odoo Items'!$J$5:$J$4331,A184)</f>
        <v>2</v>
      </c>
      <c r="J184" s="9">
        <f>ROUND(SUMIFS('Bank Lines'!$E$5:$E$1640,'Bank Lines'!$G$5:$G$1640,A184,'Bank Lines'!$J$5:$J$1640,1),2)</f>
        <v>496.47</v>
      </c>
      <c r="K184" s="9">
        <f>ROUND(SUMIFS('Odoo Items'!$G$5:$G$4331,'Odoo Items'!$J$5:$J$4331,A184),2)</f>
        <v>496.47</v>
      </c>
      <c r="L184" s="9">
        <f>ROUND(J184-K184,2)</f>
        <v>0</v>
      </c>
      <c r="M184" s="9">
        <f>ROUND(SUMIFS('Bank Lines'!$E$5:$E$1640,'Bank Lines'!$G$5:$G$1640,A184,'Bank Lines'!$J$5:$J$1640,1,'Bank Lines'!$C$5:$C$1640,"&lt;="&amp;Cover!$C$13),2)</f>
        <v>496.47</v>
      </c>
      <c r="N184" s="9">
        <f>ROUND(SUMIFS('Odoo Items'!$G$5:$G$4331,'Odoo Items'!$J$5:$J$4331,A184,'Odoo Items'!$C$5:$C$4331,"&lt;="&amp;Cover!$C$13),2)</f>
        <v>496.47</v>
      </c>
      <c r="O184">
        <f>COUNTIFS('Bank Lines'!$G$5:$G$1640,A184,'Bank Lines'!$J$5:$J$1640,1,'Bank Lines'!$C$5:$C$1640,"&lt;="&amp;Cover!$C$13)</f>
        <v>1</v>
      </c>
      <c r="P184">
        <f>COUNTIFS('Odoo Items'!$J$5:$J$4331,A184,'Odoo Items'!$C$5:$C$4331,"&lt;="&amp;Cover!$C$13)</f>
        <v>2</v>
      </c>
      <c r="Q184" t="str">
        <f>IF(AND(O184=0,P184=0),"",IF(O184=0,"ODOO-ONLY",IF(P184=0,"BANK-ONLY","BOTH")))</f>
        <v>BOTH</v>
      </c>
      <c r="R184" s="9">
        <f>IF(Q184="BOTH",ROUND(M184-N184,2),0)</f>
        <v>0</v>
      </c>
      <c r="S184" s="9">
        <f>ROUND(SUMIFS('Bank Lines'!$E$5:$E$1640,'Bank Lines'!$G$5:$G$1640,A184,'Bank Lines'!$J$5:$J$1640,1,'Bank Lines'!$C$5:$C$1640,"&lt;="&amp;Cover!$C$14),2)</f>
        <v>496.47</v>
      </c>
      <c r="T184" s="9">
        <f>ROUND(SUMIFS('Odoo Items'!$G$5:$G$4331,'Odoo Items'!$J$5:$J$4331,A184,'Odoo Items'!$C$5:$C$4331,"&lt;="&amp;Cover!$C$14),2)</f>
        <v>496.47</v>
      </c>
      <c r="U184">
        <f>COUNTIFS('Bank Lines'!$G$5:$G$1640,A184,'Bank Lines'!$J$5:$J$1640,1,'Bank Lines'!$C$5:$C$1640,"&lt;="&amp;Cover!$C$14)</f>
        <v>1</v>
      </c>
      <c r="V184">
        <f>COUNTIFS('Odoo Items'!$J$5:$J$4331,A184,'Odoo Items'!$C$5:$C$4331,"&lt;="&amp;Cover!$C$14)</f>
        <v>2</v>
      </c>
      <c r="W184" t="str">
        <f>IF(AND(U184=0,V184=0),"",IF(U184=0,"ODOO-ONLY",IF(V184=0,"BANK-ONLY","BOTH")))</f>
        <v>BOTH</v>
      </c>
      <c r="X184" s="9">
        <f>IF(W184="BOTH",ROUND(S184-T184,2),0)</f>
        <v>0</v>
      </c>
      <c r="Y184" s="9">
        <f>ROUND(SUMIFS('Bank Lines'!$E$5:$E$1640,'Bank Lines'!$G$5:$G$1640,A184,'Bank Lines'!$J$5:$J$1640,1,'Bank Lines'!$C$5:$C$1640,"&lt;="&amp;Cover!$C$15),2)</f>
        <v>496.47</v>
      </c>
      <c r="Z184" s="9">
        <f>ROUND(SUMIFS('Odoo Items'!$G$5:$G$4331,'Odoo Items'!$J$5:$J$4331,A184,'Odoo Items'!$C$5:$C$4331,"&lt;="&amp;Cover!$C$15),2)</f>
        <v>496.47</v>
      </c>
      <c r="AA184">
        <f>COUNTIFS('Bank Lines'!$G$5:$G$1640,A184,'Bank Lines'!$J$5:$J$1640,1,'Bank Lines'!$C$5:$C$1640,"&lt;="&amp;Cover!$C$15)</f>
        <v>1</v>
      </c>
      <c r="AB184">
        <f>COUNTIFS('Odoo Items'!$J$5:$J$4331,A184,'Odoo Items'!$C$5:$C$4331,"&lt;="&amp;Cover!$C$15)</f>
        <v>2</v>
      </c>
      <c r="AC184" t="str">
        <f>IF(AND(AA184=0,AB184=0),"",IF(AA184=0,"ODOO-ONLY",IF(AB184=0,"BANK-ONLY","BOTH")))</f>
        <v>BOTH</v>
      </c>
      <c r="AD184" s="9">
        <f>IF(AC184="BOTH",ROUND(Y184-Z184,2),0)</f>
        <v>0</v>
      </c>
    </row>
    <row r="185">
      <c r="A185" t="inlineStr">
        <is>
          <t>G00181</t>
        </is>
      </c>
      <c r="B185" t="inlineStr">
        <is>
          <t>OPS</t>
        </is>
      </c>
      <c r="C185" t="inlineStr">
        <is>
          <t>R03</t>
        </is>
      </c>
      <c r="D185" t="inlineStr">
        <is>
          <t>MATCH</t>
        </is>
      </c>
      <c r="E185" t="inlineStr">
        <is>
          <t>Riverbend Plan Partners</t>
        </is>
      </c>
      <c r="F185" t="n">
        <v>1</v>
      </c>
      <c r="G185" t="inlineStr">
        <is>
          <t>3 invoices</t>
        </is>
      </c>
      <c r="H185">
        <f>COUNTIFS('Bank Lines'!$G$5:$G$1640,A185,'Bank Lines'!$J$5:$J$1640,1)</f>
        <v>1</v>
      </c>
      <c r="I185">
        <f>COUNTIFS('Odoo Items'!$J$5:$J$4331,A185)</f>
        <v>3</v>
      </c>
      <c r="J185" s="9">
        <f>ROUND(SUMIFS('Bank Lines'!$E$5:$E$1640,'Bank Lines'!$G$5:$G$1640,A185,'Bank Lines'!$J$5:$J$1640,1),2)</f>
        <v>698.36</v>
      </c>
      <c r="K185" s="9">
        <f>ROUND(SUMIFS('Odoo Items'!$G$5:$G$4331,'Odoo Items'!$J$5:$J$4331,A185),2)</f>
        <v>698.36</v>
      </c>
      <c r="L185" s="9">
        <f>ROUND(J185-K185,2)</f>
        <v>0</v>
      </c>
      <c r="M185" s="9">
        <f>ROUND(SUMIFS('Bank Lines'!$E$5:$E$1640,'Bank Lines'!$G$5:$G$1640,A185,'Bank Lines'!$J$5:$J$1640,1,'Bank Lines'!$C$5:$C$1640,"&lt;="&amp;Cover!$C$13),2)</f>
        <v>698.36</v>
      </c>
      <c r="N185" s="9">
        <f>ROUND(SUMIFS('Odoo Items'!$G$5:$G$4331,'Odoo Items'!$J$5:$J$4331,A185,'Odoo Items'!$C$5:$C$4331,"&lt;="&amp;Cover!$C$13),2)</f>
        <v>698.36</v>
      </c>
      <c r="O185">
        <f>COUNTIFS('Bank Lines'!$G$5:$G$1640,A185,'Bank Lines'!$J$5:$J$1640,1,'Bank Lines'!$C$5:$C$1640,"&lt;="&amp;Cover!$C$13)</f>
        <v>1</v>
      </c>
      <c r="P185">
        <f>COUNTIFS('Odoo Items'!$J$5:$J$4331,A185,'Odoo Items'!$C$5:$C$4331,"&lt;="&amp;Cover!$C$13)</f>
        <v>3</v>
      </c>
      <c r="Q185" t="str">
        <f>IF(AND(O185=0,P185=0),"",IF(O185=0,"ODOO-ONLY",IF(P185=0,"BANK-ONLY","BOTH")))</f>
        <v>BOTH</v>
      </c>
      <c r="R185" s="9">
        <f>IF(Q185="BOTH",ROUND(M185-N185,2),0)</f>
        <v>0</v>
      </c>
      <c r="S185" s="9">
        <f>ROUND(SUMIFS('Bank Lines'!$E$5:$E$1640,'Bank Lines'!$G$5:$G$1640,A185,'Bank Lines'!$J$5:$J$1640,1,'Bank Lines'!$C$5:$C$1640,"&lt;="&amp;Cover!$C$14),2)</f>
        <v>698.36</v>
      </c>
      <c r="T185" s="9">
        <f>ROUND(SUMIFS('Odoo Items'!$G$5:$G$4331,'Odoo Items'!$J$5:$J$4331,A185,'Odoo Items'!$C$5:$C$4331,"&lt;="&amp;Cover!$C$14),2)</f>
        <v>698.36</v>
      </c>
      <c r="U185">
        <f>COUNTIFS('Bank Lines'!$G$5:$G$1640,A185,'Bank Lines'!$J$5:$J$1640,1,'Bank Lines'!$C$5:$C$1640,"&lt;="&amp;Cover!$C$14)</f>
        <v>1</v>
      </c>
      <c r="V185">
        <f>COUNTIFS('Odoo Items'!$J$5:$J$4331,A185,'Odoo Items'!$C$5:$C$4331,"&lt;="&amp;Cover!$C$14)</f>
        <v>3</v>
      </c>
      <c r="W185" t="str">
        <f>IF(AND(U185=0,V185=0),"",IF(U185=0,"ODOO-ONLY",IF(V185=0,"BANK-ONLY","BOTH")))</f>
        <v>BOTH</v>
      </c>
      <c r="X185" s="9">
        <f>IF(W185="BOTH",ROUND(S185-T185,2),0)</f>
        <v>0</v>
      </c>
      <c r="Y185" s="9">
        <f>ROUND(SUMIFS('Bank Lines'!$E$5:$E$1640,'Bank Lines'!$G$5:$G$1640,A185,'Bank Lines'!$J$5:$J$1640,1,'Bank Lines'!$C$5:$C$1640,"&lt;="&amp;Cover!$C$15),2)</f>
        <v>698.36</v>
      </c>
      <c r="Z185" s="9">
        <f>ROUND(SUMIFS('Odoo Items'!$G$5:$G$4331,'Odoo Items'!$J$5:$J$4331,A185,'Odoo Items'!$C$5:$C$4331,"&lt;="&amp;Cover!$C$15),2)</f>
        <v>698.36</v>
      </c>
      <c r="AA185">
        <f>COUNTIFS('Bank Lines'!$G$5:$G$1640,A185,'Bank Lines'!$J$5:$J$1640,1,'Bank Lines'!$C$5:$C$1640,"&lt;="&amp;Cover!$C$15)</f>
        <v>1</v>
      </c>
      <c r="AB185">
        <f>COUNTIFS('Odoo Items'!$J$5:$J$4331,A185,'Odoo Items'!$C$5:$C$4331,"&lt;="&amp;Cover!$C$15)</f>
        <v>3</v>
      </c>
      <c r="AC185" t="str">
        <f>IF(AND(AA185=0,AB185=0),"",IF(AA185=0,"ODOO-ONLY",IF(AB185=0,"BANK-ONLY","BOTH")))</f>
        <v>BOTH</v>
      </c>
      <c r="AD185" s="9">
        <f>IF(AC185="BOTH",ROUND(Y185-Z185,2),0)</f>
        <v>0</v>
      </c>
    </row>
    <row r="186">
      <c r="A186" t="inlineStr">
        <is>
          <t>G00182</t>
        </is>
      </c>
      <c r="B186" t="inlineStr">
        <is>
          <t>OPS</t>
        </is>
      </c>
      <c r="C186" t="inlineStr">
        <is>
          <t>R03</t>
        </is>
      </c>
      <c r="D186" t="inlineStr">
        <is>
          <t>MATCH</t>
        </is>
      </c>
      <c r="E186" t="inlineStr">
        <is>
          <t>Clearpath NDIS Plans</t>
        </is>
      </c>
      <c r="F186" t="n">
        <v>0.973</v>
      </c>
      <c r="G186" t="inlineStr">
        <is>
          <t>1 invoices</t>
        </is>
      </c>
      <c r="H186">
        <f>COUNTIFS('Bank Lines'!$G$5:$G$1640,A186,'Bank Lines'!$J$5:$J$1640,1)</f>
        <v>1</v>
      </c>
      <c r="I186">
        <f>COUNTIFS('Odoo Items'!$J$5:$J$4331,A186)</f>
        <v>1</v>
      </c>
      <c r="J186" s="9">
        <f>ROUND(SUMIFS('Bank Lines'!$E$5:$E$1640,'Bank Lines'!$G$5:$G$1640,A186,'Bank Lines'!$J$5:$J$1640,1),2)</f>
        <v>290.98</v>
      </c>
      <c r="K186" s="9">
        <f>ROUND(SUMIFS('Odoo Items'!$G$5:$G$4331,'Odoo Items'!$J$5:$J$4331,A186),2)</f>
        <v>290.98</v>
      </c>
      <c r="L186" s="9">
        <f>ROUND(J186-K186,2)</f>
        <v>0</v>
      </c>
      <c r="M186" s="9">
        <f>ROUND(SUMIFS('Bank Lines'!$E$5:$E$1640,'Bank Lines'!$G$5:$G$1640,A186,'Bank Lines'!$J$5:$J$1640,1,'Bank Lines'!$C$5:$C$1640,"&lt;="&amp;Cover!$C$13),2)</f>
        <v>290.98</v>
      </c>
      <c r="N186" s="9">
        <f>ROUND(SUMIFS('Odoo Items'!$G$5:$G$4331,'Odoo Items'!$J$5:$J$4331,A186,'Odoo Items'!$C$5:$C$4331,"&lt;="&amp;Cover!$C$13),2)</f>
        <v>290.98</v>
      </c>
      <c r="O186">
        <f>COUNTIFS('Bank Lines'!$G$5:$G$1640,A186,'Bank Lines'!$J$5:$J$1640,1,'Bank Lines'!$C$5:$C$1640,"&lt;="&amp;Cover!$C$13)</f>
        <v>1</v>
      </c>
      <c r="P186">
        <f>COUNTIFS('Odoo Items'!$J$5:$J$4331,A186,'Odoo Items'!$C$5:$C$4331,"&lt;="&amp;Cover!$C$13)</f>
        <v>1</v>
      </c>
      <c r="Q186" t="str">
        <f>IF(AND(O186=0,P186=0),"",IF(O186=0,"ODOO-ONLY",IF(P186=0,"BANK-ONLY","BOTH")))</f>
        <v>BOTH</v>
      </c>
      <c r="R186" s="9">
        <f>IF(Q186="BOTH",ROUND(M186-N186,2),0)</f>
        <v>0</v>
      </c>
      <c r="S186" s="9">
        <f>ROUND(SUMIFS('Bank Lines'!$E$5:$E$1640,'Bank Lines'!$G$5:$G$1640,A186,'Bank Lines'!$J$5:$J$1640,1,'Bank Lines'!$C$5:$C$1640,"&lt;="&amp;Cover!$C$14),2)</f>
        <v>290.98</v>
      </c>
      <c r="T186" s="9">
        <f>ROUND(SUMIFS('Odoo Items'!$G$5:$G$4331,'Odoo Items'!$J$5:$J$4331,A186,'Odoo Items'!$C$5:$C$4331,"&lt;="&amp;Cover!$C$14),2)</f>
        <v>290.98</v>
      </c>
      <c r="U186">
        <f>COUNTIFS('Bank Lines'!$G$5:$G$1640,A186,'Bank Lines'!$J$5:$J$1640,1,'Bank Lines'!$C$5:$C$1640,"&lt;="&amp;Cover!$C$14)</f>
        <v>1</v>
      </c>
      <c r="V186">
        <f>COUNTIFS('Odoo Items'!$J$5:$J$4331,A186,'Odoo Items'!$C$5:$C$4331,"&lt;="&amp;Cover!$C$14)</f>
        <v>1</v>
      </c>
      <c r="W186" t="str">
        <f>IF(AND(U186=0,V186=0),"",IF(U186=0,"ODOO-ONLY",IF(V186=0,"BANK-ONLY","BOTH")))</f>
        <v>BOTH</v>
      </c>
      <c r="X186" s="9">
        <f>IF(W186="BOTH",ROUND(S186-T186,2),0)</f>
        <v>0</v>
      </c>
      <c r="Y186" s="9">
        <f>ROUND(SUMIFS('Bank Lines'!$E$5:$E$1640,'Bank Lines'!$G$5:$G$1640,A186,'Bank Lines'!$J$5:$J$1640,1,'Bank Lines'!$C$5:$C$1640,"&lt;="&amp;Cover!$C$15),2)</f>
        <v>290.98</v>
      </c>
      <c r="Z186" s="9">
        <f>ROUND(SUMIFS('Odoo Items'!$G$5:$G$4331,'Odoo Items'!$J$5:$J$4331,A186,'Odoo Items'!$C$5:$C$4331,"&lt;="&amp;Cover!$C$15),2)</f>
        <v>290.98</v>
      </c>
      <c r="AA186">
        <f>COUNTIFS('Bank Lines'!$G$5:$G$1640,A186,'Bank Lines'!$J$5:$J$1640,1,'Bank Lines'!$C$5:$C$1640,"&lt;="&amp;Cover!$C$15)</f>
        <v>1</v>
      </c>
      <c r="AB186">
        <f>COUNTIFS('Odoo Items'!$J$5:$J$4331,A186,'Odoo Items'!$C$5:$C$4331,"&lt;="&amp;Cover!$C$15)</f>
        <v>1</v>
      </c>
      <c r="AC186" t="str">
        <f>IF(AND(AA186=0,AB186=0),"",IF(AA186=0,"ODOO-ONLY",IF(AB186=0,"BANK-ONLY","BOTH")))</f>
        <v>BOTH</v>
      </c>
      <c r="AD186" s="9">
        <f>IF(AC186="BOTH",ROUND(Y186-Z186,2),0)</f>
        <v>0</v>
      </c>
    </row>
    <row r="187">
      <c r="A187" t="inlineStr">
        <is>
          <t>G00183</t>
        </is>
      </c>
      <c r="B187" t="inlineStr">
        <is>
          <t>OPS</t>
        </is>
      </c>
      <c r="C187" t="inlineStr">
        <is>
          <t>R03</t>
        </is>
      </c>
      <c r="D187" t="inlineStr">
        <is>
          <t>MATCH</t>
        </is>
      </c>
      <c r="E187" t="inlineStr">
        <is>
          <t>Ironbark Plan Management</t>
        </is>
      </c>
      <c r="F187" t="n">
        <v>1</v>
      </c>
      <c r="G187" t="inlineStr">
        <is>
          <t>12 invoices</t>
        </is>
      </c>
      <c r="H187">
        <f>COUNTIFS('Bank Lines'!$G$5:$G$1640,A187,'Bank Lines'!$J$5:$J$1640,1)</f>
        <v>1</v>
      </c>
      <c r="I187">
        <f>COUNTIFS('Odoo Items'!$J$5:$J$4331,A187)</f>
        <v>12</v>
      </c>
      <c r="J187" s="9">
        <f>ROUND(SUMIFS('Bank Lines'!$E$5:$E$1640,'Bank Lines'!$G$5:$G$1640,A187,'Bank Lines'!$J$5:$J$1640,1),2)</f>
        <v>2990.14</v>
      </c>
      <c r="K187" s="9">
        <f>ROUND(SUMIFS('Odoo Items'!$G$5:$G$4331,'Odoo Items'!$J$5:$J$4331,A187),2)</f>
        <v>2990.14</v>
      </c>
      <c r="L187" s="9">
        <f>ROUND(J187-K187,2)</f>
        <v>0</v>
      </c>
      <c r="M187" s="9">
        <f>ROUND(SUMIFS('Bank Lines'!$E$5:$E$1640,'Bank Lines'!$G$5:$G$1640,A187,'Bank Lines'!$J$5:$J$1640,1,'Bank Lines'!$C$5:$C$1640,"&lt;="&amp;Cover!$C$13),2)</f>
        <v>2990.14</v>
      </c>
      <c r="N187" s="9">
        <f>ROUND(SUMIFS('Odoo Items'!$G$5:$G$4331,'Odoo Items'!$J$5:$J$4331,A187,'Odoo Items'!$C$5:$C$4331,"&lt;="&amp;Cover!$C$13),2)</f>
        <v>2990.14</v>
      </c>
      <c r="O187">
        <f>COUNTIFS('Bank Lines'!$G$5:$G$1640,A187,'Bank Lines'!$J$5:$J$1640,1,'Bank Lines'!$C$5:$C$1640,"&lt;="&amp;Cover!$C$13)</f>
        <v>1</v>
      </c>
      <c r="P187">
        <f>COUNTIFS('Odoo Items'!$J$5:$J$4331,A187,'Odoo Items'!$C$5:$C$4331,"&lt;="&amp;Cover!$C$13)</f>
        <v>12</v>
      </c>
      <c r="Q187" t="str">
        <f>IF(AND(O187=0,P187=0),"",IF(O187=0,"ODOO-ONLY",IF(P187=0,"BANK-ONLY","BOTH")))</f>
        <v>BOTH</v>
      </c>
      <c r="R187" s="9">
        <f>IF(Q187="BOTH",ROUND(M187-N187,2),0)</f>
        <v>0</v>
      </c>
      <c r="S187" s="9">
        <f>ROUND(SUMIFS('Bank Lines'!$E$5:$E$1640,'Bank Lines'!$G$5:$G$1640,A187,'Bank Lines'!$J$5:$J$1640,1,'Bank Lines'!$C$5:$C$1640,"&lt;="&amp;Cover!$C$14),2)</f>
        <v>2990.14</v>
      </c>
      <c r="T187" s="9">
        <f>ROUND(SUMIFS('Odoo Items'!$G$5:$G$4331,'Odoo Items'!$J$5:$J$4331,A187,'Odoo Items'!$C$5:$C$4331,"&lt;="&amp;Cover!$C$14),2)</f>
        <v>2990.14</v>
      </c>
      <c r="U187">
        <f>COUNTIFS('Bank Lines'!$G$5:$G$1640,A187,'Bank Lines'!$J$5:$J$1640,1,'Bank Lines'!$C$5:$C$1640,"&lt;="&amp;Cover!$C$14)</f>
        <v>1</v>
      </c>
      <c r="V187">
        <f>COUNTIFS('Odoo Items'!$J$5:$J$4331,A187,'Odoo Items'!$C$5:$C$4331,"&lt;="&amp;Cover!$C$14)</f>
        <v>12</v>
      </c>
      <c r="W187" t="str">
        <f>IF(AND(U187=0,V187=0),"",IF(U187=0,"ODOO-ONLY",IF(V187=0,"BANK-ONLY","BOTH")))</f>
        <v>BOTH</v>
      </c>
      <c r="X187" s="9">
        <f>IF(W187="BOTH",ROUND(S187-T187,2),0)</f>
        <v>0</v>
      </c>
      <c r="Y187" s="9">
        <f>ROUND(SUMIFS('Bank Lines'!$E$5:$E$1640,'Bank Lines'!$G$5:$G$1640,A187,'Bank Lines'!$J$5:$J$1640,1,'Bank Lines'!$C$5:$C$1640,"&lt;="&amp;Cover!$C$15),2)</f>
        <v>2990.14</v>
      </c>
      <c r="Z187" s="9">
        <f>ROUND(SUMIFS('Odoo Items'!$G$5:$G$4331,'Odoo Items'!$J$5:$J$4331,A187,'Odoo Items'!$C$5:$C$4331,"&lt;="&amp;Cover!$C$15),2)</f>
        <v>2990.14</v>
      </c>
      <c r="AA187">
        <f>COUNTIFS('Bank Lines'!$G$5:$G$1640,A187,'Bank Lines'!$J$5:$J$1640,1,'Bank Lines'!$C$5:$C$1640,"&lt;="&amp;Cover!$C$15)</f>
        <v>1</v>
      </c>
      <c r="AB187">
        <f>COUNTIFS('Odoo Items'!$J$5:$J$4331,A187,'Odoo Items'!$C$5:$C$4331,"&lt;="&amp;Cover!$C$15)</f>
        <v>12</v>
      </c>
      <c r="AC187" t="str">
        <f>IF(AND(AA187=0,AB187=0),"",IF(AA187=0,"ODOO-ONLY",IF(AB187=0,"BANK-ONLY","BOTH")))</f>
        <v>BOTH</v>
      </c>
      <c r="AD187" s="9">
        <f>IF(AC187="BOTH",ROUND(Y187-Z187,2),0)</f>
        <v>0</v>
      </c>
    </row>
    <row r="188">
      <c r="A188" t="inlineStr">
        <is>
          <t>G00184</t>
        </is>
      </c>
      <c r="B188" t="inlineStr">
        <is>
          <t>OPS</t>
        </is>
      </c>
      <c r="C188" t="inlineStr">
        <is>
          <t>R03</t>
        </is>
      </c>
      <c r="D188" t="inlineStr">
        <is>
          <t>REG</t>
        </is>
      </c>
      <c r="E188" t="inlineStr">
        <is>
          <t>Kookaburra Plan Support</t>
        </is>
      </c>
      <c r="F188" t="n">
        <v>1</v>
      </c>
      <c r="G188" t="inlineStr">
        <is>
          <t>Receipt not registered in Odoo; remittance RA44905 lists 8 invoices</t>
        </is>
      </c>
      <c r="H188">
        <f>COUNTIFS('Bank Lines'!$G$5:$G$1640,A188,'Bank Lines'!$J$5:$J$1640,1)</f>
        <v>1</v>
      </c>
      <c r="I188">
        <f>COUNTIFS('Odoo Items'!$J$5:$J$4331,A188)</f>
        <v>0</v>
      </c>
      <c r="J188" s="9">
        <f>ROUND(SUMIFS('Bank Lines'!$E$5:$E$1640,'Bank Lines'!$G$5:$G$1640,A188,'Bank Lines'!$J$5:$J$1640,1),2)</f>
        <v>1982.3</v>
      </c>
      <c r="K188" s="9">
        <f>ROUND(SUMIFS('Odoo Items'!$G$5:$G$4331,'Odoo Items'!$J$5:$J$4331,A188),2)</f>
        <v>0</v>
      </c>
      <c r="L188" s="9">
        <f>ROUND(J188-K188,2)</f>
        <v>1982.3</v>
      </c>
      <c r="M188" s="9">
        <f>ROUND(SUMIFS('Bank Lines'!$E$5:$E$1640,'Bank Lines'!$G$5:$G$1640,A188,'Bank Lines'!$J$5:$J$1640,1,'Bank Lines'!$C$5:$C$1640,"&lt;="&amp;Cover!$C$13),2)</f>
        <v>1982.3</v>
      </c>
      <c r="N188" s="9">
        <f>ROUND(SUMIFS('Odoo Items'!$G$5:$G$4331,'Odoo Items'!$J$5:$J$4331,A188,'Odoo Items'!$C$5:$C$4331,"&lt;="&amp;Cover!$C$13),2)</f>
        <v>0</v>
      </c>
      <c r="O188">
        <f>COUNTIFS('Bank Lines'!$G$5:$G$1640,A188,'Bank Lines'!$J$5:$J$1640,1,'Bank Lines'!$C$5:$C$1640,"&lt;="&amp;Cover!$C$13)</f>
        <v>1</v>
      </c>
      <c r="P188">
        <f>COUNTIFS('Odoo Items'!$J$5:$J$4331,A188,'Odoo Items'!$C$5:$C$4331,"&lt;="&amp;Cover!$C$13)</f>
        <v>0</v>
      </c>
      <c r="Q188" t="str">
        <f>IF(AND(O188=0,P188=0),"",IF(O188=0,"ODOO-ONLY",IF(P188=0,"BANK-ONLY","BOTH")))</f>
        <v>BANK-ONLY</v>
      </c>
      <c r="R188" s="9">
        <f>IF(Q188="BOTH",ROUND(M188-N188,2),0)</f>
        <v>0</v>
      </c>
      <c r="S188" s="9">
        <f>ROUND(SUMIFS('Bank Lines'!$E$5:$E$1640,'Bank Lines'!$G$5:$G$1640,A188,'Bank Lines'!$J$5:$J$1640,1,'Bank Lines'!$C$5:$C$1640,"&lt;="&amp;Cover!$C$14),2)</f>
        <v>1982.3</v>
      </c>
      <c r="T188" s="9">
        <f>ROUND(SUMIFS('Odoo Items'!$G$5:$G$4331,'Odoo Items'!$J$5:$J$4331,A188,'Odoo Items'!$C$5:$C$4331,"&lt;="&amp;Cover!$C$14),2)</f>
        <v>0</v>
      </c>
      <c r="U188">
        <f>COUNTIFS('Bank Lines'!$G$5:$G$1640,A188,'Bank Lines'!$J$5:$J$1640,1,'Bank Lines'!$C$5:$C$1640,"&lt;="&amp;Cover!$C$14)</f>
        <v>1</v>
      </c>
      <c r="V188">
        <f>COUNTIFS('Odoo Items'!$J$5:$J$4331,A188,'Odoo Items'!$C$5:$C$4331,"&lt;="&amp;Cover!$C$14)</f>
        <v>0</v>
      </c>
      <c r="W188" t="str">
        <f>IF(AND(U188=0,V188=0),"",IF(U188=0,"ODOO-ONLY",IF(V188=0,"BANK-ONLY","BOTH")))</f>
        <v>BANK-ONLY</v>
      </c>
      <c r="X188" s="9">
        <f>IF(W188="BOTH",ROUND(S188-T188,2),0)</f>
        <v>0</v>
      </c>
      <c r="Y188" s="9">
        <f>ROUND(SUMIFS('Bank Lines'!$E$5:$E$1640,'Bank Lines'!$G$5:$G$1640,A188,'Bank Lines'!$J$5:$J$1640,1,'Bank Lines'!$C$5:$C$1640,"&lt;="&amp;Cover!$C$15),2)</f>
        <v>1982.3</v>
      </c>
      <c r="Z188" s="9">
        <f>ROUND(SUMIFS('Odoo Items'!$G$5:$G$4331,'Odoo Items'!$J$5:$J$4331,A188,'Odoo Items'!$C$5:$C$4331,"&lt;="&amp;Cover!$C$15),2)</f>
        <v>0</v>
      </c>
      <c r="AA188">
        <f>COUNTIFS('Bank Lines'!$G$5:$G$1640,A188,'Bank Lines'!$J$5:$J$1640,1,'Bank Lines'!$C$5:$C$1640,"&lt;="&amp;Cover!$C$15)</f>
        <v>1</v>
      </c>
      <c r="AB188">
        <f>COUNTIFS('Odoo Items'!$J$5:$J$4331,A188,'Odoo Items'!$C$5:$C$4331,"&lt;="&amp;Cover!$C$15)</f>
        <v>0</v>
      </c>
      <c r="AC188" t="str">
        <f>IF(AND(AA188=0,AB188=0),"",IF(AA188=0,"ODOO-ONLY",IF(AB188=0,"BANK-ONLY","BOTH")))</f>
        <v>BANK-ONLY</v>
      </c>
      <c r="AD188" s="9">
        <f>IF(AC188="BOTH",ROUND(Y188-Z188,2),0)</f>
        <v>0</v>
      </c>
    </row>
    <row r="189">
      <c r="A189" t="inlineStr">
        <is>
          <t>G00185</t>
        </is>
      </c>
      <c r="B189" t="inlineStr">
        <is>
          <t>OPS</t>
        </is>
      </c>
      <c r="C189" t="inlineStr">
        <is>
          <t>R03</t>
        </is>
      </c>
      <c r="D189" t="inlineStr">
        <is>
          <t>MATCH</t>
        </is>
      </c>
      <c r="E189" t="inlineStr">
        <is>
          <t>Lyrebird Plan Management</t>
        </is>
      </c>
      <c r="F189" t="n">
        <v>1</v>
      </c>
      <c r="G189" t="inlineStr">
        <is>
          <t>9 invoices</t>
        </is>
      </c>
      <c r="H189">
        <f>COUNTIFS('Bank Lines'!$G$5:$G$1640,A189,'Bank Lines'!$J$5:$J$1640,1)</f>
        <v>1</v>
      </c>
      <c r="I189">
        <f>COUNTIFS('Odoo Items'!$J$5:$J$4331,A189)</f>
        <v>9</v>
      </c>
      <c r="J189" s="9">
        <f>ROUND(SUMIFS('Bank Lines'!$E$5:$E$1640,'Bank Lines'!$G$5:$G$1640,A189,'Bank Lines'!$J$5:$J$1640,1),2)</f>
        <v>2425.76</v>
      </c>
      <c r="K189" s="9">
        <f>ROUND(SUMIFS('Odoo Items'!$G$5:$G$4331,'Odoo Items'!$J$5:$J$4331,A189),2)</f>
        <v>2425.76</v>
      </c>
      <c r="L189" s="9">
        <f>ROUND(J189-K189,2)</f>
        <v>0</v>
      </c>
      <c r="M189" s="9">
        <f>ROUND(SUMIFS('Bank Lines'!$E$5:$E$1640,'Bank Lines'!$G$5:$G$1640,A189,'Bank Lines'!$J$5:$J$1640,1,'Bank Lines'!$C$5:$C$1640,"&lt;="&amp;Cover!$C$13),2)</f>
        <v>2425.76</v>
      </c>
      <c r="N189" s="9">
        <f>ROUND(SUMIFS('Odoo Items'!$G$5:$G$4331,'Odoo Items'!$J$5:$J$4331,A189,'Odoo Items'!$C$5:$C$4331,"&lt;="&amp;Cover!$C$13),2)</f>
        <v>2425.76</v>
      </c>
      <c r="O189">
        <f>COUNTIFS('Bank Lines'!$G$5:$G$1640,A189,'Bank Lines'!$J$5:$J$1640,1,'Bank Lines'!$C$5:$C$1640,"&lt;="&amp;Cover!$C$13)</f>
        <v>1</v>
      </c>
      <c r="P189">
        <f>COUNTIFS('Odoo Items'!$J$5:$J$4331,A189,'Odoo Items'!$C$5:$C$4331,"&lt;="&amp;Cover!$C$13)</f>
        <v>9</v>
      </c>
      <c r="Q189" t="str">
        <f>IF(AND(O189=0,P189=0),"",IF(O189=0,"ODOO-ONLY",IF(P189=0,"BANK-ONLY","BOTH")))</f>
        <v>BOTH</v>
      </c>
      <c r="R189" s="9">
        <f>IF(Q189="BOTH",ROUND(M189-N189,2),0)</f>
        <v>0</v>
      </c>
      <c r="S189" s="9">
        <f>ROUND(SUMIFS('Bank Lines'!$E$5:$E$1640,'Bank Lines'!$G$5:$G$1640,A189,'Bank Lines'!$J$5:$J$1640,1,'Bank Lines'!$C$5:$C$1640,"&lt;="&amp;Cover!$C$14),2)</f>
        <v>2425.76</v>
      </c>
      <c r="T189" s="9">
        <f>ROUND(SUMIFS('Odoo Items'!$G$5:$G$4331,'Odoo Items'!$J$5:$J$4331,A189,'Odoo Items'!$C$5:$C$4331,"&lt;="&amp;Cover!$C$14),2)</f>
        <v>2425.76</v>
      </c>
      <c r="U189">
        <f>COUNTIFS('Bank Lines'!$G$5:$G$1640,A189,'Bank Lines'!$J$5:$J$1640,1,'Bank Lines'!$C$5:$C$1640,"&lt;="&amp;Cover!$C$14)</f>
        <v>1</v>
      </c>
      <c r="V189">
        <f>COUNTIFS('Odoo Items'!$J$5:$J$4331,A189,'Odoo Items'!$C$5:$C$4331,"&lt;="&amp;Cover!$C$14)</f>
        <v>9</v>
      </c>
      <c r="W189" t="str">
        <f>IF(AND(U189=0,V189=0),"",IF(U189=0,"ODOO-ONLY",IF(V189=0,"BANK-ONLY","BOTH")))</f>
        <v>BOTH</v>
      </c>
      <c r="X189" s="9">
        <f>IF(W189="BOTH",ROUND(S189-T189,2),0)</f>
        <v>0</v>
      </c>
      <c r="Y189" s="9">
        <f>ROUND(SUMIFS('Bank Lines'!$E$5:$E$1640,'Bank Lines'!$G$5:$G$1640,A189,'Bank Lines'!$J$5:$J$1640,1,'Bank Lines'!$C$5:$C$1640,"&lt;="&amp;Cover!$C$15),2)</f>
        <v>2425.76</v>
      </c>
      <c r="Z189" s="9">
        <f>ROUND(SUMIFS('Odoo Items'!$G$5:$G$4331,'Odoo Items'!$J$5:$J$4331,A189,'Odoo Items'!$C$5:$C$4331,"&lt;="&amp;Cover!$C$15),2)</f>
        <v>2425.76</v>
      </c>
      <c r="AA189">
        <f>COUNTIFS('Bank Lines'!$G$5:$G$1640,A189,'Bank Lines'!$J$5:$J$1640,1,'Bank Lines'!$C$5:$C$1640,"&lt;="&amp;Cover!$C$15)</f>
        <v>1</v>
      </c>
      <c r="AB189">
        <f>COUNTIFS('Odoo Items'!$J$5:$J$4331,A189,'Odoo Items'!$C$5:$C$4331,"&lt;="&amp;Cover!$C$15)</f>
        <v>9</v>
      </c>
      <c r="AC189" t="str">
        <f>IF(AND(AA189=0,AB189=0),"",IF(AA189=0,"ODOO-ONLY",IF(AB189=0,"BANK-ONLY","BOTH")))</f>
        <v>BOTH</v>
      </c>
      <c r="AD189" s="9">
        <f>IF(AC189="BOTH",ROUND(Y189-Z189,2),0)</f>
        <v>0</v>
      </c>
    </row>
    <row r="190">
      <c r="A190" t="inlineStr">
        <is>
          <t>G00186</t>
        </is>
      </c>
      <c r="B190" t="inlineStr">
        <is>
          <t>OPS</t>
        </is>
      </c>
      <c r="C190" t="inlineStr">
        <is>
          <t>R03</t>
        </is>
      </c>
      <c r="D190" t="inlineStr">
        <is>
          <t>MATCH</t>
        </is>
      </c>
      <c r="E190" t="inlineStr">
        <is>
          <t>Tallowwood Plans</t>
        </is>
      </c>
      <c r="F190" t="n">
        <v>1</v>
      </c>
      <c r="G190" t="inlineStr">
        <is>
          <t>3 invoices</t>
        </is>
      </c>
      <c r="H190">
        <f>COUNTIFS('Bank Lines'!$G$5:$G$1640,A190,'Bank Lines'!$J$5:$J$1640,1)</f>
        <v>1</v>
      </c>
      <c r="I190">
        <f>COUNTIFS('Odoo Items'!$J$5:$J$4331,A190)</f>
        <v>3</v>
      </c>
      <c r="J190" s="9">
        <f>ROUND(SUMIFS('Bank Lines'!$E$5:$E$1640,'Bank Lines'!$G$5:$G$1640,A190,'Bank Lines'!$J$5:$J$1640,1),2)</f>
        <v>872.95</v>
      </c>
      <c r="K190" s="9">
        <f>ROUND(SUMIFS('Odoo Items'!$G$5:$G$4331,'Odoo Items'!$J$5:$J$4331,A190),2)</f>
        <v>872.95</v>
      </c>
      <c r="L190" s="9">
        <f>ROUND(J190-K190,2)</f>
        <v>0</v>
      </c>
      <c r="M190" s="9">
        <f>ROUND(SUMIFS('Bank Lines'!$E$5:$E$1640,'Bank Lines'!$G$5:$G$1640,A190,'Bank Lines'!$J$5:$J$1640,1,'Bank Lines'!$C$5:$C$1640,"&lt;="&amp;Cover!$C$13),2)</f>
        <v>872.95</v>
      </c>
      <c r="N190" s="9">
        <f>ROUND(SUMIFS('Odoo Items'!$G$5:$G$4331,'Odoo Items'!$J$5:$J$4331,A190,'Odoo Items'!$C$5:$C$4331,"&lt;="&amp;Cover!$C$13),2)</f>
        <v>872.95</v>
      </c>
      <c r="O190">
        <f>COUNTIFS('Bank Lines'!$G$5:$G$1640,A190,'Bank Lines'!$J$5:$J$1640,1,'Bank Lines'!$C$5:$C$1640,"&lt;="&amp;Cover!$C$13)</f>
        <v>1</v>
      </c>
      <c r="P190">
        <f>COUNTIFS('Odoo Items'!$J$5:$J$4331,A190,'Odoo Items'!$C$5:$C$4331,"&lt;="&amp;Cover!$C$13)</f>
        <v>3</v>
      </c>
      <c r="Q190" t="str">
        <f>IF(AND(O190=0,P190=0),"",IF(O190=0,"ODOO-ONLY",IF(P190=0,"BANK-ONLY","BOTH")))</f>
        <v>BOTH</v>
      </c>
      <c r="R190" s="9">
        <f>IF(Q190="BOTH",ROUND(M190-N190,2),0)</f>
        <v>0</v>
      </c>
      <c r="S190" s="9">
        <f>ROUND(SUMIFS('Bank Lines'!$E$5:$E$1640,'Bank Lines'!$G$5:$G$1640,A190,'Bank Lines'!$J$5:$J$1640,1,'Bank Lines'!$C$5:$C$1640,"&lt;="&amp;Cover!$C$14),2)</f>
        <v>872.95</v>
      </c>
      <c r="T190" s="9">
        <f>ROUND(SUMIFS('Odoo Items'!$G$5:$G$4331,'Odoo Items'!$J$5:$J$4331,A190,'Odoo Items'!$C$5:$C$4331,"&lt;="&amp;Cover!$C$14),2)</f>
        <v>872.95</v>
      </c>
      <c r="U190">
        <f>COUNTIFS('Bank Lines'!$G$5:$G$1640,A190,'Bank Lines'!$J$5:$J$1640,1,'Bank Lines'!$C$5:$C$1640,"&lt;="&amp;Cover!$C$14)</f>
        <v>1</v>
      </c>
      <c r="V190">
        <f>COUNTIFS('Odoo Items'!$J$5:$J$4331,A190,'Odoo Items'!$C$5:$C$4331,"&lt;="&amp;Cover!$C$14)</f>
        <v>3</v>
      </c>
      <c r="W190" t="str">
        <f>IF(AND(U190=0,V190=0),"",IF(U190=0,"ODOO-ONLY",IF(V190=0,"BANK-ONLY","BOTH")))</f>
        <v>BOTH</v>
      </c>
      <c r="X190" s="9">
        <f>IF(W190="BOTH",ROUND(S190-T190,2),0)</f>
        <v>0</v>
      </c>
      <c r="Y190" s="9">
        <f>ROUND(SUMIFS('Bank Lines'!$E$5:$E$1640,'Bank Lines'!$G$5:$G$1640,A190,'Bank Lines'!$J$5:$J$1640,1,'Bank Lines'!$C$5:$C$1640,"&lt;="&amp;Cover!$C$15),2)</f>
        <v>872.95</v>
      </c>
      <c r="Z190" s="9">
        <f>ROUND(SUMIFS('Odoo Items'!$G$5:$G$4331,'Odoo Items'!$J$5:$J$4331,A190,'Odoo Items'!$C$5:$C$4331,"&lt;="&amp;Cover!$C$15),2)</f>
        <v>872.95</v>
      </c>
      <c r="AA190">
        <f>COUNTIFS('Bank Lines'!$G$5:$G$1640,A190,'Bank Lines'!$J$5:$J$1640,1,'Bank Lines'!$C$5:$C$1640,"&lt;="&amp;Cover!$C$15)</f>
        <v>1</v>
      </c>
      <c r="AB190">
        <f>COUNTIFS('Odoo Items'!$J$5:$J$4331,A190,'Odoo Items'!$C$5:$C$4331,"&lt;="&amp;Cover!$C$15)</f>
        <v>3</v>
      </c>
      <c r="AC190" t="str">
        <f>IF(AND(AA190=0,AB190=0),"",IF(AA190=0,"ODOO-ONLY",IF(AB190=0,"BANK-ONLY","BOTH")))</f>
        <v>BOTH</v>
      </c>
      <c r="AD190" s="9">
        <f>IF(AC190="BOTH",ROUND(Y190-Z190,2),0)</f>
        <v>0</v>
      </c>
    </row>
    <row r="191">
      <c r="A191" t="inlineStr">
        <is>
          <t>G00187</t>
        </is>
      </c>
      <c r="B191" t="inlineStr">
        <is>
          <t>OPS</t>
        </is>
      </c>
      <c r="C191" t="inlineStr">
        <is>
          <t>R03</t>
        </is>
      </c>
      <c r="D191" t="inlineStr">
        <is>
          <t>MATCH</t>
        </is>
      </c>
      <c r="E191" t="inlineStr">
        <is>
          <t>Acacia Plan Partners</t>
        </is>
      </c>
      <c r="F191" t="n">
        <v>1</v>
      </c>
      <c r="G191" t="inlineStr">
        <is>
          <t>3 invoices</t>
        </is>
      </c>
      <c r="H191">
        <f>COUNTIFS('Bank Lines'!$G$5:$G$1640,A191,'Bank Lines'!$J$5:$J$1640,1)</f>
        <v>1</v>
      </c>
      <c r="I191">
        <f>COUNTIFS('Odoo Items'!$J$5:$J$4331,A191)</f>
        <v>3</v>
      </c>
      <c r="J191" s="9">
        <f>ROUND(SUMIFS('Bank Lines'!$E$5:$E$1640,'Bank Lines'!$G$5:$G$1640,A191,'Bank Lines'!$J$5:$J$1640,1),2)</f>
        <v>630.46</v>
      </c>
      <c r="K191" s="9">
        <f>ROUND(SUMIFS('Odoo Items'!$G$5:$G$4331,'Odoo Items'!$J$5:$J$4331,A191),2)</f>
        <v>630.46</v>
      </c>
      <c r="L191" s="9">
        <f>ROUND(J191-K191,2)</f>
        <v>0</v>
      </c>
      <c r="M191" s="9">
        <f>ROUND(SUMIFS('Bank Lines'!$E$5:$E$1640,'Bank Lines'!$G$5:$G$1640,A191,'Bank Lines'!$J$5:$J$1640,1,'Bank Lines'!$C$5:$C$1640,"&lt;="&amp;Cover!$C$13),2)</f>
        <v>630.46</v>
      </c>
      <c r="N191" s="9">
        <f>ROUND(SUMIFS('Odoo Items'!$G$5:$G$4331,'Odoo Items'!$J$5:$J$4331,A191,'Odoo Items'!$C$5:$C$4331,"&lt;="&amp;Cover!$C$13),2)</f>
        <v>630.46</v>
      </c>
      <c r="O191">
        <f>COUNTIFS('Bank Lines'!$G$5:$G$1640,A191,'Bank Lines'!$J$5:$J$1640,1,'Bank Lines'!$C$5:$C$1640,"&lt;="&amp;Cover!$C$13)</f>
        <v>1</v>
      </c>
      <c r="P191">
        <f>COUNTIFS('Odoo Items'!$J$5:$J$4331,A191,'Odoo Items'!$C$5:$C$4331,"&lt;="&amp;Cover!$C$13)</f>
        <v>3</v>
      </c>
      <c r="Q191" t="str">
        <f>IF(AND(O191=0,P191=0),"",IF(O191=0,"ODOO-ONLY",IF(P191=0,"BANK-ONLY","BOTH")))</f>
        <v>BOTH</v>
      </c>
      <c r="R191" s="9">
        <f>IF(Q191="BOTH",ROUND(M191-N191,2),0)</f>
        <v>0</v>
      </c>
      <c r="S191" s="9">
        <f>ROUND(SUMIFS('Bank Lines'!$E$5:$E$1640,'Bank Lines'!$G$5:$G$1640,A191,'Bank Lines'!$J$5:$J$1640,1,'Bank Lines'!$C$5:$C$1640,"&lt;="&amp;Cover!$C$14),2)</f>
        <v>630.46</v>
      </c>
      <c r="T191" s="9">
        <f>ROUND(SUMIFS('Odoo Items'!$G$5:$G$4331,'Odoo Items'!$J$5:$J$4331,A191,'Odoo Items'!$C$5:$C$4331,"&lt;="&amp;Cover!$C$14),2)</f>
        <v>630.46</v>
      </c>
      <c r="U191">
        <f>COUNTIFS('Bank Lines'!$G$5:$G$1640,A191,'Bank Lines'!$J$5:$J$1640,1,'Bank Lines'!$C$5:$C$1640,"&lt;="&amp;Cover!$C$14)</f>
        <v>1</v>
      </c>
      <c r="V191">
        <f>COUNTIFS('Odoo Items'!$J$5:$J$4331,A191,'Odoo Items'!$C$5:$C$4331,"&lt;="&amp;Cover!$C$14)</f>
        <v>3</v>
      </c>
      <c r="W191" t="str">
        <f>IF(AND(U191=0,V191=0),"",IF(U191=0,"ODOO-ONLY",IF(V191=0,"BANK-ONLY","BOTH")))</f>
        <v>BOTH</v>
      </c>
      <c r="X191" s="9">
        <f>IF(W191="BOTH",ROUND(S191-T191,2),0)</f>
        <v>0</v>
      </c>
      <c r="Y191" s="9">
        <f>ROUND(SUMIFS('Bank Lines'!$E$5:$E$1640,'Bank Lines'!$G$5:$G$1640,A191,'Bank Lines'!$J$5:$J$1640,1,'Bank Lines'!$C$5:$C$1640,"&lt;="&amp;Cover!$C$15),2)</f>
        <v>630.46</v>
      </c>
      <c r="Z191" s="9">
        <f>ROUND(SUMIFS('Odoo Items'!$G$5:$G$4331,'Odoo Items'!$J$5:$J$4331,A191,'Odoo Items'!$C$5:$C$4331,"&lt;="&amp;Cover!$C$15),2)</f>
        <v>630.46</v>
      </c>
      <c r="AA191">
        <f>COUNTIFS('Bank Lines'!$G$5:$G$1640,A191,'Bank Lines'!$J$5:$J$1640,1,'Bank Lines'!$C$5:$C$1640,"&lt;="&amp;Cover!$C$15)</f>
        <v>1</v>
      </c>
      <c r="AB191">
        <f>COUNTIFS('Odoo Items'!$J$5:$J$4331,A191,'Odoo Items'!$C$5:$C$4331,"&lt;="&amp;Cover!$C$15)</f>
        <v>3</v>
      </c>
      <c r="AC191" t="str">
        <f>IF(AND(AA191=0,AB191=0),"",IF(AA191=0,"ODOO-ONLY",IF(AB191=0,"BANK-ONLY","BOTH")))</f>
        <v>BOTH</v>
      </c>
      <c r="AD191" s="9">
        <f>IF(AC191="BOTH",ROUND(Y191-Z191,2),0)</f>
        <v>0</v>
      </c>
    </row>
    <row r="192">
      <c r="A192" t="inlineStr">
        <is>
          <t>G00188</t>
        </is>
      </c>
      <c r="B192" t="inlineStr">
        <is>
          <t>OPS</t>
        </is>
      </c>
      <c r="C192" t="inlineStr">
        <is>
          <t>R03</t>
        </is>
      </c>
      <c r="D192" t="inlineStr">
        <is>
          <t>MATCH</t>
        </is>
      </c>
      <c r="E192" t="inlineStr">
        <is>
          <t>Mallee Plan Services</t>
        </is>
      </c>
      <c r="F192" t="n">
        <v>1</v>
      </c>
      <c r="G192" t="inlineStr">
        <is>
          <t>2 invoices</t>
        </is>
      </c>
      <c r="H192">
        <f>COUNTIFS('Bank Lines'!$G$5:$G$1640,A192,'Bank Lines'!$J$5:$J$1640,1)</f>
        <v>1</v>
      </c>
      <c r="I192">
        <f>COUNTIFS('Odoo Items'!$J$5:$J$4331,A192)</f>
        <v>2</v>
      </c>
      <c r="J192" s="9">
        <f>ROUND(SUMIFS('Bank Lines'!$E$5:$E$1640,'Bank Lines'!$G$5:$G$1640,A192,'Bank Lines'!$J$5:$J$1640,1),2)</f>
        <v>446.18</v>
      </c>
      <c r="K192" s="9">
        <f>ROUND(SUMIFS('Odoo Items'!$G$5:$G$4331,'Odoo Items'!$J$5:$J$4331,A192),2)</f>
        <v>446.18</v>
      </c>
      <c r="L192" s="9">
        <f>ROUND(J192-K192,2)</f>
        <v>0</v>
      </c>
      <c r="M192" s="9">
        <f>ROUND(SUMIFS('Bank Lines'!$E$5:$E$1640,'Bank Lines'!$G$5:$G$1640,A192,'Bank Lines'!$J$5:$J$1640,1,'Bank Lines'!$C$5:$C$1640,"&lt;="&amp;Cover!$C$13),2)</f>
        <v>446.18</v>
      </c>
      <c r="N192" s="9">
        <f>ROUND(SUMIFS('Odoo Items'!$G$5:$G$4331,'Odoo Items'!$J$5:$J$4331,A192,'Odoo Items'!$C$5:$C$4331,"&lt;="&amp;Cover!$C$13),2)</f>
        <v>446.18</v>
      </c>
      <c r="O192">
        <f>COUNTIFS('Bank Lines'!$G$5:$G$1640,A192,'Bank Lines'!$J$5:$J$1640,1,'Bank Lines'!$C$5:$C$1640,"&lt;="&amp;Cover!$C$13)</f>
        <v>1</v>
      </c>
      <c r="P192">
        <f>COUNTIFS('Odoo Items'!$J$5:$J$4331,A192,'Odoo Items'!$C$5:$C$4331,"&lt;="&amp;Cover!$C$13)</f>
        <v>2</v>
      </c>
      <c r="Q192" t="str">
        <f>IF(AND(O192=0,P192=0),"",IF(O192=0,"ODOO-ONLY",IF(P192=0,"BANK-ONLY","BOTH")))</f>
        <v>BOTH</v>
      </c>
      <c r="R192" s="9">
        <f>IF(Q192="BOTH",ROUND(M192-N192,2),0)</f>
        <v>0</v>
      </c>
      <c r="S192" s="9">
        <f>ROUND(SUMIFS('Bank Lines'!$E$5:$E$1640,'Bank Lines'!$G$5:$G$1640,A192,'Bank Lines'!$J$5:$J$1640,1,'Bank Lines'!$C$5:$C$1640,"&lt;="&amp;Cover!$C$14),2)</f>
        <v>446.18</v>
      </c>
      <c r="T192" s="9">
        <f>ROUND(SUMIFS('Odoo Items'!$G$5:$G$4331,'Odoo Items'!$J$5:$J$4331,A192,'Odoo Items'!$C$5:$C$4331,"&lt;="&amp;Cover!$C$14),2)</f>
        <v>446.18</v>
      </c>
      <c r="U192">
        <f>COUNTIFS('Bank Lines'!$G$5:$G$1640,A192,'Bank Lines'!$J$5:$J$1640,1,'Bank Lines'!$C$5:$C$1640,"&lt;="&amp;Cover!$C$14)</f>
        <v>1</v>
      </c>
      <c r="V192">
        <f>COUNTIFS('Odoo Items'!$J$5:$J$4331,A192,'Odoo Items'!$C$5:$C$4331,"&lt;="&amp;Cover!$C$14)</f>
        <v>2</v>
      </c>
      <c r="W192" t="str">
        <f>IF(AND(U192=0,V192=0),"",IF(U192=0,"ODOO-ONLY",IF(V192=0,"BANK-ONLY","BOTH")))</f>
        <v>BOTH</v>
      </c>
      <c r="X192" s="9">
        <f>IF(W192="BOTH",ROUND(S192-T192,2),0)</f>
        <v>0</v>
      </c>
      <c r="Y192" s="9">
        <f>ROUND(SUMIFS('Bank Lines'!$E$5:$E$1640,'Bank Lines'!$G$5:$G$1640,A192,'Bank Lines'!$J$5:$J$1640,1,'Bank Lines'!$C$5:$C$1640,"&lt;="&amp;Cover!$C$15),2)</f>
        <v>446.18</v>
      </c>
      <c r="Z192" s="9">
        <f>ROUND(SUMIFS('Odoo Items'!$G$5:$G$4331,'Odoo Items'!$J$5:$J$4331,A192,'Odoo Items'!$C$5:$C$4331,"&lt;="&amp;Cover!$C$15),2)</f>
        <v>446.18</v>
      </c>
      <c r="AA192">
        <f>COUNTIFS('Bank Lines'!$G$5:$G$1640,A192,'Bank Lines'!$J$5:$J$1640,1,'Bank Lines'!$C$5:$C$1640,"&lt;="&amp;Cover!$C$15)</f>
        <v>1</v>
      </c>
      <c r="AB192">
        <f>COUNTIFS('Odoo Items'!$J$5:$J$4331,A192,'Odoo Items'!$C$5:$C$4331,"&lt;="&amp;Cover!$C$15)</f>
        <v>2</v>
      </c>
      <c r="AC192" t="str">
        <f>IF(AND(AA192=0,AB192=0),"",IF(AA192=0,"ODOO-ONLY",IF(AB192=0,"BANK-ONLY","BOTH")))</f>
        <v>BOTH</v>
      </c>
      <c r="AD192" s="9">
        <f>IF(AC192="BOTH",ROUND(Y192-Z192,2),0)</f>
        <v>0</v>
      </c>
    </row>
    <row r="193">
      <c r="A193" t="inlineStr">
        <is>
          <t>G00189</t>
        </is>
      </c>
      <c r="B193" t="inlineStr">
        <is>
          <t>OPS</t>
        </is>
      </c>
      <c r="C193" t="inlineStr">
        <is>
          <t>R03</t>
        </is>
      </c>
      <c r="D193" t="inlineStr">
        <is>
          <t>MATCH</t>
        </is>
      </c>
      <c r="E193" t="inlineStr">
        <is>
          <t>Wattle Plan Services</t>
        </is>
      </c>
      <c r="F193" t="n">
        <v>1</v>
      </c>
      <c r="G193" t="inlineStr">
        <is>
          <t>3 invoices</t>
        </is>
      </c>
      <c r="H193">
        <f>COUNTIFS('Bank Lines'!$G$5:$G$1640,A193,'Bank Lines'!$J$5:$J$1640,1)</f>
        <v>1</v>
      </c>
      <c r="I193">
        <f>COUNTIFS('Odoo Items'!$J$5:$J$4331,A193)</f>
        <v>3</v>
      </c>
      <c r="J193" s="9">
        <f>ROUND(SUMIFS('Bank Lines'!$E$5:$E$1640,'Bank Lines'!$G$5:$G$1640,A193,'Bank Lines'!$J$5:$J$1640,1),2)</f>
        <v>785.66</v>
      </c>
      <c r="K193" s="9">
        <f>ROUND(SUMIFS('Odoo Items'!$G$5:$G$4331,'Odoo Items'!$J$5:$J$4331,A193),2)</f>
        <v>785.66</v>
      </c>
      <c r="L193" s="9">
        <f>ROUND(J193-K193,2)</f>
        <v>0</v>
      </c>
      <c r="M193" s="9">
        <f>ROUND(SUMIFS('Bank Lines'!$E$5:$E$1640,'Bank Lines'!$G$5:$G$1640,A193,'Bank Lines'!$J$5:$J$1640,1,'Bank Lines'!$C$5:$C$1640,"&lt;="&amp;Cover!$C$13),2)</f>
        <v>785.66</v>
      </c>
      <c r="N193" s="9">
        <f>ROUND(SUMIFS('Odoo Items'!$G$5:$G$4331,'Odoo Items'!$J$5:$J$4331,A193,'Odoo Items'!$C$5:$C$4331,"&lt;="&amp;Cover!$C$13),2)</f>
        <v>785.66</v>
      </c>
      <c r="O193">
        <f>COUNTIFS('Bank Lines'!$G$5:$G$1640,A193,'Bank Lines'!$J$5:$J$1640,1,'Bank Lines'!$C$5:$C$1640,"&lt;="&amp;Cover!$C$13)</f>
        <v>1</v>
      </c>
      <c r="P193">
        <f>COUNTIFS('Odoo Items'!$J$5:$J$4331,A193,'Odoo Items'!$C$5:$C$4331,"&lt;="&amp;Cover!$C$13)</f>
        <v>3</v>
      </c>
      <c r="Q193" t="str">
        <f>IF(AND(O193=0,P193=0),"",IF(O193=0,"ODOO-ONLY",IF(P193=0,"BANK-ONLY","BOTH")))</f>
        <v>BOTH</v>
      </c>
      <c r="R193" s="9">
        <f>IF(Q193="BOTH",ROUND(M193-N193,2),0)</f>
        <v>0</v>
      </c>
      <c r="S193" s="9">
        <f>ROUND(SUMIFS('Bank Lines'!$E$5:$E$1640,'Bank Lines'!$G$5:$G$1640,A193,'Bank Lines'!$J$5:$J$1640,1,'Bank Lines'!$C$5:$C$1640,"&lt;="&amp;Cover!$C$14),2)</f>
        <v>785.66</v>
      </c>
      <c r="T193" s="9">
        <f>ROUND(SUMIFS('Odoo Items'!$G$5:$G$4331,'Odoo Items'!$J$5:$J$4331,A193,'Odoo Items'!$C$5:$C$4331,"&lt;="&amp;Cover!$C$14),2)</f>
        <v>785.66</v>
      </c>
      <c r="U193">
        <f>COUNTIFS('Bank Lines'!$G$5:$G$1640,A193,'Bank Lines'!$J$5:$J$1640,1,'Bank Lines'!$C$5:$C$1640,"&lt;="&amp;Cover!$C$14)</f>
        <v>1</v>
      </c>
      <c r="V193">
        <f>COUNTIFS('Odoo Items'!$J$5:$J$4331,A193,'Odoo Items'!$C$5:$C$4331,"&lt;="&amp;Cover!$C$14)</f>
        <v>3</v>
      </c>
      <c r="W193" t="str">
        <f>IF(AND(U193=0,V193=0),"",IF(U193=0,"ODOO-ONLY",IF(V193=0,"BANK-ONLY","BOTH")))</f>
        <v>BOTH</v>
      </c>
      <c r="X193" s="9">
        <f>IF(W193="BOTH",ROUND(S193-T193,2),0)</f>
        <v>0</v>
      </c>
      <c r="Y193" s="9">
        <f>ROUND(SUMIFS('Bank Lines'!$E$5:$E$1640,'Bank Lines'!$G$5:$G$1640,A193,'Bank Lines'!$J$5:$J$1640,1,'Bank Lines'!$C$5:$C$1640,"&lt;="&amp;Cover!$C$15),2)</f>
        <v>785.66</v>
      </c>
      <c r="Z193" s="9">
        <f>ROUND(SUMIFS('Odoo Items'!$G$5:$G$4331,'Odoo Items'!$J$5:$J$4331,A193,'Odoo Items'!$C$5:$C$4331,"&lt;="&amp;Cover!$C$15),2)</f>
        <v>785.66</v>
      </c>
      <c r="AA193">
        <f>COUNTIFS('Bank Lines'!$G$5:$G$1640,A193,'Bank Lines'!$J$5:$J$1640,1,'Bank Lines'!$C$5:$C$1640,"&lt;="&amp;Cover!$C$15)</f>
        <v>1</v>
      </c>
      <c r="AB193">
        <f>COUNTIFS('Odoo Items'!$J$5:$J$4331,A193,'Odoo Items'!$C$5:$C$4331,"&lt;="&amp;Cover!$C$15)</f>
        <v>3</v>
      </c>
      <c r="AC193" t="str">
        <f>IF(AND(AA193=0,AB193=0),"",IF(AA193=0,"ODOO-ONLY",IF(AB193=0,"BANK-ONLY","BOTH")))</f>
        <v>BOTH</v>
      </c>
      <c r="AD193" s="9">
        <f>IF(AC193="BOTH",ROUND(Y193-Z193,2),0)</f>
        <v>0</v>
      </c>
    </row>
    <row r="194">
      <c r="A194" t="inlineStr">
        <is>
          <t>G00190</t>
        </is>
      </c>
      <c r="B194" t="inlineStr">
        <is>
          <t>OPS</t>
        </is>
      </c>
      <c r="C194" t="inlineStr">
        <is>
          <t>R03</t>
        </is>
      </c>
      <c r="D194" t="inlineStr">
        <is>
          <t>MATCH</t>
        </is>
      </c>
      <c r="E194" t="inlineStr">
        <is>
          <t>Banksia Plan Co</t>
        </is>
      </c>
      <c r="F194" t="n">
        <v>1</v>
      </c>
      <c r="G194" t="inlineStr">
        <is>
          <t>2 invoices</t>
        </is>
      </c>
      <c r="H194">
        <f>COUNTIFS('Bank Lines'!$G$5:$G$1640,A194,'Bank Lines'!$J$5:$J$1640,1)</f>
        <v>1</v>
      </c>
      <c r="I194">
        <f>COUNTIFS('Odoo Items'!$J$5:$J$4331,A194)</f>
        <v>2</v>
      </c>
      <c r="J194" s="9">
        <f>ROUND(SUMIFS('Bank Lines'!$E$5:$E$1640,'Bank Lines'!$G$5:$G$1640,A194,'Bank Lines'!$J$5:$J$1640,1),2)</f>
        <v>543.17</v>
      </c>
      <c r="K194" s="9">
        <f>ROUND(SUMIFS('Odoo Items'!$G$5:$G$4331,'Odoo Items'!$J$5:$J$4331,A194),2)</f>
        <v>543.17</v>
      </c>
      <c r="L194" s="9">
        <f>ROUND(J194-K194,2)</f>
        <v>0</v>
      </c>
      <c r="M194" s="9">
        <f>ROUND(SUMIFS('Bank Lines'!$E$5:$E$1640,'Bank Lines'!$G$5:$G$1640,A194,'Bank Lines'!$J$5:$J$1640,1,'Bank Lines'!$C$5:$C$1640,"&lt;="&amp;Cover!$C$13),2)</f>
        <v>543.17</v>
      </c>
      <c r="N194" s="9">
        <f>ROUND(SUMIFS('Odoo Items'!$G$5:$G$4331,'Odoo Items'!$J$5:$J$4331,A194,'Odoo Items'!$C$5:$C$4331,"&lt;="&amp;Cover!$C$13),2)</f>
        <v>543.17</v>
      </c>
      <c r="O194">
        <f>COUNTIFS('Bank Lines'!$G$5:$G$1640,A194,'Bank Lines'!$J$5:$J$1640,1,'Bank Lines'!$C$5:$C$1640,"&lt;="&amp;Cover!$C$13)</f>
        <v>1</v>
      </c>
      <c r="P194">
        <f>COUNTIFS('Odoo Items'!$J$5:$J$4331,A194,'Odoo Items'!$C$5:$C$4331,"&lt;="&amp;Cover!$C$13)</f>
        <v>2</v>
      </c>
      <c r="Q194" t="str">
        <f>IF(AND(O194=0,P194=0),"",IF(O194=0,"ODOO-ONLY",IF(P194=0,"BANK-ONLY","BOTH")))</f>
        <v>BOTH</v>
      </c>
      <c r="R194" s="9">
        <f>IF(Q194="BOTH",ROUND(M194-N194,2),0)</f>
        <v>0</v>
      </c>
      <c r="S194" s="9">
        <f>ROUND(SUMIFS('Bank Lines'!$E$5:$E$1640,'Bank Lines'!$G$5:$G$1640,A194,'Bank Lines'!$J$5:$J$1640,1,'Bank Lines'!$C$5:$C$1640,"&lt;="&amp;Cover!$C$14),2)</f>
        <v>543.17</v>
      </c>
      <c r="T194" s="9">
        <f>ROUND(SUMIFS('Odoo Items'!$G$5:$G$4331,'Odoo Items'!$J$5:$J$4331,A194,'Odoo Items'!$C$5:$C$4331,"&lt;="&amp;Cover!$C$14),2)</f>
        <v>543.17</v>
      </c>
      <c r="U194">
        <f>COUNTIFS('Bank Lines'!$G$5:$G$1640,A194,'Bank Lines'!$J$5:$J$1640,1,'Bank Lines'!$C$5:$C$1640,"&lt;="&amp;Cover!$C$14)</f>
        <v>1</v>
      </c>
      <c r="V194">
        <f>COUNTIFS('Odoo Items'!$J$5:$J$4331,A194,'Odoo Items'!$C$5:$C$4331,"&lt;="&amp;Cover!$C$14)</f>
        <v>2</v>
      </c>
      <c r="W194" t="str">
        <f>IF(AND(U194=0,V194=0),"",IF(U194=0,"ODOO-ONLY",IF(V194=0,"BANK-ONLY","BOTH")))</f>
        <v>BOTH</v>
      </c>
      <c r="X194" s="9">
        <f>IF(W194="BOTH",ROUND(S194-T194,2),0)</f>
        <v>0</v>
      </c>
      <c r="Y194" s="9">
        <f>ROUND(SUMIFS('Bank Lines'!$E$5:$E$1640,'Bank Lines'!$G$5:$G$1640,A194,'Bank Lines'!$J$5:$J$1640,1,'Bank Lines'!$C$5:$C$1640,"&lt;="&amp;Cover!$C$15),2)</f>
        <v>543.17</v>
      </c>
      <c r="Z194" s="9">
        <f>ROUND(SUMIFS('Odoo Items'!$G$5:$G$4331,'Odoo Items'!$J$5:$J$4331,A194,'Odoo Items'!$C$5:$C$4331,"&lt;="&amp;Cover!$C$15),2)</f>
        <v>543.17</v>
      </c>
      <c r="AA194">
        <f>COUNTIFS('Bank Lines'!$G$5:$G$1640,A194,'Bank Lines'!$J$5:$J$1640,1,'Bank Lines'!$C$5:$C$1640,"&lt;="&amp;Cover!$C$15)</f>
        <v>1</v>
      </c>
      <c r="AB194">
        <f>COUNTIFS('Odoo Items'!$J$5:$J$4331,A194,'Odoo Items'!$C$5:$C$4331,"&lt;="&amp;Cover!$C$15)</f>
        <v>2</v>
      </c>
      <c r="AC194" t="str">
        <f>IF(AND(AA194=0,AB194=0),"",IF(AA194=0,"ODOO-ONLY",IF(AB194=0,"BANK-ONLY","BOTH")))</f>
        <v>BOTH</v>
      </c>
      <c r="AD194" s="9">
        <f>IF(AC194="BOTH",ROUND(Y194-Z194,2),0)</f>
        <v>0</v>
      </c>
    </row>
    <row r="195">
      <c r="A195" t="inlineStr">
        <is>
          <t>G00191</t>
        </is>
      </c>
      <c r="B195" t="inlineStr">
        <is>
          <t>OPS</t>
        </is>
      </c>
      <c r="C195" t="inlineStr">
        <is>
          <t>R03</t>
        </is>
      </c>
      <c r="D195" t="inlineStr">
        <is>
          <t>MATCH</t>
        </is>
      </c>
      <c r="E195" t="inlineStr">
        <is>
          <t>Ironbark Plan Management</t>
        </is>
      </c>
      <c r="F195" t="n">
        <v>1</v>
      </c>
      <c r="G195" t="inlineStr">
        <is>
          <t>12 invoices</t>
        </is>
      </c>
      <c r="H195">
        <f>COUNTIFS('Bank Lines'!$G$5:$G$1640,A195,'Bank Lines'!$J$5:$J$1640,1)</f>
        <v>1</v>
      </c>
      <c r="I195">
        <f>COUNTIFS('Odoo Items'!$J$5:$J$4331,A195)</f>
        <v>12</v>
      </c>
      <c r="J195" s="9">
        <f>ROUND(SUMIFS('Bank Lines'!$E$5:$E$1640,'Bank Lines'!$G$5:$G$1640,A195,'Bank Lines'!$J$5:$J$1640,1),2)</f>
        <v>3212.33</v>
      </c>
      <c r="K195" s="9">
        <f>ROUND(SUMIFS('Odoo Items'!$G$5:$G$4331,'Odoo Items'!$J$5:$J$4331,A195),2)</f>
        <v>3212.33</v>
      </c>
      <c r="L195" s="9">
        <f>ROUND(J195-K195,2)</f>
        <v>0</v>
      </c>
      <c r="M195" s="9">
        <f>ROUND(SUMIFS('Bank Lines'!$E$5:$E$1640,'Bank Lines'!$G$5:$G$1640,A195,'Bank Lines'!$J$5:$J$1640,1,'Bank Lines'!$C$5:$C$1640,"&lt;="&amp;Cover!$C$13),2)</f>
        <v>3212.33</v>
      </c>
      <c r="N195" s="9">
        <f>ROUND(SUMIFS('Odoo Items'!$G$5:$G$4331,'Odoo Items'!$J$5:$J$4331,A195,'Odoo Items'!$C$5:$C$4331,"&lt;="&amp;Cover!$C$13),2)</f>
        <v>3212.33</v>
      </c>
      <c r="O195">
        <f>COUNTIFS('Bank Lines'!$G$5:$G$1640,A195,'Bank Lines'!$J$5:$J$1640,1,'Bank Lines'!$C$5:$C$1640,"&lt;="&amp;Cover!$C$13)</f>
        <v>1</v>
      </c>
      <c r="P195">
        <f>COUNTIFS('Odoo Items'!$J$5:$J$4331,A195,'Odoo Items'!$C$5:$C$4331,"&lt;="&amp;Cover!$C$13)</f>
        <v>12</v>
      </c>
      <c r="Q195" t="str">
        <f>IF(AND(O195=0,P195=0),"",IF(O195=0,"ODOO-ONLY",IF(P195=0,"BANK-ONLY","BOTH")))</f>
        <v>BOTH</v>
      </c>
      <c r="R195" s="9">
        <f>IF(Q195="BOTH",ROUND(M195-N195,2),0)</f>
        <v>0</v>
      </c>
      <c r="S195" s="9">
        <f>ROUND(SUMIFS('Bank Lines'!$E$5:$E$1640,'Bank Lines'!$G$5:$G$1640,A195,'Bank Lines'!$J$5:$J$1640,1,'Bank Lines'!$C$5:$C$1640,"&lt;="&amp;Cover!$C$14),2)</f>
        <v>3212.33</v>
      </c>
      <c r="T195" s="9">
        <f>ROUND(SUMIFS('Odoo Items'!$G$5:$G$4331,'Odoo Items'!$J$5:$J$4331,A195,'Odoo Items'!$C$5:$C$4331,"&lt;="&amp;Cover!$C$14),2)</f>
        <v>3212.33</v>
      </c>
      <c r="U195">
        <f>COUNTIFS('Bank Lines'!$G$5:$G$1640,A195,'Bank Lines'!$J$5:$J$1640,1,'Bank Lines'!$C$5:$C$1640,"&lt;="&amp;Cover!$C$14)</f>
        <v>1</v>
      </c>
      <c r="V195">
        <f>COUNTIFS('Odoo Items'!$J$5:$J$4331,A195,'Odoo Items'!$C$5:$C$4331,"&lt;="&amp;Cover!$C$14)</f>
        <v>12</v>
      </c>
      <c r="W195" t="str">
        <f>IF(AND(U195=0,V195=0),"",IF(U195=0,"ODOO-ONLY",IF(V195=0,"BANK-ONLY","BOTH")))</f>
        <v>BOTH</v>
      </c>
      <c r="X195" s="9">
        <f>IF(W195="BOTH",ROUND(S195-T195,2),0)</f>
        <v>0</v>
      </c>
      <c r="Y195" s="9">
        <f>ROUND(SUMIFS('Bank Lines'!$E$5:$E$1640,'Bank Lines'!$G$5:$G$1640,A195,'Bank Lines'!$J$5:$J$1640,1,'Bank Lines'!$C$5:$C$1640,"&lt;="&amp;Cover!$C$15),2)</f>
        <v>3212.33</v>
      </c>
      <c r="Z195" s="9">
        <f>ROUND(SUMIFS('Odoo Items'!$G$5:$G$4331,'Odoo Items'!$J$5:$J$4331,A195,'Odoo Items'!$C$5:$C$4331,"&lt;="&amp;Cover!$C$15),2)</f>
        <v>3212.33</v>
      </c>
      <c r="AA195">
        <f>COUNTIFS('Bank Lines'!$G$5:$G$1640,A195,'Bank Lines'!$J$5:$J$1640,1,'Bank Lines'!$C$5:$C$1640,"&lt;="&amp;Cover!$C$15)</f>
        <v>1</v>
      </c>
      <c r="AB195">
        <f>COUNTIFS('Odoo Items'!$J$5:$J$4331,A195,'Odoo Items'!$C$5:$C$4331,"&lt;="&amp;Cover!$C$15)</f>
        <v>12</v>
      </c>
      <c r="AC195" t="str">
        <f>IF(AND(AA195=0,AB195=0),"",IF(AA195=0,"ODOO-ONLY",IF(AB195=0,"BANK-ONLY","BOTH")))</f>
        <v>BOTH</v>
      </c>
      <c r="AD195" s="9">
        <f>IF(AC195="BOTH",ROUND(Y195-Z195,2),0)</f>
        <v>0</v>
      </c>
    </row>
    <row r="196">
      <c r="A196" t="inlineStr">
        <is>
          <t>G00192</t>
        </is>
      </c>
      <c r="B196" t="inlineStr">
        <is>
          <t>OPS</t>
        </is>
      </c>
      <c r="C196" t="inlineStr">
        <is>
          <t>R03</t>
        </is>
      </c>
      <c r="D196" t="inlineStr">
        <is>
          <t>MATCH</t>
        </is>
      </c>
      <c r="E196" t="inlineStr">
        <is>
          <t>Kookaburra Plan Support</t>
        </is>
      </c>
      <c r="F196" t="n">
        <v>1</v>
      </c>
      <c r="G196" t="inlineStr">
        <is>
          <t>12 invoices</t>
        </is>
      </c>
      <c r="H196">
        <f>COUNTIFS('Bank Lines'!$G$5:$G$1640,A196,'Bank Lines'!$J$5:$J$1640,1)</f>
        <v>1</v>
      </c>
      <c r="I196">
        <f>COUNTIFS('Odoo Items'!$J$5:$J$4331,A196)</f>
        <v>12</v>
      </c>
      <c r="J196" s="9">
        <f>ROUND(SUMIFS('Bank Lines'!$E$5:$E$1640,'Bank Lines'!$G$5:$G$1640,A196,'Bank Lines'!$J$5:$J$1640,1),2)</f>
        <v>3492.73</v>
      </c>
      <c r="K196" s="9">
        <f>ROUND(SUMIFS('Odoo Items'!$G$5:$G$4331,'Odoo Items'!$J$5:$J$4331,A196),2)</f>
        <v>3492.73</v>
      </c>
      <c r="L196" s="9">
        <f>ROUND(J196-K196,2)</f>
        <v>0</v>
      </c>
      <c r="M196" s="9">
        <f>ROUND(SUMIFS('Bank Lines'!$E$5:$E$1640,'Bank Lines'!$G$5:$G$1640,A196,'Bank Lines'!$J$5:$J$1640,1,'Bank Lines'!$C$5:$C$1640,"&lt;="&amp;Cover!$C$13),2)</f>
        <v>3492.73</v>
      </c>
      <c r="N196" s="9">
        <f>ROUND(SUMIFS('Odoo Items'!$G$5:$G$4331,'Odoo Items'!$J$5:$J$4331,A196,'Odoo Items'!$C$5:$C$4331,"&lt;="&amp;Cover!$C$13),2)</f>
        <v>3492.73</v>
      </c>
      <c r="O196">
        <f>COUNTIFS('Bank Lines'!$G$5:$G$1640,A196,'Bank Lines'!$J$5:$J$1640,1,'Bank Lines'!$C$5:$C$1640,"&lt;="&amp;Cover!$C$13)</f>
        <v>1</v>
      </c>
      <c r="P196">
        <f>COUNTIFS('Odoo Items'!$J$5:$J$4331,A196,'Odoo Items'!$C$5:$C$4331,"&lt;="&amp;Cover!$C$13)</f>
        <v>12</v>
      </c>
      <c r="Q196" t="str">
        <f>IF(AND(O196=0,P196=0),"",IF(O196=0,"ODOO-ONLY",IF(P196=0,"BANK-ONLY","BOTH")))</f>
        <v>BOTH</v>
      </c>
      <c r="R196" s="9">
        <f>IF(Q196="BOTH",ROUND(M196-N196,2),0)</f>
        <v>0</v>
      </c>
      <c r="S196" s="9">
        <f>ROUND(SUMIFS('Bank Lines'!$E$5:$E$1640,'Bank Lines'!$G$5:$G$1640,A196,'Bank Lines'!$J$5:$J$1640,1,'Bank Lines'!$C$5:$C$1640,"&lt;="&amp;Cover!$C$14),2)</f>
        <v>3492.73</v>
      </c>
      <c r="T196" s="9">
        <f>ROUND(SUMIFS('Odoo Items'!$G$5:$G$4331,'Odoo Items'!$J$5:$J$4331,A196,'Odoo Items'!$C$5:$C$4331,"&lt;="&amp;Cover!$C$14),2)</f>
        <v>3492.73</v>
      </c>
      <c r="U196">
        <f>COUNTIFS('Bank Lines'!$G$5:$G$1640,A196,'Bank Lines'!$J$5:$J$1640,1,'Bank Lines'!$C$5:$C$1640,"&lt;="&amp;Cover!$C$14)</f>
        <v>1</v>
      </c>
      <c r="V196">
        <f>COUNTIFS('Odoo Items'!$J$5:$J$4331,A196,'Odoo Items'!$C$5:$C$4331,"&lt;="&amp;Cover!$C$14)</f>
        <v>12</v>
      </c>
      <c r="W196" t="str">
        <f>IF(AND(U196=0,V196=0),"",IF(U196=0,"ODOO-ONLY",IF(V196=0,"BANK-ONLY","BOTH")))</f>
        <v>BOTH</v>
      </c>
      <c r="X196" s="9">
        <f>IF(W196="BOTH",ROUND(S196-T196,2),0)</f>
        <v>0</v>
      </c>
      <c r="Y196" s="9">
        <f>ROUND(SUMIFS('Bank Lines'!$E$5:$E$1640,'Bank Lines'!$G$5:$G$1640,A196,'Bank Lines'!$J$5:$J$1640,1,'Bank Lines'!$C$5:$C$1640,"&lt;="&amp;Cover!$C$15),2)</f>
        <v>3492.73</v>
      </c>
      <c r="Z196" s="9">
        <f>ROUND(SUMIFS('Odoo Items'!$G$5:$G$4331,'Odoo Items'!$J$5:$J$4331,A196,'Odoo Items'!$C$5:$C$4331,"&lt;="&amp;Cover!$C$15),2)</f>
        <v>3492.73</v>
      </c>
      <c r="AA196">
        <f>COUNTIFS('Bank Lines'!$G$5:$G$1640,A196,'Bank Lines'!$J$5:$J$1640,1,'Bank Lines'!$C$5:$C$1640,"&lt;="&amp;Cover!$C$15)</f>
        <v>1</v>
      </c>
      <c r="AB196">
        <f>COUNTIFS('Odoo Items'!$J$5:$J$4331,A196,'Odoo Items'!$C$5:$C$4331,"&lt;="&amp;Cover!$C$15)</f>
        <v>12</v>
      </c>
      <c r="AC196" t="str">
        <f>IF(AND(AA196=0,AB196=0),"",IF(AA196=0,"ODOO-ONLY",IF(AB196=0,"BANK-ONLY","BOTH")))</f>
        <v>BOTH</v>
      </c>
      <c r="AD196" s="9">
        <f>IF(AC196="BOTH",ROUND(Y196-Z196,2),0)</f>
        <v>0</v>
      </c>
    </row>
    <row r="197">
      <c r="A197" t="inlineStr">
        <is>
          <t>G00193</t>
        </is>
      </c>
      <c r="B197" t="inlineStr">
        <is>
          <t>OPS</t>
        </is>
      </c>
      <c r="C197" t="inlineStr">
        <is>
          <t>R03</t>
        </is>
      </c>
      <c r="D197" t="inlineStr">
        <is>
          <t>MATCH</t>
        </is>
      </c>
      <c r="E197" t="inlineStr">
        <is>
          <t>Lyrebird Plan Management</t>
        </is>
      </c>
      <c r="F197" t="n">
        <v>1</v>
      </c>
      <c r="G197" t="inlineStr">
        <is>
          <t>4 invoices</t>
        </is>
      </c>
      <c r="H197">
        <f>COUNTIFS('Bank Lines'!$G$5:$G$1640,A197,'Bank Lines'!$J$5:$J$1640,1)</f>
        <v>1</v>
      </c>
      <c r="I197">
        <f>COUNTIFS('Odoo Items'!$J$5:$J$4331,A197)</f>
        <v>4</v>
      </c>
      <c r="J197" s="9">
        <f>ROUND(SUMIFS('Bank Lines'!$E$5:$E$1640,'Bank Lines'!$G$5:$G$1640,A197,'Bank Lines'!$J$5:$J$1640,1),2)</f>
        <v>805.96</v>
      </c>
      <c r="K197" s="9">
        <f>ROUND(SUMIFS('Odoo Items'!$G$5:$G$4331,'Odoo Items'!$J$5:$J$4331,A197),2)</f>
        <v>805.96</v>
      </c>
      <c r="L197" s="9">
        <f>ROUND(J197-K197,2)</f>
        <v>0</v>
      </c>
      <c r="M197" s="9">
        <f>ROUND(SUMIFS('Bank Lines'!$E$5:$E$1640,'Bank Lines'!$G$5:$G$1640,A197,'Bank Lines'!$J$5:$J$1640,1,'Bank Lines'!$C$5:$C$1640,"&lt;="&amp;Cover!$C$13),2)</f>
        <v>805.96</v>
      </c>
      <c r="N197" s="9">
        <f>ROUND(SUMIFS('Odoo Items'!$G$5:$G$4331,'Odoo Items'!$J$5:$J$4331,A197,'Odoo Items'!$C$5:$C$4331,"&lt;="&amp;Cover!$C$13),2)</f>
        <v>805.96</v>
      </c>
      <c r="O197">
        <f>COUNTIFS('Bank Lines'!$G$5:$G$1640,A197,'Bank Lines'!$J$5:$J$1640,1,'Bank Lines'!$C$5:$C$1640,"&lt;="&amp;Cover!$C$13)</f>
        <v>1</v>
      </c>
      <c r="P197">
        <f>COUNTIFS('Odoo Items'!$J$5:$J$4331,A197,'Odoo Items'!$C$5:$C$4331,"&lt;="&amp;Cover!$C$13)</f>
        <v>4</v>
      </c>
      <c r="Q197" t="str">
        <f>IF(AND(O197=0,P197=0),"",IF(O197=0,"ODOO-ONLY",IF(P197=0,"BANK-ONLY","BOTH")))</f>
        <v>BOTH</v>
      </c>
      <c r="R197" s="9">
        <f>IF(Q197="BOTH",ROUND(M197-N197,2),0)</f>
        <v>0</v>
      </c>
      <c r="S197" s="9">
        <f>ROUND(SUMIFS('Bank Lines'!$E$5:$E$1640,'Bank Lines'!$G$5:$G$1640,A197,'Bank Lines'!$J$5:$J$1640,1,'Bank Lines'!$C$5:$C$1640,"&lt;="&amp;Cover!$C$14),2)</f>
        <v>805.96</v>
      </c>
      <c r="T197" s="9">
        <f>ROUND(SUMIFS('Odoo Items'!$G$5:$G$4331,'Odoo Items'!$J$5:$J$4331,A197,'Odoo Items'!$C$5:$C$4331,"&lt;="&amp;Cover!$C$14),2)</f>
        <v>805.96</v>
      </c>
      <c r="U197">
        <f>COUNTIFS('Bank Lines'!$G$5:$G$1640,A197,'Bank Lines'!$J$5:$J$1640,1,'Bank Lines'!$C$5:$C$1640,"&lt;="&amp;Cover!$C$14)</f>
        <v>1</v>
      </c>
      <c r="V197">
        <f>COUNTIFS('Odoo Items'!$J$5:$J$4331,A197,'Odoo Items'!$C$5:$C$4331,"&lt;="&amp;Cover!$C$14)</f>
        <v>4</v>
      </c>
      <c r="W197" t="str">
        <f>IF(AND(U197=0,V197=0),"",IF(U197=0,"ODOO-ONLY",IF(V197=0,"BANK-ONLY","BOTH")))</f>
        <v>BOTH</v>
      </c>
      <c r="X197" s="9">
        <f>IF(W197="BOTH",ROUND(S197-T197,2),0)</f>
        <v>0</v>
      </c>
      <c r="Y197" s="9">
        <f>ROUND(SUMIFS('Bank Lines'!$E$5:$E$1640,'Bank Lines'!$G$5:$G$1640,A197,'Bank Lines'!$J$5:$J$1640,1,'Bank Lines'!$C$5:$C$1640,"&lt;="&amp;Cover!$C$15),2)</f>
        <v>805.96</v>
      </c>
      <c r="Z197" s="9">
        <f>ROUND(SUMIFS('Odoo Items'!$G$5:$G$4331,'Odoo Items'!$J$5:$J$4331,A197,'Odoo Items'!$C$5:$C$4331,"&lt;="&amp;Cover!$C$15),2)</f>
        <v>805.96</v>
      </c>
      <c r="AA197">
        <f>COUNTIFS('Bank Lines'!$G$5:$G$1640,A197,'Bank Lines'!$J$5:$J$1640,1,'Bank Lines'!$C$5:$C$1640,"&lt;="&amp;Cover!$C$15)</f>
        <v>1</v>
      </c>
      <c r="AB197">
        <f>COUNTIFS('Odoo Items'!$J$5:$J$4331,A197,'Odoo Items'!$C$5:$C$4331,"&lt;="&amp;Cover!$C$15)</f>
        <v>4</v>
      </c>
      <c r="AC197" t="str">
        <f>IF(AND(AA197=0,AB197=0),"",IF(AA197=0,"ODOO-ONLY",IF(AB197=0,"BANK-ONLY","BOTH")))</f>
        <v>BOTH</v>
      </c>
      <c r="AD197" s="9">
        <f>IF(AC197="BOTH",ROUND(Y197-Z197,2),0)</f>
        <v>0</v>
      </c>
    </row>
    <row r="198">
      <c r="A198" t="inlineStr">
        <is>
          <t>G00194</t>
        </is>
      </c>
      <c r="B198" t="inlineStr">
        <is>
          <t>OPS</t>
        </is>
      </c>
      <c r="C198" t="inlineStr">
        <is>
          <t>R03</t>
        </is>
      </c>
      <c r="D198" t="inlineStr">
        <is>
          <t>MATCH</t>
        </is>
      </c>
      <c r="E198" t="inlineStr">
        <is>
          <t>Acacia Plan Partners</t>
        </is>
      </c>
      <c r="F198" t="n">
        <v>1</v>
      </c>
      <c r="G198" t="inlineStr">
        <is>
          <t>4 invoices</t>
        </is>
      </c>
      <c r="H198">
        <f>COUNTIFS('Bank Lines'!$G$5:$G$1640,A198,'Bank Lines'!$J$5:$J$1640,1)</f>
        <v>1</v>
      </c>
      <c r="I198">
        <f>COUNTIFS('Odoo Items'!$J$5:$J$4331,A198)</f>
        <v>4</v>
      </c>
      <c r="J198" s="9">
        <f>ROUND(SUMIFS('Bank Lines'!$E$5:$E$1640,'Bank Lines'!$G$5:$G$1640,A198,'Bank Lines'!$J$5:$J$1640,1),2)</f>
        <v>1096.95</v>
      </c>
      <c r="K198" s="9">
        <f>ROUND(SUMIFS('Odoo Items'!$G$5:$G$4331,'Odoo Items'!$J$5:$J$4331,A198),2)</f>
        <v>1096.95</v>
      </c>
      <c r="L198" s="9">
        <f>ROUND(J198-K198,2)</f>
        <v>0</v>
      </c>
      <c r="M198" s="9">
        <f>ROUND(SUMIFS('Bank Lines'!$E$5:$E$1640,'Bank Lines'!$G$5:$G$1640,A198,'Bank Lines'!$J$5:$J$1640,1,'Bank Lines'!$C$5:$C$1640,"&lt;="&amp;Cover!$C$13),2)</f>
        <v>1096.95</v>
      </c>
      <c r="N198" s="9">
        <f>ROUND(SUMIFS('Odoo Items'!$G$5:$G$4331,'Odoo Items'!$J$5:$J$4331,A198,'Odoo Items'!$C$5:$C$4331,"&lt;="&amp;Cover!$C$13),2)</f>
        <v>1096.95</v>
      </c>
      <c r="O198">
        <f>COUNTIFS('Bank Lines'!$G$5:$G$1640,A198,'Bank Lines'!$J$5:$J$1640,1,'Bank Lines'!$C$5:$C$1640,"&lt;="&amp;Cover!$C$13)</f>
        <v>1</v>
      </c>
      <c r="P198">
        <f>COUNTIFS('Odoo Items'!$J$5:$J$4331,A198,'Odoo Items'!$C$5:$C$4331,"&lt;="&amp;Cover!$C$13)</f>
        <v>4</v>
      </c>
      <c r="Q198" t="str">
        <f>IF(AND(O198=0,P198=0),"",IF(O198=0,"ODOO-ONLY",IF(P198=0,"BANK-ONLY","BOTH")))</f>
        <v>BOTH</v>
      </c>
      <c r="R198" s="9">
        <f>IF(Q198="BOTH",ROUND(M198-N198,2),0)</f>
        <v>0</v>
      </c>
      <c r="S198" s="9">
        <f>ROUND(SUMIFS('Bank Lines'!$E$5:$E$1640,'Bank Lines'!$G$5:$G$1640,A198,'Bank Lines'!$J$5:$J$1640,1,'Bank Lines'!$C$5:$C$1640,"&lt;="&amp;Cover!$C$14),2)</f>
        <v>1096.95</v>
      </c>
      <c r="T198" s="9">
        <f>ROUND(SUMIFS('Odoo Items'!$G$5:$G$4331,'Odoo Items'!$J$5:$J$4331,A198,'Odoo Items'!$C$5:$C$4331,"&lt;="&amp;Cover!$C$14),2)</f>
        <v>1096.95</v>
      </c>
      <c r="U198">
        <f>COUNTIFS('Bank Lines'!$G$5:$G$1640,A198,'Bank Lines'!$J$5:$J$1640,1,'Bank Lines'!$C$5:$C$1640,"&lt;="&amp;Cover!$C$14)</f>
        <v>1</v>
      </c>
      <c r="V198">
        <f>COUNTIFS('Odoo Items'!$J$5:$J$4331,A198,'Odoo Items'!$C$5:$C$4331,"&lt;="&amp;Cover!$C$14)</f>
        <v>4</v>
      </c>
      <c r="W198" t="str">
        <f>IF(AND(U198=0,V198=0),"",IF(U198=0,"ODOO-ONLY",IF(V198=0,"BANK-ONLY","BOTH")))</f>
        <v>BOTH</v>
      </c>
      <c r="X198" s="9">
        <f>IF(W198="BOTH",ROUND(S198-T198,2),0)</f>
        <v>0</v>
      </c>
      <c r="Y198" s="9">
        <f>ROUND(SUMIFS('Bank Lines'!$E$5:$E$1640,'Bank Lines'!$G$5:$G$1640,A198,'Bank Lines'!$J$5:$J$1640,1,'Bank Lines'!$C$5:$C$1640,"&lt;="&amp;Cover!$C$15),2)</f>
        <v>1096.95</v>
      </c>
      <c r="Z198" s="9">
        <f>ROUND(SUMIFS('Odoo Items'!$G$5:$G$4331,'Odoo Items'!$J$5:$J$4331,A198,'Odoo Items'!$C$5:$C$4331,"&lt;="&amp;Cover!$C$15),2)</f>
        <v>1096.95</v>
      </c>
      <c r="AA198">
        <f>COUNTIFS('Bank Lines'!$G$5:$G$1640,A198,'Bank Lines'!$J$5:$J$1640,1,'Bank Lines'!$C$5:$C$1640,"&lt;="&amp;Cover!$C$15)</f>
        <v>1</v>
      </c>
      <c r="AB198">
        <f>COUNTIFS('Odoo Items'!$J$5:$J$4331,A198,'Odoo Items'!$C$5:$C$4331,"&lt;="&amp;Cover!$C$15)</f>
        <v>4</v>
      </c>
      <c r="AC198" t="str">
        <f>IF(AND(AA198=0,AB198=0),"",IF(AA198=0,"ODOO-ONLY",IF(AB198=0,"BANK-ONLY","BOTH")))</f>
        <v>BOTH</v>
      </c>
      <c r="AD198" s="9">
        <f>IF(AC198="BOTH",ROUND(Y198-Z198,2),0)</f>
        <v>0</v>
      </c>
    </row>
    <row r="199">
      <c r="A199" t="inlineStr">
        <is>
          <t>G00195</t>
        </is>
      </c>
      <c r="B199" t="inlineStr">
        <is>
          <t>OPS</t>
        </is>
      </c>
      <c r="C199" t="inlineStr">
        <is>
          <t>R03</t>
        </is>
      </c>
      <c r="D199" t="inlineStr">
        <is>
          <t>MATCH</t>
        </is>
      </c>
      <c r="E199" t="inlineStr">
        <is>
          <t>Mallee Plan Services</t>
        </is>
      </c>
      <c r="F199" t="n">
        <v>1</v>
      </c>
      <c r="G199" t="inlineStr">
        <is>
          <t>2 invoices</t>
        </is>
      </c>
      <c r="H199">
        <f>COUNTIFS('Bank Lines'!$G$5:$G$1640,A199,'Bank Lines'!$J$5:$J$1640,1)</f>
        <v>1</v>
      </c>
      <c r="I199">
        <f>COUNTIFS('Odoo Items'!$J$5:$J$4331,A199)</f>
        <v>2</v>
      </c>
      <c r="J199" s="9">
        <f>ROUND(SUMIFS('Bank Lines'!$E$5:$E$1640,'Bank Lines'!$G$5:$G$1640,A199,'Bank Lines'!$J$5:$J$1640,1),2)</f>
        <v>436.47</v>
      </c>
      <c r="K199" s="9">
        <f>ROUND(SUMIFS('Odoo Items'!$G$5:$G$4331,'Odoo Items'!$J$5:$J$4331,A199),2)</f>
        <v>436.47</v>
      </c>
      <c r="L199" s="9">
        <f>ROUND(J199-K199,2)</f>
        <v>0</v>
      </c>
      <c r="M199" s="9">
        <f>ROUND(SUMIFS('Bank Lines'!$E$5:$E$1640,'Bank Lines'!$G$5:$G$1640,A199,'Bank Lines'!$J$5:$J$1640,1,'Bank Lines'!$C$5:$C$1640,"&lt;="&amp;Cover!$C$13),2)</f>
        <v>436.47</v>
      </c>
      <c r="N199" s="9">
        <f>ROUND(SUMIFS('Odoo Items'!$G$5:$G$4331,'Odoo Items'!$J$5:$J$4331,A199,'Odoo Items'!$C$5:$C$4331,"&lt;="&amp;Cover!$C$13),2)</f>
        <v>436.47</v>
      </c>
      <c r="O199">
        <f>COUNTIFS('Bank Lines'!$G$5:$G$1640,A199,'Bank Lines'!$J$5:$J$1640,1,'Bank Lines'!$C$5:$C$1640,"&lt;="&amp;Cover!$C$13)</f>
        <v>1</v>
      </c>
      <c r="P199">
        <f>COUNTIFS('Odoo Items'!$J$5:$J$4331,A199,'Odoo Items'!$C$5:$C$4331,"&lt;="&amp;Cover!$C$13)</f>
        <v>2</v>
      </c>
      <c r="Q199" t="str">
        <f>IF(AND(O199=0,P199=0),"",IF(O199=0,"ODOO-ONLY",IF(P199=0,"BANK-ONLY","BOTH")))</f>
        <v>BOTH</v>
      </c>
      <c r="R199" s="9">
        <f>IF(Q199="BOTH",ROUND(M199-N199,2),0)</f>
        <v>0</v>
      </c>
      <c r="S199" s="9">
        <f>ROUND(SUMIFS('Bank Lines'!$E$5:$E$1640,'Bank Lines'!$G$5:$G$1640,A199,'Bank Lines'!$J$5:$J$1640,1,'Bank Lines'!$C$5:$C$1640,"&lt;="&amp;Cover!$C$14),2)</f>
        <v>436.47</v>
      </c>
      <c r="T199" s="9">
        <f>ROUND(SUMIFS('Odoo Items'!$G$5:$G$4331,'Odoo Items'!$J$5:$J$4331,A199,'Odoo Items'!$C$5:$C$4331,"&lt;="&amp;Cover!$C$14),2)</f>
        <v>436.47</v>
      </c>
      <c r="U199">
        <f>COUNTIFS('Bank Lines'!$G$5:$G$1640,A199,'Bank Lines'!$J$5:$J$1640,1,'Bank Lines'!$C$5:$C$1640,"&lt;="&amp;Cover!$C$14)</f>
        <v>1</v>
      </c>
      <c r="V199">
        <f>COUNTIFS('Odoo Items'!$J$5:$J$4331,A199,'Odoo Items'!$C$5:$C$4331,"&lt;="&amp;Cover!$C$14)</f>
        <v>2</v>
      </c>
      <c r="W199" t="str">
        <f>IF(AND(U199=0,V199=0),"",IF(U199=0,"ODOO-ONLY",IF(V199=0,"BANK-ONLY","BOTH")))</f>
        <v>BOTH</v>
      </c>
      <c r="X199" s="9">
        <f>IF(W199="BOTH",ROUND(S199-T199,2),0)</f>
        <v>0</v>
      </c>
      <c r="Y199" s="9">
        <f>ROUND(SUMIFS('Bank Lines'!$E$5:$E$1640,'Bank Lines'!$G$5:$G$1640,A199,'Bank Lines'!$J$5:$J$1640,1,'Bank Lines'!$C$5:$C$1640,"&lt;="&amp;Cover!$C$15),2)</f>
        <v>436.47</v>
      </c>
      <c r="Z199" s="9">
        <f>ROUND(SUMIFS('Odoo Items'!$G$5:$G$4331,'Odoo Items'!$J$5:$J$4331,A199,'Odoo Items'!$C$5:$C$4331,"&lt;="&amp;Cover!$C$15),2)</f>
        <v>436.47</v>
      </c>
      <c r="AA199">
        <f>COUNTIFS('Bank Lines'!$G$5:$G$1640,A199,'Bank Lines'!$J$5:$J$1640,1,'Bank Lines'!$C$5:$C$1640,"&lt;="&amp;Cover!$C$15)</f>
        <v>1</v>
      </c>
      <c r="AB199">
        <f>COUNTIFS('Odoo Items'!$J$5:$J$4331,A199,'Odoo Items'!$C$5:$C$4331,"&lt;="&amp;Cover!$C$15)</f>
        <v>2</v>
      </c>
      <c r="AC199" t="str">
        <f>IF(AND(AA199=0,AB199=0),"",IF(AA199=0,"ODOO-ONLY",IF(AB199=0,"BANK-ONLY","BOTH")))</f>
        <v>BOTH</v>
      </c>
      <c r="AD199" s="9">
        <f>IF(AC199="BOTH",ROUND(Y199-Z199,2),0)</f>
        <v>0</v>
      </c>
    </row>
    <row r="200">
      <c r="A200" t="inlineStr">
        <is>
          <t>G00196</t>
        </is>
      </c>
      <c r="B200" t="inlineStr">
        <is>
          <t>OPS</t>
        </is>
      </c>
      <c r="C200" t="inlineStr">
        <is>
          <t>R03</t>
        </is>
      </c>
      <c r="D200" t="inlineStr">
        <is>
          <t>MATCH</t>
        </is>
      </c>
      <c r="E200" t="inlineStr">
        <is>
          <t>Bluegum Plan Management</t>
        </is>
      </c>
      <c r="F200" t="n">
        <v>1</v>
      </c>
      <c r="G200" t="inlineStr">
        <is>
          <t>6 invoices</t>
        </is>
      </c>
      <c r="H200">
        <f>COUNTIFS('Bank Lines'!$G$5:$G$1640,A200,'Bank Lines'!$J$5:$J$1640,1)</f>
        <v>1</v>
      </c>
      <c r="I200">
        <f>COUNTIFS('Odoo Items'!$J$5:$J$4331,A200)</f>
        <v>6</v>
      </c>
      <c r="J200" s="9">
        <f>ROUND(SUMIFS('Bank Lines'!$E$5:$E$1640,'Bank Lines'!$G$5:$G$1640,A200,'Bank Lines'!$J$5:$J$1640,1),2)</f>
        <v>1048.43</v>
      </c>
      <c r="K200" s="9">
        <f>ROUND(SUMIFS('Odoo Items'!$G$5:$G$4331,'Odoo Items'!$J$5:$J$4331,A200),2)</f>
        <v>1048.43</v>
      </c>
      <c r="L200" s="9">
        <f>ROUND(J200-K200,2)</f>
        <v>0</v>
      </c>
      <c r="M200" s="9">
        <f>ROUND(SUMIFS('Bank Lines'!$E$5:$E$1640,'Bank Lines'!$G$5:$G$1640,A200,'Bank Lines'!$J$5:$J$1640,1,'Bank Lines'!$C$5:$C$1640,"&lt;="&amp;Cover!$C$13),2)</f>
        <v>1048.43</v>
      </c>
      <c r="N200" s="9">
        <f>ROUND(SUMIFS('Odoo Items'!$G$5:$G$4331,'Odoo Items'!$J$5:$J$4331,A200,'Odoo Items'!$C$5:$C$4331,"&lt;="&amp;Cover!$C$13),2)</f>
        <v>1048.43</v>
      </c>
      <c r="O200">
        <f>COUNTIFS('Bank Lines'!$G$5:$G$1640,A200,'Bank Lines'!$J$5:$J$1640,1,'Bank Lines'!$C$5:$C$1640,"&lt;="&amp;Cover!$C$13)</f>
        <v>1</v>
      </c>
      <c r="P200">
        <f>COUNTIFS('Odoo Items'!$J$5:$J$4331,A200,'Odoo Items'!$C$5:$C$4331,"&lt;="&amp;Cover!$C$13)</f>
        <v>6</v>
      </c>
      <c r="Q200" t="str">
        <f>IF(AND(O200=0,P200=0),"",IF(O200=0,"ODOO-ONLY",IF(P200=0,"BANK-ONLY","BOTH")))</f>
        <v>BOTH</v>
      </c>
      <c r="R200" s="9">
        <f>IF(Q200="BOTH",ROUND(M200-N200,2),0)</f>
        <v>0</v>
      </c>
      <c r="S200" s="9">
        <f>ROUND(SUMIFS('Bank Lines'!$E$5:$E$1640,'Bank Lines'!$G$5:$G$1640,A200,'Bank Lines'!$J$5:$J$1640,1,'Bank Lines'!$C$5:$C$1640,"&lt;="&amp;Cover!$C$14),2)</f>
        <v>1048.43</v>
      </c>
      <c r="T200" s="9">
        <f>ROUND(SUMIFS('Odoo Items'!$G$5:$G$4331,'Odoo Items'!$J$5:$J$4331,A200,'Odoo Items'!$C$5:$C$4331,"&lt;="&amp;Cover!$C$14),2)</f>
        <v>1048.43</v>
      </c>
      <c r="U200">
        <f>COUNTIFS('Bank Lines'!$G$5:$G$1640,A200,'Bank Lines'!$J$5:$J$1640,1,'Bank Lines'!$C$5:$C$1640,"&lt;="&amp;Cover!$C$14)</f>
        <v>1</v>
      </c>
      <c r="V200">
        <f>COUNTIFS('Odoo Items'!$J$5:$J$4331,A200,'Odoo Items'!$C$5:$C$4331,"&lt;="&amp;Cover!$C$14)</f>
        <v>6</v>
      </c>
      <c r="W200" t="str">
        <f>IF(AND(U200=0,V200=0),"",IF(U200=0,"ODOO-ONLY",IF(V200=0,"BANK-ONLY","BOTH")))</f>
        <v>BOTH</v>
      </c>
      <c r="X200" s="9">
        <f>IF(W200="BOTH",ROUND(S200-T200,2),0)</f>
        <v>0</v>
      </c>
      <c r="Y200" s="9">
        <f>ROUND(SUMIFS('Bank Lines'!$E$5:$E$1640,'Bank Lines'!$G$5:$G$1640,A200,'Bank Lines'!$J$5:$J$1640,1,'Bank Lines'!$C$5:$C$1640,"&lt;="&amp;Cover!$C$15),2)</f>
        <v>1048.43</v>
      </c>
      <c r="Z200" s="9">
        <f>ROUND(SUMIFS('Odoo Items'!$G$5:$G$4331,'Odoo Items'!$J$5:$J$4331,A200,'Odoo Items'!$C$5:$C$4331,"&lt;="&amp;Cover!$C$15),2)</f>
        <v>1048.43</v>
      </c>
      <c r="AA200">
        <f>COUNTIFS('Bank Lines'!$G$5:$G$1640,A200,'Bank Lines'!$J$5:$J$1640,1,'Bank Lines'!$C$5:$C$1640,"&lt;="&amp;Cover!$C$15)</f>
        <v>1</v>
      </c>
      <c r="AB200">
        <f>COUNTIFS('Odoo Items'!$J$5:$J$4331,A200,'Odoo Items'!$C$5:$C$4331,"&lt;="&amp;Cover!$C$15)</f>
        <v>6</v>
      </c>
      <c r="AC200" t="str">
        <f>IF(AND(AA200=0,AB200=0),"",IF(AA200=0,"ODOO-ONLY",IF(AB200=0,"BANK-ONLY","BOTH")))</f>
        <v>BOTH</v>
      </c>
      <c r="AD200" s="9">
        <f>IF(AC200="BOTH",ROUND(Y200-Z200,2),0)</f>
        <v>0</v>
      </c>
    </row>
    <row r="201">
      <c r="A201" t="inlineStr">
        <is>
          <t>G00197</t>
        </is>
      </c>
      <c r="B201" t="inlineStr">
        <is>
          <t>OPS</t>
        </is>
      </c>
      <c r="C201" t="inlineStr">
        <is>
          <t>R03</t>
        </is>
      </c>
      <c r="D201" t="inlineStr">
        <is>
          <t>MATCH</t>
        </is>
      </c>
      <c r="E201" t="inlineStr">
        <is>
          <t>Wattle Plan Services</t>
        </is>
      </c>
      <c r="F201" t="n">
        <v>1</v>
      </c>
      <c r="G201" t="inlineStr">
        <is>
          <t>12 invoices</t>
        </is>
      </c>
      <c r="H201">
        <f>COUNTIFS('Bank Lines'!$G$5:$G$1640,A201,'Bank Lines'!$J$5:$J$1640,1)</f>
        <v>1</v>
      </c>
      <c r="I201">
        <f>COUNTIFS('Odoo Items'!$J$5:$J$4331,A201)</f>
        <v>12</v>
      </c>
      <c r="J201" s="9">
        <f>ROUND(SUMIFS('Bank Lines'!$E$5:$E$1640,'Bank Lines'!$G$5:$G$1640,A201,'Bank Lines'!$J$5:$J$1640,1),2)</f>
        <v>3494.51</v>
      </c>
      <c r="K201" s="9">
        <f>ROUND(SUMIFS('Odoo Items'!$G$5:$G$4331,'Odoo Items'!$J$5:$J$4331,A201),2)</f>
        <v>3494.51</v>
      </c>
      <c r="L201" s="9">
        <f>ROUND(J201-K201,2)</f>
        <v>0</v>
      </c>
      <c r="M201" s="9">
        <f>ROUND(SUMIFS('Bank Lines'!$E$5:$E$1640,'Bank Lines'!$G$5:$G$1640,A201,'Bank Lines'!$J$5:$J$1640,1,'Bank Lines'!$C$5:$C$1640,"&lt;="&amp;Cover!$C$13),2)</f>
        <v>3494.51</v>
      </c>
      <c r="N201" s="9">
        <f>ROUND(SUMIFS('Odoo Items'!$G$5:$G$4331,'Odoo Items'!$J$5:$J$4331,A201,'Odoo Items'!$C$5:$C$4331,"&lt;="&amp;Cover!$C$13),2)</f>
        <v>3494.51</v>
      </c>
      <c r="O201">
        <f>COUNTIFS('Bank Lines'!$G$5:$G$1640,A201,'Bank Lines'!$J$5:$J$1640,1,'Bank Lines'!$C$5:$C$1640,"&lt;="&amp;Cover!$C$13)</f>
        <v>1</v>
      </c>
      <c r="P201">
        <f>COUNTIFS('Odoo Items'!$J$5:$J$4331,A201,'Odoo Items'!$C$5:$C$4331,"&lt;="&amp;Cover!$C$13)</f>
        <v>12</v>
      </c>
      <c r="Q201" t="str">
        <f>IF(AND(O201=0,P201=0),"",IF(O201=0,"ODOO-ONLY",IF(P201=0,"BANK-ONLY","BOTH")))</f>
        <v>BOTH</v>
      </c>
      <c r="R201" s="9">
        <f>IF(Q201="BOTH",ROUND(M201-N201,2),0)</f>
        <v>0</v>
      </c>
      <c r="S201" s="9">
        <f>ROUND(SUMIFS('Bank Lines'!$E$5:$E$1640,'Bank Lines'!$G$5:$G$1640,A201,'Bank Lines'!$J$5:$J$1640,1,'Bank Lines'!$C$5:$C$1640,"&lt;="&amp;Cover!$C$14),2)</f>
        <v>3494.51</v>
      </c>
      <c r="T201" s="9">
        <f>ROUND(SUMIFS('Odoo Items'!$G$5:$G$4331,'Odoo Items'!$J$5:$J$4331,A201,'Odoo Items'!$C$5:$C$4331,"&lt;="&amp;Cover!$C$14),2)</f>
        <v>3494.51</v>
      </c>
      <c r="U201">
        <f>COUNTIFS('Bank Lines'!$G$5:$G$1640,A201,'Bank Lines'!$J$5:$J$1640,1,'Bank Lines'!$C$5:$C$1640,"&lt;="&amp;Cover!$C$14)</f>
        <v>1</v>
      </c>
      <c r="V201">
        <f>COUNTIFS('Odoo Items'!$J$5:$J$4331,A201,'Odoo Items'!$C$5:$C$4331,"&lt;="&amp;Cover!$C$14)</f>
        <v>12</v>
      </c>
      <c r="W201" t="str">
        <f>IF(AND(U201=0,V201=0),"",IF(U201=0,"ODOO-ONLY",IF(V201=0,"BANK-ONLY","BOTH")))</f>
        <v>BOTH</v>
      </c>
      <c r="X201" s="9">
        <f>IF(W201="BOTH",ROUND(S201-T201,2),0)</f>
        <v>0</v>
      </c>
      <c r="Y201" s="9">
        <f>ROUND(SUMIFS('Bank Lines'!$E$5:$E$1640,'Bank Lines'!$G$5:$G$1640,A201,'Bank Lines'!$J$5:$J$1640,1,'Bank Lines'!$C$5:$C$1640,"&lt;="&amp;Cover!$C$15),2)</f>
        <v>3494.51</v>
      </c>
      <c r="Z201" s="9">
        <f>ROUND(SUMIFS('Odoo Items'!$G$5:$G$4331,'Odoo Items'!$J$5:$J$4331,A201,'Odoo Items'!$C$5:$C$4331,"&lt;="&amp;Cover!$C$15),2)</f>
        <v>3494.51</v>
      </c>
      <c r="AA201">
        <f>COUNTIFS('Bank Lines'!$G$5:$G$1640,A201,'Bank Lines'!$J$5:$J$1640,1,'Bank Lines'!$C$5:$C$1640,"&lt;="&amp;Cover!$C$15)</f>
        <v>1</v>
      </c>
      <c r="AB201">
        <f>COUNTIFS('Odoo Items'!$J$5:$J$4331,A201,'Odoo Items'!$C$5:$C$4331,"&lt;="&amp;Cover!$C$15)</f>
        <v>12</v>
      </c>
      <c r="AC201" t="str">
        <f>IF(AND(AA201=0,AB201=0),"",IF(AA201=0,"ODOO-ONLY",IF(AB201=0,"BANK-ONLY","BOTH")))</f>
        <v>BOTH</v>
      </c>
      <c r="AD201" s="9">
        <f>IF(AC201="BOTH",ROUND(Y201-Z201,2),0)</f>
        <v>0</v>
      </c>
    </row>
    <row r="202">
      <c r="A202" t="inlineStr">
        <is>
          <t>G00198</t>
        </is>
      </c>
      <c r="B202" t="inlineStr">
        <is>
          <t>OPS</t>
        </is>
      </c>
      <c r="C202" t="inlineStr">
        <is>
          <t>R03</t>
        </is>
      </c>
      <c r="D202" t="inlineStr">
        <is>
          <t>MATCH</t>
        </is>
      </c>
      <c r="E202" t="inlineStr">
        <is>
          <t>Kookaburra Plan Support</t>
        </is>
      </c>
      <c r="F202" t="n">
        <v>1</v>
      </c>
      <c r="G202" t="inlineStr">
        <is>
          <t>3 invoices</t>
        </is>
      </c>
      <c r="H202">
        <f>COUNTIFS('Bank Lines'!$G$5:$G$1640,A202,'Bank Lines'!$J$5:$J$1640,1)</f>
        <v>1</v>
      </c>
      <c r="I202">
        <f>COUNTIFS('Odoo Items'!$J$5:$J$4331,A202)</f>
        <v>3</v>
      </c>
      <c r="J202" s="9">
        <f>ROUND(SUMIFS('Bank Lines'!$E$5:$E$1640,'Bank Lines'!$G$5:$G$1640,A202,'Bank Lines'!$J$5:$J$1640,1),2)</f>
        <v>787.46</v>
      </c>
      <c r="K202" s="9">
        <f>ROUND(SUMIFS('Odoo Items'!$G$5:$G$4331,'Odoo Items'!$J$5:$J$4331,A202),2)</f>
        <v>787.46</v>
      </c>
      <c r="L202" s="9">
        <f>ROUND(J202-K202,2)</f>
        <v>0</v>
      </c>
      <c r="M202" s="9">
        <f>ROUND(SUMIFS('Bank Lines'!$E$5:$E$1640,'Bank Lines'!$G$5:$G$1640,A202,'Bank Lines'!$J$5:$J$1640,1,'Bank Lines'!$C$5:$C$1640,"&lt;="&amp;Cover!$C$13),2)</f>
        <v>787.46</v>
      </c>
      <c r="N202" s="9">
        <f>ROUND(SUMIFS('Odoo Items'!$G$5:$G$4331,'Odoo Items'!$J$5:$J$4331,A202,'Odoo Items'!$C$5:$C$4331,"&lt;="&amp;Cover!$C$13),2)</f>
        <v>787.46</v>
      </c>
      <c r="O202">
        <f>COUNTIFS('Bank Lines'!$G$5:$G$1640,A202,'Bank Lines'!$J$5:$J$1640,1,'Bank Lines'!$C$5:$C$1640,"&lt;="&amp;Cover!$C$13)</f>
        <v>1</v>
      </c>
      <c r="P202">
        <f>COUNTIFS('Odoo Items'!$J$5:$J$4331,A202,'Odoo Items'!$C$5:$C$4331,"&lt;="&amp;Cover!$C$13)</f>
        <v>3</v>
      </c>
      <c r="Q202" t="str">
        <f>IF(AND(O202=0,P202=0),"",IF(O202=0,"ODOO-ONLY",IF(P202=0,"BANK-ONLY","BOTH")))</f>
        <v>BOTH</v>
      </c>
      <c r="R202" s="9">
        <f>IF(Q202="BOTH",ROUND(M202-N202,2),0)</f>
        <v>0</v>
      </c>
      <c r="S202" s="9">
        <f>ROUND(SUMIFS('Bank Lines'!$E$5:$E$1640,'Bank Lines'!$G$5:$G$1640,A202,'Bank Lines'!$J$5:$J$1640,1,'Bank Lines'!$C$5:$C$1640,"&lt;="&amp;Cover!$C$14),2)</f>
        <v>787.46</v>
      </c>
      <c r="T202" s="9">
        <f>ROUND(SUMIFS('Odoo Items'!$G$5:$G$4331,'Odoo Items'!$J$5:$J$4331,A202,'Odoo Items'!$C$5:$C$4331,"&lt;="&amp;Cover!$C$14),2)</f>
        <v>787.46</v>
      </c>
      <c r="U202">
        <f>COUNTIFS('Bank Lines'!$G$5:$G$1640,A202,'Bank Lines'!$J$5:$J$1640,1,'Bank Lines'!$C$5:$C$1640,"&lt;="&amp;Cover!$C$14)</f>
        <v>1</v>
      </c>
      <c r="V202">
        <f>COUNTIFS('Odoo Items'!$J$5:$J$4331,A202,'Odoo Items'!$C$5:$C$4331,"&lt;="&amp;Cover!$C$14)</f>
        <v>3</v>
      </c>
      <c r="W202" t="str">
        <f>IF(AND(U202=0,V202=0),"",IF(U202=0,"ODOO-ONLY",IF(V202=0,"BANK-ONLY","BOTH")))</f>
        <v>BOTH</v>
      </c>
      <c r="X202" s="9">
        <f>IF(W202="BOTH",ROUND(S202-T202,2),0)</f>
        <v>0</v>
      </c>
      <c r="Y202" s="9">
        <f>ROUND(SUMIFS('Bank Lines'!$E$5:$E$1640,'Bank Lines'!$G$5:$G$1640,A202,'Bank Lines'!$J$5:$J$1640,1,'Bank Lines'!$C$5:$C$1640,"&lt;="&amp;Cover!$C$15),2)</f>
        <v>787.46</v>
      </c>
      <c r="Z202" s="9">
        <f>ROUND(SUMIFS('Odoo Items'!$G$5:$G$4331,'Odoo Items'!$J$5:$J$4331,A202,'Odoo Items'!$C$5:$C$4331,"&lt;="&amp;Cover!$C$15),2)</f>
        <v>787.46</v>
      </c>
      <c r="AA202">
        <f>COUNTIFS('Bank Lines'!$G$5:$G$1640,A202,'Bank Lines'!$J$5:$J$1640,1,'Bank Lines'!$C$5:$C$1640,"&lt;="&amp;Cover!$C$15)</f>
        <v>1</v>
      </c>
      <c r="AB202">
        <f>COUNTIFS('Odoo Items'!$J$5:$J$4331,A202,'Odoo Items'!$C$5:$C$4331,"&lt;="&amp;Cover!$C$15)</f>
        <v>3</v>
      </c>
      <c r="AC202" t="str">
        <f>IF(AND(AA202=0,AB202=0),"",IF(AA202=0,"ODOO-ONLY",IF(AB202=0,"BANK-ONLY","BOTH")))</f>
        <v>BOTH</v>
      </c>
      <c r="AD202" s="9">
        <f>IF(AC202="BOTH",ROUND(Y202-Z202,2),0)</f>
        <v>0</v>
      </c>
    </row>
    <row r="203">
      <c r="A203" t="inlineStr">
        <is>
          <t>G00199</t>
        </is>
      </c>
      <c r="B203" t="inlineStr">
        <is>
          <t>OPS</t>
        </is>
      </c>
      <c r="C203" t="inlineStr">
        <is>
          <t>R03</t>
        </is>
      </c>
      <c r="D203" t="inlineStr">
        <is>
          <t>MATCH</t>
        </is>
      </c>
      <c r="E203" t="inlineStr">
        <is>
          <t>Saltbush Plan Managers</t>
        </is>
      </c>
      <c r="F203" t="n">
        <v>1</v>
      </c>
      <c r="G203" t="inlineStr">
        <is>
          <t>6 invoices</t>
        </is>
      </c>
      <c r="H203">
        <f>COUNTIFS('Bank Lines'!$G$5:$G$1640,A203,'Bank Lines'!$J$5:$J$1640,1)</f>
        <v>1</v>
      </c>
      <c r="I203">
        <f>COUNTIFS('Odoo Items'!$J$5:$J$4331,A203)</f>
        <v>6</v>
      </c>
      <c r="J203" s="9">
        <f>ROUND(SUMIFS('Bank Lines'!$E$5:$E$1640,'Bank Lines'!$G$5:$G$1640,A203,'Bank Lines'!$J$5:$J$1640,1),2)</f>
        <v>1864.1</v>
      </c>
      <c r="K203" s="9">
        <f>ROUND(SUMIFS('Odoo Items'!$G$5:$G$4331,'Odoo Items'!$J$5:$J$4331,A203),2)</f>
        <v>1864.1</v>
      </c>
      <c r="L203" s="9">
        <f>ROUND(J203-K203,2)</f>
        <v>0</v>
      </c>
      <c r="M203" s="9">
        <f>ROUND(SUMIFS('Bank Lines'!$E$5:$E$1640,'Bank Lines'!$G$5:$G$1640,A203,'Bank Lines'!$J$5:$J$1640,1,'Bank Lines'!$C$5:$C$1640,"&lt;="&amp;Cover!$C$13),2)</f>
        <v>1864.1</v>
      </c>
      <c r="N203" s="9">
        <f>ROUND(SUMIFS('Odoo Items'!$G$5:$G$4331,'Odoo Items'!$J$5:$J$4331,A203,'Odoo Items'!$C$5:$C$4331,"&lt;="&amp;Cover!$C$13),2)</f>
        <v>1864.1</v>
      </c>
      <c r="O203">
        <f>COUNTIFS('Bank Lines'!$G$5:$G$1640,A203,'Bank Lines'!$J$5:$J$1640,1,'Bank Lines'!$C$5:$C$1640,"&lt;="&amp;Cover!$C$13)</f>
        <v>1</v>
      </c>
      <c r="P203">
        <f>COUNTIFS('Odoo Items'!$J$5:$J$4331,A203,'Odoo Items'!$C$5:$C$4331,"&lt;="&amp;Cover!$C$13)</f>
        <v>6</v>
      </c>
      <c r="Q203" t="str">
        <f>IF(AND(O203=0,P203=0),"",IF(O203=0,"ODOO-ONLY",IF(P203=0,"BANK-ONLY","BOTH")))</f>
        <v>BOTH</v>
      </c>
      <c r="R203" s="9">
        <f>IF(Q203="BOTH",ROUND(M203-N203,2),0)</f>
        <v>0</v>
      </c>
      <c r="S203" s="9">
        <f>ROUND(SUMIFS('Bank Lines'!$E$5:$E$1640,'Bank Lines'!$G$5:$G$1640,A203,'Bank Lines'!$J$5:$J$1640,1,'Bank Lines'!$C$5:$C$1640,"&lt;="&amp;Cover!$C$14),2)</f>
        <v>1864.1</v>
      </c>
      <c r="T203" s="9">
        <f>ROUND(SUMIFS('Odoo Items'!$G$5:$G$4331,'Odoo Items'!$J$5:$J$4331,A203,'Odoo Items'!$C$5:$C$4331,"&lt;="&amp;Cover!$C$14),2)</f>
        <v>1864.1</v>
      </c>
      <c r="U203">
        <f>COUNTIFS('Bank Lines'!$G$5:$G$1640,A203,'Bank Lines'!$J$5:$J$1640,1,'Bank Lines'!$C$5:$C$1640,"&lt;="&amp;Cover!$C$14)</f>
        <v>1</v>
      </c>
      <c r="V203">
        <f>COUNTIFS('Odoo Items'!$J$5:$J$4331,A203,'Odoo Items'!$C$5:$C$4331,"&lt;="&amp;Cover!$C$14)</f>
        <v>6</v>
      </c>
      <c r="W203" t="str">
        <f>IF(AND(U203=0,V203=0),"",IF(U203=0,"ODOO-ONLY",IF(V203=0,"BANK-ONLY","BOTH")))</f>
        <v>BOTH</v>
      </c>
      <c r="X203" s="9">
        <f>IF(W203="BOTH",ROUND(S203-T203,2),0)</f>
        <v>0</v>
      </c>
      <c r="Y203" s="9">
        <f>ROUND(SUMIFS('Bank Lines'!$E$5:$E$1640,'Bank Lines'!$G$5:$G$1640,A203,'Bank Lines'!$J$5:$J$1640,1,'Bank Lines'!$C$5:$C$1640,"&lt;="&amp;Cover!$C$15),2)</f>
        <v>1864.1</v>
      </c>
      <c r="Z203" s="9">
        <f>ROUND(SUMIFS('Odoo Items'!$G$5:$G$4331,'Odoo Items'!$J$5:$J$4331,A203,'Odoo Items'!$C$5:$C$4331,"&lt;="&amp;Cover!$C$15),2)</f>
        <v>1864.1</v>
      </c>
      <c r="AA203">
        <f>COUNTIFS('Bank Lines'!$G$5:$G$1640,A203,'Bank Lines'!$J$5:$J$1640,1,'Bank Lines'!$C$5:$C$1640,"&lt;="&amp;Cover!$C$15)</f>
        <v>1</v>
      </c>
      <c r="AB203">
        <f>COUNTIFS('Odoo Items'!$J$5:$J$4331,A203,'Odoo Items'!$C$5:$C$4331,"&lt;="&amp;Cover!$C$15)</f>
        <v>6</v>
      </c>
      <c r="AC203" t="str">
        <f>IF(AND(AA203=0,AB203=0),"",IF(AA203=0,"ODOO-ONLY",IF(AB203=0,"BANK-ONLY","BOTH")))</f>
        <v>BOTH</v>
      </c>
      <c r="AD203" s="9">
        <f>IF(AC203="BOTH",ROUND(Y203-Z203,2),0)</f>
        <v>0</v>
      </c>
    </row>
    <row r="204">
      <c r="A204" t="inlineStr">
        <is>
          <t>G00200</t>
        </is>
      </c>
      <c r="B204" t="inlineStr">
        <is>
          <t>OPS</t>
        </is>
      </c>
      <c r="C204" t="inlineStr">
        <is>
          <t>R03</t>
        </is>
      </c>
      <c r="D204" t="inlineStr">
        <is>
          <t>MATCH</t>
        </is>
      </c>
      <c r="E204" t="inlineStr">
        <is>
          <t>Southern Cross Plan Mgmt</t>
        </is>
      </c>
      <c r="F204" t="n">
        <v>0.955</v>
      </c>
      <c r="G204" t="inlineStr">
        <is>
          <t>3 invoices</t>
        </is>
      </c>
      <c r="H204">
        <f>COUNTIFS('Bank Lines'!$G$5:$G$1640,A204,'Bank Lines'!$J$5:$J$1640,1)</f>
        <v>1</v>
      </c>
      <c r="I204">
        <f>COUNTIFS('Odoo Items'!$J$5:$J$4331,A204)</f>
        <v>3</v>
      </c>
      <c r="J204" s="9">
        <f>ROUND(SUMIFS('Bank Lines'!$E$5:$E$1640,'Bank Lines'!$G$5:$G$1640,A204,'Bank Lines'!$J$5:$J$1640,1),2)</f>
        <v>737.16</v>
      </c>
      <c r="K204" s="9">
        <f>ROUND(SUMIFS('Odoo Items'!$G$5:$G$4331,'Odoo Items'!$J$5:$J$4331,A204),2)</f>
        <v>737.16</v>
      </c>
      <c r="L204" s="9">
        <f>ROUND(J204-K204,2)</f>
        <v>0</v>
      </c>
      <c r="M204" s="9">
        <f>ROUND(SUMIFS('Bank Lines'!$E$5:$E$1640,'Bank Lines'!$G$5:$G$1640,A204,'Bank Lines'!$J$5:$J$1640,1,'Bank Lines'!$C$5:$C$1640,"&lt;="&amp;Cover!$C$13),2)</f>
        <v>737.16</v>
      </c>
      <c r="N204" s="9">
        <f>ROUND(SUMIFS('Odoo Items'!$G$5:$G$4331,'Odoo Items'!$J$5:$J$4331,A204,'Odoo Items'!$C$5:$C$4331,"&lt;="&amp;Cover!$C$13),2)</f>
        <v>737.16</v>
      </c>
      <c r="O204">
        <f>COUNTIFS('Bank Lines'!$G$5:$G$1640,A204,'Bank Lines'!$J$5:$J$1640,1,'Bank Lines'!$C$5:$C$1640,"&lt;="&amp;Cover!$C$13)</f>
        <v>1</v>
      </c>
      <c r="P204">
        <f>COUNTIFS('Odoo Items'!$J$5:$J$4331,A204,'Odoo Items'!$C$5:$C$4331,"&lt;="&amp;Cover!$C$13)</f>
        <v>3</v>
      </c>
      <c r="Q204" t="str">
        <f>IF(AND(O204=0,P204=0),"",IF(O204=0,"ODOO-ONLY",IF(P204=0,"BANK-ONLY","BOTH")))</f>
        <v>BOTH</v>
      </c>
      <c r="R204" s="9">
        <f>IF(Q204="BOTH",ROUND(M204-N204,2),0)</f>
        <v>0</v>
      </c>
      <c r="S204" s="9">
        <f>ROUND(SUMIFS('Bank Lines'!$E$5:$E$1640,'Bank Lines'!$G$5:$G$1640,A204,'Bank Lines'!$J$5:$J$1640,1,'Bank Lines'!$C$5:$C$1640,"&lt;="&amp;Cover!$C$14),2)</f>
        <v>737.16</v>
      </c>
      <c r="T204" s="9">
        <f>ROUND(SUMIFS('Odoo Items'!$G$5:$G$4331,'Odoo Items'!$J$5:$J$4331,A204,'Odoo Items'!$C$5:$C$4331,"&lt;="&amp;Cover!$C$14),2)</f>
        <v>737.16</v>
      </c>
      <c r="U204">
        <f>COUNTIFS('Bank Lines'!$G$5:$G$1640,A204,'Bank Lines'!$J$5:$J$1640,1,'Bank Lines'!$C$5:$C$1640,"&lt;="&amp;Cover!$C$14)</f>
        <v>1</v>
      </c>
      <c r="V204">
        <f>COUNTIFS('Odoo Items'!$J$5:$J$4331,A204,'Odoo Items'!$C$5:$C$4331,"&lt;="&amp;Cover!$C$14)</f>
        <v>3</v>
      </c>
      <c r="W204" t="str">
        <f>IF(AND(U204=0,V204=0),"",IF(U204=0,"ODOO-ONLY",IF(V204=0,"BANK-ONLY","BOTH")))</f>
        <v>BOTH</v>
      </c>
      <c r="X204" s="9">
        <f>IF(W204="BOTH",ROUND(S204-T204,2),0)</f>
        <v>0</v>
      </c>
      <c r="Y204" s="9">
        <f>ROUND(SUMIFS('Bank Lines'!$E$5:$E$1640,'Bank Lines'!$G$5:$G$1640,A204,'Bank Lines'!$J$5:$J$1640,1,'Bank Lines'!$C$5:$C$1640,"&lt;="&amp;Cover!$C$15),2)</f>
        <v>737.16</v>
      </c>
      <c r="Z204" s="9">
        <f>ROUND(SUMIFS('Odoo Items'!$G$5:$G$4331,'Odoo Items'!$J$5:$J$4331,A204,'Odoo Items'!$C$5:$C$4331,"&lt;="&amp;Cover!$C$15),2)</f>
        <v>737.16</v>
      </c>
      <c r="AA204">
        <f>COUNTIFS('Bank Lines'!$G$5:$G$1640,A204,'Bank Lines'!$J$5:$J$1640,1,'Bank Lines'!$C$5:$C$1640,"&lt;="&amp;Cover!$C$15)</f>
        <v>1</v>
      </c>
      <c r="AB204">
        <f>COUNTIFS('Odoo Items'!$J$5:$J$4331,A204,'Odoo Items'!$C$5:$C$4331,"&lt;="&amp;Cover!$C$15)</f>
        <v>3</v>
      </c>
      <c r="AC204" t="str">
        <f>IF(AND(AA204=0,AB204=0),"",IF(AA204=0,"ODOO-ONLY",IF(AB204=0,"BANK-ONLY","BOTH")))</f>
        <v>BOTH</v>
      </c>
      <c r="AD204" s="9">
        <f>IF(AC204="BOTH",ROUND(Y204-Z204,2),0)</f>
        <v>0</v>
      </c>
    </row>
    <row r="205">
      <c r="A205" t="inlineStr">
        <is>
          <t>G00201</t>
        </is>
      </c>
      <c r="B205" t="inlineStr">
        <is>
          <t>OPS</t>
        </is>
      </c>
      <c r="C205" t="inlineStr">
        <is>
          <t>R03</t>
        </is>
      </c>
      <c r="D205" t="inlineStr">
        <is>
          <t>MATCH</t>
        </is>
      </c>
      <c r="E205" t="inlineStr">
        <is>
          <t>Lyrebird Plan Management</t>
        </is>
      </c>
      <c r="F205" t="n">
        <v>1</v>
      </c>
      <c r="G205" t="inlineStr">
        <is>
          <t>2 invoices</t>
        </is>
      </c>
      <c r="H205">
        <f>COUNTIFS('Bank Lines'!$G$5:$G$1640,A205,'Bank Lines'!$J$5:$J$1640,1)</f>
        <v>1</v>
      </c>
      <c r="I205">
        <f>COUNTIFS('Odoo Items'!$J$5:$J$4331,A205)</f>
        <v>2</v>
      </c>
      <c r="J205" s="9">
        <f>ROUND(SUMIFS('Bank Lines'!$E$5:$E$1640,'Bank Lines'!$G$5:$G$1640,A205,'Bank Lines'!$J$5:$J$1640,1),2)</f>
        <v>514.97</v>
      </c>
      <c r="K205" s="9">
        <f>ROUND(SUMIFS('Odoo Items'!$G$5:$G$4331,'Odoo Items'!$J$5:$J$4331,A205),2)</f>
        <v>514.97</v>
      </c>
      <c r="L205" s="9">
        <f>ROUND(J205-K205,2)</f>
        <v>0</v>
      </c>
      <c r="M205" s="9">
        <f>ROUND(SUMIFS('Bank Lines'!$E$5:$E$1640,'Bank Lines'!$G$5:$G$1640,A205,'Bank Lines'!$J$5:$J$1640,1,'Bank Lines'!$C$5:$C$1640,"&lt;="&amp;Cover!$C$13),2)</f>
        <v>514.97</v>
      </c>
      <c r="N205" s="9">
        <f>ROUND(SUMIFS('Odoo Items'!$G$5:$G$4331,'Odoo Items'!$J$5:$J$4331,A205,'Odoo Items'!$C$5:$C$4331,"&lt;="&amp;Cover!$C$13),2)</f>
        <v>514.97</v>
      </c>
      <c r="O205">
        <f>COUNTIFS('Bank Lines'!$G$5:$G$1640,A205,'Bank Lines'!$J$5:$J$1640,1,'Bank Lines'!$C$5:$C$1640,"&lt;="&amp;Cover!$C$13)</f>
        <v>1</v>
      </c>
      <c r="P205">
        <f>COUNTIFS('Odoo Items'!$J$5:$J$4331,A205,'Odoo Items'!$C$5:$C$4331,"&lt;="&amp;Cover!$C$13)</f>
        <v>2</v>
      </c>
      <c r="Q205" t="str">
        <f>IF(AND(O205=0,P205=0),"",IF(O205=0,"ODOO-ONLY",IF(P205=0,"BANK-ONLY","BOTH")))</f>
        <v>BOTH</v>
      </c>
      <c r="R205" s="9">
        <f>IF(Q205="BOTH",ROUND(M205-N205,2),0)</f>
        <v>0</v>
      </c>
      <c r="S205" s="9">
        <f>ROUND(SUMIFS('Bank Lines'!$E$5:$E$1640,'Bank Lines'!$G$5:$G$1640,A205,'Bank Lines'!$J$5:$J$1640,1,'Bank Lines'!$C$5:$C$1640,"&lt;="&amp;Cover!$C$14),2)</f>
        <v>514.97</v>
      </c>
      <c r="T205" s="9">
        <f>ROUND(SUMIFS('Odoo Items'!$G$5:$G$4331,'Odoo Items'!$J$5:$J$4331,A205,'Odoo Items'!$C$5:$C$4331,"&lt;="&amp;Cover!$C$14),2)</f>
        <v>514.97</v>
      </c>
      <c r="U205">
        <f>COUNTIFS('Bank Lines'!$G$5:$G$1640,A205,'Bank Lines'!$J$5:$J$1640,1,'Bank Lines'!$C$5:$C$1640,"&lt;="&amp;Cover!$C$14)</f>
        <v>1</v>
      </c>
      <c r="V205">
        <f>COUNTIFS('Odoo Items'!$J$5:$J$4331,A205,'Odoo Items'!$C$5:$C$4331,"&lt;="&amp;Cover!$C$14)</f>
        <v>2</v>
      </c>
      <c r="W205" t="str">
        <f>IF(AND(U205=0,V205=0),"",IF(U205=0,"ODOO-ONLY",IF(V205=0,"BANK-ONLY","BOTH")))</f>
        <v>BOTH</v>
      </c>
      <c r="X205" s="9">
        <f>IF(W205="BOTH",ROUND(S205-T205,2),0)</f>
        <v>0</v>
      </c>
      <c r="Y205" s="9">
        <f>ROUND(SUMIFS('Bank Lines'!$E$5:$E$1640,'Bank Lines'!$G$5:$G$1640,A205,'Bank Lines'!$J$5:$J$1640,1,'Bank Lines'!$C$5:$C$1640,"&lt;="&amp;Cover!$C$15),2)</f>
        <v>514.97</v>
      </c>
      <c r="Z205" s="9">
        <f>ROUND(SUMIFS('Odoo Items'!$G$5:$G$4331,'Odoo Items'!$J$5:$J$4331,A205,'Odoo Items'!$C$5:$C$4331,"&lt;="&amp;Cover!$C$15),2)</f>
        <v>514.97</v>
      </c>
      <c r="AA205">
        <f>COUNTIFS('Bank Lines'!$G$5:$G$1640,A205,'Bank Lines'!$J$5:$J$1640,1,'Bank Lines'!$C$5:$C$1640,"&lt;="&amp;Cover!$C$15)</f>
        <v>1</v>
      </c>
      <c r="AB205">
        <f>COUNTIFS('Odoo Items'!$J$5:$J$4331,A205,'Odoo Items'!$C$5:$C$4331,"&lt;="&amp;Cover!$C$15)</f>
        <v>2</v>
      </c>
      <c r="AC205" t="str">
        <f>IF(AND(AA205=0,AB205=0),"",IF(AA205=0,"ODOO-ONLY",IF(AB205=0,"BANK-ONLY","BOTH")))</f>
        <v>BOTH</v>
      </c>
      <c r="AD205" s="9">
        <f>IF(AC205="BOTH",ROUND(Y205-Z205,2),0)</f>
        <v>0</v>
      </c>
    </row>
    <row r="206">
      <c r="A206" t="inlineStr">
        <is>
          <t>G00202</t>
        </is>
      </c>
      <c r="B206" t="inlineStr">
        <is>
          <t>OPS</t>
        </is>
      </c>
      <c r="C206" t="inlineStr">
        <is>
          <t>R03</t>
        </is>
      </c>
      <c r="D206" t="inlineStr">
        <is>
          <t>REG</t>
        </is>
      </c>
      <c r="E206" t="inlineStr">
        <is>
          <t>Acacia Plan Partners</t>
        </is>
      </c>
      <c r="F206" t="n">
        <v>1</v>
      </c>
      <c r="G206" t="inlineStr">
        <is>
          <t>Receipt not registered in Odoo; remittance RA44923 lists 8 invoices</t>
        </is>
      </c>
      <c r="H206">
        <f>COUNTIFS('Bank Lines'!$G$5:$G$1640,A206,'Bank Lines'!$J$5:$J$1640,1)</f>
        <v>1</v>
      </c>
      <c r="I206">
        <f>COUNTIFS('Odoo Items'!$J$5:$J$4331,A206)</f>
        <v>0</v>
      </c>
      <c r="J206" s="9">
        <f>ROUND(SUMIFS('Bank Lines'!$E$5:$E$1640,'Bank Lines'!$G$5:$G$1640,A206,'Bank Lines'!$J$5:$J$1640,1),2)</f>
        <v>1564.32</v>
      </c>
      <c r="K206" s="9">
        <f>ROUND(SUMIFS('Odoo Items'!$G$5:$G$4331,'Odoo Items'!$J$5:$J$4331,A206),2)</f>
        <v>0</v>
      </c>
      <c r="L206" s="9">
        <f>ROUND(J206-K206,2)</f>
        <v>1564.32</v>
      </c>
      <c r="M206" s="9">
        <f>ROUND(SUMIFS('Bank Lines'!$E$5:$E$1640,'Bank Lines'!$G$5:$G$1640,A206,'Bank Lines'!$J$5:$J$1640,1,'Bank Lines'!$C$5:$C$1640,"&lt;="&amp;Cover!$C$13),2)</f>
        <v>1564.32</v>
      </c>
      <c r="N206" s="9">
        <f>ROUND(SUMIFS('Odoo Items'!$G$5:$G$4331,'Odoo Items'!$J$5:$J$4331,A206,'Odoo Items'!$C$5:$C$4331,"&lt;="&amp;Cover!$C$13),2)</f>
        <v>0</v>
      </c>
      <c r="O206">
        <f>COUNTIFS('Bank Lines'!$G$5:$G$1640,A206,'Bank Lines'!$J$5:$J$1640,1,'Bank Lines'!$C$5:$C$1640,"&lt;="&amp;Cover!$C$13)</f>
        <v>1</v>
      </c>
      <c r="P206">
        <f>COUNTIFS('Odoo Items'!$J$5:$J$4331,A206,'Odoo Items'!$C$5:$C$4331,"&lt;="&amp;Cover!$C$13)</f>
        <v>0</v>
      </c>
      <c r="Q206" t="str">
        <f>IF(AND(O206=0,P206=0),"",IF(O206=0,"ODOO-ONLY",IF(P206=0,"BANK-ONLY","BOTH")))</f>
        <v>BANK-ONLY</v>
      </c>
      <c r="R206" s="9">
        <f>IF(Q206="BOTH",ROUND(M206-N206,2),0)</f>
        <v>0</v>
      </c>
      <c r="S206" s="9">
        <f>ROUND(SUMIFS('Bank Lines'!$E$5:$E$1640,'Bank Lines'!$G$5:$G$1640,A206,'Bank Lines'!$J$5:$J$1640,1,'Bank Lines'!$C$5:$C$1640,"&lt;="&amp;Cover!$C$14),2)</f>
        <v>1564.32</v>
      </c>
      <c r="T206" s="9">
        <f>ROUND(SUMIFS('Odoo Items'!$G$5:$G$4331,'Odoo Items'!$J$5:$J$4331,A206,'Odoo Items'!$C$5:$C$4331,"&lt;="&amp;Cover!$C$14),2)</f>
        <v>0</v>
      </c>
      <c r="U206">
        <f>COUNTIFS('Bank Lines'!$G$5:$G$1640,A206,'Bank Lines'!$J$5:$J$1640,1,'Bank Lines'!$C$5:$C$1640,"&lt;="&amp;Cover!$C$14)</f>
        <v>1</v>
      </c>
      <c r="V206">
        <f>COUNTIFS('Odoo Items'!$J$5:$J$4331,A206,'Odoo Items'!$C$5:$C$4331,"&lt;="&amp;Cover!$C$14)</f>
        <v>0</v>
      </c>
      <c r="W206" t="str">
        <f>IF(AND(U206=0,V206=0),"",IF(U206=0,"ODOO-ONLY",IF(V206=0,"BANK-ONLY","BOTH")))</f>
        <v>BANK-ONLY</v>
      </c>
      <c r="X206" s="9">
        <f>IF(W206="BOTH",ROUND(S206-T206,2),0)</f>
        <v>0</v>
      </c>
      <c r="Y206" s="9">
        <f>ROUND(SUMIFS('Bank Lines'!$E$5:$E$1640,'Bank Lines'!$G$5:$G$1640,A206,'Bank Lines'!$J$5:$J$1640,1,'Bank Lines'!$C$5:$C$1640,"&lt;="&amp;Cover!$C$15),2)</f>
        <v>1564.32</v>
      </c>
      <c r="Z206" s="9">
        <f>ROUND(SUMIFS('Odoo Items'!$G$5:$G$4331,'Odoo Items'!$J$5:$J$4331,A206,'Odoo Items'!$C$5:$C$4331,"&lt;="&amp;Cover!$C$15),2)</f>
        <v>0</v>
      </c>
      <c r="AA206">
        <f>COUNTIFS('Bank Lines'!$G$5:$G$1640,A206,'Bank Lines'!$J$5:$J$1640,1,'Bank Lines'!$C$5:$C$1640,"&lt;="&amp;Cover!$C$15)</f>
        <v>1</v>
      </c>
      <c r="AB206">
        <f>COUNTIFS('Odoo Items'!$J$5:$J$4331,A206,'Odoo Items'!$C$5:$C$4331,"&lt;="&amp;Cover!$C$15)</f>
        <v>0</v>
      </c>
      <c r="AC206" t="str">
        <f>IF(AND(AA206=0,AB206=0),"",IF(AA206=0,"ODOO-ONLY",IF(AB206=0,"BANK-ONLY","BOTH")))</f>
        <v>BANK-ONLY</v>
      </c>
      <c r="AD206" s="9">
        <f>IF(AC206="BOTH",ROUND(Y206-Z206,2),0)</f>
        <v>0</v>
      </c>
    </row>
    <row r="207">
      <c r="A207" t="inlineStr">
        <is>
          <t>G00203</t>
        </is>
      </c>
      <c r="B207" t="inlineStr">
        <is>
          <t>OPS</t>
        </is>
      </c>
      <c r="C207" t="inlineStr">
        <is>
          <t>R03</t>
        </is>
      </c>
      <c r="D207" t="inlineStr">
        <is>
          <t>MATCH</t>
        </is>
      </c>
      <c r="E207" t="inlineStr">
        <is>
          <t>Bluegum Plan Management</t>
        </is>
      </c>
      <c r="F207" t="n">
        <v>0.9</v>
      </c>
      <c r="G207" t="inlineStr">
        <is>
          <t>4 invoices</t>
        </is>
      </c>
      <c r="H207">
        <f>COUNTIFS('Bank Lines'!$G$5:$G$1640,A207,'Bank Lines'!$J$5:$J$1640,1)</f>
        <v>1</v>
      </c>
      <c r="I207">
        <f>COUNTIFS('Odoo Items'!$J$5:$J$4331,A207)</f>
        <v>4</v>
      </c>
      <c r="J207" s="9">
        <f>ROUND(SUMIFS('Bank Lines'!$E$5:$E$1640,'Bank Lines'!$G$5:$G$1640,A207,'Bank Lines'!$J$5:$J$1640,1),2)</f>
        <v>1223.94</v>
      </c>
      <c r="K207" s="9">
        <f>ROUND(SUMIFS('Odoo Items'!$G$5:$G$4331,'Odoo Items'!$J$5:$J$4331,A207),2)</f>
        <v>1223.94</v>
      </c>
      <c r="L207" s="9">
        <f>ROUND(J207-K207,2)</f>
        <v>0</v>
      </c>
      <c r="M207" s="9">
        <f>ROUND(SUMIFS('Bank Lines'!$E$5:$E$1640,'Bank Lines'!$G$5:$G$1640,A207,'Bank Lines'!$J$5:$J$1640,1,'Bank Lines'!$C$5:$C$1640,"&lt;="&amp;Cover!$C$13),2)</f>
        <v>1223.94</v>
      </c>
      <c r="N207" s="9">
        <f>ROUND(SUMIFS('Odoo Items'!$G$5:$G$4331,'Odoo Items'!$J$5:$J$4331,A207,'Odoo Items'!$C$5:$C$4331,"&lt;="&amp;Cover!$C$13),2)</f>
        <v>1223.94</v>
      </c>
      <c r="O207">
        <f>COUNTIFS('Bank Lines'!$G$5:$G$1640,A207,'Bank Lines'!$J$5:$J$1640,1,'Bank Lines'!$C$5:$C$1640,"&lt;="&amp;Cover!$C$13)</f>
        <v>1</v>
      </c>
      <c r="P207">
        <f>COUNTIFS('Odoo Items'!$J$5:$J$4331,A207,'Odoo Items'!$C$5:$C$4331,"&lt;="&amp;Cover!$C$13)</f>
        <v>4</v>
      </c>
      <c r="Q207" t="str">
        <f>IF(AND(O207=0,P207=0),"",IF(O207=0,"ODOO-ONLY",IF(P207=0,"BANK-ONLY","BOTH")))</f>
        <v>BOTH</v>
      </c>
      <c r="R207" s="9">
        <f>IF(Q207="BOTH",ROUND(M207-N207,2),0)</f>
        <v>0</v>
      </c>
      <c r="S207" s="9">
        <f>ROUND(SUMIFS('Bank Lines'!$E$5:$E$1640,'Bank Lines'!$G$5:$G$1640,A207,'Bank Lines'!$J$5:$J$1640,1,'Bank Lines'!$C$5:$C$1640,"&lt;="&amp;Cover!$C$14),2)</f>
        <v>1223.94</v>
      </c>
      <c r="T207" s="9">
        <f>ROUND(SUMIFS('Odoo Items'!$G$5:$G$4331,'Odoo Items'!$J$5:$J$4331,A207,'Odoo Items'!$C$5:$C$4331,"&lt;="&amp;Cover!$C$14),2)</f>
        <v>1223.94</v>
      </c>
      <c r="U207">
        <f>COUNTIFS('Bank Lines'!$G$5:$G$1640,A207,'Bank Lines'!$J$5:$J$1640,1,'Bank Lines'!$C$5:$C$1640,"&lt;="&amp;Cover!$C$14)</f>
        <v>1</v>
      </c>
      <c r="V207">
        <f>COUNTIFS('Odoo Items'!$J$5:$J$4331,A207,'Odoo Items'!$C$5:$C$4331,"&lt;="&amp;Cover!$C$14)</f>
        <v>4</v>
      </c>
      <c r="W207" t="str">
        <f>IF(AND(U207=0,V207=0),"",IF(U207=0,"ODOO-ONLY",IF(V207=0,"BANK-ONLY","BOTH")))</f>
        <v>BOTH</v>
      </c>
      <c r="X207" s="9">
        <f>IF(W207="BOTH",ROUND(S207-T207,2),0)</f>
        <v>0</v>
      </c>
      <c r="Y207" s="9">
        <f>ROUND(SUMIFS('Bank Lines'!$E$5:$E$1640,'Bank Lines'!$G$5:$G$1640,A207,'Bank Lines'!$J$5:$J$1640,1,'Bank Lines'!$C$5:$C$1640,"&lt;="&amp;Cover!$C$15),2)</f>
        <v>1223.94</v>
      </c>
      <c r="Z207" s="9">
        <f>ROUND(SUMIFS('Odoo Items'!$G$5:$G$4331,'Odoo Items'!$J$5:$J$4331,A207,'Odoo Items'!$C$5:$C$4331,"&lt;="&amp;Cover!$C$15),2)</f>
        <v>1223.94</v>
      </c>
      <c r="AA207">
        <f>COUNTIFS('Bank Lines'!$G$5:$G$1640,A207,'Bank Lines'!$J$5:$J$1640,1,'Bank Lines'!$C$5:$C$1640,"&lt;="&amp;Cover!$C$15)</f>
        <v>1</v>
      </c>
      <c r="AB207">
        <f>COUNTIFS('Odoo Items'!$J$5:$J$4331,A207,'Odoo Items'!$C$5:$C$4331,"&lt;="&amp;Cover!$C$15)</f>
        <v>4</v>
      </c>
      <c r="AC207" t="str">
        <f>IF(AND(AA207=0,AB207=0),"",IF(AA207=0,"ODOO-ONLY",IF(AB207=0,"BANK-ONLY","BOTH")))</f>
        <v>BOTH</v>
      </c>
      <c r="AD207" s="9">
        <f>IF(AC207="BOTH",ROUND(Y207-Z207,2),0)</f>
        <v>0</v>
      </c>
    </row>
    <row r="208">
      <c r="A208" t="inlineStr">
        <is>
          <t>G00204</t>
        </is>
      </c>
      <c r="B208" t="inlineStr">
        <is>
          <t>OPS</t>
        </is>
      </c>
      <c r="C208" t="inlineStr">
        <is>
          <t>R03</t>
        </is>
      </c>
      <c r="D208" t="inlineStr">
        <is>
          <t>MATCH</t>
        </is>
      </c>
      <c r="E208" t="inlineStr">
        <is>
          <t>Riverbend Plan Partners</t>
        </is>
      </c>
      <c r="F208" t="n">
        <v>1</v>
      </c>
      <c r="G208" t="inlineStr">
        <is>
          <t>1 invoices</t>
        </is>
      </c>
      <c r="H208">
        <f>COUNTIFS('Bank Lines'!$G$5:$G$1640,A208,'Bank Lines'!$J$5:$J$1640,1)</f>
        <v>1</v>
      </c>
      <c r="I208">
        <f>COUNTIFS('Odoo Items'!$J$5:$J$4331,A208)</f>
        <v>1</v>
      </c>
      <c r="J208" s="9">
        <f>ROUND(SUMIFS('Bank Lines'!$E$5:$E$1640,'Bank Lines'!$G$5:$G$1640,A208,'Bank Lines'!$J$5:$J$1640,1),2)</f>
        <v>272.49</v>
      </c>
      <c r="K208" s="9">
        <f>ROUND(SUMIFS('Odoo Items'!$G$5:$G$4331,'Odoo Items'!$J$5:$J$4331,A208),2)</f>
        <v>272.49</v>
      </c>
      <c r="L208" s="9">
        <f>ROUND(J208-K208,2)</f>
        <v>0</v>
      </c>
      <c r="M208" s="9">
        <f>ROUND(SUMIFS('Bank Lines'!$E$5:$E$1640,'Bank Lines'!$G$5:$G$1640,A208,'Bank Lines'!$J$5:$J$1640,1,'Bank Lines'!$C$5:$C$1640,"&lt;="&amp;Cover!$C$13),2)</f>
        <v>272.49</v>
      </c>
      <c r="N208" s="9">
        <f>ROUND(SUMIFS('Odoo Items'!$G$5:$G$4331,'Odoo Items'!$J$5:$J$4331,A208,'Odoo Items'!$C$5:$C$4331,"&lt;="&amp;Cover!$C$13),2)</f>
        <v>272.49</v>
      </c>
      <c r="O208">
        <f>COUNTIFS('Bank Lines'!$G$5:$G$1640,A208,'Bank Lines'!$J$5:$J$1640,1,'Bank Lines'!$C$5:$C$1640,"&lt;="&amp;Cover!$C$13)</f>
        <v>1</v>
      </c>
      <c r="P208">
        <f>COUNTIFS('Odoo Items'!$J$5:$J$4331,A208,'Odoo Items'!$C$5:$C$4331,"&lt;="&amp;Cover!$C$13)</f>
        <v>1</v>
      </c>
      <c r="Q208" t="str">
        <f>IF(AND(O208=0,P208=0),"",IF(O208=0,"ODOO-ONLY",IF(P208=0,"BANK-ONLY","BOTH")))</f>
        <v>BOTH</v>
      </c>
      <c r="R208" s="9">
        <f>IF(Q208="BOTH",ROUND(M208-N208,2),0)</f>
        <v>0</v>
      </c>
      <c r="S208" s="9">
        <f>ROUND(SUMIFS('Bank Lines'!$E$5:$E$1640,'Bank Lines'!$G$5:$G$1640,A208,'Bank Lines'!$J$5:$J$1640,1,'Bank Lines'!$C$5:$C$1640,"&lt;="&amp;Cover!$C$14),2)</f>
        <v>272.49</v>
      </c>
      <c r="T208" s="9">
        <f>ROUND(SUMIFS('Odoo Items'!$G$5:$G$4331,'Odoo Items'!$J$5:$J$4331,A208,'Odoo Items'!$C$5:$C$4331,"&lt;="&amp;Cover!$C$14),2)</f>
        <v>272.49</v>
      </c>
      <c r="U208">
        <f>COUNTIFS('Bank Lines'!$G$5:$G$1640,A208,'Bank Lines'!$J$5:$J$1640,1,'Bank Lines'!$C$5:$C$1640,"&lt;="&amp;Cover!$C$14)</f>
        <v>1</v>
      </c>
      <c r="V208">
        <f>COUNTIFS('Odoo Items'!$J$5:$J$4331,A208,'Odoo Items'!$C$5:$C$4331,"&lt;="&amp;Cover!$C$14)</f>
        <v>1</v>
      </c>
      <c r="W208" t="str">
        <f>IF(AND(U208=0,V208=0),"",IF(U208=0,"ODOO-ONLY",IF(V208=0,"BANK-ONLY","BOTH")))</f>
        <v>BOTH</v>
      </c>
      <c r="X208" s="9">
        <f>IF(W208="BOTH",ROUND(S208-T208,2),0)</f>
        <v>0</v>
      </c>
      <c r="Y208" s="9">
        <f>ROUND(SUMIFS('Bank Lines'!$E$5:$E$1640,'Bank Lines'!$G$5:$G$1640,A208,'Bank Lines'!$J$5:$J$1640,1,'Bank Lines'!$C$5:$C$1640,"&lt;="&amp;Cover!$C$15),2)</f>
        <v>272.49</v>
      </c>
      <c r="Z208" s="9">
        <f>ROUND(SUMIFS('Odoo Items'!$G$5:$G$4331,'Odoo Items'!$J$5:$J$4331,A208,'Odoo Items'!$C$5:$C$4331,"&lt;="&amp;Cover!$C$15),2)</f>
        <v>272.49</v>
      </c>
      <c r="AA208">
        <f>COUNTIFS('Bank Lines'!$G$5:$G$1640,A208,'Bank Lines'!$J$5:$J$1640,1,'Bank Lines'!$C$5:$C$1640,"&lt;="&amp;Cover!$C$15)</f>
        <v>1</v>
      </c>
      <c r="AB208">
        <f>COUNTIFS('Odoo Items'!$J$5:$J$4331,A208,'Odoo Items'!$C$5:$C$4331,"&lt;="&amp;Cover!$C$15)</f>
        <v>1</v>
      </c>
      <c r="AC208" t="str">
        <f>IF(AND(AA208=0,AB208=0),"",IF(AA208=0,"ODOO-ONLY",IF(AB208=0,"BANK-ONLY","BOTH")))</f>
        <v>BOTH</v>
      </c>
      <c r="AD208" s="9">
        <f>IF(AC208="BOTH",ROUND(Y208-Z208,2),0)</f>
        <v>0</v>
      </c>
    </row>
    <row r="209">
      <c r="A209" t="inlineStr">
        <is>
          <t>G00205</t>
        </is>
      </c>
      <c r="B209" t="inlineStr">
        <is>
          <t>OPS</t>
        </is>
      </c>
      <c r="C209" t="inlineStr">
        <is>
          <t>R03</t>
        </is>
      </c>
      <c r="D209" t="inlineStr">
        <is>
          <t>MATCH</t>
        </is>
      </c>
      <c r="E209" t="inlineStr">
        <is>
          <t>Banksia Plan Co</t>
        </is>
      </c>
      <c r="F209" t="n">
        <v>0.929</v>
      </c>
      <c r="G209" t="inlineStr">
        <is>
          <t>4 invoices</t>
        </is>
      </c>
      <c r="H209">
        <f>COUNTIFS('Bank Lines'!$G$5:$G$1640,A209,'Bank Lines'!$J$5:$J$1640,1)</f>
        <v>1</v>
      </c>
      <c r="I209">
        <f>COUNTIFS('Odoo Items'!$J$5:$J$4331,A209)</f>
        <v>4</v>
      </c>
      <c r="J209" s="9">
        <f>ROUND(SUMIFS('Bank Lines'!$E$5:$E$1640,'Bank Lines'!$G$5:$G$1640,A209,'Bank Lines'!$J$5:$J$1640,1),2)</f>
        <v>708.95</v>
      </c>
      <c r="K209" s="9">
        <f>ROUND(SUMIFS('Odoo Items'!$G$5:$G$4331,'Odoo Items'!$J$5:$J$4331,A209),2)</f>
        <v>708.95</v>
      </c>
      <c r="L209" s="9">
        <f>ROUND(J209-K209,2)</f>
        <v>0</v>
      </c>
      <c r="M209" s="9">
        <f>ROUND(SUMIFS('Bank Lines'!$E$5:$E$1640,'Bank Lines'!$G$5:$G$1640,A209,'Bank Lines'!$J$5:$J$1640,1,'Bank Lines'!$C$5:$C$1640,"&lt;="&amp;Cover!$C$13),2)</f>
        <v>708.95</v>
      </c>
      <c r="N209" s="9">
        <f>ROUND(SUMIFS('Odoo Items'!$G$5:$G$4331,'Odoo Items'!$J$5:$J$4331,A209,'Odoo Items'!$C$5:$C$4331,"&lt;="&amp;Cover!$C$13),2)</f>
        <v>708.95</v>
      </c>
      <c r="O209">
        <f>COUNTIFS('Bank Lines'!$G$5:$G$1640,A209,'Bank Lines'!$J$5:$J$1640,1,'Bank Lines'!$C$5:$C$1640,"&lt;="&amp;Cover!$C$13)</f>
        <v>1</v>
      </c>
      <c r="P209">
        <f>COUNTIFS('Odoo Items'!$J$5:$J$4331,A209,'Odoo Items'!$C$5:$C$4331,"&lt;="&amp;Cover!$C$13)</f>
        <v>4</v>
      </c>
      <c r="Q209" t="str">
        <f>IF(AND(O209=0,P209=0),"",IF(O209=0,"ODOO-ONLY",IF(P209=0,"BANK-ONLY","BOTH")))</f>
        <v>BOTH</v>
      </c>
      <c r="R209" s="9">
        <f>IF(Q209="BOTH",ROUND(M209-N209,2),0)</f>
        <v>0</v>
      </c>
      <c r="S209" s="9">
        <f>ROUND(SUMIFS('Bank Lines'!$E$5:$E$1640,'Bank Lines'!$G$5:$G$1640,A209,'Bank Lines'!$J$5:$J$1640,1,'Bank Lines'!$C$5:$C$1640,"&lt;="&amp;Cover!$C$14),2)</f>
        <v>708.95</v>
      </c>
      <c r="T209" s="9">
        <f>ROUND(SUMIFS('Odoo Items'!$G$5:$G$4331,'Odoo Items'!$J$5:$J$4331,A209,'Odoo Items'!$C$5:$C$4331,"&lt;="&amp;Cover!$C$14),2)</f>
        <v>708.95</v>
      </c>
      <c r="U209">
        <f>COUNTIFS('Bank Lines'!$G$5:$G$1640,A209,'Bank Lines'!$J$5:$J$1640,1,'Bank Lines'!$C$5:$C$1640,"&lt;="&amp;Cover!$C$14)</f>
        <v>1</v>
      </c>
      <c r="V209">
        <f>COUNTIFS('Odoo Items'!$J$5:$J$4331,A209,'Odoo Items'!$C$5:$C$4331,"&lt;="&amp;Cover!$C$14)</f>
        <v>4</v>
      </c>
      <c r="W209" t="str">
        <f>IF(AND(U209=0,V209=0),"",IF(U209=0,"ODOO-ONLY",IF(V209=0,"BANK-ONLY","BOTH")))</f>
        <v>BOTH</v>
      </c>
      <c r="X209" s="9">
        <f>IF(W209="BOTH",ROUND(S209-T209,2),0)</f>
        <v>0</v>
      </c>
      <c r="Y209" s="9">
        <f>ROUND(SUMIFS('Bank Lines'!$E$5:$E$1640,'Bank Lines'!$G$5:$G$1640,A209,'Bank Lines'!$J$5:$J$1640,1,'Bank Lines'!$C$5:$C$1640,"&lt;="&amp;Cover!$C$15),2)</f>
        <v>708.95</v>
      </c>
      <c r="Z209" s="9">
        <f>ROUND(SUMIFS('Odoo Items'!$G$5:$G$4331,'Odoo Items'!$J$5:$J$4331,A209,'Odoo Items'!$C$5:$C$4331,"&lt;="&amp;Cover!$C$15),2)</f>
        <v>708.95</v>
      </c>
      <c r="AA209">
        <f>COUNTIFS('Bank Lines'!$G$5:$G$1640,A209,'Bank Lines'!$J$5:$J$1640,1,'Bank Lines'!$C$5:$C$1640,"&lt;="&amp;Cover!$C$15)</f>
        <v>1</v>
      </c>
      <c r="AB209">
        <f>COUNTIFS('Odoo Items'!$J$5:$J$4331,A209,'Odoo Items'!$C$5:$C$4331,"&lt;="&amp;Cover!$C$15)</f>
        <v>4</v>
      </c>
      <c r="AC209" t="str">
        <f>IF(AND(AA209=0,AB209=0),"",IF(AA209=0,"ODOO-ONLY",IF(AB209=0,"BANK-ONLY","BOTH")))</f>
        <v>BOTH</v>
      </c>
      <c r="AD209" s="9">
        <f>IF(AC209="BOTH",ROUND(Y209-Z209,2),0)</f>
        <v>0</v>
      </c>
    </row>
    <row r="210">
      <c r="A210" t="inlineStr">
        <is>
          <t>G00206</t>
        </is>
      </c>
      <c r="B210" t="inlineStr">
        <is>
          <t>OPS</t>
        </is>
      </c>
      <c r="C210" t="inlineStr">
        <is>
          <t>R03</t>
        </is>
      </c>
      <c r="D210" t="inlineStr">
        <is>
          <t>MATCH</t>
        </is>
      </c>
      <c r="E210" t="inlineStr">
        <is>
          <t>Ironbark Plan Management</t>
        </is>
      </c>
      <c r="F210" t="n">
        <v>1</v>
      </c>
      <c r="G210" t="inlineStr">
        <is>
          <t>8 invoices</t>
        </is>
      </c>
      <c r="H210">
        <f>COUNTIFS('Bank Lines'!$G$5:$G$1640,A210,'Bank Lines'!$J$5:$J$1640,1)</f>
        <v>1</v>
      </c>
      <c r="I210">
        <f>COUNTIFS('Odoo Items'!$J$5:$J$4331,A210)</f>
        <v>8</v>
      </c>
      <c r="J210" s="9">
        <f>ROUND(SUMIFS('Bank Lines'!$E$5:$E$1640,'Bank Lines'!$G$5:$G$1640,A210,'Bank Lines'!$J$5:$J$1640,1),2)</f>
        <v>1949.59</v>
      </c>
      <c r="K210" s="9">
        <f>ROUND(SUMIFS('Odoo Items'!$G$5:$G$4331,'Odoo Items'!$J$5:$J$4331,A210),2)</f>
        <v>1949.59</v>
      </c>
      <c r="L210" s="9">
        <f>ROUND(J210-K210,2)</f>
        <v>0</v>
      </c>
      <c r="M210" s="9">
        <f>ROUND(SUMIFS('Bank Lines'!$E$5:$E$1640,'Bank Lines'!$G$5:$G$1640,A210,'Bank Lines'!$J$5:$J$1640,1,'Bank Lines'!$C$5:$C$1640,"&lt;="&amp;Cover!$C$13),2)</f>
        <v>1949.59</v>
      </c>
      <c r="N210" s="9">
        <f>ROUND(SUMIFS('Odoo Items'!$G$5:$G$4331,'Odoo Items'!$J$5:$J$4331,A210,'Odoo Items'!$C$5:$C$4331,"&lt;="&amp;Cover!$C$13),2)</f>
        <v>1949.59</v>
      </c>
      <c r="O210">
        <f>COUNTIFS('Bank Lines'!$G$5:$G$1640,A210,'Bank Lines'!$J$5:$J$1640,1,'Bank Lines'!$C$5:$C$1640,"&lt;="&amp;Cover!$C$13)</f>
        <v>1</v>
      </c>
      <c r="P210">
        <f>COUNTIFS('Odoo Items'!$J$5:$J$4331,A210,'Odoo Items'!$C$5:$C$4331,"&lt;="&amp;Cover!$C$13)</f>
        <v>8</v>
      </c>
      <c r="Q210" t="str">
        <f>IF(AND(O210=0,P210=0),"",IF(O210=0,"ODOO-ONLY",IF(P210=0,"BANK-ONLY","BOTH")))</f>
        <v>BOTH</v>
      </c>
      <c r="R210" s="9">
        <f>IF(Q210="BOTH",ROUND(M210-N210,2),0)</f>
        <v>0</v>
      </c>
      <c r="S210" s="9">
        <f>ROUND(SUMIFS('Bank Lines'!$E$5:$E$1640,'Bank Lines'!$G$5:$G$1640,A210,'Bank Lines'!$J$5:$J$1640,1,'Bank Lines'!$C$5:$C$1640,"&lt;="&amp;Cover!$C$14),2)</f>
        <v>1949.59</v>
      </c>
      <c r="T210" s="9">
        <f>ROUND(SUMIFS('Odoo Items'!$G$5:$G$4331,'Odoo Items'!$J$5:$J$4331,A210,'Odoo Items'!$C$5:$C$4331,"&lt;="&amp;Cover!$C$14),2)</f>
        <v>1949.59</v>
      </c>
      <c r="U210">
        <f>COUNTIFS('Bank Lines'!$G$5:$G$1640,A210,'Bank Lines'!$J$5:$J$1640,1,'Bank Lines'!$C$5:$C$1640,"&lt;="&amp;Cover!$C$14)</f>
        <v>1</v>
      </c>
      <c r="V210">
        <f>COUNTIFS('Odoo Items'!$J$5:$J$4331,A210,'Odoo Items'!$C$5:$C$4331,"&lt;="&amp;Cover!$C$14)</f>
        <v>8</v>
      </c>
      <c r="W210" t="str">
        <f>IF(AND(U210=0,V210=0),"",IF(U210=0,"ODOO-ONLY",IF(V210=0,"BANK-ONLY","BOTH")))</f>
        <v>BOTH</v>
      </c>
      <c r="X210" s="9">
        <f>IF(W210="BOTH",ROUND(S210-T210,2),0)</f>
        <v>0</v>
      </c>
      <c r="Y210" s="9">
        <f>ROUND(SUMIFS('Bank Lines'!$E$5:$E$1640,'Bank Lines'!$G$5:$G$1640,A210,'Bank Lines'!$J$5:$J$1640,1,'Bank Lines'!$C$5:$C$1640,"&lt;="&amp;Cover!$C$15),2)</f>
        <v>1949.59</v>
      </c>
      <c r="Z210" s="9">
        <f>ROUND(SUMIFS('Odoo Items'!$G$5:$G$4331,'Odoo Items'!$J$5:$J$4331,A210,'Odoo Items'!$C$5:$C$4331,"&lt;="&amp;Cover!$C$15),2)</f>
        <v>1949.59</v>
      </c>
      <c r="AA210">
        <f>COUNTIFS('Bank Lines'!$G$5:$G$1640,A210,'Bank Lines'!$J$5:$J$1640,1,'Bank Lines'!$C$5:$C$1640,"&lt;="&amp;Cover!$C$15)</f>
        <v>1</v>
      </c>
      <c r="AB210">
        <f>COUNTIFS('Odoo Items'!$J$5:$J$4331,A210,'Odoo Items'!$C$5:$C$4331,"&lt;="&amp;Cover!$C$15)</f>
        <v>8</v>
      </c>
      <c r="AC210" t="str">
        <f>IF(AND(AA210=0,AB210=0),"",IF(AA210=0,"ODOO-ONLY",IF(AB210=0,"BANK-ONLY","BOTH")))</f>
        <v>BOTH</v>
      </c>
      <c r="AD210" s="9">
        <f>IF(AC210="BOTH",ROUND(Y210-Z210,2),0)</f>
        <v>0</v>
      </c>
    </row>
    <row r="211">
      <c r="A211" t="inlineStr">
        <is>
          <t>G00207</t>
        </is>
      </c>
      <c r="B211" t="inlineStr">
        <is>
          <t>OPS</t>
        </is>
      </c>
      <c r="C211" t="inlineStr">
        <is>
          <t>R03</t>
        </is>
      </c>
      <c r="D211" t="inlineStr">
        <is>
          <t>MATCH</t>
        </is>
      </c>
      <c r="E211" t="inlineStr">
        <is>
          <t>Kookaburra Plan Support</t>
        </is>
      </c>
      <c r="F211" t="n">
        <v>1</v>
      </c>
      <c r="G211" t="inlineStr">
        <is>
          <t>3 invoices</t>
        </is>
      </c>
      <c r="H211">
        <f>COUNTIFS('Bank Lines'!$G$5:$G$1640,A211,'Bank Lines'!$J$5:$J$1640,1)</f>
        <v>1</v>
      </c>
      <c r="I211">
        <f>COUNTIFS('Odoo Items'!$J$5:$J$4331,A211)</f>
        <v>3</v>
      </c>
      <c r="J211" s="9">
        <f>ROUND(SUMIFS('Bank Lines'!$E$5:$E$1640,'Bank Lines'!$G$5:$G$1640,A211,'Bank Lines'!$J$5:$J$1640,1),2)</f>
        <v>436.47</v>
      </c>
      <c r="K211" s="9">
        <f>ROUND(SUMIFS('Odoo Items'!$G$5:$G$4331,'Odoo Items'!$J$5:$J$4331,A211),2)</f>
        <v>436.47</v>
      </c>
      <c r="L211" s="9">
        <f>ROUND(J211-K211,2)</f>
        <v>0</v>
      </c>
      <c r="M211" s="9">
        <f>ROUND(SUMIFS('Bank Lines'!$E$5:$E$1640,'Bank Lines'!$G$5:$G$1640,A211,'Bank Lines'!$J$5:$J$1640,1,'Bank Lines'!$C$5:$C$1640,"&lt;="&amp;Cover!$C$13),2)</f>
        <v>436.47</v>
      </c>
      <c r="N211" s="9">
        <f>ROUND(SUMIFS('Odoo Items'!$G$5:$G$4331,'Odoo Items'!$J$5:$J$4331,A211,'Odoo Items'!$C$5:$C$4331,"&lt;="&amp;Cover!$C$13),2)</f>
        <v>436.47</v>
      </c>
      <c r="O211">
        <f>COUNTIFS('Bank Lines'!$G$5:$G$1640,A211,'Bank Lines'!$J$5:$J$1640,1,'Bank Lines'!$C$5:$C$1640,"&lt;="&amp;Cover!$C$13)</f>
        <v>1</v>
      </c>
      <c r="P211">
        <f>COUNTIFS('Odoo Items'!$J$5:$J$4331,A211,'Odoo Items'!$C$5:$C$4331,"&lt;="&amp;Cover!$C$13)</f>
        <v>3</v>
      </c>
      <c r="Q211" t="str">
        <f>IF(AND(O211=0,P211=0),"",IF(O211=0,"ODOO-ONLY",IF(P211=0,"BANK-ONLY","BOTH")))</f>
        <v>BOTH</v>
      </c>
      <c r="R211" s="9">
        <f>IF(Q211="BOTH",ROUND(M211-N211,2),0)</f>
        <v>0</v>
      </c>
      <c r="S211" s="9">
        <f>ROUND(SUMIFS('Bank Lines'!$E$5:$E$1640,'Bank Lines'!$G$5:$G$1640,A211,'Bank Lines'!$J$5:$J$1640,1,'Bank Lines'!$C$5:$C$1640,"&lt;="&amp;Cover!$C$14),2)</f>
        <v>436.47</v>
      </c>
      <c r="T211" s="9">
        <f>ROUND(SUMIFS('Odoo Items'!$G$5:$G$4331,'Odoo Items'!$J$5:$J$4331,A211,'Odoo Items'!$C$5:$C$4331,"&lt;="&amp;Cover!$C$14),2)</f>
        <v>436.47</v>
      </c>
      <c r="U211">
        <f>COUNTIFS('Bank Lines'!$G$5:$G$1640,A211,'Bank Lines'!$J$5:$J$1640,1,'Bank Lines'!$C$5:$C$1640,"&lt;="&amp;Cover!$C$14)</f>
        <v>1</v>
      </c>
      <c r="V211">
        <f>COUNTIFS('Odoo Items'!$J$5:$J$4331,A211,'Odoo Items'!$C$5:$C$4331,"&lt;="&amp;Cover!$C$14)</f>
        <v>3</v>
      </c>
      <c r="W211" t="str">
        <f>IF(AND(U211=0,V211=0),"",IF(U211=0,"ODOO-ONLY",IF(V211=0,"BANK-ONLY","BOTH")))</f>
        <v>BOTH</v>
      </c>
      <c r="X211" s="9">
        <f>IF(W211="BOTH",ROUND(S211-T211,2),0)</f>
        <v>0</v>
      </c>
      <c r="Y211" s="9">
        <f>ROUND(SUMIFS('Bank Lines'!$E$5:$E$1640,'Bank Lines'!$G$5:$G$1640,A211,'Bank Lines'!$J$5:$J$1640,1,'Bank Lines'!$C$5:$C$1640,"&lt;="&amp;Cover!$C$15),2)</f>
        <v>436.47</v>
      </c>
      <c r="Z211" s="9">
        <f>ROUND(SUMIFS('Odoo Items'!$G$5:$G$4331,'Odoo Items'!$J$5:$J$4331,A211,'Odoo Items'!$C$5:$C$4331,"&lt;="&amp;Cover!$C$15),2)</f>
        <v>436.47</v>
      </c>
      <c r="AA211">
        <f>COUNTIFS('Bank Lines'!$G$5:$G$1640,A211,'Bank Lines'!$J$5:$J$1640,1,'Bank Lines'!$C$5:$C$1640,"&lt;="&amp;Cover!$C$15)</f>
        <v>1</v>
      </c>
      <c r="AB211">
        <f>COUNTIFS('Odoo Items'!$J$5:$J$4331,A211,'Odoo Items'!$C$5:$C$4331,"&lt;="&amp;Cover!$C$15)</f>
        <v>3</v>
      </c>
      <c r="AC211" t="str">
        <f>IF(AND(AA211=0,AB211=0),"",IF(AA211=0,"ODOO-ONLY",IF(AB211=0,"BANK-ONLY","BOTH")))</f>
        <v>BOTH</v>
      </c>
      <c r="AD211" s="9">
        <f>IF(AC211="BOTH",ROUND(Y211-Z211,2),0)</f>
        <v>0</v>
      </c>
    </row>
    <row r="212">
      <c r="A212" t="inlineStr">
        <is>
          <t>G00208</t>
        </is>
      </c>
      <c r="B212" t="inlineStr">
        <is>
          <t>OPS</t>
        </is>
      </c>
      <c r="C212" t="inlineStr">
        <is>
          <t>R03</t>
        </is>
      </c>
      <c r="D212" t="inlineStr">
        <is>
          <t>MATCH</t>
        </is>
      </c>
      <c r="E212" t="inlineStr">
        <is>
          <t>Redgum Plan Admin</t>
        </is>
      </c>
      <c r="F212" t="n">
        <v>1</v>
      </c>
      <c r="G212" t="inlineStr">
        <is>
          <t>1 invoices</t>
        </is>
      </c>
      <c r="H212">
        <f>COUNTIFS('Bank Lines'!$G$5:$G$1640,A212,'Bank Lines'!$J$5:$J$1640,1)</f>
        <v>1</v>
      </c>
      <c r="I212">
        <f>COUNTIFS('Odoo Items'!$J$5:$J$4331,A212)</f>
        <v>1</v>
      </c>
      <c r="J212" s="9">
        <f>ROUND(SUMIFS('Bank Lines'!$E$5:$E$1640,'Bank Lines'!$G$5:$G$1640,A212,'Bank Lines'!$J$5:$J$1640,1),2)</f>
        <v>446.18</v>
      </c>
      <c r="K212" s="9">
        <f>ROUND(SUMIFS('Odoo Items'!$G$5:$G$4331,'Odoo Items'!$J$5:$J$4331,A212),2)</f>
        <v>446.18</v>
      </c>
      <c r="L212" s="9">
        <f>ROUND(J212-K212,2)</f>
        <v>0</v>
      </c>
      <c r="M212" s="9">
        <f>ROUND(SUMIFS('Bank Lines'!$E$5:$E$1640,'Bank Lines'!$G$5:$G$1640,A212,'Bank Lines'!$J$5:$J$1640,1,'Bank Lines'!$C$5:$C$1640,"&lt;="&amp;Cover!$C$13),2)</f>
        <v>446.18</v>
      </c>
      <c r="N212" s="9">
        <f>ROUND(SUMIFS('Odoo Items'!$G$5:$G$4331,'Odoo Items'!$J$5:$J$4331,A212,'Odoo Items'!$C$5:$C$4331,"&lt;="&amp;Cover!$C$13),2)</f>
        <v>446.18</v>
      </c>
      <c r="O212">
        <f>COUNTIFS('Bank Lines'!$G$5:$G$1640,A212,'Bank Lines'!$J$5:$J$1640,1,'Bank Lines'!$C$5:$C$1640,"&lt;="&amp;Cover!$C$13)</f>
        <v>1</v>
      </c>
      <c r="P212">
        <f>COUNTIFS('Odoo Items'!$J$5:$J$4331,A212,'Odoo Items'!$C$5:$C$4331,"&lt;="&amp;Cover!$C$13)</f>
        <v>1</v>
      </c>
      <c r="Q212" t="str">
        <f>IF(AND(O212=0,P212=0),"",IF(O212=0,"ODOO-ONLY",IF(P212=0,"BANK-ONLY","BOTH")))</f>
        <v>BOTH</v>
      </c>
      <c r="R212" s="9">
        <f>IF(Q212="BOTH",ROUND(M212-N212,2),0)</f>
        <v>0</v>
      </c>
      <c r="S212" s="9">
        <f>ROUND(SUMIFS('Bank Lines'!$E$5:$E$1640,'Bank Lines'!$G$5:$G$1640,A212,'Bank Lines'!$J$5:$J$1640,1,'Bank Lines'!$C$5:$C$1640,"&lt;="&amp;Cover!$C$14),2)</f>
        <v>446.18</v>
      </c>
      <c r="T212" s="9">
        <f>ROUND(SUMIFS('Odoo Items'!$G$5:$G$4331,'Odoo Items'!$J$5:$J$4331,A212,'Odoo Items'!$C$5:$C$4331,"&lt;="&amp;Cover!$C$14),2)</f>
        <v>446.18</v>
      </c>
      <c r="U212">
        <f>COUNTIFS('Bank Lines'!$G$5:$G$1640,A212,'Bank Lines'!$J$5:$J$1640,1,'Bank Lines'!$C$5:$C$1640,"&lt;="&amp;Cover!$C$14)</f>
        <v>1</v>
      </c>
      <c r="V212">
        <f>COUNTIFS('Odoo Items'!$J$5:$J$4331,A212,'Odoo Items'!$C$5:$C$4331,"&lt;="&amp;Cover!$C$14)</f>
        <v>1</v>
      </c>
      <c r="W212" t="str">
        <f>IF(AND(U212=0,V212=0),"",IF(U212=0,"ODOO-ONLY",IF(V212=0,"BANK-ONLY","BOTH")))</f>
        <v>BOTH</v>
      </c>
      <c r="X212" s="9">
        <f>IF(W212="BOTH",ROUND(S212-T212,2),0)</f>
        <v>0</v>
      </c>
      <c r="Y212" s="9">
        <f>ROUND(SUMIFS('Bank Lines'!$E$5:$E$1640,'Bank Lines'!$G$5:$G$1640,A212,'Bank Lines'!$J$5:$J$1640,1,'Bank Lines'!$C$5:$C$1640,"&lt;="&amp;Cover!$C$15),2)</f>
        <v>446.18</v>
      </c>
      <c r="Z212" s="9">
        <f>ROUND(SUMIFS('Odoo Items'!$G$5:$G$4331,'Odoo Items'!$J$5:$J$4331,A212,'Odoo Items'!$C$5:$C$4331,"&lt;="&amp;Cover!$C$15),2)</f>
        <v>446.18</v>
      </c>
      <c r="AA212">
        <f>COUNTIFS('Bank Lines'!$G$5:$G$1640,A212,'Bank Lines'!$J$5:$J$1640,1,'Bank Lines'!$C$5:$C$1640,"&lt;="&amp;Cover!$C$15)</f>
        <v>1</v>
      </c>
      <c r="AB212">
        <f>COUNTIFS('Odoo Items'!$J$5:$J$4331,A212,'Odoo Items'!$C$5:$C$4331,"&lt;="&amp;Cover!$C$15)</f>
        <v>1</v>
      </c>
      <c r="AC212" t="str">
        <f>IF(AND(AA212=0,AB212=0),"",IF(AA212=0,"ODOO-ONLY",IF(AB212=0,"BANK-ONLY","BOTH")))</f>
        <v>BOTH</v>
      </c>
      <c r="AD212" s="9">
        <f>IF(AC212="BOTH",ROUND(Y212-Z212,2),0)</f>
        <v>0</v>
      </c>
    </row>
    <row r="213">
      <c r="A213" t="inlineStr">
        <is>
          <t>G00209</t>
        </is>
      </c>
      <c r="B213" t="inlineStr">
        <is>
          <t>OPS</t>
        </is>
      </c>
      <c r="C213" t="inlineStr">
        <is>
          <t>R03</t>
        </is>
      </c>
      <c r="D213" t="inlineStr">
        <is>
          <t>MATCH</t>
        </is>
      </c>
      <c r="E213" t="inlineStr">
        <is>
          <t>Lyrebird Plan Management</t>
        </is>
      </c>
      <c r="F213" t="n">
        <v>1</v>
      </c>
      <c r="G213" t="inlineStr">
        <is>
          <t>3 invoices</t>
        </is>
      </c>
      <c r="H213">
        <f>COUNTIFS('Bank Lines'!$G$5:$G$1640,A213,'Bank Lines'!$J$5:$J$1640,1)</f>
        <v>1</v>
      </c>
      <c r="I213">
        <f>COUNTIFS('Odoo Items'!$J$5:$J$4331,A213)</f>
        <v>3</v>
      </c>
      <c r="J213" s="9">
        <f>ROUND(SUMIFS('Bank Lines'!$E$5:$E$1640,'Bank Lines'!$G$5:$G$1640,A213,'Bank Lines'!$J$5:$J$1640,1),2)</f>
        <v>834.15</v>
      </c>
      <c r="K213" s="9">
        <f>ROUND(SUMIFS('Odoo Items'!$G$5:$G$4331,'Odoo Items'!$J$5:$J$4331,A213),2)</f>
        <v>834.15</v>
      </c>
      <c r="L213" s="9">
        <f>ROUND(J213-K213,2)</f>
        <v>0</v>
      </c>
      <c r="M213" s="9">
        <f>ROUND(SUMIFS('Bank Lines'!$E$5:$E$1640,'Bank Lines'!$G$5:$G$1640,A213,'Bank Lines'!$J$5:$J$1640,1,'Bank Lines'!$C$5:$C$1640,"&lt;="&amp;Cover!$C$13),2)</f>
        <v>834.15</v>
      </c>
      <c r="N213" s="9">
        <f>ROUND(SUMIFS('Odoo Items'!$G$5:$G$4331,'Odoo Items'!$J$5:$J$4331,A213,'Odoo Items'!$C$5:$C$4331,"&lt;="&amp;Cover!$C$13),2)</f>
        <v>834.15</v>
      </c>
      <c r="O213">
        <f>COUNTIFS('Bank Lines'!$G$5:$G$1640,A213,'Bank Lines'!$J$5:$J$1640,1,'Bank Lines'!$C$5:$C$1640,"&lt;="&amp;Cover!$C$13)</f>
        <v>1</v>
      </c>
      <c r="P213">
        <f>COUNTIFS('Odoo Items'!$J$5:$J$4331,A213,'Odoo Items'!$C$5:$C$4331,"&lt;="&amp;Cover!$C$13)</f>
        <v>3</v>
      </c>
      <c r="Q213" t="str">
        <f>IF(AND(O213=0,P213=0),"",IF(O213=0,"ODOO-ONLY",IF(P213=0,"BANK-ONLY","BOTH")))</f>
        <v>BOTH</v>
      </c>
      <c r="R213" s="9">
        <f>IF(Q213="BOTH",ROUND(M213-N213,2),0)</f>
        <v>0</v>
      </c>
      <c r="S213" s="9">
        <f>ROUND(SUMIFS('Bank Lines'!$E$5:$E$1640,'Bank Lines'!$G$5:$G$1640,A213,'Bank Lines'!$J$5:$J$1640,1,'Bank Lines'!$C$5:$C$1640,"&lt;="&amp;Cover!$C$14),2)</f>
        <v>834.15</v>
      </c>
      <c r="T213" s="9">
        <f>ROUND(SUMIFS('Odoo Items'!$G$5:$G$4331,'Odoo Items'!$J$5:$J$4331,A213,'Odoo Items'!$C$5:$C$4331,"&lt;="&amp;Cover!$C$14),2)</f>
        <v>834.15</v>
      </c>
      <c r="U213">
        <f>COUNTIFS('Bank Lines'!$G$5:$G$1640,A213,'Bank Lines'!$J$5:$J$1640,1,'Bank Lines'!$C$5:$C$1640,"&lt;="&amp;Cover!$C$14)</f>
        <v>1</v>
      </c>
      <c r="V213">
        <f>COUNTIFS('Odoo Items'!$J$5:$J$4331,A213,'Odoo Items'!$C$5:$C$4331,"&lt;="&amp;Cover!$C$14)</f>
        <v>3</v>
      </c>
      <c r="W213" t="str">
        <f>IF(AND(U213=0,V213=0),"",IF(U213=0,"ODOO-ONLY",IF(V213=0,"BANK-ONLY","BOTH")))</f>
        <v>BOTH</v>
      </c>
      <c r="X213" s="9">
        <f>IF(W213="BOTH",ROUND(S213-T213,2),0)</f>
        <v>0</v>
      </c>
      <c r="Y213" s="9">
        <f>ROUND(SUMIFS('Bank Lines'!$E$5:$E$1640,'Bank Lines'!$G$5:$G$1640,A213,'Bank Lines'!$J$5:$J$1640,1,'Bank Lines'!$C$5:$C$1640,"&lt;="&amp;Cover!$C$15),2)</f>
        <v>834.15</v>
      </c>
      <c r="Z213" s="9">
        <f>ROUND(SUMIFS('Odoo Items'!$G$5:$G$4331,'Odoo Items'!$J$5:$J$4331,A213,'Odoo Items'!$C$5:$C$4331,"&lt;="&amp;Cover!$C$15),2)</f>
        <v>834.15</v>
      </c>
      <c r="AA213">
        <f>COUNTIFS('Bank Lines'!$G$5:$G$1640,A213,'Bank Lines'!$J$5:$J$1640,1,'Bank Lines'!$C$5:$C$1640,"&lt;="&amp;Cover!$C$15)</f>
        <v>1</v>
      </c>
      <c r="AB213">
        <f>COUNTIFS('Odoo Items'!$J$5:$J$4331,A213,'Odoo Items'!$C$5:$C$4331,"&lt;="&amp;Cover!$C$15)</f>
        <v>3</v>
      </c>
      <c r="AC213" t="str">
        <f>IF(AND(AA213=0,AB213=0),"",IF(AA213=0,"ODOO-ONLY",IF(AB213=0,"BANK-ONLY","BOTH")))</f>
        <v>BOTH</v>
      </c>
      <c r="AD213" s="9">
        <f>IF(AC213="BOTH",ROUND(Y213-Z213,2),0)</f>
        <v>0</v>
      </c>
    </row>
    <row r="214">
      <c r="A214" t="inlineStr">
        <is>
          <t>G00210</t>
        </is>
      </c>
      <c r="B214" t="inlineStr">
        <is>
          <t>OPS</t>
        </is>
      </c>
      <c r="C214" t="inlineStr">
        <is>
          <t>R03</t>
        </is>
      </c>
      <c r="D214" t="inlineStr">
        <is>
          <t>MATCH</t>
        </is>
      </c>
      <c r="E214" t="inlineStr">
        <is>
          <t>Acacia Plan Partners</t>
        </is>
      </c>
      <c r="F214" t="n">
        <v>0.973</v>
      </c>
      <c r="G214" t="inlineStr">
        <is>
          <t>6 invoices</t>
        </is>
      </c>
      <c r="H214">
        <f>COUNTIFS('Bank Lines'!$G$5:$G$1640,A214,'Bank Lines'!$J$5:$J$1640,1)</f>
        <v>1</v>
      </c>
      <c r="I214">
        <f>COUNTIFS('Odoo Items'!$J$5:$J$4331,A214)</f>
        <v>6</v>
      </c>
      <c r="J214" s="9">
        <f>ROUND(SUMIFS('Bank Lines'!$E$5:$E$1640,'Bank Lines'!$G$5:$G$1640,A214,'Bank Lines'!$J$5:$J$1640,1),2)</f>
        <v>1397.64</v>
      </c>
      <c r="K214" s="9">
        <f>ROUND(SUMIFS('Odoo Items'!$G$5:$G$4331,'Odoo Items'!$J$5:$J$4331,A214),2)</f>
        <v>1397.64</v>
      </c>
      <c r="L214" s="9">
        <f>ROUND(J214-K214,2)</f>
        <v>0</v>
      </c>
      <c r="M214" s="9">
        <f>ROUND(SUMIFS('Bank Lines'!$E$5:$E$1640,'Bank Lines'!$G$5:$G$1640,A214,'Bank Lines'!$J$5:$J$1640,1,'Bank Lines'!$C$5:$C$1640,"&lt;="&amp;Cover!$C$13),2)</f>
        <v>1397.64</v>
      </c>
      <c r="N214" s="9">
        <f>ROUND(SUMIFS('Odoo Items'!$G$5:$G$4331,'Odoo Items'!$J$5:$J$4331,A214,'Odoo Items'!$C$5:$C$4331,"&lt;="&amp;Cover!$C$13),2)</f>
        <v>1397.64</v>
      </c>
      <c r="O214">
        <f>COUNTIFS('Bank Lines'!$G$5:$G$1640,A214,'Bank Lines'!$J$5:$J$1640,1,'Bank Lines'!$C$5:$C$1640,"&lt;="&amp;Cover!$C$13)</f>
        <v>1</v>
      </c>
      <c r="P214">
        <f>COUNTIFS('Odoo Items'!$J$5:$J$4331,A214,'Odoo Items'!$C$5:$C$4331,"&lt;="&amp;Cover!$C$13)</f>
        <v>6</v>
      </c>
      <c r="Q214" t="str">
        <f>IF(AND(O214=0,P214=0),"",IF(O214=0,"ODOO-ONLY",IF(P214=0,"BANK-ONLY","BOTH")))</f>
        <v>BOTH</v>
      </c>
      <c r="R214" s="9">
        <f>IF(Q214="BOTH",ROUND(M214-N214,2),0)</f>
        <v>0</v>
      </c>
      <c r="S214" s="9">
        <f>ROUND(SUMIFS('Bank Lines'!$E$5:$E$1640,'Bank Lines'!$G$5:$G$1640,A214,'Bank Lines'!$J$5:$J$1640,1,'Bank Lines'!$C$5:$C$1640,"&lt;="&amp;Cover!$C$14),2)</f>
        <v>1397.64</v>
      </c>
      <c r="T214" s="9">
        <f>ROUND(SUMIFS('Odoo Items'!$G$5:$G$4331,'Odoo Items'!$J$5:$J$4331,A214,'Odoo Items'!$C$5:$C$4331,"&lt;="&amp;Cover!$C$14),2)</f>
        <v>1397.64</v>
      </c>
      <c r="U214">
        <f>COUNTIFS('Bank Lines'!$G$5:$G$1640,A214,'Bank Lines'!$J$5:$J$1640,1,'Bank Lines'!$C$5:$C$1640,"&lt;="&amp;Cover!$C$14)</f>
        <v>1</v>
      </c>
      <c r="V214">
        <f>COUNTIFS('Odoo Items'!$J$5:$J$4331,A214,'Odoo Items'!$C$5:$C$4331,"&lt;="&amp;Cover!$C$14)</f>
        <v>6</v>
      </c>
      <c r="W214" t="str">
        <f>IF(AND(U214=0,V214=0),"",IF(U214=0,"ODOO-ONLY",IF(V214=0,"BANK-ONLY","BOTH")))</f>
        <v>BOTH</v>
      </c>
      <c r="X214" s="9">
        <f>IF(W214="BOTH",ROUND(S214-T214,2),0)</f>
        <v>0</v>
      </c>
      <c r="Y214" s="9">
        <f>ROUND(SUMIFS('Bank Lines'!$E$5:$E$1640,'Bank Lines'!$G$5:$G$1640,A214,'Bank Lines'!$J$5:$J$1640,1,'Bank Lines'!$C$5:$C$1640,"&lt;="&amp;Cover!$C$15),2)</f>
        <v>1397.64</v>
      </c>
      <c r="Z214" s="9">
        <f>ROUND(SUMIFS('Odoo Items'!$G$5:$G$4331,'Odoo Items'!$J$5:$J$4331,A214,'Odoo Items'!$C$5:$C$4331,"&lt;="&amp;Cover!$C$15),2)</f>
        <v>1397.64</v>
      </c>
      <c r="AA214">
        <f>COUNTIFS('Bank Lines'!$G$5:$G$1640,A214,'Bank Lines'!$J$5:$J$1640,1,'Bank Lines'!$C$5:$C$1640,"&lt;="&amp;Cover!$C$15)</f>
        <v>1</v>
      </c>
      <c r="AB214">
        <f>COUNTIFS('Odoo Items'!$J$5:$J$4331,A214,'Odoo Items'!$C$5:$C$4331,"&lt;="&amp;Cover!$C$15)</f>
        <v>6</v>
      </c>
      <c r="AC214" t="str">
        <f>IF(AND(AA214=0,AB214=0),"",IF(AA214=0,"ODOO-ONLY",IF(AB214=0,"BANK-ONLY","BOTH")))</f>
        <v>BOTH</v>
      </c>
      <c r="AD214" s="9">
        <f>IF(AC214="BOTH",ROUND(Y214-Z214,2),0)</f>
        <v>0</v>
      </c>
    </row>
    <row r="215">
      <c r="A215" t="inlineStr">
        <is>
          <t>G00211</t>
        </is>
      </c>
      <c r="B215" t="inlineStr">
        <is>
          <t>OPS</t>
        </is>
      </c>
      <c r="C215" t="inlineStr">
        <is>
          <t>R03</t>
        </is>
      </c>
      <c r="D215" t="inlineStr">
        <is>
          <t>MATCH</t>
        </is>
      </c>
      <c r="E215" t="inlineStr">
        <is>
          <t>Mallee Plan Services</t>
        </is>
      </c>
      <c r="F215" t="n">
        <v>1</v>
      </c>
      <c r="G215" t="inlineStr">
        <is>
          <t>3 invoices</t>
        </is>
      </c>
      <c r="H215">
        <f>COUNTIFS('Bank Lines'!$G$5:$G$1640,A215,'Bank Lines'!$J$5:$J$1640,1)</f>
        <v>1</v>
      </c>
      <c r="I215">
        <f>COUNTIFS('Odoo Items'!$J$5:$J$4331,A215)</f>
        <v>3</v>
      </c>
      <c r="J215" s="9">
        <f>ROUND(SUMIFS('Bank Lines'!$E$5:$E$1640,'Bank Lines'!$G$5:$G$1640,A215,'Bank Lines'!$J$5:$J$1640,1),2)</f>
        <v>738.96</v>
      </c>
      <c r="K215" s="9">
        <f>ROUND(SUMIFS('Odoo Items'!$G$5:$G$4331,'Odoo Items'!$J$5:$J$4331,A215),2)</f>
        <v>738.96</v>
      </c>
      <c r="L215" s="9">
        <f>ROUND(J215-K215,2)</f>
        <v>0</v>
      </c>
      <c r="M215" s="9">
        <f>ROUND(SUMIFS('Bank Lines'!$E$5:$E$1640,'Bank Lines'!$G$5:$G$1640,A215,'Bank Lines'!$J$5:$J$1640,1,'Bank Lines'!$C$5:$C$1640,"&lt;="&amp;Cover!$C$13),2)</f>
        <v>738.96</v>
      </c>
      <c r="N215" s="9">
        <f>ROUND(SUMIFS('Odoo Items'!$G$5:$G$4331,'Odoo Items'!$J$5:$J$4331,A215,'Odoo Items'!$C$5:$C$4331,"&lt;="&amp;Cover!$C$13),2)</f>
        <v>738.96</v>
      </c>
      <c r="O215">
        <f>COUNTIFS('Bank Lines'!$G$5:$G$1640,A215,'Bank Lines'!$J$5:$J$1640,1,'Bank Lines'!$C$5:$C$1640,"&lt;="&amp;Cover!$C$13)</f>
        <v>1</v>
      </c>
      <c r="P215">
        <f>COUNTIFS('Odoo Items'!$J$5:$J$4331,A215,'Odoo Items'!$C$5:$C$4331,"&lt;="&amp;Cover!$C$13)</f>
        <v>3</v>
      </c>
      <c r="Q215" t="str">
        <f>IF(AND(O215=0,P215=0),"",IF(O215=0,"ODOO-ONLY",IF(P215=0,"BANK-ONLY","BOTH")))</f>
        <v>BOTH</v>
      </c>
      <c r="R215" s="9">
        <f>IF(Q215="BOTH",ROUND(M215-N215,2),0)</f>
        <v>0</v>
      </c>
      <c r="S215" s="9">
        <f>ROUND(SUMIFS('Bank Lines'!$E$5:$E$1640,'Bank Lines'!$G$5:$G$1640,A215,'Bank Lines'!$J$5:$J$1640,1,'Bank Lines'!$C$5:$C$1640,"&lt;="&amp;Cover!$C$14),2)</f>
        <v>738.96</v>
      </c>
      <c r="T215" s="9">
        <f>ROUND(SUMIFS('Odoo Items'!$G$5:$G$4331,'Odoo Items'!$J$5:$J$4331,A215,'Odoo Items'!$C$5:$C$4331,"&lt;="&amp;Cover!$C$14),2)</f>
        <v>738.96</v>
      </c>
      <c r="U215">
        <f>COUNTIFS('Bank Lines'!$G$5:$G$1640,A215,'Bank Lines'!$J$5:$J$1640,1,'Bank Lines'!$C$5:$C$1640,"&lt;="&amp;Cover!$C$14)</f>
        <v>1</v>
      </c>
      <c r="V215">
        <f>COUNTIFS('Odoo Items'!$J$5:$J$4331,A215,'Odoo Items'!$C$5:$C$4331,"&lt;="&amp;Cover!$C$14)</f>
        <v>3</v>
      </c>
      <c r="W215" t="str">
        <f>IF(AND(U215=0,V215=0),"",IF(U215=0,"ODOO-ONLY",IF(V215=0,"BANK-ONLY","BOTH")))</f>
        <v>BOTH</v>
      </c>
      <c r="X215" s="9">
        <f>IF(W215="BOTH",ROUND(S215-T215,2),0)</f>
        <v>0</v>
      </c>
      <c r="Y215" s="9">
        <f>ROUND(SUMIFS('Bank Lines'!$E$5:$E$1640,'Bank Lines'!$G$5:$G$1640,A215,'Bank Lines'!$J$5:$J$1640,1,'Bank Lines'!$C$5:$C$1640,"&lt;="&amp;Cover!$C$15),2)</f>
        <v>738.96</v>
      </c>
      <c r="Z215" s="9">
        <f>ROUND(SUMIFS('Odoo Items'!$G$5:$G$4331,'Odoo Items'!$J$5:$J$4331,A215,'Odoo Items'!$C$5:$C$4331,"&lt;="&amp;Cover!$C$15),2)</f>
        <v>738.96</v>
      </c>
      <c r="AA215">
        <f>COUNTIFS('Bank Lines'!$G$5:$G$1640,A215,'Bank Lines'!$J$5:$J$1640,1,'Bank Lines'!$C$5:$C$1640,"&lt;="&amp;Cover!$C$15)</f>
        <v>1</v>
      </c>
      <c r="AB215">
        <f>COUNTIFS('Odoo Items'!$J$5:$J$4331,A215,'Odoo Items'!$C$5:$C$4331,"&lt;="&amp;Cover!$C$15)</f>
        <v>3</v>
      </c>
      <c r="AC215" t="str">
        <f>IF(AND(AA215=0,AB215=0),"",IF(AA215=0,"ODOO-ONLY",IF(AB215=0,"BANK-ONLY","BOTH")))</f>
        <v>BOTH</v>
      </c>
      <c r="AD215" s="9">
        <f>IF(AC215="BOTH",ROUND(Y215-Z215,2),0)</f>
        <v>0</v>
      </c>
    </row>
    <row r="216">
      <c r="A216" t="inlineStr">
        <is>
          <t>G00212</t>
        </is>
      </c>
      <c r="B216" t="inlineStr">
        <is>
          <t>OPS</t>
        </is>
      </c>
      <c r="C216" t="inlineStr">
        <is>
          <t>R03</t>
        </is>
      </c>
      <c r="D216" t="inlineStr">
        <is>
          <t>MATCH</t>
        </is>
      </c>
      <c r="E216" t="inlineStr">
        <is>
          <t>Bluegum Plan Management</t>
        </is>
      </c>
      <c r="F216" t="n">
        <v>0.9</v>
      </c>
      <c r="G216" t="inlineStr">
        <is>
          <t>6 invoices</t>
        </is>
      </c>
      <c r="H216">
        <f>COUNTIFS('Bank Lines'!$G$5:$G$1640,A216,'Bank Lines'!$J$5:$J$1640,1)</f>
        <v>1</v>
      </c>
      <c r="I216">
        <f>COUNTIFS('Odoo Items'!$J$5:$J$4331,A216)</f>
        <v>6</v>
      </c>
      <c r="J216" s="9">
        <f>ROUND(SUMIFS('Bank Lines'!$E$5:$E$1640,'Bank Lines'!$G$5:$G$1640,A216,'Bank Lines'!$J$5:$J$1640,1),2)</f>
        <v>1619.81</v>
      </c>
      <c r="K216" s="9">
        <f>ROUND(SUMIFS('Odoo Items'!$G$5:$G$4331,'Odoo Items'!$J$5:$J$4331,A216),2)</f>
        <v>1619.81</v>
      </c>
      <c r="L216" s="9">
        <f>ROUND(J216-K216,2)</f>
        <v>0</v>
      </c>
      <c r="M216" s="9">
        <f>ROUND(SUMIFS('Bank Lines'!$E$5:$E$1640,'Bank Lines'!$G$5:$G$1640,A216,'Bank Lines'!$J$5:$J$1640,1,'Bank Lines'!$C$5:$C$1640,"&lt;="&amp;Cover!$C$13),2)</f>
        <v>1619.81</v>
      </c>
      <c r="N216" s="9">
        <f>ROUND(SUMIFS('Odoo Items'!$G$5:$G$4331,'Odoo Items'!$J$5:$J$4331,A216,'Odoo Items'!$C$5:$C$4331,"&lt;="&amp;Cover!$C$13),2)</f>
        <v>1619.81</v>
      </c>
      <c r="O216">
        <f>COUNTIFS('Bank Lines'!$G$5:$G$1640,A216,'Bank Lines'!$J$5:$J$1640,1,'Bank Lines'!$C$5:$C$1640,"&lt;="&amp;Cover!$C$13)</f>
        <v>1</v>
      </c>
      <c r="P216">
        <f>COUNTIFS('Odoo Items'!$J$5:$J$4331,A216,'Odoo Items'!$C$5:$C$4331,"&lt;="&amp;Cover!$C$13)</f>
        <v>6</v>
      </c>
      <c r="Q216" t="str">
        <f>IF(AND(O216=0,P216=0),"",IF(O216=0,"ODOO-ONLY",IF(P216=0,"BANK-ONLY","BOTH")))</f>
        <v>BOTH</v>
      </c>
      <c r="R216" s="9">
        <f>IF(Q216="BOTH",ROUND(M216-N216,2),0)</f>
        <v>0</v>
      </c>
      <c r="S216" s="9">
        <f>ROUND(SUMIFS('Bank Lines'!$E$5:$E$1640,'Bank Lines'!$G$5:$G$1640,A216,'Bank Lines'!$J$5:$J$1640,1,'Bank Lines'!$C$5:$C$1640,"&lt;="&amp;Cover!$C$14),2)</f>
        <v>1619.81</v>
      </c>
      <c r="T216" s="9">
        <f>ROUND(SUMIFS('Odoo Items'!$G$5:$G$4331,'Odoo Items'!$J$5:$J$4331,A216,'Odoo Items'!$C$5:$C$4331,"&lt;="&amp;Cover!$C$14),2)</f>
        <v>1619.81</v>
      </c>
      <c r="U216">
        <f>COUNTIFS('Bank Lines'!$G$5:$G$1640,A216,'Bank Lines'!$J$5:$J$1640,1,'Bank Lines'!$C$5:$C$1640,"&lt;="&amp;Cover!$C$14)</f>
        <v>1</v>
      </c>
      <c r="V216">
        <f>COUNTIFS('Odoo Items'!$J$5:$J$4331,A216,'Odoo Items'!$C$5:$C$4331,"&lt;="&amp;Cover!$C$14)</f>
        <v>6</v>
      </c>
      <c r="W216" t="str">
        <f>IF(AND(U216=0,V216=0),"",IF(U216=0,"ODOO-ONLY",IF(V216=0,"BANK-ONLY","BOTH")))</f>
        <v>BOTH</v>
      </c>
      <c r="X216" s="9">
        <f>IF(W216="BOTH",ROUND(S216-T216,2),0)</f>
        <v>0</v>
      </c>
      <c r="Y216" s="9">
        <f>ROUND(SUMIFS('Bank Lines'!$E$5:$E$1640,'Bank Lines'!$G$5:$G$1640,A216,'Bank Lines'!$J$5:$J$1640,1,'Bank Lines'!$C$5:$C$1640,"&lt;="&amp;Cover!$C$15),2)</f>
        <v>1619.81</v>
      </c>
      <c r="Z216" s="9">
        <f>ROUND(SUMIFS('Odoo Items'!$G$5:$G$4331,'Odoo Items'!$J$5:$J$4331,A216,'Odoo Items'!$C$5:$C$4331,"&lt;="&amp;Cover!$C$15),2)</f>
        <v>1619.81</v>
      </c>
      <c r="AA216">
        <f>COUNTIFS('Bank Lines'!$G$5:$G$1640,A216,'Bank Lines'!$J$5:$J$1640,1,'Bank Lines'!$C$5:$C$1640,"&lt;="&amp;Cover!$C$15)</f>
        <v>1</v>
      </c>
      <c r="AB216">
        <f>COUNTIFS('Odoo Items'!$J$5:$J$4331,A216,'Odoo Items'!$C$5:$C$4331,"&lt;="&amp;Cover!$C$15)</f>
        <v>6</v>
      </c>
      <c r="AC216" t="str">
        <f>IF(AND(AA216=0,AB216=0),"",IF(AA216=0,"ODOO-ONLY",IF(AB216=0,"BANK-ONLY","BOTH")))</f>
        <v>BOTH</v>
      </c>
      <c r="AD216" s="9">
        <f>IF(AC216="BOTH",ROUND(Y216-Z216,2),0)</f>
        <v>0</v>
      </c>
    </row>
    <row r="217">
      <c r="A217" t="inlineStr">
        <is>
          <t>G00213</t>
        </is>
      </c>
      <c r="B217" t="inlineStr">
        <is>
          <t>OPS</t>
        </is>
      </c>
      <c r="C217" t="inlineStr">
        <is>
          <t>R03</t>
        </is>
      </c>
      <c r="D217" t="inlineStr">
        <is>
          <t>MATCH</t>
        </is>
      </c>
      <c r="E217" t="inlineStr">
        <is>
          <t>Riverbend Plan Partners</t>
        </is>
      </c>
      <c r="F217" t="n">
        <v>1</v>
      </c>
      <c r="G217" t="inlineStr">
        <is>
          <t>3 invoices</t>
        </is>
      </c>
      <c r="H217">
        <f>COUNTIFS('Bank Lines'!$G$5:$G$1640,A217,'Bank Lines'!$J$5:$J$1640,1)</f>
        <v>1</v>
      </c>
      <c r="I217">
        <f>COUNTIFS('Odoo Items'!$J$5:$J$4331,A217)</f>
        <v>3</v>
      </c>
      <c r="J217" s="9">
        <f>ROUND(SUMIFS('Bank Lines'!$E$5:$E$1640,'Bank Lines'!$G$5:$G$1640,A217,'Bank Lines'!$J$5:$J$1640,1),2)</f>
        <v>768.96</v>
      </c>
      <c r="K217" s="9">
        <f>ROUND(SUMIFS('Odoo Items'!$G$5:$G$4331,'Odoo Items'!$J$5:$J$4331,A217),2)</f>
        <v>768.96</v>
      </c>
      <c r="L217" s="9">
        <f>ROUND(J217-K217,2)</f>
        <v>0</v>
      </c>
      <c r="M217" s="9">
        <f>ROUND(SUMIFS('Bank Lines'!$E$5:$E$1640,'Bank Lines'!$G$5:$G$1640,A217,'Bank Lines'!$J$5:$J$1640,1,'Bank Lines'!$C$5:$C$1640,"&lt;="&amp;Cover!$C$13),2)</f>
        <v>768.96</v>
      </c>
      <c r="N217" s="9">
        <f>ROUND(SUMIFS('Odoo Items'!$G$5:$G$4331,'Odoo Items'!$J$5:$J$4331,A217,'Odoo Items'!$C$5:$C$4331,"&lt;="&amp;Cover!$C$13),2)</f>
        <v>768.96</v>
      </c>
      <c r="O217">
        <f>COUNTIFS('Bank Lines'!$G$5:$G$1640,A217,'Bank Lines'!$J$5:$J$1640,1,'Bank Lines'!$C$5:$C$1640,"&lt;="&amp;Cover!$C$13)</f>
        <v>1</v>
      </c>
      <c r="P217">
        <f>COUNTIFS('Odoo Items'!$J$5:$J$4331,A217,'Odoo Items'!$C$5:$C$4331,"&lt;="&amp;Cover!$C$13)</f>
        <v>3</v>
      </c>
      <c r="Q217" t="str">
        <f>IF(AND(O217=0,P217=0),"",IF(O217=0,"ODOO-ONLY",IF(P217=0,"BANK-ONLY","BOTH")))</f>
        <v>BOTH</v>
      </c>
      <c r="R217" s="9">
        <f>IF(Q217="BOTH",ROUND(M217-N217,2),0)</f>
        <v>0</v>
      </c>
      <c r="S217" s="9">
        <f>ROUND(SUMIFS('Bank Lines'!$E$5:$E$1640,'Bank Lines'!$G$5:$G$1640,A217,'Bank Lines'!$J$5:$J$1640,1,'Bank Lines'!$C$5:$C$1640,"&lt;="&amp;Cover!$C$14),2)</f>
        <v>768.96</v>
      </c>
      <c r="T217" s="9">
        <f>ROUND(SUMIFS('Odoo Items'!$G$5:$G$4331,'Odoo Items'!$J$5:$J$4331,A217,'Odoo Items'!$C$5:$C$4331,"&lt;="&amp;Cover!$C$14),2)</f>
        <v>768.96</v>
      </c>
      <c r="U217">
        <f>COUNTIFS('Bank Lines'!$G$5:$G$1640,A217,'Bank Lines'!$J$5:$J$1640,1,'Bank Lines'!$C$5:$C$1640,"&lt;="&amp;Cover!$C$14)</f>
        <v>1</v>
      </c>
      <c r="V217">
        <f>COUNTIFS('Odoo Items'!$J$5:$J$4331,A217,'Odoo Items'!$C$5:$C$4331,"&lt;="&amp;Cover!$C$14)</f>
        <v>3</v>
      </c>
      <c r="W217" t="str">
        <f>IF(AND(U217=0,V217=0),"",IF(U217=0,"ODOO-ONLY",IF(V217=0,"BANK-ONLY","BOTH")))</f>
        <v>BOTH</v>
      </c>
      <c r="X217" s="9">
        <f>IF(W217="BOTH",ROUND(S217-T217,2),0)</f>
        <v>0</v>
      </c>
      <c r="Y217" s="9">
        <f>ROUND(SUMIFS('Bank Lines'!$E$5:$E$1640,'Bank Lines'!$G$5:$G$1640,A217,'Bank Lines'!$J$5:$J$1640,1,'Bank Lines'!$C$5:$C$1640,"&lt;="&amp;Cover!$C$15),2)</f>
        <v>768.96</v>
      </c>
      <c r="Z217" s="9">
        <f>ROUND(SUMIFS('Odoo Items'!$G$5:$G$4331,'Odoo Items'!$J$5:$J$4331,A217,'Odoo Items'!$C$5:$C$4331,"&lt;="&amp;Cover!$C$15),2)</f>
        <v>768.96</v>
      </c>
      <c r="AA217">
        <f>COUNTIFS('Bank Lines'!$G$5:$G$1640,A217,'Bank Lines'!$J$5:$J$1640,1,'Bank Lines'!$C$5:$C$1640,"&lt;="&amp;Cover!$C$15)</f>
        <v>1</v>
      </c>
      <c r="AB217">
        <f>COUNTIFS('Odoo Items'!$J$5:$J$4331,A217,'Odoo Items'!$C$5:$C$4331,"&lt;="&amp;Cover!$C$15)</f>
        <v>3</v>
      </c>
      <c r="AC217" t="str">
        <f>IF(AND(AA217=0,AB217=0),"",IF(AA217=0,"ODOO-ONLY",IF(AB217=0,"BANK-ONLY","BOTH")))</f>
        <v>BOTH</v>
      </c>
      <c r="AD217" s="9">
        <f>IF(AC217="BOTH",ROUND(Y217-Z217,2),0)</f>
        <v>0</v>
      </c>
    </row>
    <row r="218">
      <c r="A218" t="inlineStr">
        <is>
          <t>G00214</t>
        </is>
      </c>
      <c r="B218" t="inlineStr">
        <is>
          <t>OPS</t>
        </is>
      </c>
      <c r="C218" t="inlineStr">
        <is>
          <t>R03</t>
        </is>
      </c>
      <c r="D218" t="inlineStr">
        <is>
          <t>MATCH</t>
        </is>
      </c>
      <c r="E218" t="inlineStr">
        <is>
          <t>Clearpath NDIS Plans</t>
        </is>
      </c>
      <c r="F218" t="n">
        <v>1</v>
      </c>
      <c r="G218" t="inlineStr">
        <is>
          <t>2 invoices</t>
        </is>
      </c>
      <c r="H218">
        <f>COUNTIFS('Bank Lines'!$G$5:$G$1640,A218,'Bank Lines'!$J$5:$J$1640,1)</f>
        <v>1</v>
      </c>
      <c r="I218">
        <f>COUNTIFS('Odoo Items'!$J$5:$J$4331,A218)</f>
        <v>2</v>
      </c>
      <c r="J218" s="9">
        <f>ROUND(SUMIFS('Bank Lines'!$E$5:$E$1640,'Bank Lines'!$G$5:$G$1640,A218,'Bank Lines'!$J$5:$J$1640,1),2)</f>
        <v>369.48</v>
      </c>
      <c r="K218" s="9">
        <f>ROUND(SUMIFS('Odoo Items'!$G$5:$G$4331,'Odoo Items'!$J$5:$J$4331,A218),2)</f>
        <v>369.48</v>
      </c>
      <c r="L218" s="9">
        <f>ROUND(J218-K218,2)</f>
        <v>0</v>
      </c>
      <c r="M218" s="9">
        <f>ROUND(SUMIFS('Bank Lines'!$E$5:$E$1640,'Bank Lines'!$G$5:$G$1640,A218,'Bank Lines'!$J$5:$J$1640,1,'Bank Lines'!$C$5:$C$1640,"&lt;="&amp;Cover!$C$13),2)</f>
        <v>369.48</v>
      </c>
      <c r="N218" s="9">
        <f>ROUND(SUMIFS('Odoo Items'!$G$5:$G$4331,'Odoo Items'!$J$5:$J$4331,A218,'Odoo Items'!$C$5:$C$4331,"&lt;="&amp;Cover!$C$13),2)</f>
        <v>369.48</v>
      </c>
      <c r="O218">
        <f>COUNTIFS('Bank Lines'!$G$5:$G$1640,A218,'Bank Lines'!$J$5:$J$1640,1,'Bank Lines'!$C$5:$C$1640,"&lt;="&amp;Cover!$C$13)</f>
        <v>1</v>
      </c>
      <c r="P218">
        <f>COUNTIFS('Odoo Items'!$J$5:$J$4331,A218,'Odoo Items'!$C$5:$C$4331,"&lt;="&amp;Cover!$C$13)</f>
        <v>2</v>
      </c>
      <c r="Q218" t="str">
        <f>IF(AND(O218=0,P218=0),"",IF(O218=0,"ODOO-ONLY",IF(P218=0,"BANK-ONLY","BOTH")))</f>
        <v>BOTH</v>
      </c>
      <c r="R218" s="9">
        <f>IF(Q218="BOTH",ROUND(M218-N218,2),0)</f>
        <v>0</v>
      </c>
      <c r="S218" s="9">
        <f>ROUND(SUMIFS('Bank Lines'!$E$5:$E$1640,'Bank Lines'!$G$5:$G$1640,A218,'Bank Lines'!$J$5:$J$1640,1,'Bank Lines'!$C$5:$C$1640,"&lt;="&amp;Cover!$C$14),2)</f>
        <v>369.48</v>
      </c>
      <c r="T218" s="9">
        <f>ROUND(SUMIFS('Odoo Items'!$G$5:$G$4331,'Odoo Items'!$J$5:$J$4331,A218,'Odoo Items'!$C$5:$C$4331,"&lt;="&amp;Cover!$C$14),2)</f>
        <v>369.48</v>
      </c>
      <c r="U218">
        <f>COUNTIFS('Bank Lines'!$G$5:$G$1640,A218,'Bank Lines'!$J$5:$J$1640,1,'Bank Lines'!$C$5:$C$1640,"&lt;="&amp;Cover!$C$14)</f>
        <v>1</v>
      </c>
      <c r="V218">
        <f>COUNTIFS('Odoo Items'!$J$5:$J$4331,A218,'Odoo Items'!$C$5:$C$4331,"&lt;="&amp;Cover!$C$14)</f>
        <v>2</v>
      </c>
      <c r="W218" t="str">
        <f>IF(AND(U218=0,V218=0),"",IF(U218=0,"ODOO-ONLY",IF(V218=0,"BANK-ONLY","BOTH")))</f>
        <v>BOTH</v>
      </c>
      <c r="X218" s="9">
        <f>IF(W218="BOTH",ROUND(S218-T218,2),0)</f>
        <v>0</v>
      </c>
      <c r="Y218" s="9">
        <f>ROUND(SUMIFS('Bank Lines'!$E$5:$E$1640,'Bank Lines'!$G$5:$G$1640,A218,'Bank Lines'!$J$5:$J$1640,1,'Bank Lines'!$C$5:$C$1640,"&lt;="&amp;Cover!$C$15),2)</f>
        <v>369.48</v>
      </c>
      <c r="Z218" s="9">
        <f>ROUND(SUMIFS('Odoo Items'!$G$5:$G$4331,'Odoo Items'!$J$5:$J$4331,A218,'Odoo Items'!$C$5:$C$4331,"&lt;="&amp;Cover!$C$15),2)</f>
        <v>369.48</v>
      </c>
      <c r="AA218">
        <f>COUNTIFS('Bank Lines'!$G$5:$G$1640,A218,'Bank Lines'!$J$5:$J$1640,1,'Bank Lines'!$C$5:$C$1640,"&lt;="&amp;Cover!$C$15)</f>
        <v>1</v>
      </c>
      <c r="AB218">
        <f>COUNTIFS('Odoo Items'!$J$5:$J$4331,A218,'Odoo Items'!$C$5:$C$4331,"&lt;="&amp;Cover!$C$15)</f>
        <v>2</v>
      </c>
      <c r="AC218" t="str">
        <f>IF(AND(AA218=0,AB218=0),"",IF(AA218=0,"ODOO-ONLY",IF(AB218=0,"BANK-ONLY","BOTH")))</f>
        <v>BOTH</v>
      </c>
      <c r="AD218" s="9">
        <f>IF(AC218="BOTH",ROUND(Y218-Z218,2),0)</f>
        <v>0</v>
      </c>
    </row>
    <row r="219">
      <c r="A219" t="inlineStr">
        <is>
          <t>G00215</t>
        </is>
      </c>
      <c r="B219" t="inlineStr">
        <is>
          <t>OPS</t>
        </is>
      </c>
      <c r="C219" t="inlineStr">
        <is>
          <t>R03</t>
        </is>
      </c>
      <c r="D219" t="inlineStr">
        <is>
          <t>MATCH</t>
        </is>
      </c>
      <c r="E219" t="inlineStr">
        <is>
          <t>Ironbark Plan Management</t>
        </is>
      </c>
      <c r="F219" t="n">
        <v>1</v>
      </c>
      <c r="G219" t="inlineStr">
        <is>
          <t>1 invoices</t>
        </is>
      </c>
      <c r="H219">
        <f>COUNTIFS('Bank Lines'!$G$5:$G$1640,A219,'Bank Lines'!$J$5:$J$1640,1)</f>
        <v>1</v>
      </c>
      <c r="I219">
        <f>COUNTIFS('Odoo Items'!$J$5:$J$4331,A219)</f>
        <v>1</v>
      </c>
      <c r="J219" s="9">
        <f>ROUND(SUMIFS('Bank Lines'!$E$5:$E$1640,'Bank Lines'!$G$5:$G$1640,A219,'Bank Lines'!$J$5:$J$1640,1),2)</f>
        <v>242.49</v>
      </c>
      <c r="K219" s="9">
        <f>ROUND(SUMIFS('Odoo Items'!$G$5:$G$4331,'Odoo Items'!$J$5:$J$4331,A219),2)</f>
        <v>242.49</v>
      </c>
      <c r="L219" s="9">
        <f>ROUND(J219-K219,2)</f>
        <v>0</v>
      </c>
      <c r="M219" s="9">
        <f>ROUND(SUMIFS('Bank Lines'!$E$5:$E$1640,'Bank Lines'!$G$5:$G$1640,A219,'Bank Lines'!$J$5:$J$1640,1,'Bank Lines'!$C$5:$C$1640,"&lt;="&amp;Cover!$C$13),2)</f>
        <v>242.49</v>
      </c>
      <c r="N219" s="9">
        <f>ROUND(SUMIFS('Odoo Items'!$G$5:$G$4331,'Odoo Items'!$J$5:$J$4331,A219,'Odoo Items'!$C$5:$C$4331,"&lt;="&amp;Cover!$C$13),2)</f>
        <v>242.49</v>
      </c>
      <c r="O219">
        <f>COUNTIFS('Bank Lines'!$G$5:$G$1640,A219,'Bank Lines'!$J$5:$J$1640,1,'Bank Lines'!$C$5:$C$1640,"&lt;="&amp;Cover!$C$13)</f>
        <v>1</v>
      </c>
      <c r="P219">
        <f>COUNTIFS('Odoo Items'!$J$5:$J$4331,A219,'Odoo Items'!$C$5:$C$4331,"&lt;="&amp;Cover!$C$13)</f>
        <v>1</v>
      </c>
      <c r="Q219" t="str">
        <f>IF(AND(O219=0,P219=0),"",IF(O219=0,"ODOO-ONLY",IF(P219=0,"BANK-ONLY","BOTH")))</f>
        <v>BOTH</v>
      </c>
      <c r="R219" s="9">
        <f>IF(Q219="BOTH",ROUND(M219-N219,2),0)</f>
        <v>0</v>
      </c>
      <c r="S219" s="9">
        <f>ROUND(SUMIFS('Bank Lines'!$E$5:$E$1640,'Bank Lines'!$G$5:$G$1640,A219,'Bank Lines'!$J$5:$J$1640,1,'Bank Lines'!$C$5:$C$1640,"&lt;="&amp;Cover!$C$14),2)</f>
        <v>242.49</v>
      </c>
      <c r="T219" s="9">
        <f>ROUND(SUMIFS('Odoo Items'!$G$5:$G$4331,'Odoo Items'!$J$5:$J$4331,A219,'Odoo Items'!$C$5:$C$4331,"&lt;="&amp;Cover!$C$14),2)</f>
        <v>242.49</v>
      </c>
      <c r="U219">
        <f>COUNTIFS('Bank Lines'!$G$5:$G$1640,A219,'Bank Lines'!$J$5:$J$1640,1,'Bank Lines'!$C$5:$C$1640,"&lt;="&amp;Cover!$C$14)</f>
        <v>1</v>
      </c>
      <c r="V219">
        <f>COUNTIFS('Odoo Items'!$J$5:$J$4331,A219,'Odoo Items'!$C$5:$C$4331,"&lt;="&amp;Cover!$C$14)</f>
        <v>1</v>
      </c>
      <c r="W219" t="str">
        <f>IF(AND(U219=0,V219=0),"",IF(U219=0,"ODOO-ONLY",IF(V219=0,"BANK-ONLY","BOTH")))</f>
        <v>BOTH</v>
      </c>
      <c r="X219" s="9">
        <f>IF(W219="BOTH",ROUND(S219-T219,2),0)</f>
        <v>0</v>
      </c>
      <c r="Y219" s="9">
        <f>ROUND(SUMIFS('Bank Lines'!$E$5:$E$1640,'Bank Lines'!$G$5:$G$1640,A219,'Bank Lines'!$J$5:$J$1640,1,'Bank Lines'!$C$5:$C$1640,"&lt;="&amp;Cover!$C$15),2)</f>
        <v>242.49</v>
      </c>
      <c r="Z219" s="9">
        <f>ROUND(SUMIFS('Odoo Items'!$G$5:$G$4331,'Odoo Items'!$J$5:$J$4331,A219,'Odoo Items'!$C$5:$C$4331,"&lt;="&amp;Cover!$C$15),2)</f>
        <v>242.49</v>
      </c>
      <c r="AA219">
        <f>COUNTIFS('Bank Lines'!$G$5:$G$1640,A219,'Bank Lines'!$J$5:$J$1640,1,'Bank Lines'!$C$5:$C$1640,"&lt;="&amp;Cover!$C$15)</f>
        <v>1</v>
      </c>
      <c r="AB219">
        <f>COUNTIFS('Odoo Items'!$J$5:$J$4331,A219,'Odoo Items'!$C$5:$C$4331,"&lt;="&amp;Cover!$C$15)</f>
        <v>1</v>
      </c>
      <c r="AC219" t="str">
        <f>IF(AND(AA219=0,AB219=0),"",IF(AA219=0,"ODOO-ONLY",IF(AB219=0,"BANK-ONLY","BOTH")))</f>
        <v>BOTH</v>
      </c>
      <c r="AD219" s="9">
        <f>IF(AC219="BOTH",ROUND(Y219-Z219,2),0)</f>
        <v>0</v>
      </c>
    </row>
    <row r="220">
      <c r="A220" t="inlineStr">
        <is>
          <t>G00216</t>
        </is>
      </c>
      <c r="B220" t="inlineStr">
        <is>
          <t>OPS</t>
        </is>
      </c>
      <c r="C220" t="inlineStr">
        <is>
          <t>R03</t>
        </is>
      </c>
      <c r="D220" t="inlineStr">
        <is>
          <t>MATCH</t>
        </is>
      </c>
      <c r="E220" t="inlineStr">
        <is>
          <t>Kookaburra Plan Support</t>
        </is>
      </c>
      <c r="F220" t="n">
        <v>1</v>
      </c>
      <c r="G220" t="inlineStr">
        <is>
          <t>1 invoices</t>
        </is>
      </c>
      <c r="H220">
        <f>COUNTIFS('Bank Lines'!$G$5:$G$1640,A220,'Bank Lines'!$J$5:$J$1640,1)</f>
        <v>1</v>
      </c>
      <c r="I220">
        <f>COUNTIFS('Odoo Items'!$J$5:$J$4331,A220)</f>
        <v>1</v>
      </c>
      <c r="J220" s="9">
        <f>ROUND(SUMIFS('Bank Lines'!$E$5:$E$1640,'Bank Lines'!$G$5:$G$1640,A220,'Bank Lines'!$J$5:$J$1640,1),2)</f>
        <v>242.49</v>
      </c>
      <c r="K220" s="9">
        <f>ROUND(SUMIFS('Odoo Items'!$G$5:$G$4331,'Odoo Items'!$J$5:$J$4331,A220),2)</f>
        <v>242.49</v>
      </c>
      <c r="L220" s="9">
        <f>ROUND(J220-K220,2)</f>
        <v>0</v>
      </c>
      <c r="M220" s="9">
        <f>ROUND(SUMIFS('Bank Lines'!$E$5:$E$1640,'Bank Lines'!$G$5:$G$1640,A220,'Bank Lines'!$J$5:$J$1640,1,'Bank Lines'!$C$5:$C$1640,"&lt;="&amp;Cover!$C$13),2)</f>
        <v>242.49</v>
      </c>
      <c r="N220" s="9">
        <f>ROUND(SUMIFS('Odoo Items'!$G$5:$G$4331,'Odoo Items'!$J$5:$J$4331,A220,'Odoo Items'!$C$5:$C$4331,"&lt;="&amp;Cover!$C$13),2)</f>
        <v>242.49</v>
      </c>
      <c r="O220">
        <f>COUNTIFS('Bank Lines'!$G$5:$G$1640,A220,'Bank Lines'!$J$5:$J$1640,1,'Bank Lines'!$C$5:$C$1640,"&lt;="&amp;Cover!$C$13)</f>
        <v>1</v>
      </c>
      <c r="P220">
        <f>COUNTIFS('Odoo Items'!$J$5:$J$4331,A220,'Odoo Items'!$C$5:$C$4331,"&lt;="&amp;Cover!$C$13)</f>
        <v>1</v>
      </c>
      <c r="Q220" t="str">
        <f>IF(AND(O220=0,P220=0),"",IF(O220=0,"ODOO-ONLY",IF(P220=0,"BANK-ONLY","BOTH")))</f>
        <v>BOTH</v>
      </c>
      <c r="R220" s="9">
        <f>IF(Q220="BOTH",ROUND(M220-N220,2),0)</f>
        <v>0</v>
      </c>
      <c r="S220" s="9">
        <f>ROUND(SUMIFS('Bank Lines'!$E$5:$E$1640,'Bank Lines'!$G$5:$G$1640,A220,'Bank Lines'!$J$5:$J$1640,1,'Bank Lines'!$C$5:$C$1640,"&lt;="&amp;Cover!$C$14),2)</f>
        <v>242.49</v>
      </c>
      <c r="T220" s="9">
        <f>ROUND(SUMIFS('Odoo Items'!$G$5:$G$4331,'Odoo Items'!$J$5:$J$4331,A220,'Odoo Items'!$C$5:$C$4331,"&lt;="&amp;Cover!$C$14),2)</f>
        <v>242.49</v>
      </c>
      <c r="U220">
        <f>COUNTIFS('Bank Lines'!$G$5:$G$1640,A220,'Bank Lines'!$J$5:$J$1640,1,'Bank Lines'!$C$5:$C$1640,"&lt;="&amp;Cover!$C$14)</f>
        <v>1</v>
      </c>
      <c r="V220">
        <f>COUNTIFS('Odoo Items'!$J$5:$J$4331,A220,'Odoo Items'!$C$5:$C$4331,"&lt;="&amp;Cover!$C$14)</f>
        <v>1</v>
      </c>
      <c r="W220" t="str">
        <f>IF(AND(U220=0,V220=0),"",IF(U220=0,"ODOO-ONLY",IF(V220=0,"BANK-ONLY","BOTH")))</f>
        <v>BOTH</v>
      </c>
      <c r="X220" s="9">
        <f>IF(W220="BOTH",ROUND(S220-T220,2),0)</f>
        <v>0</v>
      </c>
      <c r="Y220" s="9">
        <f>ROUND(SUMIFS('Bank Lines'!$E$5:$E$1640,'Bank Lines'!$G$5:$G$1640,A220,'Bank Lines'!$J$5:$J$1640,1,'Bank Lines'!$C$5:$C$1640,"&lt;="&amp;Cover!$C$15),2)</f>
        <v>242.49</v>
      </c>
      <c r="Z220" s="9">
        <f>ROUND(SUMIFS('Odoo Items'!$G$5:$G$4331,'Odoo Items'!$J$5:$J$4331,A220,'Odoo Items'!$C$5:$C$4331,"&lt;="&amp;Cover!$C$15),2)</f>
        <v>242.49</v>
      </c>
      <c r="AA220">
        <f>COUNTIFS('Bank Lines'!$G$5:$G$1640,A220,'Bank Lines'!$J$5:$J$1640,1,'Bank Lines'!$C$5:$C$1640,"&lt;="&amp;Cover!$C$15)</f>
        <v>1</v>
      </c>
      <c r="AB220">
        <f>COUNTIFS('Odoo Items'!$J$5:$J$4331,A220,'Odoo Items'!$C$5:$C$4331,"&lt;="&amp;Cover!$C$15)</f>
        <v>1</v>
      </c>
      <c r="AC220" t="str">
        <f>IF(AND(AA220=0,AB220=0),"",IF(AA220=0,"ODOO-ONLY",IF(AB220=0,"BANK-ONLY","BOTH")))</f>
        <v>BOTH</v>
      </c>
      <c r="AD220" s="9">
        <f>IF(AC220="BOTH",ROUND(Y220-Z220,2),0)</f>
        <v>0</v>
      </c>
    </row>
    <row r="221">
      <c r="A221" t="inlineStr">
        <is>
          <t>G00217</t>
        </is>
      </c>
      <c r="B221" t="inlineStr">
        <is>
          <t>OPS</t>
        </is>
      </c>
      <c r="C221" t="inlineStr">
        <is>
          <t>R03</t>
        </is>
      </c>
      <c r="D221" t="inlineStr">
        <is>
          <t>MATCH</t>
        </is>
      </c>
      <c r="E221" t="inlineStr">
        <is>
          <t>Saltbush Plan Managers</t>
        </is>
      </c>
      <c r="F221" t="n">
        <v>1</v>
      </c>
      <c r="G221" t="inlineStr">
        <is>
          <t>8 invoices</t>
        </is>
      </c>
      <c r="H221">
        <f>COUNTIFS('Bank Lines'!$G$5:$G$1640,A221,'Bank Lines'!$J$5:$J$1640,1)</f>
        <v>1</v>
      </c>
      <c r="I221">
        <f>COUNTIFS('Odoo Items'!$J$5:$J$4331,A221)</f>
        <v>8</v>
      </c>
      <c r="J221" s="9">
        <f>ROUND(SUMIFS('Bank Lines'!$E$5:$E$1640,'Bank Lines'!$G$5:$G$1640,A221,'Bank Lines'!$J$5:$J$1640,1),2)</f>
        <v>1998.99</v>
      </c>
      <c r="K221" s="9">
        <f>ROUND(SUMIFS('Odoo Items'!$G$5:$G$4331,'Odoo Items'!$J$5:$J$4331,A221),2)</f>
        <v>1998.99</v>
      </c>
      <c r="L221" s="9">
        <f>ROUND(J221-K221,2)</f>
        <v>0</v>
      </c>
      <c r="M221" s="9">
        <f>ROUND(SUMIFS('Bank Lines'!$E$5:$E$1640,'Bank Lines'!$G$5:$G$1640,A221,'Bank Lines'!$J$5:$J$1640,1,'Bank Lines'!$C$5:$C$1640,"&lt;="&amp;Cover!$C$13),2)</f>
        <v>1998.99</v>
      </c>
      <c r="N221" s="9">
        <f>ROUND(SUMIFS('Odoo Items'!$G$5:$G$4331,'Odoo Items'!$J$5:$J$4331,A221,'Odoo Items'!$C$5:$C$4331,"&lt;="&amp;Cover!$C$13),2)</f>
        <v>1998.99</v>
      </c>
      <c r="O221">
        <f>COUNTIFS('Bank Lines'!$G$5:$G$1640,A221,'Bank Lines'!$J$5:$J$1640,1,'Bank Lines'!$C$5:$C$1640,"&lt;="&amp;Cover!$C$13)</f>
        <v>1</v>
      </c>
      <c r="P221">
        <f>COUNTIFS('Odoo Items'!$J$5:$J$4331,A221,'Odoo Items'!$C$5:$C$4331,"&lt;="&amp;Cover!$C$13)</f>
        <v>8</v>
      </c>
      <c r="Q221" t="str">
        <f>IF(AND(O221=0,P221=0),"",IF(O221=0,"ODOO-ONLY",IF(P221=0,"BANK-ONLY","BOTH")))</f>
        <v>BOTH</v>
      </c>
      <c r="R221" s="9">
        <f>IF(Q221="BOTH",ROUND(M221-N221,2),0)</f>
        <v>0</v>
      </c>
      <c r="S221" s="9">
        <f>ROUND(SUMIFS('Bank Lines'!$E$5:$E$1640,'Bank Lines'!$G$5:$G$1640,A221,'Bank Lines'!$J$5:$J$1640,1,'Bank Lines'!$C$5:$C$1640,"&lt;="&amp;Cover!$C$14),2)</f>
        <v>1998.99</v>
      </c>
      <c r="T221" s="9">
        <f>ROUND(SUMIFS('Odoo Items'!$G$5:$G$4331,'Odoo Items'!$J$5:$J$4331,A221,'Odoo Items'!$C$5:$C$4331,"&lt;="&amp;Cover!$C$14),2)</f>
        <v>1998.99</v>
      </c>
      <c r="U221">
        <f>COUNTIFS('Bank Lines'!$G$5:$G$1640,A221,'Bank Lines'!$J$5:$J$1640,1,'Bank Lines'!$C$5:$C$1640,"&lt;="&amp;Cover!$C$14)</f>
        <v>1</v>
      </c>
      <c r="V221">
        <f>COUNTIFS('Odoo Items'!$J$5:$J$4331,A221,'Odoo Items'!$C$5:$C$4331,"&lt;="&amp;Cover!$C$14)</f>
        <v>8</v>
      </c>
      <c r="W221" t="str">
        <f>IF(AND(U221=0,V221=0),"",IF(U221=0,"ODOO-ONLY",IF(V221=0,"BANK-ONLY","BOTH")))</f>
        <v>BOTH</v>
      </c>
      <c r="X221" s="9">
        <f>IF(W221="BOTH",ROUND(S221-T221,2),0)</f>
        <v>0</v>
      </c>
      <c r="Y221" s="9">
        <f>ROUND(SUMIFS('Bank Lines'!$E$5:$E$1640,'Bank Lines'!$G$5:$G$1640,A221,'Bank Lines'!$J$5:$J$1640,1,'Bank Lines'!$C$5:$C$1640,"&lt;="&amp;Cover!$C$15),2)</f>
        <v>1998.99</v>
      </c>
      <c r="Z221" s="9">
        <f>ROUND(SUMIFS('Odoo Items'!$G$5:$G$4331,'Odoo Items'!$J$5:$J$4331,A221,'Odoo Items'!$C$5:$C$4331,"&lt;="&amp;Cover!$C$15),2)</f>
        <v>1998.99</v>
      </c>
      <c r="AA221">
        <f>COUNTIFS('Bank Lines'!$G$5:$G$1640,A221,'Bank Lines'!$J$5:$J$1640,1,'Bank Lines'!$C$5:$C$1640,"&lt;="&amp;Cover!$C$15)</f>
        <v>1</v>
      </c>
      <c r="AB221">
        <f>COUNTIFS('Odoo Items'!$J$5:$J$4331,A221,'Odoo Items'!$C$5:$C$4331,"&lt;="&amp;Cover!$C$15)</f>
        <v>8</v>
      </c>
      <c r="AC221" t="str">
        <f>IF(AND(AA221=0,AB221=0),"",IF(AA221=0,"ODOO-ONLY",IF(AB221=0,"BANK-ONLY","BOTH")))</f>
        <v>BOTH</v>
      </c>
      <c r="AD221" s="9">
        <f>IF(AC221="BOTH",ROUND(Y221-Z221,2),0)</f>
        <v>0</v>
      </c>
    </row>
    <row r="222">
      <c r="A222" t="inlineStr">
        <is>
          <t>G00218</t>
        </is>
      </c>
      <c r="B222" t="inlineStr">
        <is>
          <t>OPS</t>
        </is>
      </c>
      <c r="C222" t="inlineStr">
        <is>
          <t>R03</t>
        </is>
      </c>
      <c r="D222" t="inlineStr">
        <is>
          <t>MATCH</t>
        </is>
      </c>
      <c r="E222" t="inlineStr">
        <is>
          <t>Southern Cross Plan Mgmt</t>
        </is>
      </c>
      <c r="F222" t="n">
        <v>1</v>
      </c>
      <c r="G222" t="inlineStr">
        <is>
          <t>6 invoices</t>
        </is>
      </c>
      <c r="H222">
        <f>COUNTIFS('Bank Lines'!$G$5:$G$1640,A222,'Bank Lines'!$J$5:$J$1640,1)</f>
        <v>1</v>
      </c>
      <c r="I222">
        <f>COUNTIFS('Odoo Items'!$J$5:$J$4331,A222)</f>
        <v>6</v>
      </c>
      <c r="J222" s="9">
        <f>ROUND(SUMIFS('Bank Lines'!$E$5:$E$1640,'Bank Lines'!$G$5:$G$1640,A222,'Bank Lines'!$J$5:$J$1640,1),2)</f>
        <v>1603.11</v>
      </c>
      <c r="K222" s="9">
        <f>ROUND(SUMIFS('Odoo Items'!$G$5:$G$4331,'Odoo Items'!$J$5:$J$4331,A222),2)</f>
        <v>1603.11</v>
      </c>
      <c r="L222" s="9">
        <f>ROUND(J222-K222,2)</f>
        <v>0</v>
      </c>
      <c r="M222" s="9">
        <f>ROUND(SUMIFS('Bank Lines'!$E$5:$E$1640,'Bank Lines'!$G$5:$G$1640,A222,'Bank Lines'!$J$5:$J$1640,1,'Bank Lines'!$C$5:$C$1640,"&lt;="&amp;Cover!$C$13),2)</f>
        <v>1603.11</v>
      </c>
      <c r="N222" s="9">
        <f>ROUND(SUMIFS('Odoo Items'!$G$5:$G$4331,'Odoo Items'!$J$5:$J$4331,A222,'Odoo Items'!$C$5:$C$4331,"&lt;="&amp;Cover!$C$13),2)</f>
        <v>1603.11</v>
      </c>
      <c r="O222">
        <f>COUNTIFS('Bank Lines'!$G$5:$G$1640,A222,'Bank Lines'!$J$5:$J$1640,1,'Bank Lines'!$C$5:$C$1640,"&lt;="&amp;Cover!$C$13)</f>
        <v>1</v>
      </c>
      <c r="P222">
        <f>COUNTIFS('Odoo Items'!$J$5:$J$4331,A222,'Odoo Items'!$C$5:$C$4331,"&lt;="&amp;Cover!$C$13)</f>
        <v>6</v>
      </c>
      <c r="Q222" t="str">
        <f>IF(AND(O222=0,P222=0),"",IF(O222=0,"ODOO-ONLY",IF(P222=0,"BANK-ONLY","BOTH")))</f>
        <v>BOTH</v>
      </c>
      <c r="R222" s="9">
        <f>IF(Q222="BOTH",ROUND(M222-N222,2),0)</f>
        <v>0</v>
      </c>
      <c r="S222" s="9">
        <f>ROUND(SUMIFS('Bank Lines'!$E$5:$E$1640,'Bank Lines'!$G$5:$G$1640,A222,'Bank Lines'!$J$5:$J$1640,1,'Bank Lines'!$C$5:$C$1640,"&lt;="&amp;Cover!$C$14),2)</f>
        <v>1603.11</v>
      </c>
      <c r="T222" s="9">
        <f>ROUND(SUMIFS('Odoo Items'!$G$5:$G$4331,'Odoo Items'!$J$5:$J$4331,A222,'Odoo Items'!$C$5:$C$4331,"&lt;="&amp;Cover!$C$14),2)</f>
        <v>1603.11</v>
      </c>
      <c r="U222">
        <f>COUNTIFS('Bank Lines'!$G$5:$G$1640,A222,'Bank Lines'!$J$5:$J$1640,1,'Bank Lines'!$C$5:$C$1640,"&lt;="&amp;Cover!$C$14)</f>
        <v>1</v>
      </c>
      <c r="V222">
        <f>COUNTIFS('Odoo Items'!$J$5:$J$4331,A222,'Odoo Items'!$C$5:$C$4331,"&lt;="&amp;Cover!$C$14)</f>
        <v>6</v>
      </c>
      <c r="W222" t="str">
        <f>IF(AND(U222=0,V222=0),"",IF(U222=0,"ODOO-ONLY",IF(V222=0,"BANK-ONLY","BOTH")))</f>
        <v>BOTH</v>
      </c>
      <c r="X222" s="9">
        <f>IF(W222="BOTH",ROUND(S222-T222,2),0)</f>
        <v>0</v>
      </c>
      <c r="Y222" s="9">
        <f>ROUND(SUMIFS('Bank Lines'!$E$5:$E$1640,'Bank Lines'!$G$5:$G$1640,A222,'Bank Lines'!$J$5:$J$1640,1,'Bank Lines'!$C$5:$C$1640,"&lt;="&amp;Cover!$C$15),2)</f>
        <v>1603.11</v>
      </c>
      <c r="Z222" s="9">
        <f>ROUND(SUMIFS('Odoo Items'!$G$5:$G$4331,'Odoo Items'!$J$5:$J$4331,A222,'Odoo Items'!$C$5:$C$4331,"&lt;="&amp;Cover!$C$15),2)</f>
        <v>1603.11</v>
      </c>
      <c r="AA222">
        <f>COUNTIFS('Bank Lines'!$G$5:$G$1640,A222,'Bank Lines'!$J$5:$J$1640,1,'Bank Lines'!$C$5:$C$1640,"&lt;="&amp;Cover!$C$15)</f>
        <v>1</v>
      </c>
      <c r="AB222">
        <f>COUNTIFS('Odoo Items'!$J$5:$J$4331,A222,'Odoo Items'!$C$5:$C$4331,"&lt;="&amp;Cover!$C$15)</f>
        <v>6</v>
      </c>
      <c r="AC222" t="str">
        <f>IF(AND(AA222=0,AB222=0),"",IF(AA222=0,"ODOO-ONLY",IF(AB222=0,"BANK-ONLY","BOTH")))</f>
        <v>BOTH</v>
      </c>
      <c r="AD222" s="9">
        <f>IF(AC222="BOTH",ROUND(Y222-Z222,2),0)</f>
        <v>0</v>
      </c>
    </row>
    <row r="223">
      <c r="A223" t="inlineStr">
        <is>
          <t>G00219</t>
        </is>
      </c>
      <c r="B223" t="inlineStr">
        <is>
          <t>OPS</t>
        </is>
      </c>
      <c r="C223" t="inlineStr">
        <is>
          <t>R03</t>
        </is>
      </c>
      <c r="D223" t="inlineStr">
        <is>
          <t>MATCH</t>
        </is>
      </c>
      <c r="E223" t="inlineStr">
        <is>
          <t>Acacia Plan Partners</t>
        </is>
      </c>
      <c r="F223" t="n">
        <v>1</v>
      </c>
      <c r="G223" t="inlineStr">
        <is>
          <t>10 invoices</t>
        </is>
      </c>
      <c r="H223">
        <f>COUNTIFS('Bank Lines'!$G$5:$G$1640,A223,'Bank Lines'!$J$5:$J$1640,1)</f>
        <v>1</v>
      </c>
      <c r="I223">
        <f>COUNTIFS('Odoo Items'!$J$5:$J$4331,A223)</f>
        <v>10</v>
      </c>
      <c r="J223" s="9">
        <f>ROUND(SUMIFS('Bank Lines'!$E$5:$E$1640,'Bank Lines'!$G$5:$G$1640,A223,'Bank Lines'!$J$5:$J$1640,1),2)</f>
        <v>2259.97</v>
      </c>
      <c r="K223" s="9">
        <f>ROUND(SUMIFS('Odoo Items'!$G$5:$G$4331,'Odoo Items'!$J$5:$J$4331,A223),2)</f>
        <v>2259.97</v>
      </c>
      <c r="L223" s="9">
        <f>ROUND(J223-K223,2)</f>
        <v>0</v>
      </c>
      <c r="M223" s="9">
        <f>ROUND(SUMIFS('Bank Lines'!$E$5:$E$1640,'Bank Lines'!$G$5:$G$1640,A223,'Bank Lines'!$J$5:$J$1640,1,'Bank Lines'!$C$5:$C$1640,"&lt;="&amp;Cover!$C$13),2)</f>
        <v>2259.97</v>
      </c>
      <c r="N223" s="9">
        <f>ROUND(SUMIFS('Odoo Items'!$G$5:$G$4331,'Odoo Items'!$J$5:$J$4331,A223,'Odoo Items'!$C$5:$C$4331,"&lt;="&amp;Cover!$C$13),2)</f>
        <v>2259.97</v>
      </c>
      <c r="O223">
        <f>COUNTIFS('Bank Lines'!$G$5:$G$1640,A223,'Bank Lines'!$J$5:$J$1640,1,'Bank Lines'!$C$5:$C$1640,"&lt;="&amp;Cover!$C$13)</f>
        <v>1</v>
      </c>
      <c r="P223">
        <f>COUNTIFS('Odoo Items'!$J$5:$J$4331,A223,'Odoo Items'!$C$5:$C$4331,"&lt;="&amp;Cover!$C$13)</f>
        <v>10</v>
      </c>
      <c r="Q223" t="str">
        <f>IF(AND(O223=0,P223=0),"",IF(O223=0,"ODOO-ONLY",IF(P223=0,"BANK-ONLY","BOTH")))</f>
        <v>BOTH</v>
      </c>
      <c r="R223" s="9">
        <f>IF(Q223="BOTH",ROUND(M223-N223,2),0)</f>
        <v>0</v>
      </c>
      <c r="S223" s="9">
        <f>ROUND(SUMIFS('Bank Lines'!$E$5:$E$1640,'Bank Lines'!$G$5:$G$1640,A223,'Bank Lines'!$J$5:$J$1640,1,'Bank Lines'!$C$5:$C$1640,"&lt;="&amp;Cover!$C$14),2)</f>
        <v>2259.97</v>
      </c>
      <c r="T223" s="9">
        <f>ROUND(SUMIFS('Odoo Items'!$G$5:$G$4331,'Odoo Items'!$J$5:$J$4331,A223,'Odoo Items'!$C$5:$C$4331,"&lt;="&amp;Cover!$C$14),2)</f>
        <v>2259.97</v>
      </c>
      <c r="U223">
        <f>COUNTIFS('Bank Lines'!$G$5:$G$1640,A223,'Bank Lines'!$J$5:$J$1640,1,'Bank Lines'!$C$5:$C$1640,"&lt;="&amp;Cover!$C$14)</f>
        <v>1</v>
      </c>
      <c r="V223">
        <f>COUNTIFS('Odoo Items'!$J$5:$J$4331,A223,'Odoo Items'!$C$5:$C$4331,"&lt;="&amp;Cover!$C$14)</f>
        <v>10</v>
      </c>
      <c r="W223" t="str">
        <f>IF(AND(U223=0,V223=0),"",IF(U223=0,"ODOO-ONLY",IF(V223=0,"BANK-ONLY","BOTH")))</f>
        <v>BOTH</v>
      </c>
      <c r="X223" s="9">
        <f>IF(W223="BOTH",ROUND(S223-T223,2),0)</f>
        <v>0</v>
      </c>
      <c r="Y223" s="9">
        <f>ROUND(SUMIFS('Bank Lines'!$E$5:$E$1640,'Bank Lines'!$G$5:$G$1640,A223,'Bank Lines'!$J$5:$J$1640,1,'Bank Lines'!$C$5:$C$1640,"&lt;="&amp;Cover!$C$15),2)</f>
        <v>2259.97</v>
      </c>
      <c r="Z223" s="9">
        <f>ROUND(SUMIFS('Odoo Items'!$G$5:$G$4331,'Odoo Items'!$J$5:$J$4331,A223,'Odoo Items'!$C$5:$C$4331,"&lt;="&amp;Cover!$C$15),2)</f>
        <v>2259.97</v>
      </c>
      <c r="AA223">
        <f>COUNTIFS('Bank Lines'!$G$5:$G$1640,A223,'Bank Lines'!$J$5:$J$1640,1,'Bank Lines'!$C$5:$C$1640,"&lt;="&amp;Cover!$C$15)</f>
        <v>1</v>
      </c>
      <c r="AB223">
        <f>COUNTIFS('Odoo Items'!$J$5:$J$4331,A223,'Odoo Items'!$C$5:$C$4331,"&lt;="&amp;Cover!$C$15)</f>
        <v>10</v>
      </c>
      <c r="AC223" t="str">
        <f>IF(AND(AA223=0,AB223=0),"",IF(AA223=0,"ODOO-ONLY",IF(AB223=0,"BANK-ONLY","BOTH")))</f>
        <v>BOTH</v>
      </c>
      <c r="AD223" s="9">
        <f>IF(AC223="BOTH",ROUND(Y223-Z223,2),0)</f>
        <v>0</v>
      </c>
    </row>
    <row r="224">
      <c r="A224" t="inlineStr">
        <is>
          <t>G00220</t>
        </is>
      </c>
      <c r="B224" t="inlineStr">
        <is>
          <t>OPS</t>
        </is>
      </c>
      <c r="C224" t="inlineStr">
        <is>
          <t>R03</t>
        </is>
      </c>
      <c r="D224" t="inlineStr">
        <is>
          <t>MATCH</t>
        </is>
      </c>
      <c r="E224" t="inlineStr">
        <is>
          <t>Riverbend Plan Partners</t>
        </is>
      </c>
      <c r="F224" t="n">
        <v>1</v>
      </c>
      <c r="G224" t="inlineStr">
        <is>
          <t>1 invoices</t>
        </is>
      </c>
      <c r="H224">
        <f>COUNTIFS('Bank Lines'!$G$5:$G$1640,A224,'Bank Lines'!$J$5:$J$1640,1)</f>
        <v>1</v>
      </c>
      <c r="I224">
        <f>COUNTIFS('Odoo Items'!$J$5:$J$4331,A224)</f>
        <v>1</v>
      </c>
      <c r="J224" s="9">
        <f>ROUND(SUMIFS('Bank Lines'!$E$5:$E$1640,'Bank Lines'!$G$5:$G$1640,A224,'Bank Lines'!$J$5:$J$1640,1),2)</f>
        <v>387.98</v>
      </c>
      <c r="K224" s="9">
        <f>ROUND(SUMIFS('Odoo Items'!$G$5:$G$4331,'Odoo Items'!$J$5:$J$4331,A224),2)</f>
        <v>387.98</v>
      </c>
      <c r="L224" s="9">
        <f>ROUND(J224-K224,2)</f>
        <v>0</v>
      </c>
      <c r="M224" s="9">
        <f>ROUND(SUMIFS('Bank Lines'!$E$5:$E$1640,'Bank Lines'!$G$5:$G$1640,A224,'Bank Lines'!$J$5:$J$1640,1,'Bank Lines'!$C$5:$C$1640,"&lt;="&amp;Cover!$C$13),2)</f>
        <v>387.98</v>
      </c>
      <c r="N224" s="9">
        <f>ROUND(SUMIFS('Odoo Items'!$G$5:$G$4331,'Odoo Items'!$J$5:$J$4331,A224,'Odoo Items'!$C$5:$C$4331,"&lt;="&amp;Cover!$C$13),2)</f>
        <v>387.98</v>
      </c>
      <c r="O224">
        <f>COUNTIFS('Bank Lines'!$G$5:$G$1640,A224,'Bank Lines'!$J$5:$J$1640,1,'Bank Lines'!$C$5:$C$1640,"&lt;="&amp;Cover!$C$13)</f>
        <v>1</v>
      </c>
      <c r="P224">
        <f>COUNTIFS('Odoo Items'!$J$5:$J$4331,A224,'Odoo Items'!$C$5:$C$4331,"&lt;="&amp;Cover!$C$13)</f>
        <v>1</v>
      </c>
      <c r="Q224" t="str">
        <f>IF(AND(O224=0,P224=0),"",IF(O224=0,"ODOO-ONLY",IF(P224=0,"BANK-ONLY","BOTH")))</f>
        <v>BOTH</v>
      </c>
      <c r="R224" s="9">
        <f>IF(Q224="BOTH",ROUND(M224-N224,2),0)</f>
        <v>0</v>
      </c>
      <c r="S224" s="9">
        <f>ROUND(SUMIFS('Bank Lines'!$E$5:$E$1640,'Bank Lines'!$G$5:$G$1640,A224,'Bank Lines'!$J$5:$J$1640,1,'Bank Lines'!$C$5:$C$1640,"&lt;="&amp;Cover!$C$14),2)</f>
        <v>387.98</v>
      </c>
      <c r="T224" s="9">
        <f>ROUND(SUMIFS('Odoo Items'!$G$5:$G$4331,'Odoo Items'!$J$5:$J$4331,A224,'Odoo Items'!$C$5:$C$4331,"&lt;="&amp;Cover!$C$14),2)</f>
        <v>387.98</v>
      </c>
      <c r="U224">
        <f>COUNTIFS('Bank Lines'!$G$5:$G$1640,A224,'Bank Lines'!$J$5:$J$1640,1,'Bank Lines'!$C$5:$C$1640,"&lt;="&amp;Cover!$C$14)</f>
        <v>1</v>
      </c>
      <c r="V224">
        <f>COUNTIFS('Odoo Items'!$J$5:$J$4331,A224,'Odoo Items'!$C$5:$C$4331,"&lt;="&amp;Cover!$C$14)</f>
        <v>1</v>
      </c>
      <c r="W224" t="str">
        <f>IF(AND(U224=0,V224=0),"",IF(U224=0,"ODOO-ONLY",IF(V224=0,"BANK-ONLY","BOTH")))</f>
        <v>BOTH</v>
      </c>
      <c r="X224" s="9">
        <f>IF(W224="BOTH",ROUND(S224-T224,2),0)</f>
        <v>0</v>
      </c>
      <c r="Y224" s="9">
        <f>ROUND(SUMIFS('Bank Lines'!$E$5:$E$1640,'Bank Lines'!$G$5:$G$1640,A224,'Bank Lines'!$J$5:$J$1640,1,'Bank Lines'!$C$5:$C$1640,"&lt;="&amp;Cover!$C$15),2)</f>
        <v>387.98</v>
      </c>
      <c r="Z224" s="9">
        <f>ROUND(SUMIFS('Odoo Items'!$G$5:$G$4331,'Odoo Items'!$J$5:$J$4331,A224,'Odoo Items'!$C$5:$C$4331,"&lt;="&amp;Cover!$C$15),2)</f>
        <v>387.98</v>
      </c>
      <c r="AA224">
        <f>COUNTIFS('Bank Lines'!$G$5:$G$1640,A224,'Bank Lines'!$J$5:$J$1640,1,'Bank Lines'!$C$5:$C$1640,"&lt;="&amp;Cover!$C$15)</f>
        <v>1</v>
      </c>
      <c r="AB224">
        <f>COUNTIFS('Odoo Items'!$J$5:$J$4331,A224,'Odoo Items'!$C$5:$C$4331,"&lt;="&amp;Cover!$C$15)</f>
        <v>1</v>
      </c>
      <c r="AC224" t="str">
        <f>IF(AND(AA224=0,AB224=0),"",IF(AA224=0,"ODOO-ONLY",IF(AB224=0,"BANK-ONLY","BOTH")))</f>
        <v>BOTH</v>
      </c>
      <c r="AD224" s="9">
        <f>IF(AC224="BOTH",ROUND(Y224-Z224,2),0)</f>
        <v>0</v>
      </c>
    </row>
    <row r="225">
      <c r="A225" t="inlineStr">
        <is>
          <t>G00221</t>
        </is>
      </c>
      <c r="B225" t="inlineStr">
        <is>
          <t>OPS</t>
        </is>
      </c>
      <c r="C225" t="inlineStr">
        <is>
          <t>R03</t>
        </is>
      </c>
      <c r="D225" t="inlineStr">
        <is>
          <t>MATCH</t>
        </is>
      </c>
      <c r="E225" t="inlineStr">
        <is>
          <t>Wattle Plan Services</t>
        </is>
      </c>
      <c r="F225" t="n">
        <v>1</v>
      </c>
      <c r="G225" t="inlineStr">
        <is>
          <t>4 invoices</t>
        </is>
      </c>
      <c r="H225">
        <f>COUNTIFS('Bank Lines'!$G$5:$G$1640,A225,'Bank Lines'!$J$5:$J$1640,1)</f>
        <v>1</v>
      </c>
      <c r="I225">
        <f>COUNTIFS('Odoo Items'!$J$5:$J$4331,A225)</f>
        <v>4</v>
      </c>
      <c r="J225" s="9">
        <f>ROUND(SUMIFS('Bank Lines'!$E$5:$E$1640,'Bank Lines'!$G$5:$G$1640,A225,'Bank Lines'!$J$5:$J$1640,1),2)</f>
        <v>864.15</v>
      </c>
      <c r="K225" s="9">
        <f>ROUND(SUMIFS('Odoo Items'!$G$5:$G$4331,'Odoo Items'!$J$5:$J$4331,A225),2)</f>
        <v>864.15</v>
      </c>
      <c r="L225" s="9">
        <f>ROUND(J225-K225,2)</f>
        <v>0</v>
      </c>
      <c r="M225" s="9">
        <f>ROUND(SUMIFS('Bank Lines'!$E$5:$E$1640,'Bank Lines'!$G$5:$G$1640,A225,'Bank Lines'!$J$5:$J$1640,1,'Bank Lines'!$C$5:$C$1640,"&lt;="&amp;Cover!$C$13),2)</f>
        <v>864.15</v>
      </c>
      <c r="N225" s="9">
        <f>ROUND(SUMIFS('Odoo Items'!$G$5:$G$4331,'Odoo Items'!$J$5:$J$4331,A225,'Odoo Items'!$C$5:$C$4331,"&lt;="&amp;Cover!$C$13),2)</f>
        <v>864.15</v>
      </c>
      <c r="O225">
        <f>COUNTIFS('Bank Lines'!$G$5:$G$1640,A225,'Bank Lines'!$J$5:$J$1640,1,'Bank Lines'!$C$5:$C$1640,"&lt;="&amp;Cover!$C$13)</f>
        <v>1</v>
      </c>
      <c r="P225">
        <f>COUNTIFS('Odoo Items'!$J$5:$J$4331,A225,'Odoo Items'!$C$5:$C$4331,"&lt;="&amp;Cover!$C$13)</f>
        <v>4</v>
      </c>
      <c r="Q225" t="str">
        <f>IF(AND(O225=0,P225=0),"",IF(O225=0,"ODOO-ONLY",IF(P225=0,"BANK-ONLY","BOTH")))</f>
        <v>BOTH</v>
      </c>
      <c r="R225" s="9">
        <f>IF(Q225="BOTH",ROUND(M225-N225,2),0)</f>
        <v>0</v>
      </c>
      <c r="S225" s="9">
        <f>ROUND(SUMIFS('Bank Lines'!$E$5:$E$1640,'Bank Lines'!$G$5:$G$1640,A225,'Bank Lines'!$J$5:$J$1640,1,'Bank Lines'!$C$5:$C$1640,"&lt;="&amp;Cover!$C$14),2)</f>
        <v>864.15</v>
      </c>
      <c r="T225" s="9">
        <f>ROUND(SUMIFS('Odoo Items'!$G$5:$G$4331,'Odoo Items'!$J$5:$J$4331,A225,'Odoo Items'!$C$5:$C$4331,"&lt;="&amp;Cover!$C$14),2)</f>
        <v>864.15</v>
      </c>
      <c r="U225">
        <f>COUNTIFS('Bank Lines'!$G$5:$G$1640,A225,'Bank Lines'!$J$5:$J$1640,1,'Bank Lines'!$C$5:$C$1640,"&lt;="&amp;Cover!$C$14)</f>
        <v>1</v>
      </c>
      <c r="V225">
        <f>COUNTIFS('Odoo Items'!$J$5:$J$4331,A225,'Odoo Items'!$C$5:$C$4331,"&lt;="&amp;Cover!$C$14)</f>
        <v>4</v>
      </c>
      <c r="W225" t="str">
        <f>IF(AND(U225=0,V225=0),"",IF(U225=0,"ODOO-ONLY",IF(V225=0,"BANK-ONLY","BOTH")))</f>
        <v>BOTH</v>
      </c>
      <c r="X225" s="9">
        <f>IF(W225="BOTH",ROUND(S225-T225,2),0)</f>
        <v>0</v>
      </c>
      <c r="Y225" s="9">
        <f>ROUND(SUMIFS('Bank Lines'!$E$5:$E$1640,'Bank Lines'!$G$5:$G$1640,A225,'Bank Lines'!$J$5:$J$1640,1,'Bank Lines'!$C$5:$C$1640,"&lt;="&amp;Cover!$C$15),2)</f>
        <v>864.15</v>
      </c>
      <c r="Z225" s="9">
        <f>ROUND(SUMIFS('Odoo Items'!$G$5:$G$4331,'Odoo Items'!$J$5:$J$4331,A225,'Odoo Items'!$C$5:$C$4331,"&lt;="&amp;Cover!$C$15),2)</f>
        <v>864.15</v>
      </c>
      <c r="AA225">
        <f>COUNTIFS('Bank Lines'!$G$5:$G$1640,A225,'Bank Lines'!$J$5:$J$1640,1,'Bank Lines'!$C$5:$C$1640,"&lt;="&amp;Cover!$C$15)</f>
        <v>1</v>
      </c>
      <c r="AB225">
        <f>COUNTIFS('Odoo Items'!$J$5:$J$4331,A225,'Odoo Items'!$C$5:$C$4331,"&lt;="&amp;Cover!$C$15)</f>
        <v>4</v>
      </c>
      <c r="AC225" t="str">
        <f>IF(AND(AA225=0,AB225=0),"",IF(AA225=0,"ODOO-ONLY",IF(AB225=0,"BANK-ONLY","BOTH")))</f>
        <v>BOTH</v>
      </c>
      <c r="AD225" s="9">
        <f>IF(AC225="BOTH",ROUND(Y225-Z225,2),0)</f>
        <v>0</v>
      </c>
    </row>
    <row r="226">
      <c r="A226" t="inlineStr">
        <is>
          <t>G00222</t>
        </is>
      </c>
      <c r="B226" t="inlineStr">
        <is>
          <t>OPS</t>
        </is>
      </c>
      <c r="C226" t="inlineStr">
        <is>
          <t>R03</t>
        </is>
      </c>
      <c r="D226" t="inlineStr">
        <is>
          <t>MATCH</t>
        </is>
      </c>
      <c r="E226" t="inlineStr">
        <is>
          <t>Banksia Plan Co</t>
        </is>
      </c>
      <c r="F226" t="n">
        <v>1</v>
      </c>
      <c r="G226" t="inlineStr">
        <is>
          <t>2 invoices</t>
        </is>
      </c>
      <c r="H226">
        <f>COUNTIFS('Bank Lines'!$G$5:$G$1640,A226,'Bank Lines'!$J$5:$J$1640,1)</f>
        <v>1</v>
      </c>
      <c r="I226">
        <f>COUNTIFS('Odoo Items'!$J$5:$J$4331,A226)</f>
        <v>2</v>
      </c>
      <c r="J226" s="9">
        <f>ROUND(SUMIFS('Bank Lines'!$E$5:$E$1640,'Bank Lines'!$G$5:$G$1640,A226,'Bank Lines'!$J$5:$J$1640,1),2)</f>
        <v>484.97</v>
      </c>
      <c r="K226" s="9">
        <f>ROUND(SUMIFS('Odoo Items'!$G$5:$G$4331,'Odoo Items'!$J$5:$J$4331,A226),2)</f>
        <v>484.97</v>
      </c>
      <c r="L226" s="9">
        <f>ROUND(J226-K226,2)</f>
        <v>0</v>
      </c>
      <c r="M226" s="9">
        <f>ROUND(SUMIFS('Bank Lines'!$E$5:$E$1640,'Bank Lines'!$G$5:$G$1640,A226,'Bank Lines'!$J$5:$J$1640,1,'Bank Lines'!$C$5:$C$1640,"&lt;="&amp;Cover!$C$13),2)</f>
        <v>484.97</v>
      </c>
      <c r="N226" s="9">
        <f>ROUND(SUMIFS('Odoo Items'!$G$5:$G$4331,'Odoo Items'!$J$5:$J$4331,A226,'Odoo Items'!$C$5:$C$4331,"&lt;="&amp;Cover!$C$13),2)</f>
        <v>484.97</v>
      </c>
      <c r="O226">
        <f>COUNTIFS('Bank Lines'!$G$5:$G$1640,A226,'Bank Lines'!$J$5:$J$1640,1,'Bank Lines'!$C$5:$C$1640,"&lt;="&amp;Cover!$C$13)</f>
        <v>1</v>
      </c>
      <c r="P226">
        <f>COUNTIFS('Odoo Items'!$J$5:$J$4331,A226,'Odoo Items'!$C$5:$C$4331,"&lt;="&amp;Cover!$C$13)</f>
        <v>2</v>
      </c>
      <c r="Q226" t="str">
        <f>IF(AND(O226=0,P226=0),"",IF(O226=0,"ODOO-ONLY",IF(P226=0,"BANK-ONLY","BOTH")))</f>
        <v>BOTH</v>
      </c>
      <c r="R226" s="9">
        <f>IF(Q226="BOTH",ROUND(M226-N226,2),0)</f>
        <v>0</v>
      </c>
      <c r="S226" s="9">
        <f>ROUND(SUMIFS('Bank Lines'!$E$5:$E$1640,'Bank Lines'!$G$5:$G$1640,A226,'Bank Lines'!$J$5:$J$1640,1,'Bank Lines'!$C$5:$C$1640,"&lt;="&amp;Cover!$C$14),2)</f>
        <v>484.97</v>
      </c>
      <c r="T226" s="9">
        <f>ROUND(SUMIFS('Odoo Items'!$G$5:$G$4331,'Odoo Items'!$J$5:$J$4331,A226,'Odoo Items'!$C$5:$C$4331,"&lt;="&amp;Cover!$C$14),2)</f>
        <v>484.97</v>
      </c>
      <c r="U226">
        <f>COUNTIFS('Bank Lines'!$G$5:$G$1640,A226,'Bank Lines'!$J$5:$J$1640,1,'Bank Lines'!$C$5:$C$1640,"&lt;="&amp;Cover!$C$14)</f>
        <v>1</v>
      </c>
      <c r="V226">
        <f>COUNTIFS('Odoo Items'!$J$5:$J$4331,A226,'Odoo Items'!$C$5:$C$4331,"&lt;="&amp;Cover!$C$14)</f>
        <v>2</v>
      </c>
      <c r="W226" t="str">
        <f>IF(AND(U226=0,V226=0),"",IF(U226=0,"ODOO-ONLY",IF(V226=0,"BANK-ONLY","BOTH")))</f>
        <v>BOTH</v>
      </c>
      <c r="X226" s="9">
        <f>IF(W226="BOTH",ROUND(S226-T226,2),0)</f>
        <v>0</v>
      </c>
      <c r="Y226" s="9">
        <f>ROUND(SUMIFS('Bank Lines'!$E$5:$E$1640,'Bank Lines'!$G$5:$G$1640,A226,'Bank Lines'!$J$5:$J$1640,1,'Bank Lines'!$C$5:$C$1640,"&lt;="&amp;Cover!$C$15),2)</f>
        <v>484.97</v>
      </c>
      <c r="Z226" s="9">
        <f>ROUND(SUMIFS('Odoo Items'!$G$5:$G$4331,'Odoo Items'!$J$5:$J$4331,A226,'Odoo Items'!$C$5:$C$4331,"&lt;="&amp;Cover!$C$15),2)</f>
        <v>484.97</v>
      </c>
      <c r="AA226">
        <f>COUNTIFS('Bank Lines'!$G$5:$G$1640,A226,'Bank Lines'!$J$5:$J$1640,1,'Bank Lines'!$C$5:$C$1640,"&lt;="&amp;Cover!$C$15)</f>
        <v>1</v>
      </c>
      <c r="AB226">
        <f>COUNTIFS('Odoo Items'!$J$5:$J$4331,A226,'Odoo Items'!$C$5:$C$4331,"&lt;="&amp;Cover!$C$15)</f>
        <v>2</v>
      </c>
      <c r="AC226" t="str">
        <f>IF(AND(AA226=0,AB226=0),"",IF(AA226=0,"ODOO-ONLY",IF(AB226=0,"BANK-ONLY","BOTH")))</f>
        <v>BOTH</v>
      </c>
      <c r="AD226" s="9">
        <f>IF(AC226="BOTH",ROUND(Y226-Z226,2),0)</f>
        <v>0</v>
      </c>
    </row>
    <row r="227">
      <c r="A227" t="inlineStr">
        <is>
          <t>G00223</t>
        </is>
      </c>
      <c r="B227" t="inlineStr">
        <is>
          <t>OPS</t>
        </is>
      </c>
      <c r="C227" t="inlineStr">
        <is>
          <t>R03</t>
        </is>
      </c>
      <c r="D227" t="inlineStr">
        <is>
          <t>MATCH</t>
        </is>
      </c>
      <c r="E227" t="inlineStr">
        <is>
          <t>Saltbush Plan Managers</t>
        </is>
      </c>
      <c r="F227" t="n">
        <v>1</v>
      </c>
      <c r="G227" t="inlineStr">
        <is>
          <t>12 invoices</t>
        </is>
      </c>
      <c r="H227">
        <f>COUNTIFS('Bank Lines'!$G$5:$G$1640,A227,'Bank Lines'!$J$5:$J$1640,1)</f>
        <v>1</v>
      </c>
      <c r="I227">
        <f>COUNTIFS('Odoo Items'!$J$5:$J$4331,A227)</f>
        <v>12</v>
      </c>
      <c r="J227" s="9">
        <f>ROUND(SUMIFS('Bank Lines'!$E$5:$E$1640,'Bank Lines'!$G$5:$G$1640,A227,'Bank Lines'!$J$5:$J$1640,1),2)</f>
        <v>3134.73</v>
      </c>
      <c r="K227" s="9">
        <f>ROUND(SUMIFS('Odoo Items'!$G$5:$G$4331,'Odoo Items'!$J$5:$J$4331,A227),2)</f>
        <v>3134.73</v>
      </c>
      <c r="L227" s="9">
        <f>ROUND(J227-K227,2)</f>
        <v>0</v>
      </c>
      <c r="M227" s="9">
        <f>ROUND(SUMIFS('Bank Lines'!$E$5:$E$1640,'Bank Lines'!$G$5:$G$1640,A227,'Bank Lines'!$J$5:$J$1640,1,'Bank Lines'!$C$5:$C$1640,"&lt;="&amp;Cover!$C$13),2)</f>
        <v>3134.73</v>
      </c>
      <c r="N227" s="9">
        <f>ROUND(SUMIFS('Odoo Items'!$G$5:$G$4331,'Odoo Items'!$J$5:$J$4331,A227,'Odoo Items'!$C$5:$C$4331,"&lt;="&amp;Cover!$C$13),2)</f>
        <v>3134.73</v>
      </c>
      <c r="O227">
        <f>COUNTIFS('Bank Lines'!$G$5:$G$1640,A227,'Bank Lines'!$J$5:$J$1640,1,'Bank Lines'!$C$5:$C$1640,"&lt;="&amp;Cover!$C$13)</f>
        <v>1</v>
      </c>
      <c r="P227">
        <f>COUNTIFS('Odoo Items'!$J$5:$J$4331,A227,'Odoo Items'!$C$5:$C$4331,"&lt;="&amp;Cover!$C$13)</f>
        <v>12</v>
      </c>
      <c r="Q227" t="str">
        <f>IF(AND(O227=0,P227=0),"",IF(O227=0,"ODOO-ONLY",IF(P227=0,"BANK-ONLY","BOTH")))</f>
        <v>BOTH</v>
      </c>
      <c r="R227" s="9">
        <f>IF(Q227="BOTH",ROUND(M227-N227,2),0)</f>
        <v>0</v>
      </c>
      <c r="S227" s="9">
        <f>ROUND(SUMIFS('Bank Lines'!$E$5:$E$1640,'Bank Lines'!$G$5:$G$1640,A227,'Bank Lines'!$J$5:$J$1640,1,'Bank Lines'!$C$5:$C$1640,"&lt;="&amp;Cover!$C$14),2)</f>
        <v>3134.73</v>
      </c>
      <c r="T227" s="9">
        <f>ROUND(SUMIFS('Odoo Items'!$G$5:$G$4331,'Odoo Items'!$J$5:$J$4331,A227,'Odoo Items'!$C$5:$C$4331,"&lt;="&amp;Cover!$C$14),2)</f>
        <v>3134.73</v>
      </c>
      <c r="U227">
        <f>COUNTIFS('Bank Lines'!$G$5:$G$1640,A227,'Bank Lines'!$J$5:$J$1640,1,'Bank Lines'!$C$5:$C$1640,"&lt;="&amp;Cover!$C$14)</f>
        <v>1</v>
      </c>
      <c r="V227">
        <f>COUNTIFS('Odoo Items'!$J$5:$J$4331,A227,'Odoo Items'!$C$5:$C$4331,"&lt;="&amp;Cover!$C$14)</f>
        <v>12</v>
      </c>
      <c r="W227" t="str">
        <f>IF(AND(U227=0,V227=0),"",IF(U227=0,"ODOO-ONLY",IF(V227=0,"BANK-ONLY","BOTH")))</f>
        <v>BOTH</v>
      </c>
      <c r="X227" s="9">
        <f>IF(W227="BOTH",ROUND(S227-T227,2),0)</f>
        <v>0</v>
      </c>
      <c r="Y227" s="9">
        <f>ROUND(SUMIFS('Bank Lines'!$E$5:$E$1640,'Bank Lines'!$G$5:$G$1640,A227,'Bank Lines'!$J$5:$J$1640,1,'Bank Lines'!$C$5:$C$1640,"&lt;="&amp;Cover!$C$15),2)</f>
        <v>3134.73</v>
      </c>
      <c r="Z227" s="9">
        <f>ROUND(SUMIFS('Odoo Items'!$G$5:$G$4331,'Odoo Items'!$J$5:$J$4331,A227,'Odoo Items'!$C$5:$C$4331,"&lt;="&amp;Cover!$C$15),2)</f>
        <v>3134.73</v>
      </c>
      <c r="AA227">
        <f>COUNTIFS('Bank Lines'!$G$5:$G$1640,A227,'Bank Lines'!$J$5:$J$1640,1,'Bank Lines'!$C$5:$C$1640,"&lt;="&amp;Cover!$C$15)</f>
        <v>1</v>
      </c>
      <c r="AB227">
        <f>COUNTIFS('Odoo Items'!$J$5:$J$4331,A227,'Odoo Items'!$C$5:$C$4331,"&lt;="&amp;Cover!$C$15)</f>
        <v>12</v>
      </c>
      <c r="AC227" t="str">
        <f>IF(AND(AA227=0,AB227=0),"",IF(AA227=0,"ODOO-ONLY",IF(AB227=0,"BANK-ONLY","BOTH")))</f>
        <v>BOTH</v>
      </c>
      <c r="AD227" s="9">
        <f>IF(AC227="BOTH",ROUND(Y227-Z227,2),0)</f>
        <v>0</v>
      </c>
    </row>
    <row r="228">
      <c r="A228" t="inlineStr">
        <is>
          <t>G00224</t>
        </is>
      </c>
      <c r="B228" t="inlineStr">
        <is>
          <t>OPS</t>
        </is>
      </c>
      <c r="C228" t="inlineStr">
        <is>
          <t>R03</t>
        </is>
      </c>
      <c r="D228" t="inlineStr">
        <is>
          <t>MATCH</t>
        </is>
      </c>
      <c r="E228" t="inlineStr">
        <is>
          <t>Southern Cross Plan Mgmt</t>
        </is>
      </c>
      <c r="F228" t="n">
        <v>0.955</v>
      </c>
      <c r="G228" t="inlineStr">
        <is>
          <t>6 invoices</t>
        </is>
      </c>
      <c r="H228">
        <f>COUNTIFS('Bank Lines'!$G$5:$G$1640,A228,'Bank Lines'!$J$5:$J$1640,1)</f>
        <v>1</v>
      </c>
      <c r="I228">
        <f>COUNTIFS('Odoo Items'!$J$5:$J$4331,A228)</f>
        <v>6</v>
      </c>
      <c r="J228" s="9">
        <f>ROUND(SUMIFS('Bank Lines'!$E$5:$E$1640,'Bank Lines'!$G$5:$G$1640,A228,'Bank Lines'!$J$5:$J$1640,1),2)</f>
        <v>1339.42</v>
      </c>
      <c r="K228" s="9">
        <f>ROUND(SUMIFS('Odoo Items'!$G$5:$G$4331,'Odoo Items'!$J$5:$J$4331,A228),2)</f>
        <v>1339.42</v>
      </c>
      <c r="L228" s="9">
        <f>ROUND(J228-K228,2)</f>
        <v>0</v>
      </c>
      <c r="M228" s="9">
        <f>ROUND(SUMIFS('Bank Lines'!$E$5:$E$1640,'Bank Lines'!$G$5:$G$1640,A228,'Bank Lines'!$J$5:$J$1640,1,'Bank Lines'!$C$5:$C$1640,"&lt;="&amp;Cover!$C$13),2)</f>
        <v>1339.42</v>
      </c>
      <c r="N228" s="9">
        <f>ROUND(SUMIFS('Odoo Items'!$G$5:$G$4331,'Odoo Items'!$J$5:$J$4331,A228,'Odoo Items'!$C$5:$C$4331,"&lt;="&amp;Cover!$C$13),2)</f>
        <v>1339.42</v>
      </c>
      <c r="O228">
        <f>COUNTIFS('Bank Lines'!$G$5:$G$1640,A228,'Bank Lines'!$J$5:$J$1640,1,'Bank Lines'!$C$5:$C$1640,"&lt;="&amp;Cover!$C$13)</f>
        <v>1</v>
      </c>
      <c r="P228">
        <f>COUNTIFS('Odoo Items'!$J$5:$J$4331,A228,'Odoo Items'!$C$5:$C$4331,"&lt;="&amp;Cover!$C$13)</f>
        <v>6</v>
      </c>
      <c r="Q228" t="str">
        <f>IF(AND(O228=0,P228=0),"",IF(O228=0,"ODOO-ONLY",IF(P228=0,"BANK-ONLY","BOTH")))</f>
        <v>BOTH</v>
      </c>
      <c r="R228" s="9">
        <f>IF(Q228="BOTH",ROUND(M228-N228,2),0)</f>
        <v>0</v>
      </c>
      <c r="S228" s="9">
        <f>ROUND(SUMIFS('Bank Lines'!$E$5:$E$1640,'Bank Lines'!$G$5:$G$1640,A228,'Bank Lines'!$J$5:$J$1640,1,'Bank Lines'!$C$5:$C$1640,"&lt;="&amp;Cover!$C$14),2)</f>
        <v>1339.42</v>
      </c>
      <c r="T228" s="9">
        <f>ROUND(SUMIFS('Odoo Items'!$G$5:$G$4331,'Odoo Items'!$J$5:$J$4331,A228,'Odoo Items'!$C$5:$C$4331,"&lt;="&amp;Cover!$C$14),2)</f>
        <v>1339.42</v>
      </c>
      <c r="U228">
        <f>COUNTIFS('Bank Lines'!$G$5:$G$1640,A228,'Bank Lines'!$J$5:$J$1640,1,'Bank Lines'!$C$5:$C$1640,"&lt;="&amp;Cover!$C$14)</f>
        <v>1</v>
      </c>
      <c r="V228">
        <f>COUNTIFS('Odoo Items'!$J$5:$J$4331,A228,'Odoo Items'!$C$5:$C$4331,"&lt;="&amp;Cover!$C$14)</f>
        <v>6</v>
      </c>
      <c r="W228" t="str">
        <f>IF(AND(U228=0,V228=0),"",IF(U228=0,"ODOO-ONLY",IF(V228=0,"BANK-ONLY","BOTH")))</f>
        <v>BOTH</v>
      </c>
      <c r="X228" s="9">
        <f>IF(W228="BOTH",ROUND(S228-T228,2),0)</f>
        <v>0</v>
      </c>
      <c r="Y228" s="9">
        <f>ROUND(SUMIFS('Bank Lines'!$E$5:$E$1640,'Bank Lines'!$G$5:$G$1640,A228,'Bank Lines'!$J$5:$J$1640,1,'Bank Lines'!$C$5:$C$1640,"&lt;="&amp;Cover!$C$15),2)</f>
        <v>1339.42</v>
      </c>
      <c r="Z228" s="9">
        <f>ROUND(SUMIFS('Odoo Items'!$G$5:$G$4331,'Odoo Items'!$J$5:$J$4331,A228,'Odoo Items'!$C$5:$C$4331,"&lt;="&amp;Cover!$C$15),2)</f>
        <v>1339.42</v>
      </c>
      <c r="AA228">
        <f>COUNTIFS('Bank Lines'!$G$5:$G$1640,A228,'Bank Lines'!$J$5:$J$1640,1,'Bank Lines'!$C$5:$C$1640,"&lt;="&amp;Cover!$C$15)</f>
        <v>1</v>
      </c>
      <c r="AB228">
        <f>COUNTIFS('Odoo Items'!$J$5:$J$4331,A228,'Odoo Items'!$C$5:$C$4331,"&lt;="&amp;Cover!$C$15)</f>
        <v>6</v>
      </c>
      <c r="AC228" t="str">
        <f>IF(AND(AA228=0,AB228=0),"",IF(AA228=0,"ODOO-ONLY",IF(AB228=0,"BANK-ONLY","BOTH")))</f>
        <v>BOTH</v>
      </c>
      <c r="AD228" s="9">
        <f>IF(AC228="BOTH",ROUND(Y228-Z228,2),0)</f>
        <v>0</v>
      </c>
    </row>
    <row r="229">
      <c r="A229" t="inlineStr">
        <is>
          <t>G00225</t>
        </is>
      </c>
      <c r="B229" t="inlineStr">
        <is>
          <t>OPS</t>
        </is>
      </c>
      <c r="C229" t="inlineStr">
        <is>
          <t>R03</t>
        </is>
      </c>
      <c r="D229" t="inlineStr">
        <is>
          <t>MATCH</t>
        </is>
      </c>
      <c r="E229" t="inlineStr">
        <is>
          <t>Acacia Plan Partners</t>
        </is>
      </c>
      <c r="F229" t="n">
        <v>1</v>
      </c>
      <c r="G229" t="inlineStr">
        <is>
          <t>1 invoices</t>
        </is>
      </c>
      <c r="H229">
        <f>COUNTIFS('Bank Lines'!$G$5:$G$1640,A229,'Bank Lines'!$J$5:$J$1640,1)</f>
        <v>1</v>
      </c>
      <c r="I229">
        <f>COUNTIFS('Odoo Items'!$J$5:$J$4331,A229)</f>
        <v>1</v>
      </c>
      <c r="J229" s="9">
        <f>ROUND(SUMIFS('Bank Lines'!$E$5:$E$1640,'Bank Lines'!$G$5:$G$1640,A229,'Bank Lines'!$J$5:$J$1640,1),2)</f>
        <v>290.98</v>
      </c>
      <c r="K229" s="9">
        <f>ROUND(SUMIFS('Odoo Items'!$G$5:$G$4331,'Odoo Items'!$J$5:$J$4331,A229),2)</f>
        <v>290.98</v>
      </c>
      <c r="L229" s="9">
        <f>ROUND(J229-K229,2)</f>
        <v>0</v>
      </c>
      <c r="M229" s="9">
        <f>ROUND(SUMIFS('Bank Lines'!$E$5:$E$1640,'Bank Lines'!$G$5:$G$1640,A229,'Bank Lines'!$J$5:$J$1640,1,'Bank Lines'!$C$5:$C$1640,"&lt;="&amp;Cover!$C$13),2)</f>
        <v>290.98</v>
      </c>
      <c r="N229" s="9">
        <f>ROUND(SUMIFS('Odoo Items'!$G$5:$G$4331,'Odoo Items'!$J$5:$J$4331,A229,'Odoo Items'!$C$5:$C$4331,"&lt;="&amp;Cover!$C$13),2)</f>
        <v>290.98</v>
      </c>
      <c r="O229">
        <f>COUNTIFS('Bank Lines'!$G$5:$G$1640,A229,'Bank Lines'!$J$5:$J$1640,1,'Bank Lines'!$C$5:$C$1640,"&lt;="&amp;Cover!$C$13)</f>
        <v>1</v>
      </c>
      <c r="P229">
        <f>COUNTIFS('Odoo Items'!$J$5:$J$4331,A229,'Odoo Items'!$C$5:$C$4331,"&lt;="&amp;Cover!$C$13)</f>
        <v>1</v>
      </c>
      <c r="Q229" t="str">
        <f>IF(AND(O229=0,P229=0),"",IF(O229=0,"ODOO-ONLY",IF(P229=0,"BANK-ONLY","BOTH")))</f>
        <v>BOTH</v>
      </c>
      <c r="R229" s="9">
        <f>IF(Q229="BOTH",ROUND(M229-N229,2),0)</f>
        <v>0</v>
      </c>
      <c r="S229" s="9">
        <f>ROUND(SUMIFS('Bank Lines'!$E$5:$E$1640,'Bank Lines'!$G$5:$G$1640,A229,'Bank Lines'!$J$5:$J$1640,1,'Bank Lines'!$C$5:$C$1640,"&lt;="&amp;Cover!$C$14),2)</f>
        <v>290.98</v>
      </c>
      <c r="T229" s="9">
        <f>ROUND(SUMIFS('Odoo Items'!$G$5:$G$4331,'Odoo Items'!$J$5:$J$4331,A229,'Odoo Items'!$C$5:$C$4331,"&lt;="&amp;Cover!$C$14),2)</f>
        <v>290.98</v>
      </c>
      <c r="U229">
        <f>COUNTIFS('Bank Lines'!$G$5:$G$1640,A229,'Bank Lines'!$J$5:$J$1640,1,'Bank Lines'!$C$5:$C$1640,"&lt;="&amp;Cover!$C$14)</f>
        <v>1</v>
      </c>
      <c r="V229">
        <f>COUNTIFS('Odoo Items'!$J$5:$J$4331,A229,'Odoo Items'!$C$5:$C$4331,"&lt;="&amp;Cover!$C$14)</f>
        <v>1</v>
      </c>
      <c r="W229" t="str">
        <f>IF(AND(U229=0,V229=0),"",IF(U229=0,"ODOO-ONLY",IF(V229=0,"BANK-ONLY","BOTH")))</f>
        <v>BOTH</v>
      </c>
      <c r="X229" s="9">
        <f>IF(W229="BOTH",ROUND(S229-T229,2),0)</f>
        <v>0</v>
      </c>
      <c r="Y229" s="9">
        <f>ROUND(SUMIFS('Bank Lines'!$E$5:$E$1640,'Bank Lines'!$G$5:$G$1640,A229,'Bank Lines'!$J$5:$J$1640,1,'Bank Lines'!$C$5:$C$1640,"&lt;="&amp;Cover!$C$15),2)</f>
        <v>290.98</v>
      </c>
      <c r="Z229" s="9">
        <f>ROUND(SUMIFS('Odoo Items'!$G$5:$G$4331,'Odoo Items'!$J$5:$J$4331,A229,'Odoo Items'!$C$5:$C$4331,"&lt;="&amp;Cover!$C$15),2)</f>
        <v>290.98</v>
      </c>
      <c r="AA229">
        <f>COUNTIFS('Bank Lines'!$G$5:$G$1640,A229,'Bank Lines'!$J$5:$J$1640,1,'Bank Lines'!$C$5:$C$1640,"&lt;="&amp;Cover!$C$15)</f>
        <v>1</v>
      </c>
      <c r="AB229">
        <f>COUNTIFS('Odoo Items'!$J$5:$J$4331,A229,'Odoo Items'!$C$5:$C$4331,"&lt;="&amp;Cover!$C$15)</f>
        <v>1</v>
      </c>
      <c r="AC229" t="str">
        <f>IF(AND(AA229=0,AB229=0),"",IF(AA229=0,"ODOO-ONLY",IF(AB229=0,"BANK-ONLY","BOTH")))</f>
        <v>BOTH</v>
      </c>
      <c r="AD229" s="9">
        <f>IF(AC229="BOTH",ROUND(Y229-Z229,2),0)</f>
        <v>0</v>
      </c>
    </row>
    <row r="230">
      <c r="A230" t="inlineStr">
        <is>
          <t>G00226</t>
        </is>
      </c>
      <c r="B230" t="inlineStr">
        <is>
          <t>OPS</t>
        </is>
      </c>
      <c r="C230" t="inlineStr">
        <is>
          <t>R03</t>
        </is>
      </c>
      <c r="D230" t="inlineStr">
        <is>
          <t>MATCH</t>
        </is>
      </c>
      <c r="E230" t="inlineStr">
        <is>
          <t>Mallee Plan Services</t>
        </is>
      </c>
      <c r="F230" t="n">
        <v>1</v>
      </c>
      <c r="G230" t="inlineStr">
        <is>
          <t>2 invoices</t>
        </is>
      </c>
      <c r="H230">
        <f>COUNTIFS('Bank Lines'!$G$5:$G$1640,A230,'Bank Lines'!$J$5:$J$1640,1)</f>
        <v>1</v>
      </c>
      <c r="I230">
        <f>COUNTIFS('Odoo Items'!$J$5:$J$4331,A230)</f>
        <v>2</v>
      </c>
      <c r="J230" s="9">
        <f>ROUND(SUMIFS('Bank Lines'!$E$5:$E$1640,'Bank Lines'!$G$5:$G$1640,A230,'Bank Lines'!$J$5:$J$1640,1),2)</f>
        <v>688.67</v>
      </c>
      <c r="K230" s="9">
        <f>ROUND(SUMIFS('Odoo Items'!$G$5:$G$4331,'Odoo Items'!$J$5:$J$4331,A230),2)</f>
        <v>688.67</v>
      </c>
      <c r="L230" s="9">
        <f>ROUND(J230-K230,2)</f>
        <v>0</v>
      </c>
      <c r="M230" s="9">
        <f>ROUND(SUMIFS('Bank Lines'!$E$5:$E$1640,'Bank Lines'!$G$5:$G$1640,A230,'Bank Lines'!$J$5:$J$1640,1,'Bank Lines'!$C$5:$C$1640,"&lt;="&amp;Cover!$C$13),2)</f>
        <v>688.67</v>
      </c>
      <c r="N230" s="9">
        <f>ROUND(SUMIFS('Odoo Items'!$G$5:$G$4331,'Odoo Items'!$J$5:$J$4331,A230,'Odoo Items'!$C$5:$C$4331,"&lt;="&amp;Cover!$C$13),2)</f>
        <v>688.67</v>
      </c>
      <c r="O230">
        <f>COUNTIFS('Bank Lines'!$G$5:$G$1640,A230,'Bank Lines'!$J$5:$J$1640,1,'Bank Lines'!$C$5:$C$1640,"&lt;="&amp;Cover!$C$13)</f>
        <v>1</v>
      </c>
      <c r="P230">
        <f>COUNTIFS('Odoo Items'!$J$5:$J$4331,A230,'Odoo Items'!$C$5:$C$4331,"&lt;="&amp;Cover!$C$13)</f>
        <v>2</v>
      </c>
      <c r="Q230" t="str">
        <f>IF(AND(O230=0,P230=0),"",IF(O230=0,"ODOO-ONLY",IF(P230=0,"BANK-ONLY","BOTH")))</f>
        <v>BOTH</v>
      </c>
      <c r="R230" s="9">
        <f>IF(Q230="BOTH",ROUND(M230-N230,2),0)</f>
        <v>0</v>
      </c>
      <c r="S230" s="9">
        <f>ROUND(SUMIFS('Bank Lines'!$E$5:$E$1640,'Bank Lines'!$G$5:$G$1640,A230,'Bank Lines'!$J$5:$J$1640,1,'Bank Lines'!$C$5:$C$1640,"&lt;="&amp;Cover!$C$14),2)</f>
        <v>688.67</v>
      </c>
      <c r="T230" s="9">
        <f>ROUND(SUMIFS('Odoo Items'!$G$5:$G$4331,'Odoo Items'!$J$5:$J$4331,A230,'Odoo Items'!$C$5:$C$4331,"&lt;="&amp;Cover!$C$14),2)</f>
        <v>688.67</v>
      </c>
      <c r="U230">
        <f>COUNTIFS('Bank Lines'!$G$5:$G$1640,A230,'Bank Lines'!$J$5:$J$1640,1,'Bank Lines'!$C$5:$C$1640,"&lt;="&amp;Cover!$C$14)</f>
        <v>1</v>
      </c>
      <c r="V230">
        <f>COUNTIFS('Odoo Items'!$J$5:$J$4331,A230,'Odoo Items'!$C$5:$C$4331,"&lt;="&amp;Cover!$C$14)</f>
        <v>2</v>
      </c>
      <c r="W230" t="str">
        <f>IF(AND(U230=0,V230=0),"",IF(U230=0,"ODOO-ONLY",IF(V230=0,"BANK-ONLY","BOTH")))</f>
        <v>BOTH</v>
      </c>
      <c r="X230" s="9">
        <f>IF(W230="BOTH",ROUND(S230-T230,2),0)</f>
        <v>0</v>
      </c>
      <c r="Y230" s="9">
        <f>ROUND(SUMIFS('Bank Lines'!$E$5:$E$1640,'Bank Lines'!$G$5:$G$1640,A230,'Bank Lines'!$J$5:$J$1640,1,'Bank Lines'!$C$5:$C$1640,"&lt;="&amp;Cover!$C$15),2)</f>
        <v>688.67</v>
      </c>
      <c r="Z230" s="9">
        <f>ROUND(SUMIFS('Odoo Items'!$G$5:$G$4331,'Odoo Items'!$J$5:$J$4331,A230,'Odoo Items'!$C$5:$C$4331,"&lt;="&amp;Cover!$C$15),2)</f>
        <v>688.67</v>
      </c>
      <c r="AA230">
        <f>COUNTIFS('Bank Lines'!$G$5:$G$1640,A230,'Bank Lines'!$J$5:$J$1640,1,'Bank Lines'!$C$5:$C$1640,"&lt;="&amp;Cover!$C$15)</f>
        <v>1</v>
      </c>
      <c r="AB230">
        <f>COUNTIFS('Odoo Items'!$J$5:$J$4331,A230,'Odoo Items'!$C$5:$C$4331,"&lt;="&amp;Cover!$C$15)</f>
        <v>2</v>
      </c>
      <c r="AC230" t="str">
        <f>IF(AND(AA230=0,AB230=0),"",IF(AA230=0,"ODOO-ONLY",IF(AB230=0,"BANK-ONLY","BOTH")))</f>
        <v>BOTH</v>
      </c>
      <c r="AD230" s="9">
        <f>IF(AC230="BOTH",ROUND(Y230-Z230,2),0)</f>
        <v>0</v>
      </c>
    </row>
    <row r="231">
      <c r="A231" t="inlineStr">
        <is>
          <t>G00227</t>
        </is>
      </c>
      <c r="B231" t="inlineStr">
        <is>
          <t>OPS</t>
        </is>
      </c>
      <c r="C231" t="inlineStr">
        <is>
          <t>R03</t>
        </is>
      </c>
      <c r="D231" t="inlineStr">
        <is>
          <t>MATCH</t>
        </is>
      </c>
      <c r="E231" t="inlineStr">
        <is>
          <t>Bluegum Plan Management</t>
        </is>
      </c>
      <c r="F231" t="n">
        <v>1</v>
      </c>
      <c r="G231" t="inlineStr">
        <is>
          <t>3 invoices</t>
        </is>
      </c>
      <c r="H231">
        <f>COUNTIFS('Bank Lines'!$G$5:$G$1640,A231,'Bank Lines'!$J$5:$J$1640,1)</f>
        <v>1</v>
      </c>
      <c r="I231">
        <f>COUNTIFS('Odoo Items'!$J$5:$J$4331,A231)</f>
        <v>3</v>
      </c>
      <c r="J231" s="9">
        <f>ROUND(SUMIFS('Bank Lines'!$E$5:$E$1640,'Bank Lines'!$G$5:$G$1640,A231,'Bank Lines'!$J$5:$J$1640,1),2)</f>
        <v>727.46</v>
      </c>
      <c r="K231" s="9">
        <f>ROUND(SUMIFS('Odoo Items'!$G$5:$G$4331,'Odoo Items'!$J$5:$J$4331,A231),2)</f>
        <v>727.46</v>
      </c>
      <c r="L231" s="9">
        <f>ROUND(J231-K231,2)</f>
        <v>0</v>
      </c>
      <c r="M231" s="9">
        <f>ROUND(SUMIFS('Bank Lines'!$E$5:$E$1640,'Bank Lines'!$G$5:$G$1640,A231,'Bank Lines'!$J$5:$J$1640,1,'Bank Lines'!$C$5:$C$1640,"&lt;="&amp;Cover!$C$13),2)</f>
        <v>727.46</v>
      </c>
      <c r="N231" s="9">
        <f>ROUND(SUMIFS('Odoo Items'!$G$5:$G$4331,'Odoo Items'!$J$5:$J$4331,A231,'Odoo Items'!$C$5:$C$4331,"&lt;="&amp;Cover!$C$13),2)</f>
        <v>727.46</v>
      </c>
      <c r="O231">
        <f>COUNTIFS('Bank Lines'!$G$5:$G$1640,A231,'Bank Lines'!$J$5:$J$1640,1,'Bank Lines'!$C$5:$C$1640,"&lt;="&amp;Cover!$C$13)</f>
        <v>1</v>
      </c>
      <c r="P231">
        <f>COUNTIFS('Odoo Items'!$J$5:$J$4331,A231,'Odoo Items'!$C$5:$C$4331,"&lt;="&amp;Cover!$C$13)</f>
        <v>3</v>
      </c>
      <c r="Q231" t="str">
        <f>IF(AND(O231=0,P231=0),"",IF(O231=0,"ODOO-ONLY",IF(P231=0,"BANK-ONLY","BOTH")))</f>
        <v>BOTH</v>
      </c>
      <c r="R231" s="9">
        <f>IF(Q231="BOTH",ROUND(M231-N231,2),0)</f>
        <v>0</v>
      </c>
      <c r="S231" s="9">
        <f>ROUND(SUMIFS('Bank Lines'!$E$5:$E$1640,'Bank Lines'!$G$5:$G$1640,A231,'Bank Lines'!$J$5:$J$1640,1,'Bank Lines'!$C$5:$C$1640,"&lt;="&amp;Cover!$C$14),2)</f>
        <v>727.46</v>
      </c>
      <c r="T231" s="9">
        <f>ROUND(SUMIFS('Odoo Items'!$G$5:$G$4331,'Odoo Items'!$J$5:$J$4331,A231,'Odoo Items'!$C$5:$C$4331,"&lt;="&amp;Cover!$C$14),2)</f>
        <v>727.46</v>
      </c>
      <c r="U231">
        <f>COUNTIFS('Bank Lines'!$G$5:$G$1640,A231,'Bank Lines'!$J$5:$J$1640,1,'Bank Lines'!$C$5:$C$1640,"&lt;="&amp;Cover!$C$14)</f>
        <v>1</v>
      </c>
      <c r="V231">
        <f>COUNTIFS('Odoo Items'!$J$5:$J$4331,A231,'Odoo Items'!$C$5:$C$4331,"&lt;="&amp;Cover!$C$14)</f>
        <v>3</v>
      </c>
      <c r="W231" t="str">
        <f>IF(AND(U231=0,V231=0),"",IF(U231=0,"ODOO-ONLY",IF(V231=0,"BANK-ONLY","BOTH")))</f>
        <v>BOTH</v>
      </c>
      <c r="X231" s="9">
        <f>IF(W231="BOTH",ROUND(S231-T231,2),0)</f>
        <v>0</v>
      </c>
      <c r="Y231" s="9">
        <f>ROUND(SUMIFS('Bank Lines'!$E$5:$E$1640,'Bank Lines'!$G$5:$G$1640,A231,'Bank Lines'!$J$5:$J$1640,1,'Bank Lines'!$C$5:$C$1640,"&lt;="&amp;Cover!$C$15),2)</f>
        <v>727.46</v>
      </c>
      <c r="Z231" s="9">
        <f>ROUND(SUMIFS('Odoo Items'!$G$5:$G$4331,'Odoo Items'!$J$5:$J$4331,A231,'Odoo Items'!$C$5:$C$4331,"&lt;="&amp;Cover!$C$15),2)</f>
        <v>727.46</v>
      </c>
      <c r="AA231">
        <f>COUNTIFS('Bank Lines'!$G$5:$G$1640,A231,'Bank Lines'!$J$5:$J$1640,1,'Bank Lines'!$C$5:$C$1640,"&lt;="&amp;Cover!$C$15)</f>
        <v>1</v>
      </c>
      <c r="AB231">
        <f>COUNTIFS('Odoo Items'!$J$5:$J$4331,A231,'Odoo Items'!$C$5:$C$4331,"&lt;="&amp;Cover!$C$15)</f>
        <v>3</v>
      </c>
      <c r="AC231" t="str">
        <f>IF(AND(AA231=0,AB231=0),"",IF(AA231=0,"ODOO-ONLY",IF(AB231=0,"BANK-ONLY","BOTH")))</f>
        <v>BOTH</v>
      </c>
      <c r="AD231" s="9">
        <f>IF(AC231="BOTH",ROUND(Y231-Z231,2),0)</f>
        <v>0</v>
      </c>
    </row>
    <row r="232">
      <c r="A232" t="inlineStr">
        <is>
          <t>G00228</t>
        </is>
      </c>
      <c r="B232" t="inlineStr">
        <is>
          <t>OPS</t>
        </is>
      </c>
      <c r="C232" t="inlineStr">
        <is>
          <t>R03</t>
        </is>
      </c>
      <c r="D232" t="inlineStr">
        <is>
          <t>MATCH</t>
        </is>
      </c>
      <c r="E232" t="inlineStr">
        <is>
          <t>Clearpath NDIS Plans</t>
        </is>
      </c>
      <c r="F232" t="n">
        <v>1</v>
      </c>
      <c r="G232" t="inlineStr">
        <is>
          <t>3 invoices</t>
        </is>
      </c>
      <c r="H232">
        <f>COUNTIFS('Bank Lines'!$G$5:$G$1640,A232,'Bank Lines'!$J$5:$J$1640,1)</f>
        <v>1</v>
      </c>
      <c r="I232">
        <f>COUNTIFS('Odoo Items'!$J$5:$J$4331,A232)</f>
        <v>3</v>
      </c>
      <c r="J232" s="9">
        <f>ROUND(SUMIFS('Bank Lines'!$E$5:$E$1640,'Bank Lines'!$G$5:$G$1640,A232,'Bank Lines'!$J$5:$J$1640,1),2)</f>
        <v>484.96</v>
      </c>
      <c r="K232" s="9">
        <f>ROUND(SUMIFS('Odoo Items'!$G$5:$G$4331,'Odoo Items'!$J$5:$J$4331,A232),2)</f>
        <v>484.96</v>
      </c>
      <c r="L232" s="9">
        <f>ROUND(J232-K232,2)</f>
        <v>0</v>
      </c>
      <c r="M232" s="9">
        <f>ROUND(SUMIFS('Bank Lines'!$E$5:$E$1640,'Bank Lines'!$G$5:$G$1640,A232,'Bank Lines'!$J$5:$J$1640,1,'Bank Lines'!$C$5:$C$1640,"&lt;="&amp;Cover!$C$13),2)</f>
        <v>484.96</v>
      </c>
      <c r="N232" s="9">
        <f>ROUND(SUMIFS('Odoo Items'!$G$5:$G$4331,'Odoo Items'!$J$5:$J$4331,A232,'Odoo Items'!$C$5:$C$4331,"&lt;="&amp;Cover!$C$13),2)</f>
        <v>484.96</v>
      </c>
      <c r="O232">
        <f>COUNTIFS('Bank Lines'!$G$5:$G$1640,A232,'Bank Lines'!$J$5:$J$1640,1,'Bank Lines'!$C$5:$C$1640,"&lt;="&amp;Cover!$C$13)</f>
        <v>1</v>
      </c>
      <c r="P232">
        <f>COUNTIFS('Odoo Items'!$J$5:$J$4331,A232,'Odoo Items'!$C$5:$C$4331,"&lt;="&amp;Cover!$C$13)</f>
        <v>3</v>
      </c>
      <c r="Q232" t="str">
        <f>IF(AND(O232=0,P232=0),"",IF(O232=0,"ODOO-ONLY",IF(P232=0,"BANK-ONLY","BOTH")))</f>
        <v>BOTH</v>
      </c>
      <c r="R232" s="9">
        <f>IF(Q232="BOTH",ROUND(M232-N232,2),0)</f>
        <v>0</v>
      </c>
      <c r="S232" s="9">
        <f>ROUND(SUMIFS('Bank Lines'!$E$5:$E$1640,'Bank Lines'!$G$5:$G$1640,A232,'Bank Lines'!$J$5:$J$1640,1,'Bank Lines'!$C$5:$C$1640,"&lt;="&amp;Cover!$C$14),2)</f>
        <v>484.96</v>
      </c>
      <c r="T232" s="9">
        <f>ROUND(SUMIFS('Odoo Items'!$G$5:$G$4331,'Odoo Items'!$J$5:$J$4331,A232,'Odoo Items'!$C$5:$C$4331,"&lt;="&amp;Cover!$C$14),2)</f>
        <v>484.96</v>
      </c>
      <c r="U232">
        <f>COUNTIFS('Bank Lines'!$G$5:$G$1640,A232,'Bank Lines'!$J$5:$J$1640,1,'Bank Lines'!$C$5:$C$1640,"&lt;="&amp;Cover!$C$14)</f>
        <v>1</v>
      </c>
      <c r="V232">
        <f>COUNTIFS('Odoo Items'!$J$5:$J$4331,A232,'Odoo Items'!$C$5:$C$4331,"&lt;="&amp;Cover!$C$14)</f>
        <v>3</v>
      </c>
      <c r="W232" t="str">
        <f>IF(AND(U232=0,V232=0),"",IF(U232=0,"ODOO-ONLY",IF(V232=0,"BANK-ONLY","BOTH")))</f>
        <v>BOTH</v>
      </c>
      <c r="X232" s="9">
        <f>IF(W232="BOTH",ROUND(S232-T232,2),0)</f>
        <v>0</v>
      </c>
      <c r="Y232" s="9">
        <f>ROUND(SUMIFS('Bank Lines'!$E$5:$E$1640,'Bank Lines'!$G$5:$G$1640,A232,'Bank Lines'!$J$5:$J$1640,1,'Bank Lines'!$C$5:$C$1640,"&lt;="&amp;Cover!$C$15),2)</f>
        <v>484.96</v>
      </c>
      <c r="Z232" s="9">
        <f>ROUND(SUMIFS('Odoo Items'!$G$5:$G$4331,'Odoo Items'!$J$5:$J$4331,A232,'Odoo Items'!$C$5:$C$4331,"&lt;="&amp;Cover!$C$15),2)</f>
        <v>484.96</v>
      </c>
      <c r="AA232">
        <f>COUNTIFS('Bank Lines'!$G$5:$G$1640,A232,'Bank Lines'!$J$5:$J$1640,1,'Bank Lines'!$C$5:$C$1640,"&lt;="&amp;Cover!$C$15)</f>
        <v>1</v>
      </c>
      <c r="AB232">
        <f>COUNTIFS('Odoo Items'!$J$5:$J$4331,A232,'Odoo Items'!$C$5:$C$4331,"&lt;="&amp;Cover!$C$15)</f>
        <v>3</v>
      </c>
      <c r="AC232" t="str">
        <f>IF(AND(AA232=0,AB232=0),"",IF(AA232=0,"ODOO-ONLY",IF(AB232=0,"BANK-ONLY","BOTH")))</f>
        <v>BOTH</v>
      </c>
      <c r="AD232" s="9">
        <f>IF(AC232="BOTH",ROUND(Y232-Z232,2),0)</f>
        <v>0</v>
      </c>
    </row>
    <row r="233">
      <c r="A233" t="inlineStr">
        <is>
          <t>G00229</t>
        </is>
      </c>
      <c r="B233" t="inlineStr">
        <is>
          <t>OPS</t>
        </is>
      </c>
      <c r="C233" t="inlineStr">
        <is>
          <t>R03</t>
        </is>
      </c>
      <c r="D233" t="inlineStr">
        <is>
          <t>MATCH</t>
        </is>
      </c>
      <c r="E233" t="inlineStr">
        <is>
          <t>Wattle Plan Services</t>
        </is>
      </c>
      <c r="F233" t="n">
        <v>1</v>
      </c>
      <c r="G233" t="inlineStr">
        <is>
          <t>12 invoices</t>
        </is>
      </c>
      <c r="H233">
        <f>COUNTIFS('Bank Lines'!$G$5:$G$1640,A233,'Bank Lines'!$J$5:$J$1640,1)</f>
        <v>1</v>
      </c>
      <c r="I233">
        <f>COUNTIFS('Odoo Items'!$J$5:$J$4331,A233)</f>
        <v>12</v>
      </c>
      <c r="J233" s="9">
        <f>ROUND(SUMIFS('Bank Lines'!$E$5:$E$1640,'Bank Lines'!$G$5:$G$1640,A233,'Bank Lines'!$J$5:$J$1640,1),2)</f>
        <v>3058.03</v>
      </c>
      <c r="K233" s="9">
        <f>ROUND(SUMIFS('Odoo Items'!$G$5:$G$4331,'Odoo Items'!$J$5:$J$4331,A233),2)</f>
        <v>3058.03</v>
      </c>
      <c r="L233" s="9">
        <f>ROUND(J233-K233,2)</f>
        <v>0</v>
      </c>
      <c r="M233" s="9">
        <f>ROUND(SUMIFS('Bank Lines'!$E$5:$E$1640,'Bank Lines'!$G$5:$G$1640,A233,'Bank Lines'!$J$5:$J$1640,1,'Bank Lines'!$C$5:$C$1640,"&lt;="&amp;Cover!$C$13),2)</f>
        <v>3058.03</v>
      </c>
      <c r="N233" s="9">
        <f>ROUND(SUMIFS('Odoo Items'!$G$5:$G$4331,'Odoo Items'!$J$5:$J$4331,A233,'Odoo Items'!$C$5:$C$4331,"&lt;="&amp;Cover!$C$13),2)</f>
        <v>3058.03</v>
      </c>
      <c r="O233">
        <f>COUNTIFS('Bank Lines'!$G$5:$G$1640,A233,'Bank Lines'!$J$5:$J$1640,1,'Bank Lines'!$C$5:$C$1640,"&lt;="&amp;Cover!$C$13)</f>
        <v>1</v>
      </c>
      <c r="P233">
        <f>COUNTIFS('Odoo Items'!$J$5:$J$4331,A233,'Odoo Items'!$C$5:$C$4331,"&lt;="&amp;Cover!$C$13)</f>
        <v>12</v>
      </c>
      <c r="Q233" t="str">
        <f>IF(AND(O233=0,P233=0),"",IF(O233=0,"ODOO-ONLY",IF(P233=0,"BANK-ONLY","BOTH")))</f>
        <v>BOTH</v>
      </c>
      <c r="R233" s="9">
        <f>IF(Q233="BOTH",ROUND(M233-N233,2),0)</f>
        <v>0</v>
      </c>
      <c r="S233" s="9">
        <f>ROUND(SUMIFS('Bank Lines'!$E$5:$E$1640,'Bank Lines'!$G$5:$G$1640,A233,'Bank Lines'!$J$5:$J$1640,1,'Bank Lines'!$C$5:$C$1640,"&lt;="&amp;Cover!$C$14),2)</f>
        <v>3058.03</v>
      </c>
      <c r="T233" s="9">
        <f>ROUND(SUMIFS('Odoo Items'!$G$5:$G$4331,'Odoo Items'!$J$5:$J$4331,A233,'Odoo Items'!$C$5:$C$4331,"&lt;="&amp;Cover!$C$14),2)</f>
        <v>3058.03</v>
      </c>
      <c r="U233">
        <f>COUNTIFS('Bank Lines'!$G$5:$G$1640,A233,'Bank Lines'!$J$5:$J$1640,1,'Bank Lines'!$C$5:$C$1640,"&lt;="&amp;Cover!$C$14)</f>
        <v>1</v>
      </c>
      <c r="V233">
        <f>COUNTIFS('Odoo Items'!$J$5:$J$4331,A233,'Odoo Items'!$C$5:$C$4331,"&lt;="&amp;Cover!$C$14)</f>
        <v>12</v>
      </c>
      <c r="W233" t="str">
        <f>IF(AND(U233=0,V233=0),"",IF(U233=0,"ODOO-ONLY",IF(V233=0,"BANK-ONLY","BOTH")))</f>
        <v>BOTH</v>
      </c>
      <c r="X233" s="9">
        <f>IF(W233="BOTH",ROUND(S233-T233,2),0)</f>
        <v>0</v>
      </c>
      <c r="Y233" s="9">
        <f>ROUND(SUMIFS('Bank Lines'!$E$5:$E$1640,'Bank Lines'!$G$5:$G$1640,A233,'Bank Lines'!$J$5:$J$1640,1,'Bank Lines'!$C$5:$C$1640,"&lt;="&amp;Cover!$C$15),2)</f>
        <v>3058.03</v>
      </c>
      <c r="Z233" s="9">
        <f>ROUND(SUMIFS('Odoo Items'!$G$5:$G$4331,'Odoo Items'!$J$5:$J$4331,A233,'Odoo Items'!$C$5:$C$4331,"&lt;="&amp;Cover!$C$15),2)</f>
        <v>3058.03</v>
      </c>
      <c r="AA233">
        <f>COUNTIFS('Bank Lines'!$G$5:$G$1640,A233,'Bank Lines'!$J$5:$J$1640,1,'Bank Lines'!$C$5:$C$1640,"&lt;="&amp;Cover!$C$15)</f>
        <v>1</v>
      </c>
      <c r="AB233">
        <f>COUNTIFS('Odoo Items'!$J$5:$J$4331,A233,'Odoo Items'!$C$5:$C$4331,"&lt;="&amp;Cover!$C$15)</f>
        <v>12</v>
      </c>
      <c r="AC233" t="str">
        <f>IF(AND(AA233=0,AB233=0),"",IF(AA233=0,"ODOO-ONLY",IF(AB233=0,"BANK-ONLY","BOTH")))</f>
        <v>BOTH</v>
      </c>
      <c r="AD233" s="9">
        <f>IF(AC233="BOTH",ROUND(Y233-Z233,2),0)</f>
        <v>0</v>
      </c>
    </row>
    <row r="234">
      <c r="A234" t="inlineStr">
        <is>
          <t>G00230</t>
        </is>
      </c>
      <c r="B234" t="inlineStr">
        <is>
          <t>OPS</t>
        </is>
      </c>
      <c r="C234" t="inlineStr">
        <is>
          <t>R03</t>
        </is>
      </c>
      <c r="D234" t="inlineStr">
        <is>
          <t>MATCH</t>
        </is>
      </c>
      <c r="E234" t="inlineStr">
        <is>
          <t>Kookaburra Plan Support</t>
        </is>
      </c>
      <c r="F234" t="n">
        <v>1</v>
      </c>
      <c r="G234" t="inlineStr">
        <is>
          <t>2 invoices</t>
        </is>
      </c>
      <c r="H234">
        <f>COUNTIFS('Bank Lines'!$G$5:$G$1640,A234,'Bank Lines'!$J$5:$J$1640,1)</f>
        <v>1</v>
      </c>
      <c r="I234">
        <f>COUNTIFS('Odoo Items'!$J$5:$J$4331,A234)</f>
        <v>2</v>
      </c>
      <c r="J234" s="9">
        <f>ROUND(SUMIFS('Bank Lines'!$E$5:$E$1640,'Bank Lines'!$G$5:$G$1640,A234,'Bank Lines'!$J$5:$J$1640,1),2)</f>
        <v>552.87</v>
      </c>
      <c r="K234" s="9">
        <f>ROUND(SUMIFS('Odoo Items'!$G$5:$G$4331,'Odoo Items'!$J$5:$J$4331,A234),2)</f>
        <v>552.87</v>
      </c>
      <c r="L234" s="9">
        <f>ROUND(J234-K234,2)</f>
        <v>0</v>
      </c>
      <c r="M234" s="9">
        <f>ROUND(SUMIFS('Bank Lines'!$E$5:$E$1640,'Bank Lines'!$G$5:$G$1640,A234,'Bank Lines'!$J$5:$J$1640,1,'Bank Lines'!$C$5:$C$1640,"&lt;="&amp;Cover!$C$13),2)</f>
        <v>552.87</v>
      </c>
      <c r="N234" s="9">
        <f>ROUND(SUMIFS('Odoo Items'!$G$5:$G$4331,'Odoo Items'!$J$5:$J$4331,A234,'Odoo Items'!$C$5:$C$4331,"&lt;="&amp;Cover!$C$13),2)</f>
        <v>552.87</v>
      </c>
      <c r="O234">
        <f>COUNTIFS('Bank Lines'!$G$5:$G$1640,A234,'Bank Lines'!$J$5:$J$1640,1,'Bank Lines'!$C$5:$C$1640,"&lt;="&amp;Cover!$C$13)</f>
        <v>1</v>
      </c>
      <c r="P234">
        <f>COUNTIFS('Odoo Items'!$J$5:$J$4331,A234,'Odoo Items'!$C$5:$C$4331,"&lt;="&amp;Cover!$C$13)</f>
        <v>2</v>
      </c>
      <c r="Q234" t="str">
        <f>IF(AND(O234=0,P234=0),"",IF(O234=0,"ODOO-ONLY",IF(P234=0,"BANK-ONLY","BOTH")))</f>
        <v>BOTH</v>
      </c>
      <c r="R234" s="9">
        <f>IF(Q234="BOTH",ROUND(M234-N234,2),0)</f>
        <v>0</v>
      </c>
      <c r="S234" s="9">
        <f>ROUND(SUMIFS('Bank Lines'!$E$5:$E$1640,'Bank Lines'!$G$5:$G$1640,A234,'Bank Lines'!$J$5:$J$1640,1,'Bank Lines'!$C$5:$C$1640,"&lt;="&amp;Cover!$C$14),2)</f>
        <v>552.87</v>
      </c>
      <c r="T234" s="9">
        <f>ROUND(SUMIFS('Odoo Items'!$G$5:$G$4331,'Odoo Items'!$J$5:$J$4331,A234,'Odoo Items'!$C$5:$C$4331,"&lt;="&amp;Cover!$C$14),2)</f>
        <v>552.87</v>
      </c>
      <c r="U234">
        <f>COUNTIFS('Bank Lines'!$G$5:$G$1640,A234,'Bank Lines'!$J$5:$J$1640,1,'Bank Lines'!$C$5:$C$1640,"&lt;="&amp;Cover!$C$14)</f>
        <v>1</v>
      </c>
      <c r="V234">
        <f>COUNTIFS('Odoo Items'!$J$5:$J$4331,A234,'Odoo Items'!$C$5:$C$4331,"&lt;="&amp;Cover!$C$14)</f>
        <v>2</v>
      </c>
      <c r="W234" t="str">
        <f>IF(AND(U234=0,V234=0),"",IF(U234=0,"ODOO-ONLY",IF(V234=0,"BANK-ONLY","BOTH")))</f>
        <v>BOTH</v>
      </c>
      <c r="X234" s="9">
        <f>IF(W234="BOTH",ROUND(S234-T234,2),0)</f>
        <v>0</v>
      </c>
      <c r="Y234" s="9">
        <f>ROUND(SUMIFS('Bank Lines'!$E$5:$E$1640,'Bank Lines'!$G$5:$G$1640,A234,'Bank Lines'!$J$5:$J$1640,1,'Bank Lines'!$C$5:$C$1640,"&lt;="&amp;Cover!$C$15),2)</f>
        <v>552.87</v>
      </c>
      <c r="Z234" s="9">
        <f>ROUND(SUMIFS('Odoo Items'!$G$5:$G$4331,'Odoo Items'!$J$5:$J$4331,A234,'Odoo Items'!$C$5:$C$4331,"&lt;="&amp;Cover!$C$15),2)</f>
        <v>552.87</v>
      </c>
      <c r="AA234">
        <f>COUNTIFS('Bank Lines'!$G$5:$G$1640,A234,'Bank Lines'!$J$5:$J$1640,1,'Bank Lines'!$C$5:$C$1640,"&lt;="&amp;Cover!$C$15)</f>
        <v>1</v>
      </c>
      <c r="AB234">
        <f>COUNTIFS('Odoo Items'!$J$5:$J$4331,A234,'Odoo Items'!$C$5:$C$4331,"&lt;="&amp;Cover!$C$15)</f>
        <v>2</v>
      </c>
      <c r="AC234" t="str">
        <f>IF(AND(AA234=0,AB234=0),"",IF(AA234=0,"ODOO-ONLY",IF(AB234=0,"BANK-ONLY","BOTH")))</f>
        <v>BOTH</v>
      </c>
      <c r="AD234" s="9">
        <f>IF(AC234="BOTH",ROUND(Y234-Z234,2),0)</f>
        <v>0</v>
      </c>
    </row>
    <row r="235">
      <c r="A235" t="inlineStr">
        <is>
          <t>G00231</t>
        </is>
      </c>
      <c r="B235" t="inlineStr">
        <is>
          <t>OPS</t>
        </is>
      </c>
      <c r="C235" t="inlineStr">
        <is>
          <t>R03</t>
        </is>
      </c>
      <c r="D235" t="inlineStr">
        <is>
          <t>MATCH</t>
        </is>
      </c>
      <c r="E235" t="inlineStr">
        <is>
          <t>Saltbush Plan Managers</t>
        </is>
      </c>
      <c r="F235" t="n">
        <v>1</v>
      </c>
      <c r="G235" t="inlineStr">
        <is>
          <t>4 invoices</t>
        </is>
      </c>
      <c r="H235">
        <f>COUNTIFS('Bank Lines'!$G$5:$G$1640,A235,'Bank Lines'!$J$5:$J$1640,1)</f>
        <v>1</v>
      </c>
      <c r="I235">
        <f>COUNTIFS('Odoo Items'!$J$5:$J$4331,A235)</f>
        <v>4</v>
      </c>
      <c r="J235" s="9">
        <f>ROUND(SUMIFS('Bank Lines'!$E$5:$E$1640,'Bank Lines'!$G$5:$G$1640,A235,'Bank Lines'!$J$5:$J$1640,1),2)</f>
        <v>1173.64</v>
      </c>
      <c r="K235" s="9">
        <f>ROUND(SUMIFS('Odoo Items'!$G$5:$G$4331,'Odoo Items'!$J$5:$J$4331,A235),2)</f>
        <v>1173.64</v>
      </c>
      <c r="L235" s="9">
        <f>ROUND(J235-K235,2)</f>
        <v>0</v>
      </c>
      <c r="M235" s="9">
        <f>ROUND(SUMIFS('Bank Lines'!$E$5:$E$1640,'Bank Lines'!$G$5:$G$1640,A235,'Bank Lines'!$J$5:$J$1640,1,'Bank Lines'!$C$5:$C$1640,"&lt;="&amp;Cover!$C$13),2)</f>
        <v>1173.64</v>
      </c>
      <c r="N235" s="9">
        <f>ROUND(SUMIFS('Odoo Items'!$G$5:$G$4331,'Odoo Items'!$J$5:$J$4331,A235,'Odoo Items'!$C$5:$C$4331,"&lt;="&amp;Cover!$C$13),2)</f>
        <v>1173.64</v>
      </c>
      <c r="O235">
        <f>COUNTIFS('Bank Lines'!$G$5:$G$1640,A235,'Bank Lines'!$J$5:$J$1640,1,'Bank Lines'!$C$5:$C$1640,"&lt;="&amp;Cover!$C$13)</f>
        <v>1</v>
      </c>
      <c r="P235">
        <f>COUNTIFS('Odoo Items'!$J$5:$J$4331,A235,'Odoo Items'!$C$5:$C$4331,"&lt;="&amp;Cover!$C$13)</f>
        <v>4</v>
      </c>
      <c r="Q235" t="str">
        <f>IF(AND(O235=0,P235=0),"",IF(O235=0,"ODOO-ONLY",IF(P235=0,"BANK-ONLY","BOTH")))</f>
        <v>BOTH</v>
      </c>
      <c r="R235" s="9">
        <f>IF(Q235="BOTH",ROUND(M235-N235,2),0)</f>
        <v>0</v>
      </c>
      <c r="S235" s="9">
        <f>ROUND(SUMIFS('Bank Lines'!$E$5:$E$1640,'Bank Lines'!$G$5:$G$1640,A235,'Bank Lines'!$J$5:$J$1640,1,'Bank Lines'!$C$5:$C$1640,"&lt;="&amp;Cover!$C$14),2)</f>
        <v>1173.64</v>
      </c>
      <c r="T235" s="9">
        <f>ROUND(SUMIFS('Odoo Items'!$G$5:$G$4331,'Odoo Items'!$J$5:$J$4331,A235,'Odoo Items'!$C$5:$C$4331,"&lt;="&amp;Cover!$C$14),2)</f>
        <v>1173.64</v>
      </c>
      <c r="U235">
        <f>COUNTIFS('Bank Lines'!$G$5:$G$1640,A235,'Bank Lines'!$J$5:$J$1640,1,'Bank Lines'!$C$5:$C$1640,"&lt;="&amp;Cover!$C$14)</f>
        <v>1</v>
      </c>
      <c r="V235">
        <f>COUNTIFS('Odoo Items'!$J$5:$J$4331,A235,'Odoo Items'!$C$5:$C$4331,"&lt;="&amp;Cover!$C$14)</f>
        <v>4</v>
      </c>
      <c r="W235" t="str">
        <f>IF(AND(U235=0,V235=0),"",IF(U235=0,"ODOO-ONLY",IF(V235=0,"BANK-ONLY","BOTH")))</f>
        <v>BOTH</v>
      </c>
      <c r="X235" s="9">
        <f>IF(W235="BOTH",ROUND(S235-T235,2),0)</f>
        <v>0</v>
      </c>
      <c r="Y235" s="9">
        <f>ROUND(SUMIFS('Bank Lines'!$E$5:$E$1640,'Bank Lines'!$G$5:$G$1640,A235,'Bank Lines'!$J$5:$J$1640,1,'Bank Lines'!$C$5:$C$1640,"&lt;="&amp;Cover!$C$15),2)</f>
        <v>1173.64</v>
      </c>
      <c r="Z235" s="9">
        <f>ROUND(SUMIFS('Odoo Items'!$G$5:$G$4331,'Odoo Items'!$J$5:$J$4331,A235,'Odoo Items'!$C$5:$C$4331,"&lt;="&amp;Cover!$C$15),2)</f>
        <v>1173.64</v>
      </c>
      <c r="AA235">
        <f>COUNTIFS('Bank Lines'!$G$5:$G$1640,A235,'Bank Lines'!$J$5:$J$1640,1,'Bank Lines'!$C$5:$C$1640,"&lt;="&amp;Cover!$C$15)</f>
        <v>1</v>
      </c>
      <c r="AB235">
        <f>COUNTIFS('Odoo Items'!$J$5:$J$4331,A235,'Odoo Items'!$C$5:$C$4331,"&lt;="&amp;Cover!$C$15)</f>
        <v>4</v>
      </c>
      <c r="AC235" t="str">
        <f>IF(AND(AA235=0,AB235=0),"",IF(AA235=0,"ODOO-ONLY",IF(AB235=0,"BANK-ONLY","BOTH")))</f>
        <v>BOTH</v>
      </c>
      <c r="AD235" s="9">
        <f>IF(AC235="BOTH",ROUND(Y235-Z235,2),0)</f>
        <v>0</v>
      </c>
    </row>
    <row r="236">
      <c r="A236" t="inlineStr">
        <is>
          <t>G00232</t>
        </is>
      </c>
      <c r="B236" t="inlineStr">
        <is>
          <t>OPS</t>
        </is>
      </c>
      <c r="C236" t="inlineStr">
        <is>
          <t>R03</t>
        </is>
      </c>
      <c r="D236" t="inlineStr">
        <is>
          <t>MATCH</t>
        </is>
      </c>
      <c r="E236" t="inlineStr">
        <is>
          <t>Mallee Plan Services</t>
        </is>
      </c>
      <c r="F236" t="n">
        <v>1</v>
      </c>
      <c r="G236" t="inlineStr">
        <is>
          <t>3 invoices</t>
        </is>
      </c>
      <c r="H236">
        <f>COUNTIFS('Bank Lines'!$G$5:$G$1640,A236,'Bank Lines'!$J$5:$J$1640,1)</f>
        <v>1</v>
      </c>
      <c r="I236">
        <f>COUNTIFS('Odoo Items'!$J$5:$J$4331,A236)</f>
        <v>3</v>
      </c>
      <c r="J236" s="9">
        <f>ROUND(SUMIFS('Bank Lines'!$E$5:$E$1640,'Bank Lines'!$G$5:$G$1640,A236,'Bank Lines'!$J$5:$J$1640,1),2)</f>
        <v>649.87</v>
      </c>
      <c r="K236" s="9">
        <f>ROUND(SUMIFS('Odoo Items'!$G$5:$G$4331,'Odoo Items'!$J$5:$J$4331,A236),2)</f>
        <v>649.87</v>
      </c>
      <c r="L236" s="9">
        <f>ROUND(J236-K236,2)</f>
        <v>0</v>
      </c>
      <c r="M236" s="9">
        <f>ROUND(SUMIFS('Bank Lines'!$E$5:$E$1640,'Bank Lines'!$G$5:$G$1640,A236,'Bank Lines'!$J$5:$J$1640,1,'Bank Lines'!$C$5:$C$1640,"&lt;="&amp;Cover!$C$13),2)</f>
        <v>649.87</v>
      </c>
      <c r="N236" s="9">
        <f>ROUND(SUMIFS('Odoo Items'!$G$5:$G$4331,'Odoo Items'!$J$5:$J$4331,A236,'Odoo Items'!$C$5:$C$4331,"&lt;="&amp;Cover!$C$13),2)</f>
        <v>649.87</v>
      </c>
      <c r="O236">
        <f>COUNTIFS('Bank Lines'!$G$5:$G$1640,A236,'Bank Lines'!$J$5:$J$1640,1,'Bank Lines'!$C$5:$C$1640,"&lt;="&amp;Cover!$C$13)</f>
        <v>1</v>
      </c>
      <c r="P236">
        <f>COUNTIFS('Odoo Items'!$J$5:$J$4331,A236,'Odoo Items'!$C$5:$C$4331,"&lt;="&amp;Cover!$C$13)</f>
        <v>3</v>
      </c>
      <c r="Q236" t="str">
        <f>IF(AND(O236=0,P236=0),"",IF(O236=0,"ODOO-ONLY",IF(P236=0,"BANK-ONLY","BOTH")))</f>
        <v>BOTH</v>
      </c>
      <c r="R236" s="9">
        <f>IF(Q236="BOTH",ROUND(M236-N236,2),0)</f>
        <v>0</v>
      </c>
      <c r="S236" s="9">
        <f>ROUND(SUMIFS('Bank Lines'!$E$5:$E$1640,'Bank Lines'!$G$5:$G$1640,A236,'Bank Lines'!$J$5:$J$1640,1,'Bank Lines'!$C$5:$C$1640,"&lt;="&amp;Cover!$C$14),2)</f>
        <v>649.87</v>
      </c>
      <c r="T236" s="9">
        <f>ROUND(SUMIFS('Odoo Items'!$G$5:$G$4331,'Odoo Items'!$J$5:$J$4331,A236,'Odoo Items'!$C$5:$C$4331,"&lt;="&amp;Cover!$C$14),2)</f>
        <v>649.87</v>
      </c>
      <c r="U236">
        <f>COUNTIFS('Bank Lines'!$G$5:$G$1640,A236,'Bank Lines'!$J$5:$J$1640,1,'Bank Lines'!$C$5:$C$1640,"&lt;="&amp;Cover!$C$14)</f>
        <v>1</v>
      </c>
      <c r="V236">
        <f>COUNTIFS('Odoo Items'!$J$5:$J$4331,A236,'Odoo Items'!$C$5:$C$4331,"&lt;="&amp;Cover!$C$14)</f>
        <v>3</v>
      </c>
      <c r="W236" t="str">
        <f>IF(AND(U236=0,V236=0),"",IF(U236=0,"ODOO-ONLY",IF(V236=0,"BANK-ONLY","BOTH")))</f>
        <v>BOTH</v>
      </c>
      <c r="X236" s="9">
        <f>IF(W236="BOTH",ROUND(S236-T236,2),0)</f>
        <v>0</v>
      </c>
      <c r="Y236" s="9">
        <f>ROUND(SUMIFS('Bank Lines'!$E$5:$E$1640,'Bank Lines'!$G$5:$G$1640,A236,'Bank Lines'!$J$5:$J$1640,1,'Bank Lines'!$C$5:$C$1640,"&lt;="&amp;Cover!$C$15),2)</f>
        <v>649.87</v>
      </c>
      <c r="Z236" s="9">
        <f>ROUND(SUMIFS('Odoo Items'!$G$5:$G$4331,'Odoo Items'!$J$5:$J$4331,A236,'Odoo Items'!$C$5:$C$4331,"&lt;="&amp;Cover!$C$15),2)</f>
        <v>649.87</v>
      </c>
      <c r="AA236">
        <f>COUNTIFS('Bank Lines'!$G$5:$G$1640,A236,'Bank Lines'!$J$5:$J$1640,1,'Bank Lines'!$C$5:$C$1640,"&lt;="&amp;Cover!$C$15)</f>
        <v>1</v>
      </c>
      <c r="AB236">
        <f>COUNTIFS('Odoo Items'!$J$5:$J$4331,A236,'Odoo Items'!$C$5:$C$4331,"&lt;="&amp;Cover!$C$15)</f>
        <v>3</v>
      </c>
      <c r="AC236" t="str">
        <f>IF(AND(AA236=0,AB236=0),"",IF(AA236=0,"ODOO-ONLY",IF(AB236=0,"BANK-ONLY","BOTH")))</f>
        <v>BOTH</v>
      </c>
      <c r="AD236" s="9">
        <f>IF(AC236="BOTH",ROUND(Y236-Z236,2),0)</f>
        <v>0</v>
      </c>
    </row>
    <row r="237">
      <c r="A237" t="inlineStr">
        <is>
          <t>G00233</t>
        </is>
      </c>
      <c r="B237" t="inlineStr">
        <is>
          <t>OPS</t>
        </is>
      </c>
      <c r="C237" t="inlineStr">
        <is>
          <t>R03</t>
        </is>
      </c>
      <c r="D237" t="inlineStr">
        <is>
          <t>MATCH</t>
        </is>
      </c>
      <c r="E237" t="inlineStr">
        <is>
          <t>Riverbend Plan Partners</t>
        </is>
      </c>
      <c r="F237" t="n">
        <v>1</v>
      </c>
      <c r="G237" t="inlineStr">
        <is>
          <t>2 invoices</t>
        </is>
      </c>
      <c r="H237">
        <f>COUNTIFS('Bank Lines'!$G$5:$G$1640,A237,'Bank Lines'!$J$5:$J$1640,1)</f>
        <v>1</v>
      </c>
      <c r="I237">
        <f>COUNTIFS('Odoo Items'!$J$5:$J$4331,A237)</f>
        <v>2</v>
      </c>
      <c r="J237" s="9">
        <f>ROUND(SUMIFS('Bank Lines'!$E$5:$E$1640,'Bank Lines'!$G$5:$G$1640,A237,'Bank Lines'!$J$5:$J$1640,1),2)</f>
        <v>466.47</v>
      </c>
      <c r="K237" s="9">
        <f>ROUND(SUMIFS('Odoo Items'!$G$5:$G$4331,'Odoo Items'!$J$5:$J$4331,A237),2)</f>
        <v>466.47</v>
      </c>
      <c r="L237" s="9">
        <f>ROUND(J237-K237,2)</f>
        <v>0</v>
      </c>
      <c r="M237" s="9">
        <f>ROUND(SUMIFS('Bank Lines'!$E$5:$E$1640,'Bank Lines'!$G$5:$G$1640,A237,'Bank Lines'!$J$5:$J$1640,1,'Bank Lines'!$C$5:$C$1640,"&lt;="&amp;Cover!$C$13),2)</f>
        <v>466.47</v>
      </c>
      <c r="N237" s="9">
        <f>ROUND(SUMIFS('Odoo Items'!$G$5:$G$4331,'Odoo Items'!$J$5:$J$4331,A237,'Odoo Items'!$C$5:$C$4331,"&lt;="&amp;Cover!$C$13),2)</f>
        <v>466.47</v>
      </c>
      <c r="O237">
        <f>COUNTIFS('Bank Lines'!$G$5:$G$1640,A237,'Bank Lines'!$J$5:$J$1640,1,'Bank Lines'!$C$5:$C$1640,"&lt;="&amp;Cover!$C$13)</f>
        <v>1</v>
      </c>
      <c r="P237">
        <f>COUNTIFS('Odoo Items'!$J$5:$J$4331,A237,'Odoo Items'!$C$5:$C$4331,"&lt;="&amp;Cover!$C$13)</f>
        <v>2</v>
      </c>
      <c r="Q237" t="str">
        <f>IF(AND(O237=0,P237=0),"",IF(O237=0,"ODOO-ONLY",IF(P237=0,"BANK-ONLY","BOTH")))</f>
        <v>BOTH</v>
      </c>
      <c r="R237" s="9">
        <f>IF(Q237="BOTH",ROUND(M237-N237,2),0)</f>
        <v>0</v>
      </c>
      <c r="S237" s="9">
        <f>ROUND(SUMIFS('Bank Lines'!$E$5:$E$1640,'Bank Lines'!$G$5:$G$1640,A237,'Bank Lines'!$J$5:$J$1640,1,'Bank Lines'!$C$5:$C$1640,"&lt;="&amp;Cover!$C$14),2)</f>
        <v>466.47</v>
      </c>
      <c r="T237" s="9">
        <f>ROUND(SUMIFS('Odoo Items'!$G$5:$G$4331,'Odoo Items'!$J$5:$J$4331,A237,'Odoo Items'!$C$5:$C$4331,"&lt;="&amp;Cover!$C$14),2)</f>
        <v>466.47</v>
      </c>
      <c r="U237">
        <f>COUNTIFS('Bank Lines'!$G$5:$G$1640,A237,'Bank Lines'!$J$5:$J$1640,1,'Bank Lines'!$C$5:$C$1640,"&lt;="&amp;Cover!$C$14)</f>
        <v>1</v>
      </c>
      <c r="V237">
        <f>COUNTIFS('Odoo Items'!$J$5:$J$4331,A237,'Odoo Items'!$C$5:$C$4331,"&lt;="&amp;Cover!$C$14)</f>
        <v>2</v>
      </c>
      <c r="W237" t="str">
        <f>IF(AND(U237=0,V237=0),"",IF(U237=0,"ODOO-ONLY",IF(V237=0,"BANK-ONLY","BOTH")))</f>
        <v>BOTH</v>
      </c>
      <c r="X237" s="9">
        <f>IF(W237="BOTH",ROUND(S237-T237,2),0)</f>
        <v>0</v>
      </c>
      <c r="Y237" s="9">
        <f>ROUND(SUMIFS('Bank Lines'!$E$5:$E$1640,'Bank Lines'!$G$5:$G$1640,A237,'Bank Lines'!$J$5:$J$1640,1,'Bank Lines'!$C$5:$C$1640,"&lt;="&amp;Cover!$C$15),2)</f>
        <v>466.47</v>
      </c>
      <c r="Z237" s="9">
        <f>ROUND(SUMIFS('Odoo Items'!$G$5:$G$4331,'Odoo Items'!$J$5:$J$4331,A237,'Odoo Items'!$C$5:$C$4331,"&lt;="&amp;Cover!$C$15),2)</f>
        <v>466.47</v>
      </c>
      <c r="AA237">
        <f>COUNTIFS('Bank Lines'!$G$5:$G$1640,A237,'Bank Lines'!$J$5:$J$1640,1,'Bank Lines'!$C$5:$C$1640,"&lt;="&amp;Cover!$C$15)</f>
        <v>1</v>
      </c>
      <c r="AB237">
        <f>COUNTIFS('Odoo Items'!$J$5:$J$4331,A237,'Odoo Items'!$C$5:$C$4331,"&lt;="&amp;Cover!$C$15)</f>
        <v>2</v>
      </c>
      <c r="AC237" t="str">
        <f>IF(AND(AA237=0,AB237=0),"",IF(AA237=0,"ODOO-ONLY",IF(AB237=0,"BANK-ONLY","BOTH")))</f>
        <v>BOTH</v>
      </c>
      <c r="AD237" s="9">
        <f>IF(AC237="BOTH",ROUND(Y237-Z237,2),0)</f>
        <v>0</v>
      </c>
    </row>
    <row r="238">
      <c r="A238" t="inlineStr">
        <is>
          <t>G00234</t>
        </is>
      </c>
      <c r="B238" t="inlineStr">
        <is>
          <t>OPS</t>
        </is>
      </c>
      <c r="C238" t="inlineStr">
        <is>
          <t>R03</t>
        </is>
      </c>
      <c r="D238" t="inlineStr">
        <is>
          <t>MATCH</t>
        </is>
      </c>
      <c r="E238" t="inlineStr">
        <is>
          <t>Wattle Plan Services</t>
        </is>
      </c>
      <c r="F238" t="n">
        <v>1</v>
      </c>
      <c r="G238" t="inlineStr">
        <is>
          <t>1 invoices</t>
        </is>
      </c>
      <c r="H238">
        <f>COUNTIFS('Bank Lines'!$G$5:$G$1640,A238,'Bank Lines'!$J$5:$J$1640,1)</f>
        <v>1</v>
      </c>
      <c r="I238">
        <f>COUNTIFS('Odoo Items'!$J$5:$J$4331,A238)</f>
        <v>1</v>
      </c>
      <c r="J238" s="9">
        <f>ROUND(SUMIFS('Bank Lines'!$E$5:$E$1640,'Bank Lines'!$G$5:$G$1640,A238,'Bank Lines'!$J$5:$J$1640,1),2)</f>
        <v>446.18</v>
      </c>
      <c r="K238" s="9">
        <f>ROUND(SUMIFS('Odoo Items'!$G$5:$G$4331,'Odoo Items'!$J$5:$J$4331,A238),2)</f>
        <v>446.18</v>
      </c>
      <c r="L238" s="9">
        <f>ROUND(J238-K238,2)</f>
        <v>0</v>
      </c>
      <c r="M238" s="9">
        <f>ROUND(SUMIFS('Bank Lines'!$E$5:$E$1640,'Bank Lines'!$G$5:$G$1640,A238,'Bank Lines'!$J$5:$J$1640,1,'Bank Lines'!$C$5:$C$1640,"&lt;="&amp;Cover!$C$13),2)</f>
        <v>446.18</v>
      </c>
      <c r="N238" s="9">
        <f>ROUND(SUMIFS('Odoo Items'!$G$5:$G$4331,'Odoo Items'!$J$5:$J$4331,A238,'Odoo Items'!$C$5:$C$4331,"&lt;="&amp;Cover!$C$13),2)</f>
        <v>446.18</v>
      </c>
      <c r="O238">
        <f>COUNTIFS('Bank Lines'!$G$5:$G$1640,A238,'Bank Lines'!$J$5:$J$1640,1,'Bank Lines'!$C$5:$C$1640,"&lt;="&amp;Cover!$C$13)</f>
        <v>1</v>
      </c>
      <c r="P238">
        <f>COUNTIFS('Odoo Items'!$J$5:$J$4331,A238,'Odoo Items'!$C$5:$C$4331,"&lt;="&amp;Cover!$C$13)</f>
        <v>1</v>
      </c>
      <c r="Q238" t="str">
        <f>IF(AND(O238=0,P238=0),"",IF(O238=0,"ODOO-ONLY",IF(P238=0,"BANK-ONLY","BOTH")))</f>
        <v>BOTH</v>
      </c>
      <c r="R238" s="9">
        <f>IF(Q238="BOTH",ROUND(M238-N238,2),0)</f>
        <v>0</v>
      </c>
      <c r="S238" s="9">
        <f>ROUND(SUMIFS('Bank Lines'!$E$5:$E$1640,'Bank Lines'!$G$5:$G$1640,A238,'Bank Lines'!$J$5:$J$1640,1,'Bank Lines'!$C$5:$C$1640,"&lt;="&amp;Cover!$C$14),2)</f>
        <v>446.18</v>
      </c>
      <c r="T238" s="9">
        <f>ROUND(SUMIFS('Odoo Items'!$G$5:$G$4331,'Odoo Items'!$J$5:$J$4331,A238,'Odoo Items'!$C$5:$C$4331,"&lt;="&amp;Cover!$C$14),2)</f>
        <v>446.18</v>
      </c>
      <c r="U238">
        <f>COUNTIFS('Bank Lines'!$G$5:$G$1640,A238,'Bank Lines'!$J$5:$J$1640,1,'Bank Lines'!$C$5:$C$1640,"&lt;="&amp;Cover!$C$14)</f>
        <v>1</v>
      </c>
      <c r="V238">
        <f>COUNTIFS('Odoo Items'!$J$5:$J$4331,A238,'Odoo Items'!$C$5:$C$4331,"&lt;="&amp;Cover!$C$14)</f>
        <v>1</v>
      </c>
      <c r="W238" t="str">
        <f>IF(AND(U238=0,V238=0),"",IF(U238=0,"ODOO-ONLY",IF(V238=0,"BANK-ONLY","BOTH")))</f>
        <v>BOTH</v>
      </c>
      <c r="X238" s="9">
        <f>IF(W238="BOTH",ROUND(S238-T238,2),0)</f>
        <v>0</v>
      </c>
      <c r="Y238" s="9">
        <f>ROUND(SUMIFS('Bank Lines'!$E$5:$E$1640,'Bank Lines'!$G$5:$G$1640,A238,'Bank Lines'!$J$5:$J$1640,1,'Bank Lines'!$C$5:$C$1640,"&lt;="&amp;Cover!$C$15),2)</f>
        <v>446.18</v>
      </c>
      <c r="Z238" s="9">
        <f>ROUND(SUMIFS('Odoo Items'!$G$5:$G$4331,'Odoo Items'!$J$5:$J$4331,A238,'Odoo Items'!$C$5:$C$4331,"&lt;="&amp;Cover!$C$15),2)</f>
        <v>446.18</v>
      </c>
      <c r="AA238">
        <f>COUNTIFS('Bank Lines'!$G$5:$G$1640,A238,'Bank Lines'!$J$5:$J$1640,1,'Bank Lines'!$C$5:$C$1640,"&lt;="&amp;Cover!$C$15)</f>
        <v>1</v>
      </c>
      <c r="AB238">
        <f>COUNTIFS('Odoo Items'!$J$5:$J$4331,A238,'Odoo Items'!$C$5:$C$4331,"&lt;="&amp;Cover!$C$15)</f>
        <v>1</v>
      </c>
      <c r="AC238" t="str">
        <f>IF(AND(AA238=0,AB238=0),"",IF(AA238=0,"ODOO-ONLY",IF(AB238=0,"BANK-ONLY","BOTH")))</f>
        <v>BOTH</v>
      </c>
      <c r="AD238" s="9">
        <f>IF(AC238="BOTH",ROUND(Y238-Z238,2),0)</f>
        <v>0</v>
      </c>
    </row>
    <row r="239">
      <c r="A239" t="inlineStr">
        <is>
          <t>G00235</t>
        </is>
      </c>
      <c r="B239" t="inlineStr">
        <is>
          <t>OPS</t>
        </is>
      </c>
      <c r="C239" t="inlineStr">
        <is>
          <t>R03</t>
        </is>
      </c>
      <c r="D239" t="inlineStr">
        <is>
          <t>MATCH</t>
        </is>
      </c>
      <c r="E239" t="inlineStr">
        <is>
          <t>Banksia Plan Co</t>
        </is>
      </c>
      <c r="F239" t="n">
        <v>0.929</v>
      </c>
      <c r="G239" t="inlineStr">
        <is>
          <t>1 invoices</t>
        </is>
      </c>
      <c r="H239">
        <f>COUNTIFS('Bank Lines'!$G$5:$G$1640,A239,'Bank Lines'!$J$5:$J$1640,1)</f>
        <v>1</v>
      </c>
      <c r="I239">
        <f>COUNTIFS('Odoo Items'!$J$5:$J$4331,A239)</f>
        <v>1</v>
      </c>
      <c r="J239" s="9">
        <f>ROUND(SUMIFS('Bank Lines'!$E$5:$E$1640,'Bank Lines'!$G$5:$G$1640,A239,'Bank Lines'!$J$5:$J$1640,1),2)</f>
        <v>223.99</v>
      </c>
      <c r="K239" s="9">
        <f>ROUND(SUMIFS('Odoo Items'!$G$5:$G$4331,'Odoo Items'!$J$5:$J$4331,A239),2)</f>
        <v>223.99</v>
      </c>
      <c r="L239" s="9">
        <f>ROUND(J239-K239,2)</f>
        <v>0</v>
      </c>
      <c r="M239" s="9">
        <f>ROUND(SUMIFS('Bank Lines'!$E$5:$E$1640,'Bank Lines'!$G$5:$G$1640,A239,'Bank Lines'!$J$5:$J$1640,1,'Bank Lines'!$C$5:$C$1640,"&lt;="&amp;Cover!$C$13),2)</f>
        <v>223.99</v>
      </c>
      <c r="N239" s="9">
        <f>ROUND(SUMIFS('Odoo Items'!$G$5:$G$4331,'Odoo Items'!$J$5:$J$4331,A239,'Odoo Items'!$C$5:$C$4331,"&lt;="&amp;Cover!$C$13),2)</f>
        <v>223.99</v>
      </c>
      <c r="O239">
        <f>COUNTIFS('Bank Lines'!$G$5:$G$1640,A239,'Bank Lines'!$J$5:$J$1640,1,'Bank Lines'!$C$5:$C$1640,"&lt;="&amp;Cover!$C$13)</f>
        <v>1</v>
      </c>
      <c r="P239">
        <f>COUNTIFS('Odoo Items'!$J$5:$J$4331,A239,'Odoo Items'!$C$5:$C$4331,"&lt;="&amp;Cover!$C$13)</f>
        <v>1</v>
      </c>
      <c r="Q239" t="str">
        <f>IF(AND(O239=0,P239=0),"",IF(O239=0,"ODOO-ONLY",IF(P239=0,"BANK-ONLY","BOTH")))</f>
        <v>BOTH</v>
      </c>
      <c r="R239" s="9">
        <f>IF(Q239="BOTH",ROUND(M239-N239,2),0)</f>
        <v>0</v>
      </c>
      <c r="S239" s="9">
        <f>ROUND(SUMIFS('Bank Lines'!$E$5:$E$1640,'Bank Lines'!$G$5:$G$1640,A239,'Bank Lines'!$J$5:$J$1640,1,'Bank Lines'!$C$5:$C$1640,"&lt;="&amp;Cover!$C$14),2)</f>
        <v>223.99</v>
      </c>
      <c r="T239" s="9">
        <f>ROUND(SUMIFS('Odoo Items'!$G$5:$G$4331,'Odoo Items'!$J$5:$J$4331,A239,'Odoo Items'!$C$5:$C$4331,"&lt;="&amp;Cover!$C$14),2)</f>
        <v>223.99</v>
      </c>
      <c r="U239">
        <f>COUNTIFS('Bank Lines'!$G$5:$G$1640,A239,'Bank Lines'!$J$5:$J$1640,1,'Bank Lines'!$C$5:$C$1640,"&lt;="&amp;Cover!$C$14)</f>
        <v>1</v>
      </c>
      <c r="V239">
        <f>COUNTIFS('Odoo Items'!$J$5:$J$4331,A239,'Odoo Items'!$C$5:$C$4331,"&lt;="&amp;Cover!$C$14)</f>
        <v>1</v>
      </c>
      <c r="W239" t="str">
        <f>IF(AND(U239=0,V239=0),"",IF(U239=0,"ODOO-ONLY",IF(V239=0,"BANK-ONLY","BOTH")))</f>
        <v>BOTH</v>
      </c>
      <c r="X239" s="9">
        <f>IF(W239="BOTH",ROUND(S239-T239,2),0)</f>
        <v>0</v>
      </c>
      <c r="Y239" s="9">
        <f>ROUND(SUMIFS('Bank Lines'!$E$5:$E$1640,'Bank Lines'!$G$5:$G$1640,A239,'Bank Lines'!$J$5:$J$1640,1,'Bank Lines'!$C$5:$C$1640,"&lt;="&amp;Cover!$C$15),2)</f>
        <v>223.99</v>
      </c>
      <c r="Z239" s="9">
        <f>ROUND(SUMIFS('Odoo Items'!$G$5:$G$4331,'Odoo Items'!$J$5:$J$4331,A239,'Odoo Items'!$C$5:$C$4331,"&lt;="&amp;Cover!$C$15),2)</f>
        <v>223.99</v>
      </c>
      <c r="AA239">
        <f>COUNTIFS('Bank Lines'!$G$5:$G$1640,A239,'Bank Lines'!$J$5:$J$1640,1,'Bank Lines'!$C$5:$C$1640,"&lt;="&amp;Cover!$C$15)</f>
        <v>1</v>
      </c>
      <c r="AB239">
        <f>COUNTIFS('Odoo Items'!$J$5:$J$4331,A239,'Odoo Items'!$C$5:$C$4331,"&lt;="&amp;Cover!$C$15)</f>
        <v>1</v>
      </c>
      <c r="AC239" t="str">
        <f>IF(AND(AA239=0,AB239=0),"",IF(AA239=0,"ODOO-ONLY",IF(AB239=0,"BANK-ONLY","BOTH")))</f>
        <v>BOTH</v>
      </c>
      <c r="AD239" s="9">
        <f>IF(AC239="BOTH",ROUND(Y239-Z239,2),0)</f>
        <v>0</v>
      </c>
    </row>
    <row r="240">
      <c r="A240" t="inlineStr">
        <is>
          <t>G00236</t>
        </is>
      </c>
      <c r="B240" t="inlineStr">
        <is>
          <t>OPS</t>
        </is>
      </c>
      <c r="C240" t="inlineStr">
        <is>
          <t>R03</t>
        </is>
      </c>
      <c r="D240" t="inlineStr">
        <is>
          <t>MATCH</t>
        </is>
      </c>
      <c r="E240" t="inlineStr">
        <is>
          <t>Ironbark Plan Management</t>
        </is>
      </c>
      <c r="F240" t="n">
        <v>1</v>
      </c>
      <c r="G240" t="inlineStr">
        <is>
          <t>1 invoices</t>
        </is>
      </c>
      <c r="H240">
        <f>COUNTIFS('Bank Lines'!$G$5:$G$1640,A240,'Bank Lines'!$J$5:$J$1640,1)</f>
        <v>1</v>
      </c>
      <c r="I240">
        <f>COUNTIFS('Odoo Items'!$J$5:$J$4331,A240)</f>
        <v>1</v>
      </c>
      <c r="J240" s="9">
        <f>ROUND(SUMIFS('Bank Lines'!$E$5:$E$1640,'Bank Lines'!$G$5:$G$1640,A240,'Bank Lines'!$J$5:$J$1640,1),2)</f>
        <v>223.99</v>
      </c>
      <c r="K240" s="9">
        <f>ROUND(SUMIFS('Odoo Items'!$G$5:$G$4331,'Odoo Items'!$J$5:$J$4331,A240),2)</f>
        <v>223.99</v>
      </c>
      <c r="L240" s="9">
        <f>ROUND(J240-K240,2)</f>
        <v>0</v>
      </c>
      <c r="M240" s="9">
        <f>ROUND(SUMIFS('Bank Lines'!$E$5:$E$1640,'Bank Lines'!$G$5:$G$1640,A240,'Bank Lines'!$J$5:$J$1640,1,'Bank Lines'!$C$5:$C$1640,"&lt;="&amp;Cover!$C$13),2)</f>
        <v>223.99</v>
      </c>
      <c r="N240" s="9">
        <f>ROUND(SUMIFS('Odoo Items'!$G$5:$G$4331,'Odoo Items'!$J$5:$J$4331,A240,'Odoo Items'!$C$5:$C$4331,"&lt;="&amp;Cover!$C$13),2)</f>
        <v>223.99</v>
      </c>
      <c r="O240">
        <f>COUNTIFS('Bank Lines'!$G$5:$G$1640,A240,'Bank Lines'!$J$5:$J$1640,1,'Bank Lines'!$C$5:$C$1640,"&lt;="&amp;Cover!$C$13)</f>
        <v>1</v>
      </c>
      <c r="P240">
        <f>COUNTIFS('Odoo Items'!$J$5:$J$4331,A240,'Odoo Items'!$C$5:$C$4331,"&lt;="&amp;Cover!$C$13)</f>
        <v>1</v>
      </c>
      <c r="Q240" t="str">
        <f>IF(AND(O240=0,P240=0),"",IF(O240=0,"ODOO-ONLY",IF(P240=0,"BANK-ONLY","BOTH")))</f>
        <v>BOTH</v>
      </c>
      <c r="R240" s="9">
        <f>IF(Q240="BOTH",ROUND(M240-N240,2),0)</f>
        <v>0</v>
      </c>
      <c r="S240" s="9">
        <f>ROUND(SUMIFS('Bank Lines'!$E$5:$E$1640,'Bank Lines'!$G$5:$G$1640,A240,'Bank Lines'!$J$5:$J$1640,1,'Bank Lines'!$C$5:$C$1640,"&lt;="&amp;Cover!$C$14),2)</f>
        <v>223.99</v>
      </c>
      <c r="T240" s="9">
        <f>ROUND(SUMIFS('Odoo Items'!$G$5:$G$4331,'Odoo Items'!$J$5:$J$4331,A240,'Odoo Items'!$C$5:$C$4331,"&lt;="&amp;Cover!$C$14),2)</f>
        <v>223.99</v>
      </c>
      <c r="U240">
        <f>COUNTIFS('Bank Lines'!$G$5:$G$1640,A240,'Bank Lines'!$J$5:$J$1640,1,'Bank Lines'!$C$5:$C$1640,"&lt;="&amp;Cover!$C$14)</f>
        <v>1</v>
      </c>
      <c r="V240">
        <f>COUNTIFS('Odoo Items'!$J$5:$J$4331,A240,'Odoo Items'!$C$5:$C$4331,"&lt;="&amp;Cover!$C$14)</f>
        <v>1</v>
      </c>
      <c r="W240" t="str">
        <f>IF(AND(U240=0,V240=0),"",IF(U240=0,"ODOO-ONLY",IF(V240=0,"BANK-ONLY","BOTH")))</f>
        <v>BOTH</v>
      </c>
      <c r="X240" s="9">
        <f>IF(W240="BOTH",ROUND(S240-T240,2),0)</f>
        <v>0</v>
      </c>
      <c r="Y240" s="9">
        <f>ROUND(SUMIFS('Bank Lines'!$E$5:$E$1640,'Bank Lines'!$G$5:$G$1640,A240,'Bank Lines'!$J$5:$J$1640,1,'Bank Lines'!$C$5:$C$1640,"&lt;="&amp;Cover!$C$15),2)</f>
        <v>223.99</v>
      </c>
      <c r="Z240" s="9">
        <f>ROUND(SUMIFS('Odoo Items'!$G$5:$G$4331,'Odoo Items'!$J$5:$J$4331,A240,'Odoo Items'!$C$5:$C$4331,"&lt;="&amp;Cover!$C$15),2)</f>
        <v>223.99</v>
      </c>
      <c r="AA240">
        <f>COUNTIFS('Bank Lines'!$G$5:$G$1640,A240,'Bank Lines'!$J$5:$J$1640,1,'Bank Lines'!$C$5:$C$1640,"&lt;="&amp;Cover!$C$15)</f>
        <v>1</v>
      </c>
      <c r="AB240">
        <f>COUNTIFS('Odoo Items'!$J$5:$J$4331,A240,'Odoo Items'!$C$5:$C$4331,"&lt;="&amp;Cover!$C$15)</f>
        <v>1</v>
      </c>
      <c r="AC240" t="str">
        <f>IF(AND(AA240=0,AB240=0),"",IF(AA240=0,"ODOO-ONLY",IF(AB240=0,"BANK-ONLY","BOTH")))</f>
        <v>BOTH</v>
      </c>
      <c r="AD240" s="9">
        <f>IF(AC240="BOTH",ROUND(Y240-Z240,2),0)</f>
        <v>0</v>
      </c>
    </row>
    <row r="241">
      <c r="A241" t="inlineStr">
        <is>
          <t>G00237</t>
        </is>
      </c>
      <c r="B241" t="inlineStr">
        <is>
          <t>OPS</t>
        </is>
      </c>
      <c r="C241" t="inlineStr">
        <is>
          <t>R03</t>
        </is>
      </c>
      <c r="D241" t="inlineStr">
        <is>
          <t>MATCH</t>
        </is>
      </c>
      <c r="E241" t="inlineStr">
        <is>
          <t>Kookaburra Plan Support</t>
        </is>
      </c>
      <c r="F241" t="n">
        <v>1</v>
      </c>
      <c r="G241" t="inlineStr">
        <is>
          <t>2 invoices</t>
        </is>
      </c>
      <c r="H241">
        <f>COUNTIFS('Bank Lines'!$G$5:$G$1640,A241,'Bank Lines'!$J$5:$J$1640,1)</f>
        <v>1</v>
      </c>
      <c r="I241">
        <f>COUNTIFS('Odoo Items'!$J$5:$J$4331,A241)</f>
        <v>2</v>
      </c>
      <c r="J241" s="9">
        <f>ROUND(SUMIFS('Bank Lines'!$E$5:$E$1640,'Bank Lines'!$G$5:$G$1640,A241,'Bank Lines'!$J$5:$J$1640,1),2)</f>
        <v>446.18</v>
      </c>
      <c r="K241" s="9">
        <f>ROUND(SUMIFS('Odoo Items'!$G$5:$G$4331,'Odoo Items'!$J$5:$J$4331,A241),2)</f>
        <v>446.18</v>
      </c>
      <c r="L241" s="9">
        <f>ROUND(J241-K241,2)</f>
        <v>0</v>
      </c>
      <c r="M241" s="9">
        <f>ROUND(SUMIFS('Bank Lines'!$E$5:$E$1640,'Bank Lines'!$G$5:$G$1640,A241,'Bank Lines'!$J$5:$J$1640,1,'Bank Lines'!$C$5:$C$1640,"&lt;="&amp;Cover!$C$13),2)</f>
        <v>446.18</v>
      </c>
      <c r="N241" s="9">
        <f>ROUND(SUMIFS('Odoo Items'!$G$5:$G$4331,'Odoo Items'!$J$5:$J$4331,A241,'Odoo Items'!$C$5:$C$4331,"&lt;="&amp;Cover!$C$13),2)</f>
        <v>446.18</v>
      </c>
      <c r="O241">
        <f>COUNTIFS('Bank Lines'!$G$5:$G$1640,A241,'Bank Lines'!$J$5:$J$1640,1,'Bank Lines'!$C$5:$C$1640,"&lt;="&amp;Cover!$C$13)</f>
        <v>1</v>
      </c>
      <c r="P241">
        <f>COUNTIFS('Odoo Items'!$J$5:$J$4331,A241,'Odoo Items'!$C$5:$C$4331,"&lt;="&amp;Cover!$C$13)</f>
        <v>2</v>
      </c>
      <c r="Q241" t="str">
        <f>IF(AND(O241=0,P241=0),"",IF(O241=0,"ODOO-ONLY",IF(P241=0,"BANK-ONLY","BOTH")))</f>
        <v>BOTH</v>
      </c>
      <c r="R241" s="9">
        <f>IF(Q241="BOTH",ROUND(M241-N241,2),0)</f>
        <v>0</v>
      </c>
      <c r="S241" s="9">
        <f>ROUND(SUMIFS('Bank Lines'!$E$5:$E$1640,'Bank Lines'!$G$5:$G$1640,A241,'Bank Lines'!$J$5:$J$1640,1,'Bank Lines'!$C$5:$C$1640,"&lt;="&amp;Cover!$C$14),2)</f>
        <v>446.18</v>
      </c>
      <c r="T241" s="9">
        <f>ROUND(SUMIFS('Odoo Items'!$G$5:$G$4331,'Odoo Items'!$J$5:$J$4331,A241,'Odoo Items'!$C$5:$C$4331,"&lt;="&amp;Cover!$C$14),2)</f>
        <v>446.18</v>
      </c>
      <c r="U241">
        <f>COUNTIFS('Bank Lines'!$G$5:$G$1640,A241,'Bank Lines'!$J$5:$J$1640,1,'Bank Lines'!$C$5:$C$1640,"&lt;="&amp;Cover!$C$14)</f>
        <v>1</v>
      </c>
      <c r="V241">
        <f>COUNTIFS('Odoo Items'!$J$5:$J$4331,A241,'Odoo Items'!$C$5:$C$4331,"&lt;="&amp;Cover!$C$14)</f>
        <v>2</v>
      </c>
      <c r="W241" t="str">
        <f>IF(AND(U241=0,V241=0),"",IF(U241=0,"ODOO-ONLY",IF(V241=0,"BANK-ONLY","BOTH")))</f>
        <v>BOTH</v>
      </c>
      <c r="X241" s="9">
        <f>IF(W241="BOTH",ROUND(S241-T241,2),0)</f>
        <v>0</v>
      </c>
      <c r="Y241" s="9">
        <f>ROUND(SUMIFS('Bank Lines'!$E$5:$E$1640,'Bank Lines'!$G$5:$G$1640,A241,'Bank Lines'!$J$5:$J$1640,1,'Bank Lines'!$C$5:$C$1640,"&lt;="&amp;Cover!$C$15),2)</f>
        <v>446.18</v>
      </c>
      <c r="Z241" s="9">
        <f>ROUND(SUMIFS('Odoo Items'!$G$5:$G$4331,'Odoo Items'!$J$5:$J$4331,A241,'Odoo Items'!$C$5:$C$4331,"&lt;="&amp;Cover!$C$15),2)</f>
        <v>446.18</v>
      </c>
      <c r="AA241">
        <f>COUNTIFS('Bank Lines'!$G$5:$G$1640,A241,'Bank Lines'!$J$5:$J$1640,1,'Bank Lines'!$C$5:$C$1640,"&lt;="&amp;Cover!$C$15)</f>
        <v>1</v>
      </c>
      <c r="AB241">
        <f>COUNTIFS('Odoo Items'!$J$5:$J$4331,A241,'Odoo Items'!$C$5:$C$4331,"&lt;="&amp;Cover!$C$15)</f>
        <v>2</v>
      </c>
      <c r="AC241" t="str">
        <f>IF(AND(AA241=0,AB241=0),"",IF(AA241=0,"ODOO-ONLY",IF(AB241=0,"BANK-ONLY","BOTH")))</f>
        <v>BOTH</v>
      </c>
      <c r="AD241" s="9">
        <f>IF(AC241="BOTH",ROUND(Y241-Z241,2),0)</f>
        <v>0</v>
      </c>
    </row>
    <row r="242">
      <c r="A242" t="inlineStr">
        <is>
          <t>G00238</t>
        </is>
      </c>
      <c r="B242" t="inlineStr">
        <is>
          <t>OPS</t>
        </is>
      </c>
      <c r="C242" t="inlineStr">
        <is>
          <t>R03</t>
        </is>
      </c>
      <c r="D242" t="inlineStr">
        <is>
          <t>MATCH</t>
        </is>
      </c>
      <c r="E242" t="inlineStr">
        <is>
          <t>Redgum Plan Admin</t>
        </is>
      </c>
      <c r="F242" t="n">
        <v>1</v>
      </c>
      <c r="G242" t="inlineStr">
        <is>
          <t>4 invoices</t>
        </is>
      </c>
      <c r="H242">
        <f>COUNTIFS('Bank Lines'!$G$5:$G$1640,A242,'Bank Lines'!$J$5:$J$1640,1)</f>
        <v>1</v>
      </c>
      <c r="I242">
        <f>COUNTIFS('Odoo Items'!$J$5:$J$4331,A242)</f>
        <v>4</v>
      </c>
      <c r="J242" s="9">
        <f>ROUND(SUMIFS('Bank Lines'!$E$5:$E$1640,'Bank Lines'!$G$5:$G$1640,A242,'Bank Lines'!$J$5:$J$1640,1),2)</f>
        <v>1125.14</v>
      </c>
      <c r="K242" s="9">
        <f>ROUND(SUMIFS('Odoo Items'!$G$5:$G$4331,'Odoo Items'!$J$5:$J$4331,A242),2)</f>
        <v>1125.14</v>
      </c>
      <c r="L242" s="9">
        <f>ROUND(J242-K242,2)</f>
        <v>0</v>
      </c>
      <c r="M242" s="9">
        <f>ROUND(SUMIFS('Bank Lines'!$E$5:$E$1640,'Bank Lines'!$G$5:$G$1640,A242,'Bank Lines'!$J$5:$J$1640,1,'Bank Lines'!$C$5:$C$1640,"&lt;="&amp;Cover!$C$13),2)</f>
        <v>1125.14</v>
      </c>
      <c r="N242" s="9">
        <f>ROUND(SUMIFS('Odoo Items'!$G$5:$G$4331,'Odoo Items'!$J$5:$J$4331,A242,'Odoo Items'!$C$5:$C$4331,"&lt;="&amp;Cover!$C$13),2)</f>
        <v>1125.14</v>
      </c>
      <c r="O242">
        <f>COUNTIFS('Bank Lines'!$G$5:$G$1640,A242,'Bank Lines'!$J$5:$J$1640,1,'Bank Lines'!$C$5:$C$1640,"&lt;="&amp;Cover!$C$13)</f>
        <v>1</v>
      </c>
      <c r="P242">
        <f>COUNTIFS('Odoo Items'!$J$5:$J$4331,A242,'Odoo Items'!$C$5:$C$4331,"&lt;="&amp;Cover!$C$13)</f>
        <v>4</v>
      </c>
      <c r="Q242" t="str">
        <f>IF(AND(O242=0,P242=0),"",IF(O242=0,"ODOO-ONLY",IF(P242=0,"BANK-ONLY","BOTH")))</f>
        <v>BOTH</v>
      </c>
      <c r="R242" s="9">
        <f>IF(Q242="BOTH",ROUND(M242-N242,2),0)</f>
        <v>0</v>
      </c>
      <c r="S242" s="9">
        <f>ROUND(SUMIFS('Bank Lines'!$E$5:$E$1640,'Bank Lines'!$G$5:$G$1640,A242,'Bank Lines'!$J$5:$J$1640,1,'Bank Lines'!$C$5:$C$1640,"&lt;="&amp;Cover!$C$14),2)</f>
        <v>1125.14</v>
      </c>
      <c r="T242" s="9">
        <f>ROUND(SUMIFS('Odoo Items'!$G$5:$G$4331,'Odoo Items'!$J$5:$J$4331,A242,'Odoo Items'!$C$5:$C$4331,"&lt;="&amp;Cover!$C$14),2)</f>
        <v>1125.14</v>
      </c>
      <c r="U242">
        <f>COUNTIFS('Bank Lines'!$G$5:$G$1640,A242,'Bank Lines'!$J$5:$J$1640,1,'Bank Lines'!$C$5:$C$1640,"&lt;="&amp;Cover!$C$14)</f>
        <v>1</v>
      </c>
      <c r="V242">
        <f>COUNTIFS('Odoo Items'!$J$5:$J$4331,A242,'Odoo Items'!$C$5:$C$4331,"&lt;="&amp;Cover!$C$14)</f>
        <v>4</v>
      </c>
      <c r="W242" t="str">
        <f>IF(AND(U242=0,V242=0),"",IF(U242=0,"ODOO-ONLY",IF(V242=0,"BANK-ONLY","BOTH")))</f>
        <v>BOTH</v>
      </c>
      <c r="X242" s="9">
        <f>IF(W242="BOTH",ROUND(S242-T242,2),0)</f>
        <v>0</v>
      </c>
      <c r="Y242" s="9">
        <f>ROUND(SUMIFS('Bank Lines'!$E$5:$E$1640,'Bank Lines'!$G$5:$G$1640,A242,'Bank Lines'!$J$5:$J$1640,1,'Bank Lines'!$C$5:$C$1640,"&lt;="&amp;Cover!$C$15),2)</f>
        <v>1125.14</v>
      </c>
      <c r="Z242" s="9">
        <f>ROUND(SUMIFS('Odoo Items'!$G$5:$G$4331,'Odoo Items'!$J$5:$J$4331,A242,'Odoo Items'!$C$5:$C$4331,"&lt;="&amp;Cover!$C$15),2)</f>
        <v>1125.14</v>
      </c>
      <c r="AA242">
        <f>COUNTIFS('Bank Lines'!$G$5:$G$1640,A242,'Bank Lines'!$J$5:$J$1640,1,'Bank Lines'!$C$5:$C$1640,"&lt;="&amp;Cover!$C$15)</f>
        <v>1</v>
      </c>
      <c r="AB242">
        <f>COUNTIFS('Odoo Items'!$J$5:$J$4331,A242,'Odoo Items'!$C$5:$C$4331,"&lt;="&amp;Cover!$C$15)</f>
        <v>4</v>
      </c>
      <c r="AC242" t="str">
        <f>IF(AND(AA242=0,AB242=0),"",IF(AA242=0,"ODOO-ONLY",IF(AB242=0,"BANK-ONLY","BOTH")))</f>
        <v>BOTH</v>
      </c>
      <c r="AD242" s="9">
        <f>IF(AC242="BOTH",ROUND(Y242-Z242,2),0)</f>
        <v>0</v>
      </c>
    </row>
    <row r="243">
      <c r="A243" t="inlineStr">
        <is>
          <t>G00239</t>
        </is>
      </c>
      <c r="B243" t="inlineStr">
        <is>
          <t>OPS</t>
        </is>
      </c>
      <c r="C243" t="inlineStr">
        <is>
          <t>R03</t>
        </is>
      </c>
      <c r="D243" t="inlineStr">
        <is>
          <t>MATCH</t>
        </is>
      </c>
      <c r="E243" t="inlineStr">
        <is>
          <t>Southern Cross Plan Mgmt</t>
        </is>
      </c>
      <c r="F243" t="n">
        <v>1</v>
      </c>
      <c r="G243" t="inlineStr">
        <is>
          <t>3 invoices</t>
        </is>
      </c>
      <c r="H243">
        <f>COUNTIFS('Bank Lines'!$G$5:$G$1640,A243,'Bank Lines'!$J$5:$J$1640,1)</f>
        <v>1</v>
      </c>
      <c r="I243">
        <f>COUNTIFS('Odoo Items'!$J$5:$J$4331,A243)</f>
        <v>3</v>
      </c>
      <c r="J243" s="9">
        <f>ROUND(SUMIFS('Bank Lines'!$E$5:$E$1640,'Bank Lines'!$G$5:$G$1640,A243,'Bank Lines'!$J$5:$J$1640,1),2)</f>
        <v>892.35</v>
      </c>
      <c r="K243" s="9">
        <f>ROUND(SUMIFS('Odoo Items'!$G$5:$G$4331,'Odoo Items'!$J$5:$J$4331,A243),2)</f>
        <v>892.35</v>
      </c>
      <c r="L243" s="9">
        <f>ROUND(J243-K243,2)</f>
        <v>0</v>
      </c>
      <c r="M243" s="9">
        <f>ROUND(SUMIFS('Bank Lines'!$E$5:$E$1640,'Bank Lines'!$G$5:$G$1640,A243,'Bank Lines'!$J$5:$J$1640,1,'Bank Lines'!$C$5:$C$1640,"&lt;="&amp;Cover!$C$13),2)</f>
        <v>892.35</v>
      </c>
      <c r="N243" s="9">
        <f>ROUND(SUMIFS('Odoo Items'!$G$5:$G$4331,'Odoo Items'!$J$5:$J$4331,A243,'Odoo Items'!$C$5:$C$4331,"&lt;="&amp;Cover!$C$13),2)</f>
        <v>892.35</v>
      </c>
      <c r="O243">
        <f>COUNTIFS('Bank Lines'!$G$5:$G$1640,A243,'Bank Lines'!$J$5:$J$1640,1,'Bank Lines'!$C$5:$C$1640,"&lt;="&amp;Cover!$C$13)</f>
        <v>1</v>
      </c>
      <c r="P243">
        <f>COUNTIFS('Odoo Items'!$J$5:$J$4331,A243,'Odoo Items'!$C$5:$C$4331,"&lt;="&amp;Cover!$C$13)</f>
        <v>3</v>
      </c>
      <c r="Q243" t="str">
        <f>IF(AND(O243=0,P243=0),"",IF(O243=0,"ODOO-ONLY",IF(P243=0,"BANK-ONLY","BOTH")))</f>
        <v>BOTH</v>
      </c>
      <c r="R243" s="9">
        <f>IF(Q243="BOTH",ROUND(M243-N243,2),0)</f>
        <v>0</v>
      </c>
      <c r="S243" s="9">
        <f>ROUND(SUMIFS('Bank Lines'!$E$5:$E$1640,'Bank Lines'!$G$5:$G$1640,A243,'Bank Lines'!$J$5:$J$1640,1,'Bank Lines'!$C$5:$C$1640,"&lt;="&amp;Cover!$C$14),2)</f>
        <v>892.35</v>
      </c>
      <c r="T243" s="9">
        <f>ROUND(SUMIFS('Odoo Items'!$G$5:$G$4331,'Odoo Items'!$J$5:$J$4331,A243,'Odoo Items'!$C$5:$C$4331,"&lt;="&amp;Cover!$C$14),2)</f>
        <v>892.35</v>
      </c>
      <c r="U243">
        <f>COUNTIFS('Bank Lines'!$G$5:$G$1640,A243,'Bank Lines'!$J$5:$J$1640,1,'Bank Lines'!$C$5:$C$1640,"&lt;="&amp;Cover!$C$14)</f>
        <v>1</v>
      </c>
      <c r="V243">
        <f>COUNTIFS('Odoo Items'!$J$5:$J$4331,A243,'Odoo Items'!$C$5:$C$4331,"&lt;="&amp;Cover!$C$14)</f>
        <v>3</v>
      </c>
      <c r="W243" t="str">
        <f>IF(AND(U243=0,V243=0),"",IF(U243=0,"ODOO-ONLY",IF(V243=0,"BANK-ONLY","BOTH")))</f>
        <v>BOTH</v>
      </c>
      <c r="X243" s="9">
        <f>IF(W243="BOTH",ROUND(S243-T243,2),0)</f>
        <v>0</v>
      </c>
      <c r="Y243" s="9">
        <f>ROUND(SUMIFS('Bank Lines'!$E$5:$E$1640,'Bank Lines'!$G$5:$G$1640,A243,'Bank Lines'!$J$5:$J$1640,1,'Bank Lines'!$C$5:$C$1640,"&lt;="&amp;Cover!$C$15),2)</f>
        <v>892.35</v>
      </c>
      <c r="Z243" s="9">
        <f>ROUND(SUMIFS('Odoo Items'!$G$5:$G$4331,'Odoo Items'!$J$5:$J$4331,A243,'Odoo Items'!$C$5:$C$4331,"&lt;="&amp;Cover!$C$15),2)</f>
        <v>892.35</v>
      </c>
      <c r="AA243">
        <f>COUNTIFS('Bank Lines'!$G$5:$G$1640,A243,'Bank Lines'!$J$5:$J$1640,1,'Bank Lines'!$C$5:$C$1640,"&lt;="&amp;Cover!$C$15)</f>
        <v>1</v>
      </c>
      <c r="AB243">
        <f>COUNTIFS('Odoo Items'!$J$5:$J$4331,A243,'Odoo Items'!$C$5:$C$4331,"&lt;="&amp;Cover!$C$15)</f>
        <v>3</v>
      </c>
      <c r="AC243" t="str">
        <f>IF(AND(AA243=0,AB243=0),"",IF(AA243=0,"ODOO-ONLY",IF(AB243=0,"BANK-ONLY","BOTH")))</f>
        <v>BOTH</v>
      </c>
      <c r="AD243" s="9">
        <f>IF(AC243="BOTH",ROUND(Y243-Z243,2),0)</f>
        <v>0</v>
      </c>
    </row>
    <row r="244">
      <c r="A244" t="inlineStr">
        <is>
          <t>G00240</t>
        </is>
      </c>
      <c r="B244" t="inlineStr">
        <is>
          <t>OPS</t>
        </is>
      </c>
      <c r="C244" t="inlineStr">
        <is>
          <t>R03</t>
        </is>
      </c>
      <c r="D244" t="inlineStr">
        <is>
          <t>MATCH</t>
        </is>
      </c>
      <c r="E244" t="inlineStr">
        <is>
          <t>Tallowwood Plans</t>
        </is>
      </c>
      <c r="F244" t="n">
        <v>1</v>
      </c>
      <c r="G244" t="inlineStr">
        <is>
          <t>2 invoices</t>
        </is>
      </c>
      <c r="H244">
        <f>COUNTIFS('Bank Lines'!$G$5:$G$1640,A244,'Bank Lines'!$J$5:$J$1640,1)</f>
        <v>1</v>
      </c>
      <c r="I244">
        <f>COUNTIFS('Odoo Items'!$J$5:$J$4331,A244)</f>
        <v>2</v>
      </c>
      <c r="J244" s="9">
        <f>ROUND(SUMIFS('Bank Lines'!$E$5:$E$1640,'Bank Lines'!$G$5:$G$1640,A244,'Bank Lines'!$J$5:$J$1640,1),2)</f>
        <v>591.67</v>
      </c>
      <c r="K244" s="9">
        <f>ROUND(SUMIFS('Odoo Items'!$G$5:$G$4331,'Odoo Items'!$J$5:$J$4331,A244),2)</f>
        <v>591.67</v>
      </c>
      <c r="L244" s="9">
        <f>ROUND(J244-K244,2)</f>
        <v>0</v>
      </c>
      <c r="M244" s="9">
        <f>ROUND(SUMIFS('Bank Lines'!$E$5:$E$1640,'Bank Lines'!$G$5:$G$1640,A244,'Bank Lines'!$J$5:$J$1640,1,'Bank Lines'!$C$5:$C$1640,"&lt;="&amp;Cover!$C$13),2)</f>
        <v>591.67</v>
      </c>
      <c r="N244" s="9">
        <f>ROUND(SUMIFS('Odoo Items'!$G$5:$G$4331,'Odoo Items'!$J$5:$J$4331,A244,'Odoo Items'!$C$5:$C$4331,"&lt;="&amp;Cover!$C$13),2)</f>
        <v>591.67</v>
      </c>
      <c r="O244">
        <f>COUNTIFS('Bank Lines'!$G$5:$G$1640,A244,'Bank Lines'!$J$5:$J$1640,1,'Bank Lines'!$C$5:$C$1640,"&lt;="&amp;Cover!$C$13)</f>
        <v>1</v>
      </c>
      <c r="P244">
        <f>COUNTIFS('Odoo Items'!$J$5:$J$4331,A244,'Odoo Items'!$C$5:$C$4331,"&lt;="&amp;Cover!$C$13)</f>
        <v>2</v>
      </c>
      <c r="Q244" t="str">
        <f>IF(AND(O244=0,P244=0),"",IF(O244=0,"ODOO-ONLY",IF(P244=0,"BANK-ONLY","BOTH")))</f>
        <v>BOTH</v>
      </c>
      <c r="R244" s="9">
        <f>IF(Q244="BOTH",ROUND(M244-N244,2),0)</f>
        <v>0</v>
      </c>
      <c r="S244" s="9">
        <f>ROUND(SUMIFS('Bank Lines'!$E$5:$E$1640,'Bank Lines'!$G$5:$G$1640,A244,'Bank Lines'!$J$5:$J$1640,1,'Bank Lines'!$C$5:$C$1640,"&lt;="&amp;Cover!$C$14),2)</f>
        <v>591.67</v>
      </c>
      <c r="T244" s="9">
        <f>ROUND(SUMIFS('Odoo Items'!$G$5:$G$4331,'Odoo Items'!$J$5:$J$4331,A244,'Odoo Items'!$C$5:$C$4331,"&lt;="&amp;Cover!$C$14),2)</f>
        <v>591.67</v>
      </c>
      <c r="U244">
        <f>COUNTIFS('Bank Lines'!$G$5:$G$1640,A244,'Bank Lines'!$J$5:$J$1640,1,'Bank Lines'!$C$5:$C$1640,"&lt;="&amp;Cover!$C$14)</f>
        <v>1</v>
      </c>
      <c r="V244">
        <f>COUNTIFS('Odoo Items'!$J$5:$J$4331,A244,'Odoo Items'!$C$5:$C$4331,"&lt;="&amp;Cover!$C$14)</f>
        <v>2</v>
      </c>
      <c r="W244" t="str">
        <f>IF(AND(U244=0,V244=0),"",IF(U244=0,"ODOO-ONLY",IF(V244=0,"BANK-ONLY","BOTH")))</f>
        <v>BOTH</v>
      </c>
      <c r="X244" s="9">
        <f>IF(W244="BOTH",ROUND(S244-T244,2),0)</f>
        <v>0</v>
      </c>
      <c r="Y244" s="9">
        <f>ROUND(SUMIFS('Bank Lines'!$E$5:$E$1640,'Bank Lines'!$G$5:$G$1640,A244,'Bank Lines'!$J$5:$J$1640,1,'Bank Lines'!$C$5:$C$1640,"&lt;="&amp;Cover!$C$15),2)</f>
        <v>591.67</v>
      </c>
      <c r="Z244" s="9">
        <f>ROUND(SUMIFS('Odoo Items'!$G$5:$G$4331,'Odoo Items'!$J$5:$J$4331,A244,'Odoo Items'!$C$5:$C$4331,"&lt;="&amp;Cover!$C$15),2)</f>
        <v>591.67</v>
      </c>
      <c r="AA244">
        <f>COUNTIFS('Bank Lines'!$G$5:$G$1640,A244,'Bank Lines'!$J$5:$J$1640,1,'Bank Lines'!$C$5:$C$1640,"&lt;="&amp;Cover!$C$15)</f>
        <v>1</v>
      </c>
      <c r="AB244">
        <f>COUNTIFS('Odoo Items'!$J$5:$J$4331,A244,'Odoo Items'!$C$5:$C$4331,"&lt;="&amp;Cover!$C$15)</f>
        <v>2</v>
      </c>
      <c r="AC244" t="str">
        <f>IF(AND(AA244=0,AB244=0),"",IF(AA244=0,"ODOO-ONLY",IF(AB244=0,"BANK-ONLY","BOTH")))</f>
        <v>BOTH</v>
      </c>
      <c r="AD244" s="9">
        <f>IF(AC244="BOTH",ROUND(Y244-Z244,2),0)</f>
        <v>0</v>
      </c>
    </row>
    <row r="245">
      <c r="A245" t="inlineStr">
        <is>
          <t>G00241</t>
        </is>
      </c>
      <c r="B245" t="inlineStr">
        <is>
          <t>OPS</t>
        </is>
      </c>
      <c r="C245" t="inlineStr">
        <is>
          <t>R03</t>
        </is>
      </c>
      <c r="D245" t="inlineStr">
        <is>
          <t>MATCH</t>
        </is>
      </c>
      <c r="E245" t="inlineStr">
        <is>
          <t>Mallee Plan Services</t>
        </is>
      </c>
      <c r="F245" t="n">
        <v>1</v>
      </c>
      <c r="G245" t="inlineStr">
        <is>
          <t>2 invoices</t>
        </is>
      </c>
      <c r="H245">
        <f>COUNTIFS('Bank Lines'!$G$5:$G$1640,A245,'Bank Lines'!$J$5:$J$1640,1)</f>
        <v>1</v>
      </c>
      <c r="I245">
        <f>COUNTIFS('Odoo Items'!$J$5:$J$4331,A245)</f>
        <v>2</v>
      </c>
      <c r="J245" s="9">
        <f>ROUND(SUMIFS('Bank Lines'!$E$5:$E$1640,'Bank Lines'!$G$5:$G$1640,A245,'Bank Lines'!$J$5:$J$1640,1),2)</f>
        <v>417.98</v>
      </c>
      <c r="K245" s="9">
        <f>ROUND(SUMIFS('Odoo Items'!$G$5:$G$4331,'Odoo Items'!$J$5:$J$4331,A245),2)</f>
        <v>417.98</v>
      </c>
      <c r="L245" s="9">
        <f>ROUND(J245-K245,2)</f>
        <v>0</v>
      </c>
      <c r="M245" s="9">
        <f>ROUND(SUMIFS('Bank Lines'!$E$5:$E$1640,'Bank Lines'!$G$5:$G$1640,A245,'Bank Lines'!$J$5:$J$1640,1,'Bank Lines'!$C$5:$C$1640,"&lt;="&amp;Cover!$C$13),2)</f>
        <v>417.98</v>
      </c>
      <c r="N245" s="9">
        <f>ROUND(SUMIFS('Odoo Items'!$G$5:$G$4331,'Odoo Items'!$J$5:$J$4331,A245,'Odoo Items'!$C$5:$C$4331,"&lt;="&amp;Cover!$C$13),2)</f>
        <v>417.98</v>
      </c>
      <c r="O245">
        <f>COUNTIFS('Bank Lines'!$G$5:$G$1640,A245,'Bank Lines'!$J$5:$J$1640,1,'Bank Lines'!$C$5:$C$1640,"&lt;="&amp;Cover!$C$13)</f>
        <v>1</v>
      </c>
      <c r="P245">
        <f>COUNTIFS('Odoo Items'!$J$5:$J$4331,A245,'Odoo Items'!$C$5:$C$4331,"&lt;="&amp;Cover!$C$13)</f>
        <v>2</v>
      </c>
      <c r="Q245" t="str">
        <f>IF(AND(O245=0,P245=0),"",IF(O245=0,"ODOO-ONLY",IF(P245=0,"BANK-ONLY","BOTH")))</f>
        <v>BOTH</v>
      </c>
      <c r="R245" s="9">
        <f>IF(Q245="BOTH",ROUND(M245-N245,2),0)</f>
        <v>0</v>
      </c>
      <c r="S245" s="9">
        <f>ROUND(SUMIFS('Bank Lines'!$E$5:$E$1640,'Bank Lines'!$G$5:$G$1640,A245,'Bank Lines'!$J$5:$J$1640,1,'Bank Lines'!$C$5:$C$1640,"&lt;="&amp;Cover!$C$14),2)</f>
        <v>417.98</v>
      </c>
      <c r="T245" s="9">
        <f>ROUND(SUMIFS('Odoo Items'!$G$5:$G$4331,'Odoo Items'!$J$5:$J$4331,A245,'Odoo Items'!$C$5:$C$4331,"&lt;="&amp;Cover!$C$14),2)</f>
        <v>417.98</v>
      </c>
      <c r="U245">
        <f>COUNTIFS('Bank Lines'!$G$5:$G$1640,A245,'Bank Lines'!$J$5:$J$1640,1,'Bank Lines'!$C$5:$C$1640,"&lt;="&amp;Cover!$C$14)</f>
        <v>1</v>
      </c>
      <c r="V245">
        <f>COUNTIFS('Odoo Items'!$J$5:$J$4331,A245,'Odoo Items'!$C$5:$C$4331,"&lt;="&amp;Cover!$C$14)</f>
        <v>2</v>
      </c>
      <c r="W245" t="str">
        <f>IF(AND(U245=0,V245=0),"",IF(U245=0,"ODOO-ONLY",IF(V245=0,"BANK-ONLY","BOTH")))</f>
        <v>BOTH</v>
      </c>
      <c r="X245" s="9">
        <f>IF(W245="BOTH",ROUND(S245-T245,2),0)</f>
        <v>0</v>
      </c>
      <c r="Y245" s="9">
        <f>ROUND(SUMIFS('Bank Lines'!$E$5:$E$1640,'Bank Lines'!$G$5:$G$1640,A245,'Bank Lines'!$J$5:$J$1640,1,'Bank Lines'!$C$5:$C$1640,"&lt;="&amp;Cover!$C$15),2)</f>
        <v>417.98</v>
      </c>
      <c r="Z245" s="9">
        <f>ROUND(SUMIFS('Odoo Items'!$G$5:$G$4331,'Odoo Items'!$J$5:$J$4331,A245,'Odoo Items'!$C$5:$C$4331,"&lt;="&amp;Cover!$C$15),2)</f>
        <v>417.98</v>
      </c>
      <c r="AA245">
        <f>COUNTIFS('Bank Lines'!$G$5:$G$1640,A245,'Bank Lines'!$J$5:$J$1640,1,'Bank Lines'!$C$5:$C$1640,"&lt;="&amp;Cover!$C$15)</f>
        <v>1</v>
      </c>
      <c r="AB245">
        <f>COUNTIFS('Odoo Items'!$J$5:$J$4331,A245,'Odoo Items'!$C$5:$C$4331,"&lt;="&amp;Cover!$C$15)</f>
        <v>2</v>
      </c>
      <c r="AC245" t="str">
        <f>IF(AND(AA245=0,AB245=0),"",IF(AA245=0,"ODOO-ONLY",IF(AB245=0,"BANK-ONLY","BOTH")))</f>
        <v>BOTH</v>
      </c>
      <c r="AD245" s="9">
        <f>IF(AC245="BOTH",ROUND(Y245-Z245,2),0)</f>
        <v>0</v>
      </c>
    </row>
    <row r="246">
      <c r="A246" t="inlineStr">
        <is>
          <t>G00242</t>
        </is>
      </c>
      <c r="B246" t="inlineStr">
        <is>
          <t>OPS</t>
        </is>
      </c>
      <c r="C246" t="inlineStr">
        <is>
          <t>R03</t>
        </is>
      </c>
      <c r="D246" t="inlineStr">
        <is>
          <t>MATCH</t>
        </is>
      </c>
      <c r="E246" t="inlineStr">
        <is>
          <t>Bluegum Plan Management</t>
        </is>
      </c>
      <c r="F246" t="n">
        <v>1</v>
      </c>
      <c r="G246" t="inlineStr">
        <is>
          <t>8 invoices</t>
        </is>
      </c>
      <c r="H246">
        <f>COUNTIFS('Bank Lines'!$G$5:$G$1640,A246,'Bank Lines'!$J$5:$J$1640,1)</f>
        <v>1</v>
      </c>
      <c r="I246">
        <f>COUNTIFS('Odoo Items'!$J$5:$J$4331,A246)</f>
        <v>8</v>
      </c>
      <c r="J246" s="9">
        <f>ROUND(SUMIFS('Bank Lines'!$E$5:$E$1640,'Bank Lines'!$G$5:$G$1640,A246,'Bank Lines'!$J$5:$J$1640,1),2)</f>
        <v>1931.09</v>
      </c>
      <c r="K246" s="9">
        <f>ROUND(SUMIFS('Odoo Items'!$G$5:$G$4331,'Odoo Items'!$J$5:$J$4331,A246),2)</f>
        <v>1931.09</v>
      </c>
      <c r="L246" s="9">
        <f>ROUND(J246-K246,2)</f>
        <v>0</v>
      </c>
      <c r="M246" s="9">
        <f>ROUND(SUMIFS('Bank Lines'!$E$5:$E$1640,'Bank Lines'!$G$5:$G$1640,A246,'Bank Lines'!$J$5:$J$1640,1,'Bank Lines'!$C$5:$C$1640,"&lt;="&amp;Cover!$C$13),2)</f>
        <v>0</v>
      </c>
      <c r="N246" s="9">
        <f>ROUND(SUMIFS('Odoo Items'!$G$5:$G$4331,'Odoo Items'!$J$5:$J$4331,A246,'Odoo Items'!$C$5:$C$4331,"&lt;="&amp;Cover!$C$13),2)</f>
        <v>0</v>
      </c>
      <c r="O246">
        <f>COUNTIFS('Bank Lines'!$G$5:$G$1640,A246,'Bank Lines'!$J$5:$J$1640,1,'Bank Lines'!$C$5:$C$1640,"&lt;="&amp;Cover!$C$13)</f>
        <v>0</v>
      </c>
      <c r="P246">
        <f>COUNTIFS('Odoo Items'!$J$5:$J$4331,A246,'Odoo Items'!$C$5:$C$4331,"&lt;="&amp;Cover!$C$13)</f>
        <v>0</v>
      </c>
      <c r="Q246">
        <f>IF(AND(O246=0,P246=0),"",IF(O246=0,"ODOO-ONLY",IF(P246=0,"BANK-ONLY","BOTH")))</f>
      </c>
      <c r="R246" s="9">
        <f>IF(Q246="BOTH",ROUND(M246-N246,2),0)</f>
        <v>0</v>
      </c>
      <c r="S246" s="9">
        <f>ROUND(SUMIFS('Bank Lines'!$E$5:$E$1640,'Bank Lines'!$G$5:$G$1640,A246,'Bank Lines'!$J$5:$J$1640,1,'Bank Lines'!$C$5:$C$1640,"&lt;="&amp;Cover!$C$14),2)</f>
        <v>1931.09</v>
      </c>
      <c r="T246" s="9">
        <f>ROUND(SUMIFS('Odoo Items'!$G$5:$G$4331,'Odoo Items'!$J$5:$J$4331,A246,'Odoo Items'!$C$5:$C$4331,"&lt;="&amp;Cover!$C$14),2)</f>
        <v>1931.09</v>
      </c>
      <c r="U246">
        <f>COUNTIFS('Bank Lines'!$G$5:$G$1640,A246,'Bank Lines'!$J$5:$J$1640,1,'Bank Lines'!$C$5:$C$1640,"&lt;="&amp;Cover!$C$14)</f>
        <v>1</v>
      </c>
      <c r="V246">
        <f>COUNTIFS('Odoo Items'!$J$5:$J$4331,A246,'Odoo Items'!$C$5:$C$4331,"&lt;="&amp;Cover!$C$14)</f>
        <v>8</v>
      </c>
      <c r="W246" t="str">
        <f>IF(AND(U246=0,V246=0),"",IF(U246=0,"ODOO-ONLY",IF(V246=0,"BANK-ONLY","BOTH")))</f>
        <v>BOTH</v>
      </c>
      <c r="X246" s="9">
        <f>IF(W246="BOTH",ROUND(S246-T246,2),0)</f>
        <v>0</v>
      </c>
      <c r="Y246" s="9">
        <f>ROUND(SUMIFS('Bank Lines'!$E$5:$E$1640,'Bank Lines'!$G$5:$G$1640,A246,'Bank Lines'!$J$5:$J$1640,1,'Bank Lines'!$C$5:$C$1640,"&lt;="&amp;Cover!$C$15),2)</f>
        <v>1931.09</v>
      </c>
      <c r="Z246" s="9">
        <f>ROUND(SUMIFS('Odoo Items'!$G$5:$G$4331,'Odoo Items'!$J$5:$J$4331,A246,'Odoo Items'!$C$5:$C$4331,"&lt;="&amp;Cover!$C$15),2)</f>
        <v>1931.09</v>
      </c>
      <c r="AA246">
        <f>COUNTIFS('Bank Lines'!$G$5:$G$1640,A246,'Bank Lines'!$J$5:$J$1640,1,'Bank Lines'!$C$5:$C$1640,"&lt;="&amp;Cover!$C$15)</f>
        <v>1</v>
      </c>
      <c r="AB246">
        <f>COUNTIFS('Odoo Items'!$J$5:$J$4331,A246,'Odoo Items'!$C$5:$C$4331,"&lt;="&amp;Cover!$C$15)</f>
        <v>8</v>
      </c>
      <c r="AC246" t="str">
        <f>IF(AND(AA246=0,AB246=0),"",IF(AA246=0,"ODOO-ONLY",IF(AB246=0,"BANK-ONLY","BOTH")))</f>
        <v>BOTH</v>
      </c>
      <c r="AD246" s="9">
        <f>IF(AC246="BOTH",ROUND(Y246-Z246,2),0)</f>
        <v>0</v>
      </c>
    </row>
    <row r="247">
      <c r="A247" t="inlineStr">
        <is>
          <t>G00243</t>
        </is>
      </c>
      <c r="B247" t="inlineStr">
        <is>
          <t>OPS</t>
        </is>
      </c>
      <c r="C247" t="inlineStr">
        <is>
          <t>R03</t>
        </is>
      </c>
      <c r="D247" t="inlineStr">
        <is>
          <t>MATCH</t>
        </is>
      </c>
      <c r="E247" t="inlineStr">
        <is>
          <t>Clearpath NDIS Plans</t>
        </is>
      </c>
      <c r="F247" t="n">
        <v>1</v>
      </c>
      <c r="G247" t="inlineStr">
        <is>
          <t>3 invoices</t>
        </is>
      </c>
      <c r="H247">
        <f>COUNTIFS('Bank Lines'!$G$5:$G$1640,A247,'Bank Lines'!$J$5:$J$1640,1)</f>
        <v>1</v>
      </c>
      <c r="I247">
        <f>COUNTIFS('Odoo Items'!$J$5:$J$4331,A247)</f>
        <v>3</v>
      </c>
      <c r="J247" s="9">
        <f>ROUND(SUMIFS('Bank Lines'!$E$5:$E$1640,'Bank Lines'!$G$5:$G$1640,A247,'Bank Lines'!$J$5:$J$1640,1),2)</f>
        <v>581.96</v>
      </c>
      <c r="K247" s="9">
        <f>ROUND(SUMIFS('Odoo Items'!$G$5:$G$4331,'Odoo Items'!$J$5:$J$4331,A247),2)</f>
        <v>581.96</v>
      </c>
      <c r="L247" s="9">
        <f>ROUND(J247-K247,2)</f>
        <v>0</v>
      </c>
      <c r="M247" s="9">
        <f>ROUND(SUMIFS('Bank Lines'!$E$5:$E$1640,'Bank Lines'!$G$5:$G$1640,A247,'Bank Lines'!$J$5:$J$1640,1,'Bank Lines'!$C$5:$C$1640,"&lt;="&amp;Cover!$C$13),2)</f>
        <v>0</v>
      </c>
      <c r="N247" s="9">
        <f>ROUND(SUMIFS('Odoo Items'!$G$5:$G$4331,'Odoo Items'!$J$5:$J$4331,A247,'Odoo Items'!$C$5:$C$4331,"&lt;="&amp;Cover!$C$13),2)</f>
        <v>0</v>
      </c>
      <c r="O247">
        <f>COUNTIFS('Bank Lines'!$G$5:$G$1640,A247,'Bank Lines'!$J$5:$J$1640,1,'Bank Lines'!$C$5:$C$1640,"&lt;="&amp;Cover!$C$13)</f>
        <v>0</v>
      </c>
      <c r="P247">
        <f>COUNTIFS('Odoo Items'!$J$5:$J$4331,A247,'Odoo Items'!$C$5:$C$4331,"&lt;="&amp;Cover!$C$13)</f>
        <v>0</v>
      </c>
      <c r="Q247">
        <f>IF(AND(O247=0,P247=0),"",IF(O247=0,"ODOO-ONLY",IF(P247=0,"BANK-ONLY","BOTH")))</f>
      </c>
      <c r="R247" s="9">
        <f>IF(Q247="BOTH",ROUND(M247-N247,2),0)</f>
        <v>0</v>
      </c>
      <c r="S247" s="9">
        <f>ROUND(SUMIFS('Bank Lines'!$E$5:$E$1640,'Bank Lines'!$G$5:$G$1640,A247,'Bank Lines'!$J$5:$J$1640,1,'Bank Lines'!$C$5:$C$1640,"&lt;="&amp;Cover!$C$14),2)</f>
        <v>581.96</v>
      </c>
      <c r="T247" s="9">
        <f>ROUND(SUMIFS('Odoo Items'!$G$5:$G$4331,'Odoo Items'!$J$5:$J$4331,A247,'Odoo Items'!$C$5:$C$4331,"&lt;="&amp;Cover!$C$14),2)</f>
        <v>581.96</v>
      </c>
      <c r="U247">
        <f>COUNTIFS('Bank Lines'!$G$5:$G$1640,A247,'Bank Lines'!$J$5:$J$1640,1,'Bank Lines'!$C$5:$C$1640,"&lt;="&amp;Cover!$C$14)</f>
        <v>1</v>
      </c>
      <c r="V247">
        <f>COUNTIFS('Odoo Items'!$J$5:$J$4331,A247,'Odoo Items'!$C$5:$C$4331,"&lt;="&amp;Cover!$C$14)</f>
        <v>3</v>
      </c>
      <c r="W247" t="str">
        <f>IF(AND(U247=0,V247=0),"",IF(U247=0,"ODOO-ONLY",IF(V247=0,"BANK-ONLY","BOTH")))</f>
        <v>BOTH</v>
      </c>
      <c r="X247" s="9">
        <f>IF(W247="BOTH",ROUND(S247-T247,2),0)</f>
        <v>0</v>
      </c>
      <c r="Y247" s="9">
        <f>ROUND(SUMIFS('Bank Lines'!$E$5:$E$1640,'Bank Lines'!$G$5:$G$1640,A247,'Bank Lines'!$J$5:$J$1640,1,'Bank Lines'!$C$5:$C$1640,"&lt;="&amp;Cover!$C$15),2)</f>
        <v>581.96</v>
      </c>
      <c r="Z247" s="9">
        <f>ROUND(SUMIFS('Odoo Items'!$G$5:$G$4331,'Odoo Items'!$J$5:$J$4331,A247,'Odoo Items'!$C$5:$C$4331,"&lt;="&amp;Cover!$C$15),2)</f>
        <v>581.96</v>
      </c>
      <c r="AA247">
        <f>COUNTIFS('Bank Lines'!$G$5:$G$1640,A247,'Bank Lines'!$J$5:$J$1640,1,'Bank Lines'!$C$5:$C$1640,"&lt;="&amp;Cover!$C$15)</f>
        <v>1</v>
      </c>
      <c r="AB247">
        <f>COUNTIFS('Odoo Items'!$J$5:$J$4331,A247,'Odoo Items'!$C$5:$C$4331,"&lt;="&amp;Cover!$C$15)</f>
        <v>3</v>
      </c>
      <c r="AC247" t="str">
        <f>IF(AND(AA247=0,AB247=0),"",IF(AA247=0,"ODOO-ONLY",IF(AB247=0,"BANK-ONLY","BOTH")))</f>
        <v>BOTH</v>
      </c>
      <c r="AD247" s="9">
        <f>IF(AC247="BOTH",ROUND(Y247-Z247,2),0)</f>
        <v>0</v>
      </c>
    </row>
    <row r="248">
      <c r="A248" t="inlineStr">
        <is>
          <t>G00244</t>
        </is>
      </c>
      <c r="B248" t="inlineStr">
        <is>
          <t>OPS</t>
        </is>
      </c>
      <c r="C248" t="inlineStr">
        <is>
          <t>R03</t>
        </is>
      </c>
      <c r="D248" t="inlineStr">
        <is>
          <t>REG</t>
        </is>
      </c>
      <c r="E248" t="inlineStr">
        <is>
          <t>Wattle Plan Services</t>
        </is>
      </c>
      <c r="F248" t="n">
        <v>1</v>
      </c>
      <c r="G248" t="inlineStr">
        <is>
          <t>Receipt not registered in Odoo; remittance RA44965 lists 5 invoices</t>
        </is>
      </c>
      <c r="H248">
        <f>COUNTIFS('Bank Lines'!$G$5:$G$1640,A248,'Bank Lines'!$J$5:$J$1640,1)</f>
        <v>1</v>
      </c>
      <c r="I248">
        <f>COUNTIFS('Odoo Items'!$J$5:$J$4331,A248)</f>
        <v>0</v>
      </c>
      <c r="J248" s="9">
        <f>ROUND(SUMIFS('Bank Lines'!$E$5:$E$1640,'Bank Lines'!$G$5:$G$1640,A248,'Bank Lines'!$J$5:$J$1640,1),2)</f>
        <v>989.35</v>
      </c>
      <c r="K248" s="9">
        <f>ROUND(SUMIFS('Odoo Items'!$G$5:$G$4331,'Odoo Items'!$J$5:$J$4331,A248),2)</f>
        <v>0</v>
      </c>
      <c r="L248" s="9">
        <f>ROUND(J248-K248,2)</f>
        <v>989.35</v>
      </c>
      <c r="M248" s="9">
        <f>ROUND(SUMIFS('Bank Lines'!$E$5:$E$1640,'Bank Lines'!$G$5:$G$1640,A248,'Bank Lines'!$J$5:$J$1640,1,'Bank Lines'!$C$5:$C$1640,"&lt;="&amp;Cover!$C$13),2)</f>
        <v>0</v>
      </c>
      <c r="N248" s="9">
        <f>ROUND(SUMIFS('Odoo Items'!$G$5:$G$4331,'Odoo Items'!$J$5:$J$4331,A248,'Odoo Items'!$C$5:$C$4331,"&lt;="&amp;Cover!$C$13),2)</f>
        <v>0</v>
      </c>
      <c r="O248">
        <f>COUNTIFS('Bank Lines'!$G$5:$G$1640,A248,'Bank Lines'!$J$5:$J$1640,1,'Bank Lines'!$C$5:$C$1640,"&lt;="&amp;Cover!$C$13)</f>
        <v>0</v>
      </c>
      <c r="P248">
        <f>COUNTIFS('Odoo Items'!$J$5:$J$4331,A248,'Odoo Items'!$C$5:$C$4331,"&lt;="&amp;Cover!$C$13)</f>
        <v>0</v>
      </c>
      <c r="Q248">
        <f>IF(AND(O248=0,P248=0),"",IF(O248=0,"ODOO-ONLY",IF(P248=0,"BANK-ONLY","BOTH")))</f>
      </c>
      <c r="R248" s="9">
        <f>IF(Q248="BOTH",ROUND(M248-N248,2),0)</f>
        <v>0</v>
      </c>
      <c r="S248" s="9">
        <f>ROUND(SUMIFS('Bank Lines'!$E$5:$E$1640,'Bank Lines'!$G$5:$G$1640,A248,'Bank Lines'!$J$5:$J$1640,1,'Bank Lines'!$C$5:$C$1640,"&lt;="&amp;Cover!$C$14),2)</f>
        <v>989.35</v>
      </c>
      <c r="T248" s="9">
        <f>ROUND(SUMIFS('Odoo Items'!$G$5:$G$4331,'Odoo Items'!$J$5:$J$4331,A248,'Odoo Items'!$C$5:$C$4331,"&lt;="&amp;Cover!$C$14),2)</f>
        <v>0</v>
      </c>
      <c r="U248">
        <f>COUNTIFS('Bank Lines'!$G$5:$G$1640,A248,'Bank Lines'!$J$5:$J$1640,1,'Bank Lines'!$C$5:$C$1640,"&lt;="&amp;Cover!$C$14)</f>
        <v>1</v>
      </c>
      <c r="V248">
        <f>COUNTIFS('Odoo Items'!$J$5:$J$4331,A248,'Odoo Items'!$C$5:$C$4331,"&lt;="&amp;Cover!$C$14)</f>
        <v>0</v>
      </c>
      <c r="W248" t="str">
        <f>IF(AND(U248=0,V248=0),"",IF(U248=0,"ODOO-ONLY",IF(V248=0,"BANK-ONLY","BOTH")))</f>
        <v>BANK-ONLY</v>
      </c>
      <c r="X248" s="9">
        <f>IF(W248="BOTH",ROUND(S248-T248,2),0)</f>
        <v>0</v>
      </c>
      <c r="Y248" s="9">
        <f>ROUND(SUMIFS('Bank Lines'!$E$5:$E$1640,'Bank Lines'!$G$5:$G$1640,A248,'Bank Lines'!$J$5:$J$1640,1,'Bank Lines'!$C$5:$C$1640,"&lt;="&amp;Cover!$C$15),2)</f>
        <v>989.35</v>
      </c>
      <c r="Z248" s="9">
        <f>ROUND(SUMIFS('Odoo Items'!$G$5:$G$4331,'Odoo Items'!$J$5:$J$4331,A248,'Odoo Items'!$C$5:$C$4331,"&lt;="&amp;Cover!$C$15),2)</f>
        <v>0</v>
      </c>
      <c r="AA248">
        <f>COUNTIFS('Bank Lines'!$G$5:$G$1640,A248,'Bank Lines'!$J$5:$J$1640,1,'Bank Lines'!$C$5:$C$1640,"&lt;="&amp;Cover!$C$15)</f>
        <v>1</v>
      </c>
      <c r="AB248">
        <f>COUNTIFS('Odoo Items'!$J$5:$J$4331,A248,'Odoo Items'!$C$5:$C$4331,"&lt;="&amp;Cover!$C$15)</f>
        <v>0</v>
      </c>
      <c r="AC248" t="str">
        <f>IF(AND(AA248=0,AB248=0),"",IF(AA248=0,"ODOO-ONLY",IF(AB248=0,"BANK-ONLY","BOTH")))</f>
        <v>BANK-ONLY</v>
      </c>
      <c r="AD248" s="9">
        <f>IF(AC248="BOTH",ROUND(Y248-Z248,2),0)</f>
        <v>0</v>
      </c>
    </row>
    <row r="249">
      <c r="A249" t="inlineStr">
        <is>
          <t>G00245</t>
        </is>
      </c>
      <c r="B249" t="inlineStr">
        <is>
          <t>OPS</t>
        </is>
      </c>
      <c r="C249" t="inlineStr">
        <is>
          <t>R03</t>
        </is>
      </c>
      <c r="D249" t="inlineStr">
        <is>
          <t>MATCH</t>
        </is>
      </c>
      <c r="E249" t="inlineStr">
        <is>
          <t>Banksia Plan Co</t>
        </is>
      </c>
      <c r="F249" t="n">
        <v>1</v>
      </c>
      <c r="G249" t="inlineStr">
        <is>
          <t>3 invoices</t>
        </is>
      </c>
      <c r="H249">
        <f>COUNTIFS('Bank Lines'!$G$5:$G$1640,A249,'Bank Lines'!$J$5:$J$1640,1)</f>
        <v>1</v>
      </c>
      <c r="I249">
        <f>COUNTIFS('Odoo Items'!$J$5:$J$4331,A249)</f>
        <v>3</v>
      </c>
      <c r="J249" s="9">
        <f>ROUND(SUMIFS('Bank Lines'!$E$5:$E$1640,'Bank Lines'!$G$5:$G$1640,A249,'Bank Lines'!$J$5:$J$1640,1),2)</f>
        <v>835.96</v>
      </c>
      <c r="K249" s="9">
        <f>ROUND(SUMIFS('Odoo Items'!$G$5:$G$4331,'Odoo Items'!$J$5:$J$4331,A249),2)</f>
        <v>835.96</v>
      </c>
      <c r="L249" s="9">
        <f>ROUND(J249-K249,2)</f>
        <v>0</v>
      </c>
      <c r="M249" s="9">
        <f>ROUND(SUMIFS('Bank Lines'!$E$5:$E$1640,'Bank Lines'!$G$5:$G$1640,A249,'Bank Lines'!$J$5:$J$1640,1,'Bank Lines'!$C$5:$C$1640,"&lt;="&amp;Cover!$C$13),2)</f>
        <v>0</v>
      </c>
      <c r="N249" s="9">
        <f>ROUND(SUMIFS('Odoo Items'!$G$5:$G$4331,'Odoo Items'!$J$5:$J$4331,A249,'Odoo Items'!$C$5:$C$4331,"&lt;="&amp;Cover!$C$13),2)</f>
        <v>0</v>
      </c>
      <c r="O249">
        <f>COUNTIFS('Bank Lines'!$G$5:$G$1640,A249,'Bank Lines'!$J$5:$J$1640,1,'Bank Lines'!$C$5:$C$1640,"&lt;="&amp;Cover!$C$13)</f>
        <v>0</v>
      </c>
      <c r="P249">
        <f>COUNTIFS('Odoo Items'!$J$5:$J$4331,A249,'Odoo Items'!$C$5:$C$4331,"&lt;="&amp;Cover!$C$13)</f>
        <v>0</v>
      </c>
      <c r="Q249">
        <f>IF(AND(O249=0,P249=0),"",IF(O249=0,"ODOO-ONLY",IF(P249=0,"BANK-ONLY","BOTH")))</f>
      </c>
      <c r="R249" s="9">
        <f>IF(Q249="BOTH",ROUND(M249-N249,2),0)</f>
        <v>0</v>
      </c>
      <c r="S249" s="9">
        <f>ROUND(SUMIFS('Bank Lines'!$E$5:$E$1640,'Bank Lines'!$G$5:$G$1640,A249,'Bank Lines'!$J$5:$J$1640,1,'Bank Lines'!$C$5:$C$1640,"&lt;="&amp;Cover!$C$14),2)</f>
        <v>835.96</v>
      </c>
      <c r="T249" s="9">
        <f>ROUND(SUMIFS('Odoo Items'!$G$5:$G$4331,'Odoo Items'!$J$5:$J$4331,A249,'Odoo Items'!$C$5:$C$4331,"&lt;="&amp;Cover!$C$14),2)</f>
        <v>835.96</v>
      </c>
      <c r="U249">
        <f>COUNTIFS('Bank Lines'!$G$5:$G$1640,A249,'Bank Lines'!$J$5:$J$1640,1,'Bank Lines'!$C$5:$C$1640,"&lt;="&amp;Cover!$C$14)</f>
        <v>1</v>
      </c>
      <c r="V249">
        <f>COUNTIFS('Odoo Items'!$J$5:$J$4331,A249,'Odoo Items'!$C$5:$C$4331,"&lt;="&amp;Cover!$C$14)</f>
        <v>3</v>
      </c>
      <c r="W249" t="str">
        <f>IF(AND(U249=0,V249=0),"",IF(U249=0,"ODOO-ONLY",IF(V249=0,"BANK-ONLY","BOTH")))</f>
        <v>BOTH</v>
      </c>
      <c r="X249" s="9">
        <f>IF(W249="BOTH",ROUND(S249-T249,2),0)</f>
        <v>0</v>
      </c>
      <c r="Y249" s="9">
        <f>ROUND(SUMIFS('Bank Lines'!$E$5:$E$1640,'Bank Lines'!$G$5:$G$1640,A249,'Bank Lines'!$J$5:$J$1640,1,'Bank Lines'!$C$5:$C$1640,"&lt;="&amp;Cover!$C$15),2)</f>
        <v>835.96</v>
      </c>
      <c r="Z249" s="9">
        <f>ROUND(SUMIFS('Odoo Items'!$G$5:$G$4331,'Odoo Items'!$J$5:$J$4331,A249,'Odoo Items'!$C$5:$C$4331,"&lt;="&amp;Cover!$C$15),2)</f>
        <v>835.96</v>
      </c>
      <c r="AA249">
        <f>COUNTIFS('Bank Lines'!$G$5:$G$1640,A249,'Bank Lines'!$J$5:$J$1640,1,'Bank Lines'!$C$5:$C$1640,"&lt;="&amp;Cover!$C$15)</f>
        <v>1</v>
      </c>
      <c r="AB249">
        <f>COUNTIFS('Odoo Items'!$J$5:$J$4331,A249,'Odoo Items'!$C$5:$C$4331,"&lt;="&amp;Cover!$C$15)</f>
        <v>3</v>
      </c>
      <c r="AC249" t="str">
        <f>IF(AND(AA249=0,AB249=0),"",IF(AA249=0,"ODOO-ONLY",IF(AB249=0,"BANK-ONLY","BOTH")))</f>
        <v>BOTH</v>
      </c>
      <c r="AD249" s="9">
        <f>IF(AC249="BOTH",ROUND(Y249-Z249,2),0)</f>
        <v>0</v>
      </c>
    </row>
    <row r="250">
      <c r="A250" t="inlineStr">
        <is>
          <t>G00246</t>
        </is>
      </c>
      <c r="B250" t="inlineStr">
        <is>
          <t>OPS</t>
        </is>
      </c>
      <c r="C250" t="inlineStr">
        <is>
          <t>R03</t>
        </is>
      </c>
      <c r="D250" t="inlineStr">
        <is>
          <t>MATCH</t>
        </is>
      </c>
      <c r="E250" t="inlineStr">
        <is>
          <t>Kookaburra Plan Support</t>
        </is>
      </c>
      <c r="F250" t="n">
        <v>1</v>
      </c>
      <c r="G250" t="inlineStr">
        <is>
          <t>6 invoices</t>
        </is>
      </c>
      <c r="H250">
        <f>COUNTIFS('Bank Lines'!$G$5:$G$1640,A250,'Bank Lines'!$J$5:$J$1640,1)</f>
        <v>1</v>
      </c>
      <c r="I250">
        <f>COUNTIFS('Odoo Items'!$J$5:$J$4331,A250)</f>
        <v>6</v>
      </c>
      <c r="J250" s="9">
        <f>ROUND(SUMIFS('Bank Lines'!$E$5:$E$1640,'Bank Lines'!$G$5:$G$1640,A250,'Bank Lines'!$J$5:$J$1640,1),2)</f>
        <v>1407.32</v>
      </c>
      <c r="K250" s="9">
        <f>ROUND(SUMIFS('Odoo Items'!$G$5:$G$4331,'Odoo Items'!$J$5:$J$4331,A250),2)</f>
        <v>1407.32</v>
      </c>
      <c r="L250" s="9">
        <f>ROUND(J250-K250,2)</f>
        <v>0</v>
      </c>
      <c r="M250" s="9">
        <f>ROUND(SUMIFS('Bank Lines'!$E$5:$E$1640,'Bank Lines'!$G$5:$G$1640,A250,'Bank Lines'!$J$5:$J$1640,1,'Bank Lines'!$C$5:$C$1640,"&lt;="&amp;Cover!$C$13),2)</f>
        <v>0</v>
      </c>
      <c r="N250" s="9">
        <f>ROUND(SUMIFS('Odoo Items'!$G$5:$G$4331,'Odoo Items'!$J$5:$J$4331,A250,'Odoo Items'!$C$5:$C$4331,"&lt;="&amp;Cover!$C$13),2)</f>
        <v>0</v>
      </c>
      <c r="O250">
        <f>COUNTIFS('Bank Lines'!$G$5:$G$1640,A250,'Bank Lines'!$J$5:$J$1640,1,'Bank Lines'!$C$5:$C$1640,"&lt;="&amp;Cover!$C$13)</f>
        <v>0</v>
      </c>
      <c r="P250">
        <f>COUNTIFS('Odoo Items'!$J$5:$J$4331,A250,'Odoo Items'!$C$5:$C$4331,"&lt;="&amp;Cover!$C$13)</f>
        <v>0</v>
      </c>
      <c r="Q250">
        <f>IF(AND(O250=0,P250=0),"",IF(O250=0,"ODOO-ONLY",IF(P250=0,"BANK-ONLY","BOTH")))</f>
      </c>
      <c r="R250" s="9">
        <f>IF(Q250="BOTH",ROUND(M250-N250,2),0)</f>
        <v>0</v>
      </c>
      <c r="S250" s="9">
        <f>ROUND(SUMIFS('Bank Lines'!$E$5:$E$1640,'Bank Lines'!$G$5:$G$1640,A250,'Bank Lines'!$J$5:$J$1640,1,'Bank Lines'!$C$5:$C$1640,"&lt;="&amp;Cover!$C$14),2)</f>
        <v>1407.32</v>
      </c>
      <c r="T250" s="9">
        <f>ROUND(SUMIFS('Odoo Items'!$G$5:$G$4331,'Odoo Items'!$J$5:$J$4331,A250,'Odoo Items'!$C$5:$C$4331,"&lt;="&amp;Cover!$C$14),2)</f>
        <v>1407.32</v>
      </c>
      <c r="U250">
        <f>COUNTIFS('Bank Lines'!$G$5:$G$1640,A250,'Bank Lines'!$J$5:$J$1640,1,'Bank Lines'!$C$5:$C$1640,"&lt;="&amp;Cover!$C$14)</f>
        <v>1</v>
      </c>
      <c r="V250">
        <f>COUNTIFS('Odoo Items'!$J$5:$J$4331,A250,'Odoo Items'!$C$5:$C$4331,"&lt;="&amp;Cover!$C$14)</f>
        <v>6</v>
      </c>
      <c r="W250" t="str">
        <f>IF(AND(U250=0,V250=0),"",IF(U250=0,"ODOO-ONLY",IF(V250=0,"BANK-ONLY","BOTH")))</f>
        <v>BOTH</v>
      </c>
      <c r="X250" s="9">
        <f>IF(W250="BOTH",ROUND(S250-T250,2),0)</f>
        <v>0</v>
      </c>
      <c r="Y250" s="9">
        <f>ROUND(SUMIFS('Bank Lines'!$E$5:$E$1640,'Bank Lines'!$G$5:$G$1640,A250,'Bank Lines'!$J$5:$J$1640,1,'Bank Lines'!$C$5:$C$1640,"&lt;="&amp;Cover!$C$15),2)</f>
        <v>1407.32</v>
      </c>
      <c r="Z250" s="9">
        <f>ROUND(SUMIFS('Odoo Items'!$G$5:$G$4331,'Odoo Items'!$J$5:$J$4331,A250,'Odoo Items'!$C$5:$C$4331,"&lt;="&amp;Cover!$C$15),2)</f>
        <v>1407.32</v>
      </c>
      <c r="AA250">
        <f>COUNTIFS('Bank Lines'!$G$5:$G$1640,A250,'Bank Lines'!$J$5:$J$1640,1,'Bank Lines'!$C$5:$C$1640,"&lt;="&amp;Cover!$C$15)</f>
        <v>1</v>
      </c>
      <c r="AB250">
        <f>COUNTIFS('Odoo Items'!$J$5:$J$4331,A250,'Odoo Items'!$C$5:$C$4331,"&lt;="&amp;Cover!$C$15)</f>
        <v>6</v>
      </c>
      <c r="AC250" t="str">
        <f>IF(AND(AA250=0,AB250=0),"",IF(AA250=0,"ODOO-ONLY",IF(AB250=0,"BANK-ONLY","BOTH")))</f>
        <v>BOTH</v>
      </c>
      <c r="AD250" s="9">
        <f>IF(AC250="BOTH",ROUND(Y250-Z250,2),0)</f>
        <v>0</v>
      </c>
    </row>
    <row r="251">
      <c r="A251" t="inlineStr">
        <is>
          <t>G00247</t>
        </is>
      </c>
      <c r="B251" t="inlineStr">
        <is>
          <t>OPS</t>
        </is>
      </c>
      <c r="C251" t="inlineStr">
        <is>
          <t>R03</t>
        </is>
      </c>
      <c r="D251" t="inlineStr">
        <is>
          <t>REG</t>
        </is>
      </c>
      <c r="E251" t="inlineStr">
        <is>
          <t>Redgum Plan Admin</t>
        </is>
      </c>
      <c r="F251" t="n">
        <v>1</v>
      </c>
      <c r="G251" t="inlineStr">
        <is>
          <t>Receipt not registered in Odoo; remittance RA44968 lists 3 invoices</t>
        </is>
      </c>
      <c r="H251">
        <f>COUNTIFS('Bank Lines'!$G$5:$G$1640,A251,'Bank Lines'!$J$5:$J$1640,1)</f>
        <v>1</v>
      </c>
      <c r="I251">
        <f>COUNTIFS('Odoo Items'!$J$5:$J$4331,A251)</f>
        <v>0</v>
      </c>
      <c r="J251" s="9">
        <f>ROUND(SUMIFS('Bank Lines'!$E$5:$E$1640,'Bank Lines'!$G$5:$G$1640,A251,'Bank Lines'!$J$5:$J$1640,1),2)</f>
        <v>785.66</v>
      </c>
      <c r="K251" s="9">
        <f>ROUND(SUMIFS('Odoo Items'!$G$5:$G$4331,'Odoo Items'!$J$5:$J$4331,A251),2)</f>
        <v>0</v>
      </c>
      <c r="L251" s="9">
        <f>ROUND(J251-K251,2)</f>
        <v>785.66</v>
      </c>
      <c r="M251" s="9">
        <f>ROUND(SUMIFS('Bank Lines'!$E$5:$E$1640,'Bank Lines'!$G$5:$G$1640,A251,'Bank Lines'!$J$5:$J$1640,1,'Bank Lines'!$C$5:$C$1640,"&lt;="&amp;Cover!$C$13),2)</f>
        <v>0</v>
      </c>
      <c r="N251" s="9">
        <f>ROUND(SUMIFS('Odoo Items'!$G$5:$G$4331,'Odoo Items'!$J$5:$J$4331,A251,'Odoo Items'!$C$5:$C$4331,"&lt;="&amp;Cover!$C$13),2)</f>
        <v>0</v>
      </c>
      <c r="O251">
        <f>COUNTIFS('Bank Lines'!$G$5:$G$1640,A251,'Bank Lines'!$J$5:$J$1640,1,'Bank Lines'!$C$5:$C$1640,"&lt;="&amp;Cover!$C$13)</f>
        <v>0</v>
      </c>
      <c r="P251">
        <f>COUNTIFS('Odoo Items'!$J$5:$J$4331,A251,'Odoo Items'!$C$5:$C$4331,"&lt;="&amp;Cover!$C$13)</f>
        <v>0</v>
      </c>
      <c r="Q251">
        <f>IF(AND(O251=0,P251=0),"",IF(O251=0,"ODOO-ONLY",IF(P251=0,"BANK-ONLY","BOTH")))</f>
      </c>
      <c r="R251" s="9">
        <f>IF(Q251="BOTH",ROUND(M251-N251,2),0)</f>
        <v>0</v>
      </c>
      <c r="S251" s="9">
        <f>ROUND(SUMIFS('Bank Lines'!$E$5:$E$1640,'Bank Lines'!$G$5:$G$1640,A251,'Bank Lines'!$J$5:$J$1640,1,'Bank Lines'!$C$5:$C$1640,"&lt;="&amp;Cover!$C$14),2)</f>
        <v>785.66</v>
      </c>
      <c r="T251" s="9">
        <f>ROUND(SUMIFS('Odoo Items'!$G$5:$G$4331,'Odoo Items'!$J$5:$J$4331,A251,'Odoo Items'!$C$5:$C$4331,"&lt;="&amp;Cover!$C$14),2)</f>
        <v>0</v>
      </c>
      <c r="U251">
        <f>COUNTIFS('Bank Lines'!$G$5:$G$1640,A251,'Bank Lines'!$J$5:$J$1640,1,'Bank Lines'!$C$5:$C$1640,"&lt;="&amp;Cover!$C$14)</f>
        <v>1</v>
      </c>
      <c r="V251">
        <f>COUNTIFS('Odoo Items'!$J$5:$J$4331,A251,'Odoo Items'!$C$5:$C$4331,"&lt;="&amp;Cover!$C$14)</f>
        <v>0</v>
      </c>
      <c r="W251" t="str">
        <f>IF(AND(U251=0,V251=0),"",IF(U251=0,"ODOO-ONLY",IF(V251=0,"BANK-ONLY","BOTH")))</f>
        <v>BANK-ONLY</v>
      </c>
      <c r="X251" s="9">
        <f>IF(W251="BOTH",ROUND(S251-T251,2),0)</f>
        <v>0</v>
      </c>
      <c r="Y251" s="9">
        <f>ROUND(SUMIFS('Bank Lines'!$E$5:$E$1640,'Bank Lines'!$G$5:$G$1640,A251,'Bank Lines'!$J$5:$J$1640,1,'Bank Lines'!$C$5:$C$1640,"&lt;="&amp;Cover!$C$15),2)</f>
        <v>785.66</v>
      </c>
      <c r="Z251" s="9">
        <f>ROUND(SUMIFS('Odoo Items'!$G$5:$G$4331,'Odoo Items'!$J$5:$J$4331,A251,'Odoo Items'!$C$5:$C$4331,"&lt;="&amp;Cover!$C$15),2)</f>
        <v>0</v>
      </c>
      <c r="AA251">
        <f>COUNTIFS('Bank Lines'!$G$5:$G$1640,A251,'Bank Lines'!$J$5:$J$1640,1,'Bank Lines'!$C$5:$C$1640,"&lt;="&amp;Cover!$C$15)</f>
        <v>1</v>
      </c>
      <c r="AB251">
        <f>COUNTIFS('Odoo Items'!$J$5:$J$4331,A251,'Odoo Items'!$C$5:$C$4331,"&lt;="&amp;Cover!$C$15)</f>
        <v>0</v>
      </c>
      <c r="AC251" t="str">
        <f>IF(AND(AA251=0,AB251=0),"",IF(AA251=0,"ODOO-ONLY",IF(AB251=0,"BANK-ONLY","BOTH")))</f>
        <v>BANK-ONLY</v>
      </c>
      <c r="AD251" s="9">
        <f>IF(AC251="BOTH",ROUND(Y251-Z251,2),0)</f>
        <v>0</v>
      </c>
    </row>
    <row r="252">
      <c r="A252" t="inlineStr">
        <is>
          <t>G00248</t>
        </is>
      </c>
      <c r="B252" t="inlineStr">
        <is>
          <t>OPS</t>
        </is>
      </c>
      <c r="C252" t="inlineStr">
        <is>
          <t>R03</t>
        </is>
      </c>
      <c r="D252" t="inlineStr">
        <is>
          <t>MATCH</t>
        </is>
      </c>
      <c r="E252" t="inlineStr">
        <is>
          <t>Southern Cross Plan Mgmt</t>
        </is>
      </c>
      <c r="F252" t="n">
        <v>1</v>
      </c>
      <c r="G252" t="inlineStr">
        <is>
          <t>2 invoices</t>
        </is>
      </c>
      <c r="H252">
        <f>COUNTIFS('Bank Lines'!$G$5:$G$1640,A252,'Bank Lines'!$J$5:$J$1640,1)</f>
        <v>1</v>
      </c>
      <c r="I252">
        <f>COUNTIFS('Odoo Items'!$J$5:$J$4331,A252)</f>
        <v>2</v>
      </c>
      <c r="J252" s="9">
        <f>ROUND(SUMIFS('Bank Lines'!$E$5:$E$1640,'Bank Lines'!$G$5:$G$1640,A252,'Bank Lines'!$J$5:$J$1640,1),2)</f>
        <v>543.17</v>
      </c>
      <c r="K252" s="9">
        <f>ROUND(SUMIFS('Odoo Items'!$G$5:$G$4331,'Odoo Items'!$J$5:$J$4331,A252),2)</f>
        <v>543.17</v>
      </c>
      <c r="L252" s="9">
        <f>ROUND(J252-K252,2)</f>
        <v>0</v>
      </c>
      <c r="M252" s="9">
        <f>ROUND(SUMIFS('Bank Lines'!$E$5:$E$1640,'Bank Lines'!$G$5:$G$1640,A252,'Bank Lines'!$J$5:$J$1640,1,'Bank Lines'!$C$5:$C$1640,"&lt;="&amp;Cover!$C$13),2)</f>
        <v>0</v>
      </c>
      <c r="N252" s="9">
        <f>ROUND(SUMIFS('Odoo Items'!$G$5:$G$4331,'Odoo Items'!$J$5:$J$4331,A252,'Odoo Items'!$C$5:$C$4331,"&lt;="&amp;Cover!$C$13),2)</f>
        <v>0</v>
      </c>
      <c r="O252">
        <f>COUNTIFS('Bank Lines'!$G$5:$G$1640,A252,'Bank Lines'!$J$5:$J$1640,1,'Bank Lines'!$C$5:$C$1640,"&lt;="&amp;Cover!$C$13)</f>
        <v>0</v>
      </c>
      <c r="P252">
        <f>COUNTIFS('Odoo Items'!$J$5:$J$4331,A252,'Odoo Items'!$C$5:$C$4331,"&lt;="&amp;Cover!$C$13)</f>
        <v>0</v>
      </c>
      <c r="Q252">
        <f>IF(AND(O252=0,P252=0),"",IF(O252=0,"ODOO-ONLY",IF(P252=0,"BANK-ONLY","BOTH")))</f>
      </c>
      <c r="R252" s="9">
        <f>IF(Q252="BOTH",ROUND(M252-N252,2),0)</f>
        <v>0</v>
      </c>
      <c r="S252" s="9">
        <f>ROUND(SUMIFS('Bank Lines'!$E$5:$E$1640,'Bank Lines'!$G$5:$G$1640,A252,'Bank Lines'!$J$5:$J$1640,1,'Bank Lines'!$C$5:$C$1640,"&lt;="&amp;Cover!$C$14),2)</f>
        <v>543.17</v>
      </c>
      <c r="T252" s="9">
        <f>ROUND(SUMIFS('Odoo Items'!$G$5:$G$4331,'Odoo Items'!$J$5:$J$4331,A252,'Odoo Items'!$C$5:$C$4331,"&lt;="&amp;Cover!$C$14),2)</f>
        <v>543.17</v>
      </c>
      <c r="U252">
        <f>COUNTIFS('Bank Lines'!$G$5:$G$1640,A252,'Bank Lines'!$J$5:$J$1640,1,'Bank Lines'!$C$5:$C$1640,"&lt;="&amp;Cover!$C$14)</f>
        <v>1</v>
      </c>
      <c r="V252">
        <f>COUNTIFS('Odoo Items'!$J$5:$J$4331,A252,'Odoo Items'!$C$5:$C$4331,"&lt;="&amp;Cover!$C$14)</f>
        <v>2</v>
      </c>
      <c r="W252" t="str">
        <f>IF(AND(U252=0,V252=0),"",IF(U252=0,"ODOO-ONLY",IF(V252=0,"BANK-ONLY","BOTH")))</f>
        <v>BOTH</v>
      </c>
      <c r="X252" s="9">
        <f>IF(W252="BOTH",ROUND(S252-T252,2),0)</f>
        <v>0</v>
      </c>
      <c r="Y252" s="9">
        <f>ROUND(SUMIFS('Bank Lines'!$E$5:$E$1640,'Bank Lines'!$G$5:$G$1640,A252,'Bank Lines'!$J$5:$J$1640,1,'Bank Lines'!$C$5:$C$1640,"&lt;="&amp;Cover!$C$15),2)</f>
        <v>543.17</v>
      </c>
      <c r="Z252" s="9">
        <f>ROUND(SUMIFS('Odoo Items'!$G$5:$G$4331,'Odoo Items'!$J$5:$J$4331,A252,'Odoo Items'!$C$5:$C$4331,"&lt;="&amp;Cover!$C$15),2)</f>
        <v>543.17</v>
      </c>
      <c r="AA252">
        <f>COUNTIFS('Bank Lines'!$G$5:$G$1640,A252,'Bank Lines'!$J$5:$J$1640,1,'Bank Lines'!$C$5:$C$1640,"&lt;="&amp;Cover!$C$15)</f>
        <v>1</v>
      </c>
      <c r="AB252">
        <f>COUNTIFS('Odoo Items'!$J$5:$J$4331,A252,'Odoo Items'!$C$5:$C$4331,"&lt;="&amp;Cover!$C$15)</f>
        <v>2</v>
      </c>
      <c r="AC252" t="str">
        <f>IF(AND(AA252=0,AB252=0),"",IF(AA252=0,"ODOO-ONLY",IF(AB252=0,"BANK-ONLY","BOTH")))</f>
        <v>BOTH</v>
      </c>
      <c r="AD252" s="9">
        <f>IF(AC252="BOTH",ROUND(Y252-Z252,2),0)</f>
        <v>0</v>
      </c>
    </row>
    <row r="253">
      <c r="A253" t="inlineStr">
        <is>
          <t>G00249</t>
        </is>
      </c>
      <c r="B253" t="inlineStr">
        <is>
          <t>OPS</t>
        </is>
      </c>
      <c r="C253" t="inlineStr">
        <is>
          <t>R03</t>
        </is>
      </c>
      <c r="D253" t="inlineStr">
        <is>
          <t>MATCH</t>
        </is>
      </c>
      <c r="E253" t="inlineStr">
        <is>
          <t>Lyrebird Plan Management</t>
        </is>
      </c>
      <c r="F253" t="n">
        <v>1</v>
      </c>
      <c r="G253" t="inlineStr">
        <is>
          <t>2 invoices</t>
        </is>
      </c>
      <c r="H253">
        <f>COUNTIFS('Bank Lines'!$G$5:$G$1640,A253,'Bank Lines'!$J$5:$J$1640,1)</f>
        <v>1</v>
      </c>
      <c r="I253">
        <f>COUNTIFS('Odoo Items'!$J$5:$J$4331,A253)</f>
        <v>2</v>
      </c>
      <c r="J253" s="9">
        <f>ROUND(SUMIFS('Bank Lines'!$E$5:$E$1640,'Bank Lines'!$G$5:$G$1640,A253,'Bank Lines'!$J$5:$J$1640,1),2)</f>
        <v>484.97</v>
      </c>
      <c r="K253" s="9">
        <f>ROUND(SUMIFS('Odoo Items'!$G$5:$G$4331,'Odoo Items'!$J$5:$J$4331,A253),2)</f>
        <v>484.97</v>
      </c>
      <c r="L253" s="9">
        <f>ROUND(J253-K253,2)</f>
        <v>0</v>
      </c>
      <c r="M253" s="9">
        <f>ROUND(SUMIFS('Bank Lines'!$E$5:$E$1640,'Bank Lines'!$G$5:$G$1640,A253,'Bank Lines'!$J$5:$J$1640,1,'Bank Lines'!$C$5:$C$1640,"&lt;="&amp;Cover!$C$13),2)</f>
        <v>0</v>
      </c>
      <c r="N253" s="9">
        <f>ROUND(SUMIFS('Odoo Items'!$G$5:$G$4331,'Odoo Items'!$J$5:$J$4331,A253,'Odoo Items'!$C$5:$C$4331,"&lt;="&amp;Cover!$C$13),2)</f>
        <v>0</v>
      </c>
      <c r="O253">
        <f>COUNTIFS('Bank Lines'!$G$5:$G$1640,A253,'Bank Lines'!$J$5:$J$1640,1,'Bank Lines'!$C$5:$C$1640,"&lt;="&amp;Cover!$C$13)</f>
        <v>0</v>
      </c>
      <c r="P253">
        <f>COUNTIFS('Odoo Items'!$J$5:$J$4331,A253,'Odoo Items'!$C$5:$C$4331,"&lt;="&amp;Cover!$C$13)</f>
        <v>0</v>
      </c>
      <c r="Q253">
        <f>IF(AND(O253=0,P253=0),"",IF(O253=0,"ODOO-ONLY",IF(P253=0,"BANK-ONLY","BOTH")))</f>
      </c>
      <c r="R253" s="9">
        <f>IF(Q253="BOTH",ROUND(M253-N253,2),0)</f>
        <v>0</v>
      </c>
      <c r="S253" s="9">
        <f>ROUND(SUMIFS('Bank Lines'!$E$5:$E$1640,'Bank Lines'!$G$5:$G$1640,A253,'Bank Lines'!$J$5:$J$1640,1,'Bank Lines'!$C$5:$C$1640,"&lt;="&amp;Cover!$C$14),2)</f>
        <v>484.97</v>
      </c>
      <c r="T253" s="9">
        <f>ROUND(SUMIFS('Odoo Items'!$G$5:$G$4331,'Odoo Items'!$J$5:$J$4331,A253,'Odoo Items'!$C$5:$C$4331,"&lt;="&amp;Cover!$C$14),2)</f>
        <v>484.97</v>
      </c>
      <c r="U253">
        <f>COUNTIFS('Bank Lines'!$G$5:$G$1640,A253,'Bank Lines'!$J$5:$J$1640,1,'Bank Lines'!$C$5:$C$1640,"&lt;="&amp;Cover!$C$14)</f>
        <v>1</v>
      </c>
      <c r="V253">
        <f>COUNTIFS('Odoo Items'!$J$5:$J$4331,A253,'Odoo Items'!$C$5:$C$4331,"&lt;="&amp;Cover!$C$14)</f>
        <v>2</v>
      </c>
      <c r="W253" t="str">
        <f>IF(AND(U253=0,V253=0),"",IF(U253=0,"ODOO-ONLY",IF(V253=0,"BANK-ONLY","BOTH")))</f>
        <v>BOTH</v>
      </c>
      <c r="X253" s="9">
        <f>IF(W253="BOTH",ROUND(S253-T253,2),0)</f>
        <v>0</v>
      </c>
      <c r="Y253" s="9">
        <f>ROUND(SUMIFS('Bank Lines'!$E$5:$E$1640,'Bank Lines'!$G$5:$G$1640,A253,'Bank Lines'!$J$5:$J$1640,1,'Bank Lines'!$C$5:$C$1640,"&lt;="&amp;Cover!$C$15),2)</f>
        <v>484.97</v>
      </c>
      <c r="Z253" s="9">
        <f>ROUND(SUMIFS('Odoo Items'!$G$5:$G$4331,'Odoo Items'!$J$5:$J$4331,A253,'Odoo Items'!$C$5:$C$4331,"&lt;="&amp;Cover!$C$15),2)</f>
        <v>484.97</v>
      </c>
      <c r="AA253">
        <f>COUNTIFS('Bank Lines'!$G$5:$G$1640,A253,'Bank Lines'!$J$5:$J$1640,1,'Bank Lines'!$C$5:$C$1640,"&lt;="&amp;Cover!$C$15)</f>
        <v>1</v>
      </c>
      <c r="AB253">
        <f>COUNTIFS('Odoo Items'!$J$5:$J$4331,A253,'Odoo Items'!$C$5:$C$4331,"&lt;="&amp;Cover!$C$15)</f>
        <v>2</v>
      </c>
      <c r="AC253" t="str">
        <f>IF(AND(AA253=0,AB253=0),"",IF(AA253=0,"ODOO-ONLY",IF(AB253=0,"BANK-ONLY","BOTH")))</f>
        <v>BOTH</v>
      </c>
      <c r="AD253" s="9">
        <f>IF(AC253="BOTH",ROUND(Y253-Z253,2),0)</f>
        <v>0</v>
      </c>
    </row>
    <row r="254">
      <c r="A254" t="inlineStr">
        <is>
          <t>G00250</t>
        </is>
      </c>
      <c r="B254" t="inlineStr">
        <is>
          <t>OPS</t>
        </is>
      </c>
      <c r="C254" t="inlineStr">
        <is>
          <t>R03</t>
        </is>
      </c>
      <c r="D254" t="inlineStr">
        <is>
          <t>MATCH</t>
        </is>
      </c>
      <c r="E254" t="inlineStr">
        <is>
          <t>Acacia Plan Partners</t>
        </is>
      </c>
      <c r="F254" t="n">
        <v>1</v>
      </c>
      <c r="G254" t="inlineStr">
        <is>
          <t>6 invoices</t>
        </is>
      </c>
      <c r="H254">
        <f>COUNTIFS('Bank Lines'!$G$5:$G$1640,A254,'Bank Lines'!$J$5:$J$1640,1)</f>
        <v>1</v>
      </c>
      <c r="I254">
        <f>COUNTIFS('Odoo Items'!$J$5:$J$4331,A254)</f>
        <v>6</v>
      </c>
      <c r="J254" s="9">
        <f>ROUND(SUMIFS('Bank Lines'!$E$5:$E$1640,'Bank Lines'!$G$5:$G$1640,A254,'Bank Lines'!$J$5:$J$1640,1),2)</f>
        <v>1611.92</v>
      </c>
      <c r="K254" s="9">
        <f>ROUND(SUMIFS('Odoo Items'!$G$5:$G$4331,'Odoo Items'!$J$5:$J$4331,A254),2)</f>
        <v>1611.92</v>
      </c>
      <c r="L254" s="9">
        <f>ROUND(J254-K254,2)</f>
        <v>0</v>
      </c>
      <c r="M254" s="9">
        <f>ROUND(SUMIFS('Bank Lines'!$E$5:$E$1640,'Bank Lines'!$G$5:$G$1640,A254,'Bank Lines'!$J$5:$J$1640,1,'Bank Lines'!$C$5:$C$1640,"&lt;="&amp;Cover!$C$13),2)</f>
        <v>0</v>
      </c>
      <c r="N254" s="9">
        <f>ROUND(SUMIFS('Odoo Items'!$G$5:$G$4331,'Odoo Items'!$J$5:$J$4331,A254,'Odoo Items'!$C$5:$C$4331,"&lt;="&amp;Cover!$C$13),2)</f>
        <v>0</v>
      </c>
      <c r="O254">
        <f>COUNTIFS('Bank Lines'!$G$5:$G$1640,A254,'Bank Lines'!$J$5:$J$1640,1,'Bank Lines'!$C$5:$C$1640,"&lt;="&amp;Cover!$C$13)</f>
        <v>0</v>
      </c>
      <c r="P254">
        <f>COUNTIFS('Odoo Items'!$J$5:$J$4331,A254,'Odoo Items'!$C$5:$C$4331,"&lt;="&amp;Cover!$C$13)</f>
        <v>0</v>
      </c>
      <c r="Q254">
        <f>IF(AND(O254=0,P254=0),"",IF(O254=0,"ODOO-ONLY",IF(P254=0,"BANK-ONLY","BOTH")))</f>
      </c>
      <c r="R254" s="9">
        <f>IF(Q254="BOTH",ROUND(M254-N254,2),0)</f>
        <v>0</v>
      </c>
      <c r="S254" s="9">
        <f>ROUND(SUMIFS('Bank Lines'!$E$5:$E$1640,'Bank Lines'!$G$5:$G$1640,A254,'Bank Lines'!$J$5:$J$1640,1,'Bank Lines'!$C$5:$C$1640,"&lt;="&amp;Cover!$C$14),2)</f>
        <v>1611.92</v>
      </c>
      <c r="T254" s="9">
        <f>ROUND(SUMIFS('Odoo Items'!$G$5:$G$4331,'Odoo Items'!$J$5:$J$4331,A254,'Odoo Items'!$C$5:$C$4331,"&lt;="&amp;Cover!$C$14),2)</f>
        <v>1611.92</v>
      </c>
      <c r="U254">
        <f>COUNTIFS('Bank Lines'!$G$5:$G$1640,A254,'Bank Lines'!$J$5:$J$1640,1,'Bank Lines'!$C$5:$C$1640,"&lt;="&amp;Cover!$C$14)</f>
        <v>1</v>
      </c>
      <c r="V254">
        <f>COUNTIFS('Odoo Items'!$J$5:$J$4331,A254,'Odoo Items'!$C$5:$C$4331,"&lt;="&amp;Cover!$C$14)</f>
        <v>6</v>
      </c>
      <c r="W254" t="str">
        <f>IF(AND(U254=0,V254=0),"",IF(U254=0,"ODOO-ONLY",IF(V254=0,"BANK-ONLY","BOTH")))</f>
        <v>BOTH</v>
      </c>
      <c r="X254" s="9">
        <f>IF(W254="BOTH",ROUND(S254-T254,2),0)</f>
        <v>0</v>
      </c>
      <c r="Y254" s="9">
        <f>ROUND(SUMIFS('Bank Lines'!$E$5:$E$1640,'Bank Lines'!$G$5:$G$1640,A254,'Bank Lines'!$J$5:$J$1640,1,'Bank Lines'!$C$5:$C$1640,"&lt;="&amp;Cover!$C$15),2)</f>
        <v>1611.92</v>
      </c>
      <c r="Z254" s="9">
        <f>ROUND(SUMIFS('Odoo Items'!$G$5:$G$4331,'Odoo Items'!$J$5:$J$4331,A254,'Odoo Items'!$C$5:$C$4331,"&lt;="&amp;Cover!$C$15),2)</f>
        <v>1611.92</v>
      </c>
      <c r="AA254">
        <f>COUNTIFS('Bank Lines'!$G$5:$G$1640,A254,'Bank Lines'!$J$5:$J$1640,1,'Bank Lines'!$C$5:$C$1640,"&lt;="&amp;Cover!$C$15)</f>
        <v>1</v>
      </c>
      <c r="AB254">
        <f>COUNTIFS('Odoo Items'!$J$5:$J$4331,A254,'Odoo Items'!$C$5:$C$4331,"&lt;="&amp;Cover!$C$15)</f>
        <v>6</v>
      </c>
      <c r="AC254" t="str">
        <f>IF(AND(AA254=0,AB254=0),"",IF(AA254=0,"ODOO-ONLY",IF(AB254=0,"BANK-ONLY","BOTH")))</f>
        <v>BOTH</v>
      </c>
      <c r="AD254" s="9">
        <f>IF(AC254="BOTH",ROUND(Y254-Z254,2),0)</f>
        <v>0</v>
      </c>
    </row>
    <row r="255">
      <c r="A255" t="inlineStr">
        <is>
          <t>G00251</t>
        </is>
      </c>
      <c r="B255" t="inlineStr">
        <is>
          <t>OPS</t>
        </is>
      </c>
      <c r="C255" t="inlineStr">
        <is>
          <t>R03</t>
        </is>
      </c>
      <c r="D255" t="inlineStr">
        <is>
          <t>MATCH</t>
        </is>
      </c>
      <c r="E255" t="inlineStr">
        <is>
          <t>Mallee Plan Services</t>
        </is>
      </c>
      <c r="F255" t="n">
        <v>0.973</v>
      </c>
      <c r="G255" t="inlineStr">
        <is>
          <t>4 invoices</t>
        </is>
      </c>
      <c r="H255">
        <f>COUNTIFS('Bank Lines'!$G$5:$G$1640,A255,'Bank Lines'!$J$5:$J$1640,1)</f>
        <v>1</v>
      </c>
      <c r="I255">
        <f>COUNTIFS('Odoo Items'!$J$5:$J$4331,A255)</f>
        <v>4</v>
      </c>
      <c r="J255" s="9">
        <f>ROUND(SUMIFS('Bank Lines'!$E$5:$E$1640,'Bank Lines'!$G$5:$G$1640,A255,'Bank Lines'!$J$5:$J$1640,1),2)</f>
        <v>843.86</v>
      </c>
      <c r="K255" s="9">
        <f>ROUND(SUMIFS('Odoo Items'!$G$5:$G$4331,'Odoo Items'!$J$5:$J$4331,A255),2)</f>
        <v>843.86</v>
      </c>
      <c r="L255" s="9">
        <f>ROUND(J255-K255,2)</f>
        <v>0</v>
      </c>
      <c r="M255" s="9">
        <f>ROUND(SUMIFS('Bank Lines'!$E$5:$E$1640,'Bank Lines'!$G$5:$G$1640,A255,'Bank Lines'!$J$5:$J$1640,1,'Bank Lines'!$C$5:$C$1640,"&lt;="&amp;Cover!$C$13),2)</f>
        <v>0</v>
      </c>
      <c r="N255" s="9">
        <f>ROUND(SUMIFS('Odoo Items'!$G$5:$G$4331,'Odoo Items'!$J$5:$J$4331,A255,'Odoo Items'!$C$5:$C$4331,"&lt;="&amp;Cover!$C$13),2)</f>
        <v>0</v>
      </c>
      <c r="O255">
        <f>COUNTIFS('Bank Lines'!$G$5:$G$1640,A255,'Bank Lines'!$J$5:$J$1640,1,'Bank Lines'!$C$5:$C$1640,"&lt;="&amp;Cover!$C$13)</f>
        <v>0</v>
      </c>
      <c r="P255">
        <f>COUNTIFS('Odoo Items'!$J$5:$J$4331,A255,'Odoo Items'!$C$5:$C$4331,"&lt;="&amp;Cover!$C$13)</f>
        <v>0</v>
      </c>
      <c r="Q255">
        <f>IF(AND(O255=0,P255=0),"",IF(O255=0,"ODOO-ONLY",IF(P255=0,"BANK-ONLY","BOTH")))</f>
      </c>
      <c r="R255" s="9">
        <f>IF(Q255="BOTH",ROUND(M255-N255,2),0)</f>
        <v>0</v>
      </c>
      <c r="S255" s="9">
        <f>ROUND(SUMIFS('Bank Lines'!$E$5:$E$1640,'Bank Lines'!$G$5:$G$1640,A255,'Bank Lines'!$J$5:$J$1640,1,'Bank Lines'!$C$5:$C$1640,"&lt;="&amp;Cover!$C$14),2)</f>
        <v>843.86</v>
      </c>
      <c r="T255" s="9">
        <f>ROUND(SUMIFS('Odoo Items'!$G$5:$G$4331,'Odoo Items'!$J$5:$J$4331,A255,'Odoo Items'!$C$5:$C$4331,"&lt;="&amp;Cover!$C$14),2)</f>
        <v>843.86</v>
      </c>
      <c r="U255">
        <f>COUNTIFS('Bank Lines'!$G$5:$G$1640,A255,'Bank Lines'!$J$5:$J$1640,1,'Bank Lines'!$C$5:$C$1640,"&lt;="&amp;Cover!$C$14)</f>
        <v>1</v>
      </c>
      <c r="V255">
        <f>COUNTIFS('Odoo Items'!$J$5:$J$4331,A255,'Odoo Items'!$C$5:$C$4331,"&lt;="&amp;Cover!$C$14)</f>
        <v>4</v>
      </c>
      <c r="W255" t="str">
        <f>IF(AND(U255=0,V255=0),"",IF(U255=0,"ODOO-ONLY",IF(V255=0,"BANK-ONLY","BOTH")))</f>
        <v>BOTH</v>
      </c>
      <c r="X255" s="9">
        <f>IF(W255="BOTH",ROUND(S255-T255,2),0)</f>
        <v>0</v>
      </c>
      <c r="Y255" s="9">
        <f>ROUND(SUMIFS('Bank Lines'!$E$5:$E$1640,'Bank Lines'!$G$5:$G$1640,A255,'Bank Lines'!$J$5:$J$1640,1,'Bank Lines'!$C$5:$C$1640,"&lt;="&amp;Cover!$C$15),2)</f>
        <v>843.86</v>
      </c>
      <c r="Z255" s="9">
        <f>ROUND(SUMIFS('Odoo Items'!$G$5:$G$4331,'Odoo Items'!$J$5:$J$4331,A255,'Odoo Items'!$C$5:$C$4331,"&lt;="&amp;Cover!$C$15),2)</f>
        <v>843.86</v>
      </c>
      <c r="AA255">
        <f>COUNTIFS('Bank Lines'!$G$5:$G$1640,A255,'Bank Lines'!$J$5:$J$1640,1,'Bank Lines'!$C$5:$C$1640,"&lt;="&amp;Cover!$C$15)</f>
        <v>1</v>
      </c>
      <c r="AB255">
        <f>COUNTIFS('Odoo Items'!$J$5:$J$4331,A255,'Odoo Items'!$C$5:$C$4331,"&lt;="&amp;Cover!$C$15)</f>
        <v>4</v>
      </c>
      <c r="AC255" t="str">
        <f>IF(AND(AA255=0,AB255=0),"",IF(AA255=0,"ODOO-ONLY",IF(AB255=0,"BANK-ONLY","BOTH")))</f>
        <v>BOTH</v>
      </c>
      <c r="AD255" s="9">
        <f>IF(AC255="BOTH",ROUND(Y255-Z255,2),0)</f>
        <v>0</v>
      </c>
    </row>
    <row r="256">
      <c r="A256" t="inlineStr">
        <is>
          <t>G00252</t>
        </is>
      </c>
      <c r="B256" t="inlineStr">
        <is>
          <t>OPS</t>
        </is>
      </c>
      <c r="C256" t="inlineStr">
        <is>
          <t>R03</t>
        </is>
      </c>
      <c r="D256" t="inlineStr">
        <is>
          <t>MATCH</t>
        </is>
      </c>
      <c r="E256" t="inlineStr">
        <is>
          <t>Clearpath NDIS Plans</t>
        </is>
      </c>
      <c r="F256" t="n">
        <v>1</v>
      </c>
      <c r="G256" t="inlineStr">
        <is>
          <t>4 invoices</t>
        </is>
      </c>
      <c r="H256">
        <f>COUNTIFS('Bank Lines'!$G$5:$G$1640,A256,'Bank Lines'!$J$5:$J$1640,1)</f>
        <v>1</v>
      </c>
      <c r="I256">
        <f>COUNTIFS('Odoo Items'!$J$5:$J$4331,A256)</f>
        <v>4</v>
      </c>
      <c r="J256" s="9">
        <f>ROUND(SUMIFS('Bank Lines'!$E$5:$E$1640,'Bank Lines'!$G$5:$G$1640,A256,'Bank Lines'!$J$5:$J$1640,1),2)</f>
        <v>1125.14</v>
      </c>
      <c r="K256" s="9">
        <f>ROUND(SUMIFS('Odoo Items'!$G$5:$G$4331,'Odoo Items'!$J$5:$J$4331,A256),2)</f>
        <v>1125.14</v>
      </c>
      <c r="L256" s="9">
        <f>ROUND(J256-K256,2)</f>
        <v>0</v>
      </c>
      <c r="M256" s="9">
        <f>ROUND(SUMIFS('Bank Lines'!$E$5:$E$1640,'Bank Lines'!$G$5:$G$1640,A256,'Bank Lines'!$J$5:$J$1640,1,'Bank Lines'!$C$5:$C$1640,"&lt;="&amp;Cover!$C$13),2)</f>
        <v>0</v>
      </c>
      <c r="N256" s="9">
        <f>ROUND(SUMIFS('Odoo Items'!$G$5:$G$4331,'Odoo Items'!$J$5:$J$4331,A256,'Odoo Items'!$C$5:$C$4331,"&lt;="&amp;Cover!$C$13),2)</f>
        <v>0</v>
      </c>
      <c r="O256">
        <f>COUNTIFS('Bank Lines'!$G$5:$G$1640,A256,'Bank Lines'!$J$5:$J$1640,1,'Bank Lines'!$C$5:$C$1640,"&lt;="&amp;Cover!$C$13)</f>
        <v>0</v>
      </c>
      <c r="P256">
        <f>COUNTIFS('Odoo Items'!$J$5:$J$4331,A256,'Odoo Items'!$C$5:$C$4331,"&lt;="&amp;Cover!$C$13)</f>
        <v>0</v>
      </c>
      <c r="Q256">
        <f>IF(AND(O256=0,P256=0),"",IF(O256=0,"ODOO-ONLY",IF(P256=0,"BANK-ONLY","BOTH")))</f>
      </c>
      <c r="R256" s="9">
        <f>IF(Q256="BOTH",ROUND(M256-N256,2),0)</f>
        <v>0</v>
      </c>
      <c r="S256" s="9">
        <f>ROUND(SUMIFS('Bank Lines'!$E$5:$E$1640,'Bank Lines'!$G$5:$G$1640,A256,'Bank Lines'!$J$5:$J$1640,1,'Bank Lines'!$C$5:$C$1640,"&lt;="&amp;Cover!$C$14),2)</f>
        <v>1125.14</v>
      </c>
      <c r="T256" s="9">
        <f>ROUND(SUMIFS('Odoo Items'!$G$5:$G$4331,'Odoo Items'!$J$5:$J$4331,A256,'Odoo Items'!$C$5:$C$4331,"&lt;="&amp;Cover!$C$14),2)</f>
        <v>1125.14</v>
      </c>
      <c r="U256">
        <f>COUNTIFS('Bank Lines'!$G$5:$G$1640,A256,'Bank Lines'!$J$5:$J$1640,1,'Bank Lines'!$C$5:$C$1640,"&lt;="&amp;Cover!$C$14)</f>
        <v>1</v>
      </c>
      <c r="V256">
        <f>COUNTIFS('Odoo Items'!$J$5:$J$4331,A256,'Odoo Items'!$C$5:$C$4331,"&lt;="&amp;Cover!$C$14)</f>
        <v>4</v>
      </c>
      <c r="W256" t="str">
        <f>IF(AND(U256=0,V256=0),"",IF(U256=0,"ODOO-ONLY",IF(V256=0,"BANK-ONLY","BOTH")))</f>
        <v>BOTH</v>
      </c>
      <c r="X256" s="9">
        <f>IF(W256="BOTH",ROUND(S256-T256,2),0)</f>
        <v>0</v>
      </c>
      <c r="Y256" s="9">
        <f>ROUND(SUMIFS('Bank Lines'!$E$5:$E$1640,'Bank Lines'!$G$5:$G$1640,A256,'Bank Lines'!$J$5:$J$1640,1,'Bank Lines'!$C$5:$C$1640,"&lt;="&amp;Cover!$C$15),2)</f>
        <v>1125.14</v>
      </c>
      <c r="Z256" s="9">
        <f>ROUND(SUMIFS('Odoo Items'!$G$5:$G$4331,'Odoo Items'!$J$5:$J$4331,A256,'Odoo Items'!$C$5:$C$4331,"&lt;="&amp;Cover!$C$15),2)</f>
        <v>1125.14</v>
      </c>
      <c r="AA256">
        <f>COUNTIFS('Bank Lines'!$G$5:$G$1640,A256,'Bank Lines'!$J$5:$J$1640,1,'Bank Lines'!$C$5:$C$1640,"&lt;="&amp;Cover!$C$15)</f>
        <v>1</v>
      </c>
      <c r="AB256">
        <f>COUNTIFS('Odoo Items'!$J$5:$J$4331,A256,'Odoo Items'!$C$5:$C$4331,"&lt;="&amp;Cover!$C$15)</f>
        <v>4</v>
      </c>
      <c r="AC256" t="str">
        <f>IF(AND(AA256=0,AB256=0),"",IF(AA256=0,"ODOO-ONLY",IF(AB256=0,"BANK-ONLY","BOTH")))</f>
        <v>BOTH</v>
      </c>
      <c r="AD256" s="9">
        <f>IF(AC256="BOTH",ROUND(Y256-Z256,2),0)</f>
        <v>0</v>
      </c>
    </row>
    <row r="257">
      <c r="A257" t="inlineStr">
        <is>
          <t>G00253</t>
        </is>
      </c>
      <c r="B257" t="inlineStr">
        <is>
          <t>OPS</t>
        </is>
      </c>
      <c r="C257" t="inlineStr">
        <is>
          <t>R03</t>
        </is>
      </c>
      <c r="D257" t="inlineStr">
        <is>
          <t>MATCH</t>
        </is>
      </c>
      <c r="E257" t="inlineStr">
        <is>
          <t>Ironbark Plan Management</t>
        </is>
      </c>
      <c r="F257" t="n">
        <v>1</v>
      </c>
      <c r="G257" t="inlineStr">
        <is>
          <t>4 invoices</t>
        </is>
      </c>
      <c r="H257">
        <f>COUNTIFS('Bank Lines'!$G$5:$G$1640,A257,'Bank Lines'!$J$5:$J$1640,1)</f>
        <v>1</v>
      </c>
      <c r="I257">
        <f>COUNTIFS('Odoo Items'!$J$5:$J$4331,A257)</f>
        <v>4</v>
      </c>
      <c r="J257" s="9">
        <f>ROUND(SUMIFS('Bank Lines'!$E$5:$E$1640,'Bank Lines'!$G$5:$G$1640,A257,'Bank Lines'!$J$5:$J$1640,1),2)</f>
        <v>1309.43</v>
      </c>
      <c r="K257" s="9">
        <f>ROUND(SUMIFS('Odoo Items'!$G$5:$G$4331,'Odoo Items'!$J$5:$J$4331,A257),2)</f>
        <v>1309.43</v>
      </c>
      <c r="L257" s="9">
        <f>ROUND(J257-K257,2)</f>
        <v>0</v>
      </c>
      <c r="M257" s="9">
        <f>ROUND(SUMIFS('Bank Lines'!$E$5:$E$1640,'Bank Lines'!$G$5:$G$1640,A257,'Bank Lines'!$J$5:$J$1640,1,'Bank Lines'!$C$5:$C$1640,"&lt;="&amp;Cover!$C$13),2)</f>
        <v>0</v>
      </c>
      <c r="N257" s="9">
        <f>ROUND(SUMIFS('Odoo Items'!$G$5:$G$4331,'Odoo Items'!$J$5:$J$4331,A257,'Odoo Items'!$C$5:$C$4331,"&lt;="&amp;Cover!$C$13),2)</f>
        <v>0</v>
      </c>
      <c r="O257">
        <f>COUNTIFS('Bank Lines'!$G$5:$G$1640,A257,'Bank Lines'!$J$5:$J$1640,1,'Bank Lines'!$C$5:$C$1640,"&lt;="&amp;Cover!$C$13)</f>
        <v>0</v>
      </c>
      <c r="P257">
        <f>COUNTIFS('Odoo Items'!$J$5:$J$4331,A257,'Odoo Items'!$C$5:$C$4331,"&lt;="&amp;Cover!$C$13)</f>
        <v>0</v>
      </c>
      <c r="Q257">
        <f>IF(AND(O257=0,P257=0),"",IF(O257=0,"ODOO-ONLY",IF(P257=0,"BANK-ONLY","BOTH")))</f>
      </c>
      <c r="R257" s="9">
        <f>IF(Q257="BOTH",ROUND(M257-N257,2),0)</f>
        <v>0</v>
      </c>
      <c r="S257" s="9">
        <f>ROUND(SUMIFS('Bank Lines'!$E$5:$E$1640,'Bank Lines'!$G$5:$G$1640,A257,'Bank Lines'!$J$5:$J$1640,1,'Bank Lines'!$C$5:$C$1640,"&lt;="&amp;Cover!$C$14),2)</f>
        <v>1309.43</v>
      </c>
      <c r="T257" s="9">
        <f>ROUND(SUMIFS('Odoo Items'!$G$5:$G$4331,'Odoo Items'!$J$5:$J$4331,A257,'Odoo Items'!$C$5:$C$4331,"&lt;="&amp;Cover!$C$14),2)</f>
        <v>1309.43</v>
      </c>
      <c r="U257">
        <f>COUNTIFS('Bank Lines'!$G$5:$G$1640,A257,'Bank Lines'!$J$5:$J$1640,1,'Bank Lines'!$C$5:$C$1640,"&lt;="&amp;Cover!$C$14)</f>
        <v>1</v>
      </c>
      <c r="V257">
        <f>COUNTIFS('Odoo Items'!$J$5:$J$4331,A257,'Odoo Items'!$C$5:$C$4331,"&lt;="&amp;Cover!$C$14)</f>
        <v>4</v>
      </c>
      <c r="W257" t="str">
        <f>IF(AND(U257=0,V257=0),"",IF(U257=0,"ODOO-ONLY",IF(V257=0,"BANK-ONLY","BOTH")))</f>
        <v>BOTH</v>
      </c>
      <c r="X257" s="9">
        <f>IF(W257="BOTH",ROUND(S257-T257,2),0)</f>
        <v>0</v>
      </c>
      <c r="Y257" s="9">
        <f>ROUND(SUMIFS('Bank Lines'!$E$5:$E$1640,'Bank Lines'!$G$5:$G$1640,A257,'Bank Lines'!$J$5:$J$1640,1,'Bank Lines'!$C$5:$C$1640,"&lt;="&amp;Cover!$C$15),2)</f>
        <v>1309.43</v>
      </c>
      <c r="Z257" s="9">
        <f>ROUND(SUMIFS('Odoo Items'!$G$5:$G$4331,'Odoo Items'!$J$5:$J$4331,A257,'Odoo Items'!$C$5:$C$4331,"&lt;="&amp;Cover!$C$15),2)</f>
        <v>1309.43</v>
      </c>
      <c r="AA257">
        <f>COUNTIFS('Bank Lines'!$G$5:$G$1640,A257,'Bank Lines'!$J$5:$J$1640,1,'Bank Lines'!$C$5:$C$1640,"&lt;="&amp;Cover!$C$15)</f>
        <v>1</v>
      </c>
      <c r="AB257">
        <f>COUNTIFS('Odoo Items'!$J$5:$J$4331,A257,'Odoo Items'!$C$5:$C$4331,"&lt;="&amp;Cover!$C$15)</f>
        <v>4</v>
      </c>
      <c r="AC257" t="str">
        <f>IF(AND(AA257=0,AB257=0),"",IF(AA257=0,"ODOO-ONLY",IF(AB257=0,"BANK-ONLY","BOTH")))</f>
        <v>BOTH</v>
      </c>
      <c r="AD257" s="9">
        <f>IF(AC257="BOTH",ROUND(Y257-Z257,2),0)</f>
        <v>0</v>
      </c>
    </row>
    <row r="258">
      <c r="A258" t="inlineStr">
        <is>
          <t>G00254</t>
        </is>
      </c>
      <c r="B258" t="inlineStr">
        <is>
          <t>OPS</t>
        </is>
      </c>
      <c r="C258" t="inlineStr">
        <is>
          <t>R03</t>
        </is>
      </c>
      <c r="D258" t="inlineStr">
        <is>
          <t>MATCH</t>
        </is>
      </c>
      <c r="E258" t="inlineStr">
        <is>
          <t>Southern Cross Plan Mgmt</t>
        </is>
      </c>
      <c r="F258" t="n">
        <v>1</v>
      </c>
      <c r="G258" t="inlineStr">
        <is>
          <t>3 invoices</t>
        </is>
      </c>
      <c r="H258">
        <f>COUNTIFS('Bank Lines'!$G$5:$G$1640,A258,'Bank Lines'!$J$5:$J$1640,1)</f>
        <v>1</v>
      </c>
      <c r="I258">
        <f>COUNTIFS('Odoo Items'!$J$5:$J$4331,A258)</f>
        <v>3</v>
      </c>
      <c r="J258" s="9">
        <f>ROUND(SUMIFS('Bank Lines'!$E$5:$E$1640,'Bank Lines'!$G$5:$G$1640,A258,'Bank Lines'!$J$5:$J$1640,1),2)</f>
        <v>678.96</v>
      </c>
      <c r="K258" s="9">
        <f>ROUND(SUMIFS('Odoo Items'!$G$5:$G$4331,'Odoo Items'!$J$5:$J$4331,A258),2)</f>
        <v>678.96</v>
      </c>
      <c r="L258" s="9">
        <f>ROUND(J258-K258,2)</f>
        <v>0</v>
      </c>
      <c r="M258" s="9">
        <f>ROUND(SUMIFS('Bank Lines'!$E$5:$E$1640,'Bank Lines'!$G$5:$G$1640,A258,'Bank Lines'!$J$5:$J$1640,1,'Bank Lines'!$C$5:$C$1640,"&lt;="&amp;Cover!$C$13),2)</f>
        <v>0</v>
      </c>
      <c r="N258" s="9">
        <f>ROUND(SUMIFS('Odoo Items'!$G$5:$G$4331,'Odoo Items'!$J$5:$J$4331,A258,'Odoo Items'!$C$5:$C$4331,"&lt;="&amp;Cover!$C$13),2)</f>
        <v>0</v>
      </c>
      <c r="O258">
        <f>COUNTIFS('Bank Lines'!$G$5:$G$1640,A258,'Bank Lines'!$J$5:$J$1640,1,'Bank Lines'!$C$5:$C$1640,"&lt;="&amp;Cover!$C$13)</f>
        <v>0</v>
      </c>
      <c r="P258">
        <f>COUNTIFS('Odoo Items'!$J$5:$J$4331,A258,'Odoo Items'!$C$5:$C$4331,"&lt;="&amp;Cover!$C$13)</f>
        <v>0</v>
      </c>
      <c r="Q258">
        <f>IF(AND(O258=0,P258=0),"",IF(O258=0,"ODOO-ONLY",IF(P258=0,"BANK-ONLY","BOTH")))</f>
      </c>
      <c r="R258" s="9">
        <f>IF(Q258="BOTH",ROUND(M258-N258,2),0)</f>
        <v>0</v>
      </c>
      <c r="S258" s="9">
        <f>ROUND(SUMIFS('Bank Lines'!$E$5:$E$1640,'Bank Lines'!$G$5:$G$1640,A258,'Bank Lines'!$J$5:$J$1640,1,'Bank Lines'!$C$5:$C$1640,"&lt;="&amp;Cover!$C$14),2)</f>
        <v>678.96</v>
      </c>
      <c r="T258" s="9">
        <f>ROUND(SUMIFS('Odoo Items'!$G$5:$G$4331,'Odoo Items'!$J$5:$J$4331,A258,'Odoo Items'!$C$5:$C$4331,"&lt;="&amp;Cover!$C$14),2)</f>
        <v>678.96</v>
      </c>
      <c r="U258">
        <f>COUNTIFS('Bank Lines'!$G$5:$G$1640,A258,'Bank Lines'!$J$5:$J$1640,1,'Bank Lines'!$C$5:$C$1640,"&lt;="&amp;Cover!$C$14)</f>
        <v>1</v>
      </c>
      <c r="V258">
        <f>COUNTIFS('Odoo Items'!$J$5:$J$4331,A258,'Odoo Items'!$C$5:$C$4331,"&lt;="&amp;Cover!$C$14)</f>
        <v>3</v>
      </c>
      <c r="W258" t="str">
        <f>IF(AND(U258=0,V258=0),"",IF(U258=0,"ODOO-ONLY",IF(V258=0,"BANK-ONLY","BOTH")))</f>
        <v>BOTH</v>
      </c>
      <c r="X258" s="9">
        <f>IF(W258="BOTH",ROUND(S258-T258,2),0)</f>
        <v>0</v>
      </c>
      <c r="Y258" s="9">
        <f>ROUND(SUMIFS('Bank Lines'!$E$5:$E$1640,'Bank Lines'!$G$5:$G$1640,A258,'Bank Lines'!$J$5:$J$1640,1,'Bank Lines'!$C$5:$C$1640,"&lt;="&amp;Cover!$C$15),2)</f>
        <v>678.96</v>
      </c>
      <c r="Z258" s="9">
        <f>ROUND(SUMIFS('Odoo Items'!$G$5:$G$4331,'Odoo Items'!$J$5:$J$4331,A258,'Odoo Items'!$C$5:$C$4331,"&lt;="&amp;Cover!$C$15),2)</f>
        <v>678.96</v>
      </c>
      <c r="AA258">
        <f>COUNTIFS('Bank Lines'!$G$5:$G$1640,A258,'Bank Lines'!$J$5:$J$1640,1,'Bank Lines'!$C$5:$C$1640,"&lt;="&amp;Cover!$C$15)</f>
        <v>1</v>
      </c>
      <c r="AB258">
        <f>COUNTIFS('Odoo Items'!$J$5:$J$4331,A258,'Odoo Items'!$C$5:$C$4331,"&lt;="&amp;Cover!$C$15)</f>
        <v>3</v>
      </c>
      <c r="AC258" t="str">
        <f>IF(AND(AA258=0,AB258=0),"",IF(AA258=0,"ODOO-ONLY",IF(AB258=0,"BANK-ONLY","BOTH")))</f>
        <v>BOTH</v>
      </c>
      <c r="AD258" s="9">
        <f>IF(AC258="BOTH",ROUND(Y258-Z258,2),0)</f>
        <v>0</v>
      </c>
    </row>
    <row r="259">
      <c r="A259" t="inlineStr">
        <is>
          <t>G00255</t>
        </is>
      </c>
      <c r="B259" t="inlineStr">
        <is>
          <t>OPS</t>
        </is>
      </c>
      <c r="C259" t="inlineStr">
        <is>
          <t>R03</t>
        </is>
      </c>
      <c r="D259" t="inlineStr">
        <is>
          <t>MATCH</t>
        </is>
      </c>
      <c r="E259" t="inlineStr">
        <is>
          <t>Mallee Plan Services</t>
        </is>
      </c>
      <c r="F259" t="n">
        <v>1</v>
      </c>
      <c r="G259" t="inlineStr">
        <is>
          <t>1 invoices</t>
        </is>
      </c>
      <c r="H259">
        <f>COUNTIFS('Bank Lines'!$G$5:$G$1640,A259,'Bank Lines'!$J$5:$J$1640,1)</f>
        <v>1</v>
      </c>
      <c r="I259">
        <f>COUNTIFS('Odoo Items'!$J$5:$J$4331,A259)</f>
        <v>1</v>
      </c>
      <c r="J259" s="9">
        <f>ROUND(SUMIFS('Bank Lines'!$E$5:$E$1640,'Bank Lines'!$G$5:$G$1640,A259,'Bank Lines'!$J$5:$J$1640,1),2)</f>
        <v>320.98</v>
      </c>
      <c r="K259" s="9">
        <f>ROUND(SUMIFS('Odoo Items'!$G$5:$G$4331,'Odoo Items'!$J$5:$J$4331,A259),2)</f>
        <v>320.98</v>
      </c>
      <c r="L259" s="9">
        <f>ROUND(J259-K259,2)</f>
        <v>0</v>
      </c>
      <c r="M259" s="9">
        <f>ROUND(SUMIFS('Bank Lines'!$E$5:$E$1640,'Bank Lines'!$G$5:$G$1640,A259,'Bank Lines'!$J$5:$J$1640,1,'Bank Lines'!$C$5:$C$1640,"&lt;="&amp;Cover!$C$13),2)</f>
        <v>0</v>
      </c>
      <c r="N259" s="9">
        <f>ROUND(SUMIFS('Odoo Items'!$G$5:$G$4331,'Odoo Items'!$J$5:$J$4331,A259,'Odoo Items'!$C$5:$C$4331,"&lt;="&amp;Cover!$C$13),2)</f>
        <v>0</v>
      </c>
      <c r="O259">
        <f>COUNTIFS('Bank Lines'!$G$5:$G$1640,A259,'Bank Lines'!$J$5:$J$1640,1,'Bank Lines'!$C$5:$C$1640,"&lt;="&amp;Cover!$C$13)</f>
        <v>0</v>
      </c>
      <c r="P259">
        <f>COUNTIFS('Odoo Items'!$J$5:$J$4331,A259,'Odoo Items'!$C$5:$C$4331,"&lt;="&amp;Cover!$C$13)</f>
        <v>0</v>
      </c>
      <c r="Q259">
        <f>IF(AND(O259=0,P259=0),"",IF(O259=0,"ODOO-ONLY",IF(P259=0,"BANK-ONLY","BOTH")))</f>
      </c>
      <c r="R259" s="9">
        <f>IF(Q259="BOTH",ROUND(M259-N259,2),0)</f>
        <v>0</v>
      </c>
      <c r="S259" s="9">
        <f>ROUND(SUMIFS('Bank Lines'!$E$5:$E$1640,'Bank Lines'!$G$5:$G$1640,A259,'Bank Lines'!$J$5:$J$1640,1,'Bank Lines'!$C$5:$C$1640,"&lt;="&amp;Cover!$C$14),2)</f>
        <v>320.98</v>
      </c>
      <c r="T259" s="9">
        <f>ROUND(SUMIFS('Odoo Items'!$G$5:$G$4331,'Odoo Items'!$J$5:$J$4331,A259,'Odoo Items'!$C$5:$C$4331,"&lt;="&amp;Cover!$C$14),2)</f>
        <v>320.98</v>
      </c>
      <c r="U259">
        <f>COUNTIFS('Bank Lines'!$G$5:$G$1640,A259,'Bank Lines'!$J$5:$J$1640,1,'Bank Lines'!$C$5:$C$1640,"&lt;="&amp;Cover!$C$14)</f>
        <v>1</v>
      </c>
      <c r="V259">
        <f>COUNTIFS('Odoo Items'!$J$5:$J$4331,A259,'Odoo Items'!$C$5:$C$4331,"&lt;="&amp;Cover!$C$14)</f>
        <v>1</v>
      </c>
      <c r="W259" t="str">
        <f>IF(AND(U259=0,V259=0),"",IF(U259=0,"ODOO-ONLY",IF(V259=0,"BANK-ONLY","BOTH")))</f>
        <v>BOTH</v>
      </c>
      <c r="X259" s="9">
        <f>IF(W259="BOTH",ROUND(S259-T259,2),0)</f>
        <v>0</v>
      </c>
      <c r="Y259" s="9">
        <f>ROUND(SUMIFS('Bank Lines'!$E$5:$E$1640,'Bank Lines'!$G$5:$G$1640,A259,'Bank Lines'!$J$5:$J$1640,1,'Bank Lines'!$C$5:$C$1640,"&lt;="&amp;Cover!$C$15),2)</f>
        <v>320.98</v>
      </c>
      <c r="Z259" s="9">
        <f>ROUND(SUMIFS('Odoo Items'!$G$5:$G$4331,'Odoo Items'!$J$5:$J$4331,A259,'Odoo Items'!$C$5:$C$4331,"&lt;="&amp;Cover!$C$15),2)</f>
        <v>320.98</v>
      </c>
      <c r="AA259">
        <f>COUNTIFS('Bank Lines'!$G$5:$G$1640,A259,'Bank Lines'!$J$5:$J$1640,1,'Bank Lines'!$C$5:$C$1640,"&lt;="&amp;Cover!$C$15)</f>
        <v>1</v>
      </c>
      <c r="AB259">
        <f>COUNTIFS('Odoo Items'!$J$5:$J$4331,A259,'Odoo Items'!$C$5:$C$4331,"&lt;="&amp;Cover!$C$15)</f>
        <v>1</v>
      </c>
      <c r="AC259" t="str">
        <f>IF(AND(AA259=0,AB259=0),"",IF(AA259=0,"ODOO-ONLY",IF(AB259=0,"BANK-ONLY","BOTH")))</f>
        <v>BOTH</v>
      </c>
      <c r="AD259" s="9">
        <f>IF(AC259="BOTH",ROUND(Y259-Z259,2),0)</f>
        <v>0</v>
      </c>
    </row>
    <row r="260">
      <c r="A260" t="inlineStr">
        <is>
          <t>G00256</t>
        </is>
      </c>
      <c r="B260" t="inlineStr">
        <is>
          <t>OPS</t>
        </is>
      </c>
      <c r="C260" t="inlineStr">
        <is>
          <t>R03</t>
        </is>
      </c>
      <c r="D260" t="inlineStr">
        <is>
          <t>MATCH</t>
        </is>
      </c>
      <c r="E260" t="inlineStr">
        <is>
          <t>Riverbend Plan Partners</t>
        </is>
      </c>
      <c r="F260" t="n">
        <v>1</v>
      </c>
      <c r="G260" t="inlineStr">
        <is>
          <t>5 invoices</t>
        </is>
      </c>
      <c r="H260">
        <f>COUNTIFS('Bank Lines'!$G$5:$G$1640,A260,'Bank Lines'!$J$5:$J$1640,1)</f>
        <v>1</v>
      </c>
      <c r="I260">
        <f>COUNTIFS('Odoo Items'!$J$5:$J$4331,A260)</f>
        <v>5</v>
      </c>
      <c r="J260" s="9">
        <f>ROUND(SUMIFS('Bank Lines'!$E$5:$E$1640,'Bank Lines'!$G$5:$G$1640,A260,'Bank Lines'!$J$5:$J$1640,1),2)</f>
        <v>1357.92</v>
      </c>
      <c r="K260" s="9">
        <f>ROUND(SUMIFS('Odoo Items'!$G$5:$G$4331,'Odoo Items'!$J$5:$J$4331,A260),2)</f>
        <v>1357.92</v>
      </c>
      <c r="L260" s="9">
        <f>ROUND(J260-K260,2)</f>
        <v>0</v>
      </c>
      <c r="M260" s="9">
        <f>ROUND(SUMIFS('Bank Lines'!$E$5:$E$1640,'Bank Lines'!$G$5:$G$1640,A260,'Bank Lines'!$J$5:$J$1640,1,'Bank Lines'!$C$5:$C$1640,"&lt;="&amp;Cover!$C$13),2)</f>
        <v>0</v>
      </c>
      <c r="N260" s="9">
        <f>ROUND(SUMIFS('Odoo Items'!$G$5:$G$4331,'Odoo Items'!$J$5:$J$4331,A260,'Odoo Items'!$C$5:$C$4331,"&lt;="&amp;Cover!$C$13),2)</f>
        <v>0</v>
      </c>
      <c r="O260">
        <f>COUNTIFS('Bank Lines'!$G$5:$G$1640,A260,'Bank Lines'!$J$5:$J$1640,1,'Bank Lines'!$C$5:$C$1640,"&lt;="&amp;Cover!$C$13)</f>
        <v>0</v>
      </c>
      <c r="P260">
        <f>COUNTIFS('Odoo Items'!$J$5:$J$4331,A260,'Odoo Items'!$C$5:$C$4331,"&lt;="&amp;Cover!$C$13)</f>
        <v>0</v>
      </c>
      <c r="Q260">
        <f>IF(AND(O260=0,P260=0),"",IF(O260=0,"ODOO-ONLY",IF(P260=0,"BANK-ONLY","BOTH")))</f>
      </c>
      <c r="R260" s="9">
        <f>IF(Q260="BOTH",ROUND(M260-N260,2),0)</f>
        <v>0</v>
      </c>
      <c r="S260" s="9">
        <f>ROUND(SUMIFS('Bank Lines'!$E$5:$E$1640,'Bank Lines'!$G$5:$G$1640,A260,'Bank Lines'!$J$5:$J$1640,1,'Bank Lines'!$C$5:$C$1640,"&lt;="&amp;Cover!$C$14),2)</f>
        <v>1357.92</v>
      </c>
      <c r="T260" s="9">
        <f>ROUND(SUMIFS('Odoo Items'!$G$5:$G$4331,'Odoo Items'!$J$5:$J$4331,A260,'Odoo Items'!$C$5:$C$4331,"&lt;="&amp;Cover!$C$14),2)</f>
        <v>1357.92</v>
      </c>
      <c r="U260">
        <f>COUNTIFS('Bank Lines'!$G$5:$G$1640,A260,'Bank Lines'!$J$5:$J$1640,1,'Bank Lines'!$C$5:$C$1640,"&lt;="&amp;Cover!$C$14)</f>
        <v>1</v>
      </c>
      <c r="V260">
        <f>COUNTIFS('Odoo Items'!$J$5:$J$4331,A260,'Odoo Items'!$C$5:$C$4331,"&lt;="&amp;Cover!$C$14)</f>
        <v>5</v>
      </c>
      <c r="W260" t="str">
        <f>IF(AND(U260=0,V260=0),"",IF(U260=0,"ODOO-ONLY",IF(V260=0,"BANK-ONLY","BOTH")))</f>
        <v>BOTH</v>
      </c>
      <c r="X260" s="9">
        <f>IF(W260="BOTH",ROUND(S260-T260,2),0)</f>
        <v>0</v>
      </c>
      <c r="Y260" s="9">
        <f>ROUND(SUMIFS('Bank Lines'!$E$5:$E$1640,'Bank Lines'!$G$5:$G$1640,A260,'Bank Lines'!$J$5:$J$1640,1,'Bank Lines'!$C$5:$C$1640,"&lt;="&amp;Cover!$C$15),2)</f>
        <v>1357.92</v>
      </c>
      <c r="Z260" s="9">
        <f>ROUND(SUMIFS('Odoo Items'!$G$5:$G$4331,'Odoo Items'!$J$5:$J$4331,A260,'Odoo Items'!$C$5:$C$4331,"&lt;="&amp;Cover!$C$15),2)</f>
        <v>1357.92</v>
      </c>
      <c r="AA260">
        <f>COUNTIFS('Bank Lines'!$G$5:$G$1640,A260,'Bank Lines'!$J$5:$J$1640,1,'Bank Lines'!$C$5:$C$1640,"&lt;="&amp;Cover!$C$15)</f>
        <v>1</v>
      </c>
      <c r="AB260">
        <f>COUNTIFS('Odoo Items'!$J$5:$J$4331,A260,'Odoo Items'!$C$5:$C$4331,"&lt;="&amp;Cover!$C$15)</f>
        <v>5</v>
      </c>
      <c r="AC260" t="str">
        <f>IF(AND(AA260=0,AB260=0),"",IF(AA260=0,"ODOO-ONLY",IF(AB260=0,"BANK-ONLY","BOTH")))</f>
        <v>BOTH</v>
      </c>
      <c r="AD260" s="9">
        <f>IF(AC260="BOTH",ROUND(Y260-Z260,2),0)</f>
        <v>0</v>
      </c>
    </row>
    <row r="261">
      <c r="A261" t="inlineStr">
        <is>
          <t>G00257</t>
        </is>
      </c>
      <c r="B261" t="inlineStr">
        <is>
          <t>OPS</t>
        </is>
      </c>
      <c r="C261" t="inlineStr">
        <is>
          <t>R03</t>
        </is>
      </c>
      <c r="D261" t="inlineStr">
        <is>
          <t>MATCH</t>
        </is>
      </c>
      <c r="E261" t="inlineStr">
        <is>
          <t>Saltbush Plan Managers</t>
        </is>
      </c>
      <c r="F261" t="n">
        <v>1</v>
      </c>
      <c r="G261" t="inlineStr">
        <is>
          <t>3 invoices</t>
        </is>
      </c>
      <c r="H261">
        <f>COUNTIFS('Bank Lines'!$G$5:$G$1640,A261,'Bank Lines'!$J$5:$J$1640,1)</f>
        <v>1</v>
      </c>
      <c r="I261">
        <f>COUNTIFS('Odoo Items'!$J$5:$J$4331,A261)</f>
        <v>3</v>
      </c>
      <c r="J261" s="9">
        <f>ROUND(SUMIFS('Bank Lines'!$E$5:$E$1640,'Bank Lines'!$G$5:$G$1640,A261,'Bank Lines'!$J$5:$J$1640,1),2)</f>
        <v>894.15</v>
      </c>
      <c r="K261" s="9">
        <f>ROUND(SUMIFS('Odoo Items'!$G$5:$G$4331,'Odoo Items'!$J$5:$J$4331,A261),2)</f>
        <v>894.15</v>
      </c>
      <c r="L261" s="9">
        <f>ROUND(J261-K261,2)</f>
        <v>0</v>
      </c>
      <c r="M261" s="9">
        <f>ROUND(SUMIFS('Bank Lines'!$E$5:$E$1640,'Bank Lines'!$G$5:$G$1640,A261,'Bank Lines'!$J$5:$J$1640,1,'Bank Lines'!$C$5:$C$1640,"&lt;="&amp;Cover!$C$13),2)</f>
        <v>0</v>
      </c>
      <c r="N261" s="9">
        <f>ROUND(SUMIFS('Odoo Items'!$G$5:$G$4331,'Odoo Items'!$J$5:$J$4331,A261,'Odoo Items'!$C$5:$C$4331,"&lt;="&amp;Cover!$C$13),2)</f>
        <v>0</v>
      </c>
      <c r="O261">
        <f>COUNTIFS('Bank Lines'!$G$5:$G$1640,A261,'Bank Lines'!$J$5:$J$1640,1,'Bank Lines'!$C$5:$C$1640,"&lt;="&amp;Cover!$C$13)</f>
        <v>0</v>
      </c>
      <c r="P261">
        <f>COUNTIFS('Odoo Items'!$J$5:$J$4331,A261,'Odoo Items'!$C$5:$C$4331,"&lt;="&amp;Cover!$C$13)</f>
        <v>0</v>
      </c>
      <c r="Q261">
        <f>IF(AND(O261=0,P261=0),"",IF(O261=0,"ODOO-ONLY",IF(P261=0,"BANK-ONLY","BOTH")))</f>
      </c>
      <c r="R261" s="9">
        <f>IF(Q261="BOTH",ROUND(M261-N261,2),0)</f>
        <v>0</v>
      </c>
      <c r="S261" s="9">
        <f>ROUND(SUMIFS('Bank Lines'!$E$5:$E$1640,'Bank Lines'!$G$5:$G$1640,A261,'Bank Lines'!$J$5:$J$1640,1,'Bank Lines'!$C$5:$C$1640,"&lt;="&amp;Cover!$C$14),2)</f>
        <v>894.15</v>
      </c>
      <c r="T261" s="9">
        <f>ROUND(SUMIFS('Odoo Items'!$G$5:$G$4331,'Odoo Items'!$J$5:$J$4331,A261,'Odoo Items'!$C$5:$C$4331,"&lt;="&amp;Cover!$C$14),2)</f>
        <v>894.15</v>
      </c>
      <c r="U261">
        <f>COUNTIFS('Bank Lines'!$G$5:$G$1640,A261,'Bank Lines'!$J$5:$J$1640,1,'Bank Lines'!$C$5:$C$1640,"&lt;="&amp;Cover!$C$14)</f>
        <v>1</v>
      </c>
      <c r="V261">
        <f>COUNTIFS('Odoo Items'!$J$5:$J$4331,A261,'Odoo Items'!$C$5:$C$4331,"&lt;="&amp;Cover!$C$14)</f>
        <v>3</v>
      </c>
      <c r="W261" t="str">
        <f>IF(AND(U261=0,V261=0),"",IF(U261=0,"ODOO-ONLY",IF(V261=0,"BANK-ONLY","BOTH")))</f>
        <v>BOTH</v>
      </c>
      <c r="X261" s="9">
        <f>IF(W261="BOTH",ROUND(S261-T261,2),0)</f>
        <v>0</v>
      </c>
      <c r="Y261" s="9">
        <f>ROUND(SUMIFS('Bank Lines'!$E$5:$E$1640,'Bank Lines'!$G$5:$G$1640,A261,'Bank Lines'!$J$5:$J$1640,1,'Bank Lines'!$C$5:$C$1640,"&lt;="&amp;Cover!$C$15),2)</f>
        <v>894.15</v>
      </c>
      <c r="Z261" s="9">
        <f>ROUND(SUMIFS('Odoo Items'!$G$5:$G$4331,'Odoo Items'!$J$5:$J$4331,A261,'Odoo Items'!$C$5:$C$4331,"&lt;="&amp;Cover!$C$15),2)</f>
        <v>894.15</v>
      </c>
      <c r="AA261">
        <f>COUNTIFS('Bank Lines'!$G$5:$G$1640,A261,'Bank Lines'!$J$5:$J$1640,1,'Bank Lines'!$C$5:$C$1640,"&lt;="&amp;Cover!$C$15)</f>
        <v>1</v>
      </c>
      <c r="AB261">
        <f>COUNTIFS('Odoo Items'!$J$5:$J$4331,A261,'Odoo Items'!$C$5:$C$4331,"&lt;="&amp;Cover!$C$15)</f>
        <v>3</v>
      </c>
      <c r="AC261" t="str">
        <f>IF(AND(AA261=0,AB261=0),"",IF(AA261=0,"ODOO-ONLY",IF(AB261=0,"BANK-ONLY","BOTH")))</f>
        <v>BOTH</v>
      </c>
      <c r="AD261" s="9">
        <f>IF(AC261="BOTH",ROUND(Y261-Z261,2),0)</f>
        <v>0</v>
      </c>
    </row>
    <row r="262">
      <c r="A262" t="inlineStr">
        <is>
          <t>G00258</t>
        </is>
      </c>
      <c r="B262" t="inlineStr">
        <is>
          <t>OPS</t>
        </is>
      </c>
      <c r="C262" t="inlineStr">
        <is>
          <t>R03</t>
        </is>
      </c>
      <c r="D262" t="inlineStr">
        <is>
          <t>MATCH</t>
        </is>
      </c>
      <c r="E262" t="inlineStr">
        <is>
          <t>Redgum Plan Admin</t>
        </is>
      </c>
      <c r="F262" t="n">
        <v>1</v>
      </c>
      <c r="G262" t="inlineStr">
        <is>
          <t>5 invoices</t>
        </is>
      </c>
      <c r="H262">
        <f>COUNTIFS('Bank Lines'!$G$5:$G$1640,A262,'Bank Lines'!$J$5:$J$1640,1)</f>
        <v>1</v>
      </c>
      <c r="I262">
        <f>COUNTIFS('Odoo Items'!$J$5:$J$4331,A262)</f>
        <v>5</v>
      </c>
      <c r="J262" s="9">
        <f>ROUND(SUMIFS('Bank Lines'!$E$5:$E$1640,'Bank Lines'!$G$5:$G$1640,A262,'Bank Lines'!$J$5:$J$1640,1),2)</f>
        <v>932.94</v>
      </c>
      <c r="K262" s="9">
        <f>ROUND(SUMIFS('Odoo Items'!$G$5:$G$4331,'Odoo Items'!$J$5:$J$4331,A262),2)</f>
        <v>932.94</v>
      </c>
      <c r="L262" s="9">
        <f>ROUND(J262-K262,2)</f>
        <v>0</v>
      </c>
      <c r="M262" s="9">
        <f>ROUND(SUMIFS('Bank Lines'!$E$5:$E$1640,'Bank Lines'!$G$5:$G$1640,A262,'Bank Lines'!$J$5:$J$1640,1,'Bank Lines'!$C$5:$C$1640,"&lt;="&amp;Cover!$C$13),2)</f>
        <v>0</v>
      </c>
      <c r="N262" s="9">
        <f>ROUND(SUMIFS('Odoo Items'!$G$5:$G$4331,'Odoo Items'!$J$5:$J$4331,A262,'Odoo Items'!$C$5:$C$4331,"&lt;="&amp;Cover!$C$13),2)</f>
        <v>0</v>
      </c>
      <c r="O262">
        <f>COUNTIFS('Bank Lines'!$G$5:$G$1640,A262,'Bank Lines'!$J$5:$J$1640,1,'Bank Lines'!$C$5:$C$1640,"&lt;="&amp;Cover!$C$13)</f>
        <v>0</v>
      </c>
      <c r="P262">
        <f>COUNTIFS('Odoo Items'!$J$5:$J$4331,A262,'Odoo Items'!$C$5:$C$4331,"&lt;="&amp;Cover!$C$13)</f>
        <v>0</v>
      </c>
      <c r="Q262">
        <f>IF(AND(O262=0,P262=0),"",IF(O262=0,"ODOO-ONLY",IF(P262=0,"BANK-ONLY","BOTH")))</f>
      </c>
      <c r="R262" s="9">
        <f>IF(Q262="BOTH",ROUND(M262-N262,2),0)</f>
        <v>0</v>
      </c>
      <c r="S262" s="9">
        <f>ROUND(SUMIFS('Bank Lines'!$E$5:$E$1640,'Bank Lines'!$G$5:$G$1640,A262,'Bank Lines'!$J$5:$J$1640,1,'Bank Lines'!$C$5:$C$1640,"&lt;="&amp;Cover!$C$14),2)</f>
        <v>932.94</v>
      </c>
      <c r="T262" s="9">
        <f>ROUND(SUMIFS('Odoo Items'!$G$5:$G$4331,'Odoo Items'!$J$5:$J$4331,A262,'Odoo Items'!$C$5:$C$4331,"&lt;="&amp;Cover!$C$14),2)</f>
        <v>932.94</v>
      </c>
      <c r="U262">
        <f>COUNTIFS('Bank Lines'!$G$5:$G$1640,A262,'Bank Lines'!$J$5:$J$1640,1,'Bank Lines'!$C$5:$C$1640,"&lt;="&amp;Cover!$C$14)</f>
        <v>1</v>
      </c>
      <c r="V262">
        <f>COUNTIFS('Odoo Items'!$J$5:$J$4331,A262,'Odoo Items'!$C$5:$C$4331,"&lt;="&amp;Cover!$C$14)</f>
        <v>5</v>
      </c>
      <c r="W262" t="str">
        <f>IF(AND(U262=0,V262=0),"",IF(U262=0,"ODOO-ONLY",IF(V262=0,"BANK-ONLY","BOTH")))</f>
        <v>BOTH</v>
      </c>
      <c r="X262" s="9">
        <f>IF(W262="BOTH",ROUND(S262-T262,2),0)</f>
        <v>0</v>
      </c>
      <c r="Y262" s="9">
        <f>ROUND(SUMIFS('Bank Lines'!$E$5:$E$1640,'Bank Lines'!$G$5:$G$1640,A262,'Bank Lines'!$J$5:$J$1640,1,'Bank Lines'!$C$5:$C$1640,"&lt;="&amp;Cover!$C$15),2)</f>
        <v>932.94</v>
      </c>
      <c r="Z262" s="9">
        <f>ROUND(SUMIFS('Odoo Items'!$G$5:$G$4331,'Odoo Items'!$J$5:$J$4331,A262,'Odoo Items'!$C$5:$C$4331,"&lt;="&amp;Cover!$C$15),2)</f>
        <v>932.94</v>
      </c>
      <c r="AA262">
        <f>COUNTIFS('Bank Lines'!$G$5:$G$1640,A262,'Bank Lines'!$J$5:$J$1640,1,'Bank Lines'!$C$5:$C$1640,"&lt;="&amp;Cover!$C$15)</f>
        <v>1</v>
      </c>
      <c r="AB262">
        <f>COUNTIFS('Odoo Items'!$J$5:$J$4331,A262,'Odoo Items'!$C$5:$C$4331,"&lt;="&amp;Cover!$C$15)</f>
        <v>5</v>
      </c>
      <c r="AC262" t="str">
        <f>IF(AND(AA262=0,AB262=0),"",IF(AA262=0,"ODOO-ONLY",IF(AB262=0,"BANK-ONLY","BOTH")))</f>
        <v>BOTH</v>
      </c>
      <c r="AD262" s="9">
        <f>IF(AC262="BOTH",ROUND(Y262-Z262,2),0)</f>
        <v>0</v>
      </c>
    </row>
    <row r="263">
      <c r="A263" t="inlineStr">
        <is>
          <t>G00259</t>
        </is>
      </c>
      <c r="B263" t="inlineStr">
        <is>
          <t>OPS</t>
        </is>
      </c>
      <c r="C263" t="inlineStr">
        <is>
          <t>R03</t>
        </is>
      </c>
      <c r="D263" t="inlineStr">
        <is>
          <t>MATCH</t>
        </is>
      </c>
      <c r="E263" t="inlineStr">
        <is>
          <t>Tallowwood Plans</t>
        </is>
      </c>
      <c r="F263" t="n">
        <v>0.968</v>
      </c>
      <c r="G263" t="inlineStr">
        <is>
          <t>3 invoices</t>
        </is>
      </c>
      <c r="H263">
        <f>COUNTIFS('Bank Lines'!$G$5:$G$1640,A263,'Bank Lines'!$J$5:$J$1640,1)</f>
        <v>1</v>
      </c>
      <c r="I263">
        <f>COUNTIFS('Odoo Items'!$J$5:$J$4331,A263)</f>
        <v>3</v>
      </c>
      <c r="J263" s="9">
        <f>ROUND(SUMIFS('Bank Lines'!$E$5:$E$1640,'Bank Lines'!$G$5:$G$1640,A263,'Bank Lines'!$J$5:$J$1640,1),2)</f>
        <v>1058.15</v>
      </c>
      <c r="K263" s="9">
        <f>ROUND(SUMIFS('Odoo Items'!$G$5:$G$4331,'Odoo Items'!$J$5:$J$4331,A263),2)</f>
        <v>1058.15</v>
      </c>
      <c r="L263" s="9">
        <f>ROUND(J263-K263,2)</f>
        <v>0</v>
      </c>
      <c r="M263" s="9">
        <f>ROUND(SUMIFS('Bank Lines'!$E$5:$E$1640,'Bank Lines'!$G$5:$G$1640,A263,'Bank Lines'!$J$5:$J$1640,1,'Bank Lines'!$C$5:$C$1640,"&lt;="&amp;Cover!$C$13),2)</f>
        <v>0</v>
      </c>
      <c r="N263" s="9">
        <f>ROUND(SUMIFS('Odoo Items'!$G$5:$G$4331,'Odoo Items'!$J$5:$J$4331,A263,'Odoo Items'!$C$5:$C$4331,"&lt;="&amp;Cover!$C$13),2)</f>
        <v>0</v>
      </c>
      <c r="O263">
        <f>COUNTIFS('Bank Lines'!$G$5:$G$1640,A263,'Bank Lines'!$J$5:$J$1640,1,'Bank Lines'!$C$5:$C$1640,"&lt;="&amp;Cover!$C$13)</f>
        <v>0</v>
      </c>
      <c r="P263">
        <f>COUNTIFS('Odoo Items'!$J$5:$J$4331,A263,'Odoo Items'!$C$5:$C$4331,"&lt;="&amp;Cover!$C$13)</f>
        <v>0</v>
      </c>
      <c r="Q263">
        <f>IF(AND(O263=0,P263=0),"",IF(O263=0,"ODOO-ONLY",IF(P263=0,"BANK-ONLY","BOTH")))</f>
      </c>
      <c r="R263" s="9">
        <f>IF(Q263="BOTH",ROUND(M263-N263,2),0)</f>
        <v>0</v>
      </c>
      <c r="S263" s="9">
        <f>ROUND(SUMIFS('Bank Lines'!$E$5:$E$1640,'Bank Lines'!$G$5:$G$1640,A263,'Bank Lines'!$J$5:$J$1640,1,'Bank Lines'!$C$5:$C$1640,"&lt;="&amp;Cover!$C$14),2)</f>
        <v>1058.15</v>
      </c>
      <c r="T263" s="9">
        <f>ROUND(SUMIFS('Odoo Items'!$G$5:$G$4331,'Odoo Items'!$J$5:$J$4331,A263,'Odoo Items'!$C$5:$C$4331,"&lt;="&amp;Cover!$C$14),2)</f>
        <v>1058.15</v>
      </c>
      <c r="U263">
        <f>COUNTIFS('Bank Lines'!$G$5:$G$1640,A263,'Bank Lines'!$J$5:$J$1640,1,'Bank Lines'!$C$5:$C$1640,"&lt;="&amp;Cover!$C$14)</f>
        <v>1</v>
      </c>
      <c r="V263">
        <f>COUNTIFS('Odoo Items'!$J$5:$J$4331,A263,'Odoo Items'!$C$5:$C$4331,"&lt;="&amp;Cover!$C$14)</f>
        <v>3</v>
      </c>
      <c r="W263" t="str">
        <f>IF(AND(U263=0,V263=0),"",IF(U263=0,"ODOO-ONLY",IF(V263=0,"BANK-ONLY","BOTH")))</f>
        <v>BOTH</v>
      </c>
      <c r="X263" s="9">
        <f>IF(W263="BOTH",ROUND(S263-T263,2),0)</f>
        <v>0</v>
      </c>
      <c r="Y263" s="9">
        <f>ROUND(SUMIFS('Bank Lines'!$E$5:$E$1640,'Bank Lines'!$G$5:$G$1640,A263,'Bank Lines'!$J$5:$J$1640,1,'Bank Lines'!$C$5:$C$1640,"&lt;="&amp;Cover!$C$15),2)</f>
        <v>1058.15</v>
      </c>
      <c r="Z263" s="9">
        <f>ROUND(SUMIFS('Odoo Items'!$G$5:$G$4331,'Odoo Items'!$J$5:$J$4331,A263,'Odoo Items'!$C$5:$C$4331,"&lt;="&amp;Cover!$C$15),2)</f>
        <v>1058.15</v>
      </c>
      <c r="AA263">
        <f>COUNTIFS('Bank Lines'!$G$5:$G$1640,A263,'Bank Lines'!$J$5:$J$1640,1,'Bank Lines'!$C$5:$C$1640,"&lt;="&amp;Cover!$C$15)</f>
        <v>1</v>
      </c>
      <c r="AB263">
        <f>COUNTIFS('Odoo Items'!$J$5:$J$4331,A263,'Odoo Items'!$C$5:$C$4331,"&lt;="&amp;Cover!$C$15)</f>
        <v>3</v>
      </c>
      <c r="AC263" t="str">
        <f>IF(AND(AA263=0,AB263=0),"",IF(AA263=0,"ODOO-ONLY",IF(AB263=0,"BANK-ONLY","BOTH")))</f>
        <v>BOTH</v>
      </c>
      <c r="AD263" s="9">
        <f>IF(AC263="BOTH",ROUND(Y263-Z263,2),0)</f>
        <v>0</v>
      </c>
    </row>
    <row r="264">
      <c r="A264" t="inlineStr">
        <is>
          <t>G00260</t>
        </is>
      </c>
      <c r="B264" t="inlineStr">
        <is>
          <t>OPS</t>
        </is>
      </c>
      <c r="C264" t="inlineStr">
        <is>
          <t>R03</t>
        </is>
      </c>
      <c r="D264" t="inlineStr">
        <is>
          <t>MATCH</t>
        </is>
      </c>
      <c r="E264" t="inlineStr">
        <is>
          <t>Acacia Plan Partners</t>
        </is>
      </c>
      <c r="F264" t="n">
        <v>0.973</v>
      </c>
      <c r="G264" t="inlineStr">
        <is>
          <t>2 invoices</t>
        </is>
      </c>
      <c r="H264">
        <f>COUNTIFS('Bank Lines'!$G$5:$G$1640,A264,'Bank Lines'!$J$5:$J$1640,1)</f>
        <v>1</v>
      </c>
      <c r="I264">
        <f>COUNTIFS('Odoo Items'!$J$5:$J$4331,A264)</f>
        <v>2</v>
      </c>
      <c r="J264" s="9">
        <f>ROUND(SUMIFS('Bank Lines'!$E$5:$E$1640,'Bank Lines'!$G$5:$G$1640,A264,'Bank Lines'!$J$5:$J$1640,1),2)</f>
        <v>494.67</v>
      </c>
      <c r="K264" s="9">
        <f>ROUND(SUMIFS('Odoo Items'!$G$5:$G$4331,'Odoo Items'!$J$5:$J$4331,A264),2)</f>
        <v>494.67</v>
      </c>
      <c r="L264" s="9">
        <f>ROUND(J264-K264,2)</f>
        <v>0</v>
      </c>
      <c r="M264" s="9">
        <f>ROUND(SUMIFS('Bank Lines'!$E$5:$E$1640,'Bank Lines'!$G$5:$G$1640,A264,'Bank Lines'!$J$5:$J$1640,1,'Bank Lines'!$C$5:$C$1640,"&lt;="&amp;Cover!$C$13),2)</f>
        <v>0</v>
      </c>
      <c r="N264" s="9">
        <f>ROUND(SUMIFS('Odoo Items'!$G$5:$G$4331,'Odoo Items'!$J$5:$J$4331,A264,'Odoo Items'!$C$5:$C$4331,"&lt;="&amp;Cover!$C$13),2)</f>
        <v>0</v>
      </c>
      <c r="O264">
        <f>COUNTIFS('Bank Lines'!$G$5:$G$1640,A264,'Bank Lines'!$J$5:$J$1640,1,'Bank Lines'!$C$5:$C$1640,"&lt;="&amp;Cover!$C$13)</f>
        <v>0</v>
      </c>
      <c r="P264">
        <f>COUNTIFS('Odoo Items'!$J$5:$J$4331,A264,'Odoo Items'!$C$5:$C$4331,"&lt;="&amp;Cover!$C$13)</f>
        <v>0</v>
      </c>
      <c r="Q264">
        <f>IF(AND(O264=0,P264=0),"",IF(O264=0,"ODOO-ONLY",IF(P264=0,"BANK-ONLY","BOTH")))</f>
      </c>
      <c r="R264" s="9">
        <f>IF(Q264="BOTH",ROUND(M264-N264,2),0)</f>
        <v>0</v>
      </c>
      <c r="S264" s="9">
        <f>ROUND(SUMIFS('Bank Lines'!$E$5:$E$1640,'Bank Lines'!$G$5:$G$1640,A264,'Bank Lines'!$J$5:$J$1640,1,'Bank Lines'!$C$5:$C$1640,"&lt;="&amp;Cover!$C$14),2)</f>
        <v>494.67</v>
      </c>
      <c r="T264" s="9">
        <f>ROUND(SUMIFS('Odoo Items'!$G$5:$G$4331,'Odoo Items'!$J$5:$J$4331,A264,'Odoo Items'!$C$5:$C$4331,"&lt;="&amp;Cover!$C$14),2)</f>
        <v>494.67</v>
      </c>
      <c r="U264">
        <f>COUNTIFS('Bank Lines'!$G$5:$G$1640,A264,'Bank Lines'!$J$5:$J$1640,1,'Bank Lines'!$C$5:$C$1640,"&lt;="&amp;Cover!$C$14)</f>
        <v>1</v>
      </c>
      <c r="V264">
        <f>COUNTIFS('Odoo Items'!$J$5:$J$4331,A264,'Odoo Items'!$C$5:$C$4331,"&lt;="&amp;Cover!$C$14)</f>
        <v>2</v>
      </c>
      <c r="W264" t="str">
        <f>IF(AND(U264=0,V264=0),"",IF(U264=0,"ODOO-ONLY",IF(V264=0,"BANK-ONLY","BOTH")))</f>
        <v>BOTH</v>
      </c>
      <c r="X264" s="9">
        <f>IF(W264="BOTH",ROUND(S264-T264,2),0)</f>
        <v>0</v>
      </c>
      <c r="Y264" s="9">
        <f>ROUND(SUMIFS('Bank Lines'!$E$5:$E$1640,'Bank Lines'!$G$5:$G$1640,A264,'Bank Lines'!$J$5:$J$1640,1,'Bank Lines'!$C$5:$C$1640,"&lt;="&amp;Cover!$C$15),2)</f>
        <v>494.67</v>
      </c>
      <c r="Z264" s="9">
        <f>ROUND(SUMIFS('Odoo Items'!$G$5:$G$4331,'Odoo Items'!$J$5:$J$4331,A264,'Odoo Items'!$C$5:$C$4331,"&lt;="&amp;Cover!$C$15),2)</f>
        <v>494.67</v>
      </c>
      <c r="AA264">
        <f>COUNTIFS('Bank Lines'!$G$5:$G$1640,A264,'Bank Lines'!$J$5:$J$1640,1,'Bank Lines'!$C$5:$C$1640,"&lt;="&amp;Cover!$C$15)</f>
        <v>1</v>
      </c>
      <c r="AB264">
        <f>COUNTIFS('Odoo Items'!$J$5:$J$4331,A264,'Odoo Items'!$C$5:$C$4331,"&lt;="&amp;Cover!$C$15)</f>
        <v>2</v>
      </c>
      <c r="AC264" t="str">
        <f>IF(AND(AA264=0,AB264=0),"",IF(AA264=0,"ODOO-ONLY",IF(AB264=0,"BANK-ONLY","BOTH")))</f>
        <v>BOTH</v>
      </c>
      <c r="AD264" s="9">
        <f>IF(AC264="BOTH",ROUND(Y264-Z264,2),0)</f>
        <v>0</v>
      </c>
    </row>
    <row r="265">
      <c r="A265" t="inlineStr">
        <is>
          <t>G00261</t>
        </is>
      </c>
      <c r="B265" t="inlineStr">
        <is>
          <t>OPS</t>
        </is>
      </c>
      <c r="C265" t="inlineStr">
        <is>
          <t>R03</t>
        </is>
      </c>
      <c r="D265" t="inlineStr">
        <is>
          <t>MATCH</t>
        </is>
      </c>
      <c r="E265" t="inlineStr">
        <is>
          <t>Clearpath NDIS Plans</t>
        </is>
      </c>
      <c r="F265" t="n">
        <v>1</v>
      </c>
      <c r="G265" t="inlineStr">
        <is>
          <t>4 invoices</t>
        </is>
      </c>
      <c r="H265">
        <f>COUNTIFS('Bank Lines'!$G$5:$G$1640,A265,'Bank Lines'!$J$5:$J$1640,1)</f>
        <v>1</v>
      </c>
      <c r="I265">
        <f>COUNTIFS('Odoo Items'!$J$5:$J$4331,A265)</f>
        <v>4</v>
      </c>
      <c r="J265" s="9">
        <f>ROUND(SUMIFS('Bank Lines'!$E$5:$E$1640,'Bank Lines'!$G$5:$G$1640,A265,'Bank Lines'!$J$5:$J$1640,1),2)</f>
        <v>1156.93</v>
      </c>
      <c r="K265" s="9">
        <f>ROUND(SUMIFS('Odoo Items'!$G$5:$G$4331,'Odoo Items'!$J$5:$J$4331,A265),2)</f>
        <v>1156.93</v>
      </c>
      <c r="L265" s="9">
        <f>ROUND(J265-K265,2)</f>
        <v>0</v>
      </c>
      <c r="M265" s="9">
        <f>ROUND(SUMIFS('Bank Lines'!$E$5:$E$1640,'Bank Lines'!$G$5:$G$1640,A265,'Bank Lines'!$J$5:$J$1640,1,'Bank Lines'!$C$5:$C$1640,"&lt;="&amp;Cover!$C$13),2)</f>
        <v>0</v>
      </c>
      <c r="N265" s="9">
        <f>ROUND(SUMIFS('Odoo Items'!$G$5:$G$4331,'Odoo Items'!$J$5:$J$4331,A265,'Odoo Items'!$C$5:$C$4331,"&lt;="&amp;Cover!$C$13),2)</f>
        <v>0</v>
      </c>
      <c r="O265">
        <f>COUNTIFS('Bank Lines'!$G$5:$G$1640,A265,'Bank Lines'!$J$5:$J$1640,1,'Bank Lines'!$C$5:$C$1640,"&lt;="&amp;Cover!$C$13)</f>
        <v>0</v>
      </c>
      <c r="P265">
        <f>COUNTIFS('Odoo Items'!$J$5:$J$4331,A265,'Odoo Items'!$C$5:$C$4331,"&lt;="&amp;Cover!$C$13)</f>
        <v>0</v>
      </c>
      <c r="Q265">
        <f>IF(AND(O265=0,P265=0),"",IF(O265=0,"ODOO-ONLY",IF(P265=0,"BANK-ONLY","BOTH")))</f>
      </c>
      <c r="R265" s="9">
        <f>IF(Q265="BOTH",ROUND(M265-N265,2),0)</f>
        <v>0</v>
      </c>
      <c r="S265" s="9">
        <f>ROUND(SUMIFS('Bank Lines'!$E$5:$E$1640,'Bank Lines'!$G$5:$G$1640,A265,'Bank Lines'!$J$5:$J$1640,1,'Bank Lines'!$C$5:$C$1640,"&lt;="&amp;Cover!$C$14),2)</f>
        <v>1156.93</v>
      </c>
      <c r="T265" s="9">
        <f>ROUND(SUMIFS('Odoo Items'!$G$5:$G$4331,'Odoo Items'!$J$5:$J$4331,A265,'Odoo Items'!$C$5:$C$4331,"&lt;="&amp;Cover!$C$14),2)</f>
        <v>1156.93</v>
      </c>
      <c r="U265">
        <f>COUNTIFS('Bank Lines'!$G$5:$G$1640,A265,'Bank Lines'!$J$5:$J$1640,1,'Bank Lines'!$C$5:$C$1640,"&lt;="&amp;Cover!$C$14)</f>
        <v>1</v>
      </c>
      <c r="V265">
        <f>COUNTIFS('Odoo Items'!$J$5:$J$4331,A265,'Odoo Items'!$C$5:$C$4331,"&lt;="&amp;Cover!$C$14)</f>
        <v>4</v>
      </c>
      <c r="W265" t="str">
        <f>IF(AND(U265=0,V265=0),"",IF(U265=0,"ODOO-ONLY",IF(V265=0,"BANK-ONLY","BOTH")))</f>
        <v>BOTH</v>
      </c>
      <c r="X265" s="9">
        <f>IF(W265="BOTH",ROUND(S265-T265,2),0)</f>
        <v>0</v>
      </c>
      <c r="Y265" s="9">
        <f>ROUND(SUMIFS('Bank Lines'!$E$5:$E$1640,'Bank Lines'!$G$5:$G$1640,A265,'Bank Lines'!$J$5:$J$1640,1,'Bank Lines'!$C$5:$C$1640,"&lt;="&amp;Cover!$C$15),2)</f>
        <v>1156.93</v>
      </c>
      <c r="Z265" s="9">
        <f>ROUND(SUMIFS('Odoo Items'!$G$5:$G$4331,'Odoo Items'!$J$5:$J$4331,A265,'Odoo Items'!$C$5:$C$4331,"&lt;="&amp;Cover!$C$15),2)</f>
        <v>1156.93</v>
      </c>
      <c r="AA265">
        <f>COUNTIFS('Bank Lines'!$G$5:$G$1640,A265,'Bank Lines'!$J$5:$J$1640,1,'Bank Lines'!$C$5:$C$1640,"&lt;="&amp;Cover!$C$15)</f>
        <v>1</v>
      </c>
      <c r="AB265">
        <f>COUNTIFS('Odoo Items'!$J$5:$J$4331,A265,'Odoo Items'!$C$5:$C$4331,"&lt;="&amp;Cover!$C$15)</f>
        <v>4</v>
      </c>
      <c r="AC265" t="str">
        <f>IF(AND(AA265=0,AB265=0),"",IF(AA265=0,"ODOO-ONLY",IF(AB265=0,"BANK-ONLY","BOTH")))</f>
        <v>BOTH</v>
      </c>
      <c r="AD265" s="9">
        <f>IF(AC265="BOTH",ROUND(Y265-Z265,2),0)</f>
        <v>0</v>
      </c>
    </row>
    <row r="266">
      <c r="A266" t="inlineStr">
        <is>
          <t>G00262</t>
        </is>
      </c>
      <c r="B266" t="inlineStr">
        <is>
          <t>OPS</t>
        </is>
      </c>
      <c r="C266" t="inlineStr">
        <is>
          <t>R03</t>
        </is>
      </c>
      <c r="D266" t="inlineStr">
        <is>
          <t>MATCH</t>
        </is>
      </c>
      <c r="E266" t="inlineStr">
        <is>
          <t>Wattle Plan Services</t>
        </is>
      </c>
      <c r="F266" t="n">
        <v>0.973</v>
      </c>
      <c r="G266" t="inlineStr">
        <is>
          <t>1 invoices</t>
        </is>
      </c>
      <c r="H266">
        <f>COUNTIFS('Bank Lines'!$G$5:$G$1640,A266,'Bank Lines'!$J$5:$J$1640,1)</f>
        <v>1</v>
      </c>
      <c r="I266">
        <f>COUNTIFS('Odoo Items'!$J$5:$J$4331,A266)</f>
        <v>1</v>
      </c>
      <c r="J266" s="9">
        <f>ROUND(SUMIFS('Bank Lines'!$E$5:$E$1640,'Bank Lines'!$G$5:$G$1640,A266,'Bank Lines'!$J$5:$J$1640,1),2)</f>
        <v>290.98</v>
      </c>
      <c r="K266" s="9">
        <f>ROUND(SUMIFS('Odoo Items'!$G$5:$G$4331,'Odoo Items'!$J$5:$J$4331,A266),2)</f>
        <v>290.98</v>
      </c>
      <c r="L266" s="9">
        <f>ROUND(J266-K266,2)</f>
        <v>0</v>
      </c>
      <c r="M266" s="9">
        <f>ROUND(SUMIFS('Bank Lines'!$E$5:$E$1640,'Bank Lines'!$G$5:$G$1640,A266,'Bank Lines'!$J$5:$J$1640,1,'Bank Lines'!$C$5:$C$1640,"&lt;="&amp;Cover!$C$13),2)</f>
        <v>0</v>
      </c>
      <c r="N266" s="9">
        <f>ROUND(SUMIFS('Odoo Items'!$G$5:$G$4331,'Odoo Items'!$J$5:$J$4331,A266,'Odoo Items'!$C$5:$C$4331,"&lt;="&amp;Cover!$C$13),2)</f>
        <v>0</v>
      </c>
      <c r="O266">
        <f>COUNTIFS('Bank Lines'!$G$5:$G$1640,A266,'Bank Lines'!$J$5:$J$1640,1,'Bank Lines'!$C$5:$C$1640,"&lt;="&amp;Cover!$C$13)</f>
        <v>0</v>
      </c>
      <c r="P266">
        <f>COUNTIFS('Odoo Items'!$J$5:$J$4331,A266,'Odoo Items'!$C$5:$C$4331,"&lt;="&amp;Cover!$C$13)</f>
        <v>0</v>
      </c>
      <c r="Q266">
        <f>IF(AND(O266=0,P266=0),"",IF(O266=0,"ODOO-ONLY",IF(P266=0,"BANK-ONLY","BOTH")))</f>
      </c>
      <c r="R266" s="9">
        <f>IF(Q266="BOTH",ROUND(M266-N266,2),0)</f>
        <v>0</v>
      </c>
      <c r="S266" s="9">
        <f>ROUND(SUMIFS('Bank Lines'!$E$5:$E$1640,'Bank Lines'!$G$5:$G$1640,A266,'Bank Lines'!$J$5:$J$1640,1,'Bank Lines'!$C$5:$C$1640,"&lt;="&amp;Cover!$C$14),2)</f>
        <v>290.98</v>
      </c>
      <c r="T266" s="9">
        <f>ROUND(SUMIFS('Odoo Items'!$G$5:$G$4331,'Odoo Items'!$J$5:$J$4331,A266,'Odoo Items'!$C$5:$C$4331,"&lt;="&amp;Cover!$C$14),2)</f>
        <v>290.98</v>
      </c>
      <c r="U266">
        <f>COUNTIFS('Bank Lines'!$G$5:$G$1640,A266,'Bank Lines'!$J$5:$J$1640,1,'Bank Lines'!$C$5:$C$1640,"&lt;="&amp;Cover!$C$14)</f>
        <v>1</v>
      </c>
      <c r="V266">
        <f>COUNTIFS('Odoo Items'!$J$5:$J$4331,A266,'Odoo Items'!$C$5:$C$4331,"&lt;="&amp;Cover!$C$14)</f>
        <v>1</v>
      </c>
      <c r="W266" t="str">
        <f>IF(AND(U266=0,V266=0),"",IF(U266=0,"ODOO-ONLY",IF(V266=0,"BANK-ONLY","BOTH")))</f>
        <v>BOTH</v>
      </c>
      <c r="X266" s="9">
        <f>IF(W266="BOTH",ROUND(S266-T266,2),0)</f>
        <v>0</v>
      </c>
      <c r="Y266" s="9">
        <f>ROUND(SUMIFS('Bank Lines'!$E$5:$E$1640,'Bank Lines'!$G$5:$G$1640,A266,'Bank Lines'!$J$5:$J$1640,1,'Bank Lines'!$C$5:$C$1640,"&lt;="&amp;Cover!$C$15),2)</f>
        <v>290.98</v>
      </c>
      <c r="Z266" s="9">
        <f>ROUND(SUMIFS('Odoo Items'!$G$5:$G$4331,'Odoo Items'!$J$5:$J$4331,A266,'Odoo Items'!$C$5:$C$4331,"&lt;="&amp;Cover!$C$15),2)</f>
        <v>290.98</v>
      </c>
      <c r="AA266">
        <f>COUNTIFS('Bank Lines'!$G$5:$G$1640,A266,'Bank Lines'!$J$5:$J$1640,1,'Bank Lines'!$C$5:$C$1640,"&lt;="&amp;Cover!$C$15)</f>
        <v>1</v>
      </c>
      <c r="AB266">
        <f>COUNTIFS('Odoo Items'!$J$5:$J$4331,A266,'Odoo Items'!$C$5:$C$4331,"&lt;="&amp;Cover!$C$15)</f>
        <v>1</v>
      </c>
      <c r="AC266" t="str">
        <f>IF(AND(AA266=0,AB266=0),"",IF(AA266=0,"ODOO-ONLY",IF(AB266=0,"BANK-ONLY","BOTH")))</f>
        <v>BOTH</v>
      </c>
      <c r="AD266" s="9">
        <f>IF(AC266="BOTH",ROUND(Y266-Z266,2),0)</f>
        <v>0</v>
      </c>
    </row>
    <row r="267">
      <c r="A267" t="inlineStr">
        <is>
          <t>G00263</t>
        </is>
      </c>
      <c r="B267" t="inlineStr">
        <is>
          <t>OPS</t>
        </is>
      </c>
      <c r="C267" t="inlineStr">
        <is>
          <t>R03</t>
        </is>
      </c>
      <c r="D267" t="inlineStr">
        <is>
          <t>MATCH</t>
        </is>
      </c>
      <c r="E267" t="inlineStr">
        <is>
          <t>Saltbush Plan Managers</t>
        </is>
      </c>
      <c r="F267" t="n">
        <v>1</v>
      </c>
      <c r="G267" t="inlineStr">
        <is>
          <t>1 invoices</t>
        </is>
      </c>
      <c r="H267">
        <f>COUNTIFS('Bank Lines'!$G$5:$G$1640,A267,'Bank Lines'!$J$5:$J$1640,1)</f>
        <v>1</v>
      </c>
      <c r="I267">
        <f>COUNTIFS('Odoo Items'!$J$5:$J$4331,A267)</f>
        <v>1</v>
      </c>
      <c r="J267" s="9">
        <f>ROUND(SUMIFS('Bank Lines'!$E$5:$E$1640,'Bank Lines'!$G$5:$G$1640,A267,'Bank Lines'!$J$5:$J$1640,1),2)</f>
        <v>175.49</v>
      </c>
      <c r="K267" s="9">
        <f>ROUND(SUMIFS('Odoo Items'!$G$5:$G$4331,'Odoo Items'!$J$5:$J$4331,A267),2)</f>
        <v>175.49</v>
      </c>
      <c r="L267" s="9">
        <f>ROUND(J267-K267,2)</f>
        <v>0</v>
      </c>
      <c r="M267" s="9">
        <f>ROUND(SUMIFS('Bank Lines'!$E$5:$E$1640,'Bank Lines'!$G$5:$G$1640,A267,'Bank Lines'!$J$5:$J$1640,1,'Bank Lines'!$C$5:$C$1640,"&lt;="&amp;Cover!$C$13),2)</f>
        <v>0</v>
      </c>
      <c r="N267" s="9">
        <f>ROUND(SUMIFS('Odoo Items'!$G$5:$G$4331,'Odoo Items'!$J$5:$J$4331,A267,'Odoo Items'!$C$5:$C$4331,"&lt;="&amp;Cover!$C$13),2)</f>
        <v>0</v>
      </c>
      <c r="O267">
        <f>COUNTIFS('Bank Lines'!$G$5:$G$1640,A267,'Bank Lines'!$J$5:$J$1640,1,'Bank Lines'!$C$5:$C$1640,"&lt;="&amp;Cover!$C$13)</f>
        <v>0</v>
      </c>
      <c r="P267">
        <f>COUNTIFS('Odoo Items'!$J$5:$J$4331,A267,'Odoo Items'!$C$5:$C$4331,"&lt;="&amp;Cover!$C$13)</f>
        <v>0</v>
      </c>
      <c r="Q267">
        <f>IF(AND(O267=0,P267=0),"",IF(O267=0,"ODOO-ONLY",IF(P267=0,"BANK-ONLY","BOTH")))</f>
      </c>
      <c r="R267" s="9">
        <f>IF(Q267="BOTH",ROUND(M267-N267,2),0)</f>
        <v>0</v>
      </c>
      <c r="S267" s="9">
        <f>ROUND(SUMIFS('Bank Lines'!$E$5:$E$1640,'Bank Lines'!$G$5:$G$1640,A267,'Bank Lines'!$J$5:$J$1640,1,'Bank Lines'!$C$5:$C$1640,"&lt;="&amp;Cover!$C$14),2)</f>
        <v>175.49</v>
      </c>
      <c r="T267" s="9">
        <f>ROUND(SUMIFS('Odoo Items'!$G$5:$G$4331,'Odoo Items'!$J$5:$J$4331,A267,'Odoo Items'!$C$5:$C$4331,"&lt;="&amp;Cover!$C$14),2)</f>
        <v>175.49</v>
      </c>
      <c r="U267">
        <f>COUNTIFS('Bank Lines'!$G$5:$G$1640,A267,'Bank Lines'!$J$5:$J$1640,1,'Bank Lines'!$C$5:$C$1640,"&lt;="&amp;Cover!$C$14)</f>
        <v>1</v>
      </c>
      <c r="V267">
        <f>COUNTIFS('Odoo Items'!$J$5:$J$4331,A267,'Odoo Items'!$C$5:$C$4331,"&lt;="&amp;Cover!$C$14)</f>
        <v>1</v>
      </c>
      <c r="W267" t="str">
        <f>IF(AND(U267=0,V267=0),"",IF(U267=0,"ODOO-ONLY",IF(V267=0,"BANK-ONLY","BOTH")))</f>
        <v>BOTH</v>
      </c>
      <c r="X267" s="9">
        <f>IF(W267="BOTH",ROUND(S267-T267,2),0)</f>
        <v>0</v>
      </c>
      <c r="Y267" s="9">
        <f>ROUND(SUMIFS('Bank Lines'!$E$5:$E$1640,'Bank Lines'!$G$5:$G$1640,A267,'Bank Lines'!$J$5:$J$1640,1,'Bank Lines'!$C$5:$C$1640,"&lt;="&amp;Cover!$C$15),2)</f>
        <v>175.49</v>
      </c>
      <c r="Z267" s="9">
        <f>ROUND(SUMIFS('Odoo Items'!$G$5:$G$4331,'Odoo Items'!$J$5:$J$4331,A267,'Odoo Items'!$C$5:$C$4331,"&lt;="&amp;Cover!$C$15),2)</f>
        <v>175.49</v>
      </c>
      <c r="AA267">
        <f>COUNTIFS('Bank Lines'!$G$5:$G$1640,A267,'Bank Lines'!$J$5:$J$1640,1,'Bank Lines'!$C$5:$C$1640,"&lt;="&amp;Cover!$C$15)</f>
        <v>1</v>
      </c>
      <c r="AB267">
        <f>COUNTIFS('Odoo Items'!$J$5:$J$4331,A267,'Odoo Items'!$C$5:$C$4331,"&lt;="&amp;Cover!$C$15)</f>
        <v>1</v>
      </c>
      <c r="AC267" t="str">
        <f>IF(AND(AA267=0,AB267=0),"",IF(AA267=0,"ODOO-ONLY",IF(AB267=0,"BANK-ONLY","BOTH")))</f>
        <v>BOTH</v>
      </c>
      <c r="AD267" s="9">
        <f>IF(AC267="BOTH",ROUND(Y267-Z267,2),0)</f>
        <v>0</v>
      </c>
    </row>
    <row r="268">
      <c r="A268" t="inlineStr">
        <is>
          <t>G00264</t>
        </is>
      </c>
      <c r="B268" t="inlineStr">
        <is>
          <t>OPS</t>
        </is>
      </c>
      <c r="C268" t="inlineStr">
        <is>
          <t>R03</t>
        </is>
      </c>
      <c r="D268" t="inlineStr">
        <is>
          <t>MATCH</t>
        </is>
      </c>
      <c r="E268" t="inlineStr">
        <is>
          <t>Lyrebird Plan Management</t>
        </is>
      </c>
      <c r="F268" t="n">
        <v>1</v>
      </c>
      <c r="G268" t="inlineStr">
        <is>
          <t>7 invoices</t>
        </is>
      </c>
      <c r="H268">
        <f>COUNTIFS('Bank Lines'!$G$5:$G$1640,A268,'Bank Lines'!$J$5:$J$1640,1)</f>
        <v>1</v>
      </c>
      <c r="I268">
        <f>COUNTIFS('Odoo Items'!$J$5:$J$4331,A268)</f>
        <v>7</v>
      </c>
      <c r="J268" s="9">
        <f>ROUND(SUMIFS('Bank Lines'!$E$5:$E$1640,'Bank Lines'!$G$5:$G$1640,A268,'Bank Lines'!$J$5:$J$1640,1),2)</f>
        <v>1678.01</v>
      </c>
      <c r="K268" s="9">
        <f>ROUND(SUMIFS('Odoo Items'!$G$5:$G$4331,'Odoo Items'!$J$5:$J$4331,A268),2)</f>
        <v>1678.01</v>
      </c>
      <c r="L268" s="9">
        <f>ROUND(J268-K268,2)</f>
        <v>0</v>
      </c>
      <c r="M268" s="9">
        <f>ROUND(SUMIFS('Bank Lines'!$E$5:$E$1640,'Bank Lines'!$G$5:$G$1640,A268,'Bank Lines'!$J$5:$J$1640,1,'Bank Lines'!$C$5:$C$1640,"&lt;="&amp;Cover!$C$13),2)</f>
        <v>0</v>
      </c>
      <c r="N268" s="9">
        <f>ROUND(SUMIFS('Odoo Items'!$G$5:$G$4331,'Odoo Items'!$J$5:$J$4331,A268,'Odoo Items'!$C$5:$C$4331,"&lt;="&amp;Cover!$C$13),2)</f>
        <v>0</v>
      </c>
      <c r="O268">
        <f>COUNTIFS('Bank Lines'!$G$5:$G$1640,A268,'Bank Lines'!$J$5:$J$1640,1,'Bank Lines'!$C$5:$C$1640,"&lt;="&amp;Cover!$C$13)</f>
        <v>0</v>
      </c>
      <c r="P268">
        <f>COUNTIFS('Odoo Items'!$J$5:$J$4331,A268,'Odoo Items'!$C$5:$C$4331,"&lt;="&amp;Cover!$C$13)</f>
        <v>0</v>
      </c>
      <c r="Q268">
        <f>IF(AND(O268=0,P268=0),"",IF(O268=0,"ODOO-ONLY",IF(P268=0,"BANK-ONLY","BOTH")))</f>
      </c>
      <c r="R268" s="9">
        <f>IF(Q268="BOTH",ROUND(M268-N268,2),0)</f>
        <v>0</v>
      </c>
      <c r="S268" s="9">
        <f>ROUND(SUMIFS('Bank Lines'!$E$5:$E$1640,'Bank Lines'!$G$5:$G$1640,A268,'Bank Lines'!$J$5:$J$1640,1,'Bank Lines'!$C$5:$C$1640,"&lt;="&amp;Cover!$C$14),2)</f>
        <v>1678.01</v>
      </c>
      <c r="T268" s="9">
        <f>ROUND(SUMIFS('Odoo Items'!$G$5:$G$4331,'Odoo Items'!$J$5:$J$4331,A268,'Odoo Items'!$C$5:$C$4331,"&lt;="&amp;Cover!$C$14),2)</f>
        <v>1678.01</v>
      </c>
      <c r="U268">
        <f>COUNTIFS('Bank Lines'!$G$5:$G$1640,A268,'Bank Lines'!$J$5:$J$1640,1,'Bank Lines'!$C$5:$C$1640,"&lt;="&amp;Cover!$C$14)</f>
        <v>1</v>
      </c>
      <c r="V268">
        <f>COUNTIFS('Odoo Items'!$J$5:$J$4331,A268,'Odoo Items'!$C$5:$C$4331,"&lt;="&amp;Cover!$C$14)</f>
        <v>7</v>
      </c>
      <c r="W268" t="str">
        <f>IF(AND(U268=0,V268=0),"",IF(U268=0,"ODOO-ONLY",IF(V268=0,"BANK-ONLY","BOTH")))</f>
        <v>BOTH</v>
      </c>
      <c r="X268" s="9">
        <f>IF(W268="BOTH",ROUND(S268-T268,2),0)</f>
        <v>0</v>
      </c>
      <c r="Y268" s="9">
        <f>ROUND(SUMIFS('Bank Lines'!$E$5:$E$1640,'Bank Lines'!$G$5:$G$1640,A268,'Bank Lines'!$J$5:$J$1640,1,'Bank Lines'!$C$5:$C$1640,"&lt;="&amp;Cover!$C$15),2)</f>
        <v>1678.01</v>
      </c>
      <c r="Z268" s="9">
        <f>ROUND(SUMIFS('Odoo Items'!$G$5:$G$4331,'Odoo Items'!$J$5:$J$4331,A268,'Odoo Items'!$C$5:$C$4331,"&lt;="&amp;Cover!$C$15),2)</f>
        <v>1678.01</v>
      </c>
      <c r="AA268">
        <f>COUNTIFS('Bank Lines'!$G$5:$G$1640,A268,'Bank Lines'!$J$5:$J$1640,1,'Bank Lines'!$C$5:$C$1640,"&lt;="&amp;Cover!$C$15)</f>
        <v>1</v>
      </c>
      <c r="AB268">
        <f>COUNTIFS('Odoo Items'!$J$5:$J$4331,A268,'Odoo Items'!$C$5:$C$4331,"&lt;="&amp;Cover!$C$15)</f>
        <v>7</v>
      </c>
      <c r="AC268" t="str">
        <f>IF(AND(AA268=0,AB268=0),"",IF(AA268=0,"ODOO-ONLY",IF(AB268=0,"BANK-ONLY","BOTH")))</f>
        <v>BOTH</v>
      </c>
      <c r="AD268" s="9">
        <f>IF(AC268="BOTH",ROUND(Y268-Z268,2),0)</f>
        <v>0</v>
      </c>
    </row>
    <row r="269">
      <c r="A269" t="inlineStr">
        <is>
          <t>G00265</t>
        </is>
      </c>
      <c r="B269" t="inlineStr">
        <is>
          <t>OPS</t>
        </is>
      </c>
      <c r="C269" t="inlineStr">
        <is>
          <t>R03</t>
        </is>
      </c>
      <c r="D269" t="inlineStr">
        <is>
          <t>MATCH</t>
        </is>
      </c>
      <c r="E269" t="inlineStr">
        <is>
          <t>Tallowwood Plans</t>
        </is>
      </c>
      <c r="F269" t="n">
        <v>1</v>
      </c>
      <c r="G269" t="inlineStr">
        <is>
          <t>1 invoices</t>
        </is>
      </c>
      <c r="H269">
        <f>COUNTIFS('Bank Lines'!$G$5:$G$1640,A269,'Bank Lines'!$J$5:$J$1640,1)</f>
        <v>1</v>
      </c>
      <c r="I269">
        <f>COUNTIFS('Odoo Items'!$J$5:$J$4331,A269)</f>
        <v>1</v>
      </c>
      <c r="J269" s="9">
        <f>ROUND(SUMIFS('Bank Lines'!$E$5:$E$1640,'Bank Lines'!$G$5:$G$1640,A269,'Bank Lines'!$J$5:$J$1640,1),2)</f>
        <v>387.98</v>
      </c>
      <c r="K269" s="9">
        <f>ROUND(SUMIFS('Odoo Items'!$G$5:$G$4331,'Odoo Items'!$J$5:$J$4331,A269),2)</f>
        <v>387.98</v>
      </c>
      <c r="L269" s="9">
        <f>ROUND(J269-K269,2)</f>
        <v>0</v>
      </c>
      <c r="M269" s="9">
        <f>ROUND(SUMIFS('Bank Lines'!$E$5:$E$1640,'Bank Lines'!$G$5:$G$1640,A269,'Bank Lines'!$J$5:$J$1640,1,'Bank Lines'!$C$5:$C$1640,"&lt;="&amp;Cover!$C$13),2)</f>
        <v>0</v>
      </c>
      <c r="N269" s="9">
        <f>ROUND(SUMIFS('Odoo Items'!$G$5:$G$4331,'Odoo Items'!$J$5:$J$4331,A269,'Odoo Items'!$C$5:$C$4331,"&lt;="&amp;Cover!$C$13),2)</f>
        <v>0</v>
      </c>
      <c r="O269">
        <f>COUNTIFS('Bank Lines'!$G$5:$G$1640,A269,'Bank Lines'!$J$5:$J$1640,1,'Bank Lines'!$C$5:$C$1640,"&lt;="&amp;Cover!$C$13)</f>
        <v>0</v>
      </c>
      <c r="P269">
        <f>COUNTIFS('Odoo Items'!$J$5:$J$4331,A269,'Odoo Items'!$C$5:$C$4331,"&lt;="&amp;Cover!$C$13)</f>
        <v>0</v>
      </c>
      <c r="Q269">
        <f>IF(AND(O269=0,P269=0),"",IF(O269=0,"ODOO-ONLY",IF(P269=0,"BANK-ONLY","BOTH")))</f>
      </c>
      <c r="R269" s="9">
        <f>IF(Q269="BOTH",ROUND(M269-N269,2),0)</f>
        <v>0</v>
      </c>
      <c r="S269" s="9">
        <f>ROUND(SUMIFS('Bank Lines'!$E$5:$E$1640,'Bank Lines'!$G$5:$G$1640,A269,'Bank Lines'!$J$5:$J$1640,1,'Bank Lines'!$C$5:$C$1640,"&lt;="&amp;Cover!$C$14),2)</f>
        <v>387.98</v>
      </c>
      <c r="T269" s="9">
        <f>ROUND(SUMIFS('Odoo Items'!$G$5:$G$4331,'Odoo Items'!$J$5:$J$4331,A269,'Odoo Items'!$C$5:$C$4331,"&lt;="&amp;Cover!$C$14),2)</f>
        <v>387.98</v>
      </c>
      <c r="U269">
        <f>COUNTIFS('Bank Lines'!$G$5:$G$1640,A269,'Bank Lines'!$J$5:$J$1640,1,'Bank Lines'!$C$5:$C$1640,"&lt;="&amp;Cover!$C$14)</f>
        <v>1</v>
      </c>
      <c r="V269">
        <f>COUNTIFS('Odoo Items'!$J$5:$J$4331,A269,'Odoo Items'!$C$5:$C$4331,"&lt;="&amp;Cover!$C$14)</f>
        <v>1</v>
      </c>
      <c r="W269" t="str">
        <f>IF(AND(U269=0,V269=0),"",IF(U269=0,"ODOO-ONLY",IF(V269=0,"BANK-ONLY","BOTH")))</f>
        <v>BOTH</v>
      </c>
      <c r="X269" s="9">
        <f>IF(W269="BOTH",ROUND(S269-T269,2),0)</f>
        <v>0</v>
      </c>
      <c r="Y269" s="9">
        <f>ROUND(SUMIFS('Bank Lines'!$E$5:$E$1640,'Bank Lines'!$G$5:$G$1640,A269,'Bank Lines'!$J$5:$J$1640,1,'Bank Lines'!$C$5:$C$1640,"&lt;="&amp;Cover!$C$15),2)</f>
        <v>387.98</v>
      </c>
      <c r="Z269" s="9">
        <f>ROUND(SUMIFS('Odoo Items'!$G$5:$G$4331,'Odoo Items'!$J$5:$J$4331,A269,'Odoo Items'!$C$5:$C$4331,"&lt;="&amp;Cover!$C$15),2)</f>
        <v>387.98</v>
      </c>
      <c r="AA269">
        <f>COUNTIFS('Bank Lines'!$G$5:$G$1640,A269,'Bank Lines'!$J$5:$J$1640,1,'Bank Lines'!$C$5:$C$1640,"&lt;="&amp;Cover!$C$15)</f>
        <v>1</v>
      </c>
      <c r="AB269">
        <f>COUNTIFS('Odoo Items'!$J$5:$J$4331,A269,'Odoo Items'!$C$5:$C$4331,"&lt;="&amp;Cover!$C$15)</f>
        <v>1</v>
      </c>
      <c r="AC269" t="str">
        <f>IF(AND(AA269=0,AB269=0),"",IF(AA269=0,"ODOO-ONLY",IF(AB269=0,"BANK-ONLY","BOTH")))</f>
        <v>BOTH</v>
      </c>
      <c r="AD269" s="9">
        <f>IF(AC269="BOTH",ROUND(Y269-Z269,2),0)</f>
        <v>0</v>
      </c>
    </row>
    <row r="270">
      <c r="A270" t="inlineStr">
        <is>
          <t>G00266</t>
        </is>
      </c>
      <c r="B270" t="inlineStr">
        <is>
          <t>OPS</t>
        </is>
      </c>
      <c r="C270" t="inlineStr">
        <is>
          <t>R03</t>
        </is>
      </c>
      <c r="D270" t="inlineStr">
        <is>
          <t>MATCH</t>
        </is>
      </c>
      <c r="E270" t="inlineStr">
        <is>
          <t>Acacia Plan Partners</t>
        </is>
      </c>
      <c r="F270" t="n">
        <v>1</v>
      </c>
      <c r="G270" t="inlineStr">
        <is>
          <t>3 invoices</t>
        </is>
      </c>
      <c r="H270">
        <f>COUNTIFS('Bank Lines'!$G$5:$G$1640,A270,'Bank Lines'!$J$5:$J$1640,1)</f>
        <v>1</v>
      </c>
      <c r="I270">
        <f>COUNTIFS('Odoo Items'!$J$5:$J$4331,A270)</f>
        <v>3</v>
      </c>
      <c r="J270" s="9">
        <f>ROUND(SUMIFS('Bank Lines'!$E$5:$E$1640,'Bank Lines'!$G$5:$G$1640,A270,'Bank Lines'!$J$5:$J$1640,1),2)</f>
        <v>882.66</v>
      </c>
      <c r="K270" s="9">
        <f>ROUND(SUMIFS('Odoo Items'!$G$5:$G$4331,'Odoo Items'!$J$5:$J$4331,A270),2)</f>
        <v>882.66</v>
      </c>
      <c r="L270" s="9">
        <f>ROUND(J270-K270,2)</f>
        <v>0</v>
      </c>
      <c r="M270" s="9">
        <f>ROUND(SUMIFS('Bank Lines'!$E$5:$E$1640,'Bank Lines'!$G$5:$G$1640,A270,'Bank Lines'!$J$5:$J$1640,1,'Bank Lines'!$C$5:$C$1640,"&lt;="&amp;Cover!$C$13),2)</f>
        <v>0</v>
      </c>
      <c r="N270" s="9">
        <f>ROUND(SUMIFS('Odoo Items'!$G$5:$G$4331,'Odoo Items'!$J$5:$J$4331,A270,'Odoo Items'!$C$5:$C$4331,"&lt;="&amp;Cover!$C$13),2)</f>
        <v>0</v>
      </c>
      <c r="O270">
        <f>COUNTIFS('Bank Lines'!$G$5:$G$1640,A270,'Bank Lines'!$J$5:$J$1640,1,'Bank Lines'!$C$5:$C$1640,"&lt;="&amp;Cover!$C$13)</f>
        <v>0</v>
      </c>
      <c r="P270">
        <f>COUNTIFS('Odoo Items'!$J$5:$J$4331,A270,'Odoo Items'!$C$5:$C$4331,"&lt;="&amp;Cover!$C$13)</f>
        <v>0</v>
      </c>
      <c r="Q270">
        <f>IF(AND(O270=0,P270=0),"",IF(O270=0,"ODOO-ONLY",IF(P270=0,"BANK-ONLY","BOTH")))</f>
      </c>
      <c r="R270" s="9">
        <f>IF(Q270="BOTH",ROUND(M270-N270,2),0)</f>
        <v>0</v>
      </c>
      <c r="S270" s="9">
        <f>ROUND(SUMIFS('Bank Lines'!$E$5:$E$1640,'Bank Lines'!$G$5:$G$1640,A270,'Bank Lines'!$J$5:$J$1640,1,'Bank Lines'!$C$5:$C$1640,"&lt;="&amp;Cover!$C$14),2)</f>
        <v>882.66</v>
      </c>
      <c r="T270" s="9">
        <f>ROUND(SUMIFS('Odoo Items'!$G$5:$G$4331,'Odoo Items'!$J$5:$J$4331,A270,'Odoo Items'!$C$5:$C$4331,"&lt;="&amp;Cover!$C$14),2)</f>
        <v>882.66</v>
      </c>
      <c r="U270">
        <f>COUNTIFS('Bank Lines'!$G$5:$G$1640,A270,'Bank Lines'!$J$5:$J$1640,1,'Bank Lines'!$C$5:$C$1640,"&lt;="&amp;Cover!$C$14)</f>
        <v>1</v>
      </c>
      <c r="V270">
        <f>COUNTIFS('Odoo Items'!$J$5:$J$4331,A270,'Odoo Items'!$C$5:$C$4331,"&lt;="&amp;Cover!$C$14)</f>
        <v>3</v>
      </c>
      <c r="W270" t="str">
        <f>IF(AND(U270=0,V270=0),"",IF(U270=0,"ODOO-ONLY",IF(V270=0,"BANK-ONLY","BOTH")))</f>
        <v>BOTH</v>
      </c>
      <c r="X270" s="9">
        <f>IF(W270="BOTH",ROUND(S270-T270,2),0)</f>
        <v>0</v>
      </c>
      <c r="Y270" s="9">
        <f>ROUND(SUMIFS('Bank Lines'!$E$5:$E$1640,'Bank Lines'!$G$5:$G$1640,A270,'Bank Lines'!$J$5:$J$1640,1,'Bank Lines'!$C$5:$C$1640,"&lt;="&amp;Cover!$C$15),2)</f>
        <v>882.66</v>
      </c>
      <c r="Z270" s="9">
        <f>ROUND(SUMIFS('Odoo Items'!$G$5:$G$4331,'Odoo Items'!$J$5:$J$4331,A270,'Odoo Items'!$C$5:$C$4331,"&lt;="&amp;Cover!$C$15),2)</f>
        <v>882.66</v>
      </c>
      <c r="AA270">
        <f>COUNTIFS('Bank Lines'!$G$5:$G$1640,A270,'Bank Lines'!$J$5:$J$1640,1,'Bank Lines'!$C$5:$C$1640,"&lt;="&amp;Cover!$C$15)</f>
        <v>1</v>
      </c>
      <c r="AB270">
        <f>COUNTIFS('Odoo Items'!$J$5:$J$4331,A270,'Odoo Items'!$C$5:$C$4331,"&lt;="&amp;Cover!$C$15)</f>
        <v>3</v>
      </c>
      <c r="AC270" t="str">
        <f>IF(AND(AA270=0,AB270=0),"",IF(AA270=0,"ODOO-ONLY",IF(AB270=0,"BANK-ONLY","BOTH")))</f>
        <v>BOTH</v>
      </c>
      <c r="AD270" s="9">
        <f>IF(AC270="BOTH",ROUND(Y270-Z270,2),0)</f>
        <v>0</v>
      </c>
    </row>
    <row r="271">
      <c r="A271" t="inlineStr">
        <is>
          <t>G00267</t>
        </is>
      </c>
      <c r="B271" t="inlineStr">
        <is>
          <t>OPS</t>
        </is>
      </c>
      <c r="C271" t="inlineStr">
        <is>
          <t>R03</t>
        </is>
      </c>
      <c r="D271" t="inlineStr">
        <is>
          <t>MATCH</t>
        </is>
      </c>
      <c r="E271" t="inlineStr">
        <is>
          <t>Bluegum Plan Management</t>
        </is>
      </c>
      <c r="F271" t="n">
        <v>1</v>
      </c>
      <c r="G271" t="inlineStr">
        <is>
          <t>3 invoices</t>
        </is>
      </c>
      <c r="H271">
        <f>COUNTIFS('Bank Lines'!$G$5:$G$1640,A271,'Bank Lines'!$J$5:$J$1640,1)</f>
        <v>1</v>
      </c>
      <c r="I271">
        <f>COUNTIFS('Odoo Items'!$J$5:$J$4331,A271)</f>
        <v>3</v>
      </c>
      <c r="J271" s="9">
        <f>ROUND(SUMIFS('Bank Lines'!$E$5:$E$1640,'Bank Lines'!$G$5:$G$1640,A271,'Bank Lines'!$J$5:$J$1640,1),2)</f>
        <v>737.16</v>
      </c>
      <c r="K271" s="9">
        <f>ROUND(SUMIFS('Odoo Items'!$G$5:$G$4331,'Odoo Items'!$J$5:$J$4331,A271),2)</f>
        <v>737.16</v>
      </c>
      <c r="L271" s="9">
        <f>ROUND(J271-K271,2)</f>
        <v>0</v>
      </c>
      <c r="M271" s="9">
        <f>ROUND(SUMIFS('Bank Lines'!$E$5:$E$1640,'Bank Lines'!$G$5:$G$1640,A271,'Bank Lines'!$J$5:$J$1640,1,'Bank Lines'!$C$5:$C$1640,"&lt;="&amp;Cover!$C$13),2)</f>
        <v>0</v>
      </c>
      <c r="N271" s="9">
        <f>ROUND(SUMIFS('Odoo Items'!$G$5:$G$4331,'Odoo Items'!$J$5:$J$4331,A271,'Odoo Items'!$C$5:$C$4331,"&lt;="&amp;Cover!$C$13),2)</f>
        <v>0</v>
      </c>
      <c r="O271">
        <f>COUNTIFS('Bank Lines'!$G$5:$G$1640,A271,'Bank Lines'!$J$5:$J$1640,1,'Bank Lines'!$C$5:$C$1640,"&lt;="&amp;Cover!$C$13)</f>
        <v>0</v>
      </c>
      <c r="P271">
        <f>COUNTIFS('Odoo Items'!$J$5:$J$4331,A271,'Odoo Items'!$C$5:$C$4331,"&lt;="&amp;Cover!$C$13)</f>
        <v>0</v>
      </c>
      <c r="Q271">
        <f>IF(AND(O271=0,P271=0),"",IF(O271=0,"ODOO-ONLY",IF(P271=0,"BANK-ONLY","BOTH")))</f>
      </c>
      <c r="R271" s="9">
        <f>IF(Q271="BOTH",ROUND(M271-N271,2),0)</f>
        <v>0</v>
      </c>
      <c r="S271" s="9">
        <f>ROUND(SUMIFS('Bank Lines'!$E$5:$E$1640,'Bank Lines'!$G$5:$G$1640,A271,'Bank Lines'!$J$5:$J$1640,1,'Bank Lines'!$C$5:$C$1640,"&lt;="&amp;Cover!$C$14),2)</f>
        <v>737.16</v>
      </c>
      <c r="T271" s="9">
        <f>ROUND(SUMIFS('Odoo Items'!$G$5:$G$4331,'Odoo Items'!$J$5:$J$4331,A271,'Odoo Items'!$C$5:$C$4331,"&lt;="&amp;Cover!$C$14),2)</f>
        <v>737.16</v>
      </c>
      <c r="U271">
        <f>COUNTIFS('Bank Lines'!$G$5:$G$1640,A271,'Bank Lines'!$J$5:$J$1640,1,'Bank Lines'!$C$5:$C$1640,"&lt;="&amp;Cover!$C$14)</f>
        <v>1</v>
      </c>
      <c r="V271">
        <f>COUNTIFS('Odoo Items'!$J$5:$J$4331,A271,'Odoo Items'!$C$5:$C$4331,"&lt;="&amp;Cover!$C$14)</f>
        <v>3</v>
      </c>
      <c r="W271" t="str">
        <f>IF(AND(U271=0,V271=0),"",IF(U271=0,"ODOO-ONLY",IF(V271=0,"BANK-ONLY","BOTH")))</f>
        <v>BOTH</v>
      </c>
      <c r="X271" s="9">
        <f>IF(W271="BOTH",ROUND(S271-T271,2),0)</f>
        <v>0</v>
      </c>
      <c r="Y271" s="9">
        <f>ROUND(SUMIFS('Bank Lines'!$E$5:$E$1640,'Bank Lines'!$G$5:$G$1640,A271,'Bank Lines'!$J$5:$J$1640,1,'Bank Lines'!$C$5:$C$1640,"&lt;="&amp;Cover!$C$15),2)</f>
        <v>737.16</v>
      </c>
      <c r="Z271" s="9">
        <f>ROUND(SUMIFS('Odoo Items'!$G$5:$G$4331,'Odoo Items'!$J$5:$J$4331,A271,'Odoo Items'!$C$5:$C$4331,"&lt;="&amp;Cover!$C$15),2)</f>
        <v>737.16</v>
      </c>
      <c r="AA271">
        <f>COUNTIFS('Bank Lines'!$G$5:$G$1640,A271,'Bank Lines'!$J$5:$J$1640,1,'Bank Lines'!$C$5:$C$1640,"&lt;="&amp;Cover!$C$15)</f>
        <v>1</v>
      </c>
      <c r="AB271">
        <f>COUNTIFS('Odoo Items'!$J$5:$J$4331,A271,'Odoo Items'!$C$5:$C$4331,"&lt;="&amp;Cover!$C$15)</f>
        <v>3</v>
      </c>
      <c r="AC271" t="str">
        <f>IF(AND(AA271=0,AB271=0),"",IF(AA271=0,"ODOO-ONLY",IF(AB271=0,"BANK-ONLY","BOTH")))</f>
        <v>BOTH</v>
      </c>
      <c r="AD271" s="9">
        <f>IF(AC271="BOTH",ROUND(Y271-Z271,2),0)</f>
        <v>0</v>
      </c>
    </row>
    <row r="272">
      <c r="A272" t="inlineStr">
        <is>
          <t>G00268</t>
        </is>
      </c>
      <c r="B272" t="inlineStr">
        <is>
          <t>OPS</t>
        </is>
      </c>
      <c r="C272" t="inlineStr">
        <is>
          <t>R03</t>
        </is>
      </c>
      <c r="D272" t="inlineStr">
        <is>
          <t>MATCH</t>
        </is>
      </c>
      <c r="E272" t="inlineStr">
        <is>
          <t>Riverbend Plan Partners</t>
        </is>
      </c>
      <c r="F272" t="n">
        <v>1</v>
      </c>
      <c r="G272" t="inlineStr">
        <is>
          <t>2 invoices</t>
        </is>
      </c>
      <c r="H272">
        <f>COUNTIFS('Bank Lines'!$G$5:$G$1640,A272,'Bank Lines'!$J$5:$J$1640,1)</f>
        <v>1</v>
      </c>
      <c r="I272">
        <f>COUNTIFS('Odoo Items'!$J$5:$J$4331,A272)</f>
        <v>2</v>
      </c>
      <c r="J272" s="9">
        <f>ROUND(SUMIFS('Bank Lines'!$E$5:$E$1640,'Bank Lines'!$G$5:$G$1640,A272,'Bank Lines'!$J$5:$J$1640,1),2)</f>
        <v>524.68</v>
      </c>
      <c r="K272" s="9">
        <f>ROUND(SUMIFS('Odoo Items'!$G$5:$G$4331,'Odoo Items'!$J$5:$J$4331,A272),2)</f>
        <v>524.68</v>
      </c>
      <c r="L272" s="9">
        <f>ROUND(J272-K272,2)</f>
        <v>0</v>
      </c>
      <c r="M272" s="9">
        <f>ROUND(SUMIFS('Bank Lines'!$E$5:$E$1640,'Bank Lines'!$G$5:$G$1640,A272,'Bank Lines'!$J$5:$J$1640,1,'Bank Lines'!$C$5:$C$1640,"&lt;="&amp;Cover!$C$13),2)</f>
        <v>0</v>
      </c>
      <c r="N272" s="9">
        <f>ROUND(SUMIFS('Odoo Items'!$G$5:$G$4331,'Odoo Items'!$J$5:$J$4331,A272,'Odoo Items'!$C$5:$C$4331,"&lt;="&amp;Cover!$C$13),2)</f>
        <v>0</v>
      </c>
      <c r="O272">
        <f>COUNTIFS('Bank Lines'!$G$5:$G$1640,A272,'Bank Lines'!$J$5:$J$1640,1,'Bank Lines'!$C$5:$C$1640,"&lt;="&amp;Cover!$C$13)</f>
        <v>0</v>
      </c>
      <c r="P272">
        <f>COUNTIFS('Odoo Items'!$J$5:$J$4331,A272,'Odoo Items'!$C$5:$C$4331,"&lt;="&amp;Cover!$C$13)</f>
        <v>0</v>
      </c>
      <c r="Q272">
        <f>IF(AND(O272=0,P272=0),"",IF(O272=0,"ODOO-ONLY",IF(P272=0,"BANK-ONLY","BOTH")))</f>
      </c>
      <c r="R272" s="9">
        <f>IF(Q272="BOTH",ROUND(M272-N272,2),0)</f>
        <v>0</v>
      </c>
      <c r="S272" s="9">
        <f>ROUND(SUMIFS('Bank Lines'!$E$5:$E$1640,'Bank Lines'!$G$5:$G$1640,A272,'Bank Lines'!$J$5:$J$1640,1,'Bank Lines'!$C$5:$C$1640,"&lt;="&amp;Cover!$C$14),2)</f>
        <v>524.68</v>
      </c>
      <c r="T272" s="9">
        <f>ROUND(SUMIFS('Odoo Items'!$G$5:$G$4331,'Odoo Items'!$J$5:$J$4331,A272,'Odoo Items'!$C$5:$C$4331,"&lt;="&amp;Cover!$C$14),2)</f>
        <v>524.68</v>
      </c>
      <c r="U272">
        <f>COUNTIFS('Bank Lines'!$G$5:$G$1640,A272,'Bank Lines'!$J$5:$J$1640,1,'Bank Lines'!$C$5:$C$1640,"&lt;="&amp;Cover!$C$14)</f>
        <v>1</v>
      </c>
      <c r="V272">
        <f>COUNTIFS('Odoo Items'!$J$5:$J$4331,A272,'Odoo Items'!$C$5:$C$4331,"&lt;="&amp;Cover!$C$14)</f>
        <v>2</v>
      </c>
      <c r="W272" t="str">
        <f>IF(AND(U272=0,V272=0),"",IF(U272=0,"ODOO-ONLY",IF(V272=0,"BANK-ONLY","BOTH")))</f>
        <v>BOTH</v>
      </c>
      <c r="X272" s="9">
        <f>IF(W272="BOTH",ROUND(S272-T272,2),0)</f>
        <v>0</v>
      </c>
      <c r="Y272" s="9">
        <f>ROUND(SUMIFS('Bank Lines'!$E$5:$E$1640,'Bank Lines'!$G$5:$G$1640,A272,'Bank Lines'!$J$5:$J$1640,1,'Bank Lines'!$C$5:$C$1640,"&lt;="&amp;Cover!$C$15),2)</f>
        <v>524.68</v>
      </c>
      <c r="Z272" s="9">
        <f>ROUND(SUMIFS('Odoo Items'!$G$5:$G$4331,'Odoo Items'!$J$5:$J$4331,A272,'Odoo Items'!$C$5:$C$4331,"&lt;="&amp;Cover!$C$15),2)</f>
        <v>524.68</v>
      </c>
      <c r="AA272">
        <f>COUNTIFS('Bank Lines'!$G$5:$G$1640,A272,'Bank Lines'!$J$5:$J$1640,1,'Bank Lines'!$C$5:$C$1640,"&lt;="&amp;Cover!$C$15)</f>
        <v>1</v>
      </c>
      <c r="AB272">
        <f>COUNTIFS('Odoo Items'!$J$5:$J$4331,A272,'Odoo Items'!$C$5:$C$4331,"&lt;="&amp;Cover!$C$15)</f>
        <v>2</v>
      </c>
      <c r="AC272" t="str">
        <f>IF(AND(AA272=0,AB272=0),"",IF(AA272=0,"ODOO-ONLY",IF(AB272=0,"BANK-ONLY","BOTH")))</f>
        <v>BOTH</v>
      </c>
      <c r="AD272" s="9">
        <f>IF(AC272="BOTH",ROUND(Y272-Z272,2),0)</f>
        <v>0</v>
      </c>
    </row>
    <row r="273">
      <c r="A273" t="inlineStr">
        <is>
          <t>G00269</t>
        </is>
      </c>
      <c r="B273" t="inlineStr">
        <is>
          <t>OPS</t>
        </is>
      </c>
      <c r="C273" t="inlineStr">
        <is>
          <t>R03</t>
        </is>
      </c>
      <c r="D273" t="inlineStr">
        <is>
          <t>MATCH</t>
        </is>
      </c>
      <c r="E273" t="inlineStr">
        <is>
          <t>Clearpath NDIS Plans</t>
        </is>
      </c>
      <c r="F273" t="n">
        <v>1</v>
      </c>
      <c r="G273" t="inlineStr">
        <is>
          <t>1 invoices</t>
        </is>
      </c>
      <c r="H273">
        <f>COUNTIFS('Bank Lines'!$G$5:$G$1640,A273,'Bank Lines'!$J$5:$J$1640,1)</f>
        <v>1</v>
      </c>
      <c r="I273">
        <f>COUNTIFS('Odoo Items'!$J$5:$J$4331,A273)</f>
        <v>1</v>
      </c>
      <c r="J273" s="9">
        <f>ROUND(SUMIFS('Bank Lines'!$E$5:$E$1640,'Bank Lines'!$G$5:$G$1640,A273,'Bank Lines'!$J$5:$J$1640,1),2)</f>
        <v>290.98</v>
      </c>
      <c r="K273" s="9">
        <f>ROUND(SUMIFS('Odoo Items'!$G$5:$G$4331,'Odoo Items'!$J$5:$J$4331,A273),2)</f>
        <v>290.98</v>
      </c>
      <c r="L273" s="9">
        <f>ROUND(J273-K273,2)</f>
        <v>0</v>
      </c>
      <c r="M273" s="9">
        <f>ROUND(SUMIFS('Bank Lines'!$E$5:$E$1640,'Bank Lines'!$G$5:$G$1640,A273,'Bank Lines'!$J$5:$J$1640,1,'Bank Lines'!$C$5:$C$1640,"&lt;="&amp;Cover!$C$13),2)</f>
        <v>0</v>
      </c>
      <c r="N273" s="9">
        <f>ROUND(SUMIFS('Odoo Items'!$G$5:$G$4331,'Odoo Items'!$J$5:$J$4331,A273,'Odoo Items'!$C$5:$C$4331,"&lt;="&amp;Cover!$C$13),2)</f>
        <v>0</v>
      </c>
      <c r="O273">
        <f>COUNTIFS('Bank Lines'!$G$5:$G$1640,A273,'Bank Lines'!$J$5:$J$1640,1,'Bank Lines'!$C$5:$C$1640,"&lt;="&amp;Cover!$C$13)</f>
        <v>0</v>
      </c>
      <c r="P273">
        <f>COUNTIFS('Odoo Items'!$J$5:$J$4331,A273,'Odoo Items'!$C$5:$C$4331,"&lt;="&amp;Cover!$C$13)</f>
        <v>0</v>
      </c>
      <c r="Q273">
        <f>IF(AND(O273=0,P273=0),"",IF(O273=0,"ODOO-ONLY",IF(P273=0,"BANK-ONLY","BOTH")))</f>
      </c>
      <c r="R273" s="9">
        <f>IF(Q273="BOTH",ROUND(M273-N273,2),0)</f>
        <v>0</v>
      </c>
      <c r="S273" s="9">
        <f>ROUND(SUMIFS('Bank Lines'!$E$5:$E$1640,'Bank Lines'!$G$5:$G$1640,A273,'Bank Lines'!$J$5:$J$1640,1,'Bank Lines'!$C$5:$C$1640,"&lt;="&amp;Cover!$C$14),2)</f>
        <v>290.98</v>
      </c>
      <c r="T273" s="9">
        <f>ROUND(SUMIFS('Odoo Items'!$G$5:$G$4331,'Odoo Items'!$J$5:$J$4331,A273,'Odoo Items'!$C$5:$C$4331,"&lt;="&amp;Cover!$C$14),2)</f>
        <v>290.98</v>
      </c>
      <c r="U273">
        <f>COUNTIFS('Bank Lines'!$G$5:$G$1640,A273,'Bank Lines'!$J$5:$J$1640,1,'Bank Lines'!$C$5:$C$1640,"&lt;="&amp;Cover!$C$14)</f>
        <v>1</v>
      </c>
      <c r="V273">
        <f>COUNTIFS('Odoo Items'!$J$5:$J$4331,A273,'Odoo Items'!$C$5:$C$4331,"&lt;="&amp;Cover!$C$14)</f>
        <v>1</v>
      </c>
      <c r="W273" t="str">
        <f>IF(AND(U273=0,V273=0),"",IF(U273=0,"ODOO-ONLY",IF(V273=0,"BANK-ONLY","BOTH")))</f>
        <v>BOTH</v>
      </c>
      <c r="X273" s="9">
        <f>IF(W273="BOTH",ROUND(S273-T273,2),0)</f>
        <v>0</v>
      </c>
      <c r="Y273" s="9">
        <f>ROUND(SUMIFS('Bank Lines'!$E$5:$E$1640,'Bank Lines'!$G$5:$G$1640,A273,'Bank Lines'!$J$5:$J$1640,1,'Bank Lines'!$C$5:$C$1640,"&lt;="&amp;Cover!$C$15),2)</f>
        <v>290.98</v>
      </c>
      <c r="Z273" s="9">
        <f>ROUND(SUMIFS('Odoo Items'!$G$5:$G$4331,'Odoo Items'!$J$5:$J$4331,A273,'Odoo Items'!$C$5:$C$4331,"&lt;="&amp;Cover!$C$15),2)</f>
        <v>290.98</v>
      </c>
      <c r="AA273">
        <f>COUNTIFS('Bank Lines'!$G$5:$G$1640,A273,'Bank Lines'!$J$5:$J$1640,1,'Bank Lines'!$C$5:$C$1640,"&lt;="&amp;Cover!$C$15)</f>
        <v>1</v>
      </c>
      <c r="AB273">
        <f>COUNTIFS('Odoo Items'!$J$5:$J$4331,A273,'Odoo Items'!$C$5:$C$4331,"&lt;="&amp;Cover!$C$15)</f>
        <v>1</v>
      </c>
      <c r="AC273" t="str">
        <f>IF(AND(AA273=0,AB273=0),"",IF(AA273=0,"ODOO-ONLY",IF(AB273=0,"BANK-ONLY","BOTH")))</f>
        <v>BOTH</v>
      </c>
      <c r="AD273" s="9">
        <f>IF(AC273="BOTH",ROUND(Y273-Z273,2),0)</f>
        <v>0</v>
      </c>
    </row>
    <row r="274">
      <c r="A274" t="inlineStr">
        <is>
          <t>G00270</t>
        </is>
      </c>
      <c r="B274" t="inlineStr">
        <is>
          <t>OPS</t>
        </is>
      </c>
      <c r="C274" t="inlineStr">
        <is>
          <t>R03</t>
        </is>
      </c>
      <c r="D274" t="inlineStr">
        <is>
          <t>MATCH</t>
        </is>
      </c>
      <c r="E274" t="inlineStr">
        <is>
          <t>Banksia Plan Co</t>
        </is>
      </c>
      <c r="F274" t="n">
        <v>1</v>
      </c>
      <c r="G274" t="inlineStr">
        <is>
          <t>5 invoices</t>
        </is>
      </c>
      <c r="H274">
        <f>COUNTIFS('Bank Lines'!$G$5:$G$1640,A274,'Bank Lines'!$J$5:$J$1640,1)</f>
        <v>1</v>
      </c>
      <c r="I274">
        <f>COUNTIFS('Odoo Items'!$J$5:$J$4331,A274)</f>
        <v>5</v>
      </c>
      <c r="J274" s="9">
        <f>ROUND(SUMIFS('Bank Lines'!$E$5:$E$1640,'Bank Lines'!$G$5:$G$1640,A274,'Bank Lines'!$J$5:$J$1640,1),2)</f>
        <v>902.95</v>
      </c>
      <c r="K274" s="9">
        <f>ROUND(SUMIFS('Odoo Items'!$G$5:$G$4331,'Odoo Items'!$J$5:$J$4331,A274),2)</f>
        <v>902.95</v>
      </c>
      <c r="L274" s="9">
        <f>ROUND(J274-K274,2)</f>
        <v>0</v>
      </c>
      <c r="M274" s="9">
        <f>ROUND(SUMIFS('Bank Lines'!$E$5:$E$1640,'Bank Lines'!$G$5:$G$1640,A274,'Bank Lines'!$J$5:$J$1640,1,'Bank Lines'!$C$5:$C$1640,"&lt;="&amp;Cover!$C$13),2)</f>
        <v>0</v>
      </c>
      <c r="N274" s="9">
        <f>ROUND(SUMIFS('Odoo Items'!$G$5:$G$4331,'Odoo Items'!$J$5:$J$4331,A274,'Odoo Items'!$C$5:$C$4331,"&lt;="&amp;Cover!$C$13),2)</f>
        <v>0</v>
      </c>
      <c r="O274">
        <f>COUNTIFS('Bank Lines'!$G$5:$G$1640,A274,'Bank Lines'!$J$5:$J$1640,1,'Bank Lines'!$C$5:$C$1640,"&lt;="&amp;Cover!$C$13)</f>
        <v>0</v>
      </c>
      <c r="P274">
        <f>COUNTIFS('Odoo Items'!$J$5:$J$4331,A274,'Odoo Items'!$C$5:$C$4331,"&lt;="&amp;Cover!$C$13)</f>
        <v>0</v>
      </c>
      <c r="Q274">
        <f>IF(AND(O274=0,P274=0),"",IF(O274=0,"ODOO-ONLY",IF(P274=0,"BANK-ONLY","BOTH")))</f>
      </c>
      <c r="R274" s="9">
        <f>IF(Q274="BOTH",ROUND(M274-N274,2),0)</f>
        <v>0</v>
      </c>
      <c r="S274" s="9">
        <f>ROUND(SUMIFS('Bank Lines'!$E$5:$E$1640,'Bank Lines'!$G$5:$G$1640,A274,'Bank Lines'!$J$5:$J$1640,1,'Bank Lines'!$C$5:$C$1640,"&lt;="&amp;Cover!$C$14),2)</f>
        <v>902.95</v>
      </c>
      <c r="T274" s="9">
        <f>ROUND(SUMIFS('Odoo Items'!$G$5:$G$4331,'Odoo Items'!$J$5:$J$4331,A274,'Odoo Items'!$C$5:$C$4331,"&lt;="&amp;Cover!$C$14),2)</f>
        <v>902.95</v>
      </c>
      <c r="U274">
        <f>COUNTIFS('Bank Lines'!$G$5:$G$1640,A274,'Bank Lines'!$J$5:$J$1640,1,'Bank Lines'!$C$5:$C$1640,"&lt;="&amp;Cover!$C$14)</f>
        <v>1</v>
      </c>
      <c r="V274">
        <f>COUNTIFS('Odoo Items'!$J$5:$J$4331,A274,'Odoo Items'!$C$5:$C$4331,"&lt;="&amp;Cover!$C$14)</f>
        <v>5</v>
      </c>
      <c r="W274" t="str">
        <f>IF(AND(U274=0,V274=0),"",IF(U274=0,"ODOO-ONLY",IF(V274=0,"BANK-ONLY","BOTH")))</f>
        <v>BOTH</v>
      </c>
      <c r="X274" s="9">
        <f>IF(W274="BOTH",ROUND(S274-T274,2),0)</f>
        <v>0</v>
      </c>
      <c r="Y274" s="9">
        <f>ROUND(SUMIFS('Bank Lines'!$E$5:$E$1640,'Bank Lines'!$G$5:$G$1640,A274,'Bank Lines'!$J$5:$J$1640,1,'Bank Lines'!$C$5:$C$1640,"&lt;="&amp;Cover!$C$15),2)</f>
        <v>902.95</v>
      </c>
      <c r="Z274" s="9">
        <f>ROUND(SUMIFS('Odoo Items'!$G$5:$G$4331,'Odoo Items'!$J$5:$J$4331,A274,'Odoo Items'!$C$5:$C$4331,"&lt;="&amp;Cover!$C$15),2)</f>
        <v>902.95</v>
      </c>
      <c r="AA274">
        <f>COUNTIFS('Bank Lines'!$G$5:$G$1640,A274,'Bank Lines'!$J$5:$J$1640,1,'Bank Lines'!$C$5:$C$1640,"&lt;="&amp;Cover!$C$15)</f>
        <v>1</v>
      </c>
      <c r="AB274">
        <f>COUNTIFS('Odoo Items'!$J$5:$J$4331,A274,'Odoo Items'!$C$5:$C$4331,"&lt;="&amp;Cover!$C$15)</f>
        <v>5</v>
      </c>
      <c r="AC274" t="str">
        <f>IF(AND(AA274=0,AB274=0),"",IF(AA274=0,"ODOO-ONLY",IF(AB274=0,"BANK-ONLY","BOTH")))</f>
        <v>BOTH</v>
      </c>
      <c r="AD274" s="9">
        <f>IF(AC274="BOTH",ROUND(Y274-Z274,2),0)</f>
        <v>0</v>
      </c>
    </row>
    <row r="275">
      <c r="A275" t="inlineStr">
        <is>
          <t>G00271</t>
        </is>
      </c>
      <c r="B275" t="inlineStr">
        <is>
          <t>OPS</t>
        </is>
      </c>
      <c r="C275" t="inlineStr">
        <is>
          <t>R03</t>
        </is>
      </c>
      <c r="D275" t="inlineStr">
        <is>
          <t>MATCH</t>
        </is>
      </c>
      <c r="E275" t="inlineStr">
        <is>
          <t>Kookaburra Plan Support</t>
        </is>
      </c>
      <c r="F275" t="n">
        <v>1</v>
      </c>
      <c r="G275" t="inlineStr">
        <is>
          <t>2 invoices</t>
        </is>
      </c>
      <c r="H275">
        <f>COUNTIFS('Bank Lines'!$G$5:$G$1640,A275,'Bank Lines'!$J$5:$J$1640,1)</f>
        <v>1</v>
      </c>
      <c r="I275">
        <f>COUNTIFS('Odoo Items'!$J$5:$J$4331,A275)</f>
        <v>2</v>
      </c>
      <c r="J275" s="9">
        <f>ROUND(SUMIFS('Bank Lines'!$E$5:$E$1640,'Bank Lines'!$G$5:$G$1640,A275,'Bank Lines'!$J$5:$J$1640,1),2)</f>
        <v>533.47</v>
      </c>
      <c r="K275" s="9">
        <f>ROUND(SUMIFS('Odoo Items'!$G$5:$G$4331,'Odoo Items'!$J$5:$J$4331,A275),2)</f>
        <v>533.47</v>
      </c>
      <c r="L275" s="9">
        <f>ROUND(J275-K275,2)</f>
        <v>0</v>
      </c>
      <c r="M275" s="9">
        <f>ROUND(SUMIFS('Bank Lines'!$E$5:$E$1640,'Bank Lines'!$G$5:$G$1640,A275,'Bank Lines'!$J$5:$J$1640,1,'Bank Lines'!$C$5:$C$1640,"&lt;="&amp;Cover!$C$13),2)</f>
        <v>0</v>
      </c>
      <c r="N275" s="9">
        <f>ROUND(SUMIFS('Odoo Items'!$G$5:$G$4331,'Odoo Items'!$J$5:$J$4331,A275,'Odoo Items'!$C$5:$C$4331,"&lt;="&amp;Cover!$C$13),2)</f>
        <v>0</v>
      </c>
      <c r="O275">
        <f>COUNTIFS('Bank Lines'!$G$5:$G$1640,A275,'Bank Lines'!$J$5:$J$1640,1,'Bank Lines'!$C$5:$C$1640,"&lt;="&amp;Cover!$C$13)</f>
        <v>0</v>
      </c>
      <c r="P275">
        <f>COUNTIFS('Odoo Items'!$J$5:$J$4331,A275,'Odoo Items'!$C$5:$C$4331,"&lt;="&amp;Cover!$C$13)</f>
        <v>0</v>
      </c>
      <c r="Q275">
        <f>IF(AND(O275=0,P275=0),"",IF(O275=0,"ODOO-ONLY",IF(P275=0,"BANK-ONLY","BOTH")))</f>
      </c>
      <c r="R275" s="9">
        <f>IF(Q275="BOTH",ROUND(M275-N275,2),0)</f>
        <v>0</v>
      </c>
      <c r="S275" s="9">
        <f>ROUND(SUMIFS('Bank Lines'!$E$5:$E$1640,'Bank Lines'!$G$5:$G$1640,A275,'Bank Lines'!$J$5:$J$1640,1,'Bank Lines'!$C$5:$C$1640,"&lt;="&amp;Cover!$C$14),2)</f>
        <v>533.47</v>
      </c>
      <c r="T275" s="9">
        <f>ROUND(SUMIFS('Odoo Items'!$G$5:$G$4331,'Odoo Items'!$J$5:$J$4331,A275,'Odoo Items'!$C$5:$C$4331,"&lt;="&amp;Cover!$C$14),2)</f>
        <v>533.47</v>
      </c>
      <c r="U275">
        <f>COUNTIFS('Bank Lines'!$G$5:$G$1640,A275,'Bank Lines'!$J$5:$J$1640,1,'Bank Lines'!$C$5:$C$1640,"&lt;="&amp;Cover!$C$14)</f>
        <v>1</v>
      </c>
      <c r="V275">
        <f>COUNTIFS('Odoo Items'!$J$5:$J$4331,A275,'Odoo Items'!$C$5:$C$4331,"&lt;="&amp;Cover!$C$14)</f>
        <v>2</v>
      </c>
      <c r="W275" t="str">
        <f>IF(AND(U275=0,V275=0),"",IF(U275=0,"ODOO-ONLY",IF(V275=0,"BANK-ONLY","BOTH")))</f>
        <v>BOTH</v>
      </c>
      <c r="X275" s="9">
        <f>IF(W275="BOTH",ROUND(S275-T275,2),0)</f>
        <v>0</v>
      </c>
      <c r="Y275" s="9">
        <f>ROUND(SUMIFS('Bank Lines'!$E$5:$E$1640,'Bank Lines'!$G$5:$G$1640,A275,'Bank Lines'!$J$5:$J$1640,1,'Bank Lines'!$C$5:$C$1640,"&lt;="&amp;Cover!$C$15),2)</f>
        <v>533.47</v>
      </c>
      <c r="Z275" s="9">
        <f>ROUND(SUMIFS('Odoo Items'!$G$5:$G$4331,'Odoo Items'!$J$5:$J$4331,A275,'Odoo Items'!$C$5:$C$4331,"&lt;="&amp;Cover!$C$15),2)</f>
        <v>533.47</v>
      </c>
      <c r="AA275">
        <f>COUNTIFS('Bank Lines'!$G$5:$G$1640,A275,'Bank Lines'!$J$5:$J$1640,1,'Bank Lines'!$C$5:$C$1640,"&lt;="&amp;Cover!$C$15)</f>
        <v>1</v>
      </c>
      <c r="AB275">
        <f>COUNTIFS('Odoo Items'!$J$5:$J$4331,A275,'Odoo Items'!$C$5:$C$4331,"&lt;="&amp;Cover!$C$15)</f>
        <v>2</v>
      </c>
      <c r="AC275" t="str">
        <f>IF(AND(AA275=0,AB275=0),"",IF(AA275=0,"ODOO-ONLY",IF(AB275=0,"BANK-ONLY","BOTH")))</f>
        <v>BOTH</v>
      </c>
      <c r="AD275" s="9">
        <f>IF(AC275="BOTH",ROUND(Y275-Z275,2),0)</f>
        <v>0</v>
      </c>
    </row>
    <row r="276">
      <c r="A276" t="inlineStr">
        <is>
          <t>G00272</t>
        </is>
      </c>
      <c r="B276" t="inlineStr">
        <is>
          <t>OPS</t>
        </is>
      </c>
      <c r="C276" t="inlineStr">
        <is>
          <t>R03</t>
        </is>
      </c>
      <c r="D276" t="inlineStr">
        <is>
          <t>MATCH</t>
        </is>
      </c>
      <c r="E276" t="inlineStr">
        <is>
          <t>Acacia Plan Partners</t>
        </is>
      </c>
      <c r="F276" t="n">
        <v>1</v>
      </c>
      <c r="G276" t="inlineStr">
        <is>
          <t>1 invoices</t>
        </is>
      </c>
      <c r="H276">
        <f>COUNTIFS('Bank Lines'!$G$5:$G$1640,A276,'Bank Lines'!$J$5:$J$1640,1)</f>
        <v>1</v>
      </c>
      <c r="I276">
        <f>COUNTIFS('Odoo Items'!$J$5:$J$4331,A276)</f>
        <v>1</v>
      </c>
      <c r="J276" s="9">
        <f>ROUND(SUMIFS('Bank Lines'!$E$5:$E$1640,'Bank Lines'!$G$5:$G$1640,A276,'Bank Lines'!$J$5:$J$1640,1),2)</f>
        <v>175.49</v>
      </c>
      <c r="K276" s="9">
        <f>ROUND(SUMIFS('Odoo Items'!$G$5:$G$4331,'Odoo Items'!$J$5:$J$4331,A276),2)</f>
        <v>175.49</v>
      </c>
      <c r="L276" s="9">
        <f>ROUND(J276-K276,2)</f>
        <v>0</v>
      </c>
      <c r="M276" s="9">
        <f>ROUND(SUMIFS('Bank Lines'!$E$5:$E$1640,'Bank Lines'!$G$5:$G$1640,A276,'Bank Lines'!$J$5:$J$1640,1,'Bank Lines'!$C$5:$C$1640,"&lt;="&amp;Cover!$C$13),2)</f>
        <v>0</v>
      </c>
      <c r="N276" s="9">
        <f>ROUND(SUMIFS('Odoo Items'!$G$5:$G$4331,'Odoo Items'!$J$5:$J$4331,A276,'Odoo Items'!$C$5:$C$4331,"&lt;="&amp;Cover!$C$13),2)</f>
        <v>0</v>
      </c>
      <c r="O276">
        <f>COUNTIFS('Bank Lines'!$G$5:$G$1640,A276,'Bank Lines'!$J$5:$J$1640,1,'Bank Lines'!$C$5:$C$1640,"&lt;="&amp;Cover!$C$13)</f>
        <v>0</v>
      </c>
      <c r="P276">
        <f>COUNTIFS('Odoo Items'!$J$5:$J$4331,A276,'Odoo Items'!$C$5:$C$4331,"&lt;="&amp;Cover!$C$13)</f>
        <v>0</v>
      </c>
      <c r="Q276">
        <f>IF(AND(O276=0,P276=0),"",IF(O276=0,"ODOO-ONLY",IF(P276=0,"BANK-ONLY","BOTH")))</f>
      </c>
      <c r="R276" s="9">
        <f>IF(Q276="BOTH",ROUND(M276-N276,2),0)</f>
        <v>0</v>
      </c>
      <c r="S276" s="9">
        <f>ROUND(SUMIFS('Bank Lines'!$E$5:$E$1640,'Bank Lines'!$G$5:$G$1640,A276,'Bank Lines'!$J$5:$J$1640,1,'Bank Lines'!$C$5:$C$1640,"&lt;="&amp;Cover!$C$14),2)</f>
        <v>175.49</v>
      </c>
      <c r="T276" s="9">
        <f>ROUND(SUMIFS('Odoo Items'!$G$5:$G$4331,'Odoo Items'!$J$5:$J$4331,A276,'Odoo Items'!$C$5:$C$4331,"&lt;="&amp;Cover!$C$14),2)</f>
        <v>175.49</v>
      </c>
      <c r="U276">
        <f>COUNTIFS('Bank Lines'!$G$5:$G$1640,A276,'Bank Lines'!$J$5:$J$1640,1,'Bank Lines'!$C$5:$C$1640,"&lt;="&amp;Cover!$C$14)</f>
        <v>1</v>
      </c>
      <c r="V276">
        <f>COUNTIFS('Odoo Items'!$J$5:$J$4331,A276,'Odoo Items'!$C$5:$C$4331,"&lt;="&amp;Cover!$C$14)</f>
        <v>1</v>
      </c>
      <c r="W276" t="str">
        <f>IF(AND(U276=0,V276=0),"",IF(U276=0,"ODOO-ONLY",IF(V276=0,"BANK-ONLY","BOTH")))</f>
        <v>BOTH</v>
      </c>
      <c r="X276" s="9">
        <f>IF(W276="BOTH",ROUND(S276-T276,2),0)</f>
        <v>0</v>
      </c>
      <c r="Y276" s="9">
        <f>ROUND(SUMIFS('Bank Lines'!$E$5:$E$1640,'Bank Lines'!$G$5:$G$1640,A276,'Bank Lines'!$J$5:$J$1640,1,'Bank Lines'!$C$5:$C$1640,"&lt;="&amp;Cover!$C$15),2)</f>
        <v>175.49</v>
      </c>
      <c r="Z276" s="9">
        <f>ROUND(SUMIFS('Odoo Items'!$G$5:$G$4331,'Odoo Items'!$J$5:$J$4331,A276,'Odoo Items'!$C$5:$C$4331,"&lt;="&amp;Cover!$C$15),2)</f>
        <v>175.49</v>
      </c>
      <c r="AA276">
        <f>COUNTIFS('Bank Lines'!$G$5:$G$1640,A276,'Bank Lines'!$J$5:$J$1640,1,'Bank Lines'!$C$5:$C$1640,"&lt;="&amp;Cover!$C$15)</f>
        <v>1</v>
      </c>
      <c r="AB276">
        <f>COUNTIFS('Odoo Items'!$J$5:$J$4331,A276,'Odoo Items'!$C$5:$C$4331,"&lt;="&amp;Cover!$C$15)</f>
        <v>1</v>
      </c>
      <c r="AC276" t="str">
        <f>IF(AND(AA276=0,AB276=0),"",IF(AA276=0,"ODOO-ONLY",IF(AB276=0,"BANK-ONLY","BOTH")))</f>
        <v>BOTH</v>
      </c>
      <c r="AD276" s="9">
        <f>IF(AC276="BOTH",ROUND(Y276-Z276,2),0)</f>
        <v>0</v>
      </c>
    </row>
    <row r="277">
      <c r="A277" t="inlineStr">
        <is>
          <t>G00273</t>
        </is>
      </c>
      <c r="B277" t="inlineStr">
        <is>
          <t>OPS</t>
        </is>
      </c>
      <c r="C277" t="inlineStr">
        <is>
          <t>R03</t>
        </is>
      </c>
      <c r="D277" t="inlineStr">
        <is>
          <t>MATCH</t>
        </is>
      </c>
      <c r="E277" t="inlineStr">
        <is>
          <t>Mallee Plan Services</t>
        </is>
      </c>
      <c r="F277" t="n">
        <v>1</v>
      </c>
      <c r="G277" t="inlineStr">
        <is>
          <t>1 invoices</t>
        </is>
      </c>
      <c r="H277">
        <f>COUNTIFS('Bank Lines'!$G$5:$G$1640,A277,'Bank Lines'!$J$5:$J$1640,1)</f>
        <v>1</v>
      </c>
      <c r="I277">
        <f>COUNTIFS('Odoo Items'!$J$5:$J$4331,A277)</f>
        <v>1</v>
      </c>
      <c r="J277" s="9">
        <f>ROUND(SUMIFS('Bank Lines'!$E$5:$E$1640,'Bank Lines'!$G$5:$G$1640,A277,'Bank Lines'!$J$5:$J$1640,1),2)</f>
        <v>193.99</v>
      </c>
      <c r="K277" s="9">
        <f>ROUND(SUMIFS('Odoo Items'!$G$5:$G$4331,'Odoo Items'!$J$5:$J$4331,A277),2)</f>
        <v>193.99</v>
      </c>
      <c r="L277" s="9">
        <f>ROUND(J277-K277,2)</f>
        <v>0</v>
      </c>
      <c r="M277" s="9">
        <f>ROUND(SUMIFS('Bank Lines'!$E$5:$E$1640,'Bank Lines'!$G$5:$G$1640,A277,'Bank Lines'!$J$5:$J$1640,1,'Bank Lines'!$C$5:$C$1640,"&lt;="&amp;Cover!$C$13),2)</f>
        <v>0</v>
      </c>
      <c r="N277" s="9">
        <f>ROUND(SUMIFS('Odoo Items'!$G$5:$G$4331,'Odoo Items'!$J$5:$J$4331,A277,'Odoo Items'!$C$5:$C$4331,"&lt;="&amp;Cover!$C$13),2)</f>
        <v>0</v>
      </c>
      <c r="O277">
        <f>COUNTIFS('Bank Lines'!$G$5:$G$1640,A277,'Bank Lines'!$J$5:$J$1640,1,'Bank Lines'!$C$5:$C$1640,"&lt;="&amp;Cover!$C$13)</f>
        <v>0</v>
      </c>
      <c r="P277">
        <f>COUNTIFS('Odoo Items'!$J$5:$J$4331,A277,'Odoo Items'!$C$5:$C$4331,"&lt;="&amp;Cover!$C$13)</f>
        <v>0</v>
      </c>
      <c r="Q277">
        <f>IF(AND(O277=0,P277=0),"",IF(O277=0,"ODOO-ONLY",IF(P277=0,"BANK-ONLY","BOTH")))</f>
      </c>
      <c r="R277" s="9">
        <f>IF(Q277="BOTH",ROUND(M277-N277,2),0)</f>
        <v>0</v>
      </c>
      <c r="S277" s="9">
        <f>ROUND(SUMIFS('Bank Lines'!$E$5:$E$1640,'Bank Lines'!$G$5:$G$1640,A277,'Bank Lines'!$J$5:$J$1640,1,'Bank Lines'!$C$5:$C$1640,"&lt;="&amp;Cover!$C$14),2)</f>
        <v>193.99</v>
      </c>
      <c r="T277" s="9">
        <f>ROUND(SUMIFS('Odoo Items'!$G$5:$G$4331,'Odoo Items'!$J$5:$J$4331,A277,'Odoo Items'!$C$5:$C$4331,"&lt;="&amp;Cover!$C$14),2)</f>
        <v>193.99</v>
      </c>
      <c r="U277">
        <f>COUNTIFS('Bank Lines'!$G$5:$G$1640,A277,'Bank Lines'!$J$5:$J$1640,1,'Bank Lines'!$C$5:$C$1640,"&lt;="&amp;Cover!$C$14)</f>
        <v>1</v>
      </c>
      <c r="V277">
        <f>COUNTIFS('Odoo Items'!$J$5:$J$4331,A277,'Odoo Items'!$C$5:$C$4331,"&lt;="&amp;Cover!$C$14)</f>
        <v>1</v>
      </c>
      <c r="W277" t="str">
        <f>IF(AND(U277=0,V277=0),"",IF(U277=0,"ODOO-ONLY",IF(V277=0,"BANK-ONLY","BOTH")))</f>
        <v>BOTH</v>
      </c>
      <c r="X277" s="9">
        <f>IF(W277="BOTH",ROUND(S277-T277,2),0)</f>
        <v>0</v>
      </c>
      <c r="Y277" s="9">
        <f>ROUND(SUMIFS('Bank Lines'!$E$5:$E$1640,'Bank Lines'!$G$5:$G$1640,A277,'Bank Lines'!$J$5:$J$1640,1,'Bank Lines'!$C$5:$C$1640,"&lt;="&amp;Cover!$C$15),2)</f>
        <v>193.99</v>
      </c>
      <c r="Z277" s="9">
        <f>ROUND(SUMIFS('Odoo Items'!$G$5:$G$4331,'Odoo Items'!$J$5:$J$4331,A277,'Odoo Items'!$C$5:$C$4331,"&lt;="&amp;Cover!$C$15),2)</f>
        <v>193.99</v>
      </c>
      <c r="AA277">
        <f>COUNTIFS('Bank Lines'!$G$5:$G$1640,A277,'Bank Lines'!$J$5:$J$1640,1,'Bank Lines'!$C$5:$C$1640,"&lt;="&amp;Cover!$C$15)</f>
        <v>1</v>
      </c>
      <c r="AB277">
        <f>COUNTIFS('Odoo Items'!$J$5:$J$4331,A277,'Odoo Items'!$C$5:$C$4331,"&lt;="&amp;Cover!$C$15)</f>
        <v>1</v>
      </c>
      <c r="AC277" t="str">
        <f>IF(AND(AA277=0,AB277=0),"",IF(AA277=0,"ODOO-ONLY",IF(AB277=0,"BANK-ONLY","BOTH")))</f>
        <v>BOTH</v>
      </c>
      <c r="AD277" s="9">
        <f>IF(AC277="BOTH",ROUND(Y277-Z277,2),0)</f>
        <v>0</v>
      </c>
    </row>
    <row r="278">
      <c r="A278" t="inlineStr">
        <is>
          <t>G00274</t>
        </is>
      </c>
      <c r="B278" t="inlineStr">
        <is>
          <t>OPS</t>
        </is>
      </c>
      <c r="C278" t="inlineStr">
        <is>
          <t>R03</t>
        </is>
      </c>
      <c r="D278" t="inlineStr">
        <is>
          <t>MATCH</t>
        </is>
      </c>
      <c r="E278" t="inlineStr">
        <is>
          <t>Riverbend Plan Partners</t>
        </is>
      </c>
      <c r="F278" t="n">
        <v>1</v>
      </c>
      <c r="G278" t="inlineStr">
        <is>
          <t>3 invoices</t>
        </is>
      </c>
      <c r="H278">
        <f>COUNTIFS('Bank Lines'!$G$5:$G$1640,A278,'Bank Lines'!$J$5:$J$1640,1)</f>
        <v>1</v>
      </c>
      <c r="I278">
        <f>COUNTIFS('Odoo Items'!$J$5:$J$4331,A278)</f>
        <v>3</v>
      </c>
      <c r="J278" s="9">
        <f>ROUND(SUMIFS('Bank Lines'!$E$5:$E$1640,'Bank Lines'!$G$5:$G$1640,A278,'Bank Lines'!$J$5:$J$1640,1),2)</f>
        <v>767.17</v>
      </c>
      <c r="K278" s="9">
        <f>ROUND(SUMIFS('Odoo Items'!$G$5:$G$4331,'Odoo Items'!$J$5:$J$4331,A278),2)</f>
        <v>767.17</v>
      </c>
      <c r="L278" s="9">
        <f>ROUND(J278-K278,2)</f>
        <v>0</v>
      </c>
      <c r="M278" s="9">
        <f>ROUND(SUMIFS('Bank Lines'!$E$5:$E$1640,'Bank Lines'!$G$5:$G$1640,A278,'Bank Lines'!$J$5:$J$1640,1,'Bank Lines'!$C$5:$C$1640,"&lt;="&amp;Cover!$C$13),2)</f>
        <v>0</v>
      </c>
      <c r="N278" s="9">
        <f>ROUND(SUMIFS('Odoo Items'!$G$5:$G$4331,'Odoo Items'!$J$5:$J$4331,A278,'Odoo Items'!$C$5:$C$4331,"&lt;="&amp;Cover!$C$13),2)</f>
        <v>0</v>
      </c>
      <c r="O278">
        <f>COUNTIFS('Bank Lines'!$G$5:$G$1640,A278,'Bank Lines'!$J$5:$J$1640,1,'Bank Lines'!$C$5:$C$1640,"&lt;="&amp;Cover!$C$13)</f>
        <v>0</v>
      </c>
      <c r="P278">
        <f>COUNTIFS('Odoo Items'!$J$5:$J$4331,A278,'Odoo Items'!$C$5:$C$4331,"&lt;="&amp;Cover!$C$13)</f>
        <v>0</v>
      </c>
      <c r="Q278">
        <f>IF(AND(O278=0,P278=0),"",IF(O278=0,"ODOO-ONLY",IF(P278=0,"BANK-ONLY","BOTH")))</f>
      </c>
      <c r="R278" s="9">
        <f>IF(Q278="BOTH",ROUND(M278-N278,2),0)</f>
        <v>0</v>
      </c>
      <c r="S278" s="9">
        <f>ROUND(SUMIFS('Bank Lines'!$E$5:$E$1640,'Bank Lines'!$G$5:$G$1640,A278,'Bank Lines'!$J$5:$J$1640,1,'Bank Lines'!$C$5:$C$1640,"&lt;="&amp;Cover!$C$14),2)</f>
        <v>767.17</v>
      </c>
      <c r="T278" s="9">
        <f>ROUND(SUMIFS('Odoo Items'!$G$5:$G$4331,'Odoo Items'!$J$5:$J$4331,A278,'Odoo Items'!$C$5:$C$4331,"&lt;="&amp;Cover!$C$14),2)</f>
        <v>767.17</v>
      </c>
      <c r="U278">
        <f>COUNTIFS('Bank Lines'!$G$5:$G$1640,A278,'Bank Lines'!$J$5:$J$1640,1,'Bank Lines'!$C$5:$C$1640,"&lt;="&amp;Cover!$C$14)</f>
        <v>1</v>
      </c>
      <c r="V278">
        <f>COUNTIFS('Odoo Items'!$J$5:$J$4331,A278,'Odoo Items'!$C$5:$C$4331,"&lt;="&amp;Cover!$C$14)</f>
        <v>3</v>
      </c>
      <c r="W278" t="str">
        <f>IF(AND(U278=0,V278=0),"",IF(U278=0,"ODOO-ONLY",IF(V278=0,"BANK-ONLY","BOTH")))</f>
        <v>BOTH</v>
      </c>
      <c r="X278" s="9">
        <f>IF(W278="BOTH",ROUND(S278-T278,2),0)</f>
        <v>0</v>
      </c>
      <c r="Y278" s="9">
        <f>ROUND(SUMIFS('Bank Lines'!$E$5:$E$1640,'Bank Lines'!$G$5:$G$1640,A278,'Bank Lines'!$J$5:$J$1640,1,'Bank Lines'!$C$5:$C$1640,"&lt;="&amp;Cover!$C$15),2)</f>
        <v>767.17</v>
      </c>
      <c r="Z278" s="9">
        <f>ROUND(SUMIFS('Odoo Items'!$G$5:$G$4331,'Odoo Items'!$J$5:$J$4331,A278,'Odoo Items'!$C$5:$C$4331,"&lt;="&amp;Cover!$C$15),2)</f>
        <v>767.17</v>
      </c>
      <c r="AA278">
        <f>COUNTIFS('Bank Lines'!$G$5:$G$1640,A278,'Bank Lines'!$J$5:$J$1640,1,'Bank Lines'!$C$5:$C$1640,"&lt;="&amp;Cover!$C$15)</f>
        <v>1</v>
      </c>
      <c r="AB278">
        <f>COUNTIFS('Odoo Items'!$J$5:$J$4331,A278,'Odoo Items'!$C$5:$C$4331,"&lt;="&amp;Cover!$C$15)</f>
        <v>3</v>
      </c>
      <c r="AC278" t="str">
        <f>IF(AND(AA278=0,AB278=0),"",IF(AA278=0,"ODOO-ONLY",IF(AB278=0,"BANK-ONLY","BOTH")))</f>
        <v>BOTH</v>
      </c>
      <c r="AD278" s="9">
        <f>IF(AC278="BOTH",ROUND(Y278-Z278,2),0)</f>
        <v>0</v>
      </c>
    </row>
    <row r="279">
      <c r="A279" t="inlineStr">
        <is>
          <t>G00275</t>
        </is>
      </c>
      <c r="B279" t="inlineStr">
        <is>
          <t>OPS</t>
        </is>
      </c>
      <c r="C279" t="inlineStr">
        <is>
          <t>R03</t>
        </is>
      </c>
      <c r="D279" t="inlineStr">
        <is>
          <t>MATCH</t>
        </is>
      </c>
      <c r="E279" t="inlineStr">
        <is>
          <t>Clearpath NDIS Plans</t>
        </is>
      </c>
      <c r="F279" t="n">
        <v>1</v>
      </c>
      <c r="G279" t="inlineStr">
        <is>
          <t>4 invoices</t>
        </is>
      </c>
      <c r="H279">
        <f>COUNTIFS('Bank Lines'!$G$5:$G$1640,A279,'Bank Lines'!$J$5:$J$1640,1)</f>
        <v>1</v>
      </c>
      <c r="I279">
        <f>COUNTIFS('Odoo Items'!$J$5:$J$4331,A279)</f>
        <v>4</v>
      </c>
      <c r="J279" s="9">
        <f>ROUND(SUMIFS('Bank Lines'!$E$5:$E$1640,'Bank Lines'!$G$5:$G$1640,A279,'Bank Lines'!$J$5:$J$1640,1),2)</f>
        <v>875.65</v>
      </c>
      <c r="K279" s="9">
        <f>ROUND(SUMIFS('Odoo Items'!$G$5:$G$4331,'Odoo Items'!$J$5:$J$4331,A279),2)</f>
        <v>875.65</v>
      </c>
      <c r="L279" s="9">
        <f>ROUND(J279-K279,2)</f>
        <v>0</v>
      </c>
      <c r="M279" s="9">
        <f>ROUND(SUMIFS('Bank Lines'!$E$5:$E$1640,'Bank Lines'!$G$5:$G$1640,A279,'Bank Lines'!$J$5:$J$1640,1,'Bank Lines'!$C$5:$C$1640,"&lt;="&amp;Cover!$C$13),2)</f>
        <v>0</v>
      </c>
      <c r="N279" s="9">
        <f>ROUND(SUMIFS('Odoo Items'!$G$5:$G$4331,'Odoo Items'!$J$5:$J$4331,A279,'Odoo Items'!$C$5:$C$4331,"&lt;="&amp;Cover!$C$13),2)</f>
        <v>0</v>
      </c>
      <c r="O279">
        <f>COUNTIFS('Bank Lines'!$G$5:$G$1640,A279,'Bank Lines'!$J$5:$J$1640,1,'Bank Lines'!$C$5:$C$1640,"&lt;="&amp;Cover!$C$13)</f>
        <v>0</v>
      </c>
      <c r="P279">
        <f>COUNTIFS('Odoo Items'!$J$5:$J$4331,A279,'Odoo Items'!$C$5:$C$4331,"&lt;="&amp;Cover!$C$13)</f>
        <v>0</v>
      </c>
      <c r="Q279">
        <f>IF(AND(O279=0,P279=0),"",IF(O279=0,"ODOO-ONLY",IF(P279=0,"BANK-ONLY","BOTH")))</f>
      </c>
      <c r="R279" s="9">
        <f>IF(Q279="BOTH",ROUND(M279-N279,2),0)</f>
        <v>0</v>
      </c>
      <c r="S279" s="9">
        <f>ROUND(SUMIFS('Bank Lines'!$E$5:$E$1640,'Bank Lines'!$G$5:$G$1640,A279,'Bank Lines'!$J$5:$J$1640,1,'Bank Lines'!$C$5:$C$1640,"&lt;="&amp;Cover!$C$14),2)</f>
        <v>875.65</v>
      </c>
      <c r="T279" s="9">
        <f>ROUND(SUMIFS('Odoo Items'!$G$5:$G$4331,'Odoo Items'!$J$5:$J$4331,A279,'Odoo Items'!$C$5:$C$4331,"&lt;="&amp;Cover!$C$14),2)</f>
        <v>875.65</v>
      </c>
      <c r="U279">
        <f>COUNTIFS('Bank Lines'!$G$5:$G$1640,A279,'Bank Lines'!$J$5:$J$1640,1,'Bank Lines'!$C$5:$C$1640,"&lt;="&amp;Cover!$C$14)</f>
        <v>1</v>
      </c>
      <c r="V279">
        <f>COUNTIFS('Odoo Items'!$J$5:$J$4331,A279,'Odoo Items'!$C$5:$C$4331,"&lt;="&amp;Cover!$C$14)</f>
        <v>4</v>
      </c>
      <c r="W279" t="str">
        <f>IF(AND(U279=0,V279=0),"",IF(U279=0,"ODOO-ONLY",IF(V279=0,"BANK-ONLY","BOTH")))</f>
        <v>BOTH</v>
      </c>
      <c r="X279" s="9">
        <f>IF(W279="BOTH",ROUND(S279-T279,2),0)</f>
        <v>0</v>
      </c>
      <c r="Y279" s="9">
        <f>ROUND(SUMIFS('Bank Lines'!$E$5:$E$1640,'Bank Lines'!$G$5:$G$1640,A279,'Bank Lines'!$J$5:$J$1640,1,'Bank Lines'!$C$5:$C$1640,"&lt;="&amp;Cover!$C$15),2)</f>
        <v>875.65</v>
      </c>
      <c r="Z279" s="9">
        <f>ROUND(SUMIFS('Odoo Items'!$G$5:$G$4331,'Odoo Items'!$J$5:$J$4331,A279,'Odoo Items'!$C$5:$C$4331,"&lt;="&amp;Cover!$C$15),2)</f>
        <v>875.65</v>
      </c>
      <c r="AA279">
        <f>COUNTIFS('Bank Lines'!$G$5:$G$1640,A279,'Bank Lines'!$J$5:$J$1640,1,'Bank Lines'!$C$5:$C$1640,"&lt;="&amp;Cover!$C$15)</f>
        <v>1</v>
      </c>
      <c r="AB279">
        <f>COUNTIFS('Odoo Items'!$J$5:$J$4331,A279,'Odoo Items'!$C$5:$C$4331,"&lt;="&amp;Cover!$C$15)</f>
        <v>4</v>
      </c>
      <c r="AC279" t="str">
        <f>IF(AND(AA279=0,AB279=0),"",IF(AA279=0,"ODOO-ONLY",IF(AB279=0,"BANK-ONLY","BOTH")))</f>
        <v>BOTH</v>
      </c>
      <c r="AD279" s="9">
        <f>IF(AC279="BOTH",ROUND(Y279-Z279,2),0)</f>
        <v>0</v>
      </c>
    </row>
    <row r="280">
      <c r="A280" t="inlineStr">
        <is>
          <t>G00276</t>
        </is>
      </c>
      <c r="B280" t="inlineStr">
        <is>
          <t>OPS</t>
        </is>
      </c>
      <c r="C280" t="inlineStr">
        <is>
          <t>R03</t>
        </is>
      </c>
      <c r="D280" t="inlineStr">
        <is>
          <t>REG</t>
        </is>
      </c>
      <c r="E280" t="inlineStr">
        <is>
          <t>Wattle Plan Services</t>
        </is>
      </c>
      <c r="F280" t="n">
        <v>1</v>
      </c>
      <c r="G280" t="inlineStr">
        <is>
          <t>Receipt not registered in Odoo; remittance RA44997 lists 3 invoices</t>
        </is>
      </c>
      <c r="H280">
        <f>COUNTIFS('Bank Lines'!$G$5:$G$1640,A280,'Bank Lines'!$J$5:$J$1640,1)</f>
        <v>1</v>
      </c>
      <c r="I280">
        <f>COUNTIFS('Odoo Items'!$J$5:$J$4331,A280)</f>
        <v>0</v>
      </c>
      <c r="J280" s="9">
        <f>ROUND(SUMIFS('Bank Lines'!$E$5:$E$1640,'Bank Lines'!$G$5:$G$1640,A280,'Bank Lines'!$J$5:$J$1640,1),2)</f>
        <v>912.66</v>
      </c>
      <c r="K280" s="9">
        <f>ROUND(SUMIFS('Odoo Items'!$G$5:$G$4331,'Odoo Items'!$J$5:$J$4331,A280),2)</f>
        <v>0</v>
      </c>
      <c r="L280" s="9">
        <f>ROUND(J280-K280,2)</f>
        <v>912.66</v>
      </c>
      <c r="M280" s="9">
        <f>ROUND(SUMIFS('Bank Lines'!$E$5:$E$1640,'Bank Lines'!$G$5:$G$1640,A280,'Bank Lines'!$J$5:$J$1640,1,'Bank Lines'!$C$5:$C$1640,"&lt;="&amp;Cover!$C$13),2)</f>
        <v>0</v>
      </c>
      <c r="N280" s="9">
        <f>ROUND(SUMIFS('Odoo Items'!$G$5:$G$4331,'Odoo Items'!$J$5:$J$4331,A280,'Odoo Items'!$C$5:$C$4331,"&lt;="&amp;Cover!$C$13),2)</f>
        <v>0</v>
      </c>
      <c r="O280">
        <f>COUNTIFS('Bank Lines'!$G$5:$G$1640,A280,'Bank Lines'!$J$5:$J$1640,1,'Bank Lines'!$C$5:$C$1640,"&lt;="&amp;Cover!$C$13)</f>
        <v>0</v>
      </c>
      <c r="P280">
        <f>COUNTIFS('Odoo Items'!$J$5:$J$4331,A280,'Odoo Items'!$C$5:$C$4331,"&lt;="&amp;Cover!$C$13)</f>
        <v>0</v>
      </c>
      <c r="Q280">
        <f>IF(AND(O280=0,P280=0),"",IF(O280=0,"ODOO-ONLY",IF(P280=0,"BANK-ONLY","BOTH")))</f>
      </c>
      <c r="R280" s="9">
        <f>IF(Q280="BOTH",ROUND(M280-N280,2),0)</f>
        <v>0</v>
      </c>
      <c r="S280" s="9">
        <f>ROUND(SUMIFS('Bank Lines'!$E$5:$E$1640,'Bank Lines'!$G$5:$G$1640,A280,'Bank Lines'!$J$5:$J$1640,1,'Bank Lines'!$C$5:$C$1640,"&lt;="&amp;Cover!$C$14),2)</f>
        <v>912.66</v>
      </c>
      <c r="T280" s="9">
        <f>ROUND(SUMIFS('Odoo Items'!$G$5:$G$4331,'Odoo Items'!$J$5:$J$4331,A280,'Odoo Items'!$C$5:$C$4331,"&lt;="&amp;Cover!$C$14),2)</f>
        <v>0</v>
      </c>
      <c r="U280">
        <f>COUNTIFS('Bank Lines'!$G$5:$G$1640,A280,'Bank Lines'!$J$5:$J$1640,1,'Bank Lines'!$C$5:$C$1640,"&lt;="&amp;Cover!$C$14)</f>
        <v>1</v>
      </c>
      <c r="V280">
        <f>COUNTIFS('Odoo Items'!$J$5:$J$4331,A280,'Odoo Items'!$C$5:$C$4331,"&lt;="&amp;Cover!$C$14)</f>
        <v>0</v>
      </c>
      <c r="W280" t="str">
        <f>IF(AND(U280=0,V280=0),"",IF(U280=0,"ODOO-ONLY",IF(V280=0,"BANK-ONLY","BOTH")))</f>
        <v>BANK-ONLY</v>
      </c>
      <c r="X280" s="9">
        <f>IF(W280="BOTH",ROUND(S280-T280,2),0)</f>
        <v>0</v>
      </c>
      <c r="Y280" s="9">
        <f>ROUND(SUMIFS('Bank Lines'!$E$5:$E$1640,'Bank Lines'!$G$5:$G$1640,A280,'Bank Lines'!$J$5:$J$1640,1,'Bank Lines'!$C$5:$C$1640,"&lt;="&amp;Cover!$C$15),2)</f>
        <v>912.66</v>
      </c>
      <c r="Z280" s="9">
        <f>ROUND(SUMIFS('Odoo Items'!$G$5:$G$4331,'Odoo Items'!$J$5:$J$4331,A280,'Odoo Items'!$C$5:$C$4331,"&lt;="&amp;Cover!$C$15),2)</f>
        <v>0</v>
      </c>
      <c r="AA280">
        <f>COUNTIFS('Bank Lines'!$G$5:$G$1640,A280,'Bank Lines'!$J$5:$J$1640,1,'Bank Lines'!$C$5:$C$1640,"&lt;="&amp;Cover!$C$15)</f>
        <v>1</v>
      </c>
      <c r="AB280">
        <f>COUNTIFS('Odoo Items'!$J$5:$J$4331,A280,'Odoo Items'!$C$5:$C$4331,"&lt;="&amp;Cover!$C$15)</f>
        <v>0</v>
      </c>
      <c r="AC280" t="str">
        <f>IF(AND(AA280=0,AB280=0),"",IF(AA280=0,"ODOO-ONLY",IF(AB280=0,"BANK-ONLY","BOTH")))</f>
        <v>BANK-ONLY</v>
      </c>
      <c r="AD280" s="9">
        <f>IF(AC280="BOTH",ROUND(Y280-Z280,2),0)</f>
        <v>0</v>
      </c>
    </row>
    <row r="281">
      <c r="A281" t="inlineStr">
        <is>
          <t>G00277</t>
        </is>
      </c>
      <c r="B281" t="inlineStr">
        <is>
          <t>OPS</t>
        </is>
      </c>
      <c r="C281" t="inlineStr">
        <is>
          <t>R03</t>
        </is>
      </c>
      <c r="D281" t="inlineStr">
        <is>
          <t>MATCH</t>
        </is>
      </c>
      <c r="E281" t="inlineStr">
        <is>
          <t>Kookaburra Plan Support</t>
        </is>
      </c>
      <c r="F281" t="n">
        <v>1</v>
      </c>
      <c r="G281" t="inlineStr">
        <is>
          <t>6 invoices</t>
        </is>
      </c>
      <c r="H281">
        <f>COUNTIFS('Bank Lines'!$G$5:$G$1640,A281,'Bank Lines'!$J$5:$J$1640,1)</f>
        <v>1</v>
      </c>
      <c r="I281">
        <f>COUNTIFS('Odoo Items'!$J$5:$J$4331,A281)</f>
        <v>6</v>
      </c>
      <c r="J281" s="9">
        <f>ROUND(SUMIFS('Bank Lines'!$E$5:$E$1640,'Bank Lines'!$G$5:$G$1640,A281,'Bank Lines'!$J$5:$J$1640,1),2)</f>
        <v>1970.8</v>
      </c>
      <c r="K281" s="9">
        <f>ROUND(SUMIFS('Odoo Items'!$G$5:$G$4331,'Odoo Items'!$J$5:$J$4331,A281),2)</f>
        <v>1970.8</v>
      </c>
      <c r="L281" s="9">
        <f>ROUND(J281-K281,2)</f>
        <v>0</v>
      </c>
      <c r="M281" s="9">
        <f>ROUND(SUMIFS('Bank Lines'!$E$5:$E$1640,'Bank Lines'!$G$5:$G$1640,A281,'Bank Lines'!$J$5:$J$1640,1,'Bank Lines'!$C$5:$C$1640,"&lt;="&amp;Cover!$C$13),2)</f>
        <v>0</v>
      </c>
      <c r="N281" s="9">
        <f>ROUND(SUMIFS('Odoo Items'!$G$5:$G$4331,'Odoo Items'!$J$5:$J$4331,A281,'Odoo Items'!$C$5:$C$4331,"&lt;="&amp;Cover!$C$13),2)</f>
        <v>0</v>
      </c>
      <c r="O281">
        <f>COUNTIFS('Bank Lines'!$G$5:$G$1640,A281,'Bank Lines'!$J$5:$J$1640,1,'Bank Lines'!$C$5:$C$1640,"&lt;="&amp;Cover!$C$13)</f>
        <v>0</v>
      </c>
      <c r="P281">
        <f>COUNTIFS('Odoo Items'!$J$5:$J$4331,A281,'Odoo Items'!$C$5:$C$4331,"&lt;="&amp;Cover!$C$13)</f>
        <v>0</v>
      </c>
      <c r="Q281">
        <f>IF(AND(O281=0,P281=0),"",IF(O281=0,"ODOO-ONLY",IF(P281=0,"BANK-ONLY","BOTH")))</f>
      </c>
      <c r="R281" s="9">
        <f>IF(Q281="BOTH",ROUND(M281-N281,2),0)</f>
        <v>0</v>
      </c>
      <c r="S281" s="9">
        <f>ROUND(SUMIFS('Bank Lines'!$E$5:$E$1640,'Bank Lines'!$G$5:$G$1640,A281,'Bank Lines'!$J$5:$J$1640,1,'Bank Lines'!$C$5:$C$1640,"&lt;="&amp;Cover!$C$14),2)</f>
        <v>1970.8</v>
      </c>
      <c r="T281" s="9">
        <f>ROUND(SUMIFS('Odoo Items'!$G$5:$G$4331,'Odoo Items'!$J$5:$J$4331,A281,'Odoo Items'!$C$5:$C$4331,"&lt;="&amp;Cover!$C$14),2)</f>
        <v>1970.8</v>
      </c>
      <c r="U281">
        <f>COUNTIFS('Bank Lines'!$G$5:$G$1640,A281,'Bank Lines'!$J$5:$J$1640,1,'Bank Lines'!$C$5:$C$1640,"&lt;="&amp;Cover!$C$14)</f>
        <v>1</v>
      </c>
      <c r="V281">
        <f>COUNTIFS('Odoo Items'!$J$5:$J$4331,A281,'Odoo Items'!$C$5:$C$4331,"&lt;="&amp;Cover!$C$14)</f>
        <v>6</v>
      </c>
      <c r="W281" t="str">
        <f>IF(AND(U281=0,V281=0),"",IF(U281=0,"ODOO-ONLY",IF(V281=0,"BANK-ONLY","BOTH")))</f>
        <v>BOTH</v>
      </c>
      <c r="X281" s="9">
        <f>IF(W281="BOTH",ROUND(S281-T281,2),0)</f>
        <v>0</v>
      </c>
      <c r="Y281" s="9">
        <f>ROUND(SUMIFS('Bank Lines'!$E$5:$E$1640,'Bank Lines'!$G$5:$G$1640,A281,'Bank Lines'!$J$5:$J$1640,1,'Bank Lines'!$C$5:$C$1640,"&lt;="&amp;Cover!$C$15),2)</f>
        <v>1970.8</v>
      </c>
      <c r="Z281" s="9">
        <f>ROUND(SUMIFS('Odoo Items'!$G$5:$G$4331,'Odoo Items'!$J$5:$J$4331,A281,'Odoo Items'!$C$5:$C$4331,"&lt;="&amp;Cover!$C$15),2)</f>
        <v>1970.8</v>
      </c>
      <c r="AA281">
        <f>COUNTIFS('Bank Lines'!$G$5:$G$1640,A281,'Bank Lines'!$J$5:$J$1640,1,'Bank Lines'!$C$5:$C$1640,"&lt;="&amp;Cover!$C$15)</f>
        <v>1</v>
      </c>
      <c r="AB281">
        <f>COUNTIFS('Odoo Items'!$J$5:$J$4331,A281,'Odoo Items'!$C$5:$C$4331,"&lt;="&amp;Cover!$C$15)</f>
        <v>6</v>
      </c>
      <c r="AC281" t="str">
        <f>IF(AND(AA281=0,AB281=0),"",IF(AA281=0,"ODOO-ONLY",IF(AB281=0,"BANK-ONLY","BOTH")))</f>
        <v>BOTH</v>
      </c>
      <c r="AD281" s="9">
        <f>IF(AC281="BOTH",ROUND(Y281-Z281,2),0)</f>
        <v>0</v>
      </c>
    </row>
    <row r="282">
      <c r="A282" t="inlineStr">
        <is>
          <t>G00278</t>
        </is>
      </c>
      <c r="B282" t="inlineStr">
        <is>
          <t>OPS</t>
        </is>
      </c>
      <c r="C282" t="inlineStr">
        <is>
          <t>R03</t>
        </is>
      </c>
      <c r="D282" t="inlineStr">
        <is>
          <t>MATCH</t>
        </is>
      </c>
      <c r="E282" t="inlineStr">
        <is>
          <t>Saltbush Plan Managers</t>
        </is>
      </c>
      <c r="F282" t="n">
        <v>1</v>
      </c>
      <c r="G282" t="inlineStr">
        <is>
          <t>4 invoices</t>
        </is>
      </c>
      <c r="H282">
        <f>COUNTIFS('Bank Lines'!$G$5:$G$1640,A282,'Bank Lines'!$J$5:$J$1640,1)</f>
        <v>1</v>
      </c>
      <c r="I282">
        <f>COUNTIFS('Odoo Items'!$J$5:$J$4331,A282)</f>
        <v>4</v>
      </c>
      <c r="J282" s="9">
        <f>ROUND(SUMIFS('Bank Lines'!$E$5:$E$1640,'Bank Lines'!$G$5:$G$1640,A282,'Bank Lines'!$J$5:$J$1640,1),2)</f>
        <v>1300.63</v>
      </c>
      <c r="K282" s="9">
        <f>ROUND(SUMIFS('Odoo Items'!$G$5:$G$4331,'Odoo Items'!$J$5:$J$4331,A282),2)</f>
        <v>1300.63</v>
      </c>
      <c r="L282" s="9">
        <f>ROUND(J282-K282,2)</f>
        <v>0</v>
      </c>
      <c r="M282" s="9">
        <f>ROUND(SUMIFS('Bank Lines'!$E$5:$E$1640,'Bank Lines'!$G$5:$G$1640,A282,'Bank Lines'!$J$5:$J$1640,1,'Bank Lines'!$C$5:$C$1640,"&lt;="&amp;Cover!$C$13),2)</f>
        <v>0</v>
      </c>
      <c r="N282" s="9">
        <f>ROUND(SUMIFS('Odoo Items'!$G$5:$G$4331,'Odoo Items'!$J$5:$J$4331,A282,'Odoo Items'!$C$5:$C$4331,"&lt;="&amp;Cover!$C$13),2)</f>
        <v>0</v>
      </c>
      <c r="O282">
        <f>COUNTIFS('Bank Lines'!$G$5:$G$1640,A282,'Bank Lines'!$J$5:$J$1640,1,'Bank Lines'!$C$5:$C$1640,"&lt;="&amp;Cover!$C$13)</f>
        <v>0</v>
      </c>
      <c r="P282">
        <f>COUNTIFS('Odoo Items'!$J$5:$J$4331,A282,'Odoo Items'!$C$5:$C$4331,"&lt;="&amp;Cover!$C$13)</f>
        <v>0</v>
      </c>
      <c r="Q282">
        <f>IF(AND(O282=0,P282=0),"",IF(O282=0,"ODOO-ONLY",IF(P282=0,"BANK-ONLY","BOTH")))</f>
      </c>
      <c r="R282" s="9">
        <f>IF(Q282="BOTH",ROUND(M282-N282,2),0)</f>
        <v>0</v>
      </c>
      <c r="S282" s="9">
        <f>ROUND(SUMIFS('Bank Lines'!$E$5:$E$1640,'Bank Lines'!$G$5:$G$1640,A282,'Bank Lines'!$J$5:$J$1640,1,'Bank Lines'!$C$5:$C$1640,"&lt;="&amp;Cover!$C$14),2)</f>
        <v>1300.63</v>
      </c>
      <c r="T282" s="9">
        <f>ROUND(SUMIFS('Odoo Items'!$G$5:$G$4331,'Odoo Items'!$J$5:$J$4331,A282,'Odoo Items'!$C$5:$C$4331,"&lt;="&amp;Cover!$C$14),2)</f>
        <v>1300.63</v>
      </c>
      <c r="U282">
        <f>COUNTIFS('Bank Lines'!$G$5:$G$1640,A282,'Bank Lines'!$J$5:$J$1640,1,'Bank Lines'!$C$5:$C$1640,"&lt;="&amp;Cover!$C$14)</f>
        <v>1</v>
      </c>
      <c r="V282">
        <f>COUNTIFS('Odoo Items'!$J$5:$J$4331,A282,'Odoo Items'!$C$5:$C$4331,"&lt;="&amp;Cover!$C$14)</f>
        <v>4</v>
      </c>
      <c r="W282" t="str">
        <f>IF(AND(U282=0,V282=0),"",IF(U282=0,"ODOO-ONLY",IF(V282=0,"BANK-ONLY","BOTH")))</f>
        <v>BOTH</v>
      </c>
      <c r="X282" s="9">
        <f>IF(W282="BOTH",ROUND(S282-T282,2),0)</f>
        <v>0</v>
      </c>
      <c r="Y282" s="9">
        <f>ROUND(SUMIFS('Bank Lines'!$E$5:$E$1640,'Bank Lines'!$G$5:$G$1640,A282,'Bank Lines'!$J$5:$J$1640,1,'Bank Lines'!$C$5:$C$1640,"&lt;="&amp;Cover!$C$15),2)</f>
        <v>1300.63</v>
      </c>
      <c r="Z282" s="9">
        <f>ROUND(SUMIFS('Odoo Items'!$G$5:$G$4331,'Odoo Items'!$J$5:$J$4331,A282,'Odoo Items'!$C$5:$C$4331,"&lt;="&amp;Cover!$C$15),2)</f>
        <v>1300.63</v>
      </c>
      <c r="AA282">
        <f>COUNTIFS('Bank Lines'!$G$5:$G$1640,A282,'Bank Lines'!$J$5:$J$1640,1,'Bank Lines'!$C$5:$C$1640,"&lt;="&amp;Cover!$C$15)</f>
        <v>1</v>
      </c>
      <c r="AB282">
        <f>COUNTIFS('Odoo Items'!$J$5:$J$4331,A282,'Odoo Items'!$C$5:$C$4331,"&lt;="&amp;Cover!$C$15)</f>
        <v>4</v>
      </c>
      <c r="AC282" t="str">
        <f>IF(AND(AA282=0,AB282=0),"",IF(AA282=0,"ODOO-ONLY",IF(AB282=0,"BANK-ONLY","BOTH")))</f>
        <v>BOTH</v>
      </c>
      <c r="AD282" s="9">
        <f>IF(AC282="BOTH",ROUND(Y282-Z282,2),0)</f>
        <v>0</v>
      </c>
    </row>
    <row r="283">
      <c r="A283" t="inlineStr">
        <is>
          <t>G00279</t>
        </is>
      </c>
      <c r="B283" t="inlineStr">
        <is>
          <t>OPS</t>
        </is>
      </c>
      <c r="C283" t="inlineStr">
        <is>
          <t>R03</t>
        </is>
      </c>
      <c r="D283" t="inlineStr">
        <is>
          <t>MATCH</t>
        </is>
      </c>
      <c r="E283" t="inlineStr">
        <is>
          <t>Redgum Plan Admin</t>
        </is>
      </c>
      <c r="F283" t="n">
        <v>1</v>
      </c>
      <c r="G283" t="inlineStr">
        <is>
          <t>5 invoices</t>
        </is>
      </c>
      <c r="H283">
        <f>COUNTIFS('Bank Lines'!$G$5:$G$1640,A283,'Bank Lines'!$J$5:$J$1640,1)</f>
        <v>1</v>
      </c>
      <c r="I283">
        <f>COUNTIFS('Odoo Items'!$J$5:$J$4331,A283)</f>
        <v>5</v>
      </c>
      <c r="J283" s="9">
        <f>ROUND(SUMIFS('Bank Lines'!$E$5:$E$1640,'Bank Lines'!$G$5:$G$1640,A283,'Bank Lines'!$J$5:$J$1640,1),2)</f>
        <v>1096.94</v>
      </c>
      <c r="K283" s="9">
        <f>ROUND(SUMIFS('Odoo Items'!$G$5:$G$4331,'Odoo Items'!$J$5:$J$4331,A283),2)</f>
        <v>1096.94</v>
      </c>
      <c r="L283" s="9">
        <f>ROUND(J283-K283,2)</f>
        <v>0</v>
      </c>
      <c r="M283" s="9">
        <f>ROUND(SUMIFS('Bank Lines'!$E$5:$E$1640,'Bank Lines'!$G$5:$G$1640,A283,'Bank Lines'!$J$5:$J$1640,1,'Bank Lines'!$C$5:$C$1640,"&lt;="&amp;Cover!$C$13),2)</f>
        <v>0</v>
      </c>
      <c r="N283" s="9">
        <f>ROUND(SUMIFS('Odoo Items'!$G$5:$G$4331,'Odoo Items'!$J$5:$J$4331,A283,'Odoo Items'!$C$5:$C$4331,"&lt;="&amp;Cover!$C$13),2)</f>
        <v>0</v>
      </c>
      <c r="O283">
        <f>COUNTIFS('Bank Lines'!$G$5:$G$1640,A283,'Bank Lines'!$J$5:$J$1640,1,'Bank Lines'!$C$5:$C$1640,"&lt;="&amp;Cover!$C$13)</f>
        <v>0</v>
      </c>
      <c r="P283">
        <f>COUNTIFS('Odoo Items'!$J$5:$J$4331,A283,'Odoo Items'!$C$5:$C$4331,"&lt;="&amp;Cover!$C$13)</f>
        <v>0</v>
      </c>
      <c r="Q283">
        <f>IF(AND(O283=0,P283=0),"",IF(O283=0,"ODOO-ONLY",IF(P283=0,"BANK-ONLY","BOTH")))</f>
      </c>
      <c r="R283" s="9">
        <f>IF(Q283="BOTH",ROUND(M283-N283,2),0)</f>
        <v>0</v>
      </c>
      <c r="S283" s="9">
        <f>ROUND(SUMIFS('Bank Lines'!$E$5:$E$1640,'Bank Lines'!$G$5:$G$1640,A283,'Bank Lines'!$J$5:$J$1640,1,'Bank Lines'!$C$5:$C$1640,"&lt;="&amp;Cover!$C$14),2)</f>
        <v>1096.94</v>
      </c>
      <c r="T283" s="9">
        <f>ROUND(SUMIFS('Odoo Items'!$G$5:$G$4331,'Odoo Items'!$J$5:$J$4331,A283,'Odoo Items'!$C$5:$C$4331,"&lt;="&amp;Cover!$C$14),2)</f>
        <v>1096.94</v>
      </c>
      <c r="U283">
        <f>COUNTIFS('Bank Lines'!$G$5:$G$1640,A283,'Bank Lines'!$J$5:$J$1640,1,'Bank Lines'!$C$5:$C$1640,"&lt;="&amp;Cover!$C$14)</f>
        <v>1</v>
      </c>
      <c r="V283">
        <f>COUNTIFS('Odoo Items'!$J$5:$J$4331,A283,'Odoo Items'!$C$5:$C$4331,"&lt;="&amp;Cover!$C$14)</f>
        <v>5</v>
      </c>
      <c r="W283" t="str">
        <f>IF(AND(U283=0,V283=0),"",IF(U283=0,"ODOO-ONLY",IF(V283=0,"BANK-ONLY","BOTH")))</f>
        <v>BOTH</v>
      </c>
      <c r="X283" s="9">
        <f>IF(W283="BOTH",ROUND(S283-T283,2),0)</f>
        <v>0</v>
      </c>
      <c r="Y283" s="9">
        <f>ROUND(SUMIFS('Bank Lines'!$E$5:$E$1640,'Bank Lines'!$G$5:$G$1640,A283,'Bank Lines'!$J$5:$J$1640,1,'Bank Lines'!$C$5:$C$1640,"&lt;="&amp;Cover!$C$15),2)</f>
        <v>1096.94</v>
      </c>
      <c r="Z283" s="9">
        <f>ROUND(SUMIFS('Odoo Items'!$G$5:$G$4331,'Odoo Items'!$J$5:$J$4331,A283,'Odoo Items'!$C$5:$C$4331,"&lt;="&amp;Cover!$C$15),2)</f>
        <v>1096.94</v>
      </c>
      <c r="AA283">
        <f>COUNTIFS('Bank Lines'!$G$5:$G$1640,A283,'Bank Lines'!$J$5:$J$1640,1,'Bank Lines'!$C$5:$C$1640,"&lt;="&amp;Cover!$C$15)</f>
        <v>1</v>
      </c>
      <c r="AB283">
        <f>COUNTIFS('Odoo Items'!$J$5:$J$4331,A283,'Odoo Items'!$C$5:$C$4331,"&lt;="&amp;Cover!$C$15)</f>
        <v>5</v>
      </c>
      <c r="AC283" t="str">
        <f>IF(AND(AA283=0,AB283=0),"",IF(AA283=0,"ODOO-ONLY",IF(AB283=0,"BANK-ONLY","BOTH")))</f>
        <v>BOTH</v>
      </c>
      <c r="AD283" s="9">
        <f>IF(AC283="BOTH",ROUND(Y283-Z283,2),0)</f>
        <v>0</v>
      </c>
    </row>
    <row r="284">
      <c r="A284" t="inlineStr">
        <is>
          <t>G00280</t>
        </is>
      </c>
      <c r="B284" t="inlineStr">
        <is>
          <t>OPS</t>
        </is>
      </c>
      <c r="C284" t="inlineStr">
        <is>
          <t>R03</t>
        </is>
      </c>
      <c r="D284" t="inlineStr">
        <is>
          <t>MATCH</t>
        </is>
      </c>
      <c r="E284" t="inlineStr">
        <is>
          <t>Acacia Plan Partners</t>
        </is>
      </c>
      <c r="F284" t="n">
        <v>1</v>
      </c>
      <c r="G284" t="inlineStr">
        <is>
          <t>3 invoices</t>
        </is>
      </c>
      <c r="H284">
        <f>COUNTIFS('Bank Lines'!$G$5:$G$1640,A284,'Bank Lines'!$J$5:$J$1640,1)</f>
        <v>1</v>
      </c>
      <c r="I284">
        <f>COUNTIFS('Odoo Items'!$J$5:$J$4331,A284)</f>
        <v>3</v>
      </c>
      <c r="J284" s="9">
        <f>ROUND(SUMIFS('Bank Lines'!$E$5:$E$1640,'Bank Lines'!$G$5:$G$1640,A284,'Bank Lines'!$J$5:$J$1640,1),2)</f>
        <v>534.37</v>
      </c>
      <c r="K284" s="9">
        <f>ROUND(SUMIFS('Odoo Items'!$G$5:$G$4331,'Odoo Items'!$J$5:$J$4331,A284),2)</f>
        <v>534.37</v>
      </c>
      <c r="L284" s="9">
        <f>ROUND(J284-K284,2)</f>
        <v>0</v>
      </c>
      <c r="M284" s="9">
        <f>ROUND(SUMIFS('Bank Lines'!$E$5:$E$1640,'Bank Lines'!$G$5:$G$1640,A284,'Bank Lines'!$J$5:$J$1640,1,'Bank Lines'!$C$5:$C$1640,"&lt;="&amp;Cover!$C$13),2)</f>
        <v>0</v>
      </c>
      <c r="N284" s="9">
        <f>ROUND(SUMIFS('Odoo Items'!$G$5:$G$4331,'Odoo Items'!$J$5:$J$4331,A284,'Odoo Items'!$C$5:$C$4331,"&lt;="&amp;Cover!$C$13),2)</f>
        <v>0</v>
      </c>
      <c r="O284">
        <f>COUNTIFS('Bank Lines'!$G$5:$G$1640,A284,'Bank Lines'!$J$5:$J$1640,1,'Bank Lines'!$C$5:$C$1640,"&lt;="&amp;Cover!$C$13)</f>
        <v>0</v>
      </c>
      <c r="P284">
        <f>COUNTIFS('Odoo Items'!$J$5:$J$4331,A284,'Odoo Items'!$C$5:$C$4331,"&lt;="&amp;Cover!$C$13)</f>
        <v>0</v>
      </c>
      <c r="Q284">
        <f>IF(AND(O284=0,P284=0),"",IF(O284=0,"ODOO-ONLY",IF(P284=0,"BANK-ONLY","BOTH")))</f>
      </c>
      <c r="R284" s="9">
        <f>IF(Q284="BOTH",ROUND(M284-N284,2),0)</f>
        <v>0</v>
      </c>
      <c r="S284" s="9">
        <f>ROUND(SUMIFS('Bank Lines'!$E$5:$E$1640,'Bank Lines'!$G$5:$G$1640,A284,'Bank Lines'!$J$5:$J$1640,1,'Bank Lines'!$C$5:$C$1640,"&lt;="&amp;Cover!$C$14),2)</f>
        <v>534.37</v>
      </c>
      <c r="T284" s="9">
        <f>ROUND(SUMIFS('Odoo Items'!$G$5:$G$4331,'Odoo Items'!$J$5:$J$4331,A284,'Odoo Items'!$C$5:$C$4331,"&lt;="&amp;Cover!$C$14),2)</f>
        <v>534.37</v>
      </c>
      <c r="U284">
        <f>COUNTIFS('Bank Lines'!$G$5:$G$1640,A284,'Bank Lines'!$J$5:$J$1640,1,'Bank Lines'!$C$5:$C$1640,"&lt;="&amp;Cover!$C$14)</f>
        <v>1</v>
      </c>
      <c r="V284">
        <f>COUNTIFS('Odoo Items'!$J$5:$J$4331,A284,'Odoo Items'!$C$5:$C$4331,"&lt;="&amp;Cover!$C$14)</f>
        <v>3</v>
      </c>
      <c r="W284" t="str">
        <f>IF(AND(U284=0,V284=0),"",IF(U284=0,"ODOO-ONLY",IF(V284=0,"BANK-ONLY","BOTH")))</f>
        <v>BOTH</v>
      </c>
      <c r="X284" s="9">
        <f>IF(W284="BOTH",ROUND(S284-T284,2),0)</f>
        <v>0</v>
      </c>
      <c r="Y284" s="9">
        <f>ROUND(SUMIFS('Bank Lines'!$E$5:$E$1640,'Bank Lines'!$G$5:$G$1640,A284,'Bank Lines'!$J$5:$J$1640,1,'Bank Lines'!$C$5:$C$1640,"&lt;="&amp;Cover!$C$15),2)</f>
        <v>534.37</v>
      </c>
      <c r="Z284" s="9">
        <f>ROUND(SUMIFS('Odoo Items'!$G$5:$G$4331,'Odoo Items'!$J$5:$J$4331,A284,'Odoo Items'!$C$5:$C$4331,"&lt;="&amp;Cover!$C$15),2)</f>
        <v>534.37</v>
      </c>
      <c r="AA284">
        <f>COUNTIFS('Bank Lines'!$G$5:$G$1640,A284,'Bank Lines'!$J$5:$J$1640,1,'Bank Lines'!$C$5:$C$1640,"&lt;="&amp;Cover!$C$15)</f>
        <v>1</v>
      </c>
      <c r="AB284">
        <f>COUNTIFS('Odoo Items'!$J$5:$J$4331,A284,'Odoo Items'!$C$5:$C$4331,"&lt;="&amp;Cover!$C$15)</f>
        <v>3</v>
      </c>
      <c r="AC284" t="str">
        <f>IF(AND(AA284=0,AB284=0),"",IF(AA284=0,"ODOO-ONLY",IF(AB284=0,"BANK-ONLY","BOTH")))</f>
        <v>BOTH</v>
      </c>
      <c r="AD284" s="9">
        <f>IF(AC284="BOTH",ROUND(Y284-Z284,2),0)</f>
        <v>0</v>
      </c>
    </row>
    <row r="285">
      <c r="A285" t="inlineStr">
        <is>
          <t>G00281</t>
        </is>
      </c>
      <c r="B285" t="inlineStr">
        <is>
          <t>OPS</t>
        </is>
      </c>
      <c r="C285" t="inlineStr">
        <is>
          <t>R03</t>
        </is>
      </c>
      <c r="D285" t="inlineStr">
        <is>
          <t>MATCH</t>
        </is>
      </c>
      <c r="E285" t="inlineStr">
        <is>
          <t>Bluegum Plan Management</t>
        </is>
      </c>
      <c r="F285" t="n">
        <v>0.9</v>
      </c>
      <c r="G285" t="inlineStr">
        <is>
          <t>6 invoices</t>
        </is>
      </c>
      <c r="H285">
        <f>COUNTIFS('Bank Lines'!$G$5:$G$1640,A285,'Bank Lines'!$J$5:$J$1640,1)</f>
        <v>1</v>
      </c>
      <c r="I285">
        <f>COUNTIFS('Odoo Items'!$J$5:$J$4331,A285)</f>
        <v>6</v>
      </c>
      <c r="J285" s="9">
        <f>ROUND(SUMIFS('Bank Lines'!$E$5:$E$1640,'Bank Lines'!$G$5:$G$1640,A285,'Bank Lines'!$J$5:$J$1640,1),2)</f>
        <v>1379.13</v>
      </c>
      <c r="K285" s="9">
        <f>ROUND(SUMIFS('Odoo Items'!$G$5:$G$4331,'Odoo Items'!$J$5:$J$4331,A285),2)</f>
        <v>1379.13</v>
      </c>
      <c r="L285" s="9">
        <f>ROUND(J285-K285,2)</f>
        <v>0</v>
      </c>
      <c r="M285" s="9">
        <f>ROUND(SUMIFS('Bank Lines'!$E$5:$E$1640,'Bank Lines'!$G$5:$G$1640,A285,'Bank Lines'!$J$5:$J$1640,1,'Bank Lines'!$C$5:$C$1640,"&lt;="&amp;Cover!$C$13),2)</f>
        <v>0</v>
      </c>
      <c r="N285" s="9">
        <f>ROUND(SUMIFS('Odoo Items'!$G$5:$G$4331,'Odoo Items'!$J$5:$J$4331,A285,'Odoo Items'!$C$5:$C$4331,"&lt;="&amp;Cover!$C$13),2)</f>
        <v>0</v>
      </c>
      <c r="O285">
        <f>COUNTIFS('Bank Lines'!$G$5:$G$1640,A285,'Bank Lines'!$J$5:$J$1640,1,'Bank Lines'!$C$5:$C$1640,"&lt;="&amp;Cover!$C$13)</f>
        <v>0</v>
      </c>
      <c r="P285">
        <f>COUNTIFS('Odoo Items'!$J$5:$J$4331,A285,'Odoo Items'!$C$5:$C$4331,"&lt;="&amp;Cover!$C$13)</f>
        <v>0</v>
      </c>
      <c r="Q285">
        <f>IF(AND(O285=0,P285=0),"",IF(O285=0,"ODOO-ONLY",IF(P285=0,"BANK-ONLY","BOTH")))</f>
      </c>
      <c r="R285" s="9">
        <f>IF(Q285="BOTH",ROUND(M285-N285,2),0)</f>
        <v>0</v>
      </c>
      <c r="S285" s="9">
        <f>ROUND(SUMIFS('Bank Lines'!$E$5:$E$1640,'Bank Lines'!$G$5:$G$1640,A285,'Bank Lines'!$J$5:$J$1640,1,'Bank Lines'!$C$5:$C$1640,"&lt;="&amp;Cover!$C$14),2)</f>
        <v>1379.13</v>
      </c>
      <c r="T285" s="9">
        <f>ROUND(SUMIFS('Odoo Items'!$G$5:$G$4331,'Odoo Items'!$J$5:$J$4331,A285,'Odoo Items'!$C$5:$C$4331,"&lt;="&amp;Cover!$C$14),2)</f>
        <v>1379.13</v>
      </c>
      <c r="U285">
        <f>COUNTIFS('Bank Lines'!$G$5:$G$1640,A285,'Bank Lines'!$J$5:$J$1640,1,'Bank Lines'!$C$5:$C$1640,"&lt;="&amp;Cover!$C$14)</f>
        <v>1</v>
      </c>
      <c r="V285">
        <f>COUNTIFS('Odoo Items'!$J$5:$J$4331,A285,'Odoo Items'!$C$5:$C$4331,"&lt;="&amp;Cover!$C$14)</f>
        <v>6</v>
      </c>
      <c r="W285" t="str">
        <f>IF(AND(U285=0,V285=0),"",IF(U285=0,"ODOO-ONLY",IF(V285=0,"BANK-ONLY","BOTH")))</f>
        <v>BOTH</v>
      </c>
      <c r="X285" s="9">
        <f>IF(W285="BOTH",ROUND(S285-T285,2),0)</f>
        <v>0</v>
      </c>
      <c r="Y285" s="9">
        <f>ROUND(SUMIFS('Bank Lines'!$E$5:$E$1640,'Bank Lines'!$G$5:$G$1640,A285,'Bank Lines'!$J$5:$J$1640,1,'Bank Lines'!$C$5:$C$1640,"&lt;="&amp;Cover!$C$15),2)</f>
        <v>1379.13</v>
      </c>
      <c r="Z285" s="9">
        <f>ROUND(SUMIFS('Odoo Items'!$G$5:$G$4331,'Odoo Items'!$J$5:$J$4331,A285,'Odoo Items'!$C$5:$C$4331,"&lt;="&amp;Cover!$C$15),2)</f>
        <v>1379.13</v>
      </c>
      <c r="AA285">
        <f>COUNTIFS('Bank Lines'!$G$5:$G$1640,A285,'Bank Lines'!$J$5:$J$1640,1,'Bank Lines'!$C$5:$C$1640,"&lt;="&amp;Cover!$C$15)</f>
        <v>1</v>
      </c>
      <c r="AB285">
        <f>COUNTIFS('Odoo Items'!$J$5:$J$4331,A285,'Odoo Items'!$C$5:$C$4331,"&lt;="&amp;Cover!$C$15)</f>
        <v>6</v>
      </c>
      <c r="AC285" t="str">
        <f>IF(AND(AA285=0,AB285=0),"",IF(AA285=0,"ODOO-ONLY",IF(AB285=0,"BANK-ONLY","BOTH")))</f>
        <v>BOTH</v>
      </c>
      <c r="AD285" s="9">
        <f>IF(AC285="BOTH",ROUND(Y285-Z285,2),0)</f>
        <v>0</v>
      </c>
    </row>
    <row r="286">
      <c r="A286" t="inlineStr">
        <is>
          <t>G00282</t>
        </is>
      </c>
      <c r="B286" t="inlineStr">
        <is>
          <t>OPS</t>
        </is>
      </c>
      <c r="C286" t="inlineStr">
        <is>
          <t>R03</t>
        </is>
      </c>
      <c r="D286" t="inlineStr">
        <is>
          <t>MATCH</t>
        </is>
      </c>
      <c r="E286" t="inlineStr">
        <is>
          <t>Wattle Plan Services</t>
        </is>
      </c>
      <c r="F286" t="n">
        <v>1</v>
      </c>
      <c r="G286" t="inlineStr">
        <is>
          <t>2 invoices</t>
        </is>
      </c>
      <c r="H286">
        <f>COUNTIFS('Bank Lines'!$G$5:$G$1640,A286,'Bank Lines'!$J$5:$J$1640,1)</f>
        <v>1</v>
      </c>
      <c r="I286">
        <f>COUNTIFS('Odoo Items'!$J$5:$J$4331,A286)</f>
        <v>2</v>
      </c>
      <c r="J286" s="9">
        <f>ROUND(SUMIFS('Bank Lines'!$E$5:$E$1640,'Bank Lines'!$G$5:$G$1640,A286,'Bank Lines'!$J$5:$J$1640,1),2)</f>
        <v>484.97</v>
      </c>
      <c r="K286" s="9">
        <f>ROUND(SUMIFS('Odoo Items'!$G$5:$G$4331,'Odoo Items'!$J$5:$J$4331,A286),2)</f>
        <v>484.97</v>
      </c>
      <c r="L286" s="9">
        <f>ROUND(J286-K286,2)</f>
        <v>0</v>
      </c>
      <c r="M286" s="9">
        <f>ROUND(SUMIFS('Bank Lines'!$E$5:$E$1640,'Bank Lines'!$G$5:$G$1640,A286,'Bank Lines'!$J$5:$J$1640,1,'Bank Lines'!$C$5:$C$1640,"&lt;="&amp;Cover!$C$13),2)</f>
        <v>0</v>
      </c>
      <c r="N286" s="9">
        <f>ROUND(SUMIFS('Odoo Items'!$G$5:$G$4331,'Odoo Items'!$J$5:$J$4331,A286,'Odoo Items'!$C$5:$C$4331,"&lt;="&amp;Cover!$C$13),2)</f>
        <v>0</v>
      </c>
      <c r="O286">
        <f>COUNTIFS('Bank Lines'!$G$5:$G$1640,A286,'Bank Lines'!$J$5:$J$1640,1,'Bank Lines'!$C$5:$C$1640,"&lt;="&amp;Cover!$C$13)</f>
        <v>0</v>
      </c>
      <c r="P286">
        <f>COUNTIFS('Odoo Items'!$J$5:$J$4331,A286,'Odoo Items'!$C$5:$C$4331,"&lt;="&amp;Cover!$C$13)</f>
        <v>0</v>
      </c>
      <c r="Q286">
        <f>IF(AND(O286=0,P286=0),"",IF(O286=0,"ODOO-ONLY",IF(P286=0,"BANK-ONLY","BOTH")))</f>
      </c>
      <c r="R286" s="9">
        <f>IF(Q286="BOTH",ROUND(M286-N286,2),0)</f>
        <v>0</v>
      </c>
      <c r="S286" s="9">
        <f>ROUND(SUMIFS('Bank Lines'!$E$5:$E$1640,'Bank Lines'!$G$5:$G$1640,A286,'Bank Lines'!$J$5:$J$1640,1,'Bank Lines'!$C$5:$C$1640,"&lt;="&amp;Cover!$C$14),2)</f>
        <v>484.97</v>
      </c>
      <c r="T286" s="9">
        <f>ROUND(SUMIFS('Odoo Items'!$G$5:$G$4331,'Odoo Items'!$J$5:$J$4331,A286,'Odoo Items'!$C$5:$C$4331,"&lt;="&amp;Cover!$C$14),2)</f>
        <v>484.97</v>
      </c>
      <c r="U286">
        <f>COUNTIFS('Bank Lines'!$G$5:$G$1640,A286,'Bank Lines'!$J$5:$J$1640,1,'Bank Lines'!$C$5:$C$1640,"&lt;="&amp;Cover!$C$14)</f>
        <v>1</v>
      </c>
      <c r="V286">
        <f>COUNTIFS('Odoo Items'!$J$5:$J$4331,A286,'Odoo Items'!$C$5:$C$4331,"&lt;="&amp;Cover!$C$14)</f>
        <v>2</v>
      </c>
      <c r="W286" t="str">
        <f>IF(AND(U286=0,V286=0),"",IF(U286=0,"ODOO-ONLY",IF(V286=0,"BANK-ONLY","BOTH")))</f>
        <v>BOTH</v>
      </c>
      <c r="X286" s="9">
        <f>IF(W286="BOTH",ROUND(S286-T286,2),0)</f>
        <v>0</v>
      </c>
      <c r="Y286" s="9">
        <f>ROUND(SUMIFS('Bank Lines'!$E$5:$E$1640,'Bank Lines'!$G$5:$G$1640,A286,'Bank Lines'!$J$5:$J$1640,1,'Bank Lines'!$C$5:$C$1640,"&lt;="&amp;Cover!$C$15),2)</f>
        <v>484.97</v>
      </c>
      <c r="Z286" s="9">
        <f>ROUND(SUMIFS('Odoo Items'!$G$5:$G$4331,'Odoo Items'!$J$5:$J$4331,A286,'Odoo Items'!$C$5:$C$4331,"&lt;="&amp;Cover!$C$15),2)</f>
        <v>484.97</v>
      </c>
      <c r="AA286">
        <f>COUNTIFS('Bank Lines'!$G$5:$G$1640,A286,'Bank Lines'!$J$5:$J$1640,1,'Bank Lines'!$C$5:$C$1640,"&lt;="&amp;Cover!$C$15)</f>
        <v>1</v>
      </c>
      <c r="AB286">
        <f>COUNTIFS('Odoo Items'!$J$5:$J$4331,A286,'Odoo Items'!$C$5:$C$4331,"&lt;="&amp;Cover!$C$15)</f>
        <v>2</v>
      </c>
      <c r="AC286" t="str">
        <f>IF(AND(AA286=0,AB286=0),"",IF(AA286=0,"ODOO-ONLY",IF(AB286=0,"BANK-ONLY","BOTH")))</f>
        <v>BOTH</v>
      </c>
      <c r="AD286" s="9">
        <f>IF(AC286="BOTH",ROUND(Y286-Z286,2),0)</f>
        <v>0</v>
      </c>
    </row>
    <row r="287">
      <c r="A287" t="inlineStr">
        <is>
          <t>G00283</t>
        </is>
      </c>
      <c r="B287" t="inlineStr">
        <is>
          <t>OPS</t>
        </is>
      </c>
      <c r="C287" t="inlineStr">
        <is>
          <t>R03</t>
        </is>
      </c>
      <c r="D287" t="inlineStr">
        <is>
          <t>MATCH</t>
        </is>
      </c>
      <c r="E287" t="inlineStr">
        <is>
          <t>Banksia Plan Co</t>
        </is>
      </c>
      <c r="F287" t="n">
        <v>1</v>
      </c>
      <c r="G287" t="inlineStr">
        <is>
          <t>2 invoices</t>
        </is>
      </c>
      <c r="H287">
        <f>COUNTIFS('Bank Lines'!$G$5:$G$1640,A287,'Bank Lines'!$J$5:$J$1640,1)</f>
        <v>1</v>
      </c>
      <c r="I287">
        <f>COUNTIFS('Odoo Items'!$J$5:$J$4331,A287)</f>
        <v>2</v>
      </c>
      <c r="J287" s="9">
        <f>ROUND(SUMIFS('Bank Lines'!$E$5:$E$1640,'Bank Lines'!$G$5:$G$1640,A287,'Bank Lines'!$J$5:$J$1640,1),2)</f>
        <v>640.17</v>
      </c>
      <c r="K287" s="9">
        <f>ROUND(SUMIFS('Odoo Items'!$G$5:$G$4331,'Odoo Items'!$J$5:$J$4331,A287),2)</f>
        <v>640.17</v>
      </c>
      <c r="L287" s="9">
        <f>ROUND(J287-K287,2)</f>
        <v>0</v>
      </c>
      <c r="M287" s="9">
        <f>ROUND(SUMIFS('Bank Lines'!$E$5:$E$1640,'Bank Lines'!$G$5:$G$1640,A287,'Bank Lines'!$J$5:$J$1640,1,'Bank Lines'!$C$5:$C$1640,"&lt;="&amp;Cover!$C$13),2)</f>
        <v>0</v>
      </c>
      <c r="N287" s="9">
        <f>ROUND(SUMIFS('Odoo Items'!$G$5:$G$4331,'Odoo Items'!$J$5:$J$4331,A287,'Odoo Items'!$C$5:$C$4331,"&lt;="&amp;Cover!$C$13),2)</f>
        <v>0</v>
      </c>
      <c r="O287">
        <f>COUNTIFS('Bank Lines'!$G$5:$G$1640,A287,'Bank Lines'!$J$5:$J$1640,1,'Bank Lines'!$C$5:$C$1640,"&lt;="&amp;Cover!$C$13)</f>
        <v>0</v>
      </c>
      <c r="P287">
        <f>COUNTIFS('Odoo Items'!$J$5:$J$4331,A287,'Odoo Items'!$C$5:$C$4331,"&lt;="&amp;Cover!$C$13)</f>
        <v>0</v>
      </c>
      <c r="Q287">
        <f>IF(AND(O287=0,P287=0),"",IF(O287=0,"ODOO-ONLY",IF(P287=0,"BANK-ONLY","BOTH")))</f>
      </c>
      <c r="R287" s="9">
        <f>IF(Q287="BOTH",ROUND(M287-N287,2),0)</f>
        <v>0</v>
      </c>
      <c r="S287" s="9">
        <f>ROUND(SUMIFS('Bank Lines'!$E$5:$E$1640,'Bank Lines'!$G$5:$G$1640,A287,'Bank Lines'!$J$5:$J$1640,1,'Bank Lines'!$C$5:$C$1640,"&lt;="&amp;Cover!$C$14),2)</f>
        <v>640.17</v>
      </c>
      <c r="T287" s="9">
        <f>ROUND(SUMIFS('Odoo Items'!$G$5:$G$4331,'Odoo Items'!$J$5:$J$4331,A287,'Odoo Items'!$C$5:$C$4331,"&lt;="&amp;Cover!$C$14),2)</f>
        <v>640.17</v>
      </c>
      <c r="U287">
        <f>COUNTIFS('Bank Lines'!$G$5:$G$1640,A287,'Bank Lines'!$J$5:$J$1640,1,'Bank Lines'!$C$5:$C$1640,"&lt;="&amp;Cover!$C$14)</f>
        <v>1</v>
      </c>
      <c r="V287">
        <f>COUNTIFS('Odoo Items'!$J$5:$J$4331,A287,'Odoo Items'!$C$5:$C$4331,"&lt;="&amp;Cover!$C$14)</f>
        <v>2</v>
      </c>
      <c r="W287" t="str">
        <f>IF(AND(U287=0,V287=0),"",IF(U287=0,"ODOO-ONLY",IF(V287=0,"BANK-ONLY","BOTH")))</f>
        <v>BOTH</v>
      </c>
      <c r="X287" s="9">
        <f>IF(W287="BOTH",ROUND(S287-T287,2),0)</f>
        <v>0</v>
      </c>
      <c r="Y287" s="9">
        <f>ROUND(SUMIFS('Bank Lines'!$E$5:$E$1640,'Bank Lines'!$G$5:$G$1640,A287,'Bank Lines'!$J$5:$J$1640,1,'Bank Lines'!$C$5:$C$1640,"&lt;="&amp;Cover!$C$15),2)</f>
        <v>640.17</v>
      </c>
      <c r="Z287" s="9">
        <f>ROUND(SUMIFS('Odoo Items'!$G$5:$G$4331,'Odoo Items'!$J$5:$J$4331,A287,'Odoo Items'!$C$5:$C$4331,"&lt;="&amp;Cover!$C$15),2)</f>
        <v>640.17</v>
      </c>
      <c r="AA287">
        <f>COUNTIFS('Bank Lines'!$G$5:$G$1640,A287,'Bank Lines'!$J$5:$J$1640,1,'Bank Lines'!$C$5:$C$1640,"&lt;="&amp;Cover!$C$15)</f>
        <v>1</v>
      </c>
      <c r="AB287">
        <f>COUNTIFS('Odoo Items'!$J$5:$J$4331,A287,'Odoo Items'!$C$5:$C$4331,"&lt;="&amp;Cover!$C$15)</f>
        <v>2</v>
      </c>
      <c r="AC287" t="str">
        <f>IF(AND(AA287=0,AB287=0),"",IF(AA287=0,"ODOO-ONLY",IF(AB287=0,"BANK-ONLY","BOTH")))</f>
        <v>BOTH</v>
      </c>
      <c r="AD287" s="9">
        <f>IF(AC287="BOTH",ROUND(Y287-Z287,2),0)</f>
        <v>0</v>
      </c>
    </row>
    <row r="288">
      <c r="A288" t="inlineStr">
        <is>
          <t>G00284</t>
        </is>
      </c>
      <c r="B288" t="inlineStr">
        <is>
          <t>OPS</t>
        </is>
      </c>
      <c r="C288" t="inlineStr">
        <is>
          <t>R03</t>
        </is>
      </c>
      <c r="D288" t="inlineStr">
        <is>
          <t>MATCH</t>
        </is>
      </c>
      <c r="E288" t="inlineStr">
        <is>
          <t>Ironbark Plan Management</t>
        </is>
      </c>
      <c r="F288" t="n">
        <v>1</v>
      </c>
      <c r="G288" t="inlineStr">
        <is>
          <t>4 invoices; 1 short-paid, registered correctly</t>
        </is>
      </c>
      <c r="H288">
        <f>COUNTIFS('Bank Lines'!$G$5:$G$1640,A288,'Bank Lines'!$J$5:$J$1640,1)</f>
        <v>1</v>
      </c>
      <c r="I288">
        <f>COUNTIFS('Odoo Items'!$J$5:$J$4331,A288)</f>
        <v>4</v>
      </c>
      <c r="J288" s="9">
        <f>ROUND(SUMIFS('Bank Lines'!$E$5:$E$1640,'Bank Lines'!$G$5:$G$1640,A288,'Bank Lines'!$J$5:$J$1640,1),2)</f>
        <v>989.34</v>
      </c>
      <c r="K288" s="9">
        <f>ROUND(SUMIFS('Odoo Items'!$G$5:$G$4331,'Odoo Items'!$J$5:$J$4331,A288),2)</f>
        <v>989.34</v>
      </c>
      <c r="L288" s="9">
        <f>ROUND(J288-K288,2)</f>
        <v>0</v>
      </c>
      <c r="M288" s="9">
        <f>ROUND(SUMIFS('Bank Lines'!$E$5:$E$1640,'Bank Lines'!$G$5:$G$1640,A288,'Bank Lines'!$J$5:$J$1640,1,'Bank Lines'!$C$5:$C$1640,"&lt;="&amp;Cover!$C$13),2)</f>
        <v>0</v>
      </c>
      <c r="N288" s="9">
        <f>ROUND(SUMIFS('Odoo Items'!$G$5:$G$4331,'Odoo Items'!$J$5:$J$4331,A288,'Odoo Items'!$C$5:$C$4331,"&lt;="&amp;Cover!$C$13),2)</f>
        <v>0</v>
      </c>
      <c r="O288">
        <f>COUNTIFS('Bank Lines'!$G$5:$G$1640,A288,'Bank Lines'!$J$5:$J$1640,1,'Bank Lines'!$C$5:$C$1640,"&lt;="&amp;Cover!$C$13)</f>
        <v>0</v>
      </c>
      <c r="P288">
        <f>COUNTIFS('Odoo Items'!$J$5:$J$4331,A288,'Odoo Items'!$C$5:$C$4331,"&lt;="&amp;Cover!$C$13)</f>
        <v>0</v>
      </c>
      <c r="Q288">
        <f>IF(AND(O288=0,P288=0),"",IF(O288=0,"ODOO-ONLY",IF(P288=0,"BANK-ONLY","BOTH")))</f>
      </c>
      <c r="R288" s="9">
        <f>IF(Q288="BOTH",ROUND(M288-N288,2),0)</f>
        <v>0</v>
      </c>
      <c r="S288" s="9">
        <f>ROUND(SUMIFS('Bank Lines'!$E$5:$E$1640,'Bank Lines'!$G$5:$G$1640,A288,'Bank Lines'!$J$5:$J$1640,1,'Bank Lines'!$C$5:$C$1640,"&lt;="&amp;Cover!$C$14),2)</f>
        <v>989.34</v>
      </c>
      <c r="T288" s="9">
        <f>ROUND(SUMIFS('Odoo Items'!$G$5:$G$4331,'Odoo Items'!$J$5:$J$4331,A288,'Odoo Items'!$C$5:$C$4331,"&lt;="&amp;Cover!$C$14),2)</f>
        <v>989.34</v>
      </c>
      <c r="U288">
        <f>COUNTIFS('Bank Lines'!$G$5:$G$1640,A288,'Bank Lines'!$J$5:$J$1640,1,'Bank Lines'!$C$5:$C$1640,"&lt;="&amp;Cover!$C$14)</f>
        <v>1</v>
      </c>
      <c r="V288">
        <f>COUNTIFS('Odoo Items'!$J$5:$J$4331,A288,'Odoo Items'!$C$5:$C$4331,"&lt;="&amp;Cover!$C$14)</f>
        <v>4</v>
      </c>
      <c r="W288" t="str">
        <f>IF(AND(U288=0,V288=0),"",IF(U288=0,"ODOO-ONLY",IF(V288=0,"BANK-ONLY","BOTH")))</f>
        <v>BOTH</v>
      </c>
      <c r="X288" s="9">
        <f>IF(W288="BOTH",ROUND(S288-T288,2),0)</f>
        <v>0</v>
      </c>
      <c r="Y288" s="9">
        <f>ROUND(SUMIFS('Bank Lines'!$E$5:$E$1640,'Bank Lines'!$G$5:$G$1640,A288,'Bank Lines'!$J$5:$J$1640,1,'Bank Lines'!$C$5:$C$1640,"&lt;="&amp;Cover!$C$15),2)</f>
        <v>989.34</v>
      </c>
      <c r="Z288" s="9">
        <f>ROUND(SUMIFS('Odoo Items'!$G$5:$G$4331,'Odoo Items'!$J$5:$J$4331,A288,'Odoo Items'!$C$5:$C$4331,"&lt;="&amp;Cover!$C$15),2)</f>
        <v>989.34</v>
      </c>
      <c r="AA288">
        <f>COUNTIFS('Bank Lines'!$G$5:$G$1640,A288,'Bank Lines'!$J$5:$J$1640,1,'Bank Lines'!$C$5:$C$1640,"&lt;="&amp;Cover!$C$15)</f>
        <v>1</v>
      </c>
      <c r="AB288">
        <f>COUNTIFS('Odoo Items'!$J$5:$J$4331,A288,'Odoo Items'!$C$5:$C$4331,"&lt;="&amp;Cover!$C$15)</f>
        <v>4</v>
      </c>
      <c r="AC288" t="str">
        <f>IF(AND(AA288=0,AB288=0),"",IF(AA288=0,"ODOO-ONLY",IF(AB288=0,"BANK-ONLY","BOTH")))</f>
        <v>BOTH</v>
      </c>
      <c r="AD288" s="9">
        <f>IF(AC288="BOTH",ROUND(Y288-Z288,2),0)</f>
        <v>0</v>
      </c>
    </row>
    <row r="289">
      <c r="A289" t="inlineStr">
        <is>
          <t>G00285</t>
        </is>
      </c>
      <c r="B289" t="inlineStr">
        <is>
          <t>OPS</t>
        </is>
      </c>
      <c r="C289" t="inlineStr">
        <is>
          <t>R03</t>
        </is>
      </c>
      <c r="D289" t="inlineStr">
        <is>
          <t>REG</t>
        </is>
      </c>
      <c r="E289" t="inlineStr">
        <is>
          <t>Redgum Plan Admin</t>
        </is>
      </c>
      <c r="F289" t="n">
        <v>1</v>
      </c>
      <c r="G289" t="inlineStr">
        <is>
          <t>Receipt not registered in Odoo; remittance RA45006 lists 2 invoices</t>
        </is>
      </c>
      <c r="H289">
        <f>COUNTIFS('Bank Lines'!$G$5:$G$1640,A289,'Bank Lines'!$J$5:$J$1640,1)</f>
        <v>1</v>
      </c>
      <c r="I289">
        <f>COUNTIFS('Odoo Items'!$J$5:$J$4331,A289)</f>
        <v>0</v>
      </c>
      <c r="J289" s="9">
        <f>ROUND(SUMIFS('Bank Lines'!$E$5:$E$1640,'Bank Lines'!$G$5:$G$1640,A289,'Bank Lines'!$J$5:$J$1640,1),2)</f>
        <v>543.17</v>
      </c>
      <c r="K289" s="9">
        <f>ROUND(SUMIFS('Odoo Items'!$G$5:$G$4331,'Odoo Items'!$J$5:$J$4331,A289),2)</f>
        <v>0</v>
      </c>
      <c r="L289" s="9">
        <f>ROUND(J289-K289,2)</f>
        <v>543.17</v>
      </c>
      <c r="M289" s="9">
        <f>ROUND(SUMIFS('Bank Lines'!$E$5:$E$1640,'Bank Lines'!$G$5:$G$1640,A289,'Bank Lines'!$J$5:$J$1640,1,'Bank Lines'!$C$5:$C$1640,"&lt;="&amp;Cover!$C$13),2)</f>
        <v>0</v>
      </c>
      <c r="N289" s="9">
        <f>ROUND(SUMIFS('Odoo Items'!$G$5:$G$4331,'Odoo Items'!$J$5:$J$4331,A289,'Odoo Items'!$C$5:$C$4331,"&lt;="&amp;Cover!$C$13),2)</f>
        <v>0</v>
      </c>
      <c r="O289">
        <f>COUNTIFS('Bank Lines'!$G$5:$G$1640,A289,'Bank Lines'!$J$5:$J$1640,1,'Bank Lines'!$C$5:$C$1640,"&lt;="&amp;Cover!$C$13)</f>
        <v>0</v>
      </c>
      <c r="P289">
        <f>COUNTIFS('Odoo Items'!$J$5:$J$4331,A289,'Odoo Items'!$C$5:$C$4331,"&lt;="&amp;Cover!$C$13)</f>
        <v>0</v>
      </c>
      <c r="Q289">
        <f>IF(AND(O289=0,P289=0),"",IF(O289=0,"ODOO-ONLY",IF(P289=0,"BANK-ONLY","BOTH")))</f>
      </c>
      <c r="R289" s="9">
        <f>IF(Q289="BOTH",ROUND(M289-N289,2),0)</f>
        <v>0</v>
      </c>
      <c r="S289" s="9">
        <f>ROUND(SUMIFS('Bank Lines'!$E$5:$E$1640,'Bank Lines'!$G$5:$G$1640,A289,'Bank Lines'!$J$5:$J$1640,1,'Bank Lines'!$C$5:$C$1640,"&lt;="&amp;Cover!$C$14),2)</f>
        <v>543.17</v>
      </c>
      <c r="T289" s="9">
        <f>ROUND(SUMIFS('Odoo Items'!$G$5:$G$4331,'Odoo Items'!$J$5:$J$4331,A289,'Odoo Items'!$C$5:$C$4331,"&lt;="&amp;Cover!$C$14),2)</f>
        <v>0</v>
      </c>
      <c r="U289">
        <f>COUNTIFS('Bank Lines'!$G$5:$G$1640,A289,'Bank Lines'!$J$5:$J$1640,1,'Bank Lines'!$C$5:$C$1640,"&lt;="&amp;Cover!$C$14)</f>
        <v>1</v>
      </c>
      <c r="V289">
        <f>COUNTIFS('Odoo Items'!$J$5:$J$4331,A289,'Odoo Items'!$C$5:$C$4331,"&lt;="&amp;Cover!$C$14)</f>
        <v>0</v>
      </c>
      <c r="W289" t="str">
        <f>IF(AND(U289=0,V289=0),"",IF(U289=0,"ODOO-ONLY",IF(V289=0,"BANK-ONLY","BOTH")))</f>
        <v>BANK-ONLY</v>
      </c>
      <c r="X289" s="9">
        <f>IF(W289="BOTH",ROUND(S289-T289,2),0)</f>
        <v>0</v>
      </c>
      <c r="Y289" s="9">
        <f>ROUND(SUMIFS('Bank Lines'!$E$5:$E$1640,'Bank Lines'!$G$5:$G$1640,A289,'Bank Lines'!$J$5:$J$1640,1,'Bank Lines'!$C$5:$C$1640,"&lt;="&amp;Cover!$C$15),2)</f>
        <v>543.17</v>
      </c>
      <c r="Z289" s="9">
        <f>ROUND(SUMIFS('Odoo Items'!$G$5:$G$4331,'Odoo Items'!$J$5:$J$4331,A289,'Odoo Items'!$C$5:$C$4331,"&lt;="&amp;Cover!$C$15),2)</f>
        <v>0</v>
      </c>
      <c r="AA289">
        <f>COUNTIFS('Bank Lines'!$G$5:$G$1640,A289,'Bank Lines'!$J$5:$J$1640,1,'Bank Lines'!$C$5:$C$1640,"&lt;="&amp;Cover!$C$15)</f>
        <v>1</v>
      </c>
      <c r="AB289">
        <f>COUNTIFS('Odoo Items'!$J$5:$J$4331,A289,'Odoo Items'!$C$5:$C$4331,"&lt;="&amp;Cover!$C$15)</f>
        <v>0</v>
      </c>
      <c r="AC289" t="str">
        <f>IF(AND(AA289=0,AB289=0),"",IF(AA289=0,"ODOO-ONLY",IF(AB289=0,"BANK-ONLY","BOTH")))</f>
        <v>BANK-ONLY</v>
      </c>
      <c r="AD289" s="9">
        <f>IF(AC289="BOTH",ROUND(Y289-Z289,2),0)</f>
        <v>0</v>
      </c>
    </row>
    <row r="290">
      <c r="A290" t="inlineStr">
        <is>
          <t>G00286</t>
        </is>
      </c>
      <c r="B290" t="inlineStr">
        <is>
          <t>OPS</t>
        </is>
      </c>
      <c r="C290" t="inlineStr">
        <is>
          <t>R03</t>
        </is>
      </c>
      <c r="D290" t="inlineStr">
        <is>
          <t>MATCH</t>
        </is>
      </c>
      <c r="E290" t="inlineStr">
        <is>
          <t>Lyrebird Plan Management</t>
        </is>
      </c>
      <c r="F290" t="n">
        <v>1</v>
      </c>
      <c r="G290" t="inlineStr">
        <is>
          <t>4 invoices</t>
        </is>
      </c>
      <c r="H290">
        <f>COUNTIFS('Bank Lines'!$G$5:$G$1640,A290,'Bank Lines'!$J$5:$J$1640,1)</f>
        <v>1</v>
      </c>
      <c r="I290">
        <f>COUNTIFS('Odoo Items'!$J$5:$J$4331,A290)</f>
        <v>4</v>
      </c>
      <c r="J290" s="9">
        <f>ROUND(SUMIFS('Bank Lines'!$E$5:$E$1640,'Bank Lines'!$G$5:$G$1640,A290,'Bank Lines'!$J$5:$J$1640,1),2)</f>
        <v>921.44</v>
      </c>
      <c r="K290" s="9">
        <f>ROUND(SUMIFS('Odoo Items'!$G$5:$G$4331,'Odoo Items'!$J$5:$J$4331,A290),2)</f>
        <v>921.44</v>
      </c>
      <c r="L290" s="9">
        <f>ROUND(J290-K290,2)</f>
        <v>0</v>
      </c>
      <c r="M290" s="9">
        <f>ROUND(SUMIFS('Bank Lines'!$E$5:$E$1640,'Bank Lines'!$G$5:$G$1640,A290,'Bank Lines'!$J$5:$J$1640,1,'Bank Lines'!$C$5:$C$1640,"&lt;="&amp;Cover!$C$13),2)</f>
        <v>0</v>
      </c>
      <c r="N290" s="9">
        <f>ROUND(SUMIFS('Odoo Items'!$G$5:$G$4331,'Odoo Items'!$J$5:$J$4331,A290,'Odoo Items'!$C$5:$C$4331,"&lt;="&amp;Cover!$C$13),2)</f>
        <v>0</v>
      </c>
      <c r="O290">
        <f>COUNTIFS('Bank Lines'!$G$5:$G$1640,A290,'Bank Lines'!$J$5:$J$1640,1,'Bank Lines'!$C$5:$C$1640,"&lt;="&amp;Cover!$C$13)</f>
        <v>0</v>
      </c>
      <c r="P290">
        <f>COUNTIFS('Odoo Items'!$J$5:$J$4331,A290,'Odoo Items'!$C$5:$C$4331,"&lt;="&amp;Cover!$C$13)</f>
        <v>0</v>
      </c>
      <c r="Q290">
        <f>IF(AND(O290=0,P290=0),"",IF(O290=0,"ODOO-ONLY",IF(P290=0,"BANK-ONLY","BOTH")))</f>
      </c>
      <c r="R290" s="9">
        <f>IF(Q290="BOTH",ROUND(M290-N290,2),0)</f>
        <v>0</v>
      </c>
      <c r="S290" s="9">
        <f>ROUND(SUMIFS('Bank Lines'!$E$5:$E$1640,'Bank Lines'!$G$5:$G$1640,A290,'Bank Lines'!$J$5:$J$1640,1,'Bank Lines'!$C$5:$C$1640,"&lt;="&amp;Cover!$C$14),2)</f>
        <v>921.44</v>
      </c>
      <c r="T290" s="9">
        <f>ROUND(SUMIFS('Odoo Items'!$G$5:$G$4331,'Odoo Items'!$J$5:$J$4331,A290,'Odoo Items'!$C$5:$C$4331,"&lt;="&amp;Cover!$C$14),2)</f>
        <v>921.44</v>
      </c>
      <c r="U290">
        <f>COUNTIFS('Bank Lines'!$G$5:$G$1640,A290,'Bank Lines'!$J$5:$J$1640,1,'Bank Lines'!$C$5:$C$1640,"&lt;="&amp;Cover!$C$14)</f>
        <v>1</v>
      </c>
      <c r="V290">
        <f>COUNTIFS('Odoo Items'!$J$5:$J$4331,A290,'Odoo Items'!$C$5:$C$4331,"&lt;="&amp;Cover!$C$14)</f>
        <v>4</v>
      </c>
      <c r="W290" t="str">
        <f>IF(AND(U290=0,V290=0),"",IF(U290=0,"ODOO-ONLY",IF(V290=0,"BANK-ONLY","BOTH")))</f>
        <v>BOTH</v>
      </c>
      <c r="X290" s="9">
        <f>IF(W290="BOTH",ROUND(S290-T290,2),0)</f>
        <v>0</v>
      </c>
      <c r="Y290" s="9">
        <f>ROUND(SUMIFS('Bank Lines'!$E$5:$E$1640,'Bank Lines'!$G$5:$G$1640,A290,'Bank Lines'!$J$5:$J$1640,1,'Bank Lines'!$C$5:$C$1640,"&lt;="&amp;Cover!$C$15),2)</f>
        <v>921.44</v>
      </c>
      <c r="Z290" s="9">
        <f>ROUND(SUMIFS('Odoo Items'!$G$5:$G$4331,'Odoo Items'!$J$5:$J$4331,A290,'Odoo Items'!$C$5:$C$4331,"&lt;="&amp;Cover!$C$15),2)</f>
        <v>921.44</v>
      </c>
      <c r="AA290">
        <f>COUNTIFS('Bank Lines'!$G$5:$G$1640,A290,'Bank Lines'!$J$5:$J$1640,1,'Bank Lines'!$C$5:$C$1640,"&lt;="&amp;Cover!$C$15)</f>
        <v>1</v>
      </c>
      <c r="AB290">
        <f>COUNTIFS('Odoo Items'!$J$5:$J$4331,A290,'Odoo Items'!$C$5:$C$4331,"&lt;="&amp;Cover!$C$15)</f>
        <v>4</v>
      </c>
      <c r="AC290" t="str">
        <f>IF(AND(AA290=0,AB290=0),"",IF(AA290=0,"ODOO-ONLY",IF(AB290=0,"BANK-ONLY","BOTH")))</f>
        <v>BOTH</v>
      </c>
      <c r="AD290" s="9">
        <f>IF(AC290="BOTH",ROUND(Y290-Z290,2),0)</f>
        <v>0</v>
      </c>
    </row>
    <row r="291">
      <c r="A291" t="inlineStr">
        <is>
          <t>G00287</t>
        </is>
      </c>
      <c r="B291" t="inlineStr">
        <is>
          <t>OPS</t>
        </is>
      </c>
      <c r="C291" t="inlineStr">
        <is>
          <t>R03</t>
        </is>
      </c>
      <c r="D291" t="inlineStr">
        <is>
          <t>MATCH</t>
        </is>
      </c>
      <c r="E291" t="inlineStr">
        <is>
          <t>Mallee Plan Services</t>
        </is>
      </c>
      <c r="F291" t="n">
        <v>1</v>
      </c>
      <c r="G291" t="inlineStr">
        <is>
          <t>3 invoices</t>
        </is>
      </c>
      <c r="H291">
        <f>COUNTIFS('Bank Lines'!$G$5:$G$1640,A291,'Bank Lines'!$J$5:$J$1640,1)</f>
        <v>1</v>
      </c>
      <c r="I291">
        <f>COUNTIFS('Odoo Items'!$J$5:$J$4331,A291)</f>
        <v>3</v>
      </c>
      <c r="J291" s="9">
        <f>ROUND(SUMIFS('Bank Lines'!$E$5:$E$1640,'Bank Lines'!$G$5:$G$1640,A291,'Bank Lines'!$J$5:$J$1640,1),2)</f>
        <v>678.96</v>
      </c>
      <c r="K291" s="9">
        <f>ROUND(SUMIFS('Odoo Items'!$G$5:$G$4331,'Odoo Items'!$J$5:$J$4331,A291),2)</f>
        <v>678.96</v>
      </c>
      <c r="L291" s="9">
        <f>ROUND(J291-K291,2)</f>
        <v>0</v>
      </c>
      <c r="M291" s="9">
        <f>ROUND(SUMIFS('Bank Lines'!$E$5:$E$1640,'Bank Lines'!$G$5:$G$1640,A291,'Bank Lines'!$J$5:$J$1640,1,'Bank Lines'!$C$5:$C$1640,"&lt;="&amp;Cover!$C$13),2)</f>
        <v>0</v>
      </c>
      <c r="N291" s="9">
        <f>ROUND(SUMIFS('Odoo Items'!$G$5:$G$4331,'Odoo Items'!$J$5:$J$4331,A291,'Odoo Items'!$C$5:$C$4331,"&lt;="&amp;Cover!$C$13),2)</f>
        <v>0</v>
      </c>
      <c r="O291">
        <f>COUNTIFS('Bank Lines'!$G$5:$G$1640,A291,'Bank Lines'!$J$5:$J$1640,1,'Bank Lines'!$C$5:$C$1640,"&lt;="&amp;Cover!$C$13)</f>
        <v>0</v>
      </c>
      <c r="P291">
        <f>COUNTIFS('Odoo Items'!$J$5:$J$4331,A291,'Odoo Items'!$C$5:$C$4331,"&lt;="&amp;Cover!$C$13)</f>
        <v>0</v>
      </c>
      <c r="Q291">
        <f>IF(AND(O291=0,P291=0),"",IF(O291=0,"ODOO-ONLY",IF(P291=0,"BANK-ONLY","BOTH")))</f>
      </c>
      <c r="R291" s="9">
        <f>IF(Q291="BOTH",ROUND(M291-N291,2),0)</f>
        <v>0</v>
      </c>
      <c r="S291" s="9">
        <f>ROUND(SUMIFS('Bank Lines'!$E$5:$E$1640,'Bank Lines'!$G$5:$G$1640,A291,'Bank Lines'!$J$5:$J$1640,1,'Bank Lines'!$C$5:$C$1640,"&lt;="&amp;Cover!$C$14),2)</f>
        <v>678.96</v>
      </c>
      <c r="T291" s="9">
        <f>ROUND(SUMIFS('Odoo Items'!$G$5:$G$4331,'Odoo Items'!$J$5:$J$4331,A291,'Odoo Items'!$C$5:$C$4331,"&lt;="&amp;Cover!$C$14),2)</f>
        <v>678.96</v>
      </c>
      <c r="U291">
        <f>COUNTIFS('Bank Lines'!$G$5:$G$1640,A291,'Bank Lines'!$J$5:$J$1640,1,'Bank Lines'!$C$5:$C$1640,"&lt;="&amp;Cover!$C$14)</f>
        <v>1</v>
      </c>
      <c r="V291">
        <f>COUNTIFS('Odoo Items'!$J$5:$J$4331,A291,'Odoo Items'!$C$5:$C$4331,"&lt;="&amp;Cover!$C$14)</f>
        <v>3</v>
      </c>
      <c r="W291" t="str">
        <f>IF(AND(U291=0,V291=0),"",IF(U291=0,"ODOO-ONLY",IF(V291=0,"BANK-ONLY","BOTH")))</f>
        <v>BOTH</v>
      </c>
      <c r="X291" s="9">
        <f>IF(W291="BOTH",ROUND(S291-T291,2),0)</f>
        <v>0</v>
      </c>
      <c r="Y291" s="9">
        <f>ROUND(SUMIFS('Bank Lines'!$E$5:$E$1640,'Bank Lines'!$G$5:$G$1640,A291,'Bank Lines'!$J$5:$J$1640,1,'Bank Lines'!$C$5:$C$1640,"&lt;="&amp;Cover!$C$15),2)</f>
        <v>678.96</v>
      </c>
      <c r="Z291" s="9">
        <f>ROUND(SUMIFS('Odoo Items'!$G$5:$G$4331,'Odoo Items'!$J$5:$J$4331,A291,'Odoo Items'!$C$5:$C$4331,"&lt;="&amp;Cover!$C$15),2)</f>
        <v>678.96</v>
      </c>
      <c r="AA291">
        <f>COUNTIFS('Bank Lines'!$G$5:$G$1640,A291,'Bank Lines'!$J$5:$J$1640,1,'Bank Lines'!$C$5:$C$1640,"&lt;="&amp;Cover!$C$15)</f>
        <v>1</v>
      </c>
      <c r="AB291">
        <f>COUNTIFS('Odoo Items'!$J$5:$J$4331,A291,'Odoo Items'!$C$5:$C$4331,"&lt;="&amp;Cover!$C$15)</f>
        <v>3</v>
      </c>
      <c r="AC291" t="str">
        <f>IF(AND(AA291=0,AB291=0),"",IF(AA291=0,"ODOO-ONLY",IF(AB291=0,"BANK-ONLY","BOTH")))</f>
        <v>BOTH</v>
      </c>
      <c r="AD291" s="9">
        <f>IF(AC291="BOTH",ROUND(Y291-Z291,2),0)</f>
        <v>0</v>
      </c>
    </row>
    <row r="292">
      <c r="A292" t="inlineStr">
        <is>
          <t>G00288</t>
        </is>
      </c>
      <c r="B292" t="inlineStr">
        <is>
          <t>OPS</t>
        </is>
      </c>
      <c r="C292" t="inlineStr">
        <is>
          <t>R03</t>
        </is>
      </c>
      <c r="D292" t="inlineStr">
        <is>
          <t>MATCH</t>
        </is>
      </c>
      <c r="E292" t="inlineStr">
        <is>
          <t>Bluegum Plan Management</t>
        </is>
      </c>
      <c r="F292" t="n">
        <v>0.9</v>
      </c>
      <c r="G292" t="inlineStr">
        <is>
          <t>2 invoices; 1 short-paid, registered correctly</t>
        </is>
      </c>
      <c r="H292">
        <f>COUNTIFS('Bank Lines'!$G$5:$G$1640,A292,'Bank Lines'!$J$5:$J$1640,1)</f>
        <v>1</v>
      </c>
      <c r="I292">
        <f>COUNTIFS('Odoo Items'!$J$5:$J$4331,A292)</f>
        <v>2</v>
      </c>
      <c r="J292" s="9">
        <f>ROUND(SUMIFS('Bank Lines'!$E$5:$E$1640,'Bank Lines'!$G$5:$G$1640,A292,'Bank Lines'!$J$5:$J$1640,1),2)</f>
        <v>484.97</v>
      </c>
      <c r="K292" s="9">
        <f>ROUND(SUMIFS('Odoo Items'!$G$5:$G$4331,'Odoo Items'!$J$5:$J$4331,A292),2)</f>
        <v>484.97</v>
      </c>
      <c r="L292" s="9">
        <f>ROUND(J292-K292,2)</f>
        <v>0</v>
      </c>
      <c r="M292" s="9">
        <f>ROUND(SUMIFS('Bank Lines'!$E$5:$E$1640,'Bank Lines'!$G$5:$G$1640,A292,'Bank Lines'!$J$5:$J$1640,1,'Bank Lines'!$C$5:$C$1640,"&lt;="&amp;Cover!$C$13),2)</f>
        <v>0</v>
      </c>
      <c r="N292" s="9">
        <f>ROUND(SUMIFS('Odoo Items'!$G$5:$G$4331,'Odoo Items'!$J$5:$J$4331,A292,'Odoo Items'!$C$5:$C$4331,"&lt;="&amp;Cover!$C$13),2)</f>
        <v>0</v>
      </c>
      <c r="O292">
        <f>COUNTIFS('Bank Lines'!$G$5:$G$1640,A292,'Bank Lines'!$J$5:$J$1640,1,'Bank Lines'!$C$5:$C$1640,"&lt;="&amp;Cover!$C$13)</f>
        <v>0</v>
      </c>
      <c r="P292">
        <f>COUNTIFS('Odoo Items'!$J$5:$J$4331,A292,'Odoo Items'!$C$5:$C$4331,"&lt;="&amp;Cover!$C$13)</f>
        <v>0</v>
      </c>
      <c r="Q292">
        <f>IF(AND(O292=0,P292=0),"",IF(O292=0,"ODOO-ONLY",IF(P292=0,"BANK-ONLY","BOTH")))</f>
      </c>
      <c r="R292" s="9">
        <f>IF(Q292="BOTH",ROUND(M292-N292,2),0)</f>
        <v>0</v>
      </c>
      <c r="S292" s="9">
        <f>ROUND(SUMIFS('Bank Lines'!$E$5:$E$1640,'Bank Lines'!$G$5:$G$1640,A292,'Bank Lines'!$J$5:$J$1640,1,'Bank Lines'!$C$5:$C$1640,"&lt;="&amp;Cover!$C$14),2)</f>
        <v>484.97</v>
      </c>
      <c r="T292" s="9">
        <f>ROUND(SUMIFS('Odoo Items'!$G$5:$G$4331,'Odoo Items'!$J$5:$J$4331,A292,'Odoo Items'!$C$5:$C$4331,"&lt;="&amp;Cover!$C$14),2)</f>
        <v>484.97</v>
      </c>
      <c r="U292">
        <f>COUNTIFS('Bank Lines'!$G$5:$G$1640,A292,'Bank Lines'!$J$5:$J$1640,1,'Bank Lines'!$C$5:$C$1640,"&lt;="&amp;Cover!$C$14)</f>
        <v>1</v>
      </c>
      <c r="V292">
        <f>COUNTIFS('Odoo Items'!$J$5:$J$4331,A292,'Odoo Items'!$C$5:$C$4331,"&lt;="&amp;Cover!$C$14)</f>
        <v>2</v>
      </c>
      <c r="W292" t="str">
        <f>IF(AND(U292=0,V292=0),"",IF(U292=0,"ODOO-ONLY",IF(V292=0,"BANK-ONLY","BOTH")))</f>
        <v>BOTH</v>
      </c>
      <c r="X292" s="9">
        <f>IF(W292="BOTH",ROUND(S292-T292,2),0)</f>
        <v>0</v>
      </c>
      <c r="Y292" s="9">
        <f>ROUND(SUMIFS('Bank Lines'!$E$5:$E$1640,'Bank Lines'!$G$5:$G$1640,A292,'Bank Lines'!$J$5:$J$1640,1,'Bank Lines'!$C$5:$C$1640,"&lt;="&amp;Cover!$C$15),2)</f>
        <v>484.97</v>
      </c>
      <c r="Z292" s="9">
        <f>ROUND(SUMIFS('Odoo Items'!$G$5:$G$4331,'Odoo Items'!$J$5:$J$4331,A292,'Odoo Items'!$C$5:$C$4331,"&lt;="&amp;Cover!$C$15),2)</f>
        <v>484.97</v>
      </c>
      <c r="AA292">
        <f>COUNTIFS('Bank Lines'!$G$5:$G$1640,A292,'Bank Lines'!$J$5:$J$1640,1,'Bank Lines'!$C$5:$C$1640,"&lt;="&amp;Cover!$C$15)</f>
        <v>1</v>
      </c>
      <c r="AB292">
        <f>COUNTIFS('Odoo Items'!$J$5:$J$4331,A292,'Odoo Items'!$C$5:$C$4331,"&lt;="&amp;Cover!$C$15)</f>
        <v>2</v>
      </c>
      <c r="AC292" t="str">
        <f>IF(AND(AA292=0,AB292=0),"",IF(AA292=0,"ODOO-ONLY",IF(AB292=0,"BANK-ONLY","BOTH")))</f>
        <v>BOTH</v>
      </c>
      <c r="AD292" s="9">
        <f>IF(AC292="BOTH",ROUND(Y292-Z292,2),0)</f>
        <v>0</v>
      </c>
    </row>
    <row r="293">
      <c r="A293" t="inlineStr">
        <is>
          <t>G00289</t>
        </is>
      </c>
      <c r="B293" t="inlineStr">
        <is>
          <t>OPS</t>
        </is>
      </c>
      <c r="C293" t="inlineStr">
        <is>
          <t>R03</t>
        </is>
      </c>
      <c r="D293" t="inlineStr">
        <is>
          <t>MATCH</t>
        </is>
      </c>
      <c r="E293" t="inlineStr">
        <is>
          <t>Riverbend Plan Partners</t>
        </is>
      </c>
      <c r="F293" t="n">
        <v>1</v>
      </c>
      <c r="G293" t="inlineStr">
        <is>
          <t>2 invoices</t>
        </is>
      </c>
      <c r="H293">
        <f>COUNTIFS('Bank Lines'!$G$5:$G$1640,A293,'Bank Lines'!$J$5:$J$1640,1)</f>
        <v>1</v>
      </c>
      <c r="I293">
        <f>COUNTIFS('Odoo Items'!$J$5:$J$4331,A293)</f>
        <v>2</v>
      </c>
      <c r="J293" s="9">
        <f>ROUND(SUMIFS('Bank Lines'!$E$5:$E$1640,'Bank Lines'!$G$5:$G$1640,A293,'Bank Lines'!$J$5:$J$1640,1),2)</f>
        <v>369.48</v>
      </c>
      <c r="K293" s="9">
        <f>ROUND(SUMIFS('Odoo Items'!$G$5:$G$4331,'Odoo Items'!$J$5:$J$4331,A293),2)</f>
        <v>369.48</v>
      </c>
      <c r="L293" s="9">
        <f>ROUND(J293-K293,2)</f>
        <v>0</v>
      </c>
      <c r="M293" s="9">
        <f>ROUND(SUMIFS('Bank Lines'!$E$5:$E$1640,'Bank Lines'!$G$5:$G$1640,A293,'Bank Lines'!$J$5:$J$1640,1,'Bank Lines'!$C$5:$C$1640,"&lt;="&amp;Cover!$C$13),2)</f>
        <v>0</v>
      </c>
      <c r="N293" s="9">
        <f>ROUND(SUMIFS('Odoo Items'!$G$5:$G$4331,'Odoo Items'!$J$5:$J$4331,A293,'Odoo Items'!$C$5:$C$4331,"&lt;="&amp;Cover!$C$13),2)</f>
        <v>0</v>
      </c>
      <c r="O293">
        <f>COUNTIFS('Bank Lines'!$G$5:$G$1640,A293,'Bank Lines'!$J$5:$J$1640,1,'Bank Lines'!$C$5:$C$1640,"&lt;="&amp;Cover!$C$13)</f>
        <v>0</v>
      </c>
      <c r="P293">
        <f>COUNTIFS('Odoo Items'!$J$5:$J$4331,A293,'Odoo Items'!$C$5:$C$4331,"&lt;="&amp;Cover!$C$13)</f>
        <v>0</v>
      </c>
      <c r="Q293">
        <f>IF(AND(O293=0,P293=0),"",IF(O293=0,"ODOO-ONLY",IF(P293=0,"BANK-ONLY","BOTH")))</f>
      </c>
      <c r="R293" s="9">
        <f>IF(Q293="BOTH",ROUND(M293-N293,2),0)</f>
        <v>0</v>
      </c>
      <c r="S293" s="9">
        <f>ROUND(SUMIFS('Bank Lines'!$E$5:$E$1640,'Bank Lines'!$G$5:$G$1640,A293,'Bank Lines'!$J$5:$J$1640,1,'Bank Lines'!$C$5:$C$1640,"&lt;="&amp;Cover!$C$14),2)</f>
        <v>369.48</v>
      </c>
      <c r="T293" s="9">
        <f>ROUND(SUMIFS('Odoo Items'!$G$5:$G$4331,'Odoo Items'!$J$5:$J$4331,A293,'Odoo Items'!$C$5:$C$4331,"&lt;="&amp;Cover!$C$14),2)</f>
        <v>369.48</v>
      </c>
      <c r="U293">
        <f>COUNTIFS('Bank Lines'!$G$5:$G$1640,A293,'Bank Lines'!$J$5:$J$1640,1,'Bank Lines'!$C$5:$C$1640,"&lt;="&amp;Cover!$C$14)</f>
        <v>1</v>
      </c>
      <c r="V293">
        <f>COUNTIFS('Odoo Items'!$J$5:$J$4331,A293,'Odoo Items'!$C$5:$C$4331,"&lt;="&amp;Cover!$C$14)</f>
        <v>2</v>
      </c>
      <c r="W293" t="str">
        <f>IF(AND(U293=0,V293=0),"",IF(U293=0,"ODOO-ONLY",IF(V293=0,"BANK-ONLY","BOTH")))</f>
        <v>BOTH</v>
      </c>
      <c r="X293" s="9">
        <f>IF(W293="BOTH",ROUND(S293-T293,2),0)</f>
        <v>0</v>
      </c>
      <c r="Y293" s="9">
        <f>ROUND(SUMIFS('Bank Lines'!$E$5:$E$1640,'Bank Lines'!$G$5:$G$1640,A293,'Bank Lines'!$J$5:$J$1640,1,'Bank Lines'!$C$5:$C$1640,"&lt;="&amp;Cover!$C$15),2)</f>
        <v>369.48</v>
      </c>
      <c r="Z293" s="9">
        <f>ROUND(SUMIFS('Odoo Items'!$G$5:$G$4331,'Odoo Items'!$J$5:$J$4331,A293,'Odoo Items'!$C$5:$C$4331,"&lt;="&amp;Cover!$C$15),2)</f>
        <v>369.48</v>
      </c>
      <c r="AA293">
        <f>COUNTIFS('Bank Lines'!$G$5:$G$1640,A293,'Bank Lines'!$J$5:$J$1640,1,'Bank Lines'!$C$5:$C$1640,"&lt;="&amp;Cover!$C$15)</f>
        <v>1</v>
      </c>
      <c r="AB293">
        <f>COUNTIFS('Odoo Items'!$J$5:$J$4331,A293,'Odoo Items'!$C$5:$C$4331,"&lt;="&amp;Cover!$C$15)</f>
        <v>2</v>
      </c>
      <c r="AC293" t="str">
        <f>IF(AND(AA293=0,AB293=0),"",IF(AA293=0,"ODOO-ONLY",IF(AB293=0,"BANK-ONLY","BOTH")))</f>
        <v>BOTH</v>
      </c>
      <c r="AD293" s="9">
        <f>IF(AC293="BOTH",ROUND(Y293-Z293,2),0)</f>
        <v>0</v>
      </c>
    </row>
    <row r="294">
      <c r="A294" t="inlineStr">
        <is>
          <t>G00290</t>
        </is>
      </c>
      <c r="B294" t="inlineStr">
        <is>
          <t>OPS</t>
        </is>
      </c>
      <c r="C294" t="inlineStr">
        <is>
          <t>R03</t>
        </is>
      </c>
      <c r="D294" t="inlineStr">
        <is>
          <t>MATCH</t>
        </is>
      </c>
      <c r="E294" t="inlineStr">
        <is>
          <t>Banksia Plan Co</t>
        </is>
      </c>
      <c r="F294" t="n">
        <v>0.929</v>
      </c>
      <c r="G294" t="inlineStr">
        <is>
          <t>2 invoices</t>
        </is>
      </c>
      <c r="H294">
        <f>COUNTIFS('Bank Lines'!$G$5:$G$1640,A294,'Bank Lines'!$J$5:$J$1640,1)</f>
        <v>1</v>
      </c>
      <c r="I294">
        <f>COUNTIFS('Odoo Items'!$J$5:$J$4331,A294)</f>
        <v>2</v>
      </c>
      <c r="J294" s="9">
        <f>ROUND(SUMIFS('Bank Lines'!$E$5:$E$1640,'Bank Lines'!$G$5:$G$1640,A294,'Bank Lines'!$J$5:$J$1640,1),2)</f>
        <v>563.47</v>
      </c>
      <c r="K294" s="9">
        <f>ROUND(SUMIFS('Odoo Items'!$G$5:$G$4331,'Odoo Items'!$J$5:$J$4331,A294),2)</f>
        <v>563.47</v>
      </c>
      <c r="L294" s="9">
        <f>ROUND(J294-K294,2)</f>
        <v>0</v>
      </c>
      <c r="M294" s="9">
        <f>ROUND(SUMIFS('Bank Lines'!$E$5:$E$1640,'Bank Lines'!$G$5:$G$1640,A294,'Bank Lines'!$J$5:$J$1640,1,'Bank Lines'!$C$5:$C$1640,"&lt;="&amp;Cover!$C$13),2)</f>
        <v>0</v>
      </c>
      <c r="N294" s="9">
        <f>ROUND(SUMIFS('Odoo Items'!$G$5:$G$4331,'Odoo Items'!$J$5:$J$4331,A294,'Odoo Items'!$C$5:$C$4331,"&lt;="&amp;Cover!$C$13),2)</f>
        <v>0</v>
      </c>
      <c r="O294">
        <f>COUNTIFS('Bank Lines'!$G$5:$G$1640,A294,'Bank Lines'!$J$5:$J$1640,1,'Bank Lines'!$C$5:$C$1640,"&lt;="&amp;Cover!$C$13)</f>
        <v>0</v>
      </c>
      <c r="P294">
        <f>COUNTIFS('Odoo Items'!$J$5:$J$4331,A294,'Odoo Items'!$C$5:$C$4331,"&lt;="&amp;Cover!$C$13)</f>
        <v>0</v>
      </c>
      <c r="Q294">
        <f>IF(AND(O294=0,P294=0),"",IF(O294=0,"ODOO-ONLY",IF(P294=0,"BANK-ONLY","BOTH")))</f>
      </c>
      <c r="R294" s="9">
        <f>IF(Q294="BOTH",ROUND(M294-N294,2),0)</f>
        <v>0</v>
      </c>
      <c r="S294" s="9">
        <f>ROUND(SUMIFS('Bank Lines'!$E$5:$E$1640,'Bank Lines'!$G$5:$G$1640,A294,'Bank Lines'!$J$5:$J$1640,1,'Bank Lines'!$C$5:$C$1640,"&lt;="&amp;Cover!$C$14),2)</f>
        <v>563.47</v>
      </c>
      <c r="T294" s="9">
        <f>ROUND(SUMIFS('Odoo Items'!$G$5:$G$4331,'Odoo Items'!$J$5:$J$4331,A294,'Odoo Items'!$C$5:$C$4331,"&lt;="&amp;Cover!$C$14),2)</f>
        <v>563.47</v>
      </c>
      <c r="U294">
        <f>COUNTIFS('Bank Lines'!$G$5:$G$1640,A294,'Bank Lines'!$J$5:$J$1640,1,'Bank Lines'!$C$5:$C$1640,"&lt;="&amp;Cover!$C$14)</f>
        <v>1</v>
      </c>
      <c r="V294">
        <f>COUNTIFS('Odoo Items'!$J$5:$J$4331,A294,'Odoo Items'!$C$5:$C$4331,"&lt;="&amp;Cover!$C$14)</f>
        <v>2</v>
      </c>
      <c r="W294" t="str">
        <f>IF(AND(U294=0,V294=0),"",IF(U294=0,"ODOO-ONLY",IF(V294=0,"BANK-ONLY","BOTH")))</f>
        <v>BOTH</v>
      </c>
      <c r="X294" s="9">
        <f>IF(W294="BOTH",ROUND(S294-T294,2),0)</f>
        <v>0</v>
      </c>
      <c r="Y294" s="9">
        <f>ROUND(SUMIFS('Bank Lines'!$E$5:$E$1640,'Bank Lines'!$G$5:$G$1640,A294,'Bank Lines'!$J$5:$J$1640,1,'Bank Lines'!$C$5:$C$1640,"&lt;="&amp;Cover!$C$15),2)</f>
        <v>563.47</v>
      </c>
      <c r="Z294" s="9">
        <f>ROUND(SUMIFS('Odoo Items'!$G$5:$G$4331,'Odoo Items'!$J$5:$J$4331,A294,'Odoo Items'!$C$5:$C$4331,"&lt;="&amp;Cover!$C$15),2)</f>
        <v>563.47</v>
      </c>
      <c r="AA294">
        <f>COUNTIFS('Bank Lines'!$G$5:$G$1640,A294,'Bank Lines'!$J$5:$J$1640,1,'Bank Lines'!$C$5:$C$1640,"&lt;="&amp;Cover!$C$15)</f>
        <v>1</v>
      </c>
      <c r="AB294">
        <f>COUNTIFS('Odoo Items'!$J$5:$J$4331,A294,'Odoo Items'!$C$5:$C$4331,"&lt;="&amp;Cover!$C$15)</f>
        <v>2</v>
      </c>
      <c r="AC294" t="str">
        <f>IF(AND(AA294=0,AB294=0),"",IF(AA294=0,"ODOO-ONLY",IF(AB294=0,"BANK-ONLY","BOTH")))</f>
        <v>BOTH</v>
      </c>
      <c r="AD294" s="9">
        <f>IF(AC294="BOTH",ROUND(Y294-Z294,2),0)</f>
        <v>0</v>
      </c>
    </row>
    <row r="295">
      <c r="A295" t="inlineStr">
        <is>
          <t>G00291</t>
        </is>
      </c>
      <c r="B295" t="inlineStr">
        <is>
          <t>OPS</t>
        </is>
      </c>
      <c r="C295" t="inlineStr">
        <is>
          <t>R03</t>
        </is>
      </c>
      <c r="D295" t="inlineStr">
        <is>
          <t>MATCH</t>
        </is>
      </c>
      <c r="E295" t="inlineStr">
        <is>
          <t>Lyrebird Plan Management</t>
        </is>
      </c>
      <c r="F295" t="n">
        <v>1</v>
      </c>
      <c r="G295" t="inlineStr">
        <is>
          <t>1 invoices</t>
        </is>
      </c>
      <c r="H295">
        <f>COUNTIFS('Bank Lines'!$G$5:$G$1640,A295,'Bank Lines'!$J$5:$J$1640,1)</f>
        <v>1</v>
      </c>
      <c r="I295">
        <f>COUNTIFS('Odoo Items'!$J$5:$J$4331,A295)</f>
        <v>1</v>
      </c>
      <c r="J295" s="9">
        <f>ROUND(SUMIFS('Bank Lines'!$E$5:$E$1640,'Bank Lines'!$G$5:$G$1640,A295,'Bank Lines'!$J$5:$J$1640,1),2)</f>
        <v>387.98</v>
      </c>
      <c r="K295" s="9">
        <f>ROUND(SUMIFS('Odoo Items'!$G$5:$G$4331,'Odoo Items'!$J$5:$J$4331,A295),2)</f>
        <v>387.98</v>
      </c>
      <c r="L295" s="9">
        <f>ROUND(J295-K295,2)</f>
        <v>0</v>
      </c>
      <c r="M295" s="9">
        <f>ROUND(SUMIFS('Bank Lines'!$E$5:$E$1640,'Bank Lines'!$G$5:$G$1640,A295,'Bank Lines'!$J$5:$J$1640,1,'Bank Lines'!$C$5:$C$1640,"&lt;="&amp;Cover!$C$13),2)</f>
        <v>0</v>
      </c>
      <c r="N295" s="9">
        <f>ROUND(SUMIFS('Odoo Items'!$G$5:$G$4331,'Odoo Items'!$J$5:$J$4331,A295,'Odoo Items'!$C$5:$C$4331,"&lt;="&amp;Cover!$C$13),2)</f>
        <v>0</v>
      </c>
      <c r="O295">
        <f>COUNTIFS('Bank Lines'!$G$5:$G$1640,A295,'Bank Lines'!$J$5:$J$1640,1,'Bank Lines'!$C$5:$C$1640,"&lt;="&amp;Cover!$C$13)</f>
        <v>0</v>
      </c>
      <c r="P295">
        <f>COUNTIFS('Odoo Items'!$J$5:$J$4331,A295,'Odoo Items'!$C$5:$C$4331,"&lt;="&amp;Cover!$C$13)</f>
        <v>0</v>
      </c>
      <c r="Q295">
        <f>IF(AND(O295=0,P295=0),"",IF(O295=0,"ODOO-ONLY",IF(P295=0,"BANK-ONLY","BOTH")))</f>
      </c>
      <c r="R295" s="9">
        <f>IF(Q295="BOTH",ROUND(M295-N295,2),0)</f>
        <v>0</v>
      </c>
      <c r="S295" s="9">
        <f>ROUND(SUMIFS('Bank Lines'!$E$5:$E$1640,'Bank Lines'!$G$5:$G$1640,A295,'Bank Lines'!$J$5:$J$1640,1,'Bank Lines'!$C$5:$C$1640,"&lt;="&amp;Cover!$C$14),2)</f>
        <v>387.98</v>
      </c>
      <c r="T295" s="9">
        <f>ROUND(SUMIFS('Odoo Items'!$G$5:$G$4331,'Odoo Items'!$J$5:$J$4331,A295,'Odoo Items'!$C$5:$C$4331,"&lt;="&amp;Cover!$C$14),2)</f>
        <v>387.98</v>
      </c>
      <c r="U295">
        <f>COUNTIFS('Bank Lines'!$G$5:$G$1640,A295,'Bank Lines'!$J$5:$J$1640,1,'Bank Lines'!$C$5:$C$1640,"&lt;="&amp;Cover!$C$14)</f>
        <v>1</v>
      </c>
      <c r="V295">
        <f>COUNTIFS('Odoo Items'!$J$5:$J$4331,A295,'Odoo Items'!$C$5:$C$4331,"&lt;="&amp;Cover!$C$14)</f>
        <v>1</v>
      </c>
      <c r="W295" t="str">
        <f>IF(AND(U295=0,V295=0),"",IF(U295=0,"ODOO-ONLY",IF(V295=0,"BANK-ONLY","BOTH")))</f>
        <v>BOTH</v>
      </c>
      <c r="X295" s="9">
        <f>IF(W295="BOTH",ROUND(S295-T295,2),0)</f>
        <v>0</v>
      </c>
      <c r="Y295" s="9">
        <f>ROUND(SUMIFS('Bank Lines'!$E$5:$E$1640,'Bank Lines'!$G$5:$G$1640,A295,'Bank Lines'!$J$5:$J$1640,1,'Bank Lines'!$C$5:$C$1640,"&lt;="&amp;Cover!$C$15),2)</f>
        <v>387.98</v>
      </c>
      <c r="Z295" s="9">
        <f>ROUND(SUMIFS('Odoo Items'!$G$5:$G$4331,'Odoo Items'!$J$5:$J$4331,A295,'Odoo Items'!$C$5:$C$4331,"&lt;="&amp;Cover!$C$15),2)</f>
        <v>387.98</v>
      </c>
      <c r="AA295">
        <f>COUNTIFS('Bank Lines'!$G$5:$G$1640,A295,'Bank Lines'!$J$5:$J$1640,1,'Bank Lines'!$C$5:$C$1640,"&lt;="&amp;Cover!$C$15)</f>
        <v>1</v>
      </c>
      <c r="AB295">
        <f>COUNTIFS('Odoo Items'!$J$5:$J$4331,A295,'Odoo Items'!$C$5:$C$4331,"&lt;="&amp;Cover!$C$15)</f>
        <v>1</v>
      </c>
      <c r="AC295" t="str">
        <f>IF(AND(AA295=0,AB295=0),"",IF(AA295=0,"ODOO-ONLY",IF(AB295=0,"BANK-ONLY","BOTH")))</f>
        <v>BOTH</v>
      </c>
      <c r="AD295" s="9">
        <f>IF(AC295="BOTH",ROUND(Y295-Z295,2),0)</f>
        <v>0</v>
      </c>
    </row>
    <row r="296">
      <c r="A296" t="inlineStr">
        <is>
          <t>G00292</t>
        </is>
      </c>
      <c r="B296" t="inlineStr">
        <is>
          <t>OPS</t>
        </is>
      </c>
      <c r="C296" t="inlineStr">
        <is>
          <t>R03</t>
        </is>
      </c>
      <c r="D296" t="inlineStr">
        <is>
          <t>MATCH</t>
        </is>
      </c>
      <c r="E296" t="inlineStr">
        <is>
          <t>Acacia Plan Partners</t>
        </is>
      </c>
      <c r="F296" t="n">
        <v>0.973</v>
      </c>
      <c r="G296" t="inlineStr">
        <is>
          <t>1 invoices</t>
        </is>
      </c>
      <c r="H296">
        <f>COUNTIFS('Bank Lines'!$G$5:$G$1640,A296,'Bank Lines'!$J$5:$J$1640,1)</f>
        <v>1</v>
      </c>
      <c r="I296">
        <f>COUNTIFS('Odoo Items'!$J$5:$J$4331,A296)</f>
        <v>1</v>
      </c>
      <c r="J296" s="9">
        <f>ROUND(SUMIFS('Bank Lines'!$E$5:$E$1640,'Bank Lines'!$G$5:$G$1640,A296,'Bank Lines'!$J$5:$J$1640,1),2)</f>
        <v>96.99</v>
      </c>
      <c r="K296" s="9">
        <f>ROUND(SUMIFS('Odoo Items'!$G$5:$G$4331,'Odoo Items'!$J$5:$J$4331,A296),2)</f>
        <v>96.99</v>
      </c>
      <c r="L296" s="9">
        <f>ROUND(J296-K296,2)</f>
        <v>0</v>
      </c>
      <c r="M296" s="9">
        <f>ROUND(SUMIFS('Bank Lines'!$E$5:$E$1640,'Bank Lines'!$G$5:$G$1640,A296,'Bank Lines'!$J$5:$J$1640,1,'Bank Lines'!$C$5:$C$1640,"&lt;="&amp;Cover!$C$13),2)</f>
        <v>0</v>
      </c>
      <c r="N296" s="9">
        <f>ROUND(SUMIFS('Odoo Items'!$G$5:$G$4331,'Odoo Items'!$J$5:$J$4331,A296,'Odoo Items'!$C$5:$C$4331,"&lt;="&amp;Cover!$C$13),2)</f>
        <v>0</v>
      </c>
      <c r="O296">
        <f>COUNTIFS('Bank Lines'!$G$5:$G$1640,A296,'Bank Lines'!$J$5:$J$1640,1,'Bank Lines'!$C$5:$C$1640,"&lt;="&amp;Cover!$C$13)</f>
        <v>0</v>
      </c>
      <c r="P296">
        <f>COUNTIFS('Odoo Items'!$J$5:$J$4331,A296,'Odoo Items'!$C$5:$C$4331,"&lt;="&amp;Cover!$C$13)</f>
        <v>0</v>
      </c>
      <c r="Q296">
        <f>IF(AND(O296=0,P296=0),"",IF(O296=0,"ODOO-ONLY",IF(P296=0,"BANK-ONLY","BOTH")))</f>
      </c>
      <c r="R296" s="9">
        <f>IF(Q296="BOTH",ROUND(M296-N296,2),0)</f>
        <v>0</v>
      </c>
      <c r="S296" s="9">
        <f>ROUND(SUMIFS('Bank Lines'!$E$5:$E$1640,'Bank Lines'!$G$5:$G$1640,A296,'Bank Lines'!$J$5:$J$1640,1,'Bank Lines'!$C$5:$C$1640,"&lt;="&amp;Cover!$C$14),2)</f>
        <v>96.99</v>
      </c>
      <c r="T296" s="9">
        <f>ROUND(SUMIFS('Odoo Items'!$G$5:$G$4331,'Odoo Items'!$J$5:$J$4331,A296,'Odoo Items'!$C$5:$C$4331,"&lt;="&amp;Cover!$C$14),2)</f>
        <v>96.99</v>
      </c>
      <c r="U296">
        <f>COUNTIFS('Bank Lines'!$G$5:$G$1640,A296,'Bank Lines'!$J$5:$J$1640,1,'Bank Lines'!$C$5:$C$1640,"&lt;="&amp;Cover!$C$14)</f>
        <v>1</v>
      </c>
      <c r="V296">
        <f>COUNTIFS('Odoo Items'!$J$5:$J$4331,A296,'Odoo Items'!$C$5:$C$4331,"&lt;="&amp;Cover!$C$14)</f>
        <v>1</v>
      </c>
      <c r="W296" t="str">
        <f>IF(AND(U296=0,V296=0),"",IF(U296=0,"ODOO-ONLY",IF(V296=0,"BANK-ONLY","BOTH")))</f>
        <v>BOTH</v>
      </c>
      <c r="X296" s="9">
        <f>IF(W296="BOTH",ROUND(S296-T296,2),0)</f>
        <v>0</v>
      </c>
      <c r="Y296" s="9">
        <f>ROUND(SUMIFS('Bank Lines'!$E$5:$E$1640,'Bank Lines'!$G$5:$G$1640,A296,'Bank Lines'!$J$5:$J$1640,1,'Bank Lines'!$C$5:$C$1640,"&lt;="&amp;Cover!$C$15),2)</f>
        <v>96.99</v>
      </c>
      <c r="Z296" s="9">
        <f>ROUND(SUMIFS('Odoo Items'!$G$5:$G$4331,'Odoo Items'!$J$5:$J$4331,A296,'Odoo Items'!$C$5:$C$4331,"&lt;="&amp;Cover!$C$15),2)</f>
        <v>96.99</v>
      </c>
      <c r="AA296">
        <f>COUNTIFS('Bank Lines'!$G$5:$G$1640,A296,'Bank Lines'!$J$5:$J$1640,1,'Bank Lines'!$C$5:$C$1640,"&lt;="&amp;Cover!$C$15)</f>
        <v>1</v>
      </c>
      <c r="AB296">
        <f>COUNTIFS('Odoo Items'!$J$5:$J$4331,A296,'Odoo Items'!$C$5:$C$4331,"&lt;="&amp;Cover!$C$15)</f>
        <v>1</v>
      </c>
      <c r="AC296" t="str">
        <f>IF(AND(AA296=0,AB296=0),"",IF(AA296=0,"ODOO-ONLY",IF(AB296=0,"BANK-ONLY","BOTH")))</f>
        <v>BOTH</v>
      </c>
      <c r="AD296" s="9">
        <f>IF(AC296="BOTH",ROUND(Y296-Z296,2),0)</f>
        <v>0</v>
      </c>
    </row>
    <row r="297">
      <c r="A297" t="inlineStr">
        <is>
          <t>G00293</t>
        </is>
      </c>
      <c r="B297" t="inlineStr">
        <is>
          <t>OPS</t>
        </is>
      </c>
      <c r="C297" t="inlineStr">
        <is>
          <t>R03</t>
        </is>
      </c>
      <c r="D297" t="inlineStr">
        <is>
          <t>MATCH</t>
        </is>
      </c>
      <c r="E297" t="inlineStr">
        <is>
          <t>Bluegum Plan Management</t>
        </is>
      </c>
      <c r="F297" t="n">
        <v>1</v>
      </c>
      <c r="G297" t="inlineStr">
        <is>
          <t>3 invoices</t>
        </is>
      </c>
      <c r="H297">
        <f>COUNTIFS('Bank Lines'!$G$5:$G$1640,A297,'Bank Lines'!$J$5:$J$1640,1)</f>
        <v>1</v>
      </c>
      <c r="I297">
        <f>COUNTIFS('Odoo Items'!$J$5:$J$4331,A297)</f>
        <v>3</v>
      </c>
      <c r="J297" s="9">
        <f>ROUND(SUMIFS('Bank Lines'!$E$5:$E$1640,'Bank Lines'!$G$5:$G$1640,A297,'Bank Lines'!$J$5:$J$1640,1),2)</f>
        <v>737.16</v>
      </c>
      <c r="K297" s="9">
        <f>ROUND(SUMIFS('Odoo Items'!$G$5:$G$4331,'Odoo Items'!$J$5:$J$4331,A297),2)</f>
        <v>737.16</v>
      </c>
      <c r="L297" s="9">
        <f>ROUND(J297-K297,2)</f>
        <v>0</v>
      </c>
      <c r="M297" s="9">
        <f>ROUND(SUMIFS('Bank Lines'!$E$5:$E$1640,'Bank Lines'!$G$5:$G$1640,A297,'Bank Lines'!$J$5:$J$1640,1,'Bank Lines'!$C$5:$C$1640,"&lt;="&amp;Cover!$C$13),2)</f>
        <v>0</v>
      </c>
      <c r="N297" s="9">
        <f>ROUND(SUMIFS('Odoo Items'!$G$5:$G$4331,'Odoo Items'!$J$5:$J$4331,A297,'Odoo Items'!$C$5:$C$4331,"&lt;="&amp;Cover!$C$13),2)</f>
        <v>0</v>
      </c>
      <c r="O297">
        <f>COUNTIFS('Bank Lines'!$G$5:$G$1640,A297,'Bank Lines'!$J$5:$J$1640,1,'Bank Lines'!$C$5:$C$1640,"&lt;="&amp;Cover!$C$13)</f>
        <v>0</v>
      </c>
      <c r="P297">
        <f>COUNTIFS('Odoo Items'!$J$5:$J$4331,A297,'Odoo Items'!$C$5:$C$4331,"&lt;="&amp;Cover!$C$13)</f>
        <v>0</v>
      </c>
      <c r="Q297">
        <f>IF(AND(O297=0,P297=0),"",IF(O297=0,"ODOO-ONLY",IF(P297=0,"BANK-ONLY","BOTH")))</f>
      </c>
      <c r="R297" s="9">
        <f>IF(Q297="BOTH",ROUND(M297-N297,2),0)</f>
        <v>0</v>
      </c>
      <c r="S297" s="9">
        <f>ROUND(SUMIFS('Bank Lines'!$E$5:$E$1640,'Bank Lines'!$G$5:$G$1640,A297,'Bank Lines'!$J$5:$J$1640,1,'Bank Lines'!$C$5:$C$1640,"&lt;="&amp;Cover!$C$14),2)</f>
        <v>737.16</v>
      </c>
      <c r="T297" s="9">
        <f>ROUND(SUMIFS('Odoo Items'!$G$5:$G$4331,'Odoo Items'!$J$5:$J$4331,A297,'Odoo Items'!$C$5:$C$4331,"&lt;="&amp;Cover!$C$14),2)</f>
        <v>737.16</v>
      </c>
      <c r="U297">
        <f>COUNTIFS('Bank Lines'!$G$5:$G$1640,A297,'Bank Lines'!$J$5:$J$1640,1,'Bank Lines'!$C$5:$C$1640,"&lt;="&amp;Cover!$C$14)</f>
        <v>1</v>
      </c>
      <c r="V297">
        <f>COUNTIFS('Odoo Items'!$J$5:$J$4331,A297,'Odoo Items'!$C$5:$C$4331,"&lt;="&amp;Cover!$C$14)</f>
        <v>3</v>
      </c>
      <c r="W297" t="str">
        <f>IF(AND(U297=0,V297=0),"",IF(U297=0,"ODOO-ONLY",IF(V297=0,"BANK-ONLY","BOTH")))</f>
        <v>BOTH</v>
      </c>
      <c r="X297" s="9">
        <f>IF(W297="BOTH",ROUND(S297-T297,2),0)</f>
        <v>0</v>
      </c>
      <c r="Y297" s="9">
        <f>ROUND(SUMIFS('Bank Lines'!$E$5:$E$1640,'Bank Lines'!$G$5:$G$1640,A297,'Bank Lines'!$J$5:$J$1640,1,'Bank Lines'!$C$5:$C$1640,"&lt;="&amp;Cover!$C$15),2)</f>
        <v>737.16</v>
      </c>
      <c r="Z297" s="9">
        <f>ROUND(SUMIFS('Odoo Items'!$G$5:$G$4331,'Odoo Items'!$J$5:$J$4331,A297,'Odoo Items'!$C$5:$C$4331,"&lt;="&amp;Cover!$C$15),2)</f>
        <v>737.16</v>
      </c>
      <c r="AA297">
        <f>COUNTIFS('Bank Lines'!$G$5:$G$1640,A297,'Bank Lines'!$J$5:$J$1640,1,'Bank Lines'!$C$5:$C$1640,"&lt;="&amp;Cover!$C$15)</f>
        <v>1</v>
      </c>
      <c r="AB297">
        <f>COUNTIFS('Odoo Items'!$J$5:$J$4331,A297,'Odoo Items'!$C$5:$C$4331,"&lt;="&amp;Cover!$C$15)</f>
        <v>3</v>
      </c>
      <c r="AC297" t="str">
        <f>IF(AND(AA297=0,AB297=0),"",IF(AA297=0,"ODOO-ONLY",IF(AB297=0,"BANK-ONLY","BOTH")))</f>
        <v>BOTH</v>
      </c>
      <c r="AD297" s="9">
        <f>IF(AC297="BOTH",ROUND(Y297-Z297,2),0)</f>
        <v>0</v>
      </c>
    </row>
    <row r="298">
      <c r="A298" t="inlineStr">
        <is>
          <t>G00294</t>
        </is>
      </c>
      <c r="B298" t="inlineStr">
        <is>
          <t>OPS</t>
        </is>
      </c>
      <c r="C298" t="inlineStr">
        <is>
          <t>R03</t>
        </is>
      </c>
      <c r="D298" t="inlineStr">
        <is>
          <t>MATCH</t>
        </is>
      </c>
      <c r="E298" t="inlineStr">
        <is>
          <t>Riverbend Plan Partners</t>
        </is>
      </c>
      <c r="F298" t="n">
        <v>1</v>
      </c>
      <c r="G298" t="inlineStr">
        <is>
          <t>3 invoices</t>
        </is>
      </c>
      <c r="H298">
        <f>COUNTIFS('Bank Lines'!$G$5:$G$1640,A298,'Bank Lines'!$J$5:$J$1640,1)</f>
        <v>1</v>
      </c>
      <c r="I298">
        <f>COUNTIFS('Odoo Items'!$J$5:$J$4331,A298)</f>
        <v>3</v>
      </c>
      <c r="J298" s="9">
        <f>ROUND(SUMIFS('Bank Lines'!$E$5:$E$1640,'Bank Lines'!$G$5:$G$1640,A298,'Bank Lines'!$J$5:$J$1640,1),2)</f>
        <v>660.46</v>
      </c>
      <c r="K298" s="9">
        <f>ROUND(SUMIFS('Odoo Items'!$G$5:$G$4331,'Odoo Items'!$J$5:$J$4331,A298),2)</f>
        <v>660.46</v>
      </c>
      <c r="L298" s="9">
        <f>ROUND(J298-K298,2)</f>
        <v>0</v>
      </c>
      <c r="M298" s="9">
        <f>ROUND(SUMIFS('Bank Lines'!$E$5:$E$1640,'Bank Lines'!$G$5:$G$1640,A298,'Bank Lines'!$J$5:$J$1640,1,'Bank Lines'!$C$5:$C$1640,"&lt;="&amp;Cover!$C$13),2)</f>
        <v>0</v>
      </c>
      <c r="N298" s="9">
        <f>ROUND(SUMIFS('Odoo Items'!$G$5:$G$4331,'Odoo Items'!$J$5:$J$4331,A298,'Odoo Items'!$C$5:$C$4331,"&lt;="&amp;Cover!$C$13),2)</f>
        <v>0</v>
      </c>
      <c r="O298">
        <f>COUNTIFS('Bank Lines'!$G$5:$G$1640,A298,'Bank Lines'!$J$5:$J$1640,1,'Bank Lines'!$C$5:$C$1640,"&lt;="&amp;Cover!$C$13)</f>
        <v>0</v>
      </c>
      <c r="P298">
        <f>COUNTIFS('Odoo Items'!$J$5:$J$4331,A298,'Odoo Items'!$C$5:$C$4331,"&lt;="&amp;Cover!$C$13)</f>
        <v>0</v>
      </c>
      <c r="Q298">
        <f>IF(AND(O298=0,P298=0),"",IF(O298=0,"ODOO-ONLY",IF(P298=0,"BANK-ONLY","BOTH")))</f>
      </c>
      <c r="R298" s="9">
        <f>IF(Q298="BOTH",ROUND(M298-N298,2),0)</f>
        <v>0</v>
      </c>
      <c r="S298" s="9">
        <f>ROUND(SUMIFS('Bank Lines'!$E$5:$E$1640,'Bank Lines'!$G$5:$G$1640,A298,'Bank Lines'!$J$5:$J$1640,1,'Bank Lines'!$C$5:$C$1640,"&lt;="&amp;Cover!$C$14),2)</f>
        <v>660.46</v>
      </c>
      <c r="T298" s="9">
        <f>ROUND(SUMIFS('Odoo Items'!$G$5:$G$4331,'Odoo Items'!$J$5:$J$4331,A298,'Odoo Items'!$C$5:$C$4331,"&lt;="&amp;Cover!$C$14),2)</f>
        <v>660.46</v>
      </c>
      <c r="U298">
        <f>COUNTIFS('Bank Lines'!$G$5:$G$1640,A298,'Bank Lines'!$J$5:$J$1640,1,'Bank Lines'!$C$5:$C$1640,"&lt;="&amp;Cover!$C$14)</f>
        <v>1</v>
      </c>
      <c r="V298">
        <f>COUNTIFS('Odoo Items'!$J$5:$J$4331,A298,'Odoo Items'!$C$5:$C$4331,"&lt;="&amp;Cover!$C$14)</f>
        <v>3</v>
      </c>
      <c r="W298" t="str">
        <f>IF(AND(U298=0,V298=0),"",IF(U298=0,"ODOO-ONLY",IF(V298=0,"BANK-ONLY","BOTH")))</f>
        <v>BOTH</v>
      </c>
      <c r="X298" s="9">
        <f>IF(W298="BOTH",ROUND(S298-T298,2),0)</f>
        <v>0</v>
      </c>
      <c r="Y298" s="9">
        <f>ROUND(SUMIFS('Bank Lines'!$E$5:$E$1640,'Bank Lines'!$G$5:$G$1640,A298,'Bank Lines'!$J$5:$J$1640,1,'Bank Lines'!$C$5:$C$1640,"&lt;="&amp;Cover!$C$15),2)</f>
        <v>660.46</v>
      </c>
      <c r="Z298" s="9">
        <f>ROUND(SUMIFS('Odoo Items'!$G$5:$G$4331,'Odoo Items'!$J$5:$J$4331,A298,'Odoo Items'!$C$5:$C$4331,"&lt;="&amp;Cover!$C$15),2)</f>
        <v>660.46</v>
      </c>
      <c r="AA298">
        <f>COUNTIFS('Bank Lines'!$G$5:$G$1640,A298,'Bank Lines'!$J$5:$J$1640,1,'Bank Lines'!$C$5:$C$1640,"&lt;="&amp;Cover!$C$15)</f>
        <v>1</v>
      </c>
      <c r="AB298">
        <f>COUNTIFS('Odoo Items'!$J$5:$J$4331,A298,'Odoo Items'!$C$5:$C$4331,"&lt;="&amp;Cover!$C$15)</f>
        <v>3</v>
      </c>
      <c r="AC298" t="str">
        <f>IF(AND(AA298=0,AB298=0),"",IF(AA298=0,"ODOO-ONLY",IF(AB298=0,"BANK-ONLY","BOTH")))</f>
        <v>BOTH</v>
      </c>
      <c r="AD298" s="9">
        <f>IF(AC298="BOTH",ROUND(Y298-Z298,2),0)</f>
        <v>0</v>
      </c>
    </row>
    <row r="299">
      <c r="A299" t="inlineStr">
        <is>
          <t>G00295</t>
        </is>
      </c>
      <c r="B299" t="inlineStr">
        <is>
          <t>OPS</t>
        </is>
      </c>
      <c r="C299" t="inlineStr">
        <is>
          <t>R03</t>
        </is>
      </c>
      <c r="D299" t="inlineStr">
        <is>
          <t>MATCH</t>
        </is>
      </c>
      <c r="E299" t="inlineStr">
        <is>
          <t>Banksia Plan Co</t>
        </is>
      </c>
      <c r="F299" t="n">
        <v>1</v>
      </c>
      <c r="G299" t="inlineStr">
        <is>
          <t>2 invoices</t>
        </is>
      </c>
      <c r="H299">
        <f>COUNTIFS('Bank Lines'!$G$5:$G$1640,A299,'Bank Lines'!$J$5:$J$1640,1)</f>
        <v>1</v>
      </c>
      <c r="I299">
        <f>COUNTIFS('Odoo Items'!$J$5:$J$4331,A299)</f>
        <v>2</v>
      </c>
      <c r="J299" s="9">
        <f>ROUND(SUMIFS('Bank Lines'!$E$5:$E$1640,'Bank Lines'!$G$5:$G$1640,A299,'Bank Lines'!$J$5:$J$1640,1),2)</f>
        <v>272.48</v>
      </c>
      <c r="K299" s="9">
        <f>ROUND(SUMIFS('Odoo Items'!$G$5:$G$4331,'Odoo Items'!$J$5:$J$4331,A299),2)</f>
        <v>272.48</v>
      </c>
      <c r="L299" s="9">
        <f>ROUND(J299-K299,2)</f>
        <v>0</v>
      </c>
      <c r="M299" s="9">
        <f>ROUND(SUMIFS('Bank Lines'!$E$5:$E$1640,'Bank Lines'!$G$5:$G$1640,A299,'Bank Lines'!$J$5:$J$1640,1,'Bank Lines'!$C$5:$C$1640,"&lt;="&amp;Cover!$C$13),2)</f>
        <v>0</v>
      </c>
      <c r="N299" s="9">
        <f>ROUND(SUMIFS('Odoo Items'!$G$5:$G$4331,'Odoo Items'!$J$5:$J$4331,A299,'Odoo Items'!$C$5:$C$4331,"&lt;="&amp;Cover!$C$13),2)</f>
        <v>0</v>
      </c>
      <c r="O299">
        <f>COUNTIFS('Bank Lines'!$G$5:$G$1640,A299,'Bank Lines'!$J$5:$J$1640,1,'Bank Lines'!$C$5:$C$1640,"&lt;="&amp;Cover!$C$13)</f>
        <v>0</v>
      </c>
      <c r="P299">
        <f>COUNTIFS('Odoo Items'!$J$5:$J$4331,A299,'Odoo Items'!$C$5:$C$4331,"&lt;="&amp;Cover!$C$13)</f>
        <v>0</v>
      </c>
      <c r="Q299">
        <f>IF(AND(O299=0,P299=0),"",IF(O299=0,"ODOO-ONLY",IF(P299=0,"BANK-ONLY","BOTH")))</f>
      </c>
      <c r="R299" s="9">
        <f>IF(Q299="BOTH",ROUND(M299-N299,2),0)</f>
        <v>0</v>
      </c>
      <c r="S299" s="9">
        <f>ROUND(SUMIFS('Bank Lines'!$E$5:$E$1640,'Bank Lines'!$G$5:$G$1640,A299,'Bank Lines'!$J$5:$J$1640,1,'Bank Lines'!$C$5:$C$1640,"&lt;="&amp;Cover!$C$14),2)</f>
        <v>272.48</v>
      </c>
      <c r="T299" s="9">
        <f>ROUND(SUMIFS('Odoo Items'!$G$5:$G$4331,'Odoo Items'!$J$5:$J$4331,A299,'Odoo Items'!$C$5:$C$4331,"&lt;="&amp;Cover!$C$14),2)</f>
        <v>272.48</v>
      </c>
      <c r="U299">
        <f>COUNTIFS('Bank Lines'!$G$5:$G$1640,A299,'Bank Lines'!$J$5:$J$1640,1,'Bank Lines'!$C$5:$C$1640,"&lt;="&amp;Cover!$C$14)</f>
        <v>1</v>
      </c>
      <c r="V299">
        <f>COUNTIFS('Odoo Items'!$J$5:$J$4331,A299,'Odoo Items'!$C$5:$C$4331,"&lt;="&amp;Cover!$C$14)</f>
        <v>2</v>
      </c>
      <c r="W299" t="str">
        <f>IF(AND(U299=0,V299=0),"",IF(U299=0,"ODOO-ONLY",IF(V299=0,"BANK-ONLY","BOTH")))</f>
        <v>BOTH</v>
      </c>
      <c r="X299" s="9">
        <f>IF(W299="BOTH",ROUND(S299-T299,2),0)</f>
        <v>0</v>
      </c>
      <c r="Y299" s="9">
        <f>ROUND(SUMIFS('Bank Lines'!$E$5:$E$1640,'Bank Lines'!$G$5:$G$1640,A299,'Bank Lines'!$J$5:$J$1640,1,'Bank Lines'!$C$5:$C$1640,"&lt;="&amp;Cover!$C$15),2)</f>
        <v>272.48</v>
      </c>
      <c r="Z299" s="9">
        <f>ROUND(SUMIFS('Odoo Items'!$G$5:$G$4331,'Odoo Items'!$J$5:$J$4331,A299,'Odoo Items'!$C$5:$C$4331,"&lt;="&amp;Cover!$C$15),2)</f>
        <v>272.48</v>
      </c>
      <c r="AA299">
        <f>COUNTIFS('Bank Lines'!$G$5:$G$1640,A299,'Bank Lines'!$J$5:$J$1640,1,'Bank Lines'!$C$5:$C$1640,"&lt;="&amp;Cover!$C$15)</f>
        <v>1</v>
      </c>
      <c r="AB299">
        <f>COUNTIFS('Odoo Items'!$J$5:$J$4331,A299,'Odoo Items'!$C$5:$C$4331,"&lt;="&amp;Cover!$C$15)</f>
        <v>2</v>
      </c>
      <c r="AC299" t="str">
        <f>IF(AND(AA299=0,AB299=0),"",IF(AA299=0,"ODOO-ONLY",IF(AB299=0,"BANK-ONLY","BOTH")))</f>
        <v>BOTH</v>
      </c>
      <c r="AD299" s="9">
        <f>IF(AC299="BOTH",ROUND(Y299-Z299,2),0)</f>
        <v>0</v>
      </c>
    </row>
    <row r="300">
      <c r="A300" t="inlineStr">
        <is>
          <t>G00296</t>
        </is>
      </c>
      <c r="B300" t="inlineStr">
        <is>
          <t>OPS</t>
        </is>
      </c>
      <c r="C300" t="inlineStr">
        <is>
          <t>R03</t>
        </is>
      </c>
      <c r="D300" t="inlineStr">
        <is>
          <t>MATCH</t>
        </is>
      </c>
      <c r="E300" t="inlineStr">
        <is>
          <t>Lyrebird Plan Management</t>
        </is>
      </c>
      <c r="F300" t="n">
        <v>1</v>
      </c>
      <c r="G300" t="inlineStr">
        <is>
          <t>2 invoices</t>
        </is>
      </c>
      <c r="H300">
        <f>COUNTIFS('Bank Lines'!$G$5:$G$1640,A300,'Bank Lines'!$J$5:$J$1640,1)</f>
        <v>1</v>
      </c>
      <c r="I300">
        <f>COUNTIFS('Odoo Items'!$J$5:$J$4331,A300)</f>
        <v>2</v>
      </c>
      <c r="J300" s="9">
        <f>ROUND(SUMIFS('Bank Lines'!$E$5:$E$1640,'Bank Lines'!$G$5:$G$1640,A300,'Bank Lines'!$J$5:$J$1640,1),2)</f>
        <v>387.98</v>
      </c>
      <c r="K300" s="9">
        <f>ROUND(SUMIFS('Odoo Items'!$G$5:$G$4331,'Odoo Items'!$J$5:$J$4331,A300),2)</f>
        <v>387.98</v>
      </c>
      <c r="L300" s="9">
        <f>ROUND(J300-K300,2)</f>
        <v>0</v>
      </c>
      <c r="M300" s="9">
        <f>ROUND(SUMIFS('Bank Lines'!$E$5:$E$1640,'Bank Lines'!$G$5:$G$1640,A300,'Bank Lines'!$J$5:$J$1640,1,'Bank Lines'!$C$5:$C$1640,"&lt;="&amp;Cover!$C$13),2)</f>
        <v>0</v>
      </c>
      <c r="N300" s="9">
        <f>ROUND(SUMIFS('Odoo Items'!$G$5:$G$4331,'Odoo Items'!$J$5:$J$4331,A300,'Odoo Items'!$C$5:$C$4331,"&lt;="&amp;Cover!$C$13),2)</f>
        <v>0</v>
      </c>
      <c r="O300">
        <f>COUNTIFS('Bank Lines'!$G$5:$G$1640,A300,'Bank Lines'!$J$5:$J$1640,1,'Bank Lines'!$C$5:$C$1640,"&lt;="&amp;Cover!$C$13)</f>
        <v>0</v>
      </c>
      <c r="P300">
        <f>COUNTIFS('Odoo Items'!$J$5:$J$4331,A300,'Odoo Items'!$C$5:$C$4331,"&lt;="&amp;Cover!$C$13)</f>
        <v>0</v>
      </c>
      <c r="Q300">
        <f>IF(AND(O300=0,P300=0),"",IF(O300=0,"ODOO-ONLY",IF(P300=0,"BANK-ONLY","BOTH")))</f>
      </c>
      <c r="R300" s="9">
        <f>IF(Q300="BOTH",ROUND(M300-N300,2),0)</f>
        <v>0</v>
      </c>
      <c r="S300" s="9">
        <f>ROUND(SUMIFS('Bank Lines'!$E$5:$E$1640,'Bank Lines'!$G$5:$G$1640,A300,'Bank Lines'!$J$5:$J$1640,1,'Bank Lines'!$C$5:$C$1640,"&lt;="&amp;Cover!$C$14),2)</f>
        <v>387.98</v>
      </c>
      <c r="T300" s="9">
        <f>ROUND(SUMIFS('Odoo Items'!$G$5:$G$4331,'Odoo Items'!$J$5:$J$4331,A300,'Odoo Items'!$C$5:$C$4331,"&lt;="&amp;Cover!$C$14),2)</f>
        <v>387.98</v>
      </c>
      <c r="U300">
        <f>COUNTIFS('Bank Lines'!$G$5:$G$1640,A300,'Bank Lines'!$J$5:$J$1640,1,'Bank Lines'!$C$5:$C$1640,"&lt;="&amp;Cover!$C$14)</f>
        <v>1</v>
      </c>
      <c r="V300">
        <f>COUNTIFS('Odoo Items'!$J$5:$J$4331,A300,'Odoo Items'!$C$5:$C$4331,"&lt;="&amp;Cover!$C$14)</f>
        <v>2</v>
      </c>
      <c r="W300" t="str">
        <f>IF(AND(U300=0,V300=0),"",IF(U300=0,"ODOO-ONLY",IF(V300=0,"BANK-ONLY","BOTH")))</f>
        <v>BOTH</v>
      </c>
      <c r="X300" s="9">
        <f>IF(W300="BOTH",ROUND(S300-T300,2),0)</f>
        <v>0</v>
      </c>
      <c r="Y300" s="9">
        <f>ROUND(SUMIFS('Bank Lines'!$E$5:$E$1640,'Bank Lines'!$G$5:$G$1640,A300,'Bank Lines'!$J$5:$J$1640,1,'Bank Lines'!$C$5:$C$1640,"&lt;="&amp;Cover!$C$15),2)</f>
        <v>387.98</v>
      </c>
      <c r="Z300" s="9">
        <f>ROUND(SUMIFS('Odoo Items'!$G$5:$G$4331,'Odoo Items'!$J$5:$J$4331,A300,'Odoo Items'!$C$5:$C$4331,"&lt;="&amp;Cover!$C$15),2)</f>
        <v>387.98</v>
      </c>
      <c r="AA300">
        <f>COUNTIFS('Bank Lines'!$G$5:$G$1640,A300,'Bank Lines'!$J$5:$J$1640,1,'Bank Lines'!$C$5:$C$1640,"&lt;="&amp;Cover!$C$15)</f>
        <v>1</v>
      </c>
      <c r="AB300">
        <f>COUNTIFS('Odoo Items'!$J$5:$J$4331,A300,'Odoo Items'!$C$5:$C$4331,"&lt;="&amp;Cover!$C$15)</f>
        <v>2</v>
      </c>
      <c r="AC300" t="str">
        <f>IF(AND(AA300=0,AB300=0),"",IF(AA300=0,"ODOO-ONLY",IF(AB300=0,"BANK-ONLY","BOTH")))</f>
        <v>BOTH</v>
      </c>
      <c r="AD300" s="9">
        <f>IF(AC300="BOTH",ROUND(Y300-Z300,2),0)</f>
        <v>0</v>
      </c>
    </row>
    <row r="301">
      <c r="A301" t="inlineStr">
        <is>
          <t>G00297</t>
        </is>
      </c>
      <c r="B301" t="inlineStr">
        <is>
          <t>OPS</t>
        </is>
      </c>
      <c r="C301" t="inlineStr">
        <is>
          <t>R03</t>
        </is>
      </c>
      <c r="D301" t="inlineStr">
        <is>
          <t>MATCH</t>
        </is>
      </c>
      <c r="E301" t="inlineStr">
        <is>
          <t>Tallowwood Plans</t>
        </is>
      </c>
      <c r="F301" t="n">
        <v>0.968</v>
      </c>
      <c r="G301" t="inlineStr">
        <is>
          <t>6 invoices</t>
        </is>
      </c>
      <c r="H301">
        <f>COUNTIFS('Bank Lines'!$G$5:$G$1640,A301,'Bank Lines'!$J$5:$J$1640,1)</f>
        <v>1</v>
      </c>
      <c r="I301">
        <f>COUNTIFS('Odoo Items'!$J$5:$J$4331,A301)</f>
        <v>6</v>
      </c>
      <c r="J301" s="9">
        <f>ROUND(SUMIFS('Bank Lines'!$E$5:$E$1640,'Bank Lines'!$G$5:$G$1640,A301,'Bank Lines'!$J$5:$J$1640,1),2)</f>
        <v>1330.63</v>
      </c>
      <c r="K301" s="9">
        <f>ROUND(SUMIFS('Odoo Items'!$G$5:$G$4331,'Odoo Items'!$J$5:$J$4331,A301),2)</f>
        <v>1330.63</v>
      </c>
      <c r="L301" s="9">
        <f>ROUND(J301-K301,2)</f>
        <v>0</v>
      </c>
      <c r="M301" s="9">
        <f>ROUND(SUMIFS('Bank Lines'!$E$5:$E$1640,'Bank Lines'!$G$5:$G$1640,A301,'Bank Lines'!$J$5:$J$1640,1,'Bank Lines'!$C$5:$C$1640,"&lt;="&amp;Cover!$C$13),2)</f>
        <v>0</v>
      </c>
      <c r="N301" s="9">
        <f>ROUND(SUMIFS('Odoo Items'!$G$5:$G$4331,'Odoo Items'!$J$5:$J$4331,A301,'Odoo Items'!$C$5:$C$4331,"&lt;="&amp;Cover!$C$13),2)</f>
        <v>0</v>
      </c>
      <c r="O301">
        <f>COUNTIFS('Bank Lines'!$G$5:$G$1640,A301,'Bank Lines'!$J$5:$J$1640,1,'Bank Lines'!$C$5:$C$1640,"&lt;="&amp;Cover!$C$13)</f>
        <v>0</v>
      </c>
      <c r="P301">
        <f>COUNTIFS('Odoo Items'!$J$5:$J$4331,A301,'Odoo Items'!$C$5:$C$4331,"&lt;="&amp;Cover!$C$13)</f>
        <v>0</v>
      </c>
      <c r="Q301">
        <f>IF(AND(O301=0,P301=0),"",IF(O301=0,"ODOO-ONLY",IF(P301=0,"BANK-ONLY","BOTH")))</f>
      </c>
      <c r="R301" s="9">
        <f>IF(Q301="BOTH",ROUND(M301-N301,2),0)</f>
        <v>0</v>
      </c>
      <c r="S301" s="9">
        <f>ROUND(SUMIFS('Bank Lines'!$E$5:$E$1640,'Bank Lines'!$G$5:$G$1640,A301,'Bank Lines'!$J$5:$J$1640,1,'Bank Lines'!$C$5:$C$1640,"&lt;="&amp;Cover!$C$14),2)</f>
        <v>1330.63</v>
      </c>
      <c r="T301" s="9">
        <f>ROUND(SUMIFS('Odoo Items'!$G$5:$G$4331,'Odoo Items'!$J$5:$J$4331,A301,'Odoo Items'!$C$5:$C$4331,"&lt;="&amp;Cover!$C$14),2)</f>
        <v>1330.63</v>
      </c>
      <c r="U301">
        <f>COUNTIFS('Bank Lines'!$G$5:$G$1640,A301,'Bank Lines'!$J$5:$J$1640,1,'Bank Lines'!$C$5:$C$1640,"&lt;="&amp;Cover!$C$14)</f>
        <v>1</v>
      </c>
      <c r="V301">
        <f>COUNTIFS('Odoo Items'!$J$5:$J$4331,A301,'Odoo Items'!$C$5:$C$4331,"&lt;="&amp;Cover!$C$14)</f>
        <v>6</v>
      </c>
      <c r="W301" t="str">
        <f>IF(AND(U301=0,V301=0),"",IF(U301=0,"ODOO-ONLY",IF(V301=0,"BANK-ONLY","BOTH")))</f>
        <v>BOTH</v>
      </c>
      <c r="X301" s="9">
        <f>IF(W301="BOTH",ROUND(S301-T301,2),0)</f>
        <v>0</v>
      </c>
      <c r="Y301" s="9">
        <f>ROUND(SUMIFS('Bank Lines'!$E$5:$E$1640,'Bank Lines'!$G$5:$G$1640,A301,'Bank Lines'!$J$5:$J$1640,1,'Bank Lines'!$C$5:$C$1640,"&lt;="&amp;Cover!$C$15),2)</f>
        <v>1330.63</v>
      </c>
      <c r="Z301" s="9">
        <f>ROUND(SUMIFS('Odoo Items'!$G$5:$G$4331,'Odoo Items'!$J$5:$J$4331,A301,'Odoo Items'!$C$5:$C$4331,"&lt;="&amp;Cover!$C$15),2)</f>
        <v>1330.63</v>
      </c>
      <c r="AA301">
        <f>COUNTIFS('Bank Lines'!$G$5:$G$1640,A301,'Bank Lines'!$J$5:$J$1640,1,'Bank Lines'!$C$5:$C$1640,"&lt;="&amp;Cover!$C$15)</f>
        <v>1</v>
      </c>
      <c r="AB301">
        <f>COUNTIFS('Odoo Items'!$J$5:$J$4331,A301,'Odoo Items'!$C$5:$C$4331,"&lt;="&amp;Cover!$C$15)</f>
        <v>6</v>
      </c>
      <c r="AC301" t="str">
        <f>IF(AND(AA301=0,AB301=0),"",IF(AA301=0,"ODOO-ONLY",IF(AB301=0,"BANK-ONLY","BOTH")))</f>
        <v>BOTH</v>
      </c>
      <c r="AD301" s="9">
        <f>IF(AC301="BOTH",ROUND(Y301-Z301,2),0)</f>
        <v>0</v>
      </c>
    </row>
    <row r="302">
      <c r="A302" t="inlineStr">
        <is>
          <t>G00298</t>
        </is>
      </c>
      <c r="B302" t="inlineStr">
        <is>
          <t>OPS</t>
        </is>
      </c>
      <c r="C302" t="inlineStr">
        <is>
          <t>R03</t>
        </is>
      </c>
      <c r="D302" t="inlineStr">
        <is>
          <t>REG</t>
        </is>
      </c>
      <c r="E302" t="inlineStr">
        <is>
          <t>Bluegum Plan Management</t>
        </is>
      </c>
      <c r="F302" t="n">
        <v>1</v>
      </c>
      <c r="G302" t="inlineStr">
        <is>
          <t>Receipt not registered in Odoo; remittance RA45019 lists 2 invoices</t>
        </is>
      </c>
      <c r="H302">
        <f>COUNTIFS('Bank Lines'!$G$5:$G$1640,A302,'Bank Lines'!$J$5:$J$1640,1)</f>
        <v>1</v>
      </c>
      <c r="I302">
        <f>COUNTIFS('Odoo Items'!$J$5:$J$4331,A302)</f>
        <v>0</v>
      </c>
      <c r="J302" s="9">
        <f>ROUND(SUMIFS('Bank Lines'!$E$5:$E$1640,'Bank Lines'!$G$5:$G$1640,A302,'Bank Lines'!$J$5:$J$1640,1),2)</f>
        <v>563.47</v>
      </c>
      <c r="K302" s="9">
        <f>ROUND(SUMIFS('Odoo Items'!$G$5:$G$4331,'Odoo Items'!$J$5:$J$4331,A302),2)</f>
        <v>0</v>
      </c>
      <c r="L302" s="9">
        <f>ROUND(J302-K302,2)</f>
        <v>563.47</v>
      </c>
      <c r="M302" s="9">
        <f>ROUND(SUMIFS('Bank Lines'!$E$5:$E$1640,'Bank Lines'!$G$5:$G$1640,A302,'Bank Lines'!$J$5:$J$1640,1,'Bank Lines'!$C$5:$C$1640,"&lt;="&amp;Cover!$C$13),2)</f>
        <v>0</v>
      </c>
      <c r="N302" s="9">
        <f>ROUND(SUMIFS('Odoo Items'!$G$5:$G$4331,'Odoo Items'!$J$5:$J$4331,A302,'Odoo Items'!$C$5:$C$4331,"&lt;="&amp;Cover!$C$13),2)</f>
        <v>0</v>
      </c>
      <c r="O302">
        <f>COUNTIFS('Bank Lines'!$G$5:$G$1640,A302,'Bank Lines'!$J$5:$J$1640,1,'Bank Lines'!$C$5:$C$1640,"&lt;="&amp;Cover!$C$13)</f>
        <v>0</v>
      </c>
      <c r="P302">
        <f>COUNTIFS('Odoo Items'!$J$5:$J$4331,A302,'Odoo Items'!$C$5:$C$4331,"&lt;="&amp;Cover!$C$13)</f>
        <v>0</v>
      </c>
      <c r="Q302">
        <f>IF(AND(O302=0,P302=0),"",IF(O302=0,"ODOO-ONLY",IF(P302=0,"BANK-ONLY","BOTH")))</f>
      </c>
      <c r="R302" s="9">
        <f>IF(Q302="BOTH",ROUND(M302-N302,2),0)</f>
        <v>0</v>
      </c>
      <c r="S302" s="9">
        <f>ROUND(SUMIFS('Bank Lines'!$E$5:$E$1640,'Bank Lines'!$G$5:$G$1640,A302,'Bank Lines'!$J$5:$J$1640,1,'Bank Lines'!$C$5:$C$1640,"&lt;="&amp;Cover!$C$14),2)</f>
        <v>563.47</v>
      </c>
      <c r="T302" s="9">
        <f>ROUND(SUMIFS('Odoo Items'!$G$5:$G$4331,'Odoo Items'!$J$5:$J$4331,A302,'Odoo Items'!$C$5:$C$4331,"&lt;="&amp;Cover!$C$14),2)</f>
        <v>0</v>
      </c>
      <c r="U302">
        <f>COUNTIFS('Bank Lines'!$G$5:$G$1640,A302,'Bank Lines'!$J$5:$J$1640,1,'Bank Lines'!$C$5:$C$1640,"&lt;="&amp;Cover!$C$14)</f>
        <v>1</v>
      </c>
      <c r="V302">
        <f>COUNTIFS('Odoo Items'!$J$5:$J$4331,A302,'Odoo Items'!$C$5:$C$4331,"&lt;="&amp;Cover!$C$14)</f>
        <v>0</v>
      </c>
      <c r="W302" t="str">
        <f>IF(AND(U302=0,V302=0),"",IF(U302=0,"ODOO-ONLY",IF(V302=0,"BANK-ONLY","BOTH")))</f>
        <v>BANK-ONLY</v>
      </c>
      <c r="X302" s="9">
        <f>IF(W302="BOTH",ROUND(S302-T302,2),0)</f>
        <v>0</v>
      </c>
      <c r="Y302" s="9">
        <f>ROUND(SUMIFS('Bank Lines'!$E$5:$E$1640,'Bank Lines'!$G$5:$G$1640,A302,'Bank Lines'!$J$5:$J$1640,1,'Bank Lines'!$C$5:$C$1640,"&lt;="&amp;Cover!$C$15),2)</f>
        <v>563.47</v>
      </c>
      <c r="Z302" s="9">
        <f>ROUND(SUMIFS('Odoo Items'!$G$5:$G$4331,'Odoo Items'!$J$5:$J$4331,A302,'Odoo Items'!$C$5:$C$4331,"&lt;="&amp;Cover!$C$15),2)</f>
        <v>0</v>
      </c>
      <c r="AA302">
        <f>COUNTIFS('Bank Lines'!$G$5:$G$1640,A302,'Bank Lines'!$J$5:$J$1640,1,'Bank Lines'!$C$5:$C$1640,"&lt;="&amp;Cover!$C$15)</f>
        <v>1</v>
      </c>
      <c r="AB302">
        <f>COUNTIFS('Odoo Items'!$J$5:$J$4331,A302,'Odoo Items'!$C$5:$C$4331,"&lt;="&amp;Cover!$C$15)</f>
        <v>0</v>
      </c>
      <c r="AC302" t="str">
        <f>IF(AND(AA302=0,AB302=0),"",IF(AA302=0,"ODOO-ONLY",IF(AB302=0,"BANK-ONLY","BOTH")))</f>
        <v>BANK-ONLY</v>
      </c>
      <c r="AD302" s="9">
        <f>IF(AC302="BOTH",ROUND(Y302-Z302,2),0)</f>
        <v>0</v>
      </c>
    </row>
    <row r="303">
      <c r="A303" t="inlineStr">
        <is>
          <t>G00299</t>
        </is>
      </c>
      <c r="B303" t="inlineStr">
        <is>
          <t>OPS</t>
        </is>
      </c>
      <c r="C303" t="inlineStr">
        <is>
          <t>R03</t>
        </is>
      </c>
      <c r="D303" t="inlineStr">
        <is>
          <t>MATCH</t>
        </is>
      </c>
      <c r="E303" t="inlineStr">
        <is>
          <t>Clearpath NDIS Plans</t>
        </is>
      </c>
      <c r="F303" t="n">
        <v>0.973</v>
      </c>
      <c r="G303" t="inlineStr">
        <is>
          <t>3 invoices</t>
        </is>
      </c>
      <c r="H303">
        <f>COUNTIFS('Bank Lines'!$G$5:$G$1640,A303,'Bank Lines'!$J$5:$J$1640,1)</f>
        <v>1</v>
      </c>
      <c r="I303">
        <f>COUNTIFS('Odoo Items'!$J$5:$J$4331,A303)</f>
        <v>3</v>
      </c>
      <c r="J303" s="9">
        <f>ROUND(SUMIFS('Bank Lines'!$E$5:$E$1640,'Bank Lines'!$G$5:$G$1640,A303,'Bank Lines'!$J$5:$J$1640,1),2)</f>
        <v>834.16</v>
      </c>
      <c r="K303" s="9">
        <f>ROUND(SUMIFS('Odoo Items'!$G$5:$G$4331,'Odoo Items'!$J$5:$J$4331,A303),2)</f>
        <v>834.16</v>
      </c>
      <c r="L303" s="9">
        <f>ROUND(J303-K303,2)</f>
        <v>0</v>
      </c>
      <c r="M303" s="9">
        <f>ROUND(SUMIFS('Bank Lines'!$E$5:$E$1640,'Bank Lines'!$G$5:$G$1640,A303,'Bank Lines'!$J$5:$J$1640,1,'Bank Lines'!$C$5:$C$1640,"&lt;="&amp;Cover!$C$13),2)</f>
        <v>0</v>
      </c>
      <c r="N303" s="9">
        <f>ROUND(SUMIFS('Odoo Items'!$G$5:$G$4331,'Odoo Items'!$J$5:$J$4331,A303,'Odoo Items'!$C$5:$C$4331,"&lt;="&amp;Cover!$C$13),2)</f>
        <v>0</v>
      </c>
      <c r="O303">
        <f>COUNTIFS('Bank Lines'!$G$5:$G$1640,A303,'Bank Lines'!$J$5:$J$1640,1,'Bank Lines'!$C$5:$C$1640,"&lt;="&amp;Cover!$C$13)</f>
        <v>0</v>
      </c>
      <c r="P303">
        <f>COUNTIFS('Odoo Items'!$J$5:$J$4331,A303,'Odoo Items'!$C$5:$C$4331,"&lt;="&amp;Cover!$C$13)</f>
        <v>0</v>
      </c>
      <c r="Q303">
        <f>IF(AND(O303=0,P303=0),"",IF(O303=0,"ODOO-ONLY",IF(P303=0,"BANK-ONLY","BOTH")))</f>
      </c>
      <c r="R303" s="9">
        <f>IF(Q303="BOTH",ROUND(M303-N303,2),0)</f>
        <v>0</v>
      </c>
      <c r="S303" s="9">
        <f>ROUND(SUMIFS('Bank Lines'!$E$5:$E$1640,'Bank Lines'!$G$5:$G$1640,A303,'Bank Lines'!$J$5:$J$1640,1,'Bank Lines'!$C$5:$C$1640,"&lt;="&amp;Cover!$C$14),2)</f>
        <v>834.16</v>
      </c>
      <c r="T303" s="9">
        <f>ROUND(SUMIFS('Odoo Items'!$G$5:$G$4331,'Odoo Items'!$J$5:$J$4331,A303,'Odoo Items'!$C$5:$C$4331,"&lt;="&amp;Cover!$C$14),2)</f>
        <v>834.16</v>
      </c>
      <c r="U303">
        <f>COUNTIFS('Bank Lines'!$G$5:$G$1640,A303,'Bank Lines'!$J$5:$J$1640,1,'Bank Lines'!$C$5:$C$1640,"&lt;="&amp;Cover!$C$14)</f>
        <v>1</v>
      </c>
      <c r="V303">
        <f>COUNTIFS('Odoo Items'!$J$5:$J$4331,A303,'Odoo Items'!$C$5:$C$4331,"&lt;="&amp;Cover!$C$14)</f>
        <v>3</v>
      </c>
      <c r="W303" t="str">
        <f>IF(AND(U303=0,V303=0),"",IF(U303=0,"ODOO-ONLY",IF(V303=0,"BANK-ONLY","BOTH")))</f>
        <v>BOTH</v>
      </c>
      <c r="X303" s="9">
        <f>IF(W303="BOTH",ROUND(S303-T303,2),0)</f>
        <v>0</v>
      </c>
      <c r="Y303" s="9">
        <f>ROUND(SUMIFS('Bank Lines'!$E$5:$E$1640,'Bank Lines'!$G$5:$G$1640,A303,'Bank Lines'!$J$5:$J$1640,1,'Bank Lines'!$C$5:$C$1640,"&lt;="&amp;Cover!$C$15),2)</f>
        <v>834.16</v>
      </c>
      <c r="Z303" s="9">
        <f>ROUND(SUMIFS('Odoo Items'!$G$5:$G$4331,'Odoo Items'!$J$5:$J$4331,A303,'Odoo Items'!$C$5:$C$4331,"&lt;="&amp;Cover!$C$15),2)</f>
        <v>834.16</v>
      </c>
      <c r="AA303">
        <f>COUNTIFS('Bank Lines'!$G$5:$G$1640,A303,'Bank Lines'!$J$5:$J$1640,1,'Bank Lines'!$C$5:$C$1640,"&lt;="&amp;Cover!$C$15)</f>
        <v>1</v>
      </c>
      <c r="AB303">
        <f>COUNTIFS('Odoo Items'!$J$5:$J$4331,A303,'Odoo Items'!$C$5:$C$4331,"&lt;="&amp;Cover!$C$15)</f>
        <v>3</v>
      </c>
      <c r="AC303" t="str">
        <f>IF(AND(AA303=0,AB303=0),"",IF(AA303=0,"ODOO-ONLY",IF(AB303=0,"BANK-ONLY","BOTH")))</f>
        <v>BOTH</v>
      </c>
      <c r="AD303" s="9">
        <f>IF(AC303="BOTH",ROUND(Y303-Z303,2),0)</f>
        <v>0</v>
      </c>
    </row>
    <row r="304">
      <c r="A304" t="inlineStr">
        <is>
          <t>G00300</t>
        </is>
      </c>
      <c r="B304" t="inlineStr">
        <is>
          <t>OPS</t>
        </is>
      </c>
      <c r="C304" t="inlineStr">
        <is>
          <t>R03</t>
        </is>
      </c>
      <c r="D304" t="inlineStr">
        <is>
          <t>MATCH</t>
        </is>
      </c>
      <c r="E304" t="inlineStr">
        <is>
          <t>Banksia Plan Co</t>
        </is>
      </c>
      <c r="F304" t="n">
        <v>1</v>
      </c>
      <c r="G304" t="inlineStr">
        <is>
          <t>1 invoices</t>
        </is>
      </c>
      <c r="H304">
        <f>COUNTIFS('Bank Lines'!$G$5:$G$1640,A304,'Bank Lines'!$J$5:$J$1640,1)</f>
        <v>1</v>
      </c>
      <c r="I304">
        <f>COUNTIFS('Odoo Items'!$J$5:$J$4331,A304)</f>
        <v>1</v>
      </c>
      <c r="J304" s="9">
        <f>ROUND(SUMIFS('Bank Lines'!$E$5:$E$1640,'Bank Lines'!$G$5:$G$1640,A304,'Bank Lines'!$J$5:$J$1640,1),2)</f>
        <v>193.99</v>
      </c>
      <c r="K304" s="9">
        <f>ROUND(SUMIFS('Odoo Items'!$G$5:$G$4331,'Odoo Items'!$J$5:$J$4331,A304),2)</f>
        <v>193.99</v>
      </c>
      <c r="L304" s="9">
        <f>ROUND(J304-K304,2)</f>
        <v>0</v>
      </c>
      <c r="M304" s="9">
        <f>ROUND(SUMIFS('Bank Lines'!$E$5:$E$1640,'Bank Lines'!$G$5:$G$1640,A304,'Bank Lines'!$J$5:$J$1640,1,'Bank Lines'!$C$5:$C$1640,"&lt;="&amp;Cover!$C$13),2)</f>
        <v>0</v>
      </c>
      <c r="N304" s="9">
        <f>ROUND(SUMIFS('Odoo Items'!$G$5:$G$4331,'Odoo Items'!$J$5:$J$4331,A304,'Odoo Items'!$C$5:$C$4331,"&lt;="&amp;Cover!$C$13),2)</f>
        <v>0</v>
      </c>
      <c r="O304">
        <f>COUNTIFS('Bank Lines'!$G$5:$G$1640,A304,'Bank Lines'!$J$5:$J$1640,1,'Bank Lines'!$C$5:$C$1640,"&lt;="&amp;Cover!$C$13)</f>
        <v>0</v>
      </c>
      <c r="P304">
        <f>COUNTIFS('Odoo Items'!$J$5:$J$4331,A304,'Odoo Items'!$C$5:$C$4331,"&lt;="&amp;Cover!$C$13)</f>
        <v>0</v>
      </c>
      <c r="Q304">
        <f>IF(AND(O304=0,P304=0),"",IF(O304=0,"ODOO-ONLY",IF(P304=0,"BANK-ONLY","BOTH")))</f>
      </c>
      <c r="R304" s="9">
        <f>IF(Q304="BOTH",ROUND(M304-N304,2),0)</f>
        <v>0</v>
      </c>
      <c r="S304" s="9">
        <f>ROUND(SUMIFS('Bank Lines'!$E$5:$E$1640,'Bank Lines'!$G$5:$G$1640,A304,'Bank Lines'!$J$5:$J$1640,1,'Bank Lines'!$C$5:$C$1640,"&lt;="&amp;Cover!$C$14),2)</f>
        <v>193.99</v>
      </c>
      <c r="T304" s="9">
        <f>ROUND(SUMIFS('Odoo Items'!$G$5:$G$4331,'Odoo Items'!$J$5:$J$4331,A304,'Odoo Items'!$C$5:$C$4331,"&lt;="&amp;Cover!$C$14),2)</f>
        <v>193.99</v>
      </c>
      <c r="U304">
        <f>COUNTIFS('Bank Lines'!$G$5:$G$1640,A304,'Bank Lines'!$J$5:$J$1640,1,'Bank Lines'!$C$5:$C$1640,"&lt;="&amp;Cover!$C$14)</f>
        <v>1</v>
      </c>
      <c r="V304">
        <f>COUNTIFS('Odoo Items'!$J$5:$J$4331,A304,'Odoo Items'!$C$5:$C$4331,"&lt;="&amp;Cover!$C$14)</f>
        <v>1</v>
      </c>
      <c r="W304" t="str">
        <f>IF(AND(U304=0,V304=0),"",IF(U304=0,"ODOO-ONLY",IF(V304=0,"BANK-ONLY","BOTH")))</f>
        <v>BOTH</v>
      </c>
      <c r="X304" s="9">
        <f>IF(W304="BOTH",ROUND(S304-T304,2),0)</f>
        <v>0</v>
      </c>
      <c r="Y304" s="9">
        <f>ROUND(SUMIFS('Bank Lines'!$E$5:$E$1640,'Bank Lines'!$G$5:$G$1640,A304,'Bank Lines'!$J$5:$J$1640,1,'Bank Lines'!$C$5:$C$1640,"&lt;="&amp;Cover!$C$15),2)</f>
        <v>193.99</v>
      </c>
      <c r="Z304" s="9">
        <f>ROUND(SUMIFS('Odoo Items'!$G$5:$G$4331,'Odoo Items'!$J$5:$J$4331,A304,'Odoo Items'!$C$5:$C$4331,"&lt;="&amp;Cover!$C$15),2)</f>
        <v>193.99</v>
      </c>
      <c r="AA304">
        <f>COUNTIFS('Bank Lines'!$G$5:$G$1640,A304,'Bank Lines'!$J$5:$J$1640,1,'Bank Lines'!$C$5:$C$1640,"&lt;="&amp;Cover!$C$15)</f>
        <v>1</v>
      </c>
      <c r="AB304">
        <f>COUNTIFS('Odoo Items'!$J$5:$J$4331,A304,'Odoo Items'!$C$5:$C$4331,"&lt;="&amp;Cover!$C$15)</f>
        <v>1</v>
      </c>
      <c r="AC304" t="str">
        <f>IF(AND(AA304=0,AB304=0),"",IF(AA304=0,"ODOO-ONLY",IF(AB304=0,"BANK-ONLY","BOTH")))</f>
        <v>BOTH</v>
      </c>
      <c r="AD304" s="9">
        <f>IF(AC304="BOTH",ROUND(Y304-Z304,2),0)</f>
        <v>0</v>
      </c>
    </row>
    <row r="305">
      <c r="A305" t="inlineStr">
        <is>
          <t>G00301</t>
        </is>
      </c>
      <c r="B305" t="inlineStr">
        <is>
          <t>OPS</t>
        </is>
      </c>
      <c r="C305" t="inlineStr">
        <is>
          <t>R03</t>
        </is>
      </c>
      <c r="D305" t="inlineStr">
        <is>
          <t>MATCH</t>
        </is>
      </c>
      <c r="E305" t="inlineStr">
        <is>
          <t>Ironbark Plan Management</t>
        </is>
      </c>
      <c r="F305" t="n">
        <v>1</v>
      </c>
      <c r="G305" t="inlineStr">
        <is>
          <t>2 invoices</t>
        </is>
      </c>
      <c r="H305">
        <f>COUNTIFS('Bank Lines'!$G$5:$G$1640,A305,'Bank Lines'!$J$5:$J$1640,1)</f>
        <v>1</v>
      </c>
      <c r="I305">
        <f>COUNTIFS('Odoo Items'!$J$5:$J$4331,A305)</f>
        <v>2</v>
      </c>
      <c r="J305" s="9">
        <f>ROUND(SUMIFS('Bank Lines'!$E$5:$E$1640,'Bank Lines'!$G$5:$G$1640,A305,'Bank Lines'!$J$5:$J$1640,1),2)</f>
        <v>290.98</v>
      </c>
      <c r="K305" s="9">
        <f>ROUND(SUMIFS('Odoo Items'!$G$5:$G$4331,'Odoo Items'!$J$5:$J$4331,A305),2)</f>
        <v>290.98</v>
      </c>
      <c r="L305" s="9">
        <f>ROUND(J305-K305,2)</f>
        <v>0</v>
      </c>
      <c r="M305" s="9">
        <f>ROUND(SUMIFS('Bank Lines'!$E$5:$E$1640,'Bank Lines'!$G$5:$G$1640,A305,'Bank Lines'!$J$5:$J$1640,1,'Bank Lines'!$C$5:$C$1640,"&lt;="&amp;Cover!$C$13),2)</f>
        <v>0</v>
      </c>
      <c r="N305" s="9">
        <f>ROUND(SUMIFS('Odoo Items'!$G$5:$G$4331,'Odoo Items'!$J$5:$J$4331,A305,'Odoo Items'!$C$5:$C$4331,"&lt;="&amp;Cover!$C$13),2)</f>
        <v>0</v>
      </c>
      <c r="O305">
        <f>COUNTIFS('Bank Lines'!$G$5:$G$1640,A305,'Bank Lines'!$J$5:$J$1640,1,'Bank Lines'!$C$5:$C$1640,"&lt;="&amp;Cover!$C$13)</f>
        <v>0</v>
      </c>
      <c r="P305">
        <f>COUNTIFS('Odoo Items'!$J$5:$J$4331,A305,'Odoo Items'!$C$5:$C$4331,"&lt;="&amp;Cover!$C$13)</f>
        <v>0</v>
      </c>
      <c r="Q305">
        <f>IF(AND(O305=0,P305=0),"",IF(O305=0,"ODOO-ONLY",IF(P305=0,"BANK-ONLY","BOTH")))</f>
      </c>
      <c r="R305" s="9">
        <f>IF(Q305="BOTH",ROUND(M305-N305,2),0)</f>
        <v>0</v>
      </c>
      <c r="S305" s="9">
        <f>ROUND(SUMIFS('Bank Lines'!$E$5:$E$1640,'Bank Lines'!$G$5:$G$1640,A305,'Bank Lines'!$J$5:$J$1640,1,'Bank Lines'!$C$5:$C$1640,"&lt;="&amp;Cover!$C$14),2)</f>
        <v>290.98</v>
      </c>
      <c r="T305" s="9">
        <f>ROUND(SUMIFS('Odoo Items'!$G$5:$G$4331,'Odoo Items'!$J$5:$J$4331,A305,'Odoo Items'!$C$5:$C$4331,"&lt;="&amp;Cover!$C$14),2)</f>
        <v>290.98</v>
      </c>
      <c r="U305">
        <f>COUNTIFS('Bank Lines'!$G$5:$G$1640,A305,'Bank Lines'!$J$5:$J$1640,1,'Bank Lines'!$C$5:$C$1640,"&lt;="&amp;Cover!$C$14)</f>
        <v>1</v>
      </c>
      <c r="V305">
        <f>COUNTIFS('Odoo Items'!$J$5:$J$4331,A305,'Odoo Items'!$C$5:$C$4331,"&lt;="&amp;Cover!$C$14)</f>
        <v>2</v>
      </c>
      <c r="W305" t="str">
        <f>IF(AND(U305=0,V305=0),"",IF(U305=0,"ODOO-ONLY",IF(V305=0,"BANK-ONLY","BOTH")))</f>
        <v>BOTH</v>
      </c>
      <c r="X305" s="9">
        <f>IF(W305="BOTH",ROUND(S305-T305,2),0)</f>
        <v>0</v>
      </c>
      <c r="Y305" s="9">
        <f>ROUND(SUMIFS('Bank Lines'!$E$5:$E$1640,'Bank Lines'!$G$5:$G$1640,A305,'Bank Lines'!$J$5:$J$1640,1,'Bank Lines'!$C$5:$C$1640,"&lt;="&amp;Cover!$C$15),2)</f>
        <v>290.98</v>
      </c>
      <c r="Z305" s="9">
        <f>ROUND(SUMIFS('Odoo Items'!$G$5:$G$4331,'Odoo Items'!$J$5:$J$4331,A305,'Odoo Items'!$C$5:$C$4331,"&lt;="&amp;Cover!$C$15),2)</f>
        <v>290.98</v>
      </c>
      <c r="AA305">
        <f>COUNTIFS('Bank Lines'!$G$5:$G$1640,A305,'Bank Lines'!$J$5:$J$1640,1,'Bank Lines'!$C$5:$C$1640,"&lt;="&amp;Cover!$C$15)</f>
        <v>1</v>
      </c>
      <c r="AB305">
        <f>COUNTIFS('Odoo Items'!$J$5:$J$4331,A305,'Odoo Items'!$C$5:$C$4331,"&lt;="&amp;Cover!$C$15)</f>
        <v>2</v>
      </c>
      <c r="AC305" t="str">
        <f>IF(AND(AA305=0,AB305=0),"",IF(AA305=0,"ODOO-ONLY",IF(AB305=0,"BANK-ONLY","BOTH")))</f>
        <v>BOTH</v>
      </c>
      <c r="AD305" s="9">
        <f>IF(AC305="BOTH",ROUND(Y305-Z305,2),0)</f>
        <v>0</v>
      </c>
    </row>
    <row r="306">
      <c r="A306" t="inlineStr">
        <is>
          <t>G00302</t>
        </is>
      </c>
      <c r="B306" t="inlineStr">
        <is>
          <t>OPS</t>
        </is>
      </c>
      <c r="C306" t="inlineStr">
        <is>
          <t>R03</t>
        </is>
      </c>
      <c r="D306" t="inlineStr">
        <is>
          <t>MATCH</t>
        </is>
      </c>
      <c r="E306" t="inlineStr">
        <is>
          <t>Kookaburra Plan Support</t>
        </is>
      </c>
      <c r="F306" t="n">
        <v>1</v>
      </c>
      <c r="G306" t="inlineStr">
        <is>
          <t>3 invoices</t>
        </is>
      </c>
      <c r="H306">
        <f>COUNTIFS('Bank Lines'!$G$5:$G$1640,A306,'Bank Lines'!$J$5:$J$1640,1)</f>
        <v>1</v>
      </c>
      <c r="I306">
        <f>COUNTIFS('Odoo Items'!$J$5:$J$4331,A306)</f>
        <v>3</v>
      </c>
      <c r="J306" s="9">
        <f>ROUND(SUMIFS('Bank Lines'!$E$5:$E$1640,'Bank Lines'!$G$5:$G$1640,A306,'Bank Lines'!$J$5:$J$1640,1),2)</f>
        <v>805.96</v>
      </c>
      <c r="K306" s="9">
        <f>ROUND(SUMIFS('Odoo Items'!$G$5:$G$4331,'Odoo Items'!$J$5:$J$4331,A306),2)</f>
        <v>805.96</v>
      </c>
      <c r="L306" s="9">
        <f>ROUND(J306-K306,2)</f>
        <v>0</v>
      </c>
      <c r="M306" s="9">
        <f>ROUND(SUMIFS('Bank Lines'!$E$5:$E$1640,'Bank Lines'!$G$5:$G$1640,A306,'Bank Lines'!$J$5:$J$1640,1,'Bank Lines'!$C$5:$C$1640,"&lt;="&amp;Cover!$C$13),2)</f>
        <v>0</v>
      </c>
      <c r="N306" s="9">
        <f>ROUND(SUMIFS('Odoo Items'!$G$5:$G$4331,'Odoo Items'!$J$5:$J$4331,A306,'Odoo Items'!$C$5:$C$4331,"&lt;="&amp;Cover!$C$13),2)</f>
        <v>0</v>
      </c>
      <c r="O306">
        <f>COUNTIFS('Bank Lines'!$G$5:$G$1640,A306,'Bank Lines'!$J$5:$J$1640,1,'Bank Lines'!$C$5:$C$1640,"&lt;="&amp;Cover!$C$13)</f>
        <v>0</v>
      </c>
      <c r="P306">
        <f>COUNTIFS('Odoo Items'!$J$5:$J$4331,A306,'Odoo Items'!$C$5:$C$4331,"&lt;="&amp;Cover!$C$13)</f>
        <v>0</v>
      </c>
      <c r="Q306">
        <f>IF(AND(O306=0,P306=0),"",IF(O306=0,"ODOO-ONLY",IF(P306=0,"BANK-ONLY","BOTH")))</f>
      </c>
      <c r="R306" s="9">
        <f>IF(Q306="BOTH",ROUND(M306-N306,2),0)</f>
        <v>0</v>
      </c>
      <c r="S306" s="9">
        <f>ROUND(SUMIFS('Bank Lines'!$E$5:$E$1640,'Bank Lines'!$G$5:$G$1640,A306,'Bank Lines'!$J$5:$J$1640,1,'Bank Lines'!$C$5:$C$1640,"&lt;="&amp;Cover!$C$14),2)</f>
        <v>805.96</v>
      </c>
      <c r="T306" s="9">
        <f>ROUND(SUMIFS('Odoo Items'!$G$5:$G$4331,'Odoo Items'!$J$5:$J$4331,A306,'Odoo Items'!$C$5:$C$4331,"&lt;="&amp;Cover!$C$14),2)</f>
        <v>805.96</v>
      </c>
      <c r="U306">
        <f>COUNTIFS('Bank Lines'!$G$5:$G$1640,A306,'Bank Lines'!$J$5:$J$1640,1,'Bank Lines'!$C$5:$C$1640,"&lt;="&amp;Cover!$C$14)</f>
        <v>1</v>
      </c>
      <c r="V306">
        <f>COUNTIFS('Odoo Items'!$J$5:$J$4331,A306,'Odoo Items'!$C$5:$C$4331,"&lt;="&amp;Cover!$C$14)</f>
        <v>3</v>
      </c>
      <c r="W306" t="str">
        <f>IF(AND(U306=0,V306=0),"",IF(U306=0,"ODOO-ONLY",IF(V306=0,"BANK-ONLY","BOTH")))</f>
        <v>BOTH</v>
      </c>
      <c r="X306" s="9">
        <f>IF(W306="BOTH",ROUND(S306-T306,2),0)</f>
        <v>0</v>
      </c>
      <c r="Y306" s="9">
        <f>ROUND(SUMIFS('Bank Lines'!$E$5:$E$1640,'Bank Lines'!$G$5:$G$1640,A306,'Bank Lines'!$J$5:$J$1640,1,'Bank Lines'!$C$5:$C$1640,"&lt;="&amp;Cover!$C$15),2)</f>
        <v>805.96</v>
      </c>
      <c r="Z306" s="9">
        <f>ROUND(SUMIFS('Odoo Items'!$G$5:$G$4331,'Odoo Items'!$J$5:$J$4331,A306,'Odoo Items'!$C$5:$C$4331,"&lt;="&amp;Cover!$C$15),2)</f>
        <v>805.96</v>
      </c>
      <c r="AA306">
        <f>COUNTIFS('Bank Lines'!$G$5:$G$1640,A306,'Bank Lines'!$J$5:$J$1640,1,'Bank Lines'!$C$5:$C$1640,"&lt;="&amp;Cover!$C$15)</f>
        <v>1</v>
      </c>
      <c r="AB306">
        <f>COUNTIFS('Odoo Items'!$J$5:$J$4331,A306,'Odoo Items'!$C$5:$C$4331,"&lt;="&amp;Cover!$C$15)</f>
        <v>3</v>
      </c>
      <c r="AC306" t="str">
        <f>IF(AND(AA306=0,AB306=0),"",IF(AA306=0,"ODOO-ONLY",IF(AB306=0,"BANK-ONLY","BOTH")))</f>
        <v>BOTH</v>
      </c>
      <c r="AD306" s="9">
        <f>IF(AC306="BOTH",ROUND(Y306-Z306,2),0)</f>
        <v>0</v>
      </c>
    </row>
    <row r="307">
      <c r="A307" t="inlineStr">
        <is>
          <t>G00303</t>
        </is>
      </c>
      <c r="B307" t="inlineStr">
        <is>
          <t>OPS</t>
        </is>
      </c>
      <c r="C307" t="inlineStr">
        <is>
          <t>R03</t>
        </is>
      </c>
      <c r="D307" t="inlineStr">
        <is>
          <t>REG</t>
        </is>
      </c>
      <c r="E307" t="inlineStr">
        <is>
          <t>Lyrebird Plan Management</t>
        </is>
      </c>
      <c r="F307" t="n">
        <v>1</v>
      </c>
      <c r="G307" t="inlineStr">
        <is>
          <t>Receipt not registered in Odoo; remittance RA45024 lists 2 invoices</t>
        </is>
      </c>
      <c r="H307">
        <f>COUNTIFS('Bank Lines'!$G$5:$G$1640,A307,'Bank Lines'!$J$5:$J$1640,1)</f>
        <v>1</v>
      </c>
      <c r="I307">
        <f>COUNTIFS('Odoo Items'!$J$5:$J$4331,A307)</f>
        <v>0</v>
      </c>
      <c r="J307" s="9">
        <f>ROUND(SUMIFS('Bank Lines'!$E$5:$E$1640,'Bank Lines'!$G$5:$G$1640,A307,'Bank Lines'!$J$5:$J$1640,1),2)</f>
        <v>320.98</v>
      </c>
      <c r="K307" s="9">
        <f>ROUND(SUMIFS('Odoo Items'!$G$5:$G$4331,'Odoo Items'!$J$5:$J$4331,A307),2)</f>
        <v>0</v>
      </c>
      <c r="L307" s="9">
        <f>ROUND(J307-K307,2)</f>
        <v>320.98</v>
      </c>
      <c r="M307" s="9">
        <f>ROUND(SUMIFS('Bank Lines'!$E$5:$E$1640,'Bank Lines'!$G$5:$G$1640,A307,'Bank Lines'!$J$5:$J$1640,1,'Bank Lines'!$C$5:$C$1640,"&lt;="&amp;Cover!$C$13),2)</f>
        <v>0</v>
      </c>
      <c r="N307" s="9">
        <f>ROUND(SUMIFS('Odoo Items'!$G$5:$G$4331,'Odoo Items'!$J$5:$J$4331,A307,'Odoo Items'!$C$5:$C$4331,"&lt;="&amp;Cover!$C$13),2)</f>
        <v>0</v>
      </c>
      <c r="O307">
        <f>COUNTIFS('Bank Lines'!$G$5:$G$1640,A307,'Bank Lines'!$J$5:$J$1640,1,'Bank Lines'!$C$5:$C$1640,"&lt;="&amp;Cover!$C$13)</f>
        <v>0</v>
      </c>
      <c r="P307">
        <f>COUNTIFS('Odoo Items'!$J$5:$J$4331,A307,'Odoo Items'!$C$5:$C$4331,"&lt;="&amp;Cover!$C$13)</f>
        <v>0</v>
      </c>
      <c r="Q307">
        <f>IF(AND(O307=0,P307=0),"",IF(O307=0,"ODOO-ONLY",IF(P307=0,"BANK-ONLY","BOTH")))</f>
      </c>
      <c r="R307" s="9">
        <f>IF(Q307="BOTH",ROUND(M307-N307,2),0)</f>
        <v>0</v>
      </c>
      <c r="S307" s="9">
        <f>ROUND(SUMIFS('Bank Lines'!$E$5:$E$1640,'Bank Lines'!$G$5:$G$1640,A307,'Bank Lines'!$J$5:$J$1640,1,'Bank Lines'!$C$5:$C$1640,"&lt;="&amp;Cover!$C$14),2)</f>
        <v>320.98</v>
      </c>
      <c r="T307" s="9">
        <f>ROUND(SUMIFS('Odoo Items'!$G$5:$G$4331,'Odoo Items'!$J$5:$J$4331,A307,'Odoo Items'!$C$5:$C$4331,"&lt;="&amp;Cover!$C$14),2)</f>
        <v>0</v>
      </c>
      <c r="U307">
        <f>COUNTIFS('Bank Lines'!$G$5:$G$1640,A307,'Bank Lines'!$J$5:$J$1640,1,'Bank Lines'!$C$5:$C$1640,"&lt;="&amp;Cover!$C$14)</f>
        <v>1</v>
      </c>
      <c r="V307">
        <f>COUNTIFS('Odoo Items'!$J$5:$J$4331,A307,'Odoo Items'!$C$5:$C$4331,"&lt;="&amp;Cover!$C$14)</f>
        <v>0</v>
      </c>
      <c r="W307" t="str">
        <f>IF(AND(U307=0,V307=0),"",IF(U307=0,"ODOO-ONLY",IF(V307=0,"BANK-ONLY","BOTH")))</f>
        <v>BANK-ONLY</v>
      </c>
      <c r="X307" s="9">
        <f>IF(W307="BOTH",ROUND(S307-T307,2),0)</f>
        <v>0</v>
      </c>
      <c r="Y307" s="9">
        <f>ROUND(SUMIFS('Bank Lines'!$E$5:$E$1640,'Bank Lines'!$G$5:$G$1640,A307,'Bank Lines'!$J$5:$J$1640,1,'Bank Lines'!$C$5:$C$1640,"&lt;="&amp;Cover!$C$15),2)</f>
        <v>320.98</v>
      </c>
      <c r="Z307" s="9">
        <f>ROUND(SUMIFS('Odoo Items'!$G$5:$G$4331,'Odoo Items'!$J$5:$J$4331,A307,'Odoo Items'!$C$5:$C$4331,"&lt;="&amp;Cover!$C$15),2)</f>
        <v>0</v>
      </c>
      <c r="AA307">
        <f>COUNTIFS('Bank Lines'!$G$5:$G$1640,A307,'Bank Lines'!$J$5:$J$1640,1,'Bank Lines'!$C$5:$C$1640,"&lt;="&amp;Cover!$C$15)</f>
        <v>1</v>
      </c>
      <c r="AB307">
        <f>COUNTIFS('Odoo Items'!$J$5:$J$4331,A307,'Odoo Items'!$C$5:$C$4331,"&lt;="&amp;Cover!$C$15)</f>
        <v>0</v>
      </c>
      <c r="AC307" t="str">
        <f>IF(AND(AA307=0,AB307=0),"",IF(AA307=0,"ODOO-ONLY",IF(AB307=0,"BANK-ONLY","BOTH")))</f>
        <v>BANK-ONLY</v>
      </c>
      <c r="AD307" s="9">
        <f>IF(AC307="BOTH",ROUND(Y307-Z307,2),0)</f>
        <v>0</v>
      </c>
    </row>
    <row r="308">
      <c r="A308" t="inlineStr">
        <is>
          <t>G00304</t>
        </is>
      </c>
      <c r="B308" t="inlineStr">
        <is>
          <t>OPS</t>
        </is>
      </c>
      <c r="C308" t="inlineStr">
        <is>
          <t>R03</t>
        </is>
      </c>
      <c r="D308" t="inlineStr">
        <is>
          <t>MATCH</t>
        </is>
      </c>
      <c r="E308" t="inlineStr">
        <is>
          <t>Mallee Plan Services</t>
        </is>
      </c>
      <c r="F308" t="n">
        <v>1</v>
      </c>
      <c r="G308" t="inlineStr">
        <is>
          <t>7 invoices</t>
        </is>
      </c>
      <c r="H308">
        <f>COUNTIFS('Bank Lines'!$G$5:$G$1640,A308,'Bank Lines'!$J$5:$J$1640,1)</f>
        <v>1</v>
      </c>
      <c r="I308">
        <f>COUNTIFS('Odoo Items'!$J$5:$J$4331,A308)</f>
        <v>7</v>
      </c>
      <c r="J308" s="9">
        <f>ROUND(SUMIFS('Bank Lines'!$E$5:$E$1640,'Bank Lines'!$G$5:$G$1640,A308,'Bank Lines'!$J$5:$J$1640,1),2)</f>
        <v>1522.81</v>
      </c>
      <c r="K308" s="9">
        <f>ROUND(SUMIFS('Odoo Items'!$G$5:$G$4331,'Odoo Items'!$J$5:$J$4331,A308),2)</f>
        <v>1522.81</v>
      </c>
      <c r="L308" s="9">
        <f>ROUND(J308-K308,2)</f>
        <v>0</v>
      </c>
      <c r="M308" s="9">
        <f>ROUND(SUMIFS('Bank Lines'!$E$5:$E$1640,'Bank Lines'!$G$5:$G$1640,A308,'Bank Lines'!$J$5:$J$1640,1,'Bank Lines'!$C$5:$C$1640,"&lt;="&amp;Cover!$C$13),2)</f>
        <v>0</v>
      </c>
      <c r="N308" s="9">
        <f>ROUND(SUMIFS('Odoo Items'!$G$5:$G$4331,'Odoo Items'!$J$5:$J$4331,A308,'Odoo Items'!$C$5:$C$4331,"&lt;="&amp;Cover!$C$13),2)</f>
        <v>0</v>
      </c>
      <c r="O308">
        <f>COUNTIFS('Bank Lines'!$G$5:$G$1640,A308,'Bank Lines'!$J$5:$J$1640,1,'Bank Lines'!$C$5:$C$1640,"&lt;="&amp;Cover!$C$13)</f>
        <v>0</v>
      </c>
      <c r="P308">
        <f>COUNTIFS('Odoo Items'!$J$5:$J$4331,A308,'Odoo Items'!$C$5:$C$4331,"&lt;="&amp;Cover!$C$13)</f>
        <v>0</v>
      </c>
      <c r="Q308">
        <f>IF(AND(O308=0,P308=0),"",IF(O308=0,"ODOO-ONLY",IF(P308=0,"BANK-ONLY","BOTH")))</f>
      </c>
      <c r="R308" s="9">
        <f>IF(Q308="BOTH",ROUND(M308-N308,2),0)</f>
        <v>0</v>
      </c>
      <c r="S308" s="9">
        <f>ROUND(SUMIFS('Bank Lines'!$E$5:$E$1640,'Bank Lines'!$G$5:$G$1640,A308,'Bank Lines'!$J$5:$J$1640,1,'Bank Lines'!$C$5:$C$1640,"&lt;="&amp;Cover!$C$14),2)</f>
        <v>1522.81</v>
      </c>
      <c r="T308" s="9">
        <f>ROUND(SUMIFS('Odoo Items'!$G$5:$G$4331,'Odoo Items'!$J$5:$J$4331,A308,'Odoo Items'!$C$5:$C$4331,"&lt;="&amp;Cover!$C$14),2)</f>
        <v>1522.81</v>
      </c>
      <c r="U308">
        <f>COUNTIFS('Bank Lines'!$G$5:$G$1640,A308,'Bank Lines'!$J$5:$J$1640,1,'Bank Lines'!$C$5:$C$1640,"&lt;="&amp;Cover!$C$14)</f>
        <v>1</v>
      </c>
      <c r="V308">
        <f>COUNTIFS('Odoo Items'!$J$5:$J$4331,A308,'Odoo Items'!$C$5:$C$4331,"&lt;="&amp;Cover!$C$14)</f>
        <v>7</v>
      </c>
      <c r="W308" t="str">
        <f>IF(AND(U308=0,V308=0),"",IF(U308=0,"ODOO-ONLY",IF(V308=0,"BANK-ONLY","BOTH")))</f>
        <v>BOTH</v>
      </c>
      <c r="X308" s="9">
        <f>IF(W308="BOTH",ROUND(S308-T308,2),0)</f>
        <v>0</v>
      </c>
      <c r="Y308" s="9">
        <f>ROUND(SUMIFS('Bank Lines'!$E$5:$E$1640,'Bank Lines'!$G$5:$G$1640,A308,'Bank Lines'!$J$5:$J$1640,1,'Bank Lines'!$C$5:$C$1640,"&lt;="&amp;Cover!$C$15),2)</f>
        <v>1522.81</v>
      </c>
      <c r="Z308" s="9">
        <f>ROUND(SUMIFS('Odoo Items'!$G$5:$G$4331,'Odoo Items'!$J$5:$J$4331,A308,'Odoo Items'!$C$5:$C$4331,"&lt;="&amp;Cover!$C$15),2)</f>
        <v>1522.81</v>
      </c>
      <c r="AA308">
        <f>COUNTIFS('Bank Lines'!$G$5:$G$1640,A308,'Bank Lines'!$J$5:$J$1640,1,'Bank Lines'!$C$5:$C$1640,"&lt;="&amp;Cover!$C$15)</f>
        <v>1</v>
      </c>
      <c r="AB308">
        <f>COUNTIFS('Odoo Items'!$J$5:$J$4331,A308,'Odoo Items'!$C$5:$C$4331,"&lt;="&amp;Cover!$C$15)</f>
        <v>7</v>
      </c>
      <c r="AC308" t="str">
        <f>IF(AND(AA308=0,AB308=0),"",IF(AA308=0,"ODOO-ONLY",IF(AB308=0,"BANK-ONLY","BOTH")))</f>
        <v>BOTH</v>
      </c>
      <c r="AD308" s="9">
        <f>IF(AC308="BOTH",ROUND(Y308-Z308,2),0)</f>
        <v>0</v>
      </c>
    </row>
    <row r="309">
      <c r="A309" t="inlineStr">
        <is>
          <t>G00305</t>
        </is>
      </c>
      <c r="B309" t="inlineStr">
        <is>
          <t>OPS</t>
        </is>
      </c>
      <c r="C309" t="inlineStr">
        <is>
          <t>R03</t>
        </is>
      </c>
      <c r="D309" t="inlineStr">
        <is>
          <t>MATCH</t>
        </is>
      </c>
      <c r="E309" t="inlineStr">
        <is>
          <t>Riverbend Plan Partners</t>
        </is>
      </c>
      <c r="F309" t="n">
        <v>1</v>
      </c>
      <c r="G309" t="inlineStr">
        <is>
          <t>3 invoices</t>
        </is>
      </c>
      <c r="H309">
        <f>COUNTIFS('Bank Lines'!$G$5:$G$1640,A309,'Bank Lines'!$J$5:$J$1640,1)</f>
        <v>1</v>
      </c>
      <c r="I309">
        <f>COUNTIFS('Odoo Items'!$J$5:$J$4331,A309)</f>
        <v>3</v>
      </c>
      <c r="J309" s="9">
        <f>ROUND(SUMIFS('Bank Lines'!$E$5:$E$1640,'Bank Lines'!$G$5:$G$1640,A309,'Bank Lines'!$J$5:$J$1640,1),2)</f>
        <v>834.16</v>
      </c>
      <c r="K309" s="9">
        <f>ROUND(SUMIFS('Odoo Items'!$G$5:$G$4331,'Odoo Items'!$J$5:$J$4331,A309),2)</f>
        <v>834.16</v>
      </c>
      <c r="L309" s="9">
        <f>ROUND(J309-K309,2)</f>
        <v>0</v>
      </c>
      <c r="M309" s="9">
        <f>ROUND(SUMIFS('Bank Lines'!$E$5:$E$1640,'Bank Lines'!$G$5:$G$1640,A309,'Bank Lines'!$J$5:$J$1640,1,'Bank Lines'!$C$5:$C$1640,"&lt;="&amp;Cover!$C$13),2)</f>
        <v>0</v>
      </c>
      <c r="N309" s="9">
        <f>ROUND(SUMIFS('Odoo Items'!$G$5:$G$4331,'Odoo Items'!$J$5:$J$4331,A309,'Odoo Items'!$C$5:$C$4331,"&lt;="&amp;Cover!$C$13),2)</f>
        <v>0</v>
      </c>
      <c r="O309">
        <f>COUNTIFS('Bank Lines'!$G$5:$G$1640,A309,'Bank Lines'!$J$5:$J$1640,1,'Bank Lines'!$C$5:$C$1640,"&lt;="&amp;Cover!$C$13)</f>
        <v>0</v>
      </c>
      <c r="P309">
        <f>COUNTIFS('Odoo Items'!$J$5:$J$4331,A309,'Odoo Items'!$C$5:$C$4331,"&lt;="&amp;Cover!$C$13)</f>
        <v>0</v>
      </c>
      <c r="Q309">
        <f>IF(AND(O309=0,P309=0),"",IF(O309=0,"ODOO-ONLY",IF(P309=0,"BANK-ONLY","BOTH")))</f>
      </c>
      <c r="R309" s="9">
        <f>IF(Q309="BOTH",ROUND(M309-N309,2),0)</f>
        <v>0</v>
      </c>
      <c r="S309" s="9">
        <f>ROUND(SUMIFS('Bank Lines'!$E$5:$E$1640,'Bank Lines'!$G$5:$G$1640,A309,'Bank Lines'!$J$5:$J$1640,1,'Bank Lines'!$C$5:$C$1640,"&lt;="&amp;Cover!$C$14),2)</f>
        <v>834.16</v>
      </c>
      <c r="T309" s="9">
        <f>ROUND(SUMIFS('Odoo Items'!$G$5:$G$4331,'Odoo Items'!$J$5:$J$4331,A309,'Odoo Items'!$C$5:$C$4331,"&lt;="&amp;Cover!$C$14),2)</f>
        <v>834.16</v>
      </c>
      <c r="U309">
        <f>COUNTIFS('Bank Lines'!$G$5:$G$1640,A309,'Bank Lines'!$J$5:$J$1640,1,'Bank Lines'!$C$5:$C$1640,"&lt;="&amp;Cover!$C$14)</f>
        <v>1</v>
      </c>
      <c r="V309">
        <f>COUNTIFS('Odoo Items'!$J$5:$J$4331,A309,'Odoo Items'!$C$5:$C$4331,"&lt;="&amp;Cover!$C$14)</f>
        <v>3</v>
      </c>
      <c r="W309" t="str">
        <f>IF(AND(U309=0,V309=0),"",IF(U309=0,"ODOO-ONLY",IF(V309=0,"BANK-ONLY","BOTH")))</f>
        <v>BOTH</v>
      </c>
      <c r="X309" s="9">
        <f>IF(W309="BOTH",ROUND(S309-T309,2),0)</f>
        <v>0</v>
      </c>
      <c r="Y309" s="9">
        <f>ROUND(SUMIFS('Bank Lines'!$E$5:$E$1640,'Bank Lines'!$G$5:$G$1640,A309,'Bank Lines'!$J$5:$J$1640,1,'Bank Lines'!$C$5:$C$1640,"&lt;="&amp;Cover!$C$15),2)</f>
        <v>834.16</v>
      </c>
      <c r="Z309" s="9">
        <f>ROUND(SUMIFS('Odoo Items'!$G$5:$G$4331,'Odoo Items'!$J$5:$J$4331,A309,'Odoo Items'!$C$5:$C$4331,"&lt;="&amp;Cover!$C$15),2)</f>
        <v>834.16</v>
      </c>
      <c r="AA309">
        <f>COUNTIFS('Bank Lines'!$G$5:$G$1640,A309,'Bank Lines'!$J$5:$J$1640,1,'Bank Lines'!$C$5:$C$1640,"&lt;="&amp;Cover!$C$15)</f>
        <v>1</v>
      </c>
      <c r="AB309">
        <f>COUNTIFS('Odoo Items'!$J$5:$J$4331,A309,'Odoo Items'!$C$5:$C$4331,"&lt;="&amp;Cover!$C$15)</f>
        <v>3</v>
      </c>
      <c r="AC309" t="str">
        <f>IF(AND(AA309=0,AB309=0),"",IF(AA309=0,"ODOO-ONLY",IF(AB309=0,"BANK-ONLY","BOTH")))</f>
        <v>BOTH</v>
      </c>
      <c r="AD309" s="9">
        <f>IF(AC309="BOTH",ROUND(Y309-Z309,2),0)</f>
        <v>0</v>
      </c>
    </row>
    <row r="310">
      <c r="A310" t="inlineStr">
        <is>
          <t>G00306</t>
        </is>
      </c>
      <c r="B310" t="inlineStr">
        <is>
          <t>OPS</t>
        </is>
      </c>
      <c r="C310" t="inlineStr">
        <is>
          <t>R03</t>
        </is>
      </c>
      <c r="D310" t="inlineStr">
        <is>
          <t>REG</t>
        </is>
      </c>
      <c r="E310" t="inlineStr">
        <is>
          <t>Ironbark Plan Management</t>
        </is>
      </c>
      <c r="F310" t="n">
        <v>1</v>
      </c>
      <c r="G310" t="inlineStr">
        <is>
          <t>Receipt not registered in Odoo; remittance RA45027 lists 6 invoices</t>
        </is>
      </c>
      <c r="H310">
        <f>COUNTIFS('Bank Lines'!$G$5:$G$1640,A310,'Bank Lines'!$J$5:$J$1640,1)</f>
        <v>1</v>
      </c>
      <c r="I310">
        <f>COUNTIFS('Odoo Items'!$J$5:$J$4331,A310)</f>
        <v>0</v>
      </c>
      <c r="J310" s="9">
        <f>ROUND(SUMIFS('Bank Lines'!$E$5:$E$1640,'Bank Lines'!$G$5:$G$1640,A310,'Bank Lines'!$J$5:$J$1640,1),2)</f>
        <v>1746.81</v>
      </c>
      <c r="K310" s="9">
        <f>ROUND(SUMIFS('Odoo Items'!$G$5:$G$4331,'Odoo Items'!$J$5:$J$4331,A310),2)</f>
        <v>0</v>
      </c>
      <c r="L310" s="9">
        <f>ROUND(J310-K310,2)</f>
        <v>1746.81</v>
      </c>
      <c r="M310" s="9">
        <f>ROUND(SUMIFS('Bank Lines'!$E$5:$E$1640,'Bank Lines'!$G$5:$G$1640,A310,'Bank Lines'!$J$5:$J$1640,1,'Bank Lines'!$C$5:$C$1640,"&lt;="&amp;Cover!$C$13),2)</f>
        <v>0</v>
      </c>
      <c r="N310" s="9">
        <f>ROUND(SUMIFS('Odoo Items'!$G$5:$G$4331,'Odoo Items'!$J$5:$J$4331,A310,'Odoo Items'!$C$5:$C$4331,"&lt;="&amp;Cover!$C$13),2)</f>
        <v>0</v>
      </c>
      <c r="O310">
        <f>COUNTIFS('Bank Lines'!$G$5:$G$1640,A310,'Bank Lines'!$J$5:$J$1640,1,'Bank Lines'!$C$5:$C$1640,"&lt;="&amp;Cover!$C$13)</f>
        <v>0</v>
      </c>
      <c r="P310">
        <f>COUNTIFS('Odoo Items'!$J$5:$J$4331,A310,'Odoo Items'!$C$5:$C$4331,"&lt;="&amp;Cover!$C$13)</f>
        <v>0</v>
      </c>
      <c r="Q310">
        <f>IF(AND(O310=0,P310=0),"",IF(O310=0,"ODOO-ONLY",IF(P310=0,"BANK-ONLY","BOTH")))</f>
      </c>
      <c r="R310" s="9">
        <f>IF(Q310="BOTH",ROUND(M310-N310,2),0)</f>
        <v>0</v>
      </c>
      <c r="S310" s="9">
        <f>ROUND(SUMIFS('Bank Lines'!$E$5:$E$1640,'Bank Lines'!$G$5:$G$1640,A310,'Bank Lines'!$J$5:$J$1640,1,'Bank Lines'!$C$5:$C$1640,"&lt;="&amp;Cover!$C$14),2)</f>
        <v>1746.81</v>
      </c>
      <c r="T310" s="9">
        <f>ROUND(SUMIFS('Odoo Items'!$G$5:$G$4331,'Odoo Items'!$J$5:$J$4331,A310,'Odoo Items'!$C$5:$C$4331,"&lt;="&amp;Cover!$C$14),2)</f>
        <v>0</v>
      </c>
      <c r="U310">
        <f>COUNTIFS('Bank Lines'!$G$5:$G$1640,A310,'Bank Lines'!$J$5:$J$1640,1,'Bank Lines'!$C$5:$C$1640,"&lt;="&amp;Cover!$C$14)</f>
        <v>1</v>
      </c>
      <c r="V310">
        <f>COUNTIFS('Odoo Items'!$J$5:$J$4331,A310,'Odoo Items'!$C$5:$C$4331,"&lt;="&amp;Cover!$C$14)</f>
        <v>0</v>
      </c>
      <c r="W310" t="str">
        <f>IF(AND(U310=0,V310=0),"",IF(U310=0,"ODOO-ONLY",IF(V310=0,"BANK-ONLY","BOTH")))</f>
        <v>BANK-ONLY</v>
      </c>
      <c r="X310" s="9">
        <f>IF(W310="BOTH",ROUND(S310-T310,2),0)</f>
        <v>0</v>
      </c>
      <c r="Y310" s="9">
        <f>ROUND(SUMIFS('Bank Lines'!$E$5:$E$1640,'Bank Lines'!$G$5:$G$1640,A310,'Bank Lines'!$J$5:$J$1640,1,'Bank Lines'!$C$5:$C$1640,"&lt;="&amp;Cover!$C$15),2)</f>
        <v>1746.81</v>
      </c>
      <c r="Z310" s="9">
        <f>ROUND(SUMIFS('Odoo Items'!$G$5:$G$4331,'Odoo Items'!$J$5:$J$4331,A310,'Odoo Items'!$C$5:$C$4331,"&lt;="&amp;Cover!$C$15),2)</f>
        <v>0</v>
      </c>
      <c r="AA310">
        <f>COUNTIFS('Bank Lines'!$G$5:$G$1640,A310,'Bank Lines'!$J$5:$J$1640,1,'Bank Lines'!$C$5:$C$1640,"&lt;="&amp;Cover!$C$15)</f>
        <v>1</v>
      </c>
      <c r="AB310">
        <f>COUNTIFS('Odoo Items'!$J$5:$J$4331,A310,'Odoo Items'!$C$5:$C$4331,"&lt;="&amp;Cover!$C$15)</f>
        <v>0</v>
      </c>
      <c r="AC310" t="str">
        <f>IF(AND(AA310=0,AB310=0),"",IF(AA310=0,"ODOO-ONLY",IF(AB310=0,"BANK-ONLY","BOTH")))</f>
        <v>BANK-ONLY</v>
      </c>
      <c r="AD310" s="9">
        <f>IF(AC310="BOTH",ROUND(Y310-Z310,2),0)</f>
        <v>0</v>
      </c>
    </row>
    <row r="311">
      <c r="A311" t="inlineStr">
        <is>
          <t>G00307</t>
        </is>
      </c>
      <c r="B311" t="inlineStr">
        <is>
          <t>OPS</t>
        </is>
      </c>
      <c r="C311" t="inlineStr">
        <is>
          <t>R03</t>
        </is>
      </c>
      <c r="D311" t="inlineStr">
        <is>
          <t>MATCH</t>
        </is>
      </c>
      <c r="E311" t="inlineStr">
        <is>
          <t>Southern Cross Plan Mgmt</t>
        </is>
      </c>
      <c r="F311" t="n">
        <v>1</v>
      </c>
      <c r="G311" t="inlineStr">
        <is>
          <t>6 invoices</t>
        </is>
      </c>
      <c r="H311">
        <f>COUNTIFS('Bank Lines'!$G$5:$G$1640,A311,'Bank Lines'!$J$5:$J$1640,1)</f>
        <v>1</v>
      </c>
      <c r="I311">
        <f>COUNTIFS('Odoo Items'!$J$5:$J$4331,A311)</f>
        <v>6</v>
      </c>
      <c r="J311" s="9">
        <f>ROUND(SUMIFS('Bank Lines'!$E$5:$E$1640,'Bank Lines'!$G$5:$G$1640,A311,'Bank Lines'!$J$5:$J$1640,1),2)</f>
        <v>1698.31</v>
      </c>
      <c r="K311" s="9">
        <f>ROUND(SUMIFS('Odoo Items'!$G$5:$G$4331,'Odoo Items'!$J$5:$J$4331,A311),2)</f>
        <v>1698.31</v>
      </c>
      <c r="L311" s="9">
        <f>ROUND(J311-K311,2)</f>
        <v>0</v>
      </c>
      <c r="M311" s="9">
        <f>ROUND(SUMIFS('Bank Lines'!$E$5:$E$1640,'Bank Lines'!$G$5:$G$1640,A311,'Bank Lines'!$J$5:$J$1640,1,'Bank Lines'!$C$5:$C$1640,"&lt;="&amp;Cover!$C$13),2)</f>
        <v>0</v>
      </c>
      <c r="N311" s="9">
        <f>ROUND(SUMIFS('Odoo Items'!$G$5:$G$4331,'Odoo Items'!$J$5:$J$4331,A311,'Odoo Items'!$C$5:$C$4331,"&lt;="&amp;Cover!$C$13),2)</f>
        <v>0</v>
      </c>
      <c r="O311">
        <f>COUNTIFS('Bank Lines'!$G$5:$G$1640,A311,'Bank Lines'!$J$5:$J$1640,1,'Bank Lines'!$C$5:$C$1640,"&lt;="&amp;Cover!$C$13)</f>
        <v>0</v>
      </c>
      <c r="P311">
        <f>COUNTIFS('Odoo Items'!$J$5:$J$4331,A311,'Odoo Items'!$C$5:$C$4331,"&lt;="&amp;Cover!$C$13)</f>
        <v>0</v>
      </c>
      <c r="Q311">
        <f>IF(AND(O311=0,P311=0),"",IF(O311=0,"ODOO-ONLY",IF(P311=0,"BANK-ONLY","BOTH")))</f>
      </c>
      <c r="R311" s="9">
        <f>IF(Q311="BOTH",ROUND(M311-N311,2),0)</f>
        <v>0</v>
      </c>
      <c r="S311" s="9">
        <f>ROUND(SUMIFS('Bank Lines'!$E$5:$E$1640,'Bank Lines'!$G$5:$G$1640,A311,'Bank Lines'!$J$5:$J$1640,1,'Bank Lines'!$C$5:$C$1640,"&lt;="&amp;Cover!$C$14),2)</f>
        <v>1698.31</v>
      </c>
      <c r="T311" s="9">
        <f>ROUND(SUMIFS('Odoo Items'!$G$5:$G$4331,'Odoo Items'!$J$5:$J$4331,A311,'Odoo Items'!$C$5:$C$4331,"&lt;="&amp;Cover!$C$14),2)</f>
        <v>1698.31</v>
      </c>
      <c r="U311">
        <f>COUNTIFS('Bank Lines'!$G$5:$G$1640,A311,'Bank Lines'!$J$5:$J$1640,1,'Bank Lines'!$C$5:$C$1640,"&lt;="&amp;Cover!$C$14)</f>
        <v>1</v>
      </c>
      <c r="V311">
        <f>COUNTIFS('Odoo Items'!$J$5:$J$4331,A311,'Odoo Items'!$C$5:$C$4331,"&lt;="&amp;Cover!$C$14)</f>
        <v>6</v>
      </c>
      <c r="W311" t="str">
        <f>IF(AND(U311=0,V311=0),"",IF(U311=0,"ODOO-ONLY",IF(V311=0,"BANK-ONLY","BOTH")))</f>
        <v>BOTH</v>
      </c>
      <c r="X311" s="9">
        <f>IF(W311="BOTH",ROUND(S311-T311,2),0)</f>
        <v>0</v>
      </c>
      <c r="Y311" s="9">
        <f>ROUND(SUMIFS('Bank Lines'!$E$5:$E$1640,'Bank Lines'!$G$5:$G$1640,A311,'Bank Lines'!$J$5:$J$1640,1,'Bank Lines'!$C$5:$C$1640,"&lt;="&amp;Cover!$C$15),2)</f>
        <v>1698.31</v>
      </c>
      <c r="Z311" s="9">
        <f>ROUND(SUMIFS('Odoo Items'!$G$5:$G$4331,'Odoo Items'!$J$5:$J$4331,A311,'Odoo Items'!$C$5:$C$4331,"&lt;="&amp;Cover!$C$15),2)</f>
        <v>1698.31</v>
      </c>
      <c r="AA311">
        <f>COUNTIFS('Bank Lines'!$G$5:$G$1640,A311,'Bank Lines'!$J$5:$J$1640,1,'Bank Lines'!$C$5:$C$1640,"&lt;="&amp;Cover!$C$15)</f>
        <v>1</v>
      </c>
      <c r="AB311">
        <f>COUNTIFS('Odoo Items'!$J$5:$J$4331,A311,'Odoo Items'!$C$5:$C$4331,"&lt;="&amp;Cover!$C$15)</f>
        <v>6</v>
      </c>
      <c r="AC311" t="str">
        <f>IF(AND(AA311=0,AB311=0),"",IF(AA311=0,"ODOO-ONLY",IF(AB311=0,"BANK-ONLY","BOTH")))</f>
        <v>BOTH</v>
      </c>
      <c r="AD311" s="9">
        <f>IF(AC311="BOTH",ROUND(Y311-Z311,2),0)</f>
        <v>0</v>
      </c>
    </row>
    <row r="312">
      <c r="A312" t="inlineStr">
        <is>
          <t>G00308</t>
        </is>
      </c>
      <c r="B312" t="inlineStr">
        <is>
          <t>OPS</t>
        </is>
      </c>
      <c r="C312" t="inlineStr">
        <is>
          <t>R03</t>
        </is>
      </c>
      <c r="D312" t="inlineStr">
        <is>
          <t>MATCH</t>
        </is>
      </c>
      <c r="E312" t="inlineStr">
        <is>
          <t>Tallowwood Plans</t>
        </is>
      </c>
      <c r="F312" t="n">
        <v>1</v>
      </c>
      <c r="G312" t="inlineStr">
        <is>
          <t>6 invoices</t>
        </is>
      </c>
      <c r="H312">
        <f>COUNTIFS('Bank Lines'!$G$5:$G$1640,A312,'Bank Lines'!$J$5:$J$1640,1)</f>
        <v>1</v>
      </c>
      <c r="I312">
        <f>COUNTIFS('Odoo Items'!$J$5:$J$4331,A312)</f>
        <v>6</v>
      </c>
      <c r="J312" s="9">
        <f>ROUND(SUMIFS('Bank Lines'!$E$5:$E$1640,'Bank Lines'!$G$5:$G$1640,A312,'Bank Lines'!$J$5:$J$1640,1),2)</f>
        <v>1222.13</v>
      </c>
      <c r="K312" s="9">
        <f>ROUND(SUMIFS('Odoo Items'!$G$5:$G$4331,'Odoo Items'!$J$5:$J$4331,A312),2)</f>
        <v>1222.13</v>
      </c>
      <c r="L312" s="9">
        <f>ROUND(J312-K312,2)</f>
        <v>0</v>
      </c>
      <c r="M312" s="9">
        <f>ROUND(SUMIFS('Bank Lines'!$E$5:$E$1640,'Bank Lines'!$G$5:$G$1640,A312,'Bank Lines'!$J$5:$J$1640,1,'Bank Lines'!$C$5:$C$1640,"&lt;="&amp;Cover!$C$13),2)</f>
        <v>0</v>
      </c>
      <c r="N312" s="9">
        <f>ROUND(SUMIFS('Odoo Items'!$G$5:$G$4331,'Odoo Items'!$J$5:$J$4331,A312,'Odoo Items'!$C$5:$C$4331,"&lt;="&amp;Cover!$C$13),2)</f>
        <v>0</v>
      </c>
      <c r="O312">
        <f>COUNTIFS('Bank Lines'!$G$5:$G$1640,A312,'Bank Lines'!$J$5:$J$1640,1,'Bank Lines'!$C$5:$C$1640,"&lt;="&amp;Cover!$C$13)</f>
        <v>0</v>
      </c>
      <c r="P312">
        <f>COUNTIFS('Odoo Items'!$J$5:$J$4331,A312,'Odoo Items'!$C$5:$C$4331,"&lt;="&amp;Cover!$C$13)</f>
        <v>0</v>
      </c>
      <c r="Q312">
        <f>IF(AND(O312=0,P312=0),"",IF(O312=0,"ODOO-ONLY",IF(P312=0,"BANK-ONLY","BOTH")))</f>
      </c>
      <c r="R312" s="9">
        <f>IF(Q312="BOTH",ROUND(M312-N312,2),0)</f>
        <v>0</v>
      </c>
      <c r="S312" s="9">
        <f>ROUND(SUMIFS('Bank Lines'!$E$5:$E$1640,'Bank Lines'!$G$5:$G$1640,A312,'Bank Lines'!$J$5:$J$1640,1,'Bank Lines'!$C$5:$C$1640,"&lt;="&amp;Cover!$C$14),2)</f>
        <v>1222.13</v>
      </c>
      <c r="T312" s="9">
        <f>ROUND(SUMIFS('Odoo Items'!$G$5:$G$4331,'Odoo Items'!$J$5:$J$4331,A312,'Odoo Items'!$C$5:$C$4331,"&lt;="&amp;Cover!$C$14),2)</f>
        <v>1222.13</v>
      </c>
      <c r="U312">
        <f>COUNTIFS('Bank Lines'!$G$5:$G$1640,A312,'Bank Lines'!$J$5:$J$1640,1,'Bank Lines'!$C$5:$C$1640,"&lt;="&amp;Cover!$C$14)</f>
        <v>1</v>
      </c>
      <c r="V312">
        <f>COUNTIFS('Odoo Items'!$J$5:$J$4331,A312,'Odoo Items'!$C$5:$C$4331,"&lt;="&amp;Cover!$C$14)</f>
        <v>6</v>
      </c>
      <c r="W312" t="str">
        <f>IF(AND(U312=0,V312=0),"",IF(U312=0,"ODOO-ONLY",IF(V312=0,"BANK-ONLY","BOTH")))</f>
        <v>BOTH</v>
      </c>
      <c r="X312" s="9">
        <f>IF(W312="BOTH",ROUND(S312-T312,2),0)</f>
        <v>0</v>
      </c>
      <c r="Y312" s="9">
        <f>ROUND(SUMIFS('Bank Lines'!$E$5:$E$1640,'Bank Lines'!$G$5:$G$1640,A312,'Bank Lines'!$J$5:$J$1640,1,'Bank Lines'!$C$5:$C$1640,"&lt;="&amp;Cover!$C$15),2)</f>
        <v>1222.13</v>
      </c>
      <c r="Z312" s="9">
        <f>ROUND(SUMIFS('Odoo Items'!$G$5:$G$4331,'Odoo Items'!$J$5:$J$4331,A312,'Odoo Items'!$C$5:$C$4331,"&lt;="&amp;Cover!$C$15),2)</f>
        <v>1222.13</v>
      </c>
      <c r="AA312">
        <f>COUNTIFS('Bank Lines'!$G$5:$G$1640,A312,'Bank Lines'!$J$5:$J$1640,1,'Bank Lines'!$C$5:$C$1640,"&lt;="&amp;Cover!$C$15)</f>
        <v>1</v>
      </c>
      <c r="AB312">
        <f>COUNTIFS('Odoo Items'!$J$5:$J$4331,A312,'Odoo Items'!$C$5:$C$4331,"&lt;="&amp;Cover!$C$15)</f>
        <v>6</v>
      </c>
      <c r="AC312" t="str">
        <f>IF(AND(AA312=0,AB312=0),"",IF(AA312=0,"ODOO-ONLY",IF(AB312=0,"BANK-ONLY","BOTH")))</f>
        <v>BOTH</v>
      </c>
      <c r="AD312" s="9">
        <f>IF(AC312="BOTH",ROUND(Y312-Z312,2),0)</f>
        <v>0</v>
      </c>
    </row>
    <row r="313">
      <c r="A313" t="inlineStr">
        <is>
          <t>G00309</t>
        </is>
      </c>
      <c r="B313" t="inlineStr">
        <is>
          <t>OPS</t>
        </is>
      </c>
      <c r="C313" t="inlineStr">
        <is>
          <t>R03</t>
        </is>
      </c>
      <c r="D313" t="inlineStr">
        <is>
          <t>MATCH</t>
        </is>
      </c>
      <c r="E313" t="inlineStr">
        <is>
          <t>Acacia Plan Partners</t>
        </is>
      </c>
      <c r="F313" t="n">
        <v>1</v>
      </c>
      <c r="G313" t="inlineStr">
        <is>
          <t>2 invoices</t>
        </is>
      </c>
      <c r="H313">
        <f>COUNTIFS('Bank Lines'!$G$5:$G$1640,A313,'Bank Lines'!$J$5:$J$1640,1)</f>
        <v>1</v>
      </c>
      <c r="I313">
        <f>COUNTIFS('Odoo Items'!$J$5:$J$4331,A313)</f>
        <v>2</v>
      </c>
      <c r="J313" s="9">
        <f>ROUND(SUMIFS('Bank Lines'!$E$5:$E$1640,'Bank Lines'!$G$5:$G$1640,A313,'Bank Lines'!$J$5:$J$1640,1),2)</f>
        <v>387.98</v>
      </c>
      <c r="K313" s="9">
        <f>ROUND(SUMIFS('Odoo Items'!$G$5:$G$4331,'Odoo Items'!$J$5:$J$4331,A313),2)</f>
        <v>387.98</v>
      </c>
      <c r="L313" s="9">
        <f>ROUND(J313-K313,2)</f>
        <v>0</v>
      </c>
      <c r="M313" s="9">
        <f>ROUND(SUMIFS('Bank Lines'!$E$5:$E$1640,'Bank Lines'!$G$5:$G$1640,A313,'Bank Lines'!$J$5:$J$1640,1,'Bank Lines'!$C$5:$C$1640,"&lt;="&amp;Cover!$C$13),2)</f>
        <v>0</v>
      </c>
      <c r="N313" s="9">
        <f>ROUND(SUMIFS('Odoo Items'!$G$5:$G$4331,'Odoo Items'!$J$5:$J$4331,A313,'Odoo Items'!$C$5:$C$4331,"&lt;="&amp;Cover!$C$13),2)</f>
        <v>0</v>
      </c>
      <c r="O313">
        <f>COUNTIFS('Bank Lines'!$G$5:$G$1640,A313,'Bank Lines'!$J$5:$J$1640,1,'Bank Lines'!$C$5:$C$1640,"&lt;="&amp;Cover!$C$13)</f>
        <v>0</v>
      </c>
      <c r="P313">
        <f>COUNTIFS('Odoo Items'!$J$5:$J$4331,A313,'Odoo Items'!$C$5:$C$4331,"&lt;="&amp;Cover!$C$13)</f>
        <v>0</v>
      </c>
      <c r="Q313">
        <f>IF(AND(O313=0,P313=0),"",IF(O313=0,"ODOO-ONLY",IF(P313=0,"BANK-ONLY","BOTH")))</f>
      </c>
      <c r="R313" s="9">
        <f>IF(Q313="BOTH",ROUND(M313-N313,2),0)</f>
        <v>0</v>
      </c>
      <c r="S313" s="9">
        <f>ROUND(SUMIFS('Bank Lines'!$E$5:$E$1640,'Bank Lines'!$G$5:$G$1640,A313,'Bank Lines'!$J$5:$J$1640,1,'Bank Lines'!$C$5:$C$1640,"&lt;="&amp;Cover!$C$14),2)</f>
        <v>387.98</v>
      </c>
      <c r="T313" s="9">
        <f>ROUND(SUMIFS('Odoo Items'!$G$5:$G$4331,'Odoo Items'!$J$5:$J$4331,A313,'Odoo Items'!$C$5:$C$4331,"&lt;="&amp;Cover!$C$14),2)</f>
        <v>387.98</v>
      </c>
      <c r="U313">
        <f>COUNTIFS('Bank Lines'!$G$5:$G$1640,A313,'Bank Lines'!$J$5:$J$1640,1,'Bank Lines'!$C$5:$C$1640,"&lt;="&amp;Cover!$C$14)</f>
        <v>1</v>
      </c>
      <c r="V313">
        <f>COUNTIFS('Odoo Items'!$J$5:$J$4331,A313,'Odoo Items'!$C$5:$C$4331,"&lt;="&amp;Cover!$C$14)</f>
        <v>2</v>
      </c>
      <c r="W313" t="str">
        <f>IF(AND(U313=0,V313=0),"",IF(U313=0,"ODOO-ONLY",IF(V313=0,"BANK-ONLY","BOTH")))</f>
        <v>BOTH</v>
      </c>
      <c r="X313" s="9">
        <f>IF(W313="BOTH",ROUND(S313-T313,2),0)</f>
        <v>0</v>
      </c>
      <c r="Y313" s="9">
        <f>ROUND(SUMIFS('Bank Lines'!$E$5:$E$1640,'Bank Lines'!$G$5:$G$1640,A313,'Bank Lines'!$J$5:$J$1640,1,'Bank Lines'!$C$5:$C$1640,"&lt;="&amp;Cover!$C$15),2)</f>
        <v>387.98</v>
      </c>
      <c r="Z313" s="9">
        <f>ROUND(SUMIFS('Odoo Items'!$G$5:$G$4331,'Odoo Items'!$J$5:$J$4331,A313,'Odoo Items'!$C$5:$C$4331,"&lt;="&amp;Cover!$C$15),2)</f>
        <v>387.98</v>
      </c>
      <c r="AA313">
        <f>COUNTIFS('Bank Lines'!$G$5:$G$1640,A313,'Bank Lines'!$J$5:$J$1640,1,'Bank Lines'!$C$5:$C$1640,"&lt;="&amp;Cover!$C$15)</f>
        <v>1</v>
      </c>
      <c r="AB313">
        <f>COUNTIFS('Odoo Items'!$J$5:$J$4331,A313,'Odoo Items'!$C$5:$C$4331,"&lt;="&amp;Cover!$C$15)</f>
        <v>2</v>
      </c>
      <c r="AC313" t="str">
        <f>IF(AND(AA313=0,AB313=0),"",IF(AA313=0,"ODOO-ONLY",IF(AB313=0,"BANK-ONLY","BOTH")))</f>
        <v>BOTH</v>
      </c>
      <c r="AD313" s="9">
        <f>IF(AC313="BOTH",ROUND(Y313-Z313,2),0)</f>
        <v>0</v>
      </c>
    </row>
    <row r="314">
      <c r="A314" t="inlineStr">
        <is>
          <t>G00310</t>
        </is>
      </c>
      <c r="B314" t="inlineStr">
        <is>
          <t>OPS</t>
        </is>
      </c>
      <c r="C314" t="inlineStr">
        <is>
          <t>R03</t>
        </is>
      </c>
      <c r="D314" t="inlineStr">
        <is>
          <t>MATCH</t>
        </is>
      </c>
      <c r="E314" t="inlineStr">
        <is>
          <t>Wattle Plan Services</t>
        </is>
      </c>
      <c r="F314" t="n">
        <v>1</v>
      </c>
      <c r="G314" t="inlineStr">
        <is>
          <t>7 invoices</t>
        </is>
      </c>
      <c r="H314">
        <f>COUNTIFS('Bank Lines'!$G$5:$G$1640,A314,'Bank Lines'!$J$5:$J$1640,1)</f>
        <v>1</v>
      </c>
      <c r="I314">
        <f>COUNTIFS('Odoo Items'!$J$5:$J$4331,A314)</f>
        <v>7</v>
      </c>
      <c r="J314" s="9">
        <f>ROUND(SUMIFS('Bank Lines'!$E$5:$E$1640,'Bank Lines'!$G$5:$G$1640,A314,'Bank Lines'!$J$5:$J$1640,1),2)</f>
        <v>1612.81</v>
      </c>
      <c r="K314" s="9">
        <f>ROUND(SUMIFS('Odoo Items'!$G$5:$G$4331,'Odoo Items'!$J$5:$J$4331,A314),2)</f>
        <v>1612.81</v>
      </c>
      <c r="L314" s="9">
        <f>ROUND(J314-K314,2)</f>
        <v>0</v>
      </c>
      <c r="M314" s="9">
        <f>ROUND(SUMIFS('Bank Lines'!$E$5:$E$1640,'Bank Lines'!$G$5:$G$1640,A314,'Bank Lines'!$J$5:$J$1640,1,'Bank Lines'!$C$5:$C$1640,"&lt;="&amp;Cover!$C$13),2)</f>
        <v>0</v>
      </c>
      <c r="N314" s="9">
        <f>ROUND(SUMIFS('Odoo Items'!$G$5:$G$4331,'Odoo Items'!$J$5:$J$4331,A314,'Odoo Items'!$C$5:$C$4331,"&lt;="&amp;Cover!$C$13),2)</f>
        <v>0</v>
      </c>
      <c r="O314">
        <f>COUNTIFS('Bank Lines'!$G$5:$G$1640,A314,'Bank Lines'!$J$5:$J$1640,1,'Bank Lines'!$C$5:$C$1640,"&lt;="&amp;Cover!$C$13)</f>
        <v>0</v>
      </c>
      <c r="P314">
        <f>COUNTIFS('Odoo Items'!$J$5:$J$4331,A314,'Odoo Items'!$C$5:$C$4331,"&lt;="&amp;Cover!$C$13)</f>
        <v>0</v>
      </c>
      <c r="Q314">
        <f>IF(AND(O314=0,P314=0),"",IF(O314=0,"ODOO-ONLY",IF(P314=0,"BANK-ONLY","BOTH")))</f>
      </c>
      <c r="R314" s="9">
        <f>IF(Q314="BOTH",ROUND(M314-N314,2),0)</f>
        <v>0</v>
      </c>
      <c r="S314" s="9">
        <f>ROUND(SUMIFS('Bank Lines'!$E$5:$E$1640,'Bank Lines'!$G$5:$G$1640,A314,'Bank Lines'!$J$5:$J$1640,1,'Bank Lines'!$C$5:$C$1640,"&lt;="&amp;Cover!$C$14),2)</f>
        <v>1612.81</v>
      </c>
      <c r="T314" s="9">
        <f>ROUND(SUMIFS('Odoo Items'!$G$5:$G$4331,'Odoo Items'!$J$5:$J$4331,A314,'Odoo Items'!$C$5:$C$4331,"&lt;="&amp;Cover!$C$14),2)</f>
        <v>1612.81</v>
      </c>
      <c r="U314">
        <f>COUNTIFS('Bank Lines'!$G$5:$G$1640,A314,'Bank Lines'!$J$5:$J$1640,1,'Bank Lines'!$C$5:$C$1640,"&lt;="&amp;Cover!$C$14)</f>
        <v>1</v>
      </c>
      <c r="V314">
        <f>COUNTIFS('Odoo Items'!$J$5:$J$4331,A314,'Odoo Items'!$C$5:$C$4331,"&lt;="&amp;Cover!$C$14)</f>
        <v>7</v>
      </c>
      <c r="W314" t="str">
        <f>IF(AND(U314=0,V314=0),"",IF(U314=0,"ODOO-ONLY",IF(V314=0,"BANK-ONLY","BOTH")))</f>
        <v>BOTH</v>
      </c>
      <c r="X314" s="9">
        <f>IF(W314="BOTH",ROUND(S314-T314,2),0)</f>
        <v>0</v>
      </c>
      <c r="Y314" s="9">
        <f>ROUND(SUMIFS('Bank Lines'!$E$5:$E$1640,'Bank Lines'!$G$5:$G$1640,A314,'Bank Lines'!$J$5:$J$1640,1,'Bank Lines'!$C$5:$C$1640,"&lt;="&amp;Cover!$C$15),2)</f>
        <v>1612.81</v>
      </c>
      <c r="Z314" s="9">
        <f>ROUND(SUMIFS('Odoo Items'!$G$5:$G$4331,'Odoo Items'!$J$5:$J$4331,A314,'Odoo Items'!$C$5:$C$4331,"&lt;="&amp;Cover!$C$15),2)</f>
        <v>1612.81</v>
      </c>
      <c r="AA314">
        <f>COUNTIFS('Bank Lines'!$G$5:$G$1640,A314,'Bank Lines'!$J$5:$J$1640,1,'Bank Lines'!$C$5:$C$1640,"&lt;="&amp;Cover!$C$15)</f>
        <v>1</v>
      </c>
      <c r="AB314">
        <f>COUNTIFS('Odoo Items'!$J$5:$J$4331,A314,'Odoo Items'!$C$5:$C$4331,"&lt;="&amp;Cover!$C$15)</f>
        <v>7</v>
      </c>
      <c r="AC314" t="str">
        <f>IF(AND(AA314=0,AB314=0),"",IF(AA314=0,"ODOO-ONLY",IF(AB314=0,"BANK-ONLY","BOTH")))</f>
        <v>BOTH</v>
      </c>
      <c r="AD314" s="9">
        <f>IF(AC314="BOTH",ROUND(Y314-Z314,2),0)</f>
        <v>0</v>
      </c>
    </row>
    <row r="315">
      <c r="A315" t="inlineStr">
        <is>
          <t>G00311</t>
        </is>
      </c>
      <c r="B315" t="inlineStr">
        <is>
          <t>OPS</t>
        </is>
      </c>
      <c r="C315" t="inlineStr">
        <is>
          <t>R03</t>
        </is>
      </c>
      <c r="D315" t="inlineStr">
        <is>
          <t>MATCH</t>
        </is>
      </c>
      <c r="E315" t="inlineStr">
        <is>
          <t>Saltbush Plan Managers</t>
        </is>
      </c>
      <c r="F315" t="n">
        <v>1</v>
      </c>
      <c r="G315" t="inlineStr">
        <is>
          <t>8 invoices</t>
        </is>
      </c>
      <c r="H315">
        <f>COUNTIFS('Bank Lines'!$G$5:$G$1640,A315,'Bank Lines'!$J$5:$J$1640,1)</f>
        <v>1</v>
      </c>
      <c r="I315">
        <f>COUNTIFS('Odoo Items'!$J$5:$J$4331,A315)</f>
        <v>8</v>
      </c>
      <c r="J315" s="9">
        <f>ROUND(SUMIFS('Bank Lines'!$E$5:$E$1640,'Bank Lines'!$G$5:$G$1640,A315,'Bank Lines'!$J$5:$J$1640,1),2)</f>
        <v>2591.56</v>
      </c>
      <c r="K315" s="9">
        <f>ROUND(SUMIFS('Odoo Items'!$G$5:$G$4331,'Odoo Items'!$J$5:$J$4331,A315),2)</f>
        <v>2591.56</v>
      </c>
      <c r="L315" s="9">
        <f>ROUND(J315-K315,2)</f>
        <v>0</v>
      </c>
      <c r="M315" s="9">
        <f>ROUND(SUMIFS('Bank Lines'!$E$5:$E$1640,'Bank Lines'!$G$5:$G$1640,A315,'Bank Lines'!$J$5:$J$1640,1,'Bank Lines'!$C$5:$C$1640,"&lt;="&amp;Cover!$C$13),2)</f>
        <v>0</v>
      </c>
      <c r="N315" s="9">
        <f>ROUND(SUMIFS('Odoo Items'!$G$5:$G$4331,'Odoo Items'!$J$5:$J$4331,A315,'Odoo Items'!$C$5:$C$4331,"&lt;="&amp;Cover!$C$13),2)</f>
        <v>0</v>
      </c>
      <c r="O315">
        <f>COUNTIFS('Bank Lines'!$G$5:$G$1640,A315,'Bank Lines'!$J$5:$J$1640,1,'Bank Lines'!$C$5:$C$1640,"&lt;="&amp;Cover!$C$13)</f>
        <v>0</v>
      </c>
      <c r="P315">
        <f>COUNTIFS('Odoo Items'!$J$5:$J$4331,A315,'Odoo Items'!$C$5:$C$4331,"&lt;="&amp;Cover!$C$13)</f>
        <v>0</v>
      </c>
      <c r="Q315">
        <f>IF(AND(O315=0,P315=0),"",IF(O315=0,"ODOO-ONLY",IF(P315=0,"BANK-ONLY","BOTH")))</f>
      </c>
      <c r="R315" s="9">
        <f>IF(Q315="BOTH",ROUND(M315-N315,2),0)</f>
        <v>0</v>
      </c>
      <c r="S315" s="9">
        <f>ROUND(SUMIFS('Bank Lines'!$E$5:$E$1640,'Bank Lines'!$G$5:$G$1640,A315,'Bank Lines'!$J$5:$J$1640,1,'Bank Lines'!$C$5:$C$1640,"&lt;="&amp;Cover!$C$14),2)</f>
        <v>2591.56</v>
      </c>
      <c r="T315" s="9">
        <f>ROUND(SUMIFS('Odoo Items'!$G$5:$G$4331,'Odoo Items'!$J$5:$J$4331,A315,'Odoo Items'!$C$5:$C$4331,"&lt;="&amp;Cover!$C$14),2)</f>
        <v>2591.56</v>
      </c>
      <c r="U315">
        <f>COUNTIFS('Bank Lines'!$G$5:$G$1640,A315,'Bank Lines'!$J$5:$J$1640,1,'Bank Lines'!$C$5:$C$1640,"&lt;="&amp;Cover!$C$14)</f>
        <v>1</v>
      </c>
      <c r="V315">
        <f>COUNTIFS('Odoo Items'!$J$5:$J$4331,A315,'Odoo Items'!$C$5:$C$4331,"&lt;="&amp;Cover!$C$14)</f>
        <v>8</v>
      </c>
      <c r="W315" t="str">
        <f>IF(AND(U315=0,V315=0),"",IF(U315=0,"ODOO-ONLY",IF(V315=0,"BANK-ONLY","BOTH")))</f>
        <v>BOTH</v>
      </c>
      <c r="X315" s="9">
        <f>IF(W315="BOTH",ROUND(S315-T315,2),0)</f>
        <v>0</v>
      </c>
      <c r="Y315" s="9">
        <f>ROUND(SUMIFS('Bank Lines'!$E$5:$E$1640,'Bank Lines'!$G$5:$G$1640,A315,'Bank Lines'!$J$5:$J$1640,1,'Bank Lines'!$C$5:$C$1640,"&lt;="&amp;Cover!$C$15),2)</f>
        <v>2591.56</v>
      </c>
      <c r="Z315" s="9">
        <f>ROUND(SUMIFS('Odoo Items'!$G$5:$G$4331,'Odoo Items'!$J$5:$J$4331,A315,'Odoo Items'!$C$5:$C$4331,"&lt;="&amp;Cover!$C$15),2)</f>
        <v>2591.56</v>
      </c>
      <c r="AA315">
        <f>COUNTIFS('Bank Lines'!$G$5:$G$1640,A315,'Bank Lines'!$J$5:$J$1640,1,'Bank Lines'!$C$5:$C$1640,"&lt;="&amp;Cover!$C$15)</f>
        <v>1</v>
      </c>
      <c r="AB315">
        <f>COUNTIFS('Odoo Items'!$J$5:$J$4331,A315,'Odoo Items'!$C$5:$C$4331,"&lt;="&amp;Cover!$C$15)</f>
        <v>8</v>
      </c>
      <c r="AC315" t="str">
        <f>IF(AND(AA315=0,AB315=0),"",IF(AA315=0,"ODOO-ONLY",IF(AB315=0,"BANK-ONLY","BOTH")))</f>
        <v>BOTH</v>
      </c>
      <c r="AD315" s="9">
        <f>IF(AC315="BOTH",ROUND(Y315-Z315,2),0)</f>
        <v>0</v>
      </c>
    </row>
    <row r="316">
      <c r="A316" t="inlineStr">
        <is>
          <t>G00312</t>
        </is>
      </c>
      <c r="B316" t="inlineStr">
        <is>
          <t>OPS</t>
        </is>
      </c>
      <c r="C316" t="inlineStr">
        <is>
          <t>R03</t>
        </is>
      </c>
      <c r="D316" t="inlineStr">
        <is>
          <t>REG</t>
        </is>
      </c>
      <c r="E316" t="inlineStr">
        <is>
          <t>Redgum Plan Admin</t>
        </is>
      </c>
      <c r="F316" t="n">
        <v>1</v>
      </c>
      <c r="G316" t="inlineStr">
        <is>
          <t>Receipt not registered in Odoo; remittance RA45033 lists 4 invoices</t>
        </is>
      </c>
      <c r="H316">
        <f>COUNTIFS('Bank Lines'!$G$5:$G$1640,A316,'Bank Lines'!$J$5:$J$1640,1)</f>
        <v>1</v>
      </c>
      <c r="I316">
        <f>COUNTIFS('Odoo Items'!$J$5:$J$4331,A316)</f>
        <v>0</v>
      </c>
      <c r="J316" s="9">
        <f>ROUND(SUMIFS('Bank Lines'!$E$5:$E$1640,'Bank Lines'!$G$5:$G$1640,A316,'Bank Lines'!$J$5:$J$1640,1),2)</f>
        <v>1125.14</v>
      </c>
      <c r="K316" s="9">
        <f>ROUND(SUMIFS('Odoo Items'!$G$5:$G$4331,'Odoo Items'!$J$5:$J$4331,A316),2)</f>
        <v>0</v>
      </c>
      <c r="L316" s="9">
        <f>ROUND(J316-K316,2)</f>
        <v>1125.14</v>
      </c>
      <c r="M316" s="9">
        <f>ROUND(SUMIFS('Bank Lines'!$E$5:$E$1640,'Bank Lines'!$G$5:$G$1640,A316,'Bank Lines'!$J$5:$J$1640,1,'Bank Lines'!$C$5:$C$1640,"&lt;="&amp;Cover!$C$13),2)</f>
        <v>0</v>
      </c>
      <c r="N316" s="9">
        <f>ROUND(SUMIFS('Odoo Items'!$G$5:$G$4331,'Odoo Items'!$J$5:$J$4331,A316,'Odoo Items'!$C$5:$C$4331,"&lt;="&amp;Cover!$C$13),2)</f>
        <v>0</v>
      </c>
      <c r="O316">
        <f>COUNTIFS('Bank Lines'!$G$5:$G$1640,A316,'Bank Lines'!$J$5:$J$1640,1,'Bank Lines'!$C$5:$C$1640,"&lt;="&amp;Cover!$C$13)</f>
        <v>0</v>
      </c>
      <c r="P316">
        <f>COUNTIFS('Odoo Items'!$J$5:$J$4331,A316,'Odoo Items'!$C$5:$C$4331,"&lt;="&amp;Cover!$C$13)</f>
        <v>0</v>
      </c>
      <c r="Q316">
        <f>IF(AND(O316=0,P316=0),"",IF(O316=0,"ODOO-ONLY",IF(P316=0,"BANK-ONLY","BOTH")))</f>
      </c>
      <c r="R316" s="9">
        <f>IF(Q316="BOTH",ROUND(M316-N316,2),0)</f>
        <v>0</v>
      </c>
      <c r="S316" s="9">
        <f>ROUND(SUMIFS('Bank Lines'!$E$5:$E$1640,'Bank Lines'!$G$5:$G$1640,A316,'Bank Lines'!$J$5:$J$1640,1,'Bank Lines'!$C$5:$C$1640,"&lt;="&amp;Cover!$C$14),2)</f>
        <v>1125.14</v>
      </c>
      <c r="T316" s="9">
        <f>ROUND(SUMIFS('Odoo Items'!$G$5:$G$4331,'Odoo Items'!$J$5:$J$4331,A316,'Odoo Items'!$C$5:$C$4331,"&lt;="&amp;Cover!$C$14),2)</f>
        <v>0</v>
      </c>
      <c r="U316">
        <f>COUNTIFS('Bank Lines'!$G$5:$G$1640,A316,'Bank Lines'!$J$5:$J$1640,1,'Bank Lines'!$C$5:$C$1640,"&lt;="&amp;Cover!$C$14)</f>
        <v>1</v>
      </c>
      <c r="V316">
        <f>COUNTIFS('Odoo Items'!$J$5:$J$4331,A316,'Odoo Items'!$C$5:$C$4331,"&lt;="&amp;Cover!$C$14)</f>
        <v>0</v>
      </c>
      <c r="W316" t="str">
        <f>IF(AND(U316=0,V316=0),"",IF(U316=0,"ODOO-ONLY",IF(V316=0,"BANK-ONLY","BOTH")))</f>
        <v>BANK-ONLY</v>
      </c>
      <c r="X316" s="9">
        <f>IF(W316="BOTH",ROUND(S316-T316,2),0)</f>
        <v>0</v>
      </c>
      <c r="Y316" s="9">
        <f>ROUND(SUMIFS('Bank Lines'!$E$5:$E$1640,'Bank Lines'!$G$5:$G$1640,A316,'Bank Lines'!$J$5:$J$1640,1,'Bank Lines'!$C$5:$C$1640,"&lt;="&amp;Cover!$C$15),2)</f>
        <v>1125.14</v>
      </c>
      <c r="Z316" s="9">
        <f>ROUND(SUMIFS('Odoo Items'!$G$5:$G$4331,'Odoo Items'!$J$5:$J$4331,A316,'Odoo Items'!$C$5:$C$4331,"&lt;="&amp;Cover!$C$15),2)</f>
        <v>0</v>
      </c>
      <c r="AA316">
        <f>COUNTIFS('Bank Lines'!$G$5:$G$1640,A316,'Bank Lines'!$J$5:$J$1640,1,'Bank Lines'!$C$5:$C$1640,"&lt;="&amp;Cover!$C$15)</f>
        <v>1</v>
      </c>
      <c r="AB316">
        <f>COUNTIFS('Odoo Items'!$J$5:$J$4331,A316,'Odoo Items'!$C$5:$C$4331,"&lt;="&amp;Cover!$C$15)</f>
        <v>0</v>
      </c>
      <c r="AC316" t="str">
        <f>IF(AND(AA316=0,AB316=0),"",IF(AA316=0,"ODOO-ONLY",IF(AB316=0,"BANK-ONLY","BOTH")))</f>
        <v>BANK-ONLY</v>
      </c>
      <c r="AD316" s="9">
        <f>IF(AC316="BOTH",ROUND(Y316-Z316,2),0)</f>
        <v>0</v>
      </c>
    </row>
    <row r="317">
      <c r="A317" t="inlineStr">
        <is>
          <t>G00313</t>
        </is>
      </c>
      <c r="B317" t="inlineStr">
        <is>
          <t>OPS</t>
        </is>
      </c>
      <c r="C317" t="inlineStr">
        <is>
          <t>R03</t>
        </is>
      </c>
      <c r="D317" t="inlineStr">
        <is>
          <t>MATCH</t>
        </is>
      </c>
      <c r="E317" t="inlineStr">
        <is>
          <t>Lyrebird Plan Management</t>
        </is>
      </c>
      <c r="F317" t="n">
        <v>1</v>
      </c>
      <c r="G317" t="inlineStr">
        <is>
          <t>5 invoices</t>
        </is>
      </c>
      <c r="H317">
        <f>COUNTIFS('Bank Lines'!$G$5:$G$1640,A317,'Bank Lines'!$J$5:$J$1640,1)</f>
        <v>1</v>
      </c>
      <c r="I317">
        <f>COUNTIFS('Odoo Items'!$J$5:$J$4331,A317)</f>
        <v>5</v>
      </c>
      <c r="J317" s="9">
        <f>ROUND(SUMIFS('Bank Lines'!$E$5:$E$1640,'Bank Lines'!$G$5:$G$1640,A317,'Bank Lines'!$J$5:$J$1640,1),2)</f>
        <v>1136.64</v>
      </c>
      <c r="K317" s="9">
        <f>ROUND(SUMIFS('Odoo Items'!$G$5:$G$4331,'Odoo Items'!$J$5:$J$4331,A317),2)</f>
        <v>1136.64</v>
      </c>
      <c r="L317" s="9">
        <f>ROUND(J317-K317,2)</f>
        <v>0</v>
      </c>
      <c r="M317" s="9">
        <f>ROUND(SUMIFS('Bank Lines'!$E$5:$E$1640,'Bank Lines'!$G$5:$G$1640,A317,'Bank Lines'!$J$5:$J$1640,1,'Bank Lines'!$C$5:$C$1640,"&lt;="&amp;Cover!$C$13),2)</f>
        <v>0</v>
      </c>
      <c r="N317" s="9">
        <f>ROUND(SUMIFS('Odoo Items'!$G$5:$G$4331,'Odoo Items'!$J$5:$J$4331,A317,'Odoo Items'!$C$5:$C$4331,"&lt;="&amp;Cover!$C$13),2)</f>
        <v>0</v>
      </c>
      <c r="O317">
        <f>COUNTIFS('Bank Lines'!$G$5:$G$1640,A317,'Bank Lines'!$J$5:$J$1640,1,'Bank Lines'!$C$5:$C$1640,"&lt;="&amp;Cover!$C$13)</f>
        <v>0</v>
      </c>
      <c r="P317">
        <f>COUNTIFS('Odoo Items'!$J$5:$J$4331,A317,'Odoo Items'!$C$5:$C$4331,"&lt;="&amp;Cover!$C$13)</f>
        <v>0</v>
      </c>
      <c r="Q317">
        <f>IF(AND(O317=0,P317=0),"",IF(O317=0,"ODOO-ONLY",IF(P317=0,"BANK-ONLY","BOTH")))</f>
      </c>
      <c r="R317" s="9">
        <f>IF(Q317="BOTH",ROUND(M317-N317,2),0)</f>
        <v>0</v>
      </c>
      <c r="S317" s="9">
        <f>ROUND(SUMIFS('Bank Lines'!$E$5:$E$1640,'Bank Lines'!$G$5:$G$1640,A317,'Bank Lines'!$J$5:$J$1640,1,'Bank Lines'!$C$5:$C$1640,"&lt;="&amp;Cover!$C$14),2)</f>
        <v>1136.64</v>
      </c>
      <c r="T317" s="9">
        <f>ROUND(SUMIFS('Odoo Items'!$G$5:$G$4331,'Odoo Items'!$J$5:$J$4331,A317,'Odoo Items'!$C$5:$C$4331,"&lt;="&amp;Cover!$C$14),2)</f>
        <v>1136.64</v>
      </c>
      <c r="U317">
        <f>COUNTIFS('Bank Lines'!$G$5:$G$1640,A317,'Bank Lines'!$J$5:$J$1640,1,'Bank Lines'!$C$5:$C$1640,"&lt;="&amp;Cover!$C$14)</f>
        <v>1</v>
      </c>
      <c r="V317">
        <f>COUNTIFS('Odoo Items'!$J$5:$J$4331,A317,'Odoo Items'!$C$5:$C$4331,"&lt;="&amp;Cover!$C$14)</f>
        <v>5</v>
      </c>
      <c r="W317" t="str">
        <f>IF(AND(U317=0,V317=0),"",IF(U317=0,"ODOO-ONLY",IF(V317=0,"BANK-ONLY","BOTH")))</f>
        <v>BOTH</v>
      </c>
      <c r="X317" s="9">
        <f>IF(W317="BOTH",ROUND(S317-T317,2),0)</f>
        <v>0</v>
      </c>
      <c r="Y317" s="9">
        <f>ROUND(SUMIFS('Bank Lines'!$E$5:$E$1640,'Bank Lines'!$G$5:$G$1640,A317,'Bank Lines'!$J$5:$J$1640,1,'Bank Lines'!$C$5:$C$1640,"&lt;="&amp;Cover!$C$15),2)</f>
        <v>1136.64</v>
      </c>
      <c r="Z317" s="9">
        <f>ROUND(SUMIFS('Odoo Items'!$G$5:$G$4331,'Odoo Items'!$J$5:$J$4331,A317,'Odoo Items'!$C$5:$C$4331,"&lt;="&amp;Cover!$C$15),2)</f>
        <v>1136.64</v>
      </c>
      <c r="AA317">
        <f>COUNTIFS('Bank Lines'!$G$5:$G$1640,A317,'Bank Lines'!$J$5:$J$1640,1,'Bank Lines'!$C$5:$C$1640,"&lt;="&amp;Cover!$C$15)</f>
        <v>1</v>
      </c>
      <c r="AB317">
        <f>COUNTIFS('Odoo Items'!$J$5:$J$4331,A317,'Odoo Items'!$C$5:$C$4331,"&lt;="&amp;Cover!$C$15)</f>
        <v>5</v>
      </c>
      <c r="AC317" t="str">
        <f>IF(AND(AA317=0,AB317=0),"",IF(AA317=0,"ODOO-ONLY",IF(AB317=0,"BANK-ONLY","BOTH")))</f>
        <v>BOTH</v>
      </c>
      <c r="AD317" s="9">
        <f>IF(AC317="BOTH",ROUND(Y317-Z317,2),0)</f>
        <v>0</v>
      </c>
    </row>
    <row r="318">
      <c r="A318" t="inlineStr">
        <is>
          <t>G00314</t>
        </is>
      </c>
      <c r="B318" t="inlineStr">
        <is>
          <t>OPS</t>
        </is>
      </c>
      <c r="C318" t="inlineStr">
        <is>
          <t>R03</t>
        </is>
      </c>
      <c r="D318" t="inlineStr">
        <is>
          <t>MATCH</t>
        </is>
      </c>
      <c r="E318" t="inlineStr">
        <is>
          <t>Tallowwood Plans</t>
        </is>
      </c>
      <c r="F318" t="n">
        <v>1</v>
      </c>
      <c r="G318" t="inlineStr">
        <is>
          <t>6 invoices</t>
        </is>
      </c>
      <c r="H318">
        <f>COUNTIFS('Bank Lines'!$G$5:$G$1640,A318,'Bank Lines'!$J$5:$J$1640,1)</f>
        <v>1</v>
      </c>
      <c r="I318">
        <f>COUNTIFS('Odoo Items'!$J$5:$J$4331,A318)</f>
        <v>6</v>
      </c>
      <c r="J318" s="9">
        <f>ROUND(SUMIFS('Bank Lines'!$E$5:$E$1640,'Bank Lines'!$G$5:$G$1640,A318,'Bank Lines'!$J$5:$J$1640,1),2)</f>
        <v>1115.43</v>
      </c>
      <c r="K318" s="9">
        <f>ROUND(SUMIFS('Odoo Items'!$G$5:$G$4331,'Odoo Items'!$J$5:$J$4331,A318),2)</f>
        <v>1115.43</v>
      </c>
      <c r="L318" s="9">
        <f>ROUND(J318-K318,2)</f>
        <v>0</v>
      </c>
      <c r="M318" s="9">
        <f>ROUND(SUMIFS('Bank Lines'!$E$5:$E$1640,'Bank Lines'!$G$5:$G$1640,A318,'Bank Lines'!$J$5:$J$1640,1,'Bank Lines'!$C$5:$C$1640,"&lt;="&amp;Cover!$C$13),2)</f>
        <v>0</v>
      </c>
      <c r="N318" s="9">
        <f>ROUND(SUMIFS('Odoo Items'!$G$5:$G$4331,'Odoo Items'!$J$5:$J$4331,A318,'Odoo Items'!$C$5:$C$4331,"&lt;="&amp;Cover!$C$13),2)</f>
        <v>0</v>
      </c>
      <c r="O318">
        <f>COUNTIFS('Bank Lines'!$G$5:$G$1640,A318,'Bank Lines'!$J$5:$J$1640,1,'Bank Lines'!$C$5:$C$1640,"&lt;="&amp;Cover!$C$13)</f>
        <v>0</v>
      </c>
      <c r="P318">
        <f>COUNTIFS('Odoo Items'!$J$5:$J$4331,A318,'Odoo Items'!$C$5:$C$4331,"&lt;="&amp;Cover!$C$13)</f>
        <v>0</v>
      </c>
      <c r="Q318">
        <f>IF(AND(O318=0,P318=0),"",IF(O318=0,"ODOO-ONLY",IF(P318=0,"BANK-ONLY","BOTH")))</f>
      </c>
      <c r="R318" s="9">
        <f>IF(Q318="BOTH",ROUND(M318-N318,2),0)</f>
        <v>0</v>
      </c>
      <c r="S318" s="9">
        <f>ROUND(SUMIFS('Bank Lines'!$E$5:$E$1640,'Bank Lines'!$G$5:$G$1640,A318,'Bank Lines'!$J$5:$J$1640,1,'Bank Lines'!$C$5:$C$1640,"&lt;="&amp;Cover!$C$14),2)</f>
        <v>1115.43</v>
      </c>
      <c r="T318" s="9">
        <f>ROUND(SUMIFS('Odoo Items'!$G$5:$G$4331,'Odoo Items'!$J$5:$J$4331,A318,'Odoo Items'!$C$5:$C$4331,"&lt;="&amp;Cover!$C$14),2)</f>
        <v>1115.43</v>
      </c>
      <c r="U318">
        <f>COUNTIFS('Bank Lines'!$G$5:$G$1640,A318,'Bank Lines'!$J$5:$J$1640,1,'Bank Lines'!$C$5:$C$1640,"&lt;="&amp;Cover!$C$14)</f>
        <v>1</v>
      </c>
      <c r="V318">
        <f>COUNTIFS('Odoo Items'!$J$5:$J$4331,A318,'Odoo Items'!$C$5:$C$4331,"&lt;="&amp;Cover!$C$14)</f>
        <v>6</v>
      </c>
      <c r="W318" t="str">
        <f>IF(AND(U318=0,V318=0),"",IF(U318=0,"ODOO-ONLY",IF(V318=0,"BANK-ONLY","BOTH")))</f>
        <v>BOTH</v>
      </c>
      <c r="X318" s="9">
        <f>IF(W318="BOTH",ROUND(S318-T318,2),0)</f>
        <v>0</v>
      </c>
      <c r="Y318" s="9">
        <f>ROUND(SUMIFS('Bank Lines'!$E$5:$E$1640,'Bank Lines'!$G$5:$G$1640,A318,'Bank Lines'!$J$5:$J$1640,1,'Bank Lines'!$C$5:$C$1640,"&lt;="&amp;Cover!$C$15),2)</f>
        <v>1115.43</v>
      </c>
      <c r="Z318" s="9">
        <f>ROUND(SUMIFS('Odoo Items'!$G$5:$G$4331,'Odoo Items'!$J$5:$J$4331,A318,'Odoo Items'!$C$5:$C$4331,"&lt;="&amp;Cover!$C$15),2)</f>
        <v>1115.43</v>
      </c>
      <c r="AA318">
        <f>COUNTIFS('Bank Lines'!$G$5:$G$1640,A318,'Bank Lines'!$J$5:$J$1640,1,'Bank Lines'!$C$5:$C$1640,"&lt;="&amp;Cover!$C$15)</f>
        <v>1</v>
      </c>
      <c r="AB318">
        <f>COUNTIFS('Odoo Items'!$J$5:$J$4331,A318,'Odoo Items'!$C$5:$C$4331,"&lt;="&amp;Cover!$C$15)</f>
        <v>6</v>
      </c>
      <c r="AC318" t="str">
        <f>IF(AND(AA318=0,AB318=0),"",IF(AA318=0,"ODOO-ONLY",IF(AB318=0,"BANK-ONLY","BOTH")))</f>
        <v>BOTH</v>
      </c>
      <c r="AD318" s="9">
        <f>IF(AC318="BOTH",ROUND(Y318-Z318,2),0)</f>
        <v>0</v>
      </c>
    </row>
    <row r="319">
      <c r="A319" t="inlineStr">
        <is>
          <t>G00315</t>
        </is>
      </c>
      <c r="B319" t="inlineStr">
        <is>
          <t>OPS</t>
        </is>
      </c>
      <c r="C319" t="inlineStr">
        <is>
          <t>R03</t>
        </is>
      </c>
      <c r="D319" t="inlineStr">
        <is>
          <t>MATCH</t>
        </is>
      </c>
      <c r="E319" t="inlineStr">
        <is>
          <t>Acacia Plan Partners</t>
        </is>
      </c>
      <c r="F319" t="n">
        <v>1</v>
      </c>
      <c r="G319" t="inlineStr">
        <is>
          <t>3 invoices</t>
        </is>
      </c>
      <c r="H319">
        <f>COUNTIFS('Bank Lines'!$G$5:$G$1640,A319,'Bank Lines'!$J$5:$J$1640,1)</f>
        <v>1</v>
      </c>
      <c r="I319">
        <f>COUNTIFS('Odoo Items'!$J$5:$J$4331,A319)</f>
        <v>3</v>
      </c>
      <c r="J319" s="9">
        <f>ROUND(SUMIFS('Bank Lines'!$E$5:$E$1640,'Bank Lines'!$G$5:$G$1640,A319,'Bank Lines'!$J$5:$J$1640,1),2)</f>
        <v>737.16</v>
      </c>
      <c r="K319" s="9">
        <f>ROUND(SUMIFS('Odoo Items'!$G$5:$G$4331,'Odoo Items'!$J$5:$J$4331,A319),2)</f>
        <v>737.16</v>
      </c>
      <c r="L319" s="9">
        <f>ROUND(J319-K319,2)</f>
        <v>0</v>
      </c>
      <c r="M319" s="9">
        <f>ROUND(SUMIFS('Bank Lines'!$E$5:$E$1640,'Bank Lines'!$G$5:$G$1640,A319,'Bank Lines'!$J$5:$J$1640,1,'Bank Lines'!$C$5:$C$1640,"&lt;="&amp;Cover!$C$13),2)</f>
        <v>0</v>
      </c>
      <c r="N319" s="9">
        <f>ROUND(SUMIFS('Odoo Items'!$G$5:$G$4331,'Odoo Items'!$J$5:$J$4331,A319,'Odoo Items'!$C$5:$C$4331,"&lt;="&amp;Cover!$C$13),2)</f>
        <v>0</v>
      </c>
      <c r="O319">
        <f>COUNTIFS('Bank Lines'!$G$5:$G$1640,A319,'Bank Lines'!$J$5:$J$1640,1,'Bank Lines'!$C$5:$C$1640,"&lt;="&amp;Cover!$C$13)</f>
        <v>0</v>
      </c>
      <c r="P319">
        <f>COUNTIFS('Odoo Items'!$J$5:$J$4331,A319,'Odoo Items'!$C$5:$C$4331,"&lt;="&amp;Cover!$C$13)</f>
        <v>0</v>
      </c>
      <c r="Q319">
        <f>IF(AND(O319=0,P319=0),"",IF(O319=0,"ODOO-ONLY",IF(P319=0,"BANK-ONLY","BOTH")))</f>
      </c>
      <c r="R319" s="9">
        <f>IF(Q319="BOTH",ROUND(M319-N319,2),0)</f>
        <v>0</v>
      </c>
      <c r="S319" s="9">
        <f>ROUND(SUMIFS('Bank Lines'!$E$5:$E$1640,'Bank Lines'!$G$5:$G$1640,A319,'Bank Lines'!$J$5:$J$1640,1,'Bank Lines'!$C$5:$C$1640,"&lt;="&amp;Cover!$C$14),2)</f>
        <v>737.16</v>
      </c>
      <c r="T319" s="9">
        <f>ROUND(SUMIFS('Odoo Items'!$G$5:$G$4331,'Odoo Items'!$J$5:$J$4331,A319,'Odoo Items'!$C$5:$C$4331,"&lt;="&amp;Cover!$C$14),2)</f>
        <v>737.16</v>
      </c>
      <c r="U319">
        <f>COUNTIFS('Bank Lines'!$G$5:$G$1640,A319,'Bank Lines'!$J$5:$J$1640,1,'Bank Lines'!$C$5:$C$1640,"&lt;="&amp;Cover!$C$14)</f>
        <v>1</v>
      </c>
      <c r="V319">
        <f>COUNTIFS('Odoo Items'!$J$5:$J$4331,A319,'Odoo Items'!$C$5:$C$4331,"&lt;="&amp;Cover!$C$14)</f>
        <v>3</v>
      </c>
      <c r="W319" t="str">
        <f>IF(AND(U319=0,V319=0),"",IF(U319=0,"ODOO-ONLY",IF(V319=0,"BANK-ONLY","BOTH")))</f>
        <v>BOTH</v>
      </c>
      <c r="X319" s="9">
        <f>IF(W319="BOTH",ROUND(S319-T319,2),0)</f>
        <v>0</v>
      </c>
      <c r="Y319" s="9">
        <f>ROUND(SUMIFS('Bank Lines'!$E$5:$E$1640,'Bank Lines'!$G$5:$G$1640,A319,'Bank Lines'!$J$5:$J$1640,1,'Bank Lines'!$C$5:$C$1640,"&lt;="&amp;Cover!$C$15),2)</f>
        <v>737.16</v>
      </c>
      <c r="Z319" s="9">
        <f>ROUND(SUMIFS('Odoo Items'!$G$5:$G$4331,'Odoo Items'!$J$5:$J$4331,A319,'Odoo Items'!$C$5:$C$4331,"&lt;="&amp;Cover!$C$15),2)</f>
        <v>737.16</v>
      </c>
      <c r="AA319">
        <f>COUNTIFS('Bank Lines'!$G$5:$G$1640,A319,'Bank Lines'!$J$5:$J$1640,1,'Bank Lines'!$C$5:$C$1640,"&lt;="&amp;Cover!$C$15)</f>
        <v>1</v>
      </c>
      <c r="AB319">
        <f>COUNTIFS('Odoo Items'!$J$5:$J$4331,A319,'Odoo Items'!$C$5:$C$4331,"&lt;="&amp;Cover!$C$15)</f>
        <v>3</v>
      </c>
      <c r="AC319" t="str">
        <f>IF(AND(AA319=0,AB319=0),"",IF(AA319=0,"ODOO-ONLY",IF(AB319=0,"BANK-ONLY","BOTH")))</f>
        <v>BOTH</v>
      </c>
      <c r="AD319" s="9">
        <f>IF(AC319="BOTH",ROUND(Y319-Z319,2),0)</f>
        <v>0</v>
      </c>
    </row>
    <row r="320">
      <c r="A320" t="inlineStr">
        <is>
          <t>G00316</t>
        </is>
      </c>
      <c r="B320" t="inlineStr">
        <is>
          <t>OPS</t>
        </is>
      </c>
      <c r="C320" t="inlineStr">
        <is>
          <t>R03</t>
        </is>
      </c>
      <c r="D320" t="inlineStr">
        <is>
          <t>MATCH</t>
        </is>
      </c>
      <c r="E320" t="inlineStr">
        <is>
          <t>Bluegum Plan Management</t>
        </is>
      </c>
      <c r="F320" t="n">
        <v>1</v>
      </c>
      <c r="G320" t="inlineStr">
        <is>
          <t>4 invoices</t>
        </is>
      </c>
      <c r="H320">
        <f>COUNTIFS('Bank Lines'!$G$5:$G$1640,A320,'Bank Lines'!$J$5:$J$1640,1)</f>
        <v>1</v>
      </c>
      <c r="I320">
        <f>COUNTIFS('Odoo Items'!$J$5:$J$4331,A320)</f>
        <v>4</v>
      </c>
      <c r="J320" s="9">
        <f>ROUND(SUMIFS('Bank Lines'!$E$5:$E$1640,'Bank Lines'!$G$5:$G$1640,A320,'Bank Lines'!$J$5:$J$1640,1),2)</f>
        <v>805.95</v>
      </c>
      <c r="K320" s="9">
        <f>ROUND(SUMIFS('Odoo Items'!$G$5:$G$4331,'Odoo Items'!$J$5:$J$4331,A320),2)</f>
        <v>805.95</v>
      </c>
      <c r="L320" s="9">
        <f>ROUND(J320-K320,2)</f>
        <v>0</v>
      </c>
      <c r="M320" s="9">
        <f>ROUND(SUMIFS('Bank Lines'!$E$5:$E$1640,'Bank Lines'!$G$5:$G$1640,A320,'Bank Lines'!$J$5:$J$1640,1,'Bank Lines'!$C$5:$C$1640,"&lt;="&amp;Cover!$C$13),2)</f>
        <v>0</v>
      </c>
      <c r="N320" s="9">
        <f>ROUND(SUMIFS('Odoo Items'!$G$5:$G$4331,'Odoo Items'!$J$5:$J$4331,A320,'Odoo Items'!$C$5:$C$4331,"&lt;="&amp;Cover!$C$13),2)</f>
        <v>0</v>
      </c>
      <c r="O320">
        <f>COUNTIFS('Bank Lines'!$G$5:$G$1640,A320,'Bank Lines'!$J$5:$J$1640,1,'Bank Lines'!$C$5:$C$1640,"&lt;="&amp;Cover!$C$13)</f>
        <v>0</v>
      </c>
      <c r="P320">
        <f>COUNTIFS('Odoo Items'!$J$5:$J$4331,A320,'Odoo Items'!$C$5:$C$4331,"&lt;="&amp;Cover!$C$13)</f>
        <v>0</v>
      </c>
      <c r="Q320">
        <f>IF(AND(O320=0,P320=0),"",IF(O320=0,"ODOO-ONLY",IF(P320=0,"BANK-ONLY","BOTH")))</f>
      </c>
      <c r="R320" s="9">
        <f>IF(Q320="BOTH",ROUND(M320-N320,2),0)</f>
        <v>0</v>
      </c>
      <c r="S320" s="9">
        <f>ROUND(SUMIFS('Bank Lines'!$E$5:$E$1640,'Bank Lines'!$G$5:$G$1640,A320,'Bank Lines'!$J$5:$J$1640,1,'Bank Lines'!$C$5:$C$1640,"&lt;="&amp;Cover!$C$14),2)</f>
        <v>805.95</v>
      </c>
      <c r="T320" s="9">
        <f>ROUND(SUMIFS('Odoo Items'!$G$5:$G$4331,'Odoo Items'!$J$5:$J$4331,A320,'Odoo Items'!$C$5:$C$4331,"&lt;="&amp;Cover!$C$14),2)</f>
        <v>805.95</v>
      </c>
      <c r="U320">
        <f>COUNTIFS('Bank Lines'!$G$5:$G$1640,A320,'Bank Lines'!$J$5:$J$1640,1,'Bank Lines'!$C$5:$C$1640,"&lt;="&amp;Cover!$C$14)</f>
        <v>1</v>
      </c>
      <c r="V320">
        <f>COUNTIFS('Odoo Items'!$J$5:$J$4331,A320,'Odoo Items'!$C$5:$C$4331,"&lt;="&amp;Cover!$C$14)</f>
        <v>4</v>
      </c>
      <c r="W320" t="str">
        <f>IF(AND(U320=0,V320=0),"",IF(U320=0,"ODOO-ONLY",IF(V320=0,"BANK-ONLY","BOTH")))</f>
        <v>BOTH</v>
      </c>
      <c r="X320" s="9">
        <f>IF(W320="BOTH",ROUND(S320-T320,2),0)</f>
        <v>0</v>
      </c>
      <c r="Y320" s="9">
        <f>ROUND(SUMIFS('Bank Lines'!$E$5:$E$1640,'Bank Lines'!$G$5:$G$1640,A320,'Bank Lines'!$J$5:$J$1640,1,'Bank Lines'!$C$5:$C$1640,"&lt;="&amp;Cover!$C$15),2)</f>
        <v>805.95</v>
      </c>
      <c r="Z320" s="9">
        <f>ROUND(SUMIFS('Odoo Items'!$G$5:$G$4331,'Odoo Items'!$J$5:$J$4331,A320,'Odoo Items'!$C$5:$C$4331,"&lt;="&amp;Cover!$C$15),2)</f>
        <v>805.95</v>
      </c>
      <c r="AA320">
        <f>COUNTIFS('Bank Lines'!$G$5:$G$1640,A320,'Bank Lines'!$J$5:$J$1640,1,'Bank Lines'!$C$5:$C$1640,"&lt;="&amp;Cover!$C$15)</f>
        <v>1</v>
      </c>
      <c r="AB320">
        <f>COUNTIFS('Odoo Items'!$J$5:$J$4331,A320,'Odoo Items'!$C$5:$C$4331,"&lt;="&amp;Cover!$C$15)</f>
        <v>4</v>
      </c>
      <c r="AC320" t="str">
        <f>IF(AND(AA320=0,AB320=0),"",IF(AA320=0,"ODOO-ONLY",IF(AB320=0,"BANK-ONLY","BOTH")))</f>
        <v>BOTH</v>
      </c>
      <c r="AD320" s="9">
        <f>IF(AC320="BOTH",ROUND(Y320-Z320,2),0)</f>
        <v>0</v>
      </c>
    </row>
    <row r="321">
      <c r="A321" t="inlineStr">
        <is>
          <t>G00317</t>
        </is>
      </c>
      <c r="B321" t="inlineStr">
        <is>
          <t>OPS</t>
        </is>
      </c>
      <c r="C321" t="inlineStr">
        <is>
          <t>R03</t>
        </is>
      </c>
      <c r="D321" t="inlineStr">
        <is>
          <t>MATCH</t>
        </is>
      </c>
      <c r="E321" t="inlineStr">
        <is>
          <t>Riverbend Plan Partners</t>
        </is>
      </c>
      <c r="F321" t="n">
        <v>1</v>
      </c>
      <c r="G321" t="inlineStr">
        <is>
          <t>3 invoices</t>
        </is>
      </c>
      <c r="H321">
        <f>COUNTIFS('Bank Lines'!$G$5:$G$1640,A321,'Bank Lines'!$J$5:$J$1640,1)</f>
        <v>1</v>
      </c>
      <c r="I321">
        <f>COUNTIFS('Odoo Items'!$J$5:$J$4331,A321)</f>
        <v>3</v>
      </c>
      <c r="J321" s="9">
        <f>ROUND(SUMIFS('Bank Lines'!$E$5:$E$1640,'Bank Lines'!$G$5:$G$1640,A321,'Bank Lines'!$J$5:$J$1640,1),2)</f>
        <v>979.65</v>
      </c>
      <c r="K321" s="9">
        <f>ROUND(SUMIFS('Odoo Items'!$G$5:$G$4331,'Odoo Items'!$J$5:$J$4331,A321),2)</f>
        <v>979.65</v>
      </c>
      <c r="L321" s="9">
        <f>ROUND(J321-K321,2)</f>
        <v>0</v>
      </c>
      <c r="M321" s="9">
        <f>ROUND(SUMIFS('Bank Lines'!$E$5:$E$1640,'Bank Lines'!$G$5:$G$1640,A321,'Bank Lines'!$J$5:$J$1640,1,'Bank Lines'!$C$5:$C$1640,"&lt;="&amp;Cover!$C$13),2)</f>
        <v>0</v>
      </c>
      <c r="N321" s="9">
        <f>ROUND(SUMIFS('Odoo Items'!$G$5:$G$4331,'Odoo Items'!$J$5:$J$4331,A321,'Odoo Items'!$C$5:$C$4331,"&lt;="&amp;Cover!$C$13),2)</f>
        <v>0</v>
      </c>
      <c r="O321">
        <f>COUNTIFS('Bank Lines'!$G$5:$G$1640,A321,'Bank Lines'!$J$5:$J$1640,1,'Bank Lines'!$C$5:$C$1640,"&lt;="&amp;Cover!$C$13)</f>
        <v>0</v>
      </c>
      <c r="P321">
        <f>COUNTIFS('Odoo Items'!$J$5:$J$4331,A321,'Odoo Items'!$C$5:$C$4331,"&lt;="&amp;Cover!$C$13)</f>
        <v>0</v>
      </c>
      <c r="Q321">
        <f>IF(AND(O321=0,P321=0),"",IF(O321=0,"ODOO-ONLY",IF(P321=0,"BANK-ONLY","BOTH")))</f>
      </c>
      <c r="R321" s="9">
        <f>IF(Q321="BOTH",ROUND(M321-N321,2),0)</f>
        <v>0</v>
      </c>
      <c r="S321" s="9">
        <f>ROUND(SUMIFS('Bank Lines'!$E$5:$E$1640,'Bank Lines'!$G$5:$G$1640,A321,'Bank Lines'!$J$5:$J$1640,1,'Bank Lines'!$C$5:$C$1640,"&lt;="&amp;Cover!$C$14),2)</f>
        <v>979.65</v>
      </c>
      <c r="T321" s="9">
        <f>ROUND(SUMIFS('Odoo Items'!$G$5:$G$4331,'Odoo Items'!$J$5:$J$4331,A321,'Odoo Items'!$C$5:$C$4331,"&lt;="&amp;Cover!$C$14),2)</f>
        <v>979.65</v>
      </c>
      <c r="U321">
        <f>COUNTIFS('Bank Lines'!$G$5:$G$1640,A321,'Bank Lines'!$J$5:$J$1640,1,'Bank Lines'!$C$5:$C$1640,"&lt;="&amp;Cover!$C$14)</f>
        <v>1</v>
      </c>
      <c r="V321">
        <f>COUNTIFS('Odoo Items'!$J$5:$J$4331,A321,'Odoo Items'!$C$5:$C$4331,"&lt;="&amp;Cover!$C$14)</f>
        <v>3</v>
      </c>
      <c r="W321" t="str">
        <f>IF(AND(U321=0,V321=0),"",IF(U321=0,"ODOO-ONLY",IF(V321=0,"BANK-ONLY","BOTH")))</f>
        <v>BOTH</v>
      </c>
      <c r="X321" s="9">
        <f>IF(W321="BOTH",ROUND(S321-T321,2),0)</f>
        <v>0</v>
      </c>
      <c r="Y321" s="9">
        <f>ROUND(SUMIFS('Bank Lines'!$E$5:$E$1640,'Bank Lines'!$G$5:$G$1640,A321,'Bank Lines'!$J$5:$J$1640,1,'Bank Lines'!$C$5:$C$1640,"&lt;="&amp;Cover!$C$15),2)</f>
        <v>979.65</v>
      </c>
      <c r="Z321" s="9">
        <f>ROUND(SUMIFS('Odoo Items'!$G$5:$G$4331,'Odoo Items'!$J$5:$J$4331,A321,'Odoo Items'!$C$5:$C$4331,"&lt;="&amp;Cover!$C$15),2)</f>
        <v>979.65</v>
      </c>
      <c r="AA321">
        <f>COUNTIFS('Bank Lines'!$G$5:$G$1640,A321,'Bank Lines'!$J$5:$J$1640,1,'Bank Lines'!$C$5:$C$1640,"&lt;="&amp;Cover!$C$15)</f>
        <v>1</v>
      </c>
      <c r="AB321">
        <f>COUNTIFS('Odoo Items'!$J$5:$J$4331,A321,'Odoo Items'!$C$5:$C$4331,"&lt;="&amp;Cover!$C$15)</f>
        <v>3</v>
      </c>
      <c r="AC321" t="str">
        <f>IF(AND(AA321=0,AB321=0),"",IF(AA321=0,"ODOO-ONLY",IF(AB321=0,"BANK-ONLY","BOTH")))</f>
        <v>BOTH</v>
      </c>
      <c r="AD321" s="9">
        <f>IF(AC321="BOTH",ROUND(Y321-Z321,2),0)</f>
        <v>0</v>
      </c>
    </row>
    <row r="322">
      <c r="A322" t="inlineStr">
        <is>
          <t>G00318</t>
        </is>
      </c>
      <c r="B322" t="inlineStr">
        <is>
          <t>OPS</t>
        </is>
      </c>
      <c r="C322" t="inlineStr">
        <is>
          <t>R03</t>
        </is>
      </c>
      <c r="D322" t="inlineStr">
        <is>
          <t>MATCH</t>
        </is>
      </c>
      <c r="E322" t="inlineStr">
        <is>
          <t>Banksia Plan Co</t>
        </is>
      </c>
      <c r="F322" t="n">
        <v>1</v>
      </c>
      <c r="G322" t="inlineStr">
        <is>
          <t>8 invoices</t>
        </is>
      </c>
      <c r="H322">
        <f>COUNTIFS('Bank Lines'!$G$5:$G$1640,A322,'Bank Lines'!$J$5:$J$1640,1)</f>
        <v>1</v>
      </c>
      <c r="I322">
        <f>COUNTIFS('Odoo Items'!$J$5:$J$4331,A322)</f>
        <v>8</v>
      </c>
      <c r="J322" s="9">
        <f>ROUND(SUMIFS('Bank Lines'!$E$5:$E$1640,'Bank Lines'!$G$5:$G$1640,A322,'Bank Lines'!$J$5:$J$1640,1),2)</f>
        <v>1718.6</v>
      </c>
      <c r="K322" s="9">
        <f>ROUND(SUMIFS('Odoo Items'!$G$5:$G$4331,'Odoo Items'!$J$5:$J$4331,A322),2)</f>
        <v>1718.6</v>
      </c>
      <c r="L322" s="9">
        <f>ROUND(J322-K322,2)</f>
        <v>0</v>
      </c>
      <c r="M322" s="9">
        <f>ROUND(SUMIFS('Bank Lines'!$E$5:$E$1640,'Bank Lines'!$G$5:$G$1640,A322,'Bank Lines'!$J$5:$J$1640,1,'Bank Lines'!$C$5:$C$1640,"&lt;="&amp;Cover!$C$13),2)</f>
        <v>0</v>
      </c>
      <c r="N322" s="9">
        <f>ROUND(SUMIFS('Odoo Items'!$G$5:$G$4331,'Odoo Items'!$J$5:$J$4331,A322,'Odoo Items'!$C$5:$C$4331,"&lt;="&amp;Cover!$C$13),2)</f>
        <v>0</v>
      </c>
      <c r="O322">
        <f>COUNTIFS('Bank Lines'!$G$5:$G$1640,A322,'Bank Lines'!$J$5:$J$1640,1,'Bank Lines'!$C$5:$C$1640,"&lt;="&amp;Cover!$C$13)</f>
        <v>0</v>
      </c>
      <c r="P322">
        <f>COUNTIFS('Odoo Items'!$J$5:$J$4331,A322,'Odoo Items'!$C$5:$C$4331,"&lt;="&amp;Cover!$C$13)</f>
        <v>0</v>
      </c>
      <c r="Q322">
        <f>IF(AND(O322=0,P322=0),"",IF(O322=0,"ODOO-ONLY",IF(P322=0,"BANK-ONLY","BOTH")))</f>
      </c>
      <c r="R322" s="9">
        <f>IF(Q322="BOTH",ROUND(M322-N322,2),0)</f>
        <v>0</v>
      </c>
      <c r="S322" s="9">
        <f>ROUND(SUMIFS('Bank Lines'!$E$5:$E$1640,'Bank Lines'!$G$5:$G$1640,A322,'Bank Lines'!$J$5:$J$1640,1,'Bank Lines'!$C$5:$C$1640,"&lt;="&amp;Cover!$C$14),2)</f>
        <v>1718.6</v>
      </c>
      <c r="T322" s="9">
        <f>ROUND(SUMIFS('Odoo Items'!$G$5:$G$4331,'Odoo Items'!$J$5:$J$4331,A322,'Odoo Items'!$C$5:$C$4331,"&lt;="&amp;Cover!$C$14),2)</f>
        <v>1718.6</v>
      </c>
      <c r="U322">
        <f>COUNTIFS('Bank Lines'!$G$5:$G$1640,A322,'Bank Lines'!$J$5:$J$1640,1,'Bank Lines'!$C$5:$C$1640,"&lt;="&amp;Cover!$C$14)</f>
        <v>1</v>
      </c>
      <c r="V322">
        <f>COUNTIFS('Odoo Items'!$J$5:$J$4331,A322,'Odoo Items'!$C$5:$C$4331,"&lt;="&amp;Cover!$C$14)</f>
        <v>8</v>
      </c>
      <c r="W322" t="str">
        <f>IF(AND(U322=0,V322=0),"",IF(U322=0,"ODOO-ONLY",IF(V322=0,"BANK-ONLY","BOTH")))</f>
        <v>BOTH</v>
      </c>
      <c r="X322" s="9">
        <f>IF(W322="BOTH",ROUND(S322-T322,2),0)</f>
        <v>0</v>
      </c>
      <c r="Y322" s="9">
        <f>ROUND(SUMIFS('Bank Lines'!$E$5:$E$1640,'Bank Lines'!$G$5:$G$1640,A322,'Bank Lines'!$J$5:$J$1640,1,'Bank Lines'!$C$5:$C$1640,"&lt;="&amp;Cover!$C$15),2)</f>
        <v>1718.6</v>
      </c>
      <c r="Z322" s="9">
        <f>ROUND(SUMIFS('Odoo Items'!$G$5:$G$4331,'Odoo Items'!$J$5:$J$4331,A322,'Odoo Items'!$C$5:$C$4331,"&lt;="&amp;Cover!$C$15),2)</f>
        <v>1718.6</v>
      </c>
      <c r="AA322">
        <f>COUNTIFS('Bank Lines'!$G$5:$G$1640,A322,'Bank Lines'!$J$5:$J$1640,1,'Bank Lines'!$C$5:$C$1640,"&lt;="&amp;Cover!$C$15)</f>
        <v>1</v>
      </c>
      <c r="AB322">
        <f>COUNTIFS('Odoo Items'!$J$5:$J$4331,A322,'Odoo Items'!$C$5:$C$4331,"&lt;="&amp;Cover!$C$15)</f>
        <v>8</v>
      </c>
      <c r="AC322" t="str">
        <f>IF(AND(AA322=0,AB322=0),"",IF(AA322=0,"ODOO-ONLY",IF(AB322=0,"BANK-ONLY","BOTH")))</f>
        <v>BOTH</v>
      </c>
      <c r="AD322" s="9">
        <f>IF(AC322="BOTH",ROUND(Y322-Z322,2),0)</f>
        <v>0</v>
      </c>
    </row>
    <row r="323">
      <c r="A323" t="inlineStr">
        <is>
          <t>G00319</t>
        </is>
      </c>
      <c r="B323" t="inlineStr">
        <is>
          <t>OPS</t>
        </is>
      </c>
      <c r="C323" t="inlineStr">
        <is>
          <t>R03</t>
        </is>
      </c>
      <c r="D323" t="inlineStr">
        <is>
          <t>MATCH</t>
        </is>
      </c>
      <c r="E323" t="inlineStr">
        <is>
          <t>Kookaburra Plan Support</t>
        </is>
      </c>
      <c r="F323" t="n">
        <v>1</v>
      </c>
      <c r="G323" t="inlineStr">
        <is>
          <t>3 invoices</t>
        </is>
      </c>
      <c r="H323">
        <f>COUNTIFS('Bank Lines'!$G$5:$G$1640,A323,'Bank Lines'!$J$5:$J$1640,1)</f>
        <v>1</v>
      </c>
      <c r="I323">
        <f>COUNTIFS('Odoo Items'!$J$5:$J$4331,A323)</f>
        <v>3</v>
      </c>
      <c r="J323" s="9">
        <f>ROUND(SUMIFS('Bank Lines'!$E$5:$E$1640,'Bank Lines'!$G$5:$G$1640,A323,'Bank Lines'!$J$5:$J$1640,1),2)</f>
        <v>573.17</v>
      </c>
      <c r="K323" s="9">
        <f>ROUND(SUMIFS('Odoo Items'!$G$5:$G$4331,'Odoo Items'!$J$5:$J$4331,A323),2)</f>
        <v>573.17</v>
      </c>
      <c r="L323" s="9">
        <f>ROUND(J323-K323,2)</f>
        <v>0</v>
      </c>
      <c r="M323" s="9">
        <f>ROUND(SUMIFS('Bank Lines'!$E$5:$E$1640,'Bank Lines'!$G$5:$G$1640,A323,'Bank Lines'!$J$5:$J$1640,1,'Bank Lines'!$C$5:$C$1640,"&lt;="&amp;Cover!$C$13),2)</f>
        <v>0</v>
      </c>
      <c r="N323" s="9">
        <f>ROUND(SUMIFS('Odoo Items'!$G$5:$G$4331,'Odoo Items'!$J$5:$J$4331,A323,'Odoo Items'!$C$5:$C$4331,"&lt;="&amp;Cover!$C$13),2)</f>
        <v>0</v>
      </c>
      <c r="O323">
        <f>COUNTIFS('Bank Lines'!$G$5:$G$1640,A323,'Bank Lines'!$J$5:$J$1640,1,'Bank Lines'!$C$5:$C$1640,"&lt;="&amp;Cover!$C$13)</f>
        <v>0</v>
      </c>
      <c r="P323">
        <f>COUNTIFS('Odoo Items'!$J$5:$J$4331,A323,'Odoo Items'!$C$5:$C$4331,"&lt;="&amp;Cover!$C$13)</f>
        <v>0</v>
      </c>
      <c r="Q323">
        <f>IF(AND(O323=0,P323=0),"",IF(O323=0,"ODOO-ONLY",IF(P323=0,"BANK-ONLY","BOTH")))</f>
      </c>
      <c r="R323" s="9">
        <f>IF(Q323="BOTH",ROUND(M323-N323,2),0)</f>
        <v>0</v>
      </c>
      <c r="S323" s="9">
        <f>ROUND(SUMIFS('Bank Lines'!$E$5:$E$1640,'Bank Lines'!$G$5:$G$1640,A323,'Bank Lines'!$J$5:$J$1640,1,'Bank Lines'!$C$5:$C$1640,"&lt;="&amp;Cover!$C$14),2)</f>
        <v>573.17</v>
      </c>
      <c r="T323" s="9">
        <f>ROUND(SUMIFS('Odoo Items'!$G$5:$G$4331,'Odoo Items'!$J$5:$J$4331,A323,'Odoo Items'!$C$5:$C$4331,"&lt;="&amp;Cover!$C$14),2)</f>
        <v>573.17</v>
      </c>
      <c r="U323">
        <f>COUNTIFS('Bank Lines'!$G$5:$G$1640,A323,'Bank Lines'!$J$5:$J$1640,1,'Bank Lines'!$C$5:$C$1640,"&lt;="&amp;Cover!$C$14)</f>
        <v>1</v>
      </c>
      <c r="V323">
        <f>COUNTIFS('Odoo Items'!$J$5:$J$4331,A323,'Odoo Items'!$C$5:$C$4331,"&lt;="&amp;Cover!$C$14)</f>
        <v>3</v>
      </c>
      <c r="W323" t="str">
        <f>IF(AND(U323=0,V323=0),"",IF(U323=0,"ODOO-ONLY",IF(V323=0,"BANK-ONLY","BOTH")))</f>
        <v>BOTH</v>
      </c>
      <c r="X323" s="9">
        <f>IF(W323="BOTH",ROUND(S323-T323,2),0)</f>
        <v>0</v>
      </c>
      <c r="Y323" s="9">
        <f>ROUND(SUMIFS('Bank Lines'!$E$5:$E$1640,'Bank Lines'!$G$5:$G$1640,A323,'Bank Lines'!$J$5:$J$1640,1,'Bank Lines'!$C$5:$C$1640,"&lt;="&amp;Cover!$C$15),2)</f>
        <v>573.17</v>
      </c>
      <c r="Z323" s="9">
        <f>ROUND(SUMIFS('Odoo Items'!$G$5:$G$4331,'Odoo Items'!$J$5:$J$4331,A323,'Odoo Items'!$C$5:$C$4331,"&lt;="&amp;Cover!$C$15),2)</f>
        <v>573.17</v>
      </c>
      <c r="AA323">
        <f>COUNTIFS('Bank Lines'!$G$5:$G$1640,A323,'Bank Lines'!$J$5:$J$1640,1,'Bank Lines'!$C$5:$C$1640,"&lt;="&amp;Cover!$C$15)</f>
        <v>1</v>
      </c>
      <c r="AB323">
        <f>COUNTIFS('Odoo Items'!$J$5:$J$4331,A323,'Odoo Items'!$C$5:$C$4331,"&lt;="&amp;Cover!$C$15)</f>
        <v>3</v>
      </c>
      <c r="AC323" t="str">
        <f>IF(AND(AA323=0,AB323=0),"",IF(AA323=0,"ODOO-ONLY",IF(AB323=0,"BANK-ONLY","BOTH")))</f>
        <v>BOTH</v>
      </c>
      <c r="AD323" s="9">
        <f>IF(AC323="BOTH",ROUND(Y323-Z323,2),0)</f>
        <v>0</v>
      </c>
    </row>
    <row r="324">
      <c r="A324" t="inlineStr">
        <is>
          <t>G00320</t>
        </is>
      </c>
      <c r="B324" t="inlineStr">
        <is>
          <t>OPS</t>
        </is>
      </c>
      <c r="C324" t="inlineStr">
        <is>
          <t>R03</t>
        </is>
      </c>
      <c r="D324" t="inlineStr">
        <is>
          <t>MATCH</t>
        </is>
      </c>
      <c r="E324" t="inlineStr">
        <is>
          <t>Redgum Plan Admin</t>
        </is>
      </c>
      <c r="F324" t="n">
        <v>1</v>
      </c>
      <c r="G324" t="inlineStr">
        <is>
          <t>7 invoices</t>
        </is>
      </c>
      <c r="H324">
        <f>COUNTIFS('Bank Lines'!$G$5:$G$1640,A324,'Bank Lines'!$J$5:$J$1640,1)</f>
        <v>1</v>
      </c>
      <c r="I324">
        <f>COUNTIFS('Odoo Items'!$J$5:$J$4331,A324)</f>
        <v>7</v>
      </c>
      <c r="J324" s="9">
        <f>ROUND(SUMIFS('Bank Lines'!$E$5:$E$1640,'Bank Lines'!$G$5:$G$1640,A324,'Bank Lines'!$J$5:$J$1640,1),2)</f>
        <v>1755.61</v>
      </c>
      <c r="K324" s="9">
        <f>ROUND(SUMIFS('Odoo Items'!$G$5:$G$4331,'Odoo Items'!$J$5:$J$4331,A324),2)</f>
        <v>1755.61</v>
      </c>
      <c r="L324" s="9">
        <f>ROUND(J324-K324,2)</f>
        <v>0</v>
      </c>
      <c r="M324" s="9">
        <f>ROUND(SUMIFS('Bank Lines'!$E$5:$E$1640,'Bank Lines'!$G$5:$G$1640,A324,'Bank Lines'!$J$5:$J$1640,1,'Bank Lines'!$C$5:$C$1640,"&lt;="&amp;Cover!$C$13),2)</f>
        <v>0</v>
      </c>
      <c r="N324" s="9">
        <f>ROUND(SUMIFS('Odoo Items'!$G$5:$G$4331,'Odoo Items'!$J$5:$J$4331,A324,'Odoo Items'!$C$5:$C$4331,"&lt;="&amp;Cover!$C$13),2)</f>
        <v>0</v>
      </c>
      <c r="O324">
        <f>COUNTIFS('Bank Lines'!$G$5:$G$1640,A324,'Bank Lines'!$J$5:$J$1640,1,'Bank Lines'!$C$5:$C$1640,"&lt;="&amp;Cover!$C$13)</f>
        <v>0</v>
      </c>
      <c r="P324">
        <f>COUNTIFS('Odoo Items'!$J$5:$J$4331,A324,'Odoo Items'!$C$5:$C$4331,"&lt;="&amp;Cover!$C$13)</f>
        <v>0</v>
      </c>
      <c r="Q324">
        <f>IF(AND(O324=0,P324=0),"",IF(O324=0,"ODOO-ONLY",IF(P324=0,"BANK-ONLY","BOTH")))</f>
      </c>
      <c r="R324" s="9">
        <f>IF(Q324="BOTH",ROUND(M324-N324,2),0)</f>
        <v>0</v>
      </c>
      <c r="S324" s="9">
        <f>ROUND(SUMIFS('Bank Lines'!$E$5:$E$1640,'Bank Lines'!$G$5:$G$1640,A324,'Bank Lines'!$J$5:$J$1640,1,'Bank Lines'!$C$5:$C$1640,"&lt;="&amp;Cover!$C$14),2)</f>
        <v>1755.61</v>
      </c>
      <c r="T324" s="9">
        <f>ROUND(SUMIFS('Odoo Items'!$G$5:$G$4331,'Odoo Items'!$J$5:$J$4331,A324,'Odoo Items'!$C$5:$C$4331,"&lt;="&amp;Cover!$C$14),2)</f>
        <v>1755.61</v>
      </c>
      <c r="U324">
        <f>COUNTIFS('Bank Lines'!$G$5:$G$1640,A324,'Bank Lines'!$J$5:$J$1640,1,'Bank Lines'!$C$5:$C$1640,"&lt;="&amp;Cover!$C$14)</f>
        <v>1</v>
      </c>
      <c r="V324">
        <f>COUNTIFS('Odoo Items'!$J$5:$J$4331,A324,'Odoo Items'!$C$5:$C$4331,"&lt;="&amp;Cover!$C$14)</f>
        <v>7</v>
      </c>
      <c r="W324" t="str">
        <f>IF(AND(U324=0,V324=0),"",IF(U324=0,"ODOO-ONLY",IF(V324=0,"BANK-ONLY","BOTH")))</f>
        <v>BOTH</v>
      </c>
      <c r="X324" s="9">
        <f>IF(W324="BOTH",ROUND(S324-T324,2),0)</f>
        <v>0</v>
      </c>
      <c r="Y324" s="9">
        <f>ROUND(SUMIFS('Bank Lines'!$E$5:$E$1640,'Bank Lines'!$G$5:$G$1640,A324,'Bank Lines'!$J$5:$J$1640,1,'Bank Lines'!$C$5:$C$1640,"&lt;="&amp;Cover!$C$15),2)</f>
        <v>1755.61</v>
      </c>
      <c r="Z324" s="9">
        <f>ROUND(SUMIFS('Odoo Items'!$G$5:$G$4331,'Odoo Items'!$J$5:$J$4331,A324,'Odoo Items'!$C$5:$C$4331,"&lt;="&amp;Cover!$C$15),2)</f>
        <v>1755.61</v>
      </c>
      <c r="AA324">
        <f>COUNTIFS('Bank Lines'!$G$5:$G$1640,A324,'Bank Lines'!$J$5:$J$1640,1,'Bank Lines'!$C$5:$C$1640,"&lt;="&amp;Cover!$C$15)</f>
        <v>1</v>
      </c>
      <c r="AB324">
        <f>COUNTIFS('Odoo Items'!$J$5:$J$4331,A324,'Odoo Items'!$C$5:$C$4331,"&lt;="&amp;Cover!$C$15)</f>
        <v>7</v>
      </c>
      <c r="AC324" t="str">
        <f>IF(AND(AA324=0,AB324=0),"",IF(AA324=0,"ODOO-ONLY",IF(AB324=0,"BANK-ONLY","BOTH")))</f>
        <v>BOTH</v>
      </c>
      <c r="AD324" s="9">
        <f>IF(AC324="BOTH",ROUND(Y324-Z324,2),0)</f>
        <v>0</v>
      </c>
    </row>
    <row r="325">
      <c r="A325" t="inlineStr">
        <is>
          <t>G00321</t>
        </is>
      </c>
      <c r="B325" t="inlineStr">
        <is>
          <t>OPS</t>
        </is>
      </c>
      <c r="C325" t="inlineStr">
        <is>
          <t>R03</t>
        </is>
      </c>
      <c r="D325" t="inlineStr">
        <is>
          <t>MATCH</t>
        </is>
      </c>
      <c r="E325" t="inlineStr">
        <is>
          <t>Mallee Plan Services</t>
        </is>
      </c>
      <c r="F325" t="n">
        <v>1</v>
      </c>
      <c r="G325" t="inlineStr">
        <is>
          <t>4 invoices</t>
        </is>
      </c>
      <c r="H325">
        <f>COUNTIFS('Bank Lines'!$G$5:$G$1640,A325,'Bank Lines'!$J$5:$J$1640,1)</f>
        <v>1</v>
      </c>
      <c r="I325">
        <f>COUNTIFS('Odoo Items'!$J$5:$J$4331,A325)</f>
        <v>4</v>
      </c>
      <c r="J325" s="9">
        <f>ROUND(SUMIFS('Bank Lines'!$E$5:$E$1640,'Bank Lines'!$G$5:$G$1640,A325,'Bank Lines'!$J$5:$J$1640,1),2)</f>
        <v>1252.14</v>
      </c>
      <c r="K325" s="9">
        <f>ROUND(SUMIFS('Odoo Items'!$G$5:$G$4331,'Odoo Items'!$J$5:$J$4331,A325),2)</f>
        <v>1252.14</v>
      </c>
      <c r="L325" s="9">
        <f>ROUND(J325-K325,2)</f>
        <v>0</v>
      </c>
      <c r="M325" s="9">
        <f>ROUND(SUMIFS('Bank Lines'!$E$5:$E$1640,'Bank Lines'!$G$5:$G$1640,A325,'Bank Lines'!$J$5:$J$1640,1,'Bank Lines'!$C$5:$C$1640,"&lt;="&amp;Cover!$C$13),2)</f>
        <v>0</v>
      </c>
      <c r="N325" s="9">
        <f>ROUND(SUMIFS('Odoo Items'!$G$5:$G$4331,'Odoo Items'!$J$5:$J$4331,A325,'Odoo Items'!$C$5:$C$4331,"&lt;="&amp;Cover!$C$13),2)</f>
        <v>0</v>
      </c>
      <c r="O325">
        <f>COUNTIFS('Bank Lines'!$G$5:$G$1640,A325,'Bank Lines'!$J$5:$J$1640,1,'Bank Lines'!$C$5:$C$1640,"&lt;="&amp;Cover!$C$13)</f>
        <v>0</v>
      </c>
      <c r="P325">
        <f>COUNTIFS('Odoo Items'!$J$5:$J$4331,A325,'Odoo Items'!$C$5:$C$4331,"&lt;="&amp;Cover!$C$13)</f>
        <v>0</v>
      </c>
      <c r="Q325">
        <f>IF(AND(O325=0,P325=0),"",IF(O325=0,"ODOO-ONLY",IF(P325=0,"BANK-ONLY","BOTH")))</f>
      </c>
      <c r="R325" s="9">
        <f>IF(Q325="BOTH",ROUND(M325-N325,2),0)</f>
        <v>0</v>
      </c>
      <c r="S325" s="9">
        <f>ROUND(SUMIFS('Bank Lines'!$E$5:$E$1640,'Bank Lines'!$G$5:$G$1640,A325,'Bank Lines'!$J$5:$J$1640,1,'Bank Lines'!$C$5:$C$1640,"&lt;="&amp;Cover!$C$14),2)</f>
        <v>1252.14</v>
      </c>
      <c r="T325" s="9">
        <f>ROUND(SUMIFS('Odoo Items'!$G$5:$G$4331,'Odoo Items'!$J$5:$J$4331,A325,'Odoo Items'!$C$5:$C$4331,"&lt;="&amp;Cover!$C$14),2)</f>
        <v>1252.14</v>
      </c>
      <c r="U325">
        <f>COUNTIFS('Bank Lines'!$G$5:$G$1640,A325,'Bank Lines'!$J$5:$J$1640,1,'Bank Lines'!$C$5:$C$1640,"&lt;="&amp;Cover!$C$14)</f>
        <v>1</v>
      </c>
      <c r="V325">
        <f>COUNTIFS('Odoo Items'!$J$5:$J$4331,A325,'Odoo Items'!$C$5:$C$4331,"&lt;="&amp;Cover!$C$14)</f>
        <v>4</v>
      </c>
      <c r="W325" t="str">
        <f>IF(AND(U325=0,V325=0),"",IF(U325=0,"ODOO-ONLY",IF(V325=0,"BANK-ONLY","BOTH")))</f>
        <v>BOTH</v>
      </c>
      <c r="X325" s="9">
        <f>IF(W325="BOTH",ROUND(S325-T325,2),0)</f>
        <v>0</v>
      </c>
      <c r="Y325" s="9">
        <f>ROUND(SUMIFS('Bank Lines'!$E$5:$E$1640,'Bank Lines'!$G$5:$G$1640,A325,'Bank Lines'!$J$5:$J$1640,1,'Bank Lines'!$C$5:$C$1640,"&lt;="&amp;Cover!$C$15),2)</f>
        <v>1252.14</v>
      </c>
      <c r="Z325" s="9">
        <f>ROUND(SUMIFS('Odoo Items'!$G$5:$G$4331,'Odoo Items'!$J$5:$J$4331,A325,'Odoo Items'!$C$5:$C$4331,"&lt;="&amp;Cover!$C$15),2)</f>
        <v>1252.14</v>
      </c>
      <c r="AA325">
        <f>COUNTIFS('Bank Lines'!$G$5:$G$1640,A325,'Bank Lines'!$J$5:$J$1640,1,'Bank Lines'!$C$5:$C$1640,"&lt;="&amp;Cover!$C$15)</f>
        <v>1</v>
      </c>
      <c r="AB325">
        <f>COUNTIFS('Odoo Items'!$J$5:$J$4331,A325,'Odoo Items'!$C$5:$C$4331,"&lt;="&amp;Cover!$C$15)</f>
        <v>4</v>
      </c>
      <c r="AC325" t="str">
        <f>IF(AND(AA325=0,AB325=0),"",IF(AA325=0,"ODOO-ONLY",IF(AB325=0,"BANK-ONLY","BOTH")))</f>
        <v>BOTH</v>
      </c>
      <c r="AD325" s="9">
        <f>IF(AC325="BOTH",ROUND(Y325-Z325,2),0)</f>
        <v>0</v>
      </c>
    </row>
    <row r="326">
      <c r="A326" t="inlineStr">
        <is>
          <t>G00322</t>
        </is>
      </c>
      <c r="B326" t="inlineStr">
        <is>
          <t>OPS</t>
        </is>
      </c>
      <c r="C326" t="inlineStr">
        <is>
          <t>R03</t>
        </is>
      </c>
      <c r="D326" t="inlineStr">
        <is>
          <t>MATCH</t>
        </is>
      </c>
      <c r="E326" t="inlineStr">
        <is>
          <t>Riverbend Plan Partners</t>
        </is>
      </c>
      <c r="F326" t="n">
        <v>1</v>
      </c>
      <c r="G326" t="inlineStr">
        <is>
          <t>2 invoices</t>
        </is>
      </c>
      <c r="H326">
        <f>COUNTIFS('Bank Lines'!$G$5:$G$1640,A326,'Bank Lines'!$J$5:$J$1640,1)</f>
        <v>1</v>
      </c>
      <c r="I326">
        <f>COUNTIFS('Odoo Items'!$J$5:$J$4331,A326)</f>
        <v>2</v>
      </c>
      <c r="J326" s="9">
        <f>ROUND(SUMIFS('Bank Lines'!$E$5:$E$1640,'Bank Lines'!$G$5:$G$1640,A326,'Bank Lines'!$J$5:$J$1640,1),2)</f>
        <v>427.68</v>
      </c>
      <c r="K326" s="9">
        <f>ROUND(SUMIFS('Odoo Items'!$G$5:$G$4331,'Odoo Items'!$J$5:$J$4331,A326),2)</f>
        <v>427.68</v>
      </c>
      <c r="L326" s="9">
        <f>ROUND(J326-K326,2)</f>
        <v>0</v>
      </c>
      <c r="M326" s="9">
        <f>ROUND(SUMIFS('Bank Lines'!$E$5:$E$1640,'Bank Lines'!$G$5:$G$1640,A326,'Bank Lines'!$J$5:$J$1640,1,'Bank Lines'!$C$5:$C$1640,"&lt;="&amp;Cover!$C$13),2)</f>
        <v>0</v>
      </c>
      <c r="N326" s="9">
        <f>ROUND(SUMIFS('Odoo Items'!$G$5:$G$4331,'Odoo Items'!$J$5:$J$4331,A326,'Odoo Items'!$C$5:$C$4331,"&lt;="&amp;Cover!$C$13),2)</f>
        <v>0</v>
      </c>
      <c r="O326">
        <f>COUNTIFS('Bank Lines'!$G$5:$G$1640,A326,'Bank Lines'!$J$5:$J$1640,1,'Bank Lines'!$C$5:$C$1640,"&lt;="&amp;Cover!$C$13)</f>
        <v>0</v>
      </c>
      <c r="P326">
        <f>COUNTIFS('Odoo Items'!$J$5:$J$4331,A326,'Odoo Items'!$C$5:$C$4331,"&lt;="&amp;Cover!$C$13)</f>
        <v>0</v>
      </c>
      <c r="Q326">
        <f>IF(AND(O326=0,P326=0),"",IF(O326=0,"ODOO-ONLY",IF(P326=0,"BANK-ONLY","BOTH")))</f>
      </c>
      <c r="R326" s="9">
        <f>IF(Q326="BOTH",ROUND(M326-N326,2),0)</f>
        <v>0</v>
      </c>
      <c r="S326" s="9">
        <f>ROUND(SUMIFS('Bank Lines'!$E$5:$E$1640,'Bank Lines'!$G$5:$G$1640,A326,'Bank Lines'!$J$5:$J$1640,1,'Bank Lines'!$C$5:$C$1640,"&lt;="&amp;Cover!$C$14),2)</f>
        <v>427.68</v>
      </c>
      <c r="T326" s="9">
        <f>ROUND(SUMIFS('Odoo Items'!$G$5:$G$4331,'Odoo Items'!$J$5:$J$4331,A326,'Odoo Items'!$C$5:$C$4331,"&lt;="&amp;Cover!$C$14),2)</f>
        <v>427.68</v>
      </c>
      <c r="U326">
        <f>COUNTIFS('Bank Lines'!$G$5:$G$1640,A326,'Bank Lines'!$J$5:$J$1640,1,'Bank Lines'!$C$5:$C$1640,"&lt;="&amp;Cover!$C$14)</f>
        <v>1</v>
      </c>
      <c r="V326">
        <f>COUNTIFS('Odoo Items'!$J$5:$J$4331,A326,'Odoo Items'!$C$5:$C$4331,"&lt;="&amp;Cover!$C$14)</f>
        <v>2</v>
      </c>
      <c r="W326" t="str">
        <f>IF(AND(U326=0,V326=0),"",IF(U326=0,"ODOO-ONLY",IF(V326=0,"BANK-ONLY","BOTH")))</f>
        <v>BOTH</v>
      </c>
      <c r="X326" s="9">
        <f>IF(W326="BOTH",ROUND(S326-T326,2),0)</f>
        <v>0</v>
      </c>
      <c r="Y326" s="9">
        <f>ROUND(SUMIFS('Bank Lines'!$E$5:$E$1640,'Bank Lines'!$G$5:$G$1640,A326,'Bank Lines'!$J$5:$J$1640,1,'Bank Lines'!$C$5:$C$1640,"&lt;="&amp;Cover!$C$15),2)</f>
        <v>427.68</v>
      </c>
      <c r="Z326" s="9">
        <f>ROUND(SUMIFS('Odoo Items'!$G$5:$G$4331,'Odoo Items'!$J$5:$J$4331,A326,'Odoo Items'!$C$5:$C$4331,"&lt;="&amp;Cover!$C$15),2)</f>
        <v>427.68</v>
      </c>
      <c r="AA326">
        <f>COUNTIFS('Bank Lines'!$G$5:$G$1640,A326,'Bank Lines'!$J$5:$J$1640,1,'Bank Lines'!$C$5:$C$1640,"&lt;="&amp;Cover!$C$15)</f>
        <v>1</v>
      </c>
      <c r="AB326">
        <f>COUNTIFS('Odoo Items'!$J$5:$J$4331,A326,'Odoo Items'!$C$5:$C$4331,"&lt;="&amp;Cover!$C$15)</f>
        <v>2</v>
      </c>
      <c r="AC326" t="str">
        <f>IF(AND(AA326=0,AB326=0),"",IF(AA326=0,"ODOO-ONLY",IF(AB326=0,"BANK-ONLY","BOTH")))</f>
        <v>BOTH</v>
      </c>
      <c r="AD326" s="9">
        <f>IF(AC326="BOTH",ROUND(Y326-Z326,2),0)</f>
        <v>0</v>
      </c>
    </row>
    <row r="327">
      <c r="A327" t="inlineStr">
        <is>
          <t>G00323</t>
        </is>
      </c>
      <c r="B327" t="inlineStr">
        <is>
          <t>OPS</t>
        </is>
      </c>
      <c r="C327" t="inlineStr">
        <is>
          <t>R03</t>
        </is>
      </c>
      <c r="D327" t="inlineStr">
        <is>
          <t>MATCH</t>
        </is>
      </c>
      <c r="E327" t="inlineStr">
        <is>
          <t>Ironbark Plan Management</t>
        </is>
      </c>
      <c r="F327" t="n">
        <v>1</v>
      </c>
      <c r="G327" t="inlineStr">
        <is>
          <t>7 invoices</t>
        </is>
      </c>
      <c r="H327">
        <f>COUNTIFS('Bank Lines'!$G$5:$G$1640,A327,'Bank Lines'!$J$5:$J$1640,1)</f>
        <v>1</v>
      </c>
      <c r="I327">
        <f>COUNTIFS('Odoo Items'!$J$5:$J$4331,A327)</f>
        <v>7</v>
      </c>
      <c r="J327" s="9">
        <f>ROUND(SUMIFS('Bank Lines'!$E$5:$E$1640,'Bank Lines'!$G$5:$G$1640,A327,'Bank Lines'!$J$5:$J$1640,1),2)</f>
        <v>1582.82</v>
      </c>
      <c r="K327" s="9">
        <f>ROUND(SUMIFS('Odoo Items'!$G$5:$G$4331,'Odoo Items'!$J$5:$J$4331,A327),2)</f>
        <v>1582.82</v>
      </c>
      <c r="L327" s="9">
        <f>ROUND(J327-K327,2)</f>
        <v>0</v>
      </c>
      <c r="M327" s="9">
        <f>ROUND(SUMIFS('Bank Lines'!$E$5:$E$1640,'Bank Lines'!$G$5:$G$1640,A327,'Bank Lines'!$J$5:$J$1640,1,'Bank Lines'!$C$5:$C$1640,"&lt;="&amp;Cover!$C$13),2)</f>
        <v>0</v>
      </c>
      <c r="N327" s="9">
        <f>ROUND(SUMIFS('Odoo Items'!$G$5:$G$4331,'Odoo Items'!$J$5:$J$4331,A327,'Odoo Items'!$C$5:$C$4331,"&lt;="&amp;Cover!$C$13),2)</f>
        <v>0</v>
      </c>
      <c r="O327">
        <f>COUNTIFS('Bank Lines'!$G$5:$G$1640,A327,'Bank Lines'!$J$5:$J$1640,1,'Bank Lines'!$C$5:$C$1640,"&lt;="&amp;Cover!$C$13)</f>
        <v>0</v>
      </c>
      <c r="P327">
        <f>COUNTIFS('Odoo Items'!$J$5:$J$4331,A327,'Odoo Items'!$C$5:$C$4331,"&lt;="&amp;Cover!$C$13)</f>
        <v>0</v>
      </c>
      <c r="Q327">
        <f>IF(AND(O327=0,P327=0),"",IF(O327=0,"ODOO-ONLY",IF(P327=0,"BANK-ONLY","BOTH")))</f>
      </c>
      <c r="R327" s="9">
        <f>IF(Q327="BOTH",ROUND(M327-N327,2),0)</f>
        <v>0</v>
      </c>
      <c r="S327" s="9">
        <f>ROUND(SUMIFS('Bank Lines'!$E$5:$E$1640,'Bank Lines'!$G$5:$G$1640,A327,'Bank Lines'!$J$5:$J$1640,1,'Bank Lines'!$C$5:$C$1640,"&lt;="&amp;Cover!$C$14),2)</f>
        <v>1582.82</v>
      </c>
      <c r="T327" s="9">
        <f>ROUND(SUMIFS('Odoo Items'!$G$5:$G$4331,'Odoo Items'!$J$5:$J$4331,A327,'Odoo Items'!$C$5:$C$4331,"&lt;="&amp;Cover!$C$14),2)</f>
        <v>1582.82</v>
      </c>
      <c r="U327">
        <f>COUNTIFS('Bank Lines'!$G$5:$G$1640,A327,'Bank Lines'!$J$5:$J$1640,1,'Bank Lines'!$C$5:$C$1640,"&lt;="&amp;Cover!$C$14)</f>
        <v>1</v>
      </c>
      <c r="V327">
        <f>COUNTIFS('Odoo Items'!$J$5:$J$4331,A327,'Odoo Items'!$C$5:$C$4331,"&lt;="&amp;Cover!$C$14)</f>
        <v>7</v>
      </c>
      <c r="W327" t="str">
        <f>IF(AND(U327=0,V327=0),"",IF(U327=0,"ODOO-ONLY",IF(V327=0,"BANK-ONLY","BOTH")))</f>
        <v>BOTH</v>
      </c>
      <c r="X327" s="9">
        <f>IF(W327="BOTH",ROUND(S327-T327,2),0)</f>
        <v>0</v>
      </c>
      <c r="Y327" s="9">
        <f>ROUND(SUMIFS('Bank Lines'!$E$5:$E$1640,'Bank Lines'!$G$5:$G$1640,A327,'Bank Lines'!$J$5:$J$1640,1,'Bank Lines'!$C$5:$C$1640,"&lt;="&amp;Cover!$C$15),2)</f>
        <v>1582.82</v>
      </c>
      <c r="Z327" s="9">
        <f>ROUND(SUMIFS('Odoo Items'!$G$5:$G$4331,'Odoo Items'!$J$5:$J$4331,A327,'Odoo Items'!$C$5:$C$4331,"&lt;="&amp;Cover!$C$15),2)</f>
        <v>1582.82</v>
      </c>
      <c r="AA327">
        <f>COUNTIFS('Bank Lines'!$G$5:$G$1640,A327,'Bank Lines'!$J$5:$J$1640,1,'Bank Lines'!$C$5:$C$1640,"&lt;="&amp;Cover!$C$15)</f>
        <v>1</v>
      </c>
      <c r="AB327">
        <f>COUNTIFS('Odoo Items'!$J$5:$J$4331,A327,'Odoo Items'!$C$5:$C$4331,"&lt;="&amp;Cover!$C$15)</f>
        <v>7</v>
      </c>
      <c r="AC327" t="str">
        <f>IF(AND(AA327=0,AB327=0),"",IF(AA327=0,"ODOO-ONLY",IF(AB327=0,"BANK-ONLY","BOTH")))</f>
        <v>BOTH</v>
      </c>
      <c r="AD327" s="9">
        <f>IF(AC327="BOTH",ROUND(Y327-Z327,2),0)</f>
        <v>0</v>
      </c>
    </row>
    <row r="328">
      <c r="A328" t="inlineStr">
        <is>
          <t>G00324</t>
        </is>
      </c>
      <c r="B328" t="inlineStr">
        <is>
          <t>OPS</t>
        </is>
      </c>
      <c r="C328" t="inlineStr">
        <is>
          <t>R03</t>
        </is>
      </c>
      <c r="D328" t="inlineStr">
        <is>
          <t>MATCH</t>
        </is>
      </c>
      <c r="E328" t="inlineStr">
        <is>
          <t>Kookaburra Plan Support</t>
        </is>
      </c>
      <c r="F328" t="n">
        <v>1</v>
      </c>
      <c r="G328" t="inlineStr">
        <is>
          <t>3 invoices</t>
        </is>
      </c>
      <c r="H328">
        <f>COUNTIFS('Bank Lines'!$G$5:$G$1640,A328,'Bank Lines'!$J$5:$J$1640,1)</f>
        <v>1</v>
      </c>
      <c r="I328">
        <f>COUNTIFS('Odoo Items'!$J$5:$J$4331,A328)</f>
        <v>3</v>
      </c>
      <c r="J328" s="9">
        <f>ROUND(SUMIFS('Bank Lines'!$E$5:$E$1640,'Bank Lines'!$G$5:$G$1640,A328,'Bank Lines'!$J$5:$J$1640,1),2)</f>
        <v>864.15</v>
      </c>
      <c r="K328" s="9">
        <f>ROUND(SUMIFS('Odoo Items'!$G$5:$G$4331,'Odoo Items'!$J$5:$J$4331,A328),2)</f>
        <v>864.15</v>
      </c>
      <c r="L328" s="9">
        <f>ROUND(J328-K328,2)</f>
        <v>0</v>
      </c>
      <c r="M328" s="9">
        <f>ROUND(SUMIFS('Bank Lines'!$E$5:$E$1640,'Bank Lines'!$G$5:$G$1640,A328,'Bank Lines'!$J$5:$J$1640,1,'Bank Lines'!$C$5:$C$1640,"&lt;="&amp;Cover!$C$13),2)</f>
        <v>0</v>
      </c>
      <c r="N328" s="9">
        <f>ROUND(SUMIFS('Odoo Items'!$G$5:$G$4331,'Odoo Items'!$J$5:$J$4331,A328,'Odoo Items'!$C$5:$C$4331,"&lt;="&amp;Cover!$C$13),2)</f>
        <v>0</v>
      </c>
      <c r="O328">
        <f>COUNTIFS('Bank Lines'!$G$5:$G$1640,A328,'Bank Lines'!$J$5:$J$1640,1,'Bank Lines'!$C$5:$C$1640,"&lt;="&amp;Cover!$C$13)</f>
        <v>0</v>
      </c>
      <c r="P328">
        <f>COUNTIFS('Odoo Items'!$J$5:$J$4331,A328,'Odoo Items'!$C$5:$C$4331,"&lt;="&amp;Cover!$C$13)</f>
        <v>0</v>
      </c>
      <c r="Q328">
        <f>IF(AND(O328=0,P328=0),"",IF(O328=0,"ODOO-ONLY",IF(P328=0,"BANK-ONLY","BOTH")))</f>
      </c>
      <c r="R328" s="9">
        <f>IF(Q328="BOTH",ROUND(M328-N328,2),0)</f>
        <v>0</v>
      </c>
      <c r="S328" s="9">
        <f>ROUND(SUMIFS('Bank Lines'!$E$5:$E$1640,'Bank Lines'!$G$5:$G$1640,A328,'Bank Lines'!$J$5:$J$1640,1,'Bank Lines'!$C$5:$C$1640,"&lt;="&amp;Cover!$C$14),2)</f>
        <v>864.15</v>
      </c>
      <c r="T328" s="9">
        <f>ROUND(SUMIFS('Odoo Items'!$G$5:$G$4331,'Odoo Items'!$J$5:$J$4331,A328,'Odoo Items'!$C$5:$C$4331,"&lt;="&amp;Cover!$C$14),2)</f>
        <v>864.15</v>
      </c>
      <c r="U328">
        <f>COUNTIFS('Bank Lines'!$G$5:$G$1640,A328,'Bank Lines'!$J$5:$J$1640,1,'Bank Lines'!$C$5:$C$1640,"&lt;="&amp;Cover!$C$14)</f>
        <v>1</v>
      </c>
      <c r="V328">
        <f>COUNTIFS('Odoo Items'!$J$5:$J$4331,A328,'Odoo Items'!$C$5:$C$4331,"&lt;="&amp;Cover!$C$14)</f>
        <v>3</v>
      </c>
      <c r="W328" t="str">
        <f>IF(AND(U328=0,V328=0),"",IF(U328=0,"ODOO-ONLY",IF(V328=0,"BANK-ONLY","BOTH")))</f>
        <v>BOTH</v>
      </c>
      <c r="X328" s="9">
        <f>IF(W328="BOTH",ROUND(S328-T328,2),0)</f>
        <v>0</v>
      </c>
      <c r="Y328" s="9">
        <f>ROUND(SUMIFS('Bank Lines'!$E$5:$E$1640,'Bank Lines'!$G$5:$G$1640,A328,'Bank Lines'!$J$5:$J$1640,1,'Bank Lines'!$C$5:$C$1640,"&lt;="&amp;Cover!$C$15),2)</f>
        <v>864.15</v>
      </c>
      <c r="Z328" s="9">
        <f>ROUND(SUMIFS('Odoo Items'!$G$5:$G$4331,'Odoo Items'!$J$5:$J$4331,A328,'Odoo Items'!$C$5:$C$4331,"&lt;="&amp;Cover!$C$15),2)</f>
        <v>864.15</v>
      </c>
      <c r="AA328">
        <f>COUNTIFS('Bank Lines'!$G$5:$G$1640,A328,'Bank Lines'!$J$5:$J$1640,1,'Bank Lines'!$C$5:$C$1640,"&lt;="&amp;Cover!$C$15)</f>
        <v>1</v>
      </c>
      <c r="AB328">
        <f>COUNTIFS('Odoo Items'!$J$5:$J$4331,A328,'Odoo Items'!$C$5:$C$4331,"&lt;="&amp;Cover!$C$15)</f>
        <v>3</v>
      </c>
      <c r="AC328" t="str">
        <f>IF(AND(AA328=0,AB328=0),"",IF(AA328=0,"ODOO-ONLY",IF(AB328=0,"BANK-ONLY","BOTH")))</f>
        <v>BOTH</v>
      </c>
      <c r="AD328" s="9">
        <f>IF(AC328="BOTH",ROUND(Y328-Z328,2),0)</f>
        <v>0</v>
      </c>
    </row>
    <row r="329">
      <c r="A329" t="inlineStr">
        <is>
          <t>G00325</t>
        </is>
      </c>
      <c r="B329" t="inlineStr">
        <is>
          <t>OPS</t>
        </is>
      </c>
      <c r="C329" t="inlineStr">
        <is>
          <t>R03</t>
        </is>
      </c>
      <c r="D329" t="inlineStr">
        <is>
          <t>MATCH</t>
        </is>
      </c>
      <c r="E329" t="inlineStr">
        <is>
          <t>Saltbush Plan Managers</t>
        </is>
      </c>
      <c r="F329" t="n">
        <v>1</v>
      </c>
      <c r="G329" t="inlineStr">
        <is>
          <t>5 invoices</t>
        </is>
      </c>
      <c r="H329">
        <f>COUNTIFS('Bank Lines'!$G$5:$G$1640,A329,'Bank Lines'!$J$5:$J$1640,1)</f>
        <v>1</v>
      </c>
      <c r="I329">
        <f>COUNTIFS('Odoo Items'!$J$5:$J$4331,A329)</f>
        <v>5</v>
      </c>
      <c r="J329" s="9">
        <f>ROUND(SUMIFS('Bank Lines'!$E$5:$E$1640,'Bank Lines'!$G$5:$G$1640,A329,'Bank Lines'!$J$5:$J$1640,1),2)</f>
        <v>1290.93</v>
      </c>
      <c r="K329" s="9">
        <f>ROUND(SUMIFS('Odoo Items'!$G$5:$G$4331,'Odoo Items'!$J$5:$J$4331,A329),2)</f>
        <v>1290.93</v>
      </c>
      <c r="L329" s="9">
        <f>ROUND(J329-K329,2)</f>
        <v>0</v>
      </c>
      <c r="M329" s="9">
        <f>ROUND(SUMIFS('Bank Lines'!$E$5:$E$1640,'Bank Lines'!$G$5:$G$1640,A329,'Bank Lines'!$J$5:$J$1640,1,'Bank Lines'!$C$5:$C$1640,"&lt;="&amp;Cover!$C$13),2)</f>
        <v>0</v>
      </c>
      <c r="N329" s="9">
        <f>ROUND(SUMIFS('Odoo Items'!$G$5:$G$4331,'Odoo Items'!$J$5:$J$4331,A329,'Odoo Items'!$C$5:$C$4331,"&lt;="&amp;Cover!$C$13),2)</f>
        <v>0</v>
      </c>
      <c r="O329">
        <f>COUNTIFS('Bank Lines'!$G$5:$G$1640,A329,'Bank Lines'!$J$5:$J$1640,1,'Bank Lines'!$C$5:$C$1640,"&lt;="&amp;Cover!$C$13)</f>
        <v>0</v>
      </c>
      <c r="P329">
        <f>COUNTIFS('Odoo Items'!$J$5:$J$4331,A329,'Odoo Items'!$C$5:$C$4331,"&lt;="&amp;Cover!$C$13)</f>
        <v>0</v>
      </c>
      <c r="Q329">
        <f>IF(AND(O329=0,P329=0),"",IF(O329=0,"ODOO-ONLY",IF(P329=0,"BANK-ONLY","BOTH")))</f>
      </c>
      <c r="R329" s="9">
        <f>IF(Q329="BOTH",ROUND(M329-N329,2),0)</f>
        <v>0</v>
      </c>
      <c r="S329" s="9">
        <f>ROUND(SUMIFS('Bank Lines'!$E$5:$E$1640,'Bank Lines'!$G$5:$G$1640,A329,'Bank Lines'!$J$5:$J$1640,1,'Bank Lines'!$C$5:$C$1640,"&lt;="&amp;Cover!$C$14),2)</f>
        <v>1290.93</v>
      </c>
      <c r="T329" s="9">
        <f>ROUND(SUMIFS('Odoo Items'!$G$5:$G$4331,'Odoo Items'!$J$5:$J$4331,A329,'Odoo Items'!$C$5:$C$4331,"&lt;="&amp;Cover!$C$14),2)</f>
        <v>1290.93</v>
      </c>
      <c r="U329">
        <f>COUNTIFS('Bank Lines'!$G$5:$G$1640,A329,'Bank Lines'!$J$5:$J$1640,1,'Bank Lines'!$C$5:$C$1640,"&lt;="&amp;Cover!$C$14)</f>
        <v>1</v>
      </c>
      <c r="V329">
        <f>COUNTIFS('Odoo Items'!$J$5:$J$4331,A329,'Odoo Items'!$C$5:$C$4331,"&lt;="&amp;Cover!$C$14)</f>
        <v>5</v>
      </c>
      <c r="W329" t="str">
        <f>IF(AND(U329=0,V329=0),"",IF(U329=0,"ODOO-ONLY",IF(V329=0,"BANK-ONLY","BOTH")))</f>
        <v>BOTH</v>
      </c>
      <c r="X329" s="9">
        <f>IF(W329="BOTH",ROUND(S329-T329,2),0)</f>
        <v>0</v>
      </c>
      <c r="Y329" s="9">
        <f>ROUND(SUMIFS('Bank Lines'!$E$5:$E$1640,'Bank Lines'!$G$5:$G$1640,A329,'Bank Lines'!$J$5:$J$1640,1,'Bank Lines'!$C$5:$C$1640,"&lt;="&amp;Cover!$C$15),2)</f>
        <v>1290.93</v>
      </c>
      <c r="Z329" s="9">
        <f>ROUND(SUMIFS('Odoo Items'!$G$5:$G$4331,'Odoo Items'!$J$5:$J$4331,A329,'Odoo Items'!$C$5:$C$4331,"&lt;="&amp;Cover!$C$15),2)</f>
        <v>1290.93</v>
      </c>
      <c r="AA329">
        <f>COUNTIFS('Bank Lines'!$G$5:$G$1640,A329,'Bank Lines'!$J$5:$J$1640,1,'Bank Lines'!$C$5:$C$1640,"&lt;="&amp;Cover!$C$15)</f>
        <v>1</v>
      </c>
      <c r="AB329">
        <f>COUNTIFS('Odoo Items'!$J$5:$J$4331,A329,'Odoo Items'!$C$5:$C$4331,"&lt;="&amp;Cover!$C$15)</f>
        <v>5</v>
      </c>
      <c r="AC329" t="str">
        <f>IF(AND(AA329=0,AB329=0),"",IF(AA329=0,"ODOO-ONLY",IF(AB329=0,"BANK-ONLY","BOTH")))</f>
        <v>BOTH</v>
      </c>
      <c r="AD329" s="9">
        <f>IF(AC329="BOTH",ROUND(Y329-Z329,2),0)</f>
        <v>0</v>
      </c>
    </row>
    <row r="330">
      <c r="A330" t="inlineStr">
        <is>
          <t>G00326</t>
        </is>
      </c>
      <c r="B330" t="inlineStr">
        <is>
          <t>OPS</t>
        </is>
      </c>
      <c r="C330" t="inlineStr">
        <is>
          <t>R03</t>
        </is>
      </c>
      <c r="D330" t="inlineStr">
        <is>
          <t>MATCH</t>
        </is>
      </c>
      <c r="E330" t="inlineStr">
        <is>
          <t>Redgum Plan Admin</t>
        </is>
      </c>
      <c r="F330" t="n">
        <v>1</v>
      </c>
      <c r="G330" t="inlineStr">
        <is>
          <t>1 invoices</t>
        </is>
      </c>
      <c r="H330">
        <f>COUNTIFS('Bank Lines'!$G$5:$G$1640,A330,'Bank Lines'!$J$5:$J$1640,1)</f>
        <v>1</v>
      </c>
      <c r="I330">
        <f>COUNTIFS('Odoo Items'!$J$5:$J$4331,A330)</f>
        <v>1</v>
      </c>
      <c r="J330" s="9">
        <f>ROUND(SUMIFS('Bank Lines'!$E$5:$E$1640,'Bank Lines'!$G$5:$G$1640,A330,'Bank Lines'!$J$5:$J$1640,1),2)</f>
        <v>175.49</v>
      </c>
      <c r="K330" s="9">
        <f>ROUND(SUMIFS('Odoo Items'!$G$5:$G$4331,'Odoo Items'!$J$5:$J$4331,A330),2)</f>
        <v>175.49</v>
      </c>
      <c r="L330" s="9">
        <f>ROUND(J330-K330,2)</f>
        <v>0</v>
      </c>
      <c r="M330" s="9">
        <f>ROUND(SUMIFS('Bank Lines'!$E$5:$E$1640,'Bank Lines'!$G$5:$G$1640,A330,'Bank Lines'!$J$5:$J$1640,1,'Bank Lines'!$C$5:$C$1640,"&lt;="&amp;Cover!$C$13),2)</f>
        <v>0</v>
      </c>
      <c r="N330" s="9">
        <f>ROUND(SUMIFS('Odoo Items'!$G$5:$G$4331,'Odoo Items'!$J$5:$J$4331,A330,'Odoo Items'!$C$5:$C$4331,"&lt;="&amp;Cover!$C$13),2)</f>
        <v>0</v>
      </c>
      <c r="O330">
        <f>COUNTIFS('Bank Lines'!$G$5:$G$1640,A330,'Bank Lines'!$J$5:$J$1640,1,'Bank Lines'!$C$5:$C$1640,"&lt;="&amp;Cover!$C$13)</f>
        <v>0</v>
      </c>
      <c r="P330">
        <f>COUNTIFS('Odoo Items'!$J$5:$J$4331,A330,'Odoo Items'!$C$5:$C$4331,"&lt;="&amp;Cover!$C$13)</f>
        <v>0</v>
      </c>
      <c r="Q330">
        <f>IF(AND(O330=0,P330=0),"",IF(O330=0,"ODOO-ONLY",IF(P330=0,"BANK-ONLY","BOTH")))</f>
      </c>
      <c r="R330" s="9">
        <f>IF(Q330="BOTH",ROUND(M330-N330,2),0)</f>
        <v>0</v>
      </c>
      <c r="S330" s="9">
        <f>ROUND(SUMIFS('Bank Lines'!$E$5:$E$1640,'Bank Lines'!$G$5:$G$1640,A330,'Bank Lines'!$J$5:$J$1640,1,'Bank Lines'!$C$5:$C$1640,"&lt;="&amp;Cover!$C$14),2)</f>
        <v>175.49</v>
      </c>
      <c r="T330" s="9">
        <f>ROUND(SUMIFS('Odoo Items'!$G$5:$G$4331,'Odoo Items'!$J$5:$J$4331,A330,'Odoo Items'!$C$5:$C$4331,"&lt;="&amp;Cover!$C$14),2)</f>
        <v>175.49</v>
      </c>
      <c r="U330">
        <f>COUNTIFS('Bank Lines'!$G$5:$G$1640,A330,'Bank Lines'!$J$5:$J$1640,1,'Bank Lines'!$C$5:$C$1640,"&lt;="&amp;Cover!$C$14)</f>
        <v>1</v>
      </c>
      <c r="V330">
        <f>COUNTIFS('Odoo Items'!$J$5:$J$4331,A330,'Odoo Items'!$C$5:$C$4331,"&lt;="&amp;Cover!$C$14)</f>
        <v>1</v>
      </c>
      <c r="W330" t="str">
        <f>IF(AND(U330=0,V330=0),"",IF(U330=0,"ODOO-ONLY",IF(V330=0,"BANK-ONLY","BOTH")))</f>
        <v>BOTH</v>
      </c>
      <c r="X330" s="9">
        <f>IF(W330="BOTH",ROUND(S330-T330,2),0)</f>
        <v>0</v>
      </c>
      <c r="Y330" s="9">
        <f>ROUND(SUMIFS('Bank Lines'!$E$5:$E$1640,'Bank Lines'!$G$5:$G$1640,A330,'Bank Lines'!$J$5:$J$1640,1,'Bank Lines'!$C$5:$C$1640,"&lt;="&amp;Cover!$C$15),2)</f>
        <v>175.49</v>
      </c>
      <c r="Z330" s="9">
        <f>ROUND(SUMIFS('Odoo Items'!$G$5:$G$4331,'Odoo Items'!$J$5:$J$4331,A330,'Odoo Items'!$C$5:$C$4331,"&lt;="&amp;Cover!$C$15),2)</f>
        <v>175.49</v>
      </c>
      <c r="AA330">
        <f>COUNTIFS('Bank Lines'!$G$5:$G$1640,A330,'Bank Lines'!$J$5:$J$1640,1,'Bank Lines'!$C$5:$C$1640,"&lt;="&amp;Cover!$C$15)</f>
        <v>1</v>
      </c>
      <c r="AB330">
        <f>COUNTIFS('Odoo Items'!$J$5:$J$4331,A330,'Odoo Items'!$C$5:$C$4331,"&lt;="&amp;Cover!$C$15)</f>
        <v>1</v>
      </c>
      <c r="AC330" t="str">
        <f>IF(AND(AA330=0,AB330=0),"",IF(AA330=0,"ODOO-ONLY",IF(AB330=0,"BANK-ONLY","BOTH")))</f>
        <v>BOTH</v>
      </c>
      <c r="AD330" s="9">
        <f>IF(AC330="BOTH",ROUND(Y330-Z330,2),0)</f>
        <v>0</v>
      </c>
    </row>
    <row r="331">
      <c r="A331" t="inlineStr">
        <is>
          <t>G00327</t>
        </is>
      </c>
      <c r="B331" t="inlineStr">
        <is>
          <t>OPS</t>
        </is>
      </c>
      <c r="C331" t="inlineStr">
        <is>
          <t>R03</t>
        </is>
      </c>
      <c r="D331" t="inlineStr">
        <is>
          <t>MATCH</t>
        </is>
      </c>
      <c r="E331" t="inlineStr">
        <is>
          <t>Tallowwood Plans</t>
        </is>
      </c>
      <c r="F331" t="n">
        <v>1</v>
      </c>
      <c r="G331" t="inlineStr">
        <is>
          <t>1 invoices</t>
        </is>
      </c>
      <c r="H331">
        <f>COUNTIFS('Bank Lines'!$G$5:$G$1640,A331,'Bank Lines'!$J$5:$J$1640,1)</f>
        <v>1</v>
      </c>
      <c r="I331">
        <f>COUNTIFS('Odoo Items'!$J$5:$J$4331,A331)</f>
        <v>1</v>
      </c>
      <c r="J331" s="9">
        <f>ROUND(SUMIFS('Bank Lines'!$E$5:$E$1640,'Bank Lines'!$G$5:$G$1640,A331,'Bank Lines'!$J$5:$J$1640,1),2)</f>
        <v>387.98</v>
      </c>
      <c r="K331" s="9">
        <f>ROUND(SUMIFS('Odoo Items'!$G$5:$G$4331,'Odoo Items'!$J$5:$J$4331,A331),2)</f>
        <v>387.98</v>
      </c>
      <c r="L331" s="9">
        <f>ROUND(J331-K331,2)</f>
        <v>0</v>
      </c>
      <c r="M331" s="9">
        <f>ROUND(SUMIFS('Bank Lines'!$E$5:$E$1640,'Bank Lines'!$G$5:$G$1640,A331,'Bank Lines'!$J$5:$J$1640,1,'Bank Lines'!$C$5:$C$1640,"&lt;="&amp;Cover!$C$13),2)</f>
        <v>0</v>
      </c>
      <c r="N331" s="9">
        <f>ROUND(SUMIFS('Odoo Items'!$G$5:$G$4331,'Odoo Items'!$J$5:$J$4331,A331,'Odoo Items'!$C$5:$C$4331,"&lt;="&amp;Cover!$C$13),2)</f>
        <v>0</v>
      </c>
      <c r="O331">
        <f>COUNTIFS('Bank Lines'!$G$5:$G$1640,A331,'Bank Lines'!$J$5:$J$1640,1,'Bank Lines'!$C$5:$C$1640,"&lt;="&amp;Cover!$C$13)</f>
        <v>0</v>
      </c>
      <c r="P331">
        <f>COUNTIFS('Odoo Items'!$J$5:$J$4331,A331,'Odoo Items'!$C$5:$C$4331,"&lt;="&amp;Cover!$C$13)</f>
        <v>0</v>
      </c>
      <c r="Q331">
        <f>IF(AND(O331=0,P331=0),"",IF(O331=0,"ODOO-ONLY",IF(P331=0,"BANK-ONLY","BOTH")))</f>
      </c>
      <c r="R331" s="9">
        <f>IF(Q331="BOTH",ROUND(M331-N331,2),0)</f>
        <v>0</v>
      </c>
      <c r="S331" s="9">
        <f>ROUND(SUMIFS('Bank Lines'!$E$5:$E$1640,'Bank Lines'!$G$5:$G$1640,A331,'Bank Lines'!$J$5:$J$1640,1,'Bank Lines'!$C$5:$C$1640,"&lt;="&amp;Cover!$C$14),2)</f>
        <v>387.98</v>
      </c>
      <c r="T331" s="9">
        <f>ROUND(SUMIFS('Odoo Items'!$G$5:$G$4331,'Odoo Items'!$J$5:$J$4331,A331,'Odoo Items'!$C$5:$C$4331,"&lt;="&amp;Cover!$C$14),2)</f>
        <v>387.98</v>
      </c>
      <c r="U331">
        <f>COUNTIFS('Bank Lines'!$G$5:$G$1640,A331,'Bank Lines'!$J$5:$J$1640,1,'Bank Lines'!$C$5:$C$1640,"&lt;="&amp;Cover!$C$14)</f>
        <v>1</v>
      </c>
      <c r="V331">
        <f>COUNTIFS('Odoo Items'!$J$5:$J$4331,A331,'Odoo Items'!$C$5:$C$4331,"&lt;="&amp;Cover!$C$14)</f>
        <v>1</v>
      </c>
      <c r="W331" t="str">
        <f>IF(AND(U331=0,V331=0),"",IF(U331=0,"ODOO-ONLY",IF(V331=0,"BANK-ONLY","BOTH")))</f>
        <v>BOTH</v>
      </c>
      <c r="X331" s="9">
        <f>IF(W331="BOTH",ROUND(S331-T331,2),0)</f>
        <v>0</v>
      </c>
      <c r="Y331" s="9">
        <f>ROUND(SUMIFS('Bank Lines'!$E$5:$E$1640,'Bank Lines'!$G$5:$G$1640,A331,'Bank Lines'!$J$5:$J$1640,1,'Bank Lines'!$C$5:$C$1640,"&lt;="&amp;Cover!$C$15),2)</f>
        <v>387.98</v>
      </c>
      <c r="Z331" s="9">
        <f>ROUND(SUMIFS('Odoo Items'!$G$5:$G$4331,'Odoo Items'!$J$5:$J$4331,A331,'Odoo Items'!$C$5:$C$4331,"&lt;="&amp;Cover!$C$15),2)</f>
        <v>387.98</v>
      </c>
      <c r="AA331">
        <f>COUNTIFS('Bank Lines'!$G$5:$G$1640,A331,'Bank Lines'!$J$5:$J$1640,1,'Bank Lines'!$C$5:$C$1640,"&lt;="&amp;Cover!$C$15)</f>
        <v>1</v>
      </c>
      <c r="AB331">
        <f>COUNTIFS('Odoo Items'!$J$5:$J$4331,A331,'Odoo Items'!$C$5:$C$4331,"&lt;="&amp;Cover!$C$15)</f>
        <v>1</v>
      </c>
      <c r="AC331" t="str">
        <f>IF(AND(AA331=0,AB331=0),"",IF(AA331=0,"ODOO-ONLY",IF(AB331=0,"BANK-ONLY","BOTH")))</f>
        <v>BOTH</v>
      </c>
      <c r="AD331" s="9">
        <f>IF(AC331="BOTH",ROUND(Y331-Z331,2),0)</f>
        <v>0</v>
      </c>
    </row>
    <row r="332">
      <c r="A332" t="inlineStr">
        <is>
          <t>G00328</t>
        </is>
      </c>
      <c r="B332" t="inlineStr">
        <is>
          <t>OPS</t>
        </is>
      </c>
      <c r="C332" t="inlineStr">
        <is>
          <t>R03</t>
        </is>
      </c>
      <c r="D332" t="inlineStr">
        <is>
          <t>MATCH</t>
        </is>
      </c>
      <c r="E332" t="inlineStr">
        <is>
          <t>Acacia Plan Partners</t>
        </is>
      </c>
      <c r="F332" t="n">
        <v>1</v>
      </c>
      <c r="G332" t="inlineStr">
        <is>
          <t>4 invoices</t>
        </is>
      </c>
      <c r="H332">
        <f>COUNTIFS('Bank Lines'!$G$5:$G$1640,A332,'Bank Lines'!$J$5:$J$1640,1)</f>
        <v>1</v>
      </c>
      <c r="I332">
        <f>COUNTIFS('Odoo Items'!$J$5:$J$4331,A332)</f>
        <v>4</v>
      </c>
      <c r="J332" s="9">
        <f>ROUND(SUMIFS('Bank Lines'!$E$5:$E$1640,'Bank Lines'!$G$5:$G$1640,A332,'Bank Lines'!$J$5:$J$1640,1),2)</f>
        <v>1330.63</v>
      </c>
      <c r="K332" s="9">
        <f>ROUND(SUMIFS('Odoo Items'!$G$5:$G$4331,'Odoo Items'!$J$5:$J$4331,A332),2)</f>
        <v>1330.63</v>
      </c>
      <c r="L332" s="9">
        <f>ROUND(J332-K332,2)</f>
        <v>0</v>
      </c>
      <c r="M332" s="9">
        <f>ROUND(SUMIFS('Bank Lines'!$E$5:$E$1640,'Bank Lines'!$G$5:$G$1640,A332,'Bank Lines'!$J$5:$J$1640,1,'Bank Lines'!$C$5:$C$1640,"&lt;="&amp;Cover!$C$13),2)</f>
        <v>0</v>
      </c>
      <c r="N332" s="9">
        <f>ROUND(SUMIFS('Odoo Items'!$G$5:$G$4331,'Odoo Items'!$J$5:$J$4331,A332,'Odoo Items'!$C$5:$C$4331,"&lt;="&amp;Cover!$C$13),2)</f>
        <v>0</v>
      </c>
      <c r="O332">
        <f>COUNTIFS('Bank Lines'!$G$5:$G$1640,A332,'Bank Lines'!$J$5:$J$1640,1,'Bank Lines'!$C$5:$C$1640,"&lt;="&amp;Cover!$C$13)</f>
        <v>0</v>
      </c>
      <c r="P332">
        <f>COUNTIFS('Odoo Items'!$J$5:$J$4331,A332,'Odoo Items'!$C$5:$C$4331,"&lt;="&amp;Cover!$C$13)</f>
        <v>0</v>
      </c>
      <c r="Q332">
        <f>IF(AND(O332=0,P332=0),"",IF(O332=0,"ODOO-ONLY",IF(P332=0,"BANK-ONLY","BOTH")))</f>
      </c>
      <c r="R332" s="9">
        <f>IF(Q332="BOTH",ROUND(M332-N332,2),0)</f>
        <v>0</v>
      </c>
      <c r="S332" s="9">
        <f>ROUND(SUMIFS('Bank Lines'!$E$5:$E$1640,'Bank Lines'!$G$5:$G$1640,A332,'Bank Lines'!$J$5:$J$1640,1,'Bank Lines'!$C$5:$C$1640,"&lt;="&amp;Cover!$C$14),2)</f>
        <v>1330.63</v>
      </c>
      <c r="T332" s="9">
        <f>ROUND(SUMIFS('Odoo Items'!$G$5:$G$4331,'Odoo Items'!$J$5:$J$4331,A332,'Odoo Items'!$C$5:$C$4331,"&lt;="&amp;Cover!$C$14),2)</f>
        <v>1330.63</v>
      </c>
      <c r="U332">
        <f>COUNTIFS('Bank Lines'!$G$5:$G$1640,A332,'Bank Lines'!$J$5:$J$1640,1,'Bank Lines'!$C$5:$C$1640,"&lt;="&amp;Cover!$C$14)</f>
        <v>1</v>
      </c>
      <c r="V332">
        <f>COUNTIFS('Odoo Items'!$J$5:$J$4331,A332,'Odoo Items'!$C$5:$C$4331,"&lt;="&amp;Cover!$C$14)</f>
        <v>4</v>
      </c>
      <c r="W332" t="str">
        <f>IF(AND(U332=0,V332=0),"",IF(U332=0,"ODOO-ONLY",IF(V332=0,"BANK-ONLY","BOTH")))</f>
        <v>BOTH</v>
      </c>
      <c r="X332" s="9">
        <f>IF(W332="BOTH",ROUND(S332-T332,2),0)</f>
        <v>0</v>
      </c>
      <c r="Y332" s="9">
        <f>ROUND(SUMIFS('Bank Lines'!$E$5:$E$1640,'Bank Lines'!$G$5:$G$1640,A332,'Bank Lines'!$J$5:$J$1640,1,'Bank Lines'!$C$5:$C$1640,"&lt;="&amp;Cover!$C$15),2)</f>
        <v>1330.63</v>
      </c>
      <c r="Z332" s="9">
        <f>ROUND(SUMIFS('Odoo Items'!$G$5:$G$4331,'Odoo Items'!$J$5:$J$4331,A332,'Odoo Items'!$C$5:$C$4331,"&lt;="&amp;Cover!$C$15),2)</f>
        <v>1330.63</v>
      </c>
      <c r="AA332">
        <f>COUNTIFS('Bank Lines'!$G$5:$G$1640,A332,'Bank Lines'!$J$5:$J$1640,1,'Bank Lines'!$C$5:$C$1640,"&lt;="&amp;Cover!$C$15)</f>
        <v>1</v>
      </c>
      <c r="AB332">
        <f>COUNTIFS('Odoo Items'!$J$5:$J$4331,A332,'Odoo Items'!$C$5:$C$4331,"&lt;="&amp;Cover!$C$15)</f>
        <v>4</v>
      </c>
      <c r="AC332" t="str">
        <f>IF(AND(AA332=0,AB332=0),"",IF(AA332=0,"ODOO-ONLY",IF(AB332=0,"BANK-ONLY","BOTH")))</f>
        <v>BOTH</v>
      </c>
      <c r="AD332" s="9">
        <f>IF(AC332="BOTH",ROUND(Y332-Z332,2),0)</f>
        <v>0</v>
      </c>
    </row>
    <row r="333">
      <c r="A333" t="inlineStr">
        <is>
          <t>G00329</t>
        </is>
      </c>
      <c r="B333" t="inlineStr">
        <is>
          <t>OPS</t>
        </is>
      </c>
      <c r="C333" t="inlineStr">
        <is>
          <t>R03</t>
        </is>
      </c>
      <c r="D333" t="inlineStr">
        <is>
          <t>MATCH</t>
        </is>
      </c>
      <c r="E333" t="inlineStr">
        <is>
          <t>Clearpath NDIS Plans</t>
        </is>
      </c>
      <c r="F333" t="n">
        <v>0.973</v>
      </c>
      <c r="G333" t="inlineStr">
        <is>
          <t>11 invoices</t>
        </is>
      </c>
      <c r="H333">
        <f>COUNTIFS('Bank Lines'!$G$5:$G$1640,A333,'Bank Lines'!$J$5:$J$1640,1)</f>
        <v>1</v>
      </c>
      <c r="I333">
        <f>COUNTIFS('Odoo Items'!$J$5:$J$4331,A333)</f>
        <v>11</v>
      </c>
      <c r="J333" s="9">
        <f>ROUND(SUMIFS('Bank Lines'!$E$5:$E$1640,'Bank Lines'!$G$5:$G$1640,A333,'Bank Lines'!$J$5:$J$1640,1),2)</f>
        <v>3211.43</v>
      </c>
      <c r="K333" s="9">
        <f>ROUND(SUMIFS('Odoo Items'!$G$5:$G$4331,'Odoo Items'!$J$5:$J$4331,A333),2)</f>
        <v>3211.43</v>
      </c>
      <c r="L333" s="9">
        <f>ROUND(J333-K333,2)</f>
        <v>0</v>
      </c>
      <c r="M333" s="9">
        <f>ROUND(SUMIFS('Bank Lines'!$E$5:$E$1640,'Bank Lines'!$G$5:$G$1640,A333,'Bank Lines'!$J$5:$J$1640,1,'Bank Lines'!$C$5:$C$1640,"&lt;="&amp;Cover!$C$13),2)</f>
        <v>0</v>
      </c>
      <c r="N333" s="9">
        <f>ROUND(SUMIFS('Odoo Items'!$G$5:$G$4331,'Odoo Items'!$J$5:$J$4331,A333,'Odoo Items'!$C$5:$C$4331,"&lt;="&amp;Cover!$C$13),2)</f>
        <v>0</v>
      </c>
      <c r="O333">
        <f>COUNTIFS('Bank Lines'!$G$5:$G$1640,A333,'Bank Lines'!$J$5:$J$1640,1,'Bank Lines'!$C$5:$C$1640,"&lt;="&amp;Cover!$C$13)</f>
        <v>0</v>
      </c>
      <c r="P333">
        <f>COUNTIFS('Odoo Items'!$J$5:$J$4331,A333,'Odoo Items'!$C$5:$C$4331,"&lt;="&amp;Cover!$C$13)</f>
        <v>0</v>
      </c>
      <c r="Q333">
        <f>IF(AND(O333=0,P333=0),"",IF(O333=0,"ODOO-ONLY",IF(P333=0,"BANK-ONLY","BOTH")))</f>
      </c>
      <c r="R333" s="9">
        <f>IF(Q333="BOTH",ROUND(M333-N333,2),0)</f>
        <v>0</v>
      </c>
      <c r="S333" s="9">
        <f>ROUND(SUMIFS('Bank Lines'!$E$5:$E$1640,'Bank Lines'!$G$5:$G$1640,A333,'Bank Lines'!$J$5:$J$1640,1,'Bank Lines'!$C$5:$C$1640,"&lt;="&amp;Cover!$C$14),2)</f>
        <v>3211.43</v>
      </c>
      <c r="T333" s="9">
        <f>ROUND(SUMIFS('Odoo Items'!$G$5:$G$4331,'Odoo Items'!$J$5:$J$4331,A333,'Odoo Items'!$C$5:$C$4331,"&lt;="&amp;Cover!$C$14),2)</f>
        <v>3211.43</v>
      </c>
      <c r="U333">
        <f>COUNTIFS('Bank Lines'!$G$5:$G$1640,A333,'Bank Lines'!$J$5:$J$1640,1,'Bank Lines'!$C$5:$C$1640,"&lt;="&amp;Cover!$C$14)</f>
        <v>1</v>
      </c>
      <c r="V333">
        <f>COUNTIFS('Odoo Items'!$J$5:$J$4331,A333,'Odoo Items'!$C$5:$C$4331,"&lt;="&amp;Cover!$C$14)</f>
        <v>11</v>
      </c>
      <c r="W333" t="str">
        <f>IF(AND(U333=0,V333=0),"",IF(U333=0,"ODOO-ONLY",IF(V333=0,"BANK-ONLY","BOTH")))</f>
        <v>BOTH</v>
      </c>
      <c r="X333" s="9">
        <f>IF(W333="BOTH",ROUND(S333-T333,2),0)</f>
        <v>0</v>
      </c>
      <c r="Y333" s="9">
        <f>ROUND(SUMIFS('Bank Lines'!$E$5:$E$1640,'Bank Lines'!$G$5:$G$1640,A333,'Bank Lines'!$J$5:$J$1640,1,'Bank Lines'!$C$5:$C$1640,"&lt;="&amp;Cover!$C$15),2)</f>
        <v>3211.43</v>
      </c>
      <c r="Z333" s="9">
        <f>ROUND(SUMIFS('Odoo Items'!$G$5:$G$4331,'Odoo Items'!$J$5:$J$4331,A333,'Odoo Items'!$C$5:$C$4331,"&lt;="&amp;Cover!$C$15),2)</f>
        <v>3211.43</v>
      </c>
      <c r="AA333">
        <f>COUNTIFS('Bank Lines'!$G$5:$G$1640,A333,'Bank Lines'!$J$5:$J$1640,1,'Bank Lines'!$C$5:$C$1640,"&lt;="&amp;Cover!$C$15)</f>
        <v>1</v>
      </c>
      <c r="AB333">
        <f>COUNTIFS('Odoo Items'!$J$5:$J$4331,A333,'Odoo Items'!$C$5:$C$4331,"&lt;="&amp;Cover!$C$15)</f>
        <v>11</v>
      </c>
      <c r="AC333" t="str">
        <f>IF(AND(AA333=0,AB333=0),"",IF(AA333=0,"ODOO-ONLY",IF(AB333=0,"BANK-ONLY","BOTH")))</f>
        <v>BOTH</v>
      </c>
      <c r="AD333" s="9">
        <f>IF(AC333="BOTH",ROUND(Y333-Z333,2),0)</f>
        <v>0</v>
      </c>
    </row>
    <row r="334">
      <c r="A334" t="inlineStr">
        <is>
          <t>G00330</t>
        </is>
      </c>
      <c r="B334" t="inlineStr">
        <is>
          <t>OPS</t>
        </is>
      </c>
      <c r="C334" t="inlineStr">
        <is>
          <t>R03</t>
        </is>
      </c>
      <c r="D334" t="inlineStr">
        <is>
          <t>MATCH</t>
        </is>
      </c>
      <c r="E334" t="inlineStr">
        <is>
          <t>Wattle Plan Services</t>
        </is>
      </c>
      <c r="F334" t="n">
        <v>0.973</v>
      </c>
      <c r="G334" t="inlineStr">
        <is>
          <t>2 invoices</t>
        </is>
      </c>
      <c r="H334">
        <f>COUNTIFS('Bank Lines'!$G$5:$G$1640,A334,'Bank Lines'!$J$5:$J$1640,1)</f>
        <v>1</v>
      </c>
      <c r="I334">
        <f>COUNTIFS('Odoo Items'!$J$5:$J$4331,A334)</f>
        <v>2</v>
      </c>
      <c r="J334" s="9">
        <f>ROUND(SUMIFS('Bank Lines'!$E$5:$E$1640,'Bank Lines'!$G$5:$G$1640,A334,'Bank Lines'!$J$5:$J$1640,1),2)</f>
        <v>387.98</v>
      </c>
      <c r="K334" s="9">
        <f>ROUND(SUMIFS('Odoo Items'!$G$5:$G$4331,'Odoo Items'!$J$5:$J$4331,A334),2)</f>
        <v>387.98</v>
      </c>
      <c r="L334" s="9">
        <f>ROUND(J334-K334,2)</f>
        <v>0</v>
      </c>
      <c r="M334" s="9">
        <f>ROUND(SUMIFS('Bank Lines'!$E$5:$E$1640,'Bank Lines'!$G$5:$G$1640,A334,'Bank Lines'!$J$5:$J$1640,1,'Bank Lines'!$C$5:$C$1640,"&lt;="&amp;Cover!$C$13),2)</f>
        <v>0</v>
      </c>
      <c r="N334" s="9">
        <f>ROUND(SUMIFS('Odoo Items'!$G$5:$G$4331,'Odoo Items'!$J$5:$J$4331,A334,'Odoo Items'!$C$5:$C$4331,"&lt;="&amp;Cover!$C$13),2)</f>
        <v>0</v>
      </c>
      <c r="O334">
        <f>COUNTIFS('Bank Lines'!$G$5:$G$1640,A334,'Bank Lines'!$J$5:$J$1640,1,'Bank Lines'!$C$5:$C$1640,"&lt;="&amp;Cover!$C$13)</f>
        <v>0</v>
      </c>
      <c r="P334">
        <f>COUNTIFS('Odoo Items'!$J$5:$J$4331,A334,'Odoo Items'!$C$5:$C$4331,"&lt;="&amp;Cover!$C$13)</f>
        <v>0</v>
      </c>
      <c r="Q334">
        <f>IF(AND(O334=0,P334=0),"",IF(O334=0,"ODOO-ONLY",IF(P334=0,"BANK-ONLY","BOTH")))</f>
      </c>
      <c r="R334" s="9">
        <f>IF(Q334="BOTH",ROUND(M334-N334,2),0)</f>
        <v>0</v>
      </c>
      <c r="S334" s="9">
        <f>ROUND(SUMIFS('Bank Lines'!$E$5:$E$1640,'Bank Lines'!$G$5:$G$1640,A334,'Bank Lines'!$J$5:$J$1640,1,'Bank Lines'!$C$5:$C$1640,"&lt;="&amp;Cover!$C$14),2)</f>
        <v>387.98</v>
      </c>
      <c r="T334" s="9">
        <f>ROUND(SUMIFS('Odoo Items'!$G$5:$G$4331,'Odoo Items'!$J$5:$J$4331,A334,'Odoo Items'!$C$5:$C$4331,"&lt;="&amp;Cover!$C$14),2)</f>
        <v>387.98</v>
      </c>
      <c r="U334">
        <f>COUNTIFS('Bank Lines'!$G$5:$G$1640,A334,'Bank Lines'!$J$5:$J$1640,1,'Bank Lines'!$C$5:$C$1640,"&lt;="&amp;Cover!$C$14)</f>
        <v>1</v>
      </c>
      <c r="V334">
        <f>COUNTIFS('Odoo Items'!$J$5:$J$4331,A334,'Odoo Items'!$C$5:$C$4331,"&lt;="&amp;Cover!$C$14)</f>
        <v>2</v>
      </c>
      <c r="W334" t="str">
        <f>IF(AND(U334=0,V334=0),"",IF(U334=0,"ODOO-ONLY",IF(V334=0,"BANK-ONLY","BOTH")))</f>
        <v>BOTH</v>
      </c>
      <c r="X334" s="9">
        <f>IF(W334="BOTH",ROUND(S334-T334,2),0)</f>
        <v>0</v>
      </c>
      <c r="Y334" s="9">
        <f>ROUND(SUMIFS('Bank Lines'!$E$5:$E$1640,'Bank Lines'!$G$5:$G$1640,A334,'Bank Lines'!$J$5:$J$1640,1,'Bank Lines'!$C$5:$C$1640,"&lt;="&amp;Cover!$C$15),2)</f>
        <v>387.98</v>
      </c>
      <c r="Z334" s="9">
        <f>ROUND(SUMIFS('Odoo Items'!$G$5:$G$4331,'Odoo Items'!$J$5:$J$4331,A334,'Odoo Items'!$C$5:$C$4331,"&lt;="&amp;Cover!$C$15),2)</f>
        <v>387.98</v>
      </c>
      <c r="AA334">
        <f>COUNTIFS('Bank Lines'!$G$5:$G$1640,A334,'Bank Lines'!$J$5:$J$1640,1,'Bank Lines'!$C$5:$C$1640,"&lt;="&amp;Cover!$C$15)</f>
        <v>1</v>
      </c>
      <c r="AB334">
        <f>COUNTIFS('Odoo Items'!$J$5:$J$4331,A334,'Odoo Items'!$C$5:$C$4331,"&lt;="&amp;Cover!$C$15)</f>
        <v>2</v>
      </c>
      <c r="AC334" t="str">
        <f>IF(AND(AA334=0,AB334=0),"",IF(AA334=0,"ODOO-ONLY",IF(AB334=0,"BANK-ONLY","BOTH")))</f>
        <v>BOTH</v>
      </c>
      <c r="AD334" s="9">
        <f>IF(AC334="BOTH",ROUND(Y334-Z334,2),0)</f>
        <v>0</v>
      </c>
    </row>
    <row r="335">
      <c r="A335" t="inlineStr">
        <is>
          <t>G00331</t>
        </is>
      </c>
      <c r="B335" t="inlineStr">
        <is>
          <t>OPS</t>
        </is>
      </c>
      <c r="C335" t="inlineStr">
        <is>
          <t>R03</t>
        </is>
      </c>
      <c r="D335" t="inlineStr">
        <is>
          <t>REG</t>
        </is>
      </c>
      <c r="E335" t="inlineStr">
        <is>
          <t>Banksia Plan Co</t>
        </is>
      </c>
      <c r="F335" t="n">
        <v>1</v>
      </c>
      <c r="G335" t="inlineStr">
        <is>
          <t>Receipt not registered in Odoo; remittance RA45052 lists 1 invoices</t>
        </is>
      </c>
      <c r="H335">
        <f>COUNTIFS('Bank Lines'!$G$5:$G$1640,A335,'Bank Lines'!$J$5:$J$1640,1)</f>
        <v>1</v>
      </c>
      <c r="I335">
        <f>COUNTIFS('Odoo Items'!$J$5:$J$4331,A335)</f>
        <v>0</v>
      </c>
      <c r="J335" s="9">
        <f>ROUND(SUMIFS('Bank Lines'!$E$5:$E$1640,'Bank Lines'!$G$5:$G$1640,A335,'Bank Lines'!$J$5:$J$1640,1),2)</f>
        <v>126.99</v>
      </c>
      <c r="K335" s="9">
        <f>ROUND(SUMIFS('Odoo Items'!$G$5:$G$4331,'Odoo Items'!$J$5:$J$4331,A335),2)</f>
        <v>0</v>
      </c>
      <c r="L335" s="9">
        <f>ROUND(J335-K335,2)</f>
        <v>126.99</v>
      </c>
      <c r="M335" s="9">
        <f>ROUND(SUMIFS('Bank Lines'!$E$5:$E$1640,'Bank Lines'!$G$5:$G$1640,A335,'Bank Lines'!$J$5:$J$1640,1,'Bank Lines'!$C$5:$C$1640,"&lt;="&amp;Cover!$C$13),2)</f>
        <v>0</v>
      </c>
      <c r="N335" s="9">
        <f>ROUND(SUMIFS('Odoo Items'!$G$5:$G$4331,'Odoo Items'!$J$5:$J$4331,A335,'Odoo Items'!$C$5:$C$4331,"&lt;="&amp;Cover!$C$13),2)</f>
        <v>0</v>
      </c>
      <c r="O335">
        <f>COUNTIFS('Bank Lines'!$G$5:$G$1640,A335,'Bank Lines'!$J$5:$J$1640,1,'Bank Lines'!$C$5:$C$1640,"&lt;="&amp;Cover!$C$13)</f>
        <v>0</v>
      </c>
      <c r="P335">
        <f>COUNTIFS('Odoo Items'!$J$5:$J$4331,A335,'Odoo Items'!$C$5:$C$4331,"&lt;="&amp;Cover!$C$13)</f>
        <v>0</v>
      </c>
      <c r="Q335">
        <f>IF(AND(O335=0,P335=0),"",IF(O335=0,"ODOO-ONLY",IF(P335=0,"BANK-ONLY","BOTH")))</f>
      </c>
      <c r="R335" s="9">
        <f>IF(Q335="BOTH",ROUND(M335-N335,2),0)</f>
        <v>0</v>
      </c>
      <c r="S335" s="9">
        <f>ROUND(SUMIFS('Bank Lines'!$E$5:$E$1640,'Bank Lines'!$G$5:$G$1640,A335,'Bank Lines'!$J$5:$J$1640,1,'Bank Lines'!$C$5:$C$1640,"&lt;="&amp;Cover!$C$14),2)</f>
        <v>126.99</v>
      </c>
      <c r="T335" s="9">
        <f>ROUND(SUMIFS('Odoo Items'!$G$5:$G$4331,'Odoo Items'!$J$5:$J$4331,A335,'Odoo Items'!$C$5:$C$4331,"&lt;="&amp;Cover!$C$14),2)</f>
        <v>0</v>
      </c>
      <c r="U335">
        <f>COUNTIFS('Bank Lines'!$G$5:$G$1640,A335,'Bank Lines'!$J$5:$J$1640,1,'Bank Lines'!$C$5:$C$1640,"&lt;="&amp;Cover!$C$14)</f>
        <v>1</v>
      </c>
      <c r="V335">
        <f>COUNTIFS('Odoo Items'!$J$5:$J$4331,A335,'Odoo Items'!$C$5:$C$4331,"&lt;="&amp;Cover!$C$14)</f>
        <v>0</v>
      </c>
      <c r="W335" t="str">
        <f>IF(AND(U335=0,V335=0),"",IF(U335=0,"ODOO-ONLY",IF(V335=0,"BANK-ONLY","BOTH")))</f>
        <v>BANK-ONLY</v>
      </c>
      <c r="X335" s="9">
        <f>IF(W335="BOTH",ROUND(S335-T335,2),0)</f>
        <v>0</v>
      </c>
      <c r="Y335" s="9">
        <f>ROUND(SUMIFS('Bank Lines'!$E$5:$E$1640,'Bank Lines'!$G$5:$G$1640,A335,'Bank Lines'!$J$5:$J$1640,1,'Bank Lines'!$C$5:$C$1640,"&lt;="&amp;Cover!$C$15),2)</f>
        <v>126.99</v>
      </c>
      <c r="Z335" s="9">
        <f>ROUND(SUMIFS('Odoo Items'!$G$5:$G$4331,'Odoo Items'!$J$5:$J$4331,A335,'Odoo Items'!$C$5:$C$4331,"&lt;="&amp;Cover!$C$15),2)</f>
        <v>0</v>
      </c>
      <c r="AA335">
        <f>COUNTIFS('Bank Lines'!$G$5:$G$1640,A335,'Bank Lines'!$J$5:$J$1640,1,'Bank Lines'!$C$5:$C$1640,"&lt;="&amp;Cover!$C$15)</f>
        <v>1</v>
      </c>
      <c r="AB335">
        <f>COUNTIFS('Odoo Items'!$J$5:$J$4331,A335,'Odoo Items'!$C$5:$C$4331,"&lt;="&amp;Cover!$C$15)</f>
        <v>0</v>
      </c>
      <c r="AC335" t="str">
        <f>IF(AND(AA335=0,AB335=0),"",IF(AA335=0,"ODOO-ONLY",IF(AB335=0,"BANK-ONLY","BOTH")))</f>
        <v>BANK-ONLY</v>
      </c>
      <c r="AD335" s="9">
        <f>IF(AC335="BOTH",ROUND(Y335-Z335,2),0)</f>
        <v>0</v>
      </c>
    </row>
    <row r="336">
      <c r="A336" t="inlineStr">
        <is>
          <t>G00332</t>
        </is>
      </c>
      <c r="B336" t="inlineStr">
        <is>
          <t>OPS</t>
        </is>
      </c>
      <c r="C336" t="inlineStr">
        <is>
          <t>R03</t>
        </is>
      </c>
      <c r="D336" t="inlineStr">
        <is>
          <t>MATCH</t>
        </is>
      </c>
      <c r="E336" t="inlineStr">
        <is>
          <t>Ironbark Plan Management</t>
        </is>
      </c>
      <c r="F336" t="n">
        <v>1</v>
      </c>
      <c r="G336" t="inlineStr">
        <is>
          <t>4 invoices</t>
        </is>
      </c>
      <c r="H336">
        <f>COUNTIFS('Bank Lines'!$G$5:$G$1640,A336,'Bank Lines'!$J$5:$J$1640,1)</f>
        <v>1</v>
      </c>
      <c r="I336">
        <f>COUNTIFS('Odoo Items'!$J$5:$J$4331,A336)</f>
        <v>4</v>
      </c>
      <c r="J336" s="9">
        <f>ROUND(SUMIFS('Bank Lines'!$E$5:$E$1640,'Bank Lines'!$G$5:$G$1640,A336,'Bank Lines'!$J$5:$J$1640,1),2)</f>
        <v>708.96</v>
      </c>
      <c r="K336" s="9">
        <f>ROUND(SUMIFS('Odoo Items'!$G$5:$G$4331,'Odoo Items'!$J$5:$J$4331,A336),2)</f>
        <v>708.96</v>
      </c>
      <c r="L336" s="9">
        <f>ROUND(J336-K336,2)</f>
        <v>0</v>
      </c>
      <c r="M336" s="9">
        <f>ROUND(SUMIFS('Bank Lines'!$E$5:$E$1640,'Bank Lines'!$G$5:$G$1640,A336,'Bank Lines'!$J$5:$J$1640,1,'Bank Lines'!$C$5:$C$1640,"&lt;="&amp;Cover!$C$13),2)</f>
        <v>0</v>
      </c>
      <c r="N336" s="9">
        <f>ROUND(SUMIFS('Odoo Items'!$G$5:$G$4331,'Odoo Items'!$J$5:$J$4331,A336,'Odoo Items'!$C$5:$C$4331,"&lt;="&amp;Cover!$C$13),2)</f>
        <v>0</v>
      </c>
      <c r="O336">
        <f>COUNTIFS('Bank Lines'!$G$5:$G$1640,A336,'Bank Lines'!$J$5:$J$1640,1,'Bank Lines'!$C$5:$C$1640,"&lt;="&amp;Cover!$C$13)</f>
        <v>0</v>
      </c>
      <c r="P336">
        <f>COUNTIFS('Odoo Items'!$J$5:$J$4331,A336,'Odoo Items'!$C$5:$C$4331,"&lt;="&amp;Cover!$C$13)</f>
        <v>0</v>
      </c>
      <c r="Q336">
        <f>IF(AND(O336=0,P336=0),"",IF(O336=0,"ODOO-ONLY",IF(P336=0,"BANK-ONLY","BOTH")))</f>
      </c>
      <c r="R336" s="9">
        <f>IF(Q336="BOTH",ROUND(M336-N336,2),0)</f>
        <v>0</v>
      </c>
      <c r="S336" s="9">
        <f>ROUND(SUMIFS('Bank Lines'!$E$5:$E$1640,'Bank Lines'!$G$5:$G$1640,A336,'Bank Lines'!$J$5:$J$1640,1,'Bank Lines'!$C$5:$C$1640,"&lt;="&amp;Cover!$C$14),2)</f>
        <v>708.96</v>
      </c>
      <c r="T336" s="9">
        <f>ROUND(SUMIFS('Odoo Items'!$G$5:$G$4331,'Odoo Items'!$J$5:$J$4331,A336,'Odoo Items'!$C$5:$C$4331,"&lt;="&amp;Cover!$C$14),2)</f>
        <v>708.96</v>
      </c>
      <c r="U336">
        <f>COUNTIFS('Bank Lines'!$G$5:$G$1640,A336,'Bank Lines'!$J$5:$J$1640,1,'Bank Lines'!$C$5:$C$1640,"&lt;="&amp;Cover!$C$14)</f>
        <v>1</v>
      </c>
      <c r="V336">
        <f>COUNTIFS('Odoo Items'!$J$5:$J$4331,A336,'Odoo Items'!$C$5:$C$4331,"&lt;="&amp;Cover!$C$14)</f>
        <v>4</v>
      </c>
      <c r="W336" t="str">
        <f>IF(AND(U336=0,V336=0),"",IF(U336=0,"ODOO-ONLY",IF(V336=0,"BANK-ONLY","BOTH")))</f>
        <v>BOTH</v>
      </c>
      <c r="X336" s="9">
        <f>IF(W336="BOTH",ROUND(S336-T336,2),0)</f>
        <v>0</v>
      </c>
      <c r="Y336" s="9">
        <f>ROUND(SUMIFS('Bank Lines'!$E$5:$E$1640,'Bank Lines'!$G$5:$G$1640,A336,'Bank Lines'!$J$5:$J$1640,1,'Bank Lines'!$C$5:$C$1640,"&lt;="&amp;Cover!$C$15),2)</f>
        <v>708.96</v>
      </c>
      <c r="Z336" s="9">
        <f>ROUND(SUMIFS('Odoo Items'!$G$5:$G$4331,'Odoo Items'!$J$5:$J$4331,A336,'Odoo Items'!$C$5:$C$4331,"&lt;="&amp;Cover!$C$15),2)</f>
        <v>708.96</v>
      </c>
      <c r="AA336">
        <f>COUNTIFS('Bank Lines'!$G$5:$G$1640,A336,'Bank Lines'!$J$5:$J$1640,1,'Bank Lines'!$C$5:$C$1640,"&lt;="&amp;Cover!$C$15)</f>
        <v>1</v>
      </c>
      <c r="AB336">
        <f>COUNTIFS('Odoo Items'!$J$5:$J$4331,A336,'Odoo Items'!$C$5:$C$4331,"&lt;="&amp;Cover!$C$15)</f>
        <v>4</v>
      </c>
      <c r="AC336" t="str">
        <f>IF(AND(AA336=0,AB336=0),"",IF(AA336=0,"ODOO-ONLY",IF(AB336=0,"BANK-ONLY","BOTH")))</f>
        <v>BOTH</v>
      </c>
      <c r="AD336" s="9">
        <f>IF(AC336="BOTH",ROUND(Y336-Z336,2),0)</f>
        <v>0</v>
      </c>
    </row>
    <row r="337">
      <c r="A337" t="inlineStr">
        <is>
          <t>G00333</t>
        </is>
      </c>
      <c r="B337" t="inlineStr">
        <is>
          <t>OPS</t>
        </is>
      </c>
      <c r="C337" t="inlineStr">
        <is>
          <t>R03</t>
        </is>
      </c>
      <c r="D337" t="inlineStr">
        <is>
          <t>MATCH</t>
        </is>
      </c>
      <c r="E337" t="inlineStr">
        <is>
          <t>Southern Cross Plan Mgmt</t>
        </is>
      </c>
      <c r="F337" t="n">
        <v>1</v>
      </c>
      <c r="G337" t="inlineStr">
        <is>
          <t>3 invoices</t>
        </is>
      </c>
      <c r="H337">
        <f>COUNTIFS('Bank Lines'!$G$5:$G$1640,A337,'Bank Lines'!$J$5:$J$1640,1)</f>
        <v>1</v>
      </c>
      <c r="I337">
        <f>COUNTIFS('Odoo Items'!$J$5:$J$4331,A337)</f>
        <v>3</v>
      </c>
      <c r="J337" s="9">
        <f>ROUND(SUMIFS('Bank Lines'!$E$5:$E$1640,'Bank Lines'!$G$5:$G$1640,A337,'Bank Lines'!$J$5:$J$1640,1),2)</f>
        <v>767.16</v>
      </c>
      <c r="K337" s="9">
        <f>ROUND(SUMIFS('Odoo Items'!$G$5:$G$4331,'Odoo Items'!$J$5:$J$4331,A337),2)</f>
        <v>767.16</v>
      </c>
      <c r="L337" s="9">
        <f>ROUND(J337-K337,2)</f>
        <v>0</v>
      </c>
      <c r="M337" s="9">
        <f>ROUND(SUMIFS('Bank Lines'!$E$5:$E$1640,'Bank Lines'!$G$5:$G$1640,A337,'Bank Lines'!$J$5:$J$1640,1,'Bank Lines'!$C$5:$C$1640,"&lt;="&amp;Cover!$C$13),2)</f>
        <v>0</v>
      </c>
      <c r="N337" s="9">
        <f>ROUND(SUMIFS('Odoo Items'!$G$5:$G$4331,'Odoo Items'!$J$5:$J$4331,A337,'Odoo Items'!$C$5:$C$4331,"&lt;="&amp;Cover!$C$13),2)</f>
        <v>0</v>
      </c>
      <c r="O337">
        <f>COUNTIFS('Bank Lines'!$G$5:$G$1640,A337,'Bank Lines'!$J$5:$J$1640,1,'Bank Lines'!$C$5:$C$1640,"&lt;="&amp;Cover!$C$13)</f>
        <v>0</v>
      </c>
      <c r="P337">
        <f>COUNTIFS('Odoo Items'!$J$5:$J$4331,A337,'Odoo Items'!$C$5:$C$4331,"&lt;="&amp;Cover!$C$13)</f>
        <v>0</v>
      </c>
      <c r="Q337">
        <f>IF(AND(O337=0,P337=0),"",IF(O337=0,"ODOO-ONLY",IF(P337=0,"BANK-ONLY","BOTH")))</f>
      </c>
      <c r="R337" s="9">
        <f>IF(Q337="BOTH",ROUND(M337-N337,2),0)</f>
        <v>0</v>
      </c>
      <c r="S337" s="9">
        <f>ROUND(SUMIFS('Bank Lines'!$E$5:$E$1640,'Bank Lines'!$G$5:$G$1640,A337,'Bank Lines'!$J$5:$J$1640,1,'Bank Lines'!$C$5:$C$1640,"&lt;="&amp;Cover!$C$14),2)</f>
        <v>767.16</v>
      </c>
      <c r="T337" s="9">
        <f>ROUND(SUMIFS('Odoo Items'!$G$5:$G$4331,'Odoo Items'!$J$5:$J$4331,A337,'Odoo Items'!$C$5:$C$4331,"&lt;="&amp;Cover!$C$14),2)</f>
        <v>767.16</v>
      </c>
      <c r="U337">
        <f>COUNTIFS('Bank Lines'!$G$5:$G$1640,A337,'Bank Lines'!$J$5:$J$1640,1,'Bank Lines'!$C$5:$C$1640,"&lt;="&amp;Cover!$C$14)</f>
        <v>1</v>
      </c>
      <c r="V337">
        <f>COUNTIFS('Odoo Items'!$J$5:$J$4331,A337,'Odoo Items'!$C$5:$C$4331,"&lt;="&amp;Cover!$C$14)</f>
        <v>3</v>
      </c>
      <c r="W337" t="str">
        <f>IF(AND(U337=0,V337=0),"",IF(U337=0,"ODOO-ONLY",IF(V337=0,"BANK-ONLY","BOTH")))</f>
        <v>BOTH</v>
      </c>
      <c r="X337" s="9">
        <f>IF(W337="BOTH",ROUND(S337-T337,2),0)</f>
        <v>0</v>
      </c>
      <c r="Y337" s="9">
        <f>ROUND(SUMIFS('Bank Lines'!$E$5:$E$1640,'Bank Lines'!$G$5:$G$1640,A337,'Bank Lines'!$J$5:$J$1640,1,'Bank Lines'!$C$5:$C$1640,"&lt;="&amp;Cover!$C$15),2)</f>
        <v>767.16</v>
      </c>
      <c r="Z337" s="9">
        <f>ROUND(SUMIFS('Odoo Items'!$G$5:$G$4331,'Odoo Items'!$J$5:$J$4331,A337,'Odoo Items'!$C$5:$C$4331,"&lt;="&amp;Cover!$C$15),2)</f>
        <v>767.16</v>
      </c>
      <c r="AA337">
        <f>COUNTIFS('Bank Lines'!$G$5:$G$1640,A337,'Bank Lines'!$J$5:$J$1640,1,'Bank Lines'!$C$5:$C$1640,"&lt;="&amp;Cover!$C$15)</f>
        <v>1</v>
      </c>
      <c r="AB337">
        <f>COUNTIFS('Odoo Items'!$J$5:$J$4331,A337,'Odoo Items'!$C$5:$C$4331,"&lt;="&amp;Cover!$C$15)</f>
        <v>3</v>
      </c>
      <c r="AC337" t="str">
        <f>IF(AND(AA337=0,AB337=0),"",IF(AA337=0,"ODOO-ONLY",IF(AB337=0,"BANK-ONLY","BOTH")))</f>
        <v>BOTH</v>
      </c>
      <c r="AD337" s="9">
        <f>IF(AC337="BOTH",ROUND(Y337-Z337,2),0)</f>
        <v>0</v>
      </c>
    </row>
    <row r="338">
      <c r="A338" t="inlineStr">
        <is>
          <t>G00334</t>
        </is>
      </c>
      <c r="B338" t="inlineStr">
        <is>
          <t>OPS</t>
        </is>
      </c>
      <c r="C338" t="inlineStr">
        <is>
          <t>R03</t>
        </is>
      </c>
      <c r="D338" t="inlineStr">
        <is>
          <t>MATCH</t>
        </is>
      </c>
      <c r="E338" t="inlineStr">
        <is>
          <t>Mallee Plan Services</t>
        </is>
      </c>
      <c r="F338" t="n">
        <v>1</v>
      </c>
      <c r="G338" t="inlineStr">
        <is>
          <t>4 invoices</t>
        </is>
      </c>
      <c r="H338">
        <f>COUNTIFS('Bank Lines'!$G$5:$G$1640,A338,'Bank Lines'!$J$5:$J$1640,1)</f>
        <v>1</v>
      </c>
      <c r="I338">
        <f>COUNTIFS('Odoo Items'!$J$5:$J$4331,A338)</f>
        <v>4</v>
      </c>
      <c r="J338" s="9">
        <f>ROUND(SUMIFS('Bank Lines'!$E$5:$E$1640,'Bank Lines'!$G$5:$G$1640,A338,'Bank Lines'!$J$5:$J$1640,1),2)</f>
        <v>514.96</v>
      </c>
      <c r="K338" s="9">
        <f>ROUND(SUMIFS('Odoo Items'!$G$5:$G$4331,'Odoo Items'!$J$5:$J$4331,A338),2)</f>
        <v>514.96</v>
      </c>
      <c r="L338" s="9">
        <f>ROUND(J338-K338,2)</f>
        <v>0</v>
      </c>
      <c r="M338" s="9">
        <f>ROUND(SUMIFS('Bank Lines'!$E$5:$E$1640,'Bank Lines'!$G$5:$G$1640,A338,'Bank Lines'!$J$5:$J$1640,1,'Bank Lines'!$C$5:$C$1640,"&lt;="&amp;Cover!$C$13),2)</f>
        <v>0</v>
      </c>
      <c r="N338" s="9">
        <f>ROUND(SUMIFS('Odoo Items'!$G$5:$G$4331,'Odoo Items'!$J$5:$J$4331,A338,'Odoo Items'!$C$5:$C$4331,"&lt;="&amp;Cover!$C$13),2)</f>
        <v>0</v>
      </c>
      <c r="O338">
        <f>COUNTIFS('Bank Lines'!$G$5:$G$1640,A338,'Bank Lines'!$J$5:$J$1640,1,'Bank Lines'!$C$5:$C$1640,"&lt;="&amp;Cover!$C$13)</f>
        <v>0</v>
      </c>
      <c r="P338">
        <f>COUNTIFS('Odoo Items'!$J$5:$J$4331,A338,'Odoo Items'!$C$5:$C$4331,"&lt;="&amp;Cover!$C$13)</f>
        <v>0</v>
      </c>
      <c r="Q338">
        <f>IF(AND(O338=0,P338=0),"",IF(O338=0,"ODOO-ONLY",IF(P338=0,"BANK-ONLY","BOTH")))</f>
      </c>
      <c r="R338" s="9">
        <f>IF(Q338="BOTH",ROUND(M338-N338,2),0)</f>
        <v>0</v>
      </c>
      <c r="S338" s="9">
        <f>ROUND(SUMIFS('Bank Lines'!$E$5:$E$1640,'Bank Lines'!$G$5:$G$1640,A338,'Bank Lines'!$J$5:$J$1640,1,'Bank Lines'!$C$5:$C$1640,"&lt;="&amp;Cover!$C$14),2)</f>
        <v>514.96</v>
      </c>
      <c r="T338" s="9">
        <f>ROUND(SUMIFS('Odoo Items'!$G$5:$G$4331,'Odoo Items'!$J$5:$J$4331,A338,'Odoo Items'!$C$5:$C$4331,"&lt;="&amp;Cover!$C$14),2)</f>
        <v>514.96</v>
      </c>
      <c r="U338">
        <f>COUNTIFS('Bank Lines'!$G$5:$G$1640,A338,'Bank Lines'!$J$5:$J$1640,1,'Bank Lines'!$C$5:$C$1640,"&lt;="&amp;Cover!$C$14)</f>
        <v>1</v>
      </c>
      <c r="V338">
        <f>COUNTIFS('Odoo Items'!$J$5:$J$4331,A338,'Odoo Items'!$C$5:$C$4331,"&lt;="&amp;Cover!$C$14)</f>
        <v>4</v>
      </c>
      <c r="W338" t="str">
        <f>IF(AND(U338=0,V338=0),"",IF(U338=0,"ODOO-ONLY",IF(V338=0,"BANK-ONLY","BOTH")))</f>
        <v>BOTH</v>
      </c>
      <c r="X338" s="9">
        <f>IF(W338="BOTH",ROUND(S338-T338,2),0)</f>
        <v>0</v>
      </c>
      <c r="Y338" s="9">
        <f>ROUND(SUMIFS('Bank Lines'!$E$5:$E$1640,'Bank Lines'!$G$5:$G$1640,A338,'Bank Lines'!$J$5:$J$1640,1,'Bank Lines'!$C$5:$C$1640,"&lt;="&amp;Cover!$C$15),2)</f>
        <v>514.96</v>
      </c>
      <c r="Z338" s="9">
        <f>ROUND(SUMIFS('Odoo Items'!$G$5:$G$4331,'Odoo Items'!$J$5:$J$4331,A338,'Odoo Items'!$C$5:$C$4331,"&lt;="&amp;Cover!$C$15),2)</f>
        <v>514.96</v>
      </c>
      <c r="AA338">
        <f>COUNTIFS('Bank Lines'!$G$5:$G$1640,A338,'Bank Lines'!$J$5:$J$1640,1,'Bank Lines'!$C$5:$C$1640,"&lt;="&amp;Cover!$C$15)</f>
        <v>1</v>
      </c>
      <c r="AB338">
        <f>COUNTIFS('Odoo Items'!$J$5:$J$4331,A338,'Odoo Items'!$C$5:$C$4331,"&lt;="&amp;Cover!$C$15)</f>
        <v>4</v>
      </c>
      <c r="AC338" t="str">
        <f>IF(AND(AA338=0,AB338=0),"",IF(AA338=0,"ODOO-ONLY",IF(AB338=0,"BANK-ONLY","BOTH")))</f>
        <v>BOTH</v>
      </c>
      <c r="AD338" s="9">
        <f>IF(AC338="BOTH",ROUND(Y338-Z338,2),0)</f>
        <v>0</v>
      </c>
    </row>
    <row r="339">
      <c r="A339" t="inlineStr">
        <is>
          <t>G00335</t>
        </is>
      </c>
      <c r="B339" t="inlineStr">
        <is>
          <t>OPS</t>
        </is>
      </c>
      <c r="C339" t="inlineStr">
        <is>
          <t>R03</t>
        </is>
      </c>
      <c r="D339" t="inlineStr">
        <is>
          <t>MATCH</t>
        </is>
      </c>
      <c r="E339" t="inlineStr">
        <is>
          <t>Bluegum Plan Management</t>
        </is>
      </c>
      <c r="F339" t="n">
        <v>0.9</v>
      </c>
      <c r="G339" t="inlineStr">
        <is>
          <t>2 invoices</t>
        </is>
      </c>
      <c r="H339">
        <f>COUNTIFS('Bank Lines'!$G$5:$G$1640,A339,'Bank Lines'!$J$5:$J$1640,1)</f>
        <v>1</v>
      </c>
      <c r="I339">
        <f>COUNTIFS('Odoo Items'!$J$5:$J$4331,A339)</f>
        <v>2</v>
      </c>
      <c r="J339" s="9">
        <f>ROUND(SUMIFS('Bank Lines'!$E$5:$E$1640,'Bank Lines'!$G$5:$G$1640,A339,'Bank Lines'!$J$5:$J$1640,1),2)</f>
        <v>300.68</v>
      </c>
      <c r="K339" s="9">
        <f>ROUND(SUMIFS('Odoo Items'!$G$5:$G$4331,'Odoo Items'!$J$5:$J$4331,A339),2)</f>
        <v>300.68</v>
      </c>
      <c r="L339" s="9">
        <f>ROUND(J339-K339,2)</f>
        <v>0</v>
      </c>
      <c r="M339" s="9">
        <f>ROUND(SUMIFS('Bank Lines'!$E$5:$E$1640,'Bank Lines'!$G$5:$G$1640,A339,'Bank Lines'!$J$5:$J$1640,1,'Bank Lines'!$C$5:$C$1640,"&lt;="&amp;Cover!$C$13),2)</f>
        <v>0</v>
      </c>
      <c r="N339" s="9">
        <f>ROUND(SUMIFS('Odoo Items'!$G$5:$G$4331,'Odoo Items'!$J$5:$J$4331,A339,'Odoo Items'!$C$5:$C$4331,"&lt;="&amp;Cover!$C$13),2)</f>
        <v>0</v>
      </c>
      <c r="O339">
        <f>COUNTIFS('Bank Lines'!$G$5:$G$1640,A339,'Bank Lines'!$J$5:$J$1640,1,'Bank Lines'!$C$5:$C$1640,"&lt;="&amp;Cover!$C$13)</f>
        <v>0</v>
      </c>
      <c r="P339">
        <f>COUNTIFS('Odoo Items'!$J$5:$J$4331,A339,'Odoo Items'!$C$5:$C$4331,"&lt;="&amp;Cover!$C$13)</f>
        <v>0</v>
      </c>
      <c r="Q339">
        <f>IF(AND(O339=0,P339=0),"",IF(O339=0,"ODOO-ONLY",IF(P339=0,"BANK-ONLY","BOTH")))</f>
      </c>
      <c r="R339" s="9">
        <f>IF(Q339="BOTH",ROUND(M339-N339,2),0)</f>
        <v>0</v>
      </c>
      <c r="S339" s="9">
        <f>ROUND(SUMIFS('Bank Lines'!$E$5:$E$1640,'Bank Lines'!$G$5:$G$1640,A339,'Bank Lines'!$J$5:$J$1640,1,'Bank Lines'!$C$5:$C$1640,"&lt;="&amp;Cover!$C$14),2)</f>
        <v>300.68</v>
      </c>
      <c r="T339" s="9">
        <f>ROUND(SUMIFS('Odoo Items'!$G$5:$G$4331,'Odoo Items'!$J$5:$J$4331,A339,'Odoo Items'!$C$5:$C$4331,"&lt;="&amp;Cover!$C$14),2)</f>
        <v>300.68</v>
      </c>
      <c r="U339">
        <f>COUNTIFS('Bank Lines'!$G$5:$G$1640,A339,'Bank Lines'!$J$5:$J$1640,1,'Bank Lines'!$C$5:$C$1640,"&lt;="&amp;Cover!$C$14)</f>
        <v>1</v>
      </c>
      <c r="V339">
        <f>COUNTIFS('Odoo Items'!$J$5:$J$4331,A339,'Odoo Items'!$C$5:$C$4331,"&lt;="&amp;Cover!$C$14)</f>
        <v>2</v>
      </c>
      <c r="W339" t="str">
        <f>IF(AND(U339=0,V339=0),"",IF(U339=0,"ODOO-ONLY",IF(V339=0,"BANK-ONLY","BOTH")))</f>
        <v>BOTH</v>
      </c>
      <c r="X339" s="9">
        <f>IF(W339="BOTH",ROUND(S339-T339,2),0)</f>
        <v>0</v>
      </c>
      <c r="Y339" s="9">
        <f>ROUND(SUMIFS('Bank Lines'!$E$5:$E$1640,'Bank Lines'!$G$5:$G$1640,A339,'Bank Lines'!$J$5:$J$1640,1,'Bank Lines'!$C$5:$C$1640,"&lt;="&amp;Cover!$C$15),2)</f>
        <v>300.68</v>
      </c>
      <c r="Z339" s="9">
        <f>ROUND(SUMIFS('Odoo Items'!$G$5:$G$4331,'Odoo Items'!$J$5:$J$4331,A339,'Odoo Items'!$C$5:$C$4331,"&lt;="&amp;Cover!$C$15),2)</f>
        <v>300.68</v>
      </c>
      <c r="AA339">
        <f>COUNTIFS('Bank Lines'!$G$5:$G$1640,A339,'Bank Lines'!$J$5:$J$1640,1,'Bank Lines'!$C$5:$C$1640,"&lt;="&amp;Cover!$C$15)</f>
        <v>1</v>
      </c>
      <c r="AB339">
        <f>COUNTIFS('Odoo Items'!$J$5:$J$4331,A339,'Odoo Items'!$C$5:$C$4331,"&lt;="&amp;Cover!$C$15)</f>
        <v>2</v>
      </c>
      <c r="AC339" t="str">
        <f>IF(AND(AA339=0,AB339=0),"",IF(AA339=0,"ODOO-ONLY",IF(AB339=0,"BANK-ONLY","BOTH")))</f>
        <v>BOTH</v>
      </c>
      <c r="AD339" s="9">
        <f>IF(AC339="BOTH",ROUND(Y339-Z339,2),0)</f>
        <v>0</v>
      </c>
    </row>
    <row r="340">
      <c r="A340" t="inlineStr">
        <is>
          <t>G00336</t>
        </is>
      </c>
      <c r="B340" t="inlineStr">
        <is>
          <t>OPS</t>
        </is>
      </c>
      <c r="C340" t="inlineStr">
        <is>
          <t>R03</t>
        </is>
      </c>
      <c r="D340" t="inlineStr">
        <is>
          <t>MATCH</t>
        </is>
      </c>
      <c r="E340" t="inlineStr">
        <is>
          <t>Riverbend Plan Partners</t>
        </is>
      </c>
      <c r="F340" t="n">
        <v>1</v>
      </c>
      <c r="G340" t="inlineStr">
        <is>
          <t>3 invoices</t>
        </is>
      </c>
      <c r="H340">
        <f>COUNTIFS('Bank Lines'!$G$5:$G$1640,A340,'Bank Lines'!$J$5:$J$1640,1)</f>
        <v>1</v>
      </c>
      <c r="I340">
        <f>COUNTIFS('Odoo Items'!$J$5:$J$4331,A340)</f>
        <v>3</v>
      </c>
      <c r="J340" s="9">
        <f>ROUND(SUMIFS('Bank Lines'!$E$5:$E$1640,'Bank Lines'!$G$5:$G$1640,A340,'Bank Lines'!$J$5:$J$1640,1),2)</f>
        <v>1019.35</v>
      </c>
      <c r="K340" s="9">
        <f>ROUND(SUMIFS('Odoo Items'!$G$5:$G$4331,'Odoo Items'!$J$5:$J$4331,A340),2)</f>
        <v>1019.35</v>
      </c>
      <c r="L340" s="9">
        <f>ROUND(J340-K340,2)</f>
        <v>0</v>
      </c>
      <c r="M340" s="9">
        <f>ROUND(SUMIFS('Bank Lines'!$E$5:$E$1640,'Bank Lines'!$G$5:$G$1640,A340,'Bank Lines'!$J$5:$J$1640,1,'Bank Lines'!$C$5:$C$1640,"&lt;="&amp;Cover!$C$13),2)</f>
        <v>0</v>
      </c>
      <c r="N340" s="9">
        <f>ROUND(SUMIFS('Odoo Items'!$G$5:$G$4331,'Odoo Items'!$J$5:$J$4331,A340,'Odoo Items'!$C$5:$C$4331,"&lt;="&amp;Cover!$C$13),2)</f>
        <v>0</v>
      </c>
      <c r="O340">
        <f>COUNTIFS('Bank Lines'!$G$5:$G$1640,A340,'Bank Lines'!$J$5:$J$1640,1,'Bank Lines'!$C$5:$C$1640,"&lt;="&amp;Cover!$C$13)</f>
        <v>0</v>
      </c>
      <c r="P340">
        <f>COUNTIFS('Odoo Items'!$J$5:$J$4331,A340,'Odoo Items'!$C$5:$C$4331,"&lt;="&amp;Cover!$C$13)</f>
        <v>0</v>
      </c>
      <c r="Q340">
        <f>IF(AND(O340=0,P340=0),"",IF(O340=0,"ODOO-ONLY",IF(P340=0,"BANK-ONLY","BOTH")))</f>
      </c>
      <c r="R340" s="9">
        <f>IF(Q340="BOTH",ROUND(M340-N340,2),0)</f>
        <v>0</v>
      </c>
      <c r="S340" s="9">
        <f>ROUND(SUMIFS('Bank Lines'!$E$5:$E$1640,'Bank Lines'!$G$5:$G$1640,A340,'Bank Lines'!$J$5:$J$1640,1,'Bank Lines'!$C$5:$C$1640,"&lt;="&amp;Cover!$C$14),2)</f>
        <v>1019.35</v>
      </c>
      <c r="T340" s="9">
        <f>ROUND(SUMIFS('Odoo Items'!$G$5:$G$4331,'Odoo Items'!$J$5:$J$4331,A340,'Odoo Items'!$C$5:$C$4331,"&lt;="&amp;Cover!$C$14),2)</f>
        <v>1019.35</v>
      </c>
      <c r="U340">
        <f>COUNTIFS('Bank Lines'!$G$5:$G$1640,A340,'Bank Lines'!$J$5:$J$1640,1,'Bank Lines'!$C$5:$C$1640,"&lt;="&amp;Cover!$C$14)</f>
        <v>1</v>
      </c>
      <c r="V340">
        <f>COUNTIFS('Odoo Items'!$J$5:$J$4331,A340,'Odoo Items'!$C$5:$C$4331,"&lt;="&amp;Cover!$C$14)</f>
        <v>3</v>
      </c>
      <c r="W340" t="str">
        <f>IF(AND(U340=0,V340=0),"",IF(U340=0,"ODOO-ONLY",IF(V340=0,"BANK-ONLY","BOTH")))</f>
        <v>BOTH</v>
      </c>
      <c r="X340" s="9">
        <f>IF(W340="BOTH",ROUND(S340-T340,2),0)</f>
        <v>0</v>
      </c>
      <c r="Y340" s="9">
        <f>ROUND(SUMIFS('Bank Lines'!$E$5:$E$1640,'Bank Lines'!$G$5:$G$1640,A340,'Bank Lines'!$J$5:$J$1640,1,'Bank Lines'!$C$5:$C$1640,"&lt;="&amp;Cover!$C$15),2)</f>
        <v>1019.35</v>
      </c>
      <c r="Z340" s="9">
        <f>ROUND(SUMIFS('Odoo Items'!$G$5:$G$4331,'Odoo Items'!$J$5:$J$4331,A340,'Odoo Items'!$C$5:$C$4331,"&lt;="&amp;Cover!$C$15),2)</f>
        <v>1019.35</v>
      </c>
      <c r="AA340">
        <f>COUNTIFS('Bank Lines'!$G$5:$G$1640,A340,'Bank Lines'!$J$5:$J$1640,1,'Bank Lines'!$C$5:$C$1640,"&lt;="&amp;Cover!$C$15)</f>
        <v>1</v>
      </c>
      <c r="AB340">
        <f>COUNTIFS('Odoo Items'!$J$5:$J$4331,A340,'Odoo Items'!$C$5:$C$4331,"&lt;="&amp;Cover!$C$15)</f>
        <v>3</v>
      </c>
      <c r="AC340" t="str">
        <f>IF(AND(AA340=0,AB340=0),"",IF(AA340=0,"ODOO-ONLY",IF(AB340=0,"BANK-ONLY","BOTH")))</f>
        <v>BOTH</v>
      </c>
      <c r="AD340" s="9">
        <f>IF(AC340="BOTH",ROUND(Y340-Z340,2),0)</f>
        <v>0</v>
      </c>
    </row>
    <row r="341">
      <c r="A341" t="inlineStr">
        <is>
          <t>G00337</t>
        </is>
      </c>
      <c r="B341" t="inlineStr">
        <is>
          <t>OPS</t>
        </is>
      </c>
      <c r="C341" t="inlineStr">
        <is>
          <t>R03</t>
        </is>
      </c>
      <c r="D341" t="inlineStr">
        <is>
          <t>MATCH</t>
        </is>
      </c>
      <c r="E341" t="inlineStr">
        <is>
          <t>Banksia Plan Co</t>
        </is>
      </c>
      <c r="F341" t="n">
        <v>1</v>
      </c>
      <c r="G341" t="inlineStr">
        <is>
          <t>2 invoices</t>
        </is>
      </c>
      <c r="H341">
        <f>COUNTIFS('Bank Lines'!$G$5:$G$1640,A341,'Bank Lines'!$J$5:$J$1640,1)</f>
        <v>1</v>
      </c>
      <c r="I341">
        <f>COUNTIFS('Odoo Items'!$J$5:$J$4331,A341)</f>
        <v>2</v>
      </c>
      <c r="J341" s="9">
        <f>ROUND(SUMIFS('Bank Lines'!$E$5:$E$1640,'Bank Lines'!$G$5:$G$1640,A341,'Bank Lines'!$J$5:$J$1640,1),2)</f>
        <v>678.96</v>
      </c>
      <c r="K341" s="9">
        <f>ROUND(SUMIFS('Odoo Items'!$G$5:$G$4331,'Odoo Items'!$J$5:$J$4331,A341),2)</f>
        <v>678.96</v>
      </c>
      <c r="L341" s="9">
        <f>ROUND(J341-K341,2)</f>
        <v>0</v>
      </c>
      <c r="M341" s="9">
        <f>ROUND(SUMIFS('Bank Lines'!$E$5:$E$1640,'Bank Lines'!$G$5:$G$1640,A341,'Bank Lines'!$J$5:$J$1640,1,'Bank Lines'!$C$5:$C$1640,"&lt;="&amp;Cover!$C$13),2)</f>
        <v>0</v>
      </c>
      <c r="N341" s="9">
        <f>ROUND(SUMIFS('Odoo Items'!$G$5:$G$4331,'Odoo Items'!$J$5:$J$4331,A341,'Odoo Items'!$C$5:$C$4331,"&lt;="&amp;Cover!$C$13),2)</f>
        <v>0</v>
      </c>
      <c r="O341">
        <f>COUNTIFS('Bank Lines'!$G$5:$G$1640,A341,'Bank Lines'!$J$5:$J$1640,1,'Bank Lines'!$C$5:$C$1640,"&lt;="&amp;Cover!$C$13)</f>
        <v>0</v>
      </c>
      <c r="P341">
        <f>COUNTIFS('Odoo Items'!$J$5:$J$4331,A341,'Odoo Items'!$C$5:$C$4331,"&lt;="&amp;Cover!$C$13)</f>
        <v>0</v>
      </c>
      <c r="Q341">
        <f>IF(AND(O341=0,P341=0),"",IF(O341=0,"ODOO-ONLY",IF(P341=0,"BANK-ONLY","BOTH")))</f>
      </c>
      <c r="R341" s="9">
        <f>IF(Q341="BOTH",ROUND(M341-N341,2),0)</f>
        <v>0</v>
      </c>
      <c r="S341" s="9">
        <f>ROUND(SUMIFS('Bank Lines'!$E$5:$E$1640,'Bank Lines'!$G$5:$G$1640,A341,'Bank Lines'!$J$5:$J$1640,1,'Bank Lines'!$C$5:$C$1640,"&lt;="&amp;Cover!$C$14),2)</f>
        <v>678.96</v>
      </c>
      <c r="T341" s="9">
        <f>ROUND(SUMIFS('Odoo Items'!$G$5:$G$4331,'Odoo Items'!$J$5:$J$4331,A341,'Odoo Items'!$C$5:$C$4331,"&lt;="&amp;Cover!$C$14),2)</f>
        <v>678.96</v>
      </c>
      <c r="U341">
        <f>COUNTIFS('Bank Lines'!$G$5:$G$1640,A341,'Bank Lines'!$J$5:$J$1640,1,'Bank Lines'!$C$5:$C$1640,"&lt;="&amp;Cover!$C$14)</f>
        <v>1</v>
      </c>
      <c r="V341">
        <f>COUNTIFS('Odoo Items'!$J$5:$J$4331,A341,'Odoo Items'!$C$5:$C$4331,"&lt;="&amp;Cover!$C$14)</f>
        <v>2</v>
      </c>
      <c r="W341" t="str">
        <f>IF(AND(U341=0,V341=0),"",IF(U341=0,"ODOO-ONLY",IF(V341=0,"BANK-ONLY","BOTH")))</f>
        <v>BOTH</v>
      </c>
      <c r="X341" s="9">
        <f>IF(W341="BOTH",ROUND(S341-T341,2),0)</f>
        <v>0</v>
      </c>
      <c r="Y341" s="9">
        <f>ROUND(SUMIFS('Bank Lines'!$E$5:$E$1640,'Bank Lines'!$G$5:$G$1640,A341,'Bank Lines'!$J$5:$J$1640,1,'Bank Lines'!$C$5:$C$1640,"&lt;="&amp;Cover!$C$15),2)</f>
        <v>678.96</v>
      </c>
      <c r="Z341" s="9">
        <f>ROUND(SUMIFS('Odoo Items'!$G$5:$G$4331,'Odoo Items'!$J$5:$J$4331,A341,'Odoo Items'!$C$5:$C$4331,"&lt;="&amp;Cover!$C$15),2)</f>
        <v>678.96</v>
      </c>
      <c r="AA341">
        <f>COUNTIFS('Bank Lines'!$G$5:$G$1640,A341,'Bank Lines'!$J$5:$J$1640,1,'Bank Lines'!$C$5:$C$1640,"&lt;="&amp;Cover!$C$15)</f>
        <v>1</v>
      </c>
      <c r="AB341">
        <f>COUNTIFS('Odoo Items'!$J$5:$J$4331,A341,'Odoo Items'!$C$5:$C$4331,"&lt;="&amp;Cover!$C$15)</f>
        <v>2</v>
      </c>
      <c r="AC341" t="str">
        <f>IF(AND(AA341=0,AB341=0),"",IF(AA341=0,"ODOO-ONLY",IF(AB341=0,"BANK-ONLY","BOTH")))</f>
        <v>BOTH</v>
      </c>
      <c r="AD341" s="9">
        <f>IF(AC341="BOTH",ROUND(Y341-Z341,2),0)</f>
        <v>0</v>
      </c>
    </row>
    <row r="342">
      <c r="A342" t="inlineStr">
        <is>
          <t>G00338</t>
        </is>
      </c>
      <c r="B342" t="inlineStr">
        <is>
          <t>OPS</t>
        </is>
      </c>
      <c r="C342" t="inlineStr">
        <is>
          <t>R03</t>
        </is>
      </c>
      <c r="D342" t="inlineStr">
        <is>
          <t>MATCH</t>
        </is>
      </c>
      <c r="E342" t="inlineStr">
        <is>
          <t>Saltbush Plan Managers</t>
        </is>
      </c>
      <c r="F342" t="n">
        <v>1</v>
      </c>
      <c r="G342" t="inlineStr">
        <is>
          <t>3 invoices</t>
        </is>
      </c>
      <c r="H342">
        <f>COUNTIFS('Bank Lines'!$G$5:$G$1640,A342,'Bank Lines'!$J$5:$J$1640,1)</f>
        <v>1</v>
      </c>
      <c r="I342">
        <f>COUNTIFS('Odoo Items'!$J$5:$J$4331,A342)</f>
        <v>3</v>
      </c>
      <c r="J342" s="9">
        <f>ROUND(SUMIFS('Bank Lines'!$E$5:$E$1640,'Bank Lines'!$G$5:$G$1640,A342,'Bank Lines'!$J$5:$J$1640,1),2)</f>
        <v>611.96</v>
      </c>
      <c r="K342" s="9">
        <f>ROUND(SUMIFS('Odoo Items'!$G$5:$G$4331,'Odoo Items'!$J$5:$J$4331,A342),2)</f>
        <v>611.96</v>
      </c>
      <c r="L342" s="9">
        <f>ROUND(J342-K342,2)</f>
        <v>0</v>
      </c>
      <c r="M342" s="9">
        <f>ROUND(SUMIFS('Bank Lines'!$E$5:$E$1640,'Bank Lines'!$G$5:$G$1640,A342,'Bank Lines'!$J$5:$J$1640,1,'Bank Lines'!$C$5:$C$1640,"&lt;="&amp;Cover!$C$13),2)</f>
        <v>0</v>
      </c>
      <c r="N342" s="9">
        <f>ROUND(SUMIFS('Odoo Items'!$G$5:$G$4331,'Odoo Items'!$J$5:$J$4331,A342,'Odoo Items'!$C$5:$C$4331,"&lt;="&amp;Cover!$C$13),2)</f>
        <v>0</v>
      </c>
      <c r="O342">
        <f>COUNTIFS('Bank Lines'!$G$5:$G$1640,A342,'Bank Lines'!$J$5:$J$1640,1,'Bank Lines'!$C$5:$C$1640,"&lt;="&amp;Cover!$C$13)</f>
        <v>0</v>
      </c>
      <c r="P342">
        <f>COUNTIFS('Odoo Items'!$J$5:$J$4331,A342,'Odoo Items'!$C$5:$C$4331,"&lt;="&amp;Cover!$C$13)</f>
        <v>0</v>
      </c>
      <c r="Q342">
        <f>IF(AND(O342=0,P342=0),"",IF(O342=0,"ODOO-ONLY",IF(P342=0,"BANK-ONLY","BOTH")))</f>
      </c>
      <c r="R342" s="9">
        <f>IF(Q342="BOTH",ROUND(M342-N342,2),0)</f>
        <v>0</v>
      </c>
      <c r="S342" s="9">
        <f>ROUND(SUMIFS('Bank Lines'!$E$5:$E$1640,'Bank Lines'!$G$5:$G$1640,A342,'Bank Lines'!$J$5:$J$1640,1,'Bank Lines'!$C$5:$C$1640,"&lt;="&amp;Cover!$C$14),2)</f>
        <v>611.96</v>
      </c>
      <c r="T342" s="9">
        <f>ROUND(SUMIFS('Odoo Items'!$G$5:$G$4331,'Odoo Items'!$J$5:$J$4331,A342,'Odoo Items'!$C$5:$C$4331,"&lt;="&amp;Cover!$C$14),2)</f>
        <v>611.96</v>
      </c>
      <c r="U342">
        <f>COUNTIFS('Bank Lines'!$G$5:$G$1640,A342,'Bank Lines'!$J$5:$J$1640,1,'Bank Lines'!$C$5:$C$1640,"&lt;="&amp;Cover!$C$14)</f>
        <v>1</v>
      </c>
      <c r="V342">
        <f>COUNTIFS('Odoo Items'!$J$5:$J$4331,A342,'Odoo Items'!$C$5:$C$4331,"&lt;="&amp;Cover!$C$14)</f>
        <v>3</v>
      </c>
      <c r="W342" t="str">
        <f>IF(AND(U342=0,V342=0),"",IF(U342=0,"ODOO-ONLY",IF(V342=0,"BANK-ONLY","BOTH")))</f>
        <v>BOTH</v>
      </c>
      <c r="X342" s="9">
        <f>IF(W342="BOTH",ROUND(S342-T342,2),0)</f>
        <v>0</v>
      </c>
      <c r="Y342" s="9">
        <f>ROUND(SUMIFS('Bank Lines'!$E$5:$E$1640,'Bank Lines'!$G$5:$G$1640,A342,'Bank Lines'!$J$5:$J$1640,1,'Bank Lines'!$C$5:$C$1640,"&lt;="&amp;Cover!$C$15),2)</f>
        <v>611.96</v>
      </c>
      <c r="Z342" s="9">
        <f>ROUND(SUMIFS('Odoo Items'!$G$5:$G$4331,'Odoo Items'!$J$5:$J$4331,A342,'Odoo Items'!$C$5:$C$4331,"&lt;="&amp;Cover!$C$15),2)</f>
        <v>611.96</v>
      </c>
      <c r="AA342">
        <f>COUNTIFS('Bank Lines'!$G$5:$G$1640,A342,'Bank Lines'!$J$5:$J$1640,1,'Bank Lines'!$C$5:$C$1640,"&lt;="&amp;Cover!$C$15)</f>
        <v>1</v>
      </c>
      <c r="AB342">
        <f>COUNTIFS('Odoo Items'!$J$5:$J$4331,A342,'Odoo Items'!$C$5:$C$4331,"&lt;="&amp;Cover!$C$15)</f>
        <v>3</v>
      </c>
      <c r="AC342" t="str">
        <f>IF(AND(AA342=0,AB342=0),"",IF(AA342=0,"ODOO-ONLY",IF(AB342=0,"BANK-ONLY","BOTH")))</f>
        <v>BOTH</v>
      </c>
      <c r="AD342" s="9">
        <f>IF(AC342="BOTH",ROUND(Y342-Z342,2),0)</f>
        <v>0</v>
      </c>
    </row>
    <row r="343">
      <c r="A343" t="inlineStr">
        <is>
          <t>G00339</t>
        </is>
      </c>
      <c r="B343" t="inlineStr">
        <is>
          <t>OPS</t>
        </is>
      </c>
      <c r="C343" t="inlineStr">
        <is>
          <t>R03</t>
        </is>
      </c>
      <c r="D343" t="inlineStr">
        <is>
          <t>MATCH</t>
        </is>
      </c>
      <c r="E343" t="inlineStr">
        <is>
          <t>Redgum Plan Admin</t>
        </is>
      </c>
      <c r="F343" t="n">
        <v>1</v>
      </c>
      <c r="G343" t="inlineStr">
        <is>
          <t>2 invoices</t>
        </is>
      </c>
      <c r="H343">
        <f>COUNTIFS('Bank Lines'!$G$5:$G$1640,A343,'Bank Lines'!$J$5:$J$1640,1)</f>
        <v>1</v>
      </c>
      <c r="I343">
        <f>COUNTIFS('Odoo Items'!$J$5:$J$4331,A343)</f>
        <v>2</v>
      </c>
      <c r="J343" s="9">
        <f>ROUND(SUMIFS('Bank Lines'!$E$5:$E$1640,'Bank Lines'!$G$5:$G$1640,A343,'Bank Lines'!$J$5:$J$1640,1),2)</f>
        <v>494.67</v>
      </c>
      <c r="K343" s="9">
        <f>ROUND(SUMIFS('Odoo Items'!$G$5:$G$4331,'Odoo Items'!$J$5:$J$4331,A343),2)</f>
        <v>494.67</v>
      </c>
      <c r="L343" s="9">
        <f>ROUND(J343-K343,2)</f>
        <v>0</v>
      </c>
      <c r="M343" s="9">
        <f>ROUND(SUMIFS('Bank Lines'!$E$5:$E$1640,'Bank Lines'!$G$5:$G$1640,A343,'Bank Lines'!$J$5:$J$1640,1,'Bank Lines'!$C$5:$C$1640,"&lt;="&amp;Cover!$C$13),2)</f>
        <v>0</v>
      </c>
      <c r="N343" s="9">
        <f>ROUND(SUMIFS('Odoo Items'!$G$5:$G$4331,'Odoo Items'!$J$5:$J$4331,A343,'Odoo Items'!$C$5:$C$4331,"&lt;="&amp;Cover!$C$13),2)</f>
        <v>0</v>
      </c>
      <c r="O343">
        <f>COUNTIFS('Bank Lines'!$G$5:$G$1640,A343,'Bank Lines'!$J$5:$J$1640,1,'Bank Lines'!$C$5:$C$1640,"&lt;="&amp;Cover!$C$13)</f>
        <v>0</v>
      </c>
      <c r="P343">
        <f>COUNTIFS('Odoo Items'!$J$5:$J$4331,A343,'Odoo Items'!$C$5:$C$4331,"&lt;="&amp;Cover!$C$13)</f>
        <v>0</v>
      </c>
      <c r="Q343">
        <f>IF(AND(O343=0,P343=0),"",IF(O343=0,"ODOO-ONLY",IF(P343=0,"BANK-ONLY","BOTH")))</f>
      </c>
      <c r="R343" s="9">
        <f>IF(Q343="BOTH",ROUND(M343-N343,2),0)</f>
        <v>0</v>
      </c>
      <c r="S343" s="9">
        <f>ROUND(SUMIFS('Bank Lines'!$E$5:$E$1640,'Bank Lines'!$G$5:$G$1640,A343,'Bank Lines'!$J$5:$J$1640,1,'Bank Lines'!$C$5:$C$1640,"&lt;="&amp;Cover!$C$14),2)</f>
        <v>494.67</v>
      </c>
      <c r="T343" s="9">
        <f>ROUND(SUMIFS('Odoo Items'!$G$5:$G$4331,'Odoo Items'!$J$5:$J$4331,A343,'Odoo Items'!$C$5:$C$4331,"&lt;="&amp;Cover!$C$14),2)</f>
        <v>494.67</v>
      </c>
      <c r="U343">
        <f>COUNTIFS('Bank Lines'!$G$5:$G$1640,A343,'Bank Lines'!$J$5:$J$1640,1,'Bank Lines'!$C$5:$C$1640,"&lt;="&amp;Cover!$C$14)</f>
        <v>1</v>
      </c>
      <c r="V343">
        <f>COUNTIFS('Odoo Items'!$J$5:$J$4331,A343,'Odoo Items'!$C$5:$C$4331,"&lt;="&amp;Cover!$C$14)</f>
        <v>2</v>
      </c>
      <c r="W343" t="str">
        <f>IF(AND(U343=0,V343=0),"",IF(U343=0,"ODOO-ONLY",IF(V343=0,"BANK-ONLY","BOTH")))</f>
        <v>BOTH</v>
      </c>
      <c r="X343" s="9">
        <f>IF(W343="BOTH",ROUND(S343-T343,2),0)</f>
        <v>0</v>
      </c>
      <c r="Y343" s="9">
        <f>ROUND(SUMIFS('Bank Lines'!$E$5:$E$1640,'Bank Lines'!$G$5:$G$1640,A343,'Bank Lines'!$J$5:$J$1640,1,'Bank Lines'!$C$5:$C$1640,"&lt;="&amp;Cover!$C$15),2)</f>
        <v>494.67</v>
      </c>
      <c r="Z343" s="9">
        <f>ROUND(SUMIFS('Odoo Items'!$G$5:$G$4331,'Odoo Items'!$J$5:$J$4331,A343,'Odoo Items'!$C$5:$C$4331,"&lt;="&amp;Cover!$C$15),2)</f>
        <v>494.67</v>
      </c>
      <c r="AA343">
        <f>COUNTIFS('Bank Lines'!$G$5:$G$1640,A343,'Bank Lines'!$J$5:$J$1640,1,'Bank Lines'!$C$5:$C$1640,"&lt;="&amp;Cover!$C$15)</f>
        <v>1</v>
      </c>
      <c r="AB343">
        <f>COUNTIFS('Odoo Items'!$J$5:$J$4331,A343,'Odoo Items'!$C$5:$C$4331,"&lt;="&amp;Cover!$C$15)</f>
        <v>2</v>
      </c>
      <c r="AC343" t="str">
        <f>IF(AND(AA343=0,AB343=0),"",IF(AA343=0,"ODOO-ONLY",IF(AB343=0,"BANK-ONLY","BOTH")))</f>
        <v>BOTH</v>
      </c>
      <c r="AD343" s="9">
        <f>IF(AC343="BOTH",ROUND(Y343-Z343,2),0)</f>
        <v>0</v>
      </c>
    </row>
    <row r="344">
      <c r="A344" t="inlineStr">
        <is>
          <t>G00340</t>
        </is>
      </c>
      <c r="B344" t="inlineStr">
        <is>
          <t>OPS</t>
        </is>
      </c>
      <c r="C344" t="inlineStr">
        <is>
          <t>R03</t>
        </is>
      </c>
      <c r="D344" t="inlineStr">
        <is>
          <t>MATCH</t>
        </is>
      </c>
      <c r="E344" t="inlineStr">
        <is>
          <t>Southern Cross Plan Mgmt</t>
        </is>
      </c>
      <c r="F344" t="n">
        <v>0.955</v>
      </c>
      <c r="G344" t="inlineStr">
        <is>
          <t>8 invoices</t>
        </is>
      </c>
      <c r="H344">
        <f>COUNTIFS('Bank Lines'!$G$5:$G$1640,A344,'Bank Lines'!$J$5:$J$1640,1)</f>
        <v>1</v>
      </c>
      <c r="I344">
        <f>COUNTIFS('Odoo Items'!$J$5:$J$4331,A344)</f>
        <v>8</v>
      </c>
      <c r="J344" s="9">
        <f>ROUND(SUMIFS('Bank Lines'!$E$5:$E$1640,'Bank Lines'!$G$5:$G$1640,A344,'Bank Lines'!$J$5:$J$1640,1),2)</f>
        <v>2580.98</v>
      </c>
      <c r="K344" s="9">
        <f>ROUND(SUMIFS('Odoo Items'!$G$5:$G$4331,'Odoo Items'!$J$5:$J$4331,A344),2)</f>
        <v>2580.98</v>
      </c>
      <c r="L344" s="9">
        <f>ROUND(J344-K344,2)</f>
        <v>0</v>
      </c>
      <c r="M344" s="9">
        <f>ROUND(SUMIFS('Bank Lines'!$E$5:$E$1640,'Bank Lines'!$G$5:$G$1640,A344,'Bank Lines'!$J$5:$J$1640,1,'Bank Lines'!$C$5:$C$1640,"&lt;="&amp;Cover!$C$13),2)</f>
        <v>0</v>
      </c>
      <c r="N344" s="9">
        <f>ROUND(SUMIFS('Odoo Items'!$G$5:$G$4331,'Odoo Items'!$J$5:$J$4331,A344,'Odoo Items'!$C$5:$C$4331,"&lt;="&amp;Cover!$C$13),2)</f>
        <v>0</v>
      </c>
      <c r="O344">
        <f>COUNTIFS('Bank Lines'!$G$5:$G$1640,A344,'Bank Lines'!$J$5:$J$1640,1,'Bank Lines'!$C$5:$C$1640,"&lt;="&amp;Cover!$C$13)</f>
        <v>0</v>
      </c>
      <c r="P344">
        <f>COUNTIFS('Odoo Items'!$J$5:$J$4331,A344,'Odoo Items'!$C$5:$C$4331,"&lt;="&amp;Cover!$C$13)</f>
        <v>0</v>
      </c>
      <c r="Q344">
        <f>IF(AND(O344=0,P344=0),"",IF(O344=0,"ODOO-ONLY",IF(P344=0,"BANK-ONLY","BOTH")))</f>
      </c>
      <c r="R344" s="9">
        <f>IF(Q344="BOTH",ROUND(M344-N344,2),0)</f>
        <v>0</v>
      </c>
      <c r="S344" s="9">
        <f>ROUND(SUMIFS('Bank Lines'!$E$5:$E$1640,'Bank Lines'!$G$5:$G$1640,A344,'Bank Lines'!$J$5:$J$1640,1,'Bank Lines'!$C$5:$C$1640,"&lt;="&amp;Cover!$C$14),2)</f>
        <v>2580.98</v>
      </c>
      <c r="T344" s="9">
        <f>ROUND(SUMIFS('Odoo Items'!$G$5:$G$4331,'Odoo Items'!$J$5:$J$4331,A344,'Odoo Items'!$C$5:$C$4331,"&lt;="&amp;Cover!$C$14),2)</f>
        <v>2580.98</v>
      </c>
      <c r="U344">
        <f>COUNTIFS('Bank Lines'!$G$5:$G$1640,A344,'Bank Lines'!$J$5:$J$1640,1,'Bank Lines'!$C$5:$C$1640,"&lt;="&amp;Cover!$C$14)</f>
        <v>1</v>
      </c>
      <c r="V344">
        <f>COUNTIFS('Odoo Items'!$J$5:$J$4331,A344,'Odoo Items'!$C$5:$C$4331,"&lt;="&amp;Cover!$C$14)</f>
        <v>8</v>
      </c>
      <c r="W344" t="str">
        <f>IF(AND(U344=0,V344=0),"",IF(U344=0,"ODOO-ONLY",IF(V344=0,"BANK-ONLY","BOTH")))</f>
        <v>BOTH</v>
      </c>
      <c r="X344" s="9">
        <f>IF(W344="BOTH",ROUND(S344-T344,2),0)</f>
        <v>0</v>
      </c>
      <c r="Y344" s="9">
        <f>ROUND(SUMIFS('Bank Lines'!$E$5:$E$1640,'Bank Lines'!$G$5:$G$1640,A344,'Bank Lines'!$J$5:$J$1640,1,'Bank Lines'!$C$5:$C$1640,"&lt;="&amp;Cover!$C$15),2)</f>
        <v>2580.98</v>
      </c>
      <c r="Z344" s="9">
        <f>ROUND(SUMIFS('Odoo Items'!$G$5:$G$4331,'Odoo Items'!$J$5:$J$4331,A344,'Odoo Items'!$C$5:$C$4331,"&lt;="&amp;Cover!$C$15),2)</f>
        <v>2580.98</v>
      </c>
      <c r="AA344">
        <f>COUNTIFS('Bank Lines'!$G$5:$G$1640,A344,'Bank Lines'!$J$5:$J$1640,1,'Bank Lines'!$C$5:$C$1640,"&lt;="&amp;Cover!$C$15)</f>
        <v>1</v>
      </c>
      <c r="AB344">
        <f>COUNTIFS('Odoo Items'!$J$5:$J$4331,A344,'Odoo Items'!$C$5:$C$4331,"&lt;="&amp;Cover!$C$15)</f>
        <v>8</v>
      </c>
      <c r="AC344" t="str">
        <f>IF(AND(AA344=0,AB344=0),"",IF(AA344=0,"ODOO-ONLY",IF(AB344=0,"BANK-ONLY","BOTH")))</f>
        <v>BOTH</v>
      </c>
      <c r="AD344" s="9">
        <f>IF(AC344="BOTH",ROUND(Y344-Z344,2),0)</f>
        <v>0</v>
      </c>
    </row>
    <row r="345">
      <c r="A345" t="inlineStr">
        <is>
          <t>G00341</t>
        </is>
      </c>
      <c r="B345" t="inlineStr">
        <is>
          <t>OPS</t>
        </is>
      </c>
      <c r="C345" t="inlineStr">
        <is>
          <t>R03</t>
        </is>
      </c>
      <c r="D345" t="inlineStr">
        <is>
          <t>MATCH</t>
        </is>
      </c>
      <c r="E345" t="inlineStr">
        <is>
          <t>Mallee Plan Services</t>
        </is>
      </c>
      <c r="F345" t="n">
        <v>1</v>
      </c>
      <c r="G345" t="inlineStr">
        <is>
          <t>3 invoices</t>
        </is>
      </c>
      <c r="H345">
        <f>COUNTIFS('Bank Lines'!$G$5:$G$1640,A345,'Bank Lines'!$J$5:$J$1640,1)</f>
        <v>1</v>
      </c>
      <c r="I345">
        <f>COUNTIFS('Odoo Items'!$J$5:$J$4331,A345)</f>
        <v>3</v>
      </c>
      <c r="J345" s="9">
        <f>ROUND(SUMIFS('Bank Lines'!$E$5:$E$1640,'Bank Lines'!$G$5:$G$1640,A345,'Bank Lines'!$J$5:$J$1640,1),2)</f>
        <v>737.17</v>
      </c>
      <c r="K345" s="9">
        <f>ROUND(SUMIFS('Odoo Items'!$G$5:$G$4331,'Odoo Items'!$J$5:$J$4331,A345),2)</f>
        <v>737.17</v>
      </c>
      <c r="L345" s="9">
        <f>ROUND(J345-K345,2)</f>
        <v>0</v>
      </c>
      <c r="M345" s="9">
        <f>ROUND(SUMIFS('Bank Lines'!$E$5:$E$1640,'Bank Lines'!$G$5:$G$1640,A345,'Bank Lines'!$J$5:$J$1640,1,'Bank Lines'!$C$5:$C$1640,"&lt;="&amp;Cover!$C$13),2)</f>
        <v>0</v>
      </c>
      <c r="N345" s="9">
        <f>ROUND(SUMIFS('Odoo Items'!$G$5:$G$4331,'Odoo Items'!$J$5:$J$4331,A345,'Odoo Items'!$C$5:$C$4331,"&lt;="&amp;Cover!$C$13),2)</f>
        <v>0</v>
      </c>
      <c r="O345">
        <f>COUNTIFS('Bank Lines'!$G$5:$G$1640,A345,'Bank Lines'!$J$5:$J$1640,1,'Bank Lines'!$C$5:$C$1640,"&lt;="&amp;Cover!$C$13)</f>
        <v>0</v>
      </c>
      <c r="P345">
        <f>COUNTIFS('Odoo Items'!$J$5:$J$4331,A345,'Odoo Items'!$C$5:$C$4331,"&lt;="&amp;Cover!$C$13)</f>
        <v>0</v>
      </c>
      <c r="Q345">
        <f>IF(AND(O345=0,P345=0),"",IF(O345=0,"ODOO-ONLY",IF(P345=0,"BANK-ONLY","BOTH")))</f>
      </c>
      <c r="R345" s="9">
        <f>IF(Q345="BOTH",ROUND(M345-N345,2),0)</f>
        <v>0</v>
      </c>
      <c r="S345" s="9">
        <f>ROUND(SUMIFS('Bank Lines'!$E$5:$E$1640,'Bank Lines'!$G$5:$G$1640,A345,'Bank Lines'!$J$5:$J$1640,1,'Bank Lines'!$C$5:$C$1640,"&lt;="&amp;Cover!$C$14),2)</f>
        <v>737.17</v>
      </c>
      <c r="T345" s="9">
        <f>ROUND(SUMIFS('Odoo Items'!$G$5:$G$4331,'Odoo Items'!$J$5:$J$4331,A345,'Odoo Items'!$C$5:$C$4331,"&lt;="&amp;Cover!$C$14),2)</f>
        <v>737.17</v>
      </c>
      <c r="U345">
        <f>COUNTIFS('Bank Lines'!$G$5:$G$1640,A345,'Bank Lines'!$J$5:$J$1640,1,'Bank Lines'!$C$5:$C$1640,"&lt;="&amp;Cover!$C$14)</f>
        <v>1</v>
      </c>
      <c r="V345">
        <f>COUNTIFS('Odoo Items'!$J$5:$J$4331,A345,'Odoo Items'!$C$5:$C$4331,"&lt;="&amp;Cover!$C$14)</f>
        <v>3</v>
      </c>
      <c r="W345" t="str">
        <f>IF(AND(U345=0,V345=0),"",IF(U345=0,"ODOO-ONLY",IF(V345=0,"BANK-ONLY","BOTH")))</f>
        <v>BOTH</v>
      </c>
      <c r="X345" s="9">
        <f>IF(W345="BOTH",ROUND(S345-T345,2),0)</f>
        <v>0</v>
      </c>
      <c r="Y345" s="9">
        <f>ROUND(SUMIFS('Bank Lines'!$E$5:$E$1640,'Bank Lines'!$G$5:$G$1640,A345,'Bank Lines'!$J$5:$J$1640,1,'Bank Lines'!$C$5:$C$1640,"&lt;="&amp;Cover!$C$15),2)</f>
        <v>737.17</v>
      </c>
      <c r="Z345" s="9">
        <f>ROUND(SUMIFS('Odoo Items'!$G$5:$G$4331,'Odoo Items'!$J$5:$J$4331,A345,'Odoo Items'!$C$5:$C$4331,"&lt;="&amp;Cover!$C$15),2)</f>
        <v>737.17</v>
      </c>
      <c r="AA345">
        <f>COUNTIFS('Bank Lines'!$G$5:$G$1640,A345,'Bank Lines'!$J$5:$J$1640,1,'Bank Lines'!$C$5:$C$1640,"&lt;="&amp;Cover!$C$15)</f>
        <v>1</v>
      </c>
      <c r="AB345">
        <f>COUNTIFS('Odoo Items'!$J$5:$J$4331,A345,'Odoo Items'!$C$5:$C$4331,"&lt;="&amp;Cover!$C$15)</f>
        <v>3</v>
      </c>
      <c r="AC345" t="str">
        <f>IF(AND(AA345=0,AB345=0),"",IF(AA345=0,"ODOO-ONLY",IF(AB345=0,"BANK-ONLY","BOTH")))</f>
        <v>BOTH</v>
      </c>
      <c r="AD345" s="9">
        <f>IF(AC345="BOTH",ROUND(Y345-Z345,2),0)</f>
        <v>0</v>
      </c>
    </row>
    <row r="346">
      <c r="A346" t="inlineStr">
        <is>
          <t>G00342</t>
        </is>
      </c>
      <c r="B346" t="inlineStr">
        <is>
          <t>OPS</t>
        </is>
      </c>
      <c r="C346" t="inlineStr">
        <is>
          <t>R03</t>
        </is>
      </c>
      <c r="D346" t="inlineStr">
        <is>
          <t>MATCH</t>
        </is>
      </c>
      <c r="E346" t="inlineStr">
        <is>
          <t>Clearpath NDIS Plans</t>
        </is>
      </c>
      <c r="F346" t="n">
        <v>1</v>
      </c>
      <c r="G346" t="inlineStr">
        <is>
          <t>6 invoices</t>
        </is>
      </c>
      <c r="H346">
        <f>COUNTIFS('Bank Lines'!$G$5:$G$1640,A346,'Bank Lines'!$J$5:$J$1640,1)</f>
        <v>1</v>
      </c>
      <c r="I346">
        <f>COUNTIFS('Odoo Items'!$J$5:$J$4331,A346)</f>
        <v>6</v>
      </c>
      <c r="J346" s="9">
        <f>ROUND(SUMIFS('Bank Lines'!$E$5:$E$1640,'Bank Lines'!$G$5:$G$1640,A346,'Bank Lines'!$J$5:$J$1640,1),2)</f>
        <v>1407.34</v>
      </c>
      <c r="K346" s="9">
        <f>ROUND(SUMIFS('Odoo Items'!$G$5:$G$4331,'Odoo Items'!$J$5:$J$4331,A346),2)</f>
        <v>1407.34</v>
      </c>
      <c r="L346" s="9">
        <f>ROUND(J346-K346,2)</f>
        <v>0</v>
      </c>
      <c r="M346" s="9">
        <f>ROUND(SUMIFS('Bank Lines'!$E$5:$E$1640,'Bank Lines'!$G$5:$G$1640,A346,'Bank Lines'!$J$5:$J$1640,1,'Bank Lines'!$C$5:$C$1640,"&lt;="&amp;Cover!$C$13),2)</f>
        <v>0</v>
      </c>
      <c r="N346" s="9">
        <f>ROUND(SUMIFS('Odoo Items'!$G$5:$G$4331,'Odoo Items'!$J$5:$J$4331,A346,'Odoo Items'!$C$5:$C$4331,"&lt;="&amp;Cover!$C$13),2)</f>
        <v>0</v>
      </c>
      <c r="O346">
        <f>COUNTIFS('Bank Lines'!$G$5:$G$1640,A346,'Bank Lines'!$J$5:$J$1640,1,'Bank Lines'!$C$5:$C$1640,"&lt;="&amp;Cover!$C$13)</f>
        <v>0</v>
      </c>
      <c r="P346">
        <f>COUNTIFS('Odoo Items'!$J$5:$J$4331,A346,'Odoo Items'!$C$5:$C$4331,"&lt;="&amp;Cover!$C$13)</f>
        <v>0</v>
      </c>
      <c r="Q346">
        <f>IF(AND(O346=0,P346=0),"",IF(O346=0,"ODOO-ONLY",IF(P346=0,"BANK-ONLY","BOTH")))</f>
      </c>
      <c r="R346" s="9">
        <f>IF(Q346="BOTH",ROUND(M346-N346,2),0)</f>
        <v>0</v>
      </c>
      <c r="S346" s="9">
        <f>ROUND(SUMIFS('Bank Lines'!$E$5:$E$1640,'Bank Lines'!$G$5:$G$1640,A346,'Bank Lines'!$J$5:$J$1640,1,'Bank Lines'!$C$5:$C$1640,"&lt;="&amp;Cover!$C$14),2)</f>
        <v>1407.34</v>
      </c>
      <c r="T346" s="9">
        <f>ROUND(SUMIFS('Odoo Items'!$G$5:$G$4331,'Odoo Items'!$J$5:$J$4331,A346,'Odoo Items'!$C$5:$C$4331,"&lt;="&amp;Cover!$C$14),2)</f>
        <v>1407.34</v>
      </c>
      <c r="U346">
        <f>COUNTIFS('Bank Lines'!$G$5:$G$1640,A346,'Bank Lines'!$J$5:$J$1640,1,'Bank Lines'!$C$5:$C$1640,"&lt;="&amp;Cover!$C$14)</f>
        <v>1</v>
      </c>
      <c r="V346">
        <f>COUNTIFS('Odoo Items'!$J$5:$J$4331,A346,'Odoo Items'!$C$5:$C$4331,"&lt;="&amp;Cover!$C$14)</f>
        <v>6</v>
      </c>
      <c r="W346" t="str">
        <f>IF(AND(U346=0,V346=0),"",IF(U346=0,"ODOO-ONLY",IF(V346=0,"BANK-ONLY","BOTH")))</f>
        <v>BOTH</v>
      </c>
      <c r="X346" s="9">
        <f>IF(W346="BOTH",ROUND(S346-T346,2),0)</f>
        <v>0</v>
      </c>
      <c r="Y346" s="9">
        <f>ROUND(SUMIFS('Bank Lines'!$E$5:$E$1640,'Bank Lines'!$G$5:$G$1640,A346,'Bank Lines'!$J$5:$J$1640,1,'Bank Lines'!$C$5:$C$1640,"&lt;="&amp;Cover!$C$15),2)</f>
        <v>1407.34</v>
      </c>
      <c r="Z346" s="9">
        <f>ROUND(SUMIFS('Odoo Items'!$G$5:$G$4331,'Odoo Items'!$J$5:$J$4331,A346,'Odoo Items'!$C$5:$C$4331,"&lt;="&amp;Cover!$C$15),2)</f>
        <v>1407.34</v>
      </c>
      <c r="AA346">
        <f>COUNTIFS('Bank Lines'!$G$5:$G$1640,A346,'Bank Lines'!$J$5:$J$1640,1,'Bank Lines'!$C$5:$C$1640,"&lt;="&amp;Cover!$C$15)</f>
        <v>1</v>
      </c>
      <c r="AB346">
        <f>COUNTIFS('Odoo Items'!$J$5:$J$4331,A346,'Odoo Items'!$C$5:$C$4331,"&lt;="&amp;Cover!$C$15)</f>
        <v>6</v>
      </c>
      <c r="AC346" t="str">
        <f>IF(AND(AA346=0,AB346=0),"",IF(AA346=0,"ODOO-ONLY",IF(AB346=0,"BANK-ONLY","BOTH")))</f>
        <v>BOTH</v>
      </c>
      <c r="AD346" s="9">
        <f>IF(AC346="BOTH",ROUND(Y346-Z346,2),0)</f>
        <v>0</v>
      </c>
    </row>
    <row r="347">
      <c r="A347" t="inlineStr">
        <is>
          <t>G00343</t>
        </is>
      </c>
      <c r="B347" t="inlineStr">
        <is>
          <t>OPS</t>
        </is>
      </c>
      <c r="C347" t="inlineStr">
        <is>
          <t>R03</t>
        </is>
      </c>
      <c r="D347" t="inlineStr">
        <is>
          <t>MATCH</t>
        </is>
      </c>
      <c r="E347" t="inlineStr">
        <is>
          <t>Wattle Plan Services</t>
        </is>
      </c>
      <c r="F347" t="n">
        <v>0.973</v>
      </c>
      <c r="G347" t="inlineStr">
        <is>
          <t>4 invoices</t>
        </is>
      </c>
      <c r="H347">
        <f>COUNTIFS('Bank Lines'!$G$5:$G$1640,A347,'Bank Lines'!$J$5:$J$1640,1)</f>
        <v>1</v>
      </c>
      <c r="I347">
        <f>COUNTIFS('Odoo Items'!$J$5:$J$4331,A347)</f>
        <v>4</v>
      </c>
      <c r="J347" s="9">
        <f>ROUND(SUMIFS('Bank Lines'!$E$5:$E$1640,'Bank Lines'!$G$5:$G$1640,A347,'Bank Lines'!$J$5:$J$1640,1),2)</f>
        <v>1397.63</v>
      </c>
      <c r="K347" s="9">
        <f>ROUND(SUMIFS('Odoo Items'!$G$5:$G$4331,'Odoo Items'!$J$5:$J$4331,A347),2)</f>
        <v>1397.63</v>
      </c>
      <c r="L347" s="9">
        <f>ROUND(J347-K347,2)</f>
        <v>0</v>
      </c>
      <c r="M347" s="9">
        <f>ROUND(SUMIFS('Bank Lines'!$E$5:$E$1640,'Bank Lines'!$G$5:$G$1640,A347,'Bank Lines'!$J$5:$J$1640,1,'Bank Lines'!$C$5:$C$1640,"&lt;="&amp;Cover!$C$13),2)</f>
        <v>0</v>
      </c>
      <c r="N347" s="9">
        <f>ROUND(SUMIFS('Odoo Items'!$G$5:$G$4331,'Odoo Items'!$J$5:$J$4331,A347,'Odoo Items'!$C$5:$C$4331,"&lt;="&amp;Cover!$C$13),2)</f>
        <v>0</v>
      </c>
      <c r="O347">
        <f>COUNTIFS('Bank Lines'!$G$5:$G$1640,A347,'Bank Lines'!$J$5:$J$1640,1,'Bank Lines'!$C$5:$C$1640,"&lt;="&amp;Cover!$C$13)</f>
        <v>0</v>
      </c>
      <c r="P347">
        <f>COUNTIFS('Odoo Items'!$J$5:$J$4331,A347,'Odoo Items'!$C$5:$C$4331,"&lt;="&amp;Cover!$C$13)</f>
        <v>0</v>
      </c>
      <c r="Q347">
        <f>IF(AND(O347=0,P347=0),"",IF(O347=0,"ODOO-ONLY",IF(P347=0,"BANK-ONLY","BOTH")))</f>
      </c>
      <c r="R347" s="9">
        <f>IF(Q347="BOTH",ROUND(M347-N347,2),0)</f>
        <v>0</v>
      </c>
      <c r="S347" s="9">
        <f>ROUND(SUMIFS('Bank Lines'!$E$5:$E$1640,'Bank Lines'!$G$5:$G$1640,A347,'Bank Lines'!$J$5:$J$1640,1,'Bank Lines'!$C$5:$C$1640,"&lt;="&amp;Cover!$C$14),2)</f>
        <v>1397.63</v>
      </c>
      <c r="T347" s="9">
        <f>ROUND(SUMIFS('Odoo Items'!$G$5:$G$4331,'Odoo Items'!$J$5:$J$4331,A347,'Odoo Items'!$C$5:$C$4331,"&lt;="&amp;Cover!$C$14),2)</f>
        <v>1397.63</v>
      </c>
      <c r="U347">
        <f>COUNTIFS('Bank Lines'!$G$5:$G$1640,A347,'Bank Lines'!$J$5:$J$1640,1,'Bank Lines'!$C$5:$C$1640,"&lt;="&amp;Cover!$C$14)</f>
        <v>1</v>
      </c>
      <c r="V347">
        <f>COUNTIFS('Odoo Items'!$J$5:$J$4331,A347,'Odoo Items'!$C$5:$C$4331,"&lt;="&amp;Cover!$C$14)</f>
        <v>4</v>
      </c>
      <c r="W347" t="str">
        <f>IF(AND(U347=0,V347=0),"",IF(U347=0,"ODOO-ONLY",IF(V347=0,"BANK-ONLY","BOTH")))</f>
        <v>BOTH</v>
      </c>
      <c r="X347" s="9">
        <f>IF(W347="BOTH",ROUND(S347-T347,2),0)</f>
        <v>0</v>
      </c>
      <c r="Y347" s="9">
        <f>ROUND(SUMIFS('Bank Lines'!$E$5:$E$1640,'Bank Lines'!$G$5:$G$1640,A347,'Bank Lines'!$J$5:$J$1640,1,'Bank Lines'!$C$5:$C$1640,"&lt;="&amp;Cover!$C$15),2)</f>
        <v>1397.63</v>
      </c>
      <c r="Z347" s="9">
        <f>ROUND(SUMIFS('Odoo Items'!$G$5:$G$4331,'Odoo Items'!$J$5:$J$4331,A347,'Odoo Items'!$C$5:$C$4331,"&lt;="&amp;Cover!$C$15),2)</f>
        <v>1397.63</v>
      </c>
      <c r="AA347">
        <f>COUNTIFS('Bank Lines'!$G$5:$G$1640,A347,'Bank Lines'!$J$5:$J$1640,1,'Bank Lines'!$C$5:$C$1640,"&lt;="&amp;Cover!$C$15)</f>
        <v>1</v>
      </c>
      <c r="AB347">
        <f>COUNTIFS('Odoo Items'!$J$5:$J$4331,A347,'Odoo Items'!$C$5:$C$4331,"&lt;="&amp;Cover!$C$15)</f>
        <v>4</v>
      </c>
      <c r="AC347" t="str">
        <f>IF(AND(AA347=0,AB347=0),"",IF(AA347=0,"ODOO-ONLY",IF(AB347=0,"BANK-ONLY","BOTH")))</f>
        <v>BOTH</v>
      </c>
      <c r="AD347" s="9">
        <f>IF(AC347="BOTH",ROUND(Y347-Z347,2),0)</f>
        <v>0</v>
      </c>
    </row>
    <row r="348">
      <c r="A348" t="inlineStr">
        <is>
          <t>G00344</t>
        </is>
      </c>
      <c r="B348" t="inlineStr">
        <is>
          <t>OPS</t>
        </is>
      </c>
      <c r="C348" t="inlineStr">
        <is>
          <t>R03</t>
        </is>
      </c>
      <c r="D348" t="inlineStr">
        <is>
          <t>MATCH</t>
        </is>
      </c>
      <c r="E348" t="inlineStr">
        <is>
          <t>Banksia Plan Co</t>
        </is>
      </c>
      <c r="F348" t="n">
        <v>1</v>
      </c>
      <c r="G348" t="inlineStr">
        <is>
          <t>1 invoices</t>
        </is>
      </c>
      <c r="H348">
        <f>COUNTIFS('Bank Lines'!$G$5:$G$1640,A348,'Bank Lines'!$J$5:$J$1640,1)</f>
        <v>1</v>
      </c>
      <c r="I348">
        <f>COUNTIFS('Odoo Items'!$J$5:$J$4331,A348)</f>
        <v>1</v>
      </c>
      <c r="J348" s="9">
        <f>ROUND(SUMIFS('Bank Lines'!$E$5:$E$1640,'Bank Lines'!$G$5:$G$1640,A348,'Bank Lines'!$J$5:$J$1640,1),2)</f>
        <v>387.98</v>
      </c>
      <c r="K348" s="9">
        <f>ROUND(SUMIFS('Odoo Items'!$G$5:$G$4331,'Odoo Items'!$J$5:$J$4331,A348),2)</f>
        <v>387.98</v>
      </c>
      <c r="L348" s="9">
        <f>ROUND(J348-K348,2)</f>
        <v>0</v>
      </c>
      <c r="M348" s="9">
        <f>ROUND(SUMIFS('Bank Lines'!$E$5:$E$1640,'Bank Lines'!$G$5:$G$1640,A348,'Bank Lines'!$J$5:$J$1640,1,'Bank Lines'!$C$5:$C$1640,"&lt;="&amp;Cover!$C$13),2)</f>
        <v>0</v>
      </c>
      <c r="N348" s="9">
        <f>ROUND(SUMIFS('Odoo Items'!$G$5:$G$4331,'Odoo Items'!$J$5:$J$4331,A348,'Odoo Items'!$C$5:$C$4331,"&lt;="&amp;Cover!$C$13),2)</f>
        <v>0</v>
      </c>
      <c r="O348">
        <f>COUNTIFS('Bank Lines'!$G$5:$G$1640,A348,'Bank Lines'!$J$5:$J$1640,1,'Bank Lines'!$C$5:$C$1640,"&lt;="&amp;Cover!$C$13)</f>
        <v>0</v>
      </c>
      <c r="P348">
        <f>COUNTIFS('Odoo Items'!$J$5:$J$4331,A348,'Odoo Items'!$C$5:$C$4331,"&lt;="&amp;Cover!$C$13)</f>
        <v>0</v>
      </c>
      <c r="Q348">
        <f>IF(AND(O348=0,P348=0),"",IF(O348=0,"ODOO-ONLY",IF(P348=0,"BANK-ONLY","BOTH")))</f>
      </c>
      <c r="R348" s="9">
        <f>IF(Q348="BOTH",ROUND(M348-N348,2),0)</f>
        <v>0</v>
      </c>
      <c r="S348" s="9">
        <f>ROUND(SUMIFS('Bank Lines'!$E$5:$E$1640,'Bank Lines'!$G$5:$G$1640,A348,'Bank Lines'!$J$5:$J$1640,1,'Bank Lines'!$C$5:$C$1640,"&lt;="&amp;Cover!$C$14),2)</f>
        <v>387.98</v>
      </c>
      <c r="T348" s="9">
        <f>ROUND(SUMIFS('Odoo Items'!$G$5:$G$4331,'Odoo Items'!$J$5:$J$4331,A348,'Odoo Items'!$C$5:$C$4331,"&lt;="&amp;Cover!$C$14),2)</f>
        <v>387.98</v>
      </c>
      <c r="U348">
        <f>COUNTIFS('Bank Lines'!$G$5:$G$1640,A348,'Bank Lines'!$J$5:$J$1640,1,'Bank Lines'!$C$5:$C$1640,"&lt;="&amp;Cover!$C$14)</f>
        <v>1</v>
      </c>
      <c r="V348">
        <f>COUNTIFS('Odoo Items'!$J$5:$J$4331,A348,'Odoo Items'!$C$5:$C$4331,"&lt;="&amp;Cover!$C$14)</f>
        <v>1</v>
      </c>
      <c r="W348" t="str">
        <f>IF(AND(U348=0,V348=0),"",IF(U348=0,"ODOO-ONLY",IF(V348=0,"BANK-ONLY","BOTH")))</f>
        <v>BOTH</v>
      </c>
      <c r="X348" s="9">
        <f>IF(W348="BOTH",ROUND(S348-T348,2),0)</f>
        <v>0</v>
      </c>
      <c r="Y348" s="9">
        <f>ROUND(SUMIFS('Bank Lines'!$E$5:$E$1640,'Bank Lines'!$G$5:$G$1640,A348,'Bank Lines'!$J$5:$J$1640,1,'Bank Lines'!$C$5:$C$1640,"&lt;="&amp;Cover!$C$15),2)</f>
        <v>387.98</v>
      </c>
      <c r="Z348" s="9">
        <f>ROUND(SUMIFS('Odoo Items'!$G$5:$G$4331,'Odoo Items'!$J$5:$J$4331,A348,'Odoo Items'!$C$5:$C$4331,"&lt;="&amp;Cover!$C$15),2)</f>
        <v>387.98</v>
      </c>
      <c r="AA348">
        <f>COUNTIFS('Bank Lines'!$G$5:$G$1640,A348,'Bank Lines'!$J$5:$J$1640,1,'Bank Lines'!$C$5:$C$1640,"&lt;="&amp;Cover!$C$15)</f>
        <v>1</v>
      </c>
      <c r="AB348">
        <f>COUNTIFS('Odoo Items'!$J$5:$J$4331,A348,'Odoo Items'!$C$5:$C$4331,"&lt;="&amp;Cover!$C$15)</f>
        <v>1</v>
      </c>
      <c r="AC348" t="str">
        <f>IF(AND(AA348=0,AB348=0),"",IF(AA348=0,"ODOO-ONLY",IF(AB348=0,"BANK-ONLY","BOTH")))</f>
        <v>BOTH</v>
      </c>
      <c r="AD348" s="9">
        <f>IF(AC348="BOTH",ROUND(Y348-Z348,2),0)</f>
        <v>0</v>
      </c>
    </row>
    <row r="349">
      <c r="A349" t="inlineStr">
        <is>
          <t>G00345</t>
        </is>
      </c>
      <c r="B349" t="inlineStr">
        <is>
          <t>OPS</t>
        </is>
      </c>
      <c r="C349" t="inlineStr">
        <is>
          <t>R03</t>
        </is>
      </c>
      <c r="D349" t="inlineStr">
        <is>
          <t>MATCH</t>
        </is>
      </c>
      <c r="E349" t="inlineStr">
        <is>
          <t>Kookaburra Plan Support</t>
        </is>
      </c>
      <c r="F349" t="n">
        <v>1</v>
      </c>
      <c r="G349" t="inlineStr">
        <is>
          <t>6 invoices</t>
        </is>
      </c>
      <c r="H349">
        <f>COUNTIFS('Bank Lines'!$G$5:$G$1640,A349,'Bank Lines'!$J$5:$J$1640,1)</f>
        <v>1</v>
      </c>
      <c r="I349">
        <f>COUNTIFS('Odoo Items'!$J$5:$J$4331,A349)</f>
        <v>6</v>
      </c>
      <c r="J349" s="9">
        <f>ROUND(SUMIFS('Bank Lines'!$E$5:$E$1640,'Bank Lines'!$G$5:$G$1640,A349,'Bank Lines'!$J$5:$J$1640,1),2)</f>
        <v>1610.12</v>
      </c>
      <c r="K349" s="9">
        <f>ROUND(SUMIFS('Odoo Items'!$G$5:$G$4331,'Odoo Items'!$J$5:$J$4331,A349),2)</f>
        <v>1610.12</v>
      </c>
      <c r="L349" s="9">
        <f>ROUND(J349-K349,2)</f>
        <v>0</v>
      </c>
      <c r="M349" s="9">
        <f>ROUND(SUMIFS('Bank Lines'!$E$5:$E$1640,'Bank Lines'!$G$5:$G$1640,A349,'Bank Lines'!$J$5:$J$1640,1,'Bank Lines'!$C$5:$C$1640,"&lt;="&amp;Cover!$C$13),2)</f>
        <v>0</v>
      </c>
      <c r="N349" s="9">
        <f>ROUND(SUMIFS('Odoo Items'!$G$5:$G$4331,'Odoo Items'!$J$5:$J$4331,A349,'Odoo Items'!$C$5:$C$4331,"&lt;="&amp;Cover!$C$13),2)</f>
        <v>0</v>
      </c>
      <c r="O349">
        <f>COUNTIFS('Bank Lines'!$G$5:$G$1640,A349,'Bank Lines'!$J$5:$J$1640,1,'Bank Lines'!$C$5:$C$1640,"&lt;="&amp;Cover!$C$13)</f>
        <v>0</v>
      </c>
      <c r="P349">
        <f>COUNTIFS('Odoo Items'!$J$5:$J$4331,A349,'Odoo Items'!$C$5:$C$4331,"&lt;="&amp;Cover!$C$13)</f>
        <v>0</v>
      </c>
      <c r="Q349">
        <f>IF(AND(O349=0,P349=0),"",IF(O349=0,"ODOO-ONLY",IF(P349=0,"BANK-ONLY","BOTH")))</f>
      </c>
      <c r="R349" s="9">
        <f>IF(Q349="BOTH",ROUND(M349-N349,2),0)</f>
        <v>0</v>
      </c>
      <c r="S349" s="9">
        <f>ROUND(SUMIFS('Bank Lines'!$E$5:$E$1640,'Bank Lines'!$G$5:$G$1640,A349,'Bank Lines'!$J$5:$J$1640,1,'Bank Lines'!$C$5:$C$1640,"&lt;="&amp;Cover!$C$14),2)</f>
        <v>1610.12</v>
      </c>
      <c r="T349" s="9">
        <f>ROUND(SUMIFS('Odoo Items'!$G$5:$G$4331,'Odoo Items'!$J$5:$J$4331,A349,'Odoo Items'!$C$5:$C$4331,"&lt;="&amp;Cover!$C$14),2)</f>
        <v>1610.12</v>
      </c>
      <c r="U349">
        <f>COUNTIFS('Bank Lines'!$G$5:$G$1640,A349,'Bank Lines'!$J$5:$J$1640,1,'Bank Lines'!$C$5:$C$1640,"&lt;="&amp;Cover!$C$14)</f>
        <v>1</v>
      </c>
      <c r="V349">
        <f>COUNTIFS('Odoo Items'!$J$5:$J$4331,A349,'Odoo Items'!$C$5:$C$4331,"&lt;="&amp;Cover!$C$14)</f>
        <v>6</v>
      </c>
      <c r="W349" t="str">
        <f>IF(AND(U349=0,V349=0),"",IF(U349=0,"ODOO-ONLY",IF(V349=0,"BANK-ONLY","BOTH")))</f>
        <v>BOTH</v>
      </c>
      <c r="X349" s="9">
        <f>IF(W349="BOTH",ROUND(S349-T349,2),0)</f>
        <v>0</v>
      </c>
      <c r="Y349" s="9">
        <f>ROUND(SUMIFS('Bank Lines'!$E$5:$E$1640,'Bank Lines'!$G$5:$G$1640,A349,'Bank Lines'!$J$5:$J$1640,1,'Bank Lines'!$C$5:$C$1640,"&lt;="&amp;Cover!$C$15),2)</f>
        <v>1610.12</v>
      </c>
      <c r="Z349" s="9">
        <f>ROUND(SUMIFS('Odoo Items'!$G$5:$G$4331,'Odoo Items'!$J$5:$J$4331,A349,'Odoo Items'!$C$5:$C$4331,"&lt;="&amp;Cover!$C$15),2)</f>
        <v>1610.12</v>
      </c>
      <c r="AA349">
        <f>COUNTIFS('Bank Lines'!$G$5:$G$1640,A349,'Bank Lines'!$J$5:$J$1640,1,'Bank Lines'!$C$5:$C$1640,"&lt;="&amp;Cover!$C$15)</f>
        <v>1</v>
      </c>
      <c r="AB349">
        <f>COUNTIFS('Odoo Items'!$J$5:$J$4331,A349,'Odoo Items'!$C$5:$C$4331,"&lt;="&amp;Cover!$C$15)</f>
        <v>6</v>
      </c>
      <c r="AC349" t="str">
        <f>IF(AND(AA349=0,AB349=0),"",IF(AA349=0,"ODOO-ONLY",IF(AB349=0,"BANK-ONLY","BOTH")))</f>
        <v>BOTH</v>
      </c>
      <c r="AD349" s="9">
        <f>IF(AC349="BOTH",ROUND(Y349-Z349,2),0)</f>
        <v>0</v>
      </c>
    </row>
    <row r="350">
      <c r="A350" t="inlineStr">
        <is>
          <t>G00346</t>
        </is>
      </c>
      <c r="B350" t="inlineStr">
        <is>
          <t>OPS</t>
        </is>
      </c>
      <c r="C350" t="inlineStr">
        <is>
          <t>R03</t>
        </is>
      </c>
      <c r="D350" t="inlineStr">
        <is>
          <t>REG</t>
        </is>
      </c>
      <c r="E350" t="inlineStr">
        <is>
          <t>Bluegum Plan Management</t>
        </is>
      </c>
      <c r="F350" t="n">
        <v>1</v>
      </c>
      <c r="G350" t="inlineStr">
        <is>
          <t>Receipt not registered in Odoo; remittance RA45067 lists 10 invoices</t>
        </is>
      </c>
      <c r="H350">
        <f>COUNTIFS('Bank Lines'!$G$5:$G$1640,A350,'Bank Lines'!$J$5:$J$1640,1)</f>
        <v>1</v>
      </c>
      <c r="I350">
        <f>COUNTIFS('Odoo Items'!$J$5:$J$4331,A350)</f>
        <v>0</v>
      </c>
      <c r="J350" s="9">
        <f>ROUND(SUMIFS('Bank Lines'!$E$5:$E$1640,'Bank Lines'!$G$5:$G$1640,A350,'Bank Lines'!$J$5:$J$1640,1),2)</f>
        <v>2476.06</v>
      </c>
      <c r="K350" s="9">
        <f>ROUND(SUMIFS('Odoo Items'!$G$5:$G$4331,'Odoo Items'!$J$5:$J$4331,A350),2)</f>
        <v>0</v>
      </c>
      <c r="L350" s="9">
        <f>ROUND(J350-K350,2)</f>
        <v>2476.06</v>
      </c>
      <c r="M350" s="9">
        <f>ROUND(SUMIFS('Bank Lines'!$E$5:$E$1640,'Bank Lines'!$G$5:$G$1640,A350,'Bank Lines'!$J$5:$J$1640,1,'Bank Lines'!$C$5:$C$1640,"&lt;="&amp;Cover!$C$13),2)</f>
        <v>0</v>
      </c>
      <c r="N350" s="9">
        <f>ROUND(SUMIFS('Odoo Items'!$G$5:$G$4331,'Odoo Items'!$J$5:$J$4331,A350,'Odoo Items'!$C$5:$C$4331,"&lt;="&amp;Cover!$C$13),2)</f>
        <v>0</v>
      </c>
      <c r="O350">
        <f>COUNTIFS('Bank Lines'!$G$5:$G$1640,A350,'Bank Lines'!$J$5:$J$1640,1,'Bank Lines'!$C$5:$C$1640,"&lt;="&amp;Cover!$C$13)</f>
        <v>0</v>
      </c>
      <c r="P350">
        <f>COUNTIFS('Odoo Items'!$J$5:$J$4331,A350,'Odoo Items'!$C$5:$C$4331,"&lt;="&amp;Cover!$C$13)</f>
        <v>0</v>
      </c>
      <c r="Q350">
        <f>IF(AND(O350=0,P350=0),"",IF(O350=0,"ODOO-ONLY",IF(P350=0,"BANK-ONLY","BOTH")))</f>
      </c>
      <c r="R350" s="9">
        <f>IF(Q350="BOTH",ROUND(M350-N350,2),0)</f>
        <v>0</v>
      </c>
      <c r="S350" s="9">
        <f>ROUND(SUMIFS('Bank Lines'!$E$5:$E$1640,'Bank Lines'!$G$5:$G$1640,A350,'Bank Lines'!$J$5:$J$1640,1,'Bank Lines'!$C$5:$C$1640,"&lt;="&amp;Cover!$C$14),2)</f>
        <v>2476.06</v>
      </c>
      <c r="T350" s="9">
        <f>ROUND(SUMIFS('Odoo Items'!$G$5:$G$4331,'Odoo Items'!$J$5:$J$4331,A350,'Odoo Items'!$C$5:$C$4331,"&lt;="&amp;Cover!$C$14),2)</f>
        <v>0</v>
      </c>
      <c r="U350">
        <f>COUNTIFS('Bank Lines'!$G$5:$G$1640,A350,'Bank Lines'!$J$5:$J$1640,1,'Bank Lines'!$C$5:$C$1640,"&lt;="&amp;Cover!$C$14)</f>
        <v>1</v>
      </c>
      <c r="V350">
        <f>COUNTIFS('Odoo Items'!$J$5:$J$4331,A350,'Odoo Items'!$C$5:$C$4331,"&lt;="&amp;Cover!$C$14)</f>
        <v>0</v>
      </c>
      <c r="W350" t="str">
        <f>IF(AND(U350=0,V350=0),"",IF(U350=0,"ODOO-ONLY",IF(V350=0,"BANK-ONLY","BOTH")))</f>
        <v>BANK-ONLY</v>
      </c>
      <c r="X350" s="9">
        <f>IF(W350="BOTH",ROUND(S350-T350,2),0)</f>
        <v>0</v>
      </c>
      <c r="Y350" s="9">
        <f>ROUND(SUMIFS('Bank Lines'!$E$5:$E$1640,'Bank Lines'!$G$5:$G$1640,A350,'Bank Lines'!$J$5:$J$1640,1,'Bank Lines'!$C$5:$C$1640,"&lt;="&amp;Cover!$C$15),2)</f>
        <v>2476.06</v>
      </c>
      <c r="Z350" s="9">
        <f>ROUND(SUMIFS('Odoo Items'!$G$5:$G$4331,'Odoo Items'!$J$5:$J$4331,A350,'Odoo Items'!$C$5:$C$4331,"&lt;="&amp;Cover!$C$15),2)</f>
        <v>0</v>
      </c>
      <c r="AA350">
        <f>COUNTIFS('Bank Lines'!$G$5:$G$1640,A350,'Bank Lines'!$J$5:$J$1640,1,'Bank Lines'!$C$5:$C$1640,"&lt;="&amp;Cover!$C$15)</f>
        <v>1</v>
      </c>
      <c r="AB350">
        <f>COUNTIFS('Odoo Items'!$J$5:$J$4331,A350,'Odoo Items'!$C$5:$C$4331,"&lt;="&amp;Cover!$C$15)</f>
        <v>0</v>
      </c>
      <c r="AC350" t="str">
        <f>IF(AND(AA350=0,AB350=0),"",IF(AA350=0,"ODOO-ONLY",IF(AB350=0,"BANK-ONLY","BOTH")))</f>
        <v>BANK-ONLY</v>
      </c>
      <c r="AD350" s="9">
        <f>IF(AC350="BOTH",ROUND(Y350-Z350,2),0)</f>
        <v>0</v>
      </c>
    </row>
    <row r="351">
      <c r="A351" t="inlineStr">
        <is>
          <t>G00347</t>
        </is>
      </c>
      <c r="B351" t="inlineStr">
        <is>
          <t>OPS</t>
        </is>
      </c>
      <c r="C351" t="inlineStr">
        <is>
          <t>R03</t>
        </is>
      </c>
      <c r="D351" t="inlineStr">
        <is>
          <t>MATCH</t>
        </is>
      </c>
      <c r="E351" t="inlineStr">
        <is>
          <t>Riverbend Plan Partners</t>
        </is>
      </c>
      <c r="F351" t="n">
        <v>1</v>
      </c>
      <c r="G351" t="inlineStr">
        <is>
          <t>3 invoices</t>
        </is>
      </c>
      <c r="H351">
        <f>COUNTIFS('Bank Lines'!$G$5:$G$1640,A351,'Bank Lines'!$J$5:$J$1640,1)</f>
        <v>1</v>
      </c>
      <c r="I351">
        <f>COUNTIFS('Odoo Items'!$J$5:$J$4331,A351)</f>
        <v>3</v>
      </c>
      <c r="J351" s="9">
        <f>ROUND(SUMIFS('Bank Lines'!$E$5:$E$1640,'Bank Lines'!$G$5:$G$1640,A351,'Bank Lines'!$J$5:$J$1640,1),2)</f>
        <v>484.97</v>
      </c>
      <c r="K351" s="9">
        <f>ROUND(SUMIFS('Odoo Items'!$G$5:$G$4331,'Odoo Items'!$J$5:$J$4331,A351),2)</f>
        <v>484.97</v>
      </c>
      <c r="L351" s="9">
        <f>ROUND(J351-K351,2)</f>
        <v>0</v>
      </c>
      <c r="M351" s="9">
        <f>ROUND(SUMIFS('Bank Lines'!$E$5:$E$1640,'Bank Lines'!$G$5:$G$1640,A351,'Bank Lines'!$J$5:$J$1640,1,'Bank Lines'!$C$5:$C$1640,"&lt;="&amp;Cover!$C$13),2)</f>
        <v>0</v>
      </c>
      <c r="N351" s="9">
        <f>ROUND(SUMIFS('Odoo Items'!$G$5:$G$4331,'Odoo Items'!$J$5:$J$4331,A351,'Odoo Items'!$C$5:$C$4331,"&lt;="&amp;Cover!$C$13),2)</f>
        <v>0</v>
      </c>
      <c r="O351">
        <f>COUNTIFS('Bank Lines'!$G$5:$G$1640,A351,'Bank Lines'!$J$5:$J$1640,1,'Bank Lines'!$C$5:$C$1640,"&lt;="&amp;Cover!$C$13)</f>
        <v>0</v>
      </c>
      <c r="P351">
        <f>COUNTIFS('Odoo Items'!$J$5:$J$4331,A351,'Odoo Items'!$C$5:$C$4331,"&lt;="&amp;Cover!$C$13)</f>
        <v>0</v>
      </c>
      <c r="Q351">
        <f>IF(AND(O351=0,P351=0),"",IF(O351=0,"ODOO-ONLY",IF(P351=0,"BANK-ONLY","BOTH")))</f>
      </c>
      <c r="R351" s="9">
        <f>IF(Q351="BOTH",ROUND(M351-N351,2),0)</f>
        <v>0</v>
      </c>
      <c r="S351" s="9">
        <f>ROUND(SUMIFS('Bank Lines'!$E$5:$E$1640,'Bank Lines'!$G$5:$G$1640,A351,'Bank Lines'!$J$5:$J$1640,1,'Bank Lines'!$C$5:$C$1640,"&lt;="&amp;Cover!$C$14),2)</f>
        <v>484.97</v>
      </c>
      <c r="T351" s="9">
        <f>ROUND(SUMIFS('Odoo Items'!$G$5:$G$4331,'Odoo Items'!$J$5:$J$4331,A351,'Odoo Items'!$C$5:$C$4331,"&lt;="&amp;Cover!$C$14),2)</f>
        <v>484.97</v>
      </c>
      <c r="U351">
        <f>COUNTIFS('Bank Lines'!$G$5:$G$1640,A351,'Bank Lines'!$J$5:$J$1640,1,'Bank Lines'!$C$5:$C$1640,"&lt;="&amp;Cover!$C$14)</f>
        <v>1</v>
      </c>
      <c r="V351">
        <f>COUNTIFS('Odoo Items'!$J$5:$J$4331,A351,'Odoo Items'!$C$5:$C$4331,"&lt;="&amp;Cover!$C$14)</f>
        <v>3</v>
      </c>
      <c r="W351" t="str">
        <f>IF(AND(U351=0,V351=0),"",IF(U351=0,"ODOO-ONLY",IF(V351=0,"BANK-ONLY","BOTH")))</f>
        <v>BOTH</v>
      </c>
      <c r="X351" s="9">
        <f>IF(W351="BOTH",ROUND(S351-T351,2),0)</f>
        <v>0</v>
      </c>
      <c r="Y351" s="9">
        <f>ROUND(SUMIFS('Bank Lines'!$E$5:$E$1640,'Bank Lines'!$G$5:$G$1640,A351,'Bank Lines'!$J$5:$J$1640,1,'Bank Lines'!$C$5:$C$1640,"&lt;="&amp;Cover!$C$15),2)</f>
        <v>484.97</v>
      </c>
      <c r="Z351" s="9">
        <f>ROUND(SUMIFS('Odoo Items'!$G$5:$G$4331,'Odoo Items'!$J$5:$J$4331,A351,'Odoo Items'!$C$5:$C$4331,"&lt;="&amp;Cover!$C$15),2)</f>
        <v>484.97</v>
      </c>
      <c r="AA351">
        <f>COUNTIFS('Bank Lines'!$G$5:$G$1640,A351,'Bank Lines'!$J$5:$J$1640,1,'Bank Lines'!$C$5:$C$1640,"&lt;="&amp;Cover!$C$15)</f>
        <v>1</v>
      </c>
      <c r="AB351">
        <f>COUNTIFS('Odoo Items'!$J$5:$J$4331,A351,'Odoo Items'!$C$5:$C$4331,"&lt;="&amp;Cover!$C$15)</f>
        <v>3</v>
      </c>
      <c r="AC351" t="str">
        <f>IF(AND(AA351=0,AB351=0),"",IF(AA351=0,"ODOO-ONLY",IF(AB351=0,"BANK-ONLY","BOTH")))</f>
        <v>BOTH</v>
      </c>
      <c r="AD351" s="9">
        <f>IF(AC351="BOTH",ROUND(Y351-Z351,2),0)</f>
        <v>0</v>
      </c>
    </row>
    <row r="352">
      <c r="A352" t="inlineStr">
        <is>
          <t>G00348</t>
        </is>
      </c>
      <c r="B352" t="inlineStr">
        <is>
          <t>OPS</t>
        </is>
      </c>
      <c r="C352" t="inlineStr">
        <is>
          <t>R03</t>
        </is>
      </c>
      <c r="D352" t="inlineStr">
        <is>
          <t>MATCH</t>
        </is>
      </c>
      <c r="E352" t="inlineStr">
        <is>
          <t>Clearpath NDIS Plans</t>
        </is>
      </c>
      <c r="F352" t="n">
        <v>1</v>
      </c>
      <c r="G352" t="inlineStr">
        <is>
          <t>2 invoices</t>
        </is>
      </c>
      <c r="H352">
        <f>COUNTIFS('Bank Lines'!$G$5:$G$1640,A352,'Bank Lines'!$J$5:$J$1640,1)</f>
        <v>1</v>
      </c>
      <c r="I352">
        <f>COUNTIFS('Odoo Items'!$J$5:$J$4331,A352)</f>
        <v>2</v>
      </c>
      <c r="J352" s="9">
        <f>ROUND(SUMIFS('Bank Lines'!$E$5:$E$1640,'Bank Lines'!$G$5:$G$1640,A352,'Bank Lines'!$J$5:$J$1640,1),2)</f>
        <v>514.97</v>
      </c>
      <c r="K352" s="9">
        <f>ROUND(SUMIFS('Odoo Items'!$G$5:$G$4331,'Odoo Items'!$J$5:$J$4331,A352),2)</f>
        <v>514.97</v>
      </c>
      <c r="L352" s="9">
        <f>ROUND(J352-K352,2)</f>
        <v>0</v>
      </c>
      <c r="M352" s="9">
        <f>ROUND(SUMIFS('Bank Lines'!$E$5:$E$1640,'Bank Lines'!$G$5:$G$1640,A352,'Bank Lines'!$J$5:$J$1640,1,'Bank Lines'!$C$5:$C$1640,"&lt;="&amp;Cover!$C$13),2)</f>
        <v>0</v>
      </c>
      <c r="N352" s="9">
        <f>ROUND(SUMIFS('Odoo Items'!$G$5:$G$4331,'Odoo Items'!$J$5:$J$4331,A352,'Odoo Items'!$C$5:$C$4331,"&lt;="&amp;Cover!$C$13),2)</f>
        <v>0</v>
      </c>
      <c r="O352">
        <f>COUNTIFS('Bank Lines'!$G$5:$G$1640,A352,'Bank Lines'!$J$5:$J$1640,1,'Bank Lines'!$C$5:$C$1640,"&lt;="&amp;Cover!$C$13)</f>
        <v>0</v>
      </c>
      <c r="P352">
        <f>COUNTIFS('Odoo Items'!$J$5:$J$4331,A352,'Odoo Items'!$C$5:$C$4331,"&lt;="&amp;Cover!$C$13)</f>
        <v>0</v>
      </c>
      <c r="Q352">
        <f>IF(AND(O352=0,P352=0),"",IF(O352=0,"ODOO-ONLY",IF(P352=0,"BANK-ONLY","BOTH")))</f>
      </c>
      <c r="R352" s="9">
        <f>IF(Q352="BOTH",ROUND(M352-N352,2),0)</f>
        <v>0</v>
      </c>
      <c r="S352" s="9">
        <f>ROUND(SUMIFS('Bank Lines'!$E$5:$E$1640,'Bank Lines'!$G$5:$G$1640,A352,'Bank Lines'!$J$5:$J$1640,1,'Bank Lines'!$C$5:$C$1640,"&lt;="&amp;Cover!$C$14),2)</f>
        <v>514.97</v>
      </c>
      <c r="T352" s="9">
        <f>ROUND(SUMIFS('Odoo Items'!$G$5:$G$4331,'Odoo Items'!$J$5:$J$4331,A352,'Odoo Items'!$C$5:$C$4331,"&lt;="&amp;Cover!$C$14),2)</f>
        <v>514.97</v>
      </c>
      <c r="U352">
        <f>COUNTIFS('Bank Lines'!$G$5:$G$1640,A352,'Bank Lines'!$J$5:$J$1640,1,'Bank Lines'!$C$5:$C$1640,"&lt;="&amp;Cover!$C$14)</f>
        <v>1</v>
      </c>
      <c r="V352">
        <f>COUNTIFS('Odoo Items'!$J$5:$J$4331,A352,'Odoo Items'!$C$5:$C$4331,"&lt;="&amp;Cover!$C$14)</f>
        <v>2</v>
      </c>
      <c r="W352" t="str">
        <f>IF(AND(U352=0,V352=0),"",IF(U352=0,"ODOO-ONLY",IF(V352=0,"BANK-ONLY","BOTH")))</f>
        <v>BOTH</v>
      </c>
      <c r="X352" s="9">
        <f>IF(W352="BOTH",ROUND(S352-T352,2),0)</f>
        <v>0</v>
      </c>
      <c r="Y352" s="9">
        <f>ROUND(SUMIFS('Bank Lines'!$E$5:$E$1640,'Bank Lines'!$G$5:$G$1640,A352,'Bank Lines'!$J$5:$J$1640,1,'Bank Lines'!$C$5:$C$1640,"&lt;="&amp;Cover!$C$15),2)</f>
        <v>514.97</v>
      </c>
      <c r="Z352" s="9">
        <f>ROUND(SUMIFS('Odoo Items'!$G$5:$G$4331,'Odoo Items'!$J$5:$J$4331,A352,'Odoo Items'!$C$5:$C$4331,"&lt;="&amp;Cover!$C$15),2)</f>
        <v>514.97</v>
      </c>
      <c r="AA352">
        <f>COUNTIFS('Bank Lines'!$G$5:$G$1640,A352,'Bank Lines'!$J$5:$J$1640,1,'Bank Lines'!$C$5:$C$1640,"&lt;="&amp;Cover!$C$15)</f>
        <v>1</v>
      </c>
      <c r="AB352">
        <f>COUNTIFS('Odoo Items'!$J$5:$J$4331,A352,'Odoo Items'!$C$5:$C$4331,"&lt;="&amp;Cover!$C$15)</f>
        <v>2</v>
      </c>
      <c r="AC352" t="str">
        <f>IF(AND(AA352=0,AB352=0),"",IF(AA352=0,"ODOO-ONLY",IF(AB352=0,"BANK-ONLY","BOTH")))</f>
        <v>BOTH</v>
      </c>
      <c r="AD352" s="9">
        <f>IF(AC352="BOTH",ROUND(Y352-Z352,2),0)</f>
        <v>0</v>
      </c>
    </row>
    <row r="353">
      <c r="A353" t="inlineStr">
        <is>
          <t>G00349</t>
        </is>
      </c>
      <c r="B353" t="inlineStr">
        <is>
          <t>OPS</t>
        </is>
      </c>
      <c r="C353" t="inlineStr">
        <is>
          <t>R03</t>
        </is>
      </c>
      <c r="D353" t="inlineStr">
        <is>
          <t>MATCH</t>
        </is>
      </c>
      <c r="E353" t="inlineStr">
        <is>
          <t>Wattle Plan Services</t>
        </is>
      </c>
      <c r="F353" t="n">
        <v>0.973</v>
      </c>
      <c r="G353" t="inlineStr">
        <is>
          <t>5 invoices</t>
        </is>
      </c>
      <c r="H353">
        <f>COUNTIFS('Bank Lines'!$G$5:$G$1640,A353,'Bank Lines'!$J$5:$J$1640,1)</f>
        <v>1</v>
      </c>
      <c r="I353">
        <f>COUNTIFS('Odoo Items'!$J$5:$J$4331,A353)</f>
        <v>5</v>
      </c>
      <c r="J353" s="9">
        <f>ROUND(SUMIFS('Bank Lines'!$E$5:$E$1640,'Bank Lines'!$G$5:$G$1640,A353,'Bank Lines'!$J$5:$J$1640,1),2)</f>
        <v>1407.34</v>
      </c>
      <c r="K353" s="9">
        <f>ROUND(SUMIFS('Odoo Items'!$G$5:$G$4331,'Odoo Items'!$J$5:$J$4331,A353),2)</f>
        <v>1407.34</v>
      </c>
      <c r="L353" s="9">
        <f>ROUND(J353-K353,2)</f>
        <v>0</v>
      </c>
      <c r="M353" s="9">
        <f>ROUND(SUMIFS('Bank Lines'!$E$5:$E$1640,'Bank Lines'!$G$5:$G$1640,A353,'Bank Lines'!$J$5:$J$1640,1,'Bank Lines'!$C$5:$C$1640,"&lt;="&amp;Cover!$C$13),2)</f>
        <v>0</v>
      </c>
      <c r="N353" s="9">
        <f>ROUND(SUMIFS('Odoo Items'!$G$5:$G$4331,'Odoo Items'!$J$5:$J$4331,A353,'Odoo Items'!$C$5:$C$4331,"&lt;="&amp;Cover!$C$13),2)</f>
        <v>0</v>
      </c>
      <c r="O353">
        <f>COUNTIFS('Bank Lines'!$G$5:$G$1640,A353,'Bank Lines'!$J$5:$J$1640,1,'Bank Lines'!$C$5:$C$1640,"&lt;="&amp;Cover!$C$13)</f>
        <v>0</v>
      </c>
      <c r="P353">
        <f>COUNTIFS('Odoo Items'!$J$5:$J$4331,A353,'Odoo Items'!$C$5:$C$4331,"&lt;="&amp;Cover!$C$13)</f>
        <v>0</v>
      </c>
      <c r="Q353">
        <f>IF(AND(O353=0,P353=0),"",IF(O353=0,"ODOO-ONLY",IF(P353=0,"BANK-ONLY","BOTH")))</f>
      </c>
      <c r="R353" s="9">
        <f>IF(Q353="BOTH",ROUND(M353-N353,2),0)</f>
        <v>0</v>
      </c>
      <c r="S353" s="9">
        <f>ROUND(SUMIFS('Bank Lines'!$E$5:$E$1640,'Bank Lines'!$G$5:$G$1640,A353,'Bank Lines'!$J$5:$J$1640,1,'Bank Lines'!$C$5:$C$1640,"&lt;="&amp;Cover!$C$14),2)</f>
        <v>1407.34</v>
      </c>
      <c r="T353" s="9">
        <f>ROUND(SUMIFS('Odoo Items'!$G$5:$G$4331,'Odoo Items'!$J$5:$J$4331,A353,'Odoo Items'!$C$5:$C$4331,"&lt;="&amp;Cover!$C$14),2)</f>
        <v>1407.34</v>
      </c>
      <c r="U353">
        <f>COUNTIFS('Bank Lines'!$G$5:$G$1640,A353,'Bank Lines'!$J$5:$J$1640,1,'Bank Lines'!$C$5:$C$1640,"&lt;="&amp;Cover!$C$14)</f>
        <v>1</v>
      </c>
      <c r="V353">
        <f>COUNTIFS('Odoo Items'!$J$5:$J$4331,A353,'Odoo Items'!$C$5:$C$4331,"&lt;="&amp;Cover!$C$14)</f>
        <v>5</v>
      </c>
      <c r="W353" t="str">
        <f>IF(AND(U353=0,V353=0),"",IF(U353=0,"ODOO-ONLY",IF(V353=0,"BANK-ONLY","BOTH")))</f>
        <v>BOTH</v>
      </c>
      <c r="X353" s="9">
        <f>IF(W353="BOTH",ROUND(S353-T353,2),0)</f>
        <v>0</v>
      </c>
      <c r="Y353" s="9">
        <f>ROUND(SUMIFS('Bank Lines'!$E$5:$E$1640,'Bank Lines'!$G$5:$G$1640,A353,'Bank Lines'!$J$5:$J$1640,1,'Bank Lines'!$C$5:$C$1640,"&lt;="&amp;Cover!$C$15),2)</f>
        <v>1407.34</v>
      </c>
      <c r="Z353" s="9">
        <f>ROUND(SUMIFS('Odoo Items'!$G$5:$G$4331,'Odoo Items'!$J$5:$J$4331,A353,'Odoo Items'!$C$5:$C$4331,"&lt;="&amp;Cover!$C$15),2)</f>
        <v>1407.34</v>
      </c>
      <c r="AA353">
        <f>COUNTIFS('Bank Lines'!$G$5:$G$1640,A353,'Bank Lines'!$J$5:$J$1640,1,'Bank Lines'!$C$5:$C$1640,"&lt;="&amp;Cover!$C$15)</f>
        <v>1</v>
      </c>
      <c r="AB353">
        <f>COUNTIFS('Odoo Items'!$J$5:$J$4331,A353,'Odoo Items'!$C$5:$C$4331,"&lt;="&amp;Cover!$C$15)</f>
        <v>5</v>
      </c>
      <c r="AC353" t="str">
        <f>IF(AND(AA353=0,AB353=0),"",IF(AA353=0,"ODOO-ONLY",IF(AB353=0,"BANK-ONLY","BOTH")))</f>
        <v>BOTH</v>
      </c>
      <c r="AD353" s="9">
        <f>IF(AC353="BOTH",ROUND(Y353-Z353,2),0)</f>
        <v>0</v>
      </c>
    </row>
    <row r="354">
      <c r="A354" t="inlineStr">
        <is>
          <t>G00350</t>
        </is>
      </c>
      <c r="B354" t="inlineStr">
        <is>
          <t>OPS</t>
        </is>
      </c>
      <c r="C354" t="inlineStr">
        <is>
          <t>R03</t>
        </is>
      </c>
      <c r="D354" t="inlineStr">
        <is>
          <t>MATCH</t>
        </is>
      </c>
      <c r="E354" t="inlineStr">
        <is>
          <t>Redgum Plan Admin</t>
        </is>
      </c>
      <c r="F354" t="n">
        <v>1</v>
      </c>
      <c r="G354" t="inlineStr">
        <is>
          <t>4 invoices</t>
        </is>
      </c>
      <c r="H354">
        <f>COUNTIFS('Bank Lines'!$G$5:$G$1640,A354,'Bank Lines'!$J$5:$J$1640,1)</f>
        <v>1</v>
      </c>
      <c r="I354">
        <f>COUNTIFS('Odoo Items'!$J$5:$J$4331,A354)</f>
        <v>4</v>
      </c>
      <c r="J354" s="9">
        <f>ROUND(SUMIFS('Bank Lines'!$E$5:$E$1640,'Bank Lines'!$G$5:$G$1640,A354,'Bank Lines'!$J$5:$J$1640,1),2)</f>
        <v>1096.94</v>
      </c>
      <c r="K354" s="9">
        <f>ROUND(SUMIFS('Odoo Items'!$G$5:$G$4331,'Odoo Items'!$J$5:$J$4331,A354),2)</f>
        <v>1096.94</v>
      </c>
      <c r="L354" s="9">
        <f>ROUND(J354-K354,2)</f>
        <v>0</v>
      </c>
      <c r="M354" s="9">
        <f>ROUND(SUMIFS('Bank Lines'!$E$5:$E$1640,'Bank Lines'!$G$5:$G$1640,A354,'Bank Lines'!$J$5:$J$1640,1,'Bank Lines'!$C$5:$C$1640,"&lt;="&amp;Cover!$C$13),2)</f>
        <v>0</v>
      </c>
      <c r="N354" s="9">
        <f>ROUND(SUMIFS('Odoo Items'!$G$5:$G$4331,'Odoo Items'!$J$5:$J$4331,A354,'Odoo Items'!$C$5:$C$4331,"&lt;="&amp;Cover!$C$13),2)</f>
        <v>0</v>
      </c>
      <c r="O354">
        <f>COUNTIFS('Bank Lines'!$G$5:$G$1640,A354,'Bank Lines'!$J$5:$J$1640,1,'Bank Lines'!$C$5:$C$1640,"&lt;="&amp;Cover!$C$13)</f>
        <v>0</v>
      </c>
      <c r="P354">
        <f>COUNTIFS('Odoo Items'!$J$5:$J$4331,A354,'Odoo Items'!$C$5:$C$4331,"&lt;="&amp;Cover!$C$13)</f>
        <v>0</v>
      </c>
      <c r="Q354">
        <f>IF(AND(O354=0,P354=0),"",IF(O354=0,"ODOO-ONLY",IF(P354=0,"BANK-ONLY","BOTH")))</f>
      </c>
      <c r="R354" s="9">
        <f>IF(Q354="BOTH",ROUND(M354-N354,2),0)</f>
        <v>0</v>
      </c>
      <c r="S354" s="9">
        <f>ROUND(SUMIFS('Bank Lines'!$E$5:$E$1640,'Bank Lines'!$G$5:$G$1640,A354,'Bank Lines'!$J$5:$J$1640,1,'Bank Lines'!$C$5:$C$1640,"&lt;="&amp;Cover!$C$14),2)</f>
        <v>1096.94</v>
      </c>
      <c r="T354" s="9">
        <f>ROUND(SUMIFS('Odoo Items'!$G$5:$G$4331,'Odoo Items'!$J$5:$J$4331,A354,'Odoo Items'!$C$5:$C$4331,"&lt;="&amp;Cover!$C$14),2)</f>
        <v>1096.94</v>
      </c>
      <c r="U354">
        <f>COUNTIFS('Bank Lines'!$G$5:$G$1640,A354,'Bank Lines'!$J$5:$J$1640,1,'Bank Lines'!$C$5:$C$1640,"&lt;="&amp;Cover!$C$14)</f>
        <v>1</v>
      </c>
      <c r="V354">
        <f>COUNTIFS('Odoo Items'!$J$5:$J$4331,A354,'Odoo Items'!$C$5:$C$4331,"&lt;="&amp;Cover!$C$14)</f>
        <v>4</v>
      </c>
      <c r="W354" t="str">
        <f>IF(AND(U354=0,V354=0),"",IF(U354=0,"ODOO-ONLY",IF(V354=0,"BANK-ONLY","BOTH")))</f>
        <v>BOTH</v>
      </c>
      <c r="X354" s="9">
        <f>IF(W354="BOTH",ROUND(S354-T354,2),0)</f>
        <v>0</v>
      </c>
      <c r="Y354" s="9">
        <f>ROUND(SUMIFS('Bank Lines'!$E$5:$E$1640,'Bank Lines'!$G$5:$G$1640,A354,'Bank Lines'!$J$5:$J$1640,1,'Bank Lines'!$C$5:$C$1640,"&lt;="&amp;Cover!$C$15),2)</f>
        <v>1096.94</v>
      </c>
      <c r="Z354" s="9">
        <f>ROUND(SUMIFS('Odoo Items'!$G$5:$G$4331,'Odoo Items'!$J$5:$J$4331,A354,'Odoo Items'!$C$5:$C$4331,"&lt;="&amp;Cover!$C$15),2)</f>
        <v>1096.94</v>
      </c>
      <c r="AA354">
        <f>COUNTIFS('Bank Lines'!$G$5:$G$1640,A354,'Bank Lines'!$J$5:$J$1640,1,'Bank Lines'!$C$5:$C$1640,"&lt;="&amp;Cover!$C$15)</f>
        <v>1</v>
      </c>
      <c r="AB354">
        <f>COUNTIFS('Odoo Items'!$J$5:$J$4331,A354,'Odoo Items'!$C$5:$C$4331,"&lt;="&amp;Cover!$C$15)</f>
        <v>4</v>
      </c>
      <c r="AC354" t="str">
        <f>IF(AND(AA354=0,AB354=0),"",IF(AA354=0,"ODOO-ONLY",IF(AB354=0,"BANK-ONLY","BOTH")))</f>
        <v>BOTH</v>
      </c>
      <c r="AD354" s="9">
        <f>IF(AC354="BOTH",ROUND(Y354-Z354,2),0)</f>
        <v>0</v>
      </c>
    </row>
    <row r="355">
      <c r="A355" t="inlineStr">
        <is>
          <t>G00351</t>
        </is>
      </c>
      <c r="B355" t="inlineStr">
        <is>
          <t>OPS</t>
        </is>
      </c>
      <c r="C355" t="inlineStr">
        <is>
          <t>R03</t>
        </is>
      </c>
      <c r="D355" t="inlineStr">
        <is>
          <t>MATCH</t>
        </is>
      </c>
      <c r="E355" t="inlineStr">
        <is>
          <t>Lyrebird Plan Management</t>
        </is>
      </c>
      <c r="F355" t="n">
        <v>1</v>
      </c>
      <c r="G355" t="inlineStr">
        <is>
          <t>8 invoices</t>
        </is>
      </c>
      <c r="H355">
        <f>COUNTIFS('Bank Lines'!$G$5:$G$1640,A355,'Bank Lines'!$J$5:$J$1640,1)</f>
        <v>1</v>
      </c>
      <c r="I355">
        <f>COUNTIFS('Odoo Items'!$J$5:$J$4331,A355)</f>
        <v>8</v>
      </c>
      <c r="J355" s="9">
        <f>ROUND(SUMIFS('Bank Lines'!$E$5:$E$1640,'Bank Lines'!$G$5:$G$1640,A355,'Bank Lines'!$J$5:$J$1640,1),2)</f>
        <v>1932.89</v>
      </c>
      <c r="K355" s="9">
        <f>ROUND(SUMIFS('Odoo Items'!$G$5:$G$4331,'Odoo Items'!$J$5:$J$4331,A355),2)</f>
        <v>1932.89</v>
      </c>
      <c r="L355" s="9">
        <f>ROUND(J355-K355,2)</f>
        <v>0</v>
      </c>
      <c r="M355" s="9">
        <f>ROUND(SUMIFS('Bank Lines'!$E$5:$E$1640,'Bank Lines'!$G$5:$G$1640,A355,'Bank Lines'!$J$5:$J$1640,1,'Bank Lines'!$C$5:$C$1640,"&lt;="&amp;Cover!$C$13),2)</f>
        <v>0</v>
      </c>
      <c r="N355" s="9">
        <f>ROUND(SUMIFS('Odoo Items'!$G$5:$G$4331,'Odoo Items'!$J$5:$J$4331,A355,'Odoo Items'!$C$5:$C$4331,"&lt;="&amp;Cover!$C$13),2)</f>
        <v>0</v>
      </c>
      <c r="O355">
        <f>COUNTIFS('Bank Lines'!$G$5:$G$1640,A355,'Bank Lines'!$J$5:$J$1640,1,'Bank Lines'!$C$5:$C$1640,"&lt;="&amp;Cover!$C$13)</f>
        <v>0</v>
      </c>
      <c r="P355">
        <f>COUNTIFS('Odoo Items'!$J$5:$J$4331,A355,'Odoo Items'!$C$5:$C$4331,"&lt;="&amp;Cover!$C$13)</f>
        <v>0</v>
      </c>
      <c r="Q355">
        <f>IF(AND(O355=0,P355=0),"",IF(O355=0,"ODOO-ONLY",IF(P355=0,"BANK-ONLY","BOTH")))</f>
      </c>
      <c r="R355" s="9">
        <f>IF(Q355="BOTH",ROUND(M355-N355,2),0)</f>
        <v>0</v>
      </c>
      <c r="S355" s="9">
        <f>ROUND(SUMIFS('Bank Lines'!$E$5:$E$1640,'Bank Lines'!$G$5:$G$1640,A355,'Bank Lines'!$J$5:$J$1640,1,'Bank Lines'!$C$5:$C$1640,"&lt;="&amp;Cover!$C$14),2)</f>
        <v>1932.89</v>
      </c>
      <c r="T355" s="9">
        <f>ROUND(SUMIFS('Odoo Items'!$G$5:$G$4331,'Odoo Items'!$J$5:$J$4331,A355,'Odoo Items'!$C$5:$C$4331,"&lt;="&amp;Cover!$C$14),2)</f>
        <v>1932.89</v>
      </c>
      <c r="U355">
        <f>COUNTIFS('Bank Lines'!$G$5:$G$1640,A355,'Bank Lines'!$J$5:$J$1640,1,'Bank Lines'!$C$5:$C$1640,"&lt;="&amp;Cover!$C$14)</f>
        <v>1</v>
      </c>
      <c r="V355">
        <f>COUNTIFS('Odoo Items'!$J$5:$J$4331,A355,'Odoo Items'!$C$5:$C$4331,"&lt;="&amp;Cover!$C$14)</f>
        <v>8</v>
      </c>
      <c r="W355" t="str">
        <f>IF(AND(U355=0,V355=0),"",IF(U355=0,"ODOO-ONLY",IF(V355=0,"BANK-ONLY","BOTH")))</f>
        <v>BOTH</v>
      </c>
      <c r="X355" s="9">
        <f>IF(W355="BOTH",ROUND(S355-T355,2),0)</f>
        <v>0</v>
      </c>
      <c r="Y355" s="9">
        <f>ROUND(SUMIFS('Bank Lines'!$E$5:$E$1640,'Bank Lines'!$G$5:$G$1640,A355,'Bank Lines'!$J$5:$J$1640,1,'Bank Lines'!$C$5:$C$1640,"&lt;="&amp;Cover!$C$15),2)</f>
        <v>1932.89</v>
      </c>
      <c r="Z355" s="9">
        <f>ROUND(SUMIFS('Odoo Items'!$G$5:$G$4331,'Odoo Items'!$J$5:$J$4331,A355,'Odoo Items'!$C$5:$C$4331,"&lt;="&amp;Cover!$C$15),2)</f>
        <v>1932.89</v>
      </c>
      <c r="AA355">
        <f>COUNTIFS('Bank Lines'!$G$5:$G$1640,A355,'Bank Lines'!$J$5:$J$1640,1,'Bank Lines'!$C$5:$C$1640,"&lt;="&amp;Cover!$C$15)</f>
        <v>1</v>
      </c>
      <c r="AB355">
        <f>COUNTIFS('Odoo Items'!$J$5:$J$4331,A355,'Odoo Items'!$C$5:$C$4331,"&lt;="&amp;Cover!$C$15)</f>
        <v>8</v>
      </c>
      <c r="AC355" t="str">
        <f>IF(AND(AA355=0,AB355=0),"",IF(AA355=0,"ODOO-ONLY",IF(AB355=0,"BANK-ONLY","BOTH")))</f>
        <v>BOTH</v>
      </c>
      <c r="AD355" s="9">
        <f>IF(AC355="BOTH",ROUND(Y355-Z355,2),0)</f>
        <v>0</v>
      </c>
    </row>
    <row r="356">
      <c r="A356" t="inlineStr">
        <is>
          <t>G00352</t>
        </is>
      </c>
      <c r="B356" t="inlineStr">
        <is>
          <t>OPS</t>
        </is>
      </c>
      <c r="C356" t="inlineStr">
        <is>
          <t>R03</t>
        </is>
      </c>
      <c r="D356" t="inlineStr">
        <is>
          <t>MATCH</t>
        </is>
      </c>
      <c r="E356" t="inlineStr">
        <is>
          <t>Mallee Plan Services</t>
        </is>
      </c>
      <c r="F356" t="n">
        <v>0.973</v>
      </c>
      <c r="G356" t="inlineStr">
        <is>
          <t>1 invoices</t>
        </is>
      </c>
      <c r="H356">
        <f>COUNTIFS('Bank Lines'!$G$5:$G$1640,A356,'Bank Lines'!$J$5:$J$1640,1)</f>
        <v>1</v>
      </c>
      <c r="I356">
        <f>COUNTIFS('Odoo Items'!$J$5:$J$4331,A356)</f>
        <v>1</v>
      </c>
      <c r="J356" s="9">
        <f>ROUND(SUMIFS('Bank Lines'!$E$5:$E$1640,'Bank Lines'!$G$5:$G$1640,A356,'Bank Lines'!$J$5:$J$1640,1),2)</f>
        <v>203.69</v>
      </c>
      <c r="K356" s="9">
        <f>ROUND(SUMIFS('Odoo Items'!$G$5:$G$4331,'Odoo Items'!$J$5:$J$4331,A356),2)</f>
        <v>203.69</v>
      </c>
      <c r="L356" s="9">
        <f>ROUND(J356-K356,2)</f>
        <v>0</v>
      </c>
      <c r="M356" s="9">
        <f>ROUND(SUMIFS('Bank Lines'!$E$5:$E$1640,'Bank Lines'!$G$5:$G$1640,A356,'Bank Lines'!$J$5:$J$1640,1,'Bank Lines'!$C$5:$C$1640,"&lt;="&amp;Cover!$C$13),2)</f>
        <v>0</v>
      </c>
      <c r="N356" s="9">
        <f>ROUND(SUMIFS('Odoo Items'!$G$5:$G$4331,'Odoo Items'!$J$5:$J$4331,A356,'Odoo Items'!$C$5:$C$4331,"&lt;="&amp;Cover!$C$13),2)</f>
        <v>0</v>
      </c>
      <c r="O356">
        <f>COUNTIFS('Bank Lines'!$G$5:$G$1640,A356,'Bank Lines'!$J$5:$J$1640,1,'Bank Lines'!$C$5:$C$1640,"&lt;="&amp;Cover!$C$13)</f>
        <v>0</v>
      </c>
      <c r="P356">
        <f>COUNTIFS('Odoo Items'!$J$5:$J$4331,A356,'Odoo Items'!$C$5:$C$4331,"&lt;="&amp;Cover!$C$13)</f>
        <v>0</v>
      </c>
      <c r="Q356">
        <f>IF(AND(O356=0,P356=0),"",IF(O356=0,"ODOO-ONLY",IF(P356=0,"BANK-ONLY","BOTH")))</f>
      </c>
      <c r="R356" s="9">
        <f>IF(Q356="BOTH",ROUND(M356-N356,2),0)</f>
        <v>0</v>
      </c>
      <c r="S356" s="9">
        <f>ROUND(SUMIFS('Bank Lines'!$E$5:$E$1640,'Bank Lines'!$G$5:$G$1640,A356,'Bank Lines'!$J$5:$J$1640,1,'Bank Lines'!$C$5:$C$1640,"&lt;="&amp;Cover!$C$14),2)</f>
        <v>203.69</v>
      </c>
      <c r="T356" s="9">
        <f>ROUND(SUMIFS('Odoo Items'!$G$5:$G$4331,'Odoo Items'!$J$5:$J$4331,A356,'Odoo Items'!$C$5:$C$4331,"&lt;="&amp;Cover!$C$14),2)</f>
        <v>203.69</v>
      </c>
      <c r="U356">
        <f>COUNTIFS('Bank Lines'!$G$5:$G$1640,A356,'Bank Lines'!$J$5:$J$1640,1,'Bank Lines'!$C$5:$C$1640,"&lt;="&amp;Cover!$C$14)</f>
        <v>1</v>
      </c>
      <c r="V356">
        <f>COUNTIFS('Odoo Items'!$J$5:$J$4331,A356,'Odoo Items'!$C$5:$C$4331,"&lt;="&amp;Cover!$C$14)</f>
        <v>1</v>
      </c>
      <c r="W356" t="str">
        <f>IF(AND(U356=0,V356=0),"",IF(U356=0,"ODOO-ONLY",IF(V356=0,"BANK-ONLY","BOTH")))</f>
        <v>BOTH</v>
      </c>
      <c r="X356" s="9">
        <f>IF(W356="BOTH",ROUND(S356-T356,2),0)</f>
        <v>0</v>
      </c>
      <c r="Y356" s="9">
        <f>ROUND(SUMIFS('Bank Lines'!$E$5:$E$1640,'Bank Lines'!$G$5:$G$1640,A356,'Bank Lines'!$J$5:$J$1640,1,'Bank Lines'!$C$5:$C$1640,"&lt;="&amp;Cover!$C$15),2)</f>
        <v>203.69</v>
      </c>
      <c r="Z356" s="9">
        <f>ROUND(SUMIFS('Odoo Items'!$G$5:$G$4331,'Odoo Items'!$J$5:$J$4331,A356,'Odoo Items'!$C$5:$C$4331,"&lt;="&amp;Cover!$C$15),2)</f>
        <v>203.69</v>
      </c>
      <c r="AA356">
        <f>COUNTIFS('Bank Lines'!$G$5:$G$1640,A356,'Bank Lines'!$J$5:$J$1640,1,'Bank Lines'!$C$5:$C$1640,"&lt;="&amp;Cover!$C$15)</f>
        <v>1</v>
      </c>
      <c r="AB356">
        <f>COUNTIFS('Odoo Items'!$J$5:$J$4331,A356,'Odoo Items'!$C$5:$C$4331,"&lt;="&amp;Cover!$C$15)</f>
        <v>1</v>
      </c>
      <c r="AC356" t="str">
        <f>IF(AND(AA356=0,AB356=0),"",IF(AA356=0,"ODOO-ONLY",IF(AB356=0,"BANK-ONLY","BOTH")))</f>
        <v>BOTH</v>
      </c>
      <c r="AD356" s="9">
        <f>IF(AC356="BOTH",ROUND(Y356-Z356,2),0)</f>
        <v>0</v>
      </c>
    </row>
    <row r="357">
      <c r="A357" t="inlineStr">
        <is>
          <t>G00353</t>
        </is>
      </c>
      <c r="B357" t="inlineStr">
        <is>
          <t>OPS</t>
        </is>
      </c>
      <c r="C357" t="inlineStr">
        <is>
          <t>R03</t>
        </is>
      </c>
      <c r="D357" t="inlineStr">
        <is>
          <t>MATCH</t>
        </is>
      </c>
      <c r="E357" t="inlineStr">
        <is>
          <t>Bluegum Plan Management</t>
        </is>
      </c>
      <c r="F357" t="n">
        <v>1</v>
      </c>
      <c r="G357" t="inlineStr">
        <is>
          <t>2 invoices</t>
        </is>
      </c>
      <c r="H357">
        <f>COUNTIFS('Bank Lines'!$G$5:$G$1640,A357,'Bank Lines'!$J$5:$J$1640,1)</f>
        <v>1</v>
      </c>
      <c r="I357">
        <f>COUNTIFS('Odoo Items'!$J$5:$J$4331,A357)</f>
        <v>2</v>
      </c>
      <c r="J357" s="9">
        <f>ROUND(SUMIFS('Bank Lines'!$E$5:$E$1640,'Bank Lines'!$G$5:$G$1640,A357,'Bank Lines'!$J$5:$J$1640,1),2)</f>
        <v>611.97</v>
      </c>
      <c r="K357" s="9">
        <f>ROUND(SUMIFS('Odoo Items'!$G$5:$G$4331,'Odoo Items'!$J$5:$J$4331,A357),2)</f>
        <v>611.97</v>
      </c>
      <c r="L357" s="9">
        <f>ROUND(J357-K357,2)</f>
        <v>0</v>
      </c>
      <c r="M357" s="9">
        <f>ROUND(SUMIFS('Bank Lines'!$E$5:$E$1640,'Bank Lines'!$G$5:$G$1640,A357,'Bank Lines'!$J$5:$J$1640,1,'Bank Lines'!$C$5:$C$1640,"&lt;="&amp;Cover!$C$13),2)</f>
        <v>0</v>
      </c>
      <c r="N357" s="9">
        <f>ROUND(SUMIFS('Odoo Items'!$G$5:$G$4331,'Odoo Items'!$J$5:$J$4331,A357,'Odoo Items'!$C$5:$C$4331,"&lt;="&amp;Cover!$C$13),2)</f>
        <v>0</v>
      </c>
      <c r="O357">
        <f>COUNTIFS('Bank Lines'!$G$5:$G$1640,A357,'Bank Lines'!$J$5:$J$1640,1,'Bank Lines'!$C$5:$C$1640,"&lt;="&amp;Cover!$C$13)</f>
        <v>0</v>
      </c>
      <c r="P357">
        <f>COUNTIFS('Odoo Items'!$J$5:$J$4331,A357,'Odoo Items'!$C$5:$C$4331,"&lt;="&amp;Cover!$C$13)</f>
        <v>0</v>
      </c>
      <c r="Q357">
        <f>IF(AND(O357=0,P357=0),"",IF(O357=0,"ODOO-ONLY",IF(P357=0,"BANK-ONLY","BOTH")))</f>
      </c>
      <c r="R357" s="9">
        <f>IF(Q357="BOTH",ROUND(M357-N357,2),0)</f>
        <v>0</v>
      </c>
      <c r="S357" s="9">
        <f>ROUND(SUMIFS('Bank Lines'!$E$5:$E$1640,'Bank Lines'!$G$5:$G$1640,A357,'Bank Lines'!$J$5:$J$1640,1,'Bank Lines'!$C$5:$C$1640,"&lt;="&amp;Cover!$C$14),2)</f>
        <v>611.97</v>
      </c>
      <c r="T357" s="9">
        <f>ROUND(SUMIFS('Odoo Items'!$G$5:$G$4331,'Odoo Items'!$J$5:$J$4331,A357,'Odoo Items'!$C$5:$C$4331,"&lt;="&amp;Cover!$C$14),2)</f>
        <v>611.97</v>
      </c>
      <c r="U357">
        <f>COUNTIFS('Bank Lines'!$G$5:$G$1640,A357,'Bank Lines'!$J$5:$J$1640,1,'Bank Lines'!$C$5:$C$1640,"&lt;="&amp;Cover!$C$14)</f>
        <v>1</v>
      </c>
      <c r="V357">
        <f>COUNTIFS('Odoo Items'!$J$5:$J$4331,A357,'Odoo Items'!$C$5:$C$4331,"&lt;="&amp;Cover!$C$14)</f>
        <v>2</v>
      </c>
      <c r="W357" t="str">
        <f>IF(AND(U357=0,V357=0),"",IF(U357=0,"ODOO-ONLY",IF(V357=0,"BANK-ONLY","BOTH")))</f>
        <v>BOTH</v>
      </c>
      <c r="X357" s="9">
        <f>IF(W357="BOTH",ROUND(S357-T357,2),0)</f>
        <v>0</v>
      </c>
      <c r="Y357" s="9">
        <f>ROUND(SUMIFS('Bank Lines'!$E$5:$E$1640,'Bank Lines'!$G$5:$G$1640,A357,'Bank Lines'!$J$5:$J$1640,1,'Bank Lines'!$C$5:$C$1640,"&lt;="&amp;Cover!$C$15),2)</f>
        <v>611.97</v>
      </c>
      <c r="Z357" s="9">
        <f>ROUND(SUMIFS('Odoo Items'!$G$5:$G$4331,'Odoo Items'!$J$5:$J$4331,A357,'Odoo Items'!$C$5:$C$4331,"&lt;="&amp;Cover!$C$15),2)</f>
        <v>611.97</v>
      </c>
      <c r="AA357">
        <f>COUNTIFS('Bank Lines'!$G$5:$G$1640,A357,'Bank Lines'!$J$5:$J$1640,1,'Bank Lines'!$C$5:$C$1640,"&lt;="&amp;Cover!$C$15)</f>
        <v>1</v>
      </c>
      <c r="AB357">
        <f>COUNTIFS('Odoo Items'!$J$5:$J$4331,A357,'Odoo Items'!$C$5:$C$4331,"&lt;="&amp;Cover!$C$15)</f>
        <v>2</v>
      </c>
      <c r="AC357" t="str">
        <f>IF(AND(AA357=0,AB357=0),"",IF(AA357=0,"ODOO-ONLY",IF(AB357=0,"BANK-ONLY","BOTH")))</f>
        <v>BOTH</v>
      </c>
      <c r="AD357" s="9">
        <f>IF(AC357="BOTH",ROUND(Y357-Z357,2),0)</f>
        <v>0</v>
      </c>
    </row>
    <row r="358">
      <c r="A358" t="inlineStr">
        <is>
          <t>G00354</t>
        </is>
      </c>
      <c r="B358" t="inlineStr">
        <is>
          <t>OPS</t>
        </is>
      </c>
      <c r="C358" t="inlineStr">
        <is>
          <t>R03</t>
        </is>
      </c>
      <c r="D358" t="inlineStr">
        <is>
          <t>MATCH</t>
        </is>
      </c>
      <c r="E358" t="inlineStr">
        <is>
          <t>Ironbark Plan Management</t>
        </is>
      </c>
      <c r="F358" t="n">
        <v>1</v>
      </c>
      <c r="G358" t="inlineStr">
        <is>
          <t>5 invoices</t>
        </is>
      </c>
      <c r="H358">
        <f>COUNTIFS('Bank Lines'!$G$5:$G$1640,A358,'Bank Lines'!$J$5:$J$1640,1)</f>
        <v>1</v>
      </c>
      <c r="I358">
        <f>COUNTIFS('Odoo Items'!$J$5:$J$4331,A358)</f>
        <v>5</v>
      </c>
      <c r="J358" s="9">
        <f>ROUND(SUMIFS('Bank Lines'!$E$5:$E$1640,'Bank Lines'!$G$5:$G$1640,A358,'Bank Lines'!$J$5:$J$1640,1),2)</f>
        <v>1009.64</v>
      </c>
      <c r="K358" s="9">
        <f>ROUND(SUMIFS('Odoo Items'!$G$5:$G$4331,'Odoo Items'!$J$5:$J$4331,A358),2)</f>
        <v>1009.64</v>
      </c>
      <c r="L358" s="9">
        <f>ROUND(J358-K358,2)</f>
        <v>0</v>
      </c>
      <c r="M358" s="9">
        <f>ROUND(SUMIFS('Bank Lines'!$E$5:$E$1640,'Bank Lines'!$G$5:$G$1640,A358,'Bank Lines'!$J$5:$J$1640,1,'Bank Lines'!$C$5:$C$1640,"&lt;="&amp;Cover!$C$13),2)</f>
        <v>0</v>
      </c>
      <c r="N358" s="9">
        <f>ROUND(SUMIFS('Odoo Items'!$G$5:$G$4331,'Odoo Items'!$J$5:$J$4331,A358,'Odoo Items'!$C$5:$C$4331,"&lt;="&amp;Cover!$C$13),2)</f>
        <v>0</v>
      </c>
      <c r="O358">
        <f>COUNTIFS('Bank Lines'!$G$5:$G$1640,A358,'Bank Lines'!$J$5:$J$1640,1,'Bank Lines'!$C$5:$C$1640,"&lt;="&amp;Cover!$C$13)</f>
        <v>0</v>
      </c>
      <c r="P358">
        <f>COUNTIFS('Odoo Items'!$J$5:$J$4331,A358,'Odoo Items'!$C$5:$C$4331,"&lt;="&amp;Cover!$C$13)</f>
        <v>0</v>
      </c>
      <c r="Q358">
        <f>IF(AND(O358=0,P358=0),"",IF(O358=0,"ODOO-ONLY",IF(P358=0,"BANK-ONLY","BOTH")))</f>
      </c>
      <c r="R358" s="9">
        <f>IF(Q358="BOTH",ROUND(M358-N358,2),0)</f>
        <v>0</v>
      </c>
      <c r="S358" s="9">
        <f>ROUND(SUMIFS('Bank Lines'!$E$5:$E$1640,'Bank Lines'!$G$5:$G$1640,A358,'Bank Lines'!$J$5:$J$1640,1,'Bank Lines'!$C$5:$C$1640,"&lt;="&amp;Cover!$C$14),2)</f>
        <v>1009.64</v>
      </c>
      <c r="T358" s="9">
        <f>ROUND(SUMIFS('Odoo Items'!$G$5:$G$4331,'Odoo Items'!$J$5:$J$4331,A358,'Odoo Items'!$C$5:$C$4331,"&lt;="&amp;Cover!$C$14),2)</f>
        <v>1009.64</v>
      </c>
      <c r="U358">
        <f>COUNTIFS('Bank Lines'!$G$5:$G$1640,A358,'Bank Lines'!$J$5:$J$1640,1,'Bank Lines'!$C$5:$C$1640,"&lt;="&amp;Cover!$C$14)</f>
        <v>1</v>
      </c>
      <c r="V358">
        <f>COUNTIFS('Odoo Items'!$J$5:$J$4331,A358,'Odoo Items'!$C$5:$C$4331,"&lt;="&amp;Cover!$C$14)</f>
        <v>5</v>
      </c>
      <c r="W358" t="str">
        <f>IF(AND(U358=0,V358=0),"",IF(U358=0,"ODOO-ONLY",IF(V358=0,"BANK-ONLY","BOTH")))</f>
        <v>BOTH</v>
      </c>
      <c r="X358" s="9">
        <f>IF(W358="BOTH",ROUND(S358-T358,2),0)</f>
        <v>0</v>
      </c>
      <c r="Y358" s="9">
        <f>ROUND(SUMIFS('Bank Lines'!$E$5:$E$1640,'Bank Lines'!$G$5:$G$1640,A358,'Bank Lines'!$J$5:$J$1640,1,'Bank Lines'!$C$5:$C$1640,"&lt;="&amp;Cover!$C$15),2)</f>
        <v>1009.64</v>
      </c>
      <c r="Z358" s="9">
        <f>ROUND(SUMIFS('Odoo Items'!$G$5:$G$4331,'Odoo Items'!$J$5:$J$4331,A358,'Odoo Items'!$C$5:$C$4331,"&lt;="&amp;Cover!$C$15),2)</f>
        <v>1009.64</v>
      </c>
      <c r="AA358">
        <f>COUNTIFS('Bank Lines'!$G$5:$G$1640,A358,'Bank Lines'!$J$5:$J$1640,1,'Bank Lines'!$C$5:$C$1640,"&lt;="&amp;Cover!$C$15)</f>
        <v>1</v>
      </c>
      <c r="AB358">
        <f>COUNTIFS('Odoo Items'!$J$5:$J$4331,A358,'Odoo Items'!$C$5:$C$4331,"&lt;="&amp;Cover!$C$15)</f>
        <v>5</v>
      </c>
      <c r="AC358" t="str">
        <f>IF(AND(AA358=0,AB358=0),"",IF(AA358=0,"ODOO-ONLY",IF(AB358=0,"BANK-ONLY","BOTH")))</f>
        <v>BOTH</v>
      </c>
      <c r="AD358" s="9">
        <f>IF(AC358="BOTH",ROUND(Y358-Z358,2),0)</f>
        <v>0</v>
      </c>
    </row>
    <row r="359">
      <c r="A359" t="inlineStr">
        <is>
          <t>G00355</t>
        </is>
      </c>
      <c r="B359" t="inlineStr">
        <is>
          <t>OPS</t>
        </is>
      </c>
      <c r="C359" t="inlineStr">
        <is>
          <t>R03</t>
        </is>
      </c>
      <c r="D359" t="inlineStr">
        <is>
          <t>MATCH</t>
        </is>
      </c>
      <c r="E359" t="inlineStr">
        <is>
          <t>Southern Cross Plan Mgmt</t>
        </is>
      </c>
      <c r="F359" t="n">
        <v>1</v>
      </c>
      <c r="G359" t="inlineStr">
        <is>
          <t>3 invoices</t>
        </is>
      </c>
      <c r="H359">
        <f>COUNTIFS('Bank Lines'!$G$5:$G$1640,A359,'Bank Lines'!$J$5:$J$1640,1)</f>
        <v>1</v>
      </c>
      <c r="I359">
        <f>COUNTIFS('Odoo Items'!$J$5:$J$4331,A359)</f>
        <v>3</v>
      </c>
      <c r="J359" s="9">
        <f>ROUND(SUMIFS('Bank Lines'!$E$5:$E$1640,'Bank Lines'!$G$5:$G$1640,A359,'Bank Lines'!$J$5:$J$1640,1),2)</f>
        <v>737.17</v>
      </c>
      <c r="K359" s="9">
        <f>ROUND(SUMIFS('Odoo Items'!$G$5:$G$4331,'Odoo Items'!$J$5:$J$4331,A359),2)</f>
        <v>737.17</v>
      </c>
      <c r="L359" s="9">
        <f>ROUND(J359-K359,2)</f>
        <v>0</v>
      </c>
      <c r="M359" s="9">
        <f>ROUND(SUMIFS('Bank Lines'!$E$5:$E$1640,'Bank Lines'!$G$5:$G$1640,A359,'Bank Lines'!$J$5:$J$1640,1,'Bank Lines'!$C$5:$C$1640,"&lt;="&amp;Cover!$C$13),2)</f>
        <v>0</v>
      </c>
      <c r="N359" s="9">
        <f>ROUND(SUMIFS('Odoo Items'!$G$5:$G$4331,'Odoo Items'!$J$5:$J$4331,A359,'Odoo Items'!$C$5:$C$4331,"&lt;="&amp;Cover!$C$13),2)</f>
        <v>0</v>
      </c>
      <c r="O359">
        <f>COUNTIFS('Bank Lines'!$G$5:$G$1640,A359,'Bank Lines'!$J$5:$J$1640,1,'Bank Lines'!$C$5:$C$1640,"&lt;="&amp;Cover!$C$13)</f>
        <v>0</v>
      </c>
      <c r="P359">
        <f>COUNTIFS('Odoo Items'!$J$5:$J$4331,A359,'Odoo Items'!$C$5:$C$4331,"&lt;="&amp;Cover!$C$13)</f>
        <v>0</v>
      </c>
      <c r="Q359">
        <f>IF(AND(O359=0,P359=0),"",IF(O359=0,"ODOO-ONLY",IF(P359=0,"BANK-ONLY","BOTH")))</f>
      </c>
      <c r="R359" s="9">
        <f>IF(Q359="BOTH",ROUND(M359-N359,2),0)</f>
        <v>0</v>
      </c>
      <c r="S359" s="9">
        <f>ROUND(SUMIFS('Bank Lines'!$E$5:$E$1640,'Bank Lines'!$G$5:$G$1640,A359,'Bank Lines'!$J$5:$J$1640,1,'Bank Lines'!$C$5:$C$1640,"&lt;="&amp;Cover!$C$14),2)</f>
        <v>737.17</v>
      </c>
      <c r="T359" s="9">
        <f>ROUND(SUMIFS('Odoo Items'!$G$5:$G$4331,'Odoo Items'!$J$5:$J$4331,A359,'Odoo Items'!$C$5:$C$4331,"&lt;="&amp;Cover!$C$14),2)</f>
        <v>737.17</v>
      </c>
      <c r="U359">
        <f>COUNTIFS('Bank Lines'!$G$5:$G$1640,A359,'Bank Lines'!$J$5:$J$1640,1,'Bank Lines'!$C$5:$C$1640,"&lt;="&amp;Cover!$C$14)</f>
        <v>1</v>
      </c>
      <c r="V359">
        <f>COUNTIFS('Odoo Items'!$J$5:$J$4331,A359,'Odoo Items'!$C$5:$C$4331,"&lt;="&amp;Cover!$C$14)</f>
        <v>3</v>
      </c>
      <c r="W359" t="str">
        <f>IF(AND(U359=0,V359=0),"",IF(U359=0,"ODOO-ONLY",IF(V359=0,"BANK-ONLY","BOTH")))</f>
        <v>BOTH</v>
      </c>
      <c r="X359" s="9">
        <f>IF(W359="BOTH",ROUND(S359-T359,2),0)</f>
        <v>0</v>
      </c>
      <c r="Y359" s="9">
        <f>ROUND(SUMIFS('Bank Lines'!$E$5:$E$1640,'Bank Lines'!$G$5:$G$1640,A359,'Bank Lines'!$J$5:$J$1640,1,'Bank Lines'!$C$5:$C$1640,"&lt;="&amp;Cover!$C$15),2)</f>
        <v>737.17</v>
      </c>
      <c r="Z359" s="9">
        <f>ROUND(SUMIFS('Odoo Items'!$G$5:$G$4331,'Odoo Items'!$J$5:$J$4331,A359,'Odoo Items'!$C$5:$C$4331,"&lt;="&amp;Cover!$C$15),2)</f>
        <v>737.17</v>
      </c>
      <c r="AA359">
        <f>COUNTIFS('Bank Lines'!$G$5:$G$1640,A359,'Bank Lines'!$J$5:$J$1640,1,'Bank Lines'!$C$5:$C$1640,"&lt;="&amp;Cover!$C$15)</f>
        <v>1</v>
      </c>
      <c r="AB359">
        <f>COUNTIFS('Odoo Items'!$J$5:$J$4331,A359,'Odoo Items'!$C$5:$C$4331,"&lt;="&amp;Cover!$C$15)</f>
        <v>3</v>
      </c>
      <c r="AC359" t="str">
        <f>IF(AND(AA359=0,AB359=0),"",IF(AA359=0,"ODOO-ONLY",IF(AB359=0,"BANK-ONLY","BOTH")))</f>
        <v>BOTH</v>
      </c>
      <c r="AD359" s="9">
        <f>IF(AC359="BOTH",ROUND(Y359-Z359,2),0)</f>
        <v>0</v>
      </c>
    </row>
    <row r="360">
      <c r="A360" t="inlineStr">
        <is>
          <t>G00356</t>
        </is>
      </c>
      <c r="B360" t="inlineStr">
        <is>
          <t>OPS</t>
        </is>
      </c>
      <c r="C360" t="inlineStr">
        <is>
          <t>R03</t>
        </is>
      </c>
      <c r="D360" t="inlineStr">
        <is>
          <t>MATCH</t>
        </is>
      </c>
      <c r="E360" t="inlineStr">
        <is>
          <t>Bluegum Plan Management</t>
        </is>
      </c>
      <c r="F360" t="n">
        <v>1</v>
      </c>
      <c r="G360" t="inlineStr">
        <is>
          <t>2 invoices</t>
        </is>
      </c>
      <c r="H360">
        <f>COUNTIFS('Bank Lines'!$G$5:$G$1640,A360,'Bank Lines'!$J$5:$J$1640,1)</f>
        <v>1</v>
      </c>
      <c r="I360">
        <f>COUNTIFS('Odoo Items'!$J$5:$J$4331,A360)</f>
        <v>2</v>
      </c>
      <c r="J360" s="9">
        <f>ROUND(SUMIFS('Bank Lines'!$E$5:$E$1640,'Bank Lines'!$G$5:$G$1640,A360,'Bank Lines'!$J$5:$J$1640,1),2)</f>
        <v>436.48</v>
      </c>
      <c r="K360" s="9">
        <f>ROUND(SUMIFS('Odoo Items'!$G$5:$G$4331,'Odoo Items'!$J$5:$J$4331,A360),2)</f>
        <v>436.48</v>
      </c>
      <c r="L360" s="9">
        <f>ROUND(J360-K360,2)</f>
        <v>0</v>
      </c>
      <c r="M360" s="9">
        <f>ROUND(SUMIFS('Bank Lines'!$E$5:$E$1640,'Bank Lines'!$G$5:$G$1640,A360,'Bank Lines'!$J$5:$J$1640,1,'Bank Lines'!$C$5:$C$1640,"&lt;="&amp;Cover!$C$13),2)</f>
        <v>0</v>
      </c>
      <c r="N360" s="9">
        <f>ROUND(SUMIFS('Odoo Items'!$G$5:$G$4331,'Odoo Items'!$J$5:$J$4331,A360,'Odoo Items'!$C$5:$C$4331,"&lt;="&amp;Cover!$C$13),2)</f>
        <v>0</v>
      </c>
      <c r="O360">
        <f>COUNTIFS('Bank Lines'!$G$5:$G$1640,A360,'Bank Lines'!$J$5:$J$1640,1,'Bank Lines'!$C$5:$C$1640,"&lt;="&amp;Cover!$C$13)</f>
        <v>0</v>
      </c>
      <c r="P360">
        <f>COUNTIFS('Odoo Items'!$J$5:$J$4331,A360,'Odoo Items'!$C$5:$C$4331,"&lt;="&amp;Cover!$C$13)</f>
        <v>0</v>
      </c>
      <c r="Q360">
        <f>IF(AND(O360=0,P360=0),"",IF(O360=0,"ODOO-ONLY",IF(P360=0,"BANK-ONLY","BOTH")))</f>
      </c>
      <c r="R360" s="9">
        <f>IF(Q360="BOTH",ROUND(M360-N360,2),0)</f>
        <v>0</v>
      </c>
      <c r="S360" s="9">
        <f>ROUND(SUMIFS('Bank Lines'!$E$5:$E$1640,'Bank Lines'!$G$5:$G$1640,A360,'Bank Lines'!$J$5:$J$1640,1,'Bank Lines'!$C$5:$C$1640,"&lt;="&amp;Cover!$C$14),2)</f>
        <v>436.48</v>
      </c>
      <c r="T360" s="9">
        <f>ROUND(SUMIFS('Odoo Items'!$G$5:$G$4331,'Odoo Items'!$J$5:$J$4331,A360,'Odoo Items'!$C$5:$C$4331,"&lt;="&amp;Cover!$C$14),2)</f>
        <v>436.48</v>
      </c>
      <c r="U360">
        <f>COUNTIFS('Bank Lines'!$G$5:$G$1640,A360,'Bank Lines'!$J$5:$J$1640,1,'Bank Lines'!$C$5:$C$1640,"&lt;="&amp;Cover!$C$14)</f>
        <v>1</v>
      </c>
      <c r="V360">
        <f>COUNTIFS('Odoo Items'!$J$5:$J$4331,A360,'Odoo Items'!$C$5:$C$4331,"&lt;="&amp;Cover!$C$14)</f>
        <v>2</v>
      </c>
      <c r="W360" t="str">
        <f>IF(AND(U360=0,V360=0),"",IF(U360=0,"ODOO-ONLY",IF(V360=0,"BANK-ONLY","BOTH")))</f>
        <v>BOTH</v>
      </c>
      <c r="X360" s="9">
        <f>IF(W360="BOTH",ROUND(S360-T360,2),0)</f>
        <v>0</v>
      </c>
      <c r="Y360" s="9">
        <f>ROUND(SUMIFS('Bank Lines'!$E$5:$E$1640,'Bank Lines'!$G$5:$G$1640,A360,'Bank Lines'!$J$5:$J$1640,1,'Bank Lines'!$C$5:$C$1640,"&lt;="&amp;Cover!$C$15),2)</f>
        <v>436.48</v>
      </c>
      <c r="Z360" s="9">
        <f>ROUND(SUMIFS('Odoo Items'!$G$5:$G$4331,'Odoo Items'!$J$5:$J$4331,A360,'Odoo Items'!$C$5:$C$4331,"&lt;="&amp;Cover!$C$15),2)</f>
        <v>436.48</v>
      </c>
      <c r="AA360">
        <f>COUNTIFS('Bank Lines'!$G$5:$G$1640,A360,'Bank Lines'!$J$5:$J$1640,1,'Bank Lines'!$C$5:$C$1640,"&lt;="&amp;Cover!$C$15)</f>
        <v>1</v>
      </c>
      <c r="AB360">
        <f>COUNTIFS('Odoo Items'!$J$5:$J$4331,A360,'Odoo Items'!$C$5:$C$4331,"&lt;="&amp;Cover!$C$15)</f>
        <v>2</v>
      </c>
      <c r="AC360" t="str">
        <f>IF(AND(AA360=0,AB360=0),"",IF(AA360=0,"ODOO-ONLY",IF(AB360=0,"BANK-ONLY","BOTH")))</f>
        <v>BOTH</v>
      </c>
      <c r="AD360" s="9">
        <f>IF(AC360="BOTH",ROUND(Y360-Z360,2),0)</f>
        <v>0</v>
      </c>
    </row>
    <row r="361">
      <c r="A361" t="inlineStr">
        <is>
          <t>G00357</t>
        </is>
      </c>
      <c r="B361" t="inlineStr">
        <is>
          <t>OPS</t>
        </is>
      </c>
      <c r="C361" t="inlineStr">
        <is>
          <t>R03</t>
        </is>
      </c>
      <c r="D361" t="inlineStr">
        <is>
          <t>MATCH</t>
        </is>
      </c>
      <c r="E361" t="inlineStr">
        <is>
          <t>Riverbend Plan Partners</t>
        </is>
      </c>
      <c r="F361" t="n">
        <v>1</v>
      </c>
      <c r="G361" t="inlineStr">
        <is>
          <t>2 invoices</t>
        </is>
      </c>
      <c r="H361">
        <f>COUNTIFS('Bank Lines'!$G$5:$G$1640,A361,'Bank Lines'!$J$5:$J$1640,1)</f>
        <v>1</v>
      </c>
      <c r="I361">
        <f>COUNTIFS('Odoo Items'!$J$5:$J$4331,A361)</f>
        <v>2</v>
      </c>
      <c r="J361" s="9">
        <f>ROUND(SUMIFS('Bank Lines'!$E$5:$E$1640,'Bank Lines'!$G$5:$G$1640,A361,'Bank Lines'!$J$5:$J$1640,1),2)</f>
        <v>544.98</v>
      </c>
      <c r="K361" s="9">
        <f>ROUND(SUMIFS('Odoo Items'!$G$5:$G$4331,'Odoo Items'!$J$5:$J$4331,A361),2)</f>
        <v>544.98</v>
      </c>
      <c r="L361" s="9">
        <f>ROUND(J361-K361,2)</f>
        <v>0</v>
      </c>
      <c r="M361" s="9">
        <f>ROUND(SUMIFS('Bank Lines'!$E$5:$E$1640,'Bank Lines'!$G$5:$G$1640,A361,'Bank Lines'!$J$5:$J$1640,1,'Bank Lines'!$C$5:$C$1640,"&lt;="&amp;Cover!$C$13),2)</f>
        <v>0</v>
      </c>
      <c r="N361" s="9">
        <f>ROUND(SUMIFS('Odoo Items'!$G$5:$G$4331,'Odoo Items'!$J$5:$J$4331,A361,'Odoo Items'!$C$5:$C$4331,"&lt;="&amp;Cover!$C$13),2)</f>
        <v>0</v>
      </c>
      <c r="O361">
        <f>COUNTIFS('Bank Lines'!$G$5:$G$1640,A361,'Bank Lines'!$J$5:$J$1640,1,'Bank Lines'!$C$5:$C$1640,"&lt;="&amp;Cover!$C$13)</f>
        <v>0</v>
      </c>
      <c r="P361">
        <f>COUNTIFS('Odoo Items'!$J$5:$J$4331,A361,'Odoo Items'!$C$5:$C$4331,"&lt;="&amp;Cover!$C$13)</f>
        <v>0</v>
      </c>
      <c r="Q361">
        <f>IF(AND(O361=0,P361=0),"",IF(O361=0,"ODOO-ONLY",IF(P361=0,"BANK-ONLY","BOTH")))</f>
      </c>
      <c r="R361" s="9">
        <f>IF(Q361="BOTH",ROUND(M361-N361,2),0)</f>
        <v>0</v>
      </c>
      <c r="S361" s="9">
        <f>ROUND(SUMIFS('Bank Lines'!$E$5:$E$1640,'Bank Lines'!$G$5:$G$1640,A361,'Bank Lines'!$J$5:$J$1640,1,'Bank Lines'!$C$5:$C$1640,"&lt;="&amp;Cover!$C$14),2)</f>
        <v>544.98</v>
      </c>
      <c r="T361" s="9">
        <f>ROUND(SUMIFS('Odoo Items'!$G$5:$G$4331,'Odoo Items'!$J$5:$J$4331,A361,'Odoo Items'!$C$5:$C$4331,"&lt;="&amp;Cover!$C$14),2)</f>
        <v>544.98</v>
      </c>
      <c r="U361">
        <f>COUNTIFS('Bank Lines'!$G$5:$G$1640,A361,'Bank Lines'!$J$5:$J$1640,1,'Bank Lines'!$C$5:$C$1640,"&lt;="&amp;Cover!$C$14)</f>
        <v>1</v>
      </c>
      <c r="V361">
        <f>COUNTIFS('Odoo Items'!$J$5:$J$4331,A361,'Odoo Items'!$C$5:$C$4331,"&lt;="&amp;Cover!$C$14)</f>
        <v>2</v>
      </c>
      <c r="W361" t="str">
        <f>IF(AND(U361=0,V361=0),"",IF(U361=0,"ODOO-ONLY",IF(V361=0,"BANK-ONLY","BOTH")))</f>
        <v>BOTH</v>
      </c>
      <c r="X361" s="9">
        <f>IF(W361="BOTH",ROUND(S361-T361,2),0)</f>
        <v>0</v>
      </c>
      <c r="Y361" s="9">
        <f>ROUND(SUMIFS('Bank Lines'!$E$5:$E$1640,'Bank Lines'!$G$5:$G$1640,A361,'Bank Lines'!$J$5:$J$1640,1,'Bank Lines'!$C$5:$C$1640,"&lt;="&amp;Cover!$C$15),2)</f>
        <v>544.98</v>
      </c>
      <c r="Z361" s="9">
        <f>ROUND(SUMIFS('Odoo Items'!$G$5:$G$4331,'Odoo Items'!$J$5:$J$4331,A361,'Odoo Items'!$C$5:$C$4331,"&lt;="&amp;Cover!$C$15),2)</f>
        <v>544.98</v>
      </c>
      <c r="AA361">
        <f>COUNTIFS('Bank Lines'!$G$5:$G$1640,A361,'Bank Lines'!$J$5:$J$1640,1,'Bank Lines'!$C$5:$C$1640,"&lt;="&amp;Cover!$C$15)</f>
        <v>1</v>
      </c>
      <c r="AB361">
        <f>COUNTIFS('Odoo Items'!$J$5:$J$4331,A361,'Odoo Items'!$C$5:$C$4331,"&lt;="&amp;Cover!$C$15)</f>
        <v>2</v>
      </c>
      <c r="AC361" t="str">
        <f>IF(AND(AA361=0,AB361=0),"",IF(AA361=0,"ODOO-ONLY",IF(AB361=0,"BANK-ONLY","BOTH")))</f>
        <v>BOTH</v>
      </c>
      <c r="AD361" s="9">
        <f>IF(AC361="BOTH",ROUND(Y361-Z361,2),0)</f>
        <v>0</v>
      </c>
    </row>
    <row r="362">
      <c r="A362" t="inlineStr">
        <is>
          <t>G00358</t>
        </is>
      </c>
      <c r="B362" t="inlineStr">
        <is>
          <t>OPS</t>
        </is>
      </c>
      <c r="C362" t="inlineStr">
        <is>
          <t>R03</t>
        </is>
      </c>
      <c r="D362" t="inlineStr">
        <is>
          <t>MATCH</t>
        </is>
      </c>
      <c r="E362" t="inlineStr">
        <is>
          <t>Banksia Plan Co</t>
        </is>
      </c>
      <c r="F362" t="n">
        <v>0.929</v>
      </c>
      <c r="G362" t="inlineStr">
        <is>
          <t>2 invoices</t>
        </is>
      </c>
      <c r="H362">
        <f>COUNTIFS('Bank Lines'!$G$5:$G$1640,A362,'Bank Lines'!$J$5:$J$1640,1)</f>
        <v>1</v>
      </c>
      <c r="I362">
        <f>COUNTIFS('Odoo Items'!$J$5:$J$4331,A362)</f>
        <v>2</v>
      </c>
      <c r="J362" s="9">
        <f>ROUND(SUMIFS('Bank Lines'!$E$5:$E$1640,'Bank Lines'!$G$5:$G$1640,A362,'Bank Lines'!$J$5:$J$1640,1),2)</f>
        <v>290.98</v>
      </c>
      <c r="K362" s="9">
        <f>ROUND(SUMIFS('Odoo Items'!$G$5:$G$4331,'Odoo Items'!$J$5:$J$4331,A362),2)</f>
        <v>290.98</v>
      </c>
      <c r="L362" s="9">
        <f>ROUND(J362-K362,2)</f>
        <v>0</v>
      </c>
      <c r="M362" s="9">
        <f>ROUND(SUMIFS('Bank Lines'!$E$5:$E$1640,'Bank Lines'!$G$5:$G$1640,A362,'Bank Lines'!$J$5:$J$1640,1,'Bank Lines'!$C$5:$C$1640,"&lt;="&amp;Cover!$C$13),2)</f>
        <v>0</v>
      </c>
      <c r="N362" s="9">
        <f>ROUND(SUMIFS('Odoo Items'!$G$5:$G$4331,'Odoo Items'!$J$5:$J$4331,A362,'Odoo Items'!$C$5:$C$4331,"&lt;="&amp;Cover!$C$13),2)</f>
        <v>0</v>
      </c>
      <c r="O362">
        <f>COUNTIFS('Bank Lines'!$G$5:$G$1640,A362,'Bank Lines'!$J$5:$J$1640,1,'Bank Lines'!$C$5:$C$1640,"&lt;="&amp;Cover!$C$13)</f>
        <v>0</v>
      </c>
      <c r="P362">
        <f>COUNTIFS('Odoo Items'!$J$5:$J$4331,A362,'Odoo Items'!$C$5:$C$4331,"&lt;="&amp;Cover!$C$13)</f>
        <v>0</v>
      </c>
      <c r="Q362">
        <f>IF(AND(O362=0,P362=0),"",IF(O362=0,"ODOO-ONLY",IF(P362=0,"BANK-ONLY","BOTH")))</f>
      </c>
      <c r="R362" s="9">
        <f>IF(Q362="BOTH",ROUND(M362-N362,2),0)</f>
        <v>0</v>
      </c>
      <c r="S362" s="9">
        <f>ROUND(SUMIFS('Bank Lines'!$E$5:$E$1640,'Bank Lines'!$G$5:$G$1640,A362,'Bank Lines'!$J$5:$J$1640,1,'Bank Lines'!$C$5:$C$1640,"&lt;="&amp;Cover!$C$14),2)</f>
        <v>290.98</v>
      </c>
      <c r="T362" s="9">
        <f>ROUND(SUMIFS('Odoo Items'!$G$5:$G$4331,'Odoo Items'!$J$5:$J$4331,A362,'Odoo Items'!$C$5:$C$4331,"&lt;="&amp;Cover!$C$14),2)</f>
        <v>290.98</v>
      </c>
      <c r="U362">
        <f>COUNTIFS('Bank Lines'!$G$5:$G$1640,A362,'Bank Lines'!$J$5:$J$1640,1,'Bank Lines'!$C$5:$C$1640,"&lt;="&amp;Cover!$C$14)</f>
        <v>1</v>
      </c>
      <c r="V362">
        <f>COUNTIFS('Odoo Items'!$J$5:$J$4331,A362,'Odoo Items'!$C$5:$C$4331,"&lt;="&amp;Cover!$C$14)</f>
        <v>2</v>
      </c>
      <c r="W362" t="str">
        <f>IF(AND(U362=0,V362=0),"",IF(U362=0,"ODOO-ONLY",IF(V362=0,"BANK-ONLY","BOTH")))</f>
        <v>BOTH</v>
      </c>
      <c r="X362" s="9">
        <f>IF(W362="BOTH",ROUND(S362-T362,2),0)</f>
        <v>0</v>
      </c>
      <c r="Y362" s="9">
        <f>ROUND(SUMIFS('Bank Lines'!$E$5:$E$1640,'Bank Lines'!$G$5:$G$1640,A362,'Bank Lines'!$J$5:$J$1640,1,'Bank Lines'!$C$5:$C$1640,"&lt;="&amp;Cover!$C$15),2)</f>
        <v>290.98</v>
      </c>
      <c r="Z362" s="9">
        <f>ROUND(SUMIFS('Odoo Items'!$G$5:$G$4331,'Odoo Items'!$J$5:$J$4331,A362,'Odoo Items'!$C$5:$C$4331,"&lt;="&amp;Cover!$C$15),2)</f>
        <v>290.98</v>
      </c>
      <c r="AA362">
        <f>COUNTIFS('Bank Lines'!$G$5:$G$1640,A362,'Bank Lines'!$J$5:$J$1640,1,'Bank Lines'!$C$5:$C$1640,"&lt;="&amp;Cover!$C$15)</f>
        <v>1</v>
      </c>
      <c r="AB362">
        <f>COUNTIFS('Odoo Items'!$J$5:$J$4331,A362,'Odoo Items'!$C$5:$C$4331,"&lt;="&amp;Cover!$C$15)</f>
        <v>2</v>
      </c>
      <c r="AC362" t="str">
        <f>IF(AND(AA362=0,AB362=0),"",IF(AA362=0,"ODOO-ONLY",IF(AB362=0,"BANK-ONLY","BOTH")))</f>
        <v>BOTH</v>
      </c>
      <c r="AD362" s="9">
        <f>IF(AC362="BOTH",ROUND(Y362-Z362,2),0)</f>
        <v>0</v>
      </c>
    </row>
    <row r="363">
      <c r="A363" t="inlineStr">
        <is>
          <t>G00359</t>
        </is>
      </c>
      <c r="B363" t="inlineStr">
        <is>
          <t>OPS</t>
        </is>
      </c>
      <c r="C363" t="inlineStr">
        <is>
          <t>R03</t>
        </is>
      </c>
      <c r="D363" t="inlineStr">
        <is>
          <t>MATCH</t>
        </is>
      </c>
      <c r="E363" t="inlineStr">
        <is>
          <t>Kookaburra Plan Support</t>
        </is>
      </c>
      <c r="F363" t="n">
        <v>1</v>
      </c>
      <c r="G363" t="inlineStr">
        <is>
          <t>1 invoices</t>
        </is>
      </c>
      <c r="H363">
        <f>COUNTIFS('Bank Lines'!$G$5:$G$1640,A363,'Bank Lines'!$J$5:$J$1640,1)</f>
        <v>1</v>
      </c>
      <c r="I363">
        <f>COUNTIFS('Odoo Items'!$J$5:$J$4331,A363)</f>
        <v>1</v>
      </c>
      <c r="J363" s="9">
        <f>ROUND(SUMIFS('Bank Lines'!$E$5:$E$1640,'Bank Lines'!$G$5:$G$1640,A363,'Bank Lines'!$J$5:$J$1640,1),2)</f>
        <v>242.49</v>
      </c>
      <c r="K363" s="9">
        <f>ROUND(SUMIFS('Odoo Items'!$G$5:$G$4331,'Odoo Items'!$J$5:$J$4331,A363),2)</f>
        <v>242.49</v>
      </c>
      <c r="L363" s="9">
        <f>ROUND(J363-K363,2)</f>
        <v>0</v>
      </c>
      <c r="M363" s="9">
        <f>ROUND(SUMIFS('Bank Lines'!$E$5:$E$1640,'Bank Lines'!$G$5:$G$1640,A363,'Bank Lines'!$J$5:$J$1640,1,'Bank Lines'!$C$5:$C$1640,"&lt;="&amp;Cover!$C$13),2)</f>
        <v>0</v>
      </c>
      <c r="N363" s="9">
        <f>ROUND(SUMIFS('Odoo Items'!$G$5:$G$4331,'Odoo Items'!$J$5:$J$4331,A363,'Odoo Items'!$C$5:$C$4331,"&lt;="&amp;Cover!$C$13),2)</f>
        <v>0</v>
      </c>
      <c r="O363">
        <f>COUNTIFS('Bank Lines'!$G$5:$G$1640,A363,'Bank Lines'!$J$5:$J$1640,1,'Bank Lines'!$C$5:$C$1640,"&lt;="&amp;Cover!$C$13)</f>
        <v>0</v>
      </c>
      <c r="P363">
        <f>COUNTIFS('Odoo Items'!$J$5:$J$4331,A363,'Odoo Items'!$C$5:$C$4331,"&lt;="&amp;Cover!$C$13)</f>
        <v>0</v>
      </c>
      <c r="Q363">
        <f>IF(AND(O363=0,P363=0),"",IF(O363=0,"ODOO-ONLY",IF(P363=0,"BANK-ONLY","BOTH")))</f>
      </c>
      <c r="R363" s="9">
        <f>IF(Q363="BOTH",ROUND(M363-N363,2),0)</f>
        <v>0</v>
      </c>
      <c r="S363" s="9">
        <f>ROUND(SUMIFS('Bank Lines'!$E$5:$E$1640,'Bank Lines'!$G$5:$G$1640,A363,'Bank Lines'!$J$5:$J$1640,1,'Bank Lines'!$C$5:$C$1640,"&lt;="&amp;Cover!$C$14),2)</f>
        <v>242.49</v>
      </c>
      <c r="T363" s="9">
        <f>ROUND(SUMIFS('Odoo Items'!$G$5:$G$4331,'Odoo Items'!$J$5:$J$4331,A363,'Odoo Items'!$C$5:$C$4331,"&lt;="&amp;Cover!$C$14),2)</f>
        <v>242.49</v>
      </c>
      <c r="U363">
        <f>COUNTIFS('Bank Lines'!$G$5:$G$1640,A363,'Bank Lines'!$J$5:$J$1640,1,'Bank Lines'!$C$5:$C$1640,"&lt;="&amp;Cover!$C$14)</f>
        <v>1</v>
      </c>
      <c r="V363">
        <f>COUNTIFS('Odoo Items'!$J$5:$J$4331,A363,'Odoo Items'!$C$5:$C$4331,"&lt;="&amp;Cover!$C$14)</f>
        <v>1</v>
      </c>
      <c r="W363" t="str">
        <f>IF(AND(U363=0,V363=0),"",IF(U363=0,"ODOO-ONLY",IF(V363=0,"BANK-ONLY","BOTH")))</f>
        <v>BOTH</v>
      </c>
      <c r="X363" s="9">
        <f>IF(W363="BOTH",ROUND(S363-T363,2),0)</f>
        <v>0</v>
      </c>
      <c r="Y363" s="9">
        <f>ROUND(SUMIFS('Bank Lines'!$E$5:$E$1640,'Bank Lines'!$G$5:$G$1640,A363,'Bank Lines'!$J$5:$J$1640,1,'Bank Lines'!$C$5:$C$1640,"&lt;="&amp;Cover!$C$15),2)</f>
        <v>242.49</v>
      </c>
      <c r="Z363" s="9">
        <f>ROUND(SUMIFS('Odoo Items'!$G$5:$G$4331,'Odoo Items'!$J$5:$J$4331,A363,'Odoo Items'!$C$5:$C$4331,"&lt;="&amp;Cover!$C$15),2)</f>
        <v>242.49</v>
      </c>
      <c r="AA363">
        <f>COUNTIFS('Bank Lines'!$G$5:$G$1640,A363,'Bank Lines'!$J$5:$J$1640,1,'Bank Lines'!$C$5:$C$1640,"&lt;="&amp;Cover!$C$15)</f>
        <v>1</v>
      </c>
      <c r="AB363">
        <f>COUNTIFS('Odoo Items'!$J$5:$J$4331,A363,'Odoo Items'!$C$5:$C$4331,"&lt;="&amp;Cover!$C$15)</f>
        <v>1</v>
      </c>
      <c r="AC363" t="str">
        <f>IF(AND(AA363=0,AB363=0),"",IF(AA363=0,"ODOO-ONLY",IF(AB363=0,"BANK-ONLY","BOTH")))</f>
        <v>BOTH</v>
      </c>
      <c r="AD363" s="9">
        <f>IF(AC363="BOTH",ROUND(Y363-Z363,2),0)</f>
        <v>0</v>
      </c>
    </row>
    <row r="364">
      <c r="A364" t="inlineStr">
        <is>
          <t>G00360</t>
        </is>
      </c>
      <c r="B364" t="inlineStr">
        <is>
          <t>OPS</t>
        </is>
      </c>
      <c r="C364" t="inlineStr">
        <is>
          <t>R03</t>
        </is>
      </c>
      <c r="D364" t="inlineStr">
        <is>
          <t>MATCH</t>
        </is>
      </c>
      <c r="E364" t="inlineStr">
        <is>
          <t>Southern Cross Plan Mgmt</t>
        </is>
      </c>
      <c r="F364" t="n">
        <v>1</v>
      </c>
      <c r="G364" t="inlineStr">
        <is>
          <t>12 invoices</t>
        </is>
      </c>
      <c r="H364">
        <f>COUNTIFS('Bank Lines'!$G$5:$G$1640,A364,'Bank Lines'!$J$5:$J$1640,1)</f>
        <v>1</v>
      </c>
      <c r="I364">
        <f>COUNTIFS('Odoo Items'!$J$5:$J$4331,A364)</f>
        <v>12</v>
      </c>
      <c r="J364" s="9">
        <f>ROUND(SUMIFS('Bank Lines'!$E$5:$E$1640,'Bank Lines'!$G$5:$G$1640,A364,'Bank Lines'!$J$5:$J$1640,1),2)</f>
        <v>2506.06</v>
      </c>
      <c r="K364" s="9">
        <f>ROUND(SUMIFS('Odoo Items'!$G$5:$G$4331,'Odoo Items'!$J$5:$J$4331,A364),2)</f>
        <v>2506.06</v>
      </c>
      <c r="L364" s="9">
        <f>ROUND(J364-K364,2)</f>
        <v>0</v>
      </c>
      <c r="M364" s="9">
        <f>ROUND(SUMIFS('Bank Lines'!$E$5:$E$1640,'Bank Lines'!$G$5:$G$1640,A364,'Bank Lines'!$J$5:$J$1640,1,'Bank Lines'!$C$5:$C$1640,"&lt;="&amp;Cover!$C$13),2)</f>
        <v>0</v>
      </c>
      <c r="N364" s="9">
        <f>ROUND(SUMIFS('Odoo Items'!$G$5:$G$4331,'Odoo Items'!$J$5:$J$4331,A364,'Odoo Items'!$C$5:$C$4331,"&lt;="&amp;Cover!$C$13),2)</f>
        <v>0</v>
      </c>
      <c r="O364">
        <f>COUNTIFS('Bank Lines'!$G$5:$G$1640,A364,'Bank Lines'!$J$5:$J$1640,1,'Bank Lines'!$C$5:$C$1640,"&lt;="&amp;Cover!$C$13)</f>
        <v>0</v>
      </c>
      <c r="P364">
        <f>COUNTIFS('Odoo Items'!$J$5:$J$4331,A364,'Odoo Items'!$C$5:$C$4331,"&lt;="&amp;Cover!$C$13)</f>
        <v>0</v>
      </c>
      <c r="Q364">
        <f>IF(AND(O364=0,P364=0),"",IF(O364=0,"ODOO-ONLY",IF(P364=0,"BANK-ONLY","BOTH")))</f>
      </c>
      <c r="R364" s="9">
        <f>IF(Q364="BOTH",ROUND(M364-N364,2),0)</f>
        <v>0</v>
      </c>
      <c r="S364" s="9">
        <f>ROUND(SUMIFS('Bank Lines'!$E$5:$E$1640,'Bank Lines'!$G$5:$G$1640,A364,'Bank Lines'!$J$5:$J$1640,1,'Bank Lines'!$C$5:$C$1640,"&lt;="&amp;Cover!$C$14),2)</f>
        <v>2506.06</v>
      </c>
      <c r="T364" s="9">
        <f>ROUND(SUMIFS('Odoo Items'!$G$5:$G$4331,'Odoo Items'!$J$5:$J$4331,A364,'Odoo Items'!$C$5:$C$4331,"&lt;="&amp;Cover!$C$14),2)</f>
        <v>2506.06</v>
      </c>
      <c r="U364">
        <f>COUNTIFS('Bank Lines'!$G$5:$G$1640,A364,'Bank Lines'!$J$5:$J$1640,1,'Bank Lines'!$C$5:$C$1640,"&lt;="&amp;Cover!$C$14)</f>
        <v>1</v>
      </c>
      <c r="V364">
        <f>COUNTIFS('Odoo Items'!$J$5:$J$4331,A364,'Odoo Items'!$C$5:$C$4331,"&lt;="&amp;Cover!$C$14)</f>
        <v>12</v>
      </c>
      <c r="W364" t="str">
        <f>IF(AND(U364=0,V364=0),"",IF(U364=0,"ODOO-ONLY",IF(V364=0,"BANK-ONLY","BOTH")))</f>
        <v>BOTH</v>
      </c>
      <c r="X364" s="9">
        <f>IF(W364="BOTH",ROUND(S364-T364,2),0)</f>
        <v>0</v>
      </c>
      <c r="Y364" s="9">
        <f>ROUND(SUMIFS('Bank Lines'!$E$5:$E$1640,'Bank Lines'!$G$5:$G$1640,A364,'Bank Lines'!$J$5:$J$1640,1,'Bank Lines'!$C$5:$C$1640,"&lt;="&amp;Cover!$C$15),2)</f>
        <v>2506.06</v>
      </c>
      <c r="Z364" s="9">
        <f>ROUND(SUMIFS('Odoo Items'!$G$5:$G$4331,'Odoo Items'!$J$5:$J$4331,A364,'Odoo Items'!$C$5:$C$4331,"&lt;="&amp;Cover!$C$15),2)</f>
        <v>2506.06</v>
      </c>
      <c r="AA364">
        <f>COUNTIFS('Bank Lines'!$G$5:$G$1640,A364,'Bank Lines'!$J$5:$J$1640,1,'Bank Lines'!$C$5:$C$1640,"&lt;="&amp;Cover!$C$15)</f>
        <v>1</v>
      </c>
      <c r="AB364">
        <f>COUNTIFS('Odoo Items'!$J$5:$J$4331,A364,'Odoo Items'!$C$5:$C$4331,"&lt;="&amp;Cover!$C$15)</f>
        <v>12</v>
      </c>
      <c r="AC364" t="str">
        <f>IF(AND(AA364=0,AB364=0),"",IF(AA364=0,"ODOO-ONLY",IF(AB364=0,"BANK-ONLY","BOTH")))</f>
        <v>BOTH</v>
      </c>
      <c r="AD364" s="9">
        <f>IF(AC364="BOTH",ROUND(Y364-Z364,2),0)</f>
        <v>0</v>
      </c>
    </row>
    <row r="365">
      <c r="A365" t="inlineStr">
        <is>
          <t>G00361</t>
        </is>
      </c>
      <c r="B365" t="inlineStr">
        <is>
          <t>OPS</t>
        </is>
      </c>
      <c r="C365" t="inlineStr">
        <is>
          <t>R03</t>
        </is>
      </c>
      <c r="D365" t="inlineStr">
        <is>
          <t>MATCH</t>
        </is>
      </c>
      <c r="E365" t="inlineStr">
        <is>
          <t>Bluegum Plan Management</t>
        </is>
      </c>
      <c r="F365" t="n">
        <v>0.9</v>
      </c>
      <c r="G365" t="inlineStr">
        <is>
          <t>1 invoices</t>
        </is>
      </c>
      <c r="H365">
        <f>COUNTIFS('Bank Lines'!$G$5:$G$1640,A365,'Bank Lines'!$J$5:$J$1640,1)</f>
        <v>1</v>
      </c>
      <c r="I365">
        <f>COUNTIFS('Odoo Items'!$J$5:$J$4331,A365)</f>
        <v>1</v>
      </c>
      <c r="J365" s="9">
        <f>ROUND(SUMIFS('Bank Lines'!$E$5:$E$1640,'Bank Lines'!$G$5:$G$1640,A365,'Bank Lines'!$J$5:$J$1640,1),2)</f>
        <v>300.69</v>
      </c>
      <c r="K365" s="9">
        <f>ROUND(SUMIFS('Odoo Items'!$G$5:$G$4331,'Odoo Items'!$J$5:$J$4331,A365),2)</f>
        <v>300.69</v>
      </c>
      <c r="L365" s="9">
        <f>ROUND(J365-K365,2)</f>
        <v>0</v>
      </c>
      <c r="M365" s="9">
        <f>ROUND(SUMIFS('Bank Lines'!$E$5:$E$1640,'Bank Lines'!$G$5:$G$1640,A365,'Bank Lines'!$J$5:$J$1640,1,'Bank Lines'!$C$5:$C$1640,"&lt;="&amp;Cover!$C$13),2)</f>
        <v>0</v>
      </c>
      <c r="N365" s="9">
        <f>ROUND(SUMIFS('Odoo Items'!$G$5:$G$4331,'Odoo Items'!$J$5:$J$4331,A365,'Odoo Items'!$C$5:$C$4331,"&lt;="&amp;Cover!$C$13),2)</f>
        <v>0</v>
      </c>
      <c r="O365">
        <f>COUNTIFS('Bank Lines'!$G$5:$G$1640,A365,'Bank Lines'!$J$5:$J$1640,1,'Bank Lines'!$C$5:$C$1640,"&lt;="&amp;Cover!$C$13)</f>
        <v>0</v>
      </c>
      <c r="P365">
        <f>COUNTIFS('Odoo Items'!$J$5:$J$4331,A365,'Odoo Items'!$C$5:$C$4331,"&lt;="&amp;Cover!$C$13)</f>
        <v>0</v>
      </c>
      <c r="Q365">
        <f>IF(AND(O365=0,P365=0),"",IF(O365=0,"ODOO-ONLY",IF(P365=0,"BANK-ONLY","BOTH")))</f>
      </c>
      <c r="R365" s="9">
        <f>IF(Q365="BOTH",ROUND(M365-N365,2),0)</f>
        <v>0</v>
      </c>
      <c r="S365" s="9">
        <f>ROUND(SUMIFS('Bank Lines'!$E$5:$E$1640,'Bank Lines'!$G$5:$G$1640,A365,'Bank Lines'!$J$5:$J$1640,1,'Bank Lines'!$C$5:$C$1640,"&lt;="&amp;Cover!$C$14),2)</f>
        <v>300.69</v>
      </c>
      <c r="T365" s="9">
        <f>ROUND(SUMIFS('Odoo Items'!$G$5:$G$4331,'Odoo Items'!$J$5:$J$4331,A365,'Odoo Items'!$C$5:$C$4331,"&lt;="&amp;Cover!$C$14),2)</f>
        <v>300.69</v>
      </c>
      <c r="U365">
        <f>COUNTIFS('Bank Lines'!$G$5:$G$1640,A365,'Bank Lines'!$J$5:$J$1640,1,'Bank Lines'!$C$5:$C$1640,"&lt;="&amp;Cover!$C$14)</f>
        <v>1</v>
      </c>
      <c r="V365">
        <f>COUNTIFS('Odoo Items'!$J$5:$J$4331,A365,'Odoo Items'!$C$5:$C$4331,"&lt;="&amp;Cover!$C$14)</f>
        <v>1</v>
      </c>
      <c r="W365" t="str">
        <f>IF(AND(U365=0,V365=0),"",IF(U365=0,"ODOO-ONLY",IF(V365=0,"BANK-ONLY","BOTH")))</f>
        <v>BOTH</v>
      </c>
      <c r="X365" s="9">
        <f>IF(W365="BOTH",ROUND(S365-T365,2),0)</f>
        <v>0</v>
      </c>
      <c r="Y365" s="9">
        <f>ROUND(SUMIFS('Bank Lines'!$E$5:$E$1640,'Bank Lines'!$G$5:$G$1640,A365,'Bank Lines'!$J$5:$J$1640,1,'Bank Lines'!$C$5:$C$1640,"&lt;="&amp;Cover!$C$15),2)</f>
        <v>300.69</v>
      </c>
      <c r="Z365" s="9">
        <f>ROUND(SUMIFS('Odoo Items'!$G$5:$G$4331,'Odoo Items'!$J$5:$J$4331,A365,'Odoo Items'!$C$5:$C$4331,"&lt;="&amp;Cover!$C$15),2)</f>
        <v>300.69</v>
      </c>
      <c r="AA365">
        <f>COUNTIFS('Bank Lines'!$G$5:$G$1640,A365,'Bank Lines'!$J$5:$J$1640,1,'Bank Lines'!$C$5:$C$1640,"&lt;="&amp;Cover!$C$15)</f>
        <v>1</v>
      </c>
      <c r="AB365">
        <f>COUNTIFS('Odoo Items'!$J$5:$J$4331,A365,'Odoo Items'!$C$5:$C$4331,"&lt;="&amp;Cover!$C$15)</f>
        <v>1</v>
      </c>
      <c r="AC365" t="str">
        <f>IF(AND(AA365=0,AB365=0),"",IF(AA365=0,"ODOO-ONLY",IF(AB365=0,"BANK-ONLY","BOTH")))</f>
        <v>BOTH</v>
      </c>
      <c r="AD365" s="9">
        <f>IF(AC365="BOTH",ROUND(Y365-Z365,2),0)</f>
        <v>0</v>
      </c>
    </row>
    <row r="366">
      <c r="A366" t="inlineStr">
        <is>
          <t>G00362</t>
        </is>
      </c>
      <c r="B366" t="inlineStr">
        <is>
          <t>OPS</t>
        </is>
      </c>
      <c r="C366" t="inlineStr">
        <is>
          <t>R03</t>
        </is>
      </c>
      <c r="D366" t="inlineStr">
        <is>
          <t>MATCH</t>
        </is>
      </c>
      <c r="E366" t="inlineStr">
        <is>
          <t>Clearpath NDIS Plans</t>
        </is>
      </c>
      <c r="F366" t="n">
        <v>1</v>
      </c>
      <c r="G366" t="inlineStr">
        <is>
          <t>4 invoices</t>
        </is>
      </c>
      <c r="H366">
        <f>COUNTIFS('Bank Lines'!$G$5:$G$1640,A366,'Bank Lines'!$J$5:$J$1640,1)</f>
        <v>1</v>
      </c>
      <c r="I366">
        <f>COUNTIFS('Odoo Items'!$J$5:$J$4331,A366)</f>
        <v>4</v>
      </c>
      <c r="J366" s="9">
        <f>ROUND(SUMIFS('Bank Lines'!$E$5:$E$1640,'Bank Lines'!$G$5:$G$1640,A366,'Bank Lines'!$J$5:$J$1640,1),2)</f>
        <v>912.65</v>
      </c>
      <c r="K366" s="9">
        <f>ROUND(SUMIFS('Odoo Items'!$G$5:$G$4331,'Odoo Items'!$J$5:$J$4331,A366),2)</f>
        <v>912.65</v>
      </c>
      <c r="L366" s="9">
        <f>ROUND(J366-K366,2)</f>
        <v>0</v>
      </c>
      <c r="M366" s="9">
        <f>ROUND(SUMIFS('Bank Lines'!$E$5:$E$1640,'Bank Lines'!$G$5:$G$1640,A366,'Bank Lines'!$J$5:$J$1640,1,'Bank Lines'!$C$5:$C$1640,"&lt;="&amp;Cover!$C$13),2)</f>
        <v>0</v>
      </c>
      <c r="N366" s="9">
        <f>ROUND(SUMIFS('Odoo Items'!$G$5:$G$4331,'Odoo Items'!$J$5:$J$4331,A366,'Odoo Items'!$C$5:$C$4331,"&lt;="&amp;Cover!$C$13),2)</f>
        <v>0</v>
      </c>
      <c r="O366">
        <f>COUNTIFS('Bank Lines'!$G$5:$G$1640,A366,'Bank Lines'!$J$5:$J$1640,1,'Bank Lines'!$C$5:$C$1640,"&lt;="&amp;Cover!$C$13)</f>
        <v>0</v>
      </c>
      <c r="P366">
        <f>COUNTIFS('Odoo Items'!$J$5:$J$4331,A366,'Odoo Items'!$C$5:$C$4331,"&lt;="&amp;Cover!$C$13)</f>
        <v>0</v>
      </c>
      <c r="Q366">
        <f>IF(AND(O366=0,P366=0),"",IF(O366=0,"ODOO-ONLY",IF(P366=0,"BANK-ONLY","BOTH")))</f>
      </c>
      <c r="R366" s="9">
        <f>IF(Q366="BOTH",ROUND(M366-N366,2),0)</f>
        <v>0</v>
      </c>
      <c r="S366" s="9">
        <f>ROUND(SUMIFS('Bank Lines'!$E$5:$E$1640,'Bank Lines'!$G$5:$G$1640,A366,'Bank Lines'!$J$5:$J$1640,1,'Bank Lines'!$C$5:$C$1640,"&lt;="&amp;Cover!$C$14),2)</f>
        <v>912.65</v>
      </c>
      <c r="T366" s="9">
        <f>ROUND(SUMIFS('Odoo Items'!$G$5:$G$4331,'Odoo Items'!$J$5:$J$4331,A366,'Odoo Items'!$C$5:$C$4331,"&lt;="&amp;Cover!$C$14),2)</f>
        <v>912.65</v>
      </c>
      <c r="U366">
        <f>COUNTIFS('Bank Lines'!$G$5:$G$1640,A366,'Bank Lines'!$J$5:$J$1640,1,'Bank Lines'!$C$5:$C$1640,"&lt;="&amp;Cover!$C$14)</f>
        <v>1</v>
      </c>
      <c r="V366">
        <f>COUNTIFS('Odoo Items'!$J$5:$J$4331,A366,'Odoo Items'!$C$5:$C$4331,"&lt;="&amp;Cover!$C$14)</f>
        <v>4</v>
      </c>
      <c r="W366" t="str">
        <f>IF(AND(U366=0,V366=0),"",IF(U366=0,"ODOO-ONLY",IF(V366=0,"BANK-ONLY","BOTH")))</f>
        <v>BOTH</v>
      </c>
      <c r="X366" s="9">
        <f>IF(W366="BOTH",ROUND(S366-T366,2),0)</f>
        <v>0</v>
      </c>
      <c r="Y366" s="9">
        <f>ROUND(SUMIFS('Bank Lines'!$E$5:$E$1640,'Bank Lines'!$G$5:$G$1640,A366,'Bank Lines'!$J$5:$J$1640,1,'Bank Lines'!$C$5:$C$1640,"&lt;="&amp;Cover!$C$15),2)</f>
        <v>912.65</v>
      </c>
      <c r="Z366" s="9">
        <f>ROUND(SUMIFS('Odoo Items'!$G$5:$G$4331,'Odoo Items'!$J$5:$J$4331,A366,'Odoo Items'!$C$5:$C$4331,"&lt;="&amp;Cover!$C$15),2)</f>
        <v>912.65</v>
      </c>
      <c r="AA366">
        <f>COUNTIFS('Bank Lines'!$G$5:$G$1640,A366,'Bank Lines'!$J$5:$J$1640,1,'Bank Lines'!$C$5:$C$1640,"&lt;="&amp;Cover!$C$15)</f>
        <v>1</v>
      </c>
      <c r="AB366">
        <f>COUNTIFS('Odoo Items'!$J$5:$J$4331,A366,'Odoo Items'!$C$5:$C$4331,"&lt;="&amp;Cover!$C$15)</f>
        <v>4</v>
      </c>
      <c r="AC366" t="str">
        <f>IF(AND(AA366=0,AB366=0),"",IF(AA366=0,"ODOO-ONLY",IF(AB366=0,"BANK-ONLY","BOTH")))</f>
        <v>BOTH</v>
      </c>
      <c r="AD366" s="9">
        <f>IF(AC366="BOTH",ROUND(Y366-Z366,2),0)</f>
        <v>0</v>
      </c>
    </row>
    <row r="367">
      <c r="A367" t="inlineStr">
        <is>
          <t>G00363</t>
        </is>
      </c>
      <c r="B367" t="inlineStr">
        <is>
          <t>OPS</t>
        </is>
      </c>
      <c r="C367" t="inlineStr">
        <is>
          <t>R03</t>
        </is>
      </c>
      <c r="D367" t="inlineStr">
        <is>
          <t>MATCH</t>
        </is>
      </c>
      <c r="E367" t="inlineStr">
        <is>
          <t>Ironbark Plan Management</t>
        </is>
      </c>
      <c r="F367" t="n">
        <v>1</v>
      </c>
      <c r="G367" t="inlineStr">
        <is>
          <t>4 invoices</t>
        </is>
      </c>
      <c r="H367">
        <f>COUNTIFS('Bank Lines'!$G$5:$G$1640,A367,'Bank Lines'!$J$5:$J$1640,1)</f>
        <v>1</v>
      </c>
      <c r="I367">
        <f>COUNTIFS('Odoo Items'!$J$5:$J$4331,A367)</f>
        <v>4</v>
      </c>
      <c r="J367" s="9">
        <f>ROUND(SUMIFS('Bank Lines'!$E$5:$E$1640,'Bank Lines'!$G$5:$G$1640,A367,'Bank Lines'!$J$5:$J$1640,1),2)</f>
        <v>746.86</v>
      </c>
      <c r="K367" s="9">
        <f>ROUND(SUMIFS('Odoo Items'!$G$5:$G$4331,'Odoo Items'!$J$5:$J$4331,A367),2)</f>
        <v>746.86</v>
      </c>
      <c r="L367" s="9">
        <f>ROUND(J367-K367,2)</f>
        <v>0</v>
      </c>
      <c r="M367" s="9">
        <f>ROUND(SUMIFS('Bank Lines'!$E$5:$E$1640,'Bank Lines'!$G$5:$G$1640,A367,'Bank Lines'!$J$5:$J$1640,1,'Bank Lines'!$C$5:$C$1640,"&lt;="&amp;Cover!$C$13),2)</f>
        <v>0</v>
      </c>
      <c r="N367" s="9">
        <f>ROUND(SUMIFS('Odoo Items'!$G$5:$G$4331,'Odoo Items'!$J$5:$J$4331,A367,'Odoo Items'!$C$5:$C$4331,"&lt;="&amp;Cover!$C$13),2)</f>
        <v>0</v>
      </c>
      <c r="O367">
        <f>COUNTIFS('Bank Lines'!$G$5:$G$1640,A367,'Bank Lines'!$J$5:$J$1640,1,'Bank Lines'!$C$5:$C$1640,"&lt;="&amp;Cover!$C$13)</f>
        <v>0</v>
      </c>
      <c r="P367">
        <f>COUNTIFS('Odoo Items'!$J$5:$J$4331,A367,'Odoo Items'!$C$5:$C$4331,"&lt;="&amp;Cover!$C$13)</f>
        <v>0</v>
      </c>
      <c r="Q367">
        <f>IF(AND(O367=0,P367=0),"",IF(O367=0,"ODOO-ONLY",IF(P367=0,"BANK-ONLY","BOTH")))</f>
      </c>
      <c r="R367" s="9">
        <f>IF(Q367="BOTH",ROUND(M367-N367,2),0)</f>
        <v>0</v>
      </c>
      <c r="S367" s="9">
        <f>ROUND(SUMIFS('Bank Lines'!$E$5:$E$1640,'Bank Lines'!$G$5:$G$1640,A367,'Bank Lines'!$J$5:$J$1640,1,'Bank Lines'!$C$5:$C$1640,"&lt;="&amp;Cover!$C$14),2)</f>
        <v>746.86</v>
      </c>
      <c r="T367" s="9">
        <f>ROUND(SUMIFS('Odoo Items'!$G$5:$G$4331,'Odoo Items'!$J$5:$J$4331,A367,'Odoo Items'!$C$5:$C$4331,"&lt;="&amp;Cover!$C$14),2)</f>
        <v>746.86</v>
      </c>
      <c r="U367">
        <f>COUNTIFS('Bank Lines'!$G$5:$G$1640,A367,'Bank Lines'!$J$5:$J$1640,1,'Bank Lines'!$C$5:$C$1640,"&lt;="&amp;Cover!$C$14)</f>
        <v>1</v>
      </c>
      <c r="V367">
        <f>COUNTIFS('Odoo Items'!$J$5:$J$4331,A367,'Odoo Items'!$C$5:$C$4331,"&lt;="&amp;Cover!$C$14)</f>
        <v>4</v>
      </c>
      <c r="W367" t="str">
        <f>IF(AND(U367=0,V367=0),"",IF(U367=0,"ODOO-ONLY",IF(V367=0,"BANK-ONLY","BOTH")))</f>
        <v>BOTH</v>
      </c>
      <c r="X367" s="9">
        <f>IF(W367="BOTH",ROUND(S367-T367,2),0)</f>
        <v>0</v>
      </c>
      <c r="Y367" s="9">
        <f>ROUND(SUMIFS('Bank Lines'!$E$5:$E$1640,'Bank Lines'!$G$5:$G$1640,A367,'Bank Lines'!$J$5:$J$1640,1,'Bank Lines'!$C$5:$C$1640,"&lt;="&amp;Cover!$C$15),2)</f>
        <v>746.86</v>
      </c>
      <c r="Z367" s="9">
        <f>ROUND(SUMIFS('Odoo Items'!$G$5:$G$4331,'Odoo Items'!$J$5:$J$4331,A367,'Odoo Items'!$C$5:$C$4331,"&lt;="&amp;Cover!$C$15),2)</f>
        <v>746.86</v>
      </c>
      <c r="AA367">
        <f>COUNTIFS('Bank Lines'!$G$5:$G$1640,A367,'Bank Lines'!$J$5:$J$1640,1,'Bank Lines'!$C$5:$C$1640,"&lt;="&amp;Cover!$C$15)</f>
        <v>1</v>
      </c>
      <c r="AB367">
        <f>COUNTIFS('Odoo Items'!$J$5:$J$4331,A367,'Odoo Items'!$C$5:$C$4331,"&lt;="&amp;Cover!$C$15)</f>
        <v>4</v>
      </c>
      <c r="AC367" t="str">
        <f>IF(AND(AA367=0,AB367=0),"",IF(AA367=0,"ODOO-ONLY",IF(AB367=0,"BANK-ONLY","BOTH")))</f>
        <v>BOTH</v>
      </c>
      <c r="AD367" s="9">
        <f>IF(AC367="BOTH",ROUND(Y367-Z367,2),0)</f>
        <v>0</v>
      </c>
    </row>
    <row r="368">
      <c r="A368" t="inlineStr">
        <is>
          <t>G00364</t>
        </is>
      </c>
      <c r="B368" t="inlineStr">
        <is>
          <t>OPS</t>
        </is>
      </c>
      <c r="C368" t="inlineStr">
        <is>
          <t>R03</t>
        </is>
      </c>
      <c r="D368" t="inlineStr">
        <is>
          <t>MATCH</t>
        </is>
      </c>
      <c r="E368" t="inlineStr">
        <is>
          <t>Kookaburra Plan Support</t>
        </is>
      </c>
      <c r="F368" t="n">
        <v>1</v>
      </c>
      <c r="G368" t="inlineStr">
        <is>
          <t>3 invoices</t>
        </is>
      </c>
      <c r="H368">
        <f>COUNTIFS('Bank Lines'!$G$5:$G$1640,A368,'Bank Lines'!$J$5:$J$1640,1)</f>
        <v>1</v>
      </c>
      <c r="I368">
        <f>COUNTIFS('Odoo Items'!$J$5:$J$4331,A368)</f>
        <v>3</v>
      </c>
      <c r="J368" s="9">
        <f>ROUND(SUMIFS('Bank Lines'!$E$5:$E$1640,'Bank Lines'!$G$5:$G$1640,A368,'Bank Lines'!$J$5:$J$1640,1),2)</f>
        <v>611.96</v>
      </c>
      <c r="K368" s="9">
        <f>ROUND(SUMIFS('Odoo Items'!$G$5:$G$4331,'Odoo Items'!$J$5:$J$4331,A368),2)</f>
        <v>611.96</v>
      </c>
      <c r="L368" s="9">
        <f>ROUND(J368-K368,2)</f>
        <v>0</v>
      </c>
      <c r="M368" s="9">
        <f>ROUND(SUMIFS('Bank Lines'!$E$5:$E$1640,'Bank Lines'!$G$5:$G$1640,A368,'Bank Lines'!$J$5:$J$1640,1,'Bank Lines'!$C$5:$C$1640,"&lt;="&amp;Cover!$C$13),2)</f>
        <v>0</v>
      </c>
      <c r="N368" s="9">
        <f>ROUND(SUMIFS('Odoo Items'!$G$5:$G$4331,'Odoo Items'!$J$5:$J$4331,A368,'Odoo Items'!$C$5:$C$4331,"&lt;="&amp;Cover!$C$13),2)</f>
        <v>0</v>
      </c>
      <c r="O368">
        <f>COUNTIFS('Bank Lines'!$G$5:$G$1640,A368,'Bank Lines'!$J$5:$J$1640,1,'Bank Lines'!$C$5:$C$1640,"&lt;="&amp;Cover!$C$13)</f>
        <v>0</v>
      </c>
      <c r="P368">
        <f>COUNTIFS('Odoo Items'!$J$5:$J$4331,A368,'Odoo Items'!$C$5:$C$4331,"&lt;="&amp;Cover!$C$13)</f>
        <v>0</v>
      </c>
      <c r="Q368">
        <f>IF(AND(O368=0,P368=0),"",IF(O368=0,"ODOO-ONLY",IF(P368=0,"BANK-ONLY","BOTH")))</f>
      </c>
      <c r="R368" s="9">
        <f>IF(Q368="BOTH",ROUND(M368-N368,2),0)</f>
        <v>0</v>
      </c>
      <c r="S368" s="9">
        <f>ROUND(SUMIFS('Bank Lines'!$E$5:$E$1640,'Bank Lines'!$G$5:$G$1640,A368,'Bank Lines'!$J$5:$J$1640,1,'Bank Lines'!$C$5:$C$1640,"&lt;="&amp;Cover!$C$14),2)</f>
        <v>611.96</v>
      </c>
      <c r="T368" s="9">
        <f>ROUND(SUMIFS('Odoo Items'!$G$5:$G$4331,'Odoo Items'!$J$5:$J$4331,A368,'Odoo Items'!$C$5:$C$4331,"&lt;="&amp;Cover!$C$14),2)</f>
        <v>611.96</v>
      </c>
      <c r="U368">
        <f>COUNTIFS('Bank Lines'!$G$5:$G$1640,A368,'Bank Lines'!$J$5:$J$1640,1,'Bank Lines'!$C$5:$C$1640,"&lt;="&amp;Cover!$C$14)</f>
        <v>1</v>
      </c>
      <c r="V368">
        <f>COUNTIFS('Odoo Items'!$J$5:$J$4331,A368,'Odoo Items'!$C$5:$C$4331,"&lt;="&amp;Cover!$C$14)</f>
        <v>3</v>
      </c>
      <c r="W368" t="str">
        <f>IF(AND(U368=0,V368=0),"",IF(U368=0,"ODOO-ONLY",IF(V368=0,"BANK-ONLY","BOTH")))</f>
        <v>BOTH</v>
      </c>
      <c r="X368" s="9">
        <f>IF(W368="BOTH",ROUND(S368-T368,2),0)</f>
        <v>0</v>
      </c>
      <c r="Y368" s="9">
        <f>ROUND(SUMIFS('Bank Lines'!$E$5:$E$1640,'Bank Lines'!$G$5:$G$1640,A368,'Bank Lines'!$J$5:$J$1640,1,'Bank Lines'!$C$5:$C$1640,"&lt;="&amp;Cover!$C$15),2)</f>
        <v>611.96</v>
      </c>
      <c r="Z368" s="9">
        <f>ROUND(SUMIFS('Odoo Items'!$G$5:$G$4331,'Odoo Items'!$J$5:$J$4331,A368,'Odoo Items'!$C$5:$C$4331,"&lt;="&amp;Cover!$C$15),2)</f>
        <v>611.96</v>
      </c>
      <c r="AA368">
        <f>COUNTIFS('Bank Lines'!$G$5:$G$1640,A368,'Bank Lines'!$J$5:$J$1640,1,'Bank Lines'!$C$5:$C$1640,"&lt;="&amp;Cover!$C$15)</f>
        <v>1</v>
      </c>
      <c r="AB368">
        <f>COUNTIFS('Odoo Items'!$J$5:$J$4331,A368,'Odoo Items'!$C$5:$C$4331,"&lt;="&amp;Cover!$C$15)</f>
        <v>3</v>
      </c>
      <c r="AC368" t="str">
        <f>IF(AND(AA368=0,AB368=0),"",IF(AA368=0,"ODOO-ONLY",IF(AB368=0,"BANK-ONLY","BOTH")))</f>
        <v>BOTH</v>
      </c>
      <c r="AD368" s="9">
        <f>IF(AC368="BOTH",ROUND(Y368-Z368,2),0)</f>
        <v>0</v>
      </c>
    </row>
    <row r="369">
      <c r="A369" t="inlineStr">
        <is>
          <t>G00365</t>
        </is>
      </c>
      <c r="B369" t="inlineStr">
        <is>
          <t>OPS</t>
        </is>
      </c>
      <c r="C369" t="inlineStr">
        <is>
          <t>R03</t>
        </is>
      </c>
      <c r="D369" t="inlineStr">
        <is>
          <t>MATCH</t>
        </is>
      </c>
      <c r="E369" t="inlineStr">
        <is>
          <t>Saltbush Plan Managers</t>
        </is>
      </c>
      <c r="F369" t="n">
        <v>1</v>
      </c>
      <c r="G369" t="inlineStr">
        <is>
          <t>2 invoices</t>
        </is>
      </c>
      <c r="H369">
        <f>COUNTIFS('Bank Lines'!$G$5:$G$1640,A369,'Bank Lines'!$J$5:$J$1640,1)</f>
        <v>1</v>
      </c>
      <c r="I369">
        <f>COUNTIFS('Odoo Items'!$J$5:$J$4331,A369)</f>
        <v>2</v>
      </c>
      <c r="J369" s="9">
        <f>ROUND(SUMIFS('Bank Lines'!$E$5:$E$1640,'Bank Lines'!$G$5:$G$1640,A369,'Bank Lines'!$J$5:$J$1640,1),2)</f>
        <v>533.47</v>
      </c>
      <c r="K369" s="9">
        <f>ROUND(SUMIFS('Odoo Items'!$G$5:$G$4331,'Odoo Items'!$J$5:$J$4331,A369),2)</f>
        <v>533.47</v>
      </c>
      <c r="L369" s="9">
        <f>ROUND(J369-K369,2)</f>
        <v>0</v>
      </c>
      <c r="M369" s="9">
        <f>ROUND(SUMIFS('Bank Lines'!$E$5:$E$1640,'Bank Lines'!$G$5:$G$1640,A369,'Bank Lines'!$J$5:$J$1640,1,'Bank Lines'!$C$5:$C$1640,"&lt;="&amp;Cover!$C$13),2)</f>
        <v>0</v>
      </c>
      <c r="N369" s="9">
        <f>ROUND(SUMIFS('Odoo Items'!$G$5:$G$4331,'Odoo Items'!$J$5:$J$4331,A369,'Odoo Items'!$C$5:$C$4331,"&lt;="&amp;Cover!$C$13),2)</f>
        <v>0</v>
      </c>
      <c r="O369">
        <f>COUNTIFS('Bank Lines'!$G$5:$G$1640,A369,'Bank Lines'!$J$5:$J$1640,1,'Bank Lines'!$C$5:$C$1640,"&lt;="&amp;Cover!$C$13)</f>
        <v>0</v>
      </c>
      <c r="P369">
        <f>COUNTIFS('Odoo Items'!$J$5:$J$4331,A369,'Odoo Items'!$C$5:$C$4331,"&lt;="&amp;Cover!$C$13)</f>
        <v>0</v>
      </c>
      <c r="Q369">
        <f>IF(AND(O369=0,P369=0),"",IF(O369=0,"ODOO-ONLY",IF(P369=0,"BANK-ONLY","BOTH")))</f>
      </c>
      <c r="R369" s="9">
        <f>IF(Q369="BOTH",ROUND(M369-N369,2),0)</f>
        <v>0</v>
      </c>
      <c r="S369" s="9">
        <f>ROUND(SUMIFS('Bank Lines'!$E$5:$E$1640,'Bank Lines'!$G$5:$G$1640,A369,'Bank Lines'!$J$5:$J$1640,1,'Bank Lines'!$C$5:$C$1640,"&lt;="&amp;Cover!$C$14),2)</f>
        <v>533.47</v>
      </c>
      <c r="T369" s="9">
        <f>ROUND(SUMIFS('Odoo Items'!$G$5:$G$4331,'Odoo Items'!$J$5:$J$4331,A369,'Odoo Items'!$C$5:$C$4331,"&lt;="&amp;Cover!$C$14),2)</f>
        <v>533.47</v>
      </c>
      <c r="U369">
        <f>COUNTIFS('Bank Lines'!$G$5:$G$1640,A369,'Bank Lines'!$J$5:$J$1640,1,'Bank Lines'!$C$5:$C$1640,"&lt;="&amp;Cover!$C$14)</f>
        <v>1</v>
      </c>
      <c r="V369">
        <f>COUNTIFS('Odoo Items'!$J$5:$J$4331,A369,'Odoo Items'!$C$5:$C$4331,"&lt;="&amp;Cover!$C$14)</f>
        <v>2</v>
      </c>
      <c r="W369" t="str">
        <f>IF(AND(U369=0,V369=0),"",IF(U369=0,"ODOO-ONLY",IF(V369=0,"BANK-ONLY","BOTH")))</f>
        <v>BOTH</v>
      </c>
      <c r="X369" s="9">
        <f>IF(W369="BOTH",ROUND(S369-T369,2),0)</f>
        <v>0</v>
      </c>
      <c r="Y369" s="9">
        <f>ROUND(SUMIFS('Bank Lines'!$E$5:$E$1640,'Bank Lines'!$G$5:$G$1640,A369,'Bank Lines'!$J$5:$J$1640,1,'Bank Lines'!$C$5:$C$1640,"&lt;="&amp;Cover!$C$15),2)</f>
        <v>533.47</v>
      </c>
      <c r="Z369" s="9">
        <f>ROUND(SUMIFS('Odoo Items'!$G$5:$G$4331,'Odoo Items'!$J$5:$J$4331,A369,'Odoo Items'!$C$5:$C$4331,"&lt;="&amp;Cover!$C$15),2)</f>
        <v>533.47</v>
      </c>
      <c r="AA369">
        <f>COUNTIFS('Bank Lines'!$G$5:$G$1640,A369,'Bank Lines'!$J$5:$J$1640,1,'Bank Lines'!$C$5:$C$1640,"&lt;="&amp;Cover!$C$15)</f>
        <v>1</v>
      </c>
      <c r="AB369">
        <f>COUNTIFS('Odoo Items'!$J$5:$J$4331,A369,'Odoo Items'!$C$5:$C$4331,"&lt;="&amp;Cover!$C$15)</f>
        <v>2</v>
      </c>
      <c r="AC369" t="str">
        <f>IF(AND(AA369=0,AB369=0),"",IF(AA369=0,"ODOO-ONLY",IF(AB369=0,"BANK-ONLY","BOTH")))</f>
        <v>BOTH</v>
      </c>
      <c r="AD369" s="9">
        <f>IF(AC369="BOTH",ROUND(Y369-Z369,2),0)</f>
        <v>0</v>
      </c>
    </row>
    <row r="370">
      <c r="A370" t="inlineStr">
        <is>
          <t>G00366</t>
        </is>
      </c>
      <c r="B370" t="inlineStr">
        <is>
          <t>OPS</t>
        </is>
      </c>
      <c r="C370" t="inlineStr">
        <is>
          <t>R03</t>
        </is>
      </c>
      <c r="D370" t="inlineStr">
        <is>
          <t>MATCH</t>
        </is>
      </c>
      <c r="E370" t="inlineStr">
        <is>
          <t>Redgum Plan Admin</t>
        </is>
      </c>
      <c r="F370" t="n">
        <v>1</v>
      </c>
      <c r="G370" t="inlineStr">
        <is>
          <t>3 invoices</t>
        </is>
      </c>
      <c r="H370">
        <f>COUNTIFS('Bank Lines'!$G$5:$G$1640,A370,'Bank Lines'!$J$5:$J$1640,1)</f>
        <v>1</v>
      </c>
      <c r="I370">
        <f>COUNTIFS('Odoo Items'!$J$5:$J$4331,A370)</f>
        <v>3</v>
      </c>
      <c r="J370" s="9">
        <f>ROUND(SUMIFS('Bank Lines'!$E$5:$E$1640,'Bank Lines'!$G$5:$G$1640,A370,'Bank Lines'!$J$5:$J$1640,1),2)</f>
        <v>630.46</v>
      </c>
      <c r="K370" s="9">
        <f>ROUND(SUMIFS('Odoo Items'!$G$5:$G$4331,'Odoo Items'!$J$5:$J$4331,A370),2)</f>
        <v>630.46</v>
      </c>
      <c r="L370" s="9">
        <f>ROUND(J370-K370,2)</f>
        <v>0</v>
      </c>
      <c r="M370" s="9">
        <f>ROUND(SUMIFS('Bank Lines'!$E$5:$E$1640,'Bank Lines'!$G$5:$G$1640,A370,'Bank Lines'!$J$5:$J$1640,1,'Bank Lines'!$C$5:$C$1640,"&lt;="&amp;Cover!$C$13),2)</f>
        <v>0</v>
      </c>
      <c r="N370" s="9">
        <f>ROUND(SUMIFS('Odoo Items'!$G$5:$G$4331,'Odoo Items'!$J$5:$J$4331,A370,'Odoo Items'!$C$5:$C$4331,"&lt;="&amp;Cover!$C$13),2)</f>
        <v>0</v>
      </c>
      <c r="O370">
        <f>COUNTIFS('Bank Lines'!$G$5:$G$1640,A370,'Bank Lines'!$J$5:$J$1640,1,'Bank Lines'!$C$5:$C$1640,"&lt;="&amp;Cover!$C$13)</f>
        <v>0</v>
      </c>
      <c r="P370">
        <f>COUNTIFS('Odoo Items'!$J$5:$J$4331,A370,'Odoo Items'!$C$5:$C$4331,"&lt;="&amp;Cover!$C$13)</f>
        <v>0</v>
      </c>
      <c r="Q370">
        <f>IF(AND(O370=0,P370=0),"",IF(O370=0,"ODOO-ONLY",IF(P370=0,"BANK-ONLY","BOTH")))</f>
      </c>
      <c r="R370" s="9">
        <f>IF(Q370="BOTH",ROUND(M370-N370,2),0)</f>
        <v>0</v>
      </c>
      <c r="S370" s="9">
        <f>ROUND(SUMIFS('Bank Lines'!$E$5:$E$1640,'Bank Lines'!$G$5:$G$1640,A370,'Bank Lines'!$J$5:$J$1640,1,'Bank Lines'!$C$5:$C$1640,"&lt;="&amp;Cover!$C$14),2)</f>
        <v>630.46</v>
      </c>
      <c r="T370" s="9">
        <f>ROUND(SUMIFS('Odoo Items'!$G$5:$G$4331,'Odoo Items'!$J$5:$J$4331,A370,'Odoo Items'!$C$5:$C$4331,"&lt;="&amp;Cover!$C$14),2)</f>
        <v>630.46</v>
      </c>
      <c r="U370">
        <f>COUNTIFS('Bank Lines'!$G$5:$G$1640,A370,'Bank Lines'!$J$5:$J$1640,1,'Bank Lines'!$C$5:$C$1640,"&lt;="&amp;Cover!$C$14)</f>
        <v>1</v>
      </c>
      <c r="V370">
        <f>COUNTIFS('Odoo Items'!$J$5:$J$4331,A370,'Odoo Items'!$C$5:$C$4331,"&lt;="&amp;Cover!$C$14)</f>
        <v>3</v>
      </c>
      <c r="W370" t="str">
        <f>IF(AND(U370=0,V370=0),"",IF(U370=0,"ODOO-ONLY",IF(V370=0,"BANK-ONLY","BOTH")))</f>
        <v>BOTH</v>
      </c>
      <c r="X370" s="9">
        <f>IF(W370="BOTH",ROUND(S370-T370,2),0)</f>
        <v>0</v>
      </c>
      <c r="Y370" s="9">
        <f>ROUND(SUMIFS('Bank Lines'!$E$5:$E$1640,'Bank Lines'!$G$5:$G$1640,A370,'Bank Lines'!$J$5:$J$1640,1,'Bank Lines'!$C$5:$C$1640,"&lt;="&amp;Cover!$C$15),2)</f>
        <v>630.46</v>
      </c>
      <c r="Z370" s="9">
        <f>ROUND(SUMIFS('Odoo Items'!$G$5:$G$4331,'Odoo Items'!$J$5:$J$4331,A370,'Odoo Items'!$C$5:$C$4331,"&lt;="&amp;Cover!$C$15),2)</f>
        <v>630.46</v>
      </c>
      <c r="AA370">
        <f>COUNTIFS('Bank Lines'!$G$5:$G$1640,A370,'Bank Lines'!$J$5:$J$1640,1,'Bank Lines'!$C$5:$C$1640,"&lt;="&amp;Cover!$C$15)</f>
        <v>1</v>
      </c>
      <c r="AB370">
        <f>COUNTIFS('Odoo Items'!$J$5:$J$4331,A370,'Odoo Items'!$C$5:$C$4331,"&lt;="&amp;Cover!$C$15)</f>
        <v>3</v>
      </c>
      <c r="AC370" t="str">
        <f>IF(AND(AA370=0,AB370=0),"",IF(AA370=0,"ODOO-ONLY",IF(AB370=0,"BANK-ONLY","BOTH")))</f>
        <v>BOTH</v>
      </c>
      <c r="AD370" s="9">
        <f>IF(AC370="BOTH",ROUND(Y370-Z370,2),0)</f>
        <v>0</v>
      </c>
    </row>
    <row r="371">
      <c r="A371" t="inlineStr">
        <is>
          <t>G00367</t>
        </is>
      </c>
      <c r="B371" t="inlineStr">
        <is>
          <t>OPS</t>
        </is>
      </c>
      <c r="C371" t="inlineStr">
        <is>
          <t>R03</t>
        </is>
      </c>
      <c r="D371" t="inlineStr">
        <is>
          <t>MATCH</t>
        </is>
      </c>
      <c r="E371" t="inlineStr">
        <is>
          <t>Acacia Plan Partners</t>
        </is>
      </c>
      <c r="F371" t="n">
        <v>1</v>
      </c>
      <c r="G371" t="inlineStr">
        <is>
          <t>11 invoices</t>
        </is>
      </c>
      <c r="H371">
        <f>COUNTIFS('Bank Lines'!$G$5:$G$1640,A371,'Bank Lines'!$J$5:$J$1640,1)</f>
        <v>1</v>
      </c>
      <c r="I371">
        <f>COUNTIFS('Odoo Items'!$J$5:$J$4331,A371)</f>
        <v>11</v>
      </c>
      <c r="J371" s="9">
        <f>ROUND(SUMIFS('Bank Lines'!$E$5:$E$1640,'Bank Lines'!$G$5:$G$1640,A371,'Bank Lines'!$J$5:$J$1640,1),2)</f>
        <v>3416.93</v>
      </c>
      <c r="K371" s="9">
        <f>ROUND(SUMIFS('Odoo Items'!$G$5:$G$4331,'Odoo Items'!$J$5:$J$4331,A371),2)</f>
        <v>3416.93</v>
      </c>
      <c r="L371" s="9">
        <f>ROUND(J371-K371,2)</f>
        <v>0</v>
      </c>
      <c r="M371" s="9">
        <f>ROUND(SUMIFS('Bank Lines'!$E$5:$E$1640,'Bank Lines'!$G$5:$G$1640,A371,'Bank Lines'!$J$5:$J$1640,1,'Bank Lines'!$C$5:$C$1640,"&lt;="&amp;Cover!$C$13),2)</f>
        <v>0</v>
      </c>
      <c r="N371" s="9">
        <f>ROUND(SUMIFS('Odoo Items'!$G$5:$G$4331,'Odoo Items'!$J$5:$J$4331,A371,'Odoo Items'!$C$5:$C$4331,"&lt;="&amp;Cover!$C$13),2)</f>
        <v>0</v>
      </c>
      <c r="O371">
        <f>COUNTIFS('Bank Lines'!$G$5:$G$1640,A371,'Bank Lines'!$J$5:$J$1640,1,'Bank Lines'!$C$5:$C$1640,"&lt;="&amp;Cover!$C$13)</f>
        <v>0</v>
      </c>
      <c r="P371">
        <f>COUNTIFS('Odoo Items'!$J$5:$J$4331,A371,'Odoo Items'!$C$5:$C$4331,"&lt;="&amp;Cover!$C$13)</f>
        <v>0</v>
      </c>
      <c r="Q371">
        <f>IF(AND(O371=0,P371=0),"",IF(O371=0,"ODOO-ONLY",IF(P371=0,"BANK-ONLY","BOTH")))</f>
      </c>
      <c r="R371" s="9">
        <f>IF(Q371="BOTH",ROUND(M371-N371,2),0)</f>
        <v>0</v>
      </c>
      <c r="S371" s="9">
        <f>ROUND(SUMIFS('Bank Lines'!$E$5:$E$1640,'Bank Lines'!$G$5:$G$1640,A371,'Bank Lines'!$J$5:$J$1640,1,'Bank Lines'!$C$5:$C$1640,"&lt;="&amp;Cover!$C$14),2)</f>
        <v>3416.93</v>
      </c>
      <c r="T371" s="9">
        <f>ROUND(SUMIFS('Odoo Items'!$G$5:$G$4331,'Odoo Items'!$J$5:$J$4331,A371,'Odoo Items'!$C$5:$C$4331,"&lt;="&amp;Cover!$C$14),2)</f>
        <v>3416.93</v>
      </c>
      <c r="U371">
        <f>COUNTIFS('Bank Lines'!$G$5:$G$1640,A371,'Bank Lines'!$J$5:$J$1640,1,'Bank Lines'!$C$5:$C$1640,"&lt;="&amp;Cover!$C$14)</f>
        <v>1</v>
      </c>
      <c r="V371">
        <f>COUNTIFS('Odoo Items'!$J$5:$J$4331,A371,'Odoo Items'!$C$5:$C$4331,"&lt;="&amp;Cover!$C$14)</f>
        <v>11</v>
      </c>
      <c r="W371" t="str">
        <f>IF(AND(U371=0,V371=0),"",IF(U371=0,"ODOO-ONLY",IF(V371=0,"BANK-ONLY","BOTH")))</f>
        <v>BOTH</v>
      </c>
      <c r="X371" s="9">
        <f>IF(W371="BOTH",ROUND(S371-T371,2),0)</f>
        <v>0</v>
      </c>
      <c r="Y371" s="9">
        <f>ROUND(SUMIFS('Bank Lines'!$E$5:$E$1640,'Bank Lines'!$G$5:$G$1640,A371,'Bank Lines'!$J$5:$J$1640,1,'Bank Lines'!$C$5:$C$1640,"&lt;="&amp;Cover!$C$15),2)</f>
        <v>3416.93</v>
      </c>
      <c r="Z371" s="9">
        <f>ROUND(SUMIFS('Odoo Items'!$G$5:$G$4331,'Odoo Items'!$J$5:$J$4331,A371,'Odoo Items'!$C$5:$C$4331,"&lt;="&amp;Cover!$C$15),2)</f>
        <v>3416.93</v>
      </c>
      <c r="AA371">
        <f>COUNTIFS('Bank Lines'!$G$5:$G$1640,A371,'Bank Lines'!$J$5:$J$1640,1,'Bank Lines'!$C$5:$C$1640,"&lt;="&amp;Cover!$C$15)</f>
        <v>1</v>
      </c>
      <c r="AB371">
        <f>COUNTIFS('Odoo Items'!$J$5:$J$4331,A371,'Odoo Items'!$C$5:$C$4331,"&lt;="&amp;Cover!$C$15)</f>
        <v>11</v>
      </c>
      <c r="AC371" t="str">
        <f>IF(AND(AA371=0,AB371=0),"",IF(AA371=0,"ODOO-ONLY",IF(AB371=0,"BANK-ONLY","BOTH")))</f>
        <v>BOTH</v>
      </c>
      <c r="AD371" s="9">
        <f>IF(AC371="BOTH",ROUND(Y371-Z371,2),0)</f>
        <v>0</v>
      </c>
    </row>
    <row r="372">
      <c r="A372" t="inlineStr">
        <is>
          <t>G00368</t>
        </is>
      </c>
      <c r="B372" t="inlineStr">
        <is>
          <t>OPS</t>
        </is>
      </c>
      <c r="C372" t="inlineStr">
        <is>
          <t>R03</t>
        </is>
      </c>
      <c r="D372" t="inlineStr">
        <is>
          <t>MATCH</t>
        </is>
      </c>
      <c r="E372" t="inlineStr">
        <is>
          <t>Mallee Plan Services</t>
        </is>
      </c>
      <c r="F372" t="n">
        <v>1</v>
      </c>
      <c r="G372" t="inlineStr">
        <is>
          <t>5 invoices</t>
        </is>
      </c>
      <c r="H372">
        <f>COUNTIFS('Bank Lines'!$G$5:$G$1640,A372,'Bank Lines'!$J$5:$J$1640,1)</f>
        <v>1</v>
      </c>
      <c r="I372">
        <f>COUNTIFS('Odoo Items'!$J$5:$J$4331,A372)</f>
        <v>5</v>
      </c>
      <c r="J372" s="9">
        <f>ROUND(SUMIFS('Bank Lines'!$E$5:$E$1640,'Bank Lines'!$G$5:$G$1640,A372,'Bank Lines'!$J$5:$J$1640,1),2)</f>
        <v>1600.42</v>
      </c>
      <c r="K372" s="9">
        <f>ROUND(SUMIFS('Odoo Items'!$G$5:$G$4331,'Odoo Items'!$J$5:$J$4331,A372),2)</f>
        <v>1600.42</v>
      </c>
      <c r="L372" s="9">
        <f>ROUND(J372-K372,2)</f>
        <v>0</v>
      </c>
      <c r="M372" s="9">
        <f>ROUND(SUMIFS('Bank Lines'!$E$5:$E$1640,'Bank Lines'!$G$5:$G$1640,A372,'Bank Lines'!$J$5:$J$1640,1,'Bank Lines'!$C$5:$C$1640,"&lt;="&amp;Cover!$C$13),2)</f>
        <v>0</v>
      </c>
      <c r="N372" s="9">
        <f>ROUND(SUMIFS('Odoo Items'!$G$5:$G$4331,'Odoo Items'!$J$5:$J$4331,A372,'Odoo Items'!$C$5:$C$4331,"&lt;="&amp;Cover!$C$13),2)</f>
        <v>0</v>
      </c>
      <c r="O372">
        <f>COUNTIFS('Bank Lines'!$G$5:$G$1640,A372,'Bank Lines'!$J$5:$J$1640,1,'Bank Lines'!$C$5:$C$1640,"&lt;="&amp;Cover!$C$13)</f>
        <v>0</v>
      </c>
      <c r="P372">
        <f>COUNTIFS('Odoo Items'!$J$5:$J$4331,A372,'Odoo Items'!$C$5:$C$4331,"&lt;="&amp;Cover!$C$13)</f>
        <v>0</v>
      </c>
      <c r="Q372">
        <f>IF(AND(O372=0,P372=0),"",IF(O372=0,"ODOO-ONLY",IF(P372=0,"BANK-ONLY","BOTH")))</f>
      </c>
      <c r="R372" s="9">
        <f>IF(Q372="BOTH",ROUND(M372-N372,2),0)</f>
        <v>0</v>
      </c>
      <c r="S372" s="9">
        <f>ROUND(SUMIFS('Bank Lines'!$E$5:$E$1640,'Bank Lines'!$G$5:$G$1640,A372,'Bank Lines'!$J$5:$J$1640,1,'Bank Lines'!$C$5:$C$1640,"&lt;="&amp;Cover!$C$14),2)</f>
        <v>1600.42</v>
      </c>
      <c r="T372" s="9">
        <f>ROUND(SUMIFS('Odoo Items'!$G$5:$G$4331,'Odoo Items'!$J$5:$J$4331,A372,'Odoo Items'!$C$5:$C$4331,"&lt;="&amp;Cover!$C$14),2)</f>
        <v>1600.42</v>
      </c>
      <c r="U372">
        <f>COUNTIFS('Bank Lines'!$G$5:$G$1640,A372,'Bank Lines'!$J$5:$J$1640,1,'Bank Lines'!$C$5:$C$1640,"&lt;="&amp;Cover!$C$14)</f>
        <v>1</v>
      </c>
      <c r="V372">
        <f>COUNTIFS('Odoo Items'!$J$5:$J$4331,A372,'Odoo Items'!$C$5:$C$4331,"&lt;="&amp;Cover!$C$14)</f>
        <v>5</v>
      </c>
      <c r="W372" t="str">
        <f>IF(AND(U372=0,V372=0),"",IF(U372=0,"ODOO-ONLY",IF(V372=0,"BANK-ONLY","BOTH")))</f>
        <v>BOTH</v>
      </c>
      <c r="X372" s="9">
        <f>IF(W372="BOTH",ROUND(S372-T372,2),0)</f>
        <v>0</v>
      </c>
      <c r="Y372" s="9">
        <f>ROUND(SUMIFS('Bank Lines'!$E$5:$E$1640,'Bank Lines'!$G$5:$G$1640,A372,'Bank Lines'!$J$5:$J$1640,1,'Bank Lines'!$C$5:$C$1640,"&lt;="&amp;Cover!$C$15),2)</f>
        <v>1600.42</v>
      </c>
      <c r="Z372" s="9">
        <f>ROUND(SUMIFS('Odoo Items'!$G$5:$G$4331,'Odoo Items'!$J$5:$J$4331,A372,'Odoo Items'!$C$5:$C$4331,"&lt;="&amp;Cover!$C$15),2)</f>
        <v>1600.42</v>
      </c>
      <c r="AA372">
        <f>COUNTIFS('Bank Lines'!$G$5:$G$1640,A372,'Bank Lines'!$J$5:$J$1640,1,'Bank Lines'!$C$5:$C$1640,"&lt;="&amp;Cover!$C$15)</f>
        <v>1</v>
      </c>
      <c r="AB372">
        <f>COUNTIFS('Odoo Items'!$J$5:$J$4331,A372,'Odoo Items'!$C$5:$C$4331,"&lt;="&amp;Cover!$C$15)</f>
        <v>5</v>
      </c>
      <c r="AC372" t="str">
        <f>IF(AND(AA372=0,AB372=0),"",IF(AA372=0,"ODOO-ONLY",IF(AB372=0,"BANK-ONLY","BOTH")))</f>
        <v>BOTH</v>
      </c>
      <c r="AD372" s="9">
        <f>IF(AC372="BOTH",ROUND(Y372-Z372,2),0)</f>
        <v>0</v>
      </c>
    </row>
    <row r="373">
      <c r="A373" t="inlineStr">
        <is>
          <t>G00369</t>
        </is>
      </c>
      <c r="B373" t="inlineStr">
        <is>
          <t>OPS</t>
        </is>
      </c>
      <c r="C373" t="inlineStr">
        <is>
          <t>R03</t>
        </is>
      </c>
      <c r="D373" t="inlineStr">
        <is>
          <t>MATCH</t>
        </is>
      </c>
      <c r="E373" t="inlineStr">
        <is>
          <t>Riverbend Plan Partners</t>
        </is>
      </c>
      <c r="F373" t="n">
        <v>1</v>
      </c>
      <c r="G373" t="inlineStr">
        <is>
          <t>3 invoices</t>
        </is>
      </c>
      <c r="H373">
        <f>COUNTIFS('Bank Lines'!$G$5:$G$1640,A373,'Bank Lines'!$J$5:$J$1640,1)</f>
        <v>1</v>
      </c>
      <c r="I373">
        <f>COUNTIFS('Odoo Items'!$J$5:$J$4331,A373)</f>
        <v>3</v>
      </c>
      <c r="J373" s="9">
        <f>ROUND(SUMIFS('Bank Lines'!$E$5:$E$1640,'Bank Lines'!$G$5:$G$1640,A373,'Bank Lines'!$J$5:$J$1640,1),2)</f>
        <v>999.95</v>
      </c>
      <c r="K373" s="9">
        <f>ROUND(SUMIFS('Odoo Items'!$G$5:$G$4331,'Odoo Items'!$J$5:$J$4331,A373),2)</f>
        <v>999.95</v>
      </c>
      <c r="L373" s="9">
        <f>ROUND(J373-K373,2)</f>
        <v>0</v>
      </c>
      <c r="M373" s="9">
        <f>ROUND(SUMIFS('Bank Lines'!$E$5:$E$1640,'Bank Lines'!$G$5:$G$1640,A373,'Bank Lines'!$J$5:$J$1640,1,'Bank Lines'!$C$5:$C$1640,"&lt;="&amp;Cover!$C$13),2)</f>
        <v>0</v>
      </c>
      <c r="N373" s="9">
        <f>ROUND(SUMIFS('Odoo Items'!$G$5:$G$4331,'Odoo Items'!$J$5:$J$4331,A373,'Odoo Items'!$C$5:$C$4331,"&lt;="&amp;Cover!$C$13),2)</f>
        <v>0</v>
      </c>
      <c r="O373">
        <f>COUNTIFS('Bank Lines'!$G$5:$G$1640,A373,'Bank Lines'!$J$5:$J$1640,1,'Bank Lines'!$C$5:$C$1640,"&lt;="&amp;Cover!$C$13)</f>
        <v>0</v>
      </c>
      <c r="P373">
        <f>COUNTIFS('Odoo Items'!$J$5:$J$4331,A373,'Odoo Items'!$C$5:$C$4331,"&lt;="&amp;Cover!$C$13)</f>
        <v>0</v>
      </c>
      <c r="Q373">
        <f>IF(AND(O373=0,P373=0),"",IF(O373=0,"ODOO-ONLY",IF(P373=0,"BANK-ONLY","BOTH")))</f>
      </c>
      <c r="R373" s="9">
        <f>IF(Q373="BOTH",ROUND(M373-N373,2),0)</f>
        <v>0</v>
      </c>
      <c r="S373" s="9">
        <f>ROUND(SUMIFS('Bank Lines'!$E$5:$E$1640,'Bank Lines'!$G$5:$G$1640,A373,'Bank Lines'!$J$5:$J$1640,1,'Bank Lines'!$C$5:$C$1640,"&lt;="&amp;Cover!$C$14),2)</f>
        <v>0</v>
      </c>
      <c r="T373" s="9">
        <f>ROUND(SUMIFS('Odoo Items'!$G$5:$G$4331,'Odoo Items'!$J$5:$J$4331,A373,'Odoo Items'!$C$5:$C$4331,"&lt;="&amp;Cover!$C$14),2)</f>
        <v>999.95</v>
      </c>
      <c r="U373">
        <f>COUNTIFS('Bank Lines'!$G$5:$G$1640,A373,'Bank Lines'!$J$5:$J$1640,1,'Bank Lines'!$C$5:$C$1640,"&lt;="&amp;Cover!$C$14)</f>
        <v>0</v>
      </c>
      <c r="V373">
        <f>COUNTIFS('Odoo Items'!$J$5:$J$4331,A373,'Odoo Items'!$C$5:$C$4331,"&lt;="&amp;Cover!$C$14)</f>
        <v>3</v>
      </c>
      <c r="W373" t="str">
        <f>IF(AND(U373=0,V373=0),"",IF(U373=0,"ODOO-ONLY",IF(V373=0,"BANK-ONLY","BOTH")))</f>
        <v>ODOO-ONLY</v>
      </c>
      <c r="X373" s="9">
        <f>IF(W373="BOTH",ROUND(S373-T373,2),0)</f>
        <v>0</v>
      </c>
      <c r="Y373" s="9">
        <f>ROUND(SUMIFS('Bank Lines'!$E$5:$E$1640,'Bank Lines'!$G$5:$G$1640,A373,'Bank Lines'!$J$5:$J$1640,1,'Bank Lines'!$C$5:$C$1640,"&lt;="&amp;Cover!$C$15),2)</f>
        <v>999.95</v>
      </c>
      <c r="Z373" s="9">
        <f>ROUND(SUMIFS('Odoo Items'!$G$5:$G$4331,'Odoo Items'!$J$5:$J$4331,A373,'Odoo Items'!$C$5:$C$4331,"&lt;="&amp;Cover!$C$15),2)</f>
        <v>999.95</v>
      </c>
      <c r="AA373">
        <f>COUNTIFS('Bank Lines'!$G$5:$G$1640,A373,'Bank Lines'!$J$5:$J$1640,1,'Bank Lines'!$C$5:$C$1640,"&lt;="&amp;Cover!$C$15)</f>
        <v>1</v>
      </c>
      <c r="AB373">
        <f>COUNTIFS('Odoo Items'!$J$5:$J$4331,A373,'Odoo Items'!$C$5:$C$4331,"&lt;="&amp;Cover!$C$15)</f>
        <v>3</v>
      </c>
      <c r="AC373" t="str">
        <f>IF(AND(AA373=0,AB373=0),"",IF(AA373=0,"ODOO-ONLY",IF(AB373=0,"BANK-ONLY","BOTH")))</f>
        <v>BOTH</v>
      </c>
      <c r="AD373" s="9">
        <f>IF(AC373="BOTH",ROUND(Y373-Z373,2),0)</f>
        <v>0</v>
      </c>
    </row>
    <row r="374">
      <c r="A374" t="inlineStr">
        <is>
          <t>G00370</t>
        </is>
      </c>
      <c r="B374" t="inlineStr">
        <is>
          <t>OPS</t>
        </is>
      </c>
      <c r="C374" t="inlineStr">
        <is>
          <t>R03</t>
        </is>
      </c>
      <c r="D374" t="inlineStr">
        <is>
          <t>MATCH</t>
        </is>
      </c>
      <c r="E374" t="inlineStr">
        <is>
          <t>Banksia Plan Co</t>
        </is>
      </c>
      <c r="F374" t="n">
        <v>1</v>
      </c>
      <c r="G374" t="inlineStr">
        <is>
          <t>4 invoices</t>
        </is>
      </c>
      <c r="H374">
        <f>COUNTIFS('Bank Lines'!$G$5:$G$1640,A374,'Bank Lines'!$J$5:$J$1640,1)</f>
        <v>1</v>
      </c>
      <c r="I374">
        <f>COUNTIFS('Odoo Items'!$J$5:$J$4331,A374)</f>
        <v>4</v>
      </c>
      <c r="J374" s="9">
        <f>ROUND(SUMIFS('Bank Lines'!$E$5:$E$1640,'Bank Lines'!$G$5:$G$1640,A374,'Bank Lines'!$J$5:$J$1640,1),2)</f>
        <v>533.46</v>
      </c>
      <c r="K374" s="9">
        <f>ROUND(SUMIFS('Odoo Items'!$G$5:$G$4331,'Odoo Items'!$J$5:$J$4331,A374),2)</f>
        <v>533.46</v>
      </c>
      <c r="L374" s="9">
        <f>ROUND(J374-K374,2)</f>
        <v>0</v>
      </c>
      <c r="M374" s="9">
        <f>ROUND(SUMIFS('Bank Lines'!$E$5:$E$1640,'Bank Lines'!$G$5:$G$1640,A374,'Bank Lines'!$J$5:$J$1640,1,'Bank Lines'!$C$5:$C$1640,"&lt;="&amp;Cover!$C$13),2)</f>
        <v>0</v>
      </c>
      <c r="N374" s="9">
        <f>ROUND(SUMIFS('Odoo Items'!$G$5:$G$4331,'Odoo Items'!$J$5:$J$4331,A374,'Odoo Items'!$C$5:$C$4331,"&lt;="&amp;Cover!$C$13),2)</f>
        <v>0</v>
      </c>
      <c r="O374">
        <f>COUNTIFS('Bank Lines'!$G$5:$G$1640,A374,'Bank Lines'!$J$5:$J$1640,1,'Bank Lines'!$C$5:$C$1640,"&lt;="&amp;Cover!$C$13)</f>
        <v>0</v>
      </c>
      <c r="P374">
        <f>COUNTIFS('Odoo Items'!$J$5:$J$4331,A374,'Odoo Items'!$C$5:$C$4331,"&lt;="&amp;Cover!$C$13)</f>
        <v>0</v>
      </c>
      <c r="Q374">
        <f>IF(AND(O374=0,P374=0),"",IF(O374=0,"ODOO-ONLY",IF(P374=0,"BANK-ONLY","BOTH")))</f>
      </c>
      <c r="R374" s="9">
        <f>IF(Q374="BOTH",ROUND(M374-N374,2),0)</f>
        <v>0</v>
      </c>
      <c r="S374" s="9">
        <f>ROUND(SUMIFS('Bank Lines'!$E$5:$E$1640,'Bank Lines'!$G$5:$G$1640,A374,'Bank Lines'!$J$5:$J$1640,1,'Bank Lines'!$C$5:$C$1640,"&lt;="&amp;Cover!$C$14),2)</f>
        <v>0</v>
      </c>
      <c r="T374" s="9">
        <f>ROUND(SUMIFS('Odoo Items'!$G$5:$G$4331,'Odoo Items'!$J$5:$J$4331,A374,'Odoo Items'!$C$5:$C$4331,"&lt;="&amp;Cover!$C$14),2)</f>
        <v>533.46</v>
      </c>
      <c r="U374">
        <f>COUNTIFS('Bank Lines'!$G$5:$G$1640,A374,'Bank Lines'!$J$5:$J$1640,1,'Bank Lines'!$C$5:$C$1640,"&lt;="&amp;Cover!$C$14)</f>
        <v>0</v>
      </c>
      <c r="V374">
        <f>COUNTIFS('Odoo Items'!$J$5:$J$4331,A374,'Odoo Items'!$C$5:$C$4331,"&lt;="&amp;Cover!$C$14)</f>
        <v>4</v>
      </c>
      <c r="W374" t="str">
        <f>IF(AND(U374=0,V374=0),"",IF(U374=0,"ODOO-ONLY",IF(V374=0,"BANK-ONLY","BOTH")))</f>
        <v>ODOO-ONLY</v>
      </c>
      <c r="X374" s="9">
        <f>IF(W374="BOTH",ROUND(S374-T374,2),0)</f>
        <v>0</v>
      </c>
      <c r="Y374" s="9">
        <f>ROUND(SUMIFS('Bank Lines'!$E$5:$E$1640,'Bank Lines'!$G$5:$G$1640,A374,'Bank Lines'!$J$5:$J$1640,1,'Bank Lines'!$C$5:$C$1640,"&lt;="&amp;Cover!$C$15),2)</f>
        <v>533.46</v>
      </c>
      <c r="Z374" s="9">
        <f>ROUND(SUMIFS('Odoo Items'!$G$5:$G$4331,'Odoo Items'!$J$5:$J$4331,A374,'Odoo Items'!$C$5:$C$4331,"&lt;="&amp;Cover!$C$15),2)</f>
        <v>533.46</v>
      </c>
      <c r="AA374">
        <f>COUNTIFS('Bank Lines'!$G$5:$G$1640,A374,'Bank Lines'!$J$5:$J$1640,1,'Bank Lines'!$C$5:$C$1640,"&lt;="&amp;Cover!$C$15)</f>
        <v>1</v>
      </c>
      <c r="AB374">
        <f>COUNTIFS('Odoo Items'!$J$5:$J$4331,A374,'Odoo Items'!$C$5:$C$4331,"&lt;="&amp;Cover!$C$15)</f>
        <v>4</v>
      </c>
      <c r="AC374" t="str">
        <f>IF(AND(AA374=0,AB374=0),"",IF(AA374=0,"ODOO-ONLY",IF(AB374=0,"BANK-ONLY","BOTH")))</f>
        <v>BOTH</v>
      </c>
      <c r="AD374" s="9">
        <f>IF(AC374="BOTH",ROUND(Y374-Z374,2),0)</f>
        <v>0</v>
      </c>
    </row>
    <row r="375">
      <c r="A375" t="inlineStr">
        <is>
          <t>G00371</t>
        </is>
      </c>
      <c r="B375" t="inlineStr">
        <is>
          <t>OPS</t>
        </is>
      </c>
      <c r="C375" t="inlineStr">
        <is>
          <t>R03</t>
        </is>
      </c>
      <c r="D375" t="inlineStr">
        <is>
          <t>MATCH</t>
        </is>
      </c>
      <c r="E375" t="inlineStr">
        <is>
          <t>Ironbark Plan Management</t>
        </is>
      </c>
      <c r="F375" t="n">
        <v>1</v>
      </c>
      <c r="G375" t="inlineStr">
        <is>
          <t>3 invoices</t>
        </is>
      </c>
      <c r="H375">
        <f>COUNTIFS('Bank Lines'!$G$5:$G$1640,A375,'Bank Lines'!$J$5:$J$1640,1)</f>
        <v>1</v>
      </c>
      <c r="I375">
        <f>COUNTIFS('Odoo Items'!$J$5:$J$4331,A375)</f>
        <v>3</v>
      </c>
      <c r="J375" s="9">
        <f>ROUND(SUMIFS('Bank Lines'!$E$5:$E$1640,'Bank Lines'!$G$5:$G$1640,A375,'Bank Lines'!$J$5:$J$1640,1),2)</f>
        <v>854.45</v>
      </c>
      <c r="K375" s="9">
        <f>ROUND(SUMIFS('Odoo Items'!$G$5:$G$4331,'Odoo Items'!$J$5:$J$4331,A375),2)</f>
        <v>854.45</v>
      </c>
      <c r="L375" s="9">
        <f>ROUND(J375-K375,2)</f>
        <v>0</v>
      </c>
      <c r="M375" s="9">
        <f>ROUND(SUMIFS('Bank Lines'!$E$5:$E$1640,'Bank Lines'!$G$5:$G$1640,A375,'Bank Lines'!$J$5:$J$1640,1,'Bank Lines'!$C$5:$C$1640,"&lt;="&amp;Cover!$C$13),2)</f>
        <v>0</v>
      </c>
      <c r="N375" s="9">
        <f>ROUND(SUMIFS('Odoo Items'!$G$5:$G$4331,'Odoo Items'!$J$5:$J$4331,A375,'Odoo Items'!$C$5:$C$4331,"&lt;="&amp;Cover!$C$13),2)</f>
        <v>0</v>
      </c>
      <c r="O375">
        <f>COUNTIFS('Bank Lines'!$G$5:$G$1640,A375,'Bank Lines'!$J$5:$J$1640,1,'Bank Lines'!$C$5:$C$1640,"&lt;="&amp;Cover!$C$13)</f>
        <v>0</v>
      </c>
      <c r="P375">
        <f>COUNTIFS('Odoo Items'!$J$5:$J$4331,A375,'Odoo Items'!$C$5:$C$4331,"&lt;="&amp;Cover!$C$13)</f>
        <v>0</v>
      </c>
      <c r="Q375">
        <f>IF(AND(O375=0,P375=0),"",IF(O375=0,"ODOO-ONLY",IF(P375=0,"BANK-ONLY","BOTH")))</f>
      </c>
      <c r="R375" s="9">
        <f>IF(Q375="BOTH",ROUND(M375-N375,2),0)</f>
        <v>0</v>
      </c>
      <c r="S375" s="9">
        <f>ROUND(SUMIFS('Bank Lines'!$E$5:$E$1640,'Bank Lines'!$G$5:$G$1640,A375,'Bank Lines'!$J$5:$J$1640,1,'Bank Lines'!$C$5:$C$1640,"&lt;="&amp;Cover!$C$14),2)</f>
        <v>0</v>
      </c>
      <c r="T375" s="9">
        <f>ROUND(SUMIFS('Odoo Items'!$G$5:$G$4331,'Odoo Items'!$J$5:$J$4331,A375,'Odoo Items'!$C$5:$C$4331,"&lt;="&amp;Cover!$C$14),2)</f>
        <v>0</v>
      </c>
      <c r="U375">
        <f>COUNTIFS('Bank Lines'!$G$5:$G$1640,A375,'Bank Lines'!$J$5:$J$1640,1,'Bank Lines'!$C$5:$C$1640,"&lt;="&amp;Cover!$C$14)</f>
        <v>0</v>
      </c>
      <c r="V375">
        <f>COUNTIFS('Odoo Items'!$J$5:$J$4331,A375,'Odoo Items'!$C$5:$C$4331,"&lt;="&amp;Cover!$C$14)</f>
        <v>0</v>
      </c>
      <c r="W375">
        <f>IF(AND(U375=0,V375=0),"",IF(U375=0,"ODOO-ONLY",IF(V375=0,"BANK-ONLY","BOTH")))</f>
      </c>
      <c r="X375" s="9">
        <f>IF(W375="BOTH",ROUND(S375-T375,2),0)</f>
        <v>0</v>
      </c>
      <c r="Y375" s="9">
        <f>ROUND(SUMIFS('Bank Lines'!$E$5:$E$1640,'Bank Lines'!$G$5:$G$1640,A375,'Bank Lines'!$J$5:$J$1640,1,'Bank Lines'!$C$5:$C$1640,"&lt;="&amp;Cover!$C$15),2)</f>
        <v>854.45</v>
      </c>
      <c r="Z375" s="9">
        <f>ROUND(SUMIFS('Odoo Items'!$G$5:$G$4331,'Odoo Items'!$J$5:$J$4331,A375,'Odoo Items'!$C$5:$C$4331,"&lt;="&amp;Cover!$C$15),2)</f>
        <v>854.45</v>
      </c>
      <c r="AA375">
        <f>COUNTIFS('Bank Lines'!$G$5:$G$1640,A375,'Bank Lines'!$J$5:$J$1640,1,'Bank Lines'!$C$5:$C$1640,"&lt;="&amp;Cover!$C$15)</f>
        <v>1</v>
      </c>
      <c r="AB375">
        <f>COUNTIFS('Odoo Items'!$J$5:$J$4331,A375,'Odoo Items'!$C$5:$C$4331,"&lt;="&amp;Cover!$C$15)</f>
        <v>3</v>
      </c>
      <c r="AC375" t="str">
        <f>IF(AND(AA375=0,AB375=0),"",IF(AA375=0,"ODOO-ONLY",IF(AB375=0,"BANK-ONLY","BOTH")))</f>
        <v>BOTH</v>
      </c>
      <c r="AD375" s="9">
        <f>IF(AC375="BOTH",ROUND(Y375-Z375,2),0)</f>
        <v>0</v>
      </c>
    </row>
    <row r="376">
      <c r="A376" t="inlineStr">
        <is>
          <t>G00372</t>
        </is>
      </c>
      <c r="B376" t="inlineStr">
        <is>
          <t>OPS</t>
        </is>
      </c>
      <c r="C376" t="inlineStr">
        <is>
          <t>R03</t>
        </is>
      </c>
      <c r="D376" t="inlineStr">
        <is>
          <t>MATCH</t>
        </is>
      </c>
      <c r="E376" t="inlineStr">
        <is>
          <t>Saltbush Plan Managers</t>
        </is>
      </c>
      <c r="F376" t="n">
        <v>1</v>
      </c>
      <c r="G376" t="inlineStr">
        <is>
          <t>6 invoices</t>
        </is>
      </c>
      <c r="H376">
        <f>COUNTIFS('Bank Lines'!$G$5:$G$1640,A376,'Bank Lines'!$J$5:$J$1640,1)</f>
        <v>1</v>
      </c>
      <c r="I376">
        <f>COUNTIFS('Odoo Items'!$J$5:$J$4331,A376)</f>
        <v>6</v>
      </c>
      <c r="J376" s="9">
        <f>ROUND(SUMIFS('Bank Lines'!$E$5:$E$1640,'Bank Lines'!$G$5:$G$1640,A376,'Bank Lines'!$J$5:$J$1640,1),2)</f>
        <v>1388.82</v>
      </c>
      <c r="K376" s="9">
        <f>ROUND(SUMIFS('Odoo Items'!$G$5:$G$4331,'Odoo Items'!$J$5:$J$4331,A376),2)</f>
        <v>1388.82</v>
      </c>
      <c r="L376" s="9">
        <f>ROUND(J376-K376,2)</f>
        <v>0</v>
      </c>
      <c r="M376" s="9">
        <f>ROUND(SUMIFS('Bank Lines'!$E$5:$E$1640,'Bank Lines'!$G$5:$G$1640,A376,'Bank Lines'!$J$5:$J$1640,1,'Bank Lines'!$C$5:$C$1640,"&lt;="&amp;Cover!$C$13),2)</f>
        <v>0</v>
      </c>
      <c r="N376" s="9">
        <f>ROUND(SUMIFS('Odoo Items'!$G$5:$G$4331,'Odoo Items'!$J$5:$J$4331,A376,'Odoo Items'!$C$5:$C$4331,"&lt;="&amp;Cover!$C$13),2)</f>
        <v>0</v>
      </c>
      <c r="O376">
        <f>COUNTIFS('Bank Lines'!$G$5:$G$1640,A376,'Bank Lines'!$J$5:$J$1640,1,'Bank Lines'!$C$5:$C$1640,"&lt;="&amp;Cover!$C$13)</f>
        <v>0</v>
      </c>
      <c r="P376">
        <f>COUNTIFS('Odoo Items'!$J$5:$J$4331,A376,'Odoo Items'!$C$5:$C$4331,"&lt;="&amp;Cover!$C$13)</f>
        <v>0</v>
      </c>
      <c r="Q376">
        <f>IF(AND(O376=0,P376=0),"",IF(O376=0,"ODOO-ONLY",IF(P376=0,"BANK-ONLY","BOTH")))</f>
      </c>
      <c r="R376" s="9">
        <f>IF(Q376="BOTH",ROUND(M376-N376,2),0)</f>
        <v>0</v>
      </c>
      <c r="S376" s="9">
        <f>ROUND(SUMIFS('Bank Lines'!$E$5:$E$1640,'Bank Lines'!$G$5:$G$1640,A376,'Bank Lines'!$J$5:$J$1640,1,'Bank Lines'!$C$5:$C$1640,"&lt;="&amp;Cover!$C$14),2)</f>
        <v>0</v>
      </c>
      <c r="T376" s="9">
        <f>ROUND(SUMIFS('Odoo Items'!$G$5:$G$4331,'Odoo Items'!$J$5:$J$4331,A376,'Odoo Items'!$C$5:$C$4331,"&lt;="&amp;Cover!$C$14),2)</f>
        <v>0</v>
      </c>
      <c r="U376">
        <f>COUNTIFS('Bank Lines'!$G$5:$G$1640,A376,'Bank Lines'!$J$5:$J$1640,1,'Bank Lines'!$C$5:$C$1640,"&lt;="&amp;Cover!$C$14)</f>
        <v>0</v>
      </c>
      <c r="V376">
        <f>COUNTIFS('Odoo Items'!$J$5:$J$4331,A376,'Odoo Items'!$C$5:$C$4331,"&lt;="&amp;Cover!$C$14)</f>
        <v>0</v>
      </c>
      <c r="W376">
        <f>IF(AND(U376=0,V376=0),"",IF(U376=0,"ODOO-ONLY",IF(V376=0,"BANK-ONLY","BOTH")))</f>
      </c>
      <c r="X376" s="9">
        <f>IF(W376="BOTH",ROUND(S376-T376,2),0)</f>
        <v>0</v>
      </c>
      <c r="Y376" s="9">
        <f>ROUND(SUMIFS('Bank Lines'!$E$5:$E$1640,'Bank Lines'!$G$5:$G$1640,A376,'Bank Lines'!$J$5:$J$1640,1,'Bank Lines'!$C$5:$C$1640,"&lt;="&amp;Cover!$C$15),2)</f>
        <v>1388.82</v>
      </c>
      <c r="Z376" s="9">
        <f>ROUND(SUMIFS('Odoo Items'!$G$5:$G$4331,'Odoo Items'!$J$5:$J$4331,A376,'Odoo Items'!$C$5:$C$4331,"&lt;="&amp;Cover!$C$15),2)</f>
        <v>1388.82</v>
      </c>
      <c r="AA376">
        <f>COUNTIFS('Bank Lines'!$G$5:$G$1640,A376,'Bank Lines'!$J$5:$J$1640,1,'Bank Lines'!$C$5:$C$1640,"&lt;="&amp;Cover!$C$15)</f>
        <v>1</v>
      </c>
      <c r="AB376">
        <f>COUNTIFS('Odoo Items'!$J$5:$J$4331,A376,'Odoo Items'!$C$5:$C$4331,"&lt;="&amp;Cover!$C$15)</f>
        <v>6</v>
      </c>
      <c r="AC376" t="str">
        <f>IF(AND(AA376=0,AB376=0),"",IF(AA376=0,"ODOO-ONLY",IF(AB376=0,"BANK-ONLY","BOTH")))</f>
        <v>BOTH</v>
      </c>
      <c r="AD376" s="9">
        <f>IF(AC376="BOTH",ROUND(Y376-Z376,2),0)</f>
        <v>0</v>
      </c>
    </row>
    <row r="377">
      <c r="A377" t="inlineStr">
        <is>
          <t>G00373</t>
        </is>
      </c>
      <c r="B377" t="inlineStr">
        <is>
          <t>OPS</t>
        </is>
      </c>
      <c r="C377" t="inlineStr">
        <is>
          <t>R03</t>
        </is>
      </c>
      <c r="D377" t="inlineStr">
        <is>
          <t>MATCH</t>
        </is>
      </c>
      <c r="E377" t="inlineStr">
        <is>
          <t>Redgum Plan Admin</t>
        </is>
      </c>
      <c r="F377" t="n">
        <v>1</v>
      </c>
      <c r="G377" t="inlineStr">
        <is>
          <t>3 invoices</t>
        </is>
      </c>
      <c r="H377">
        <f>COUNTIFS('Bank Lines'!$G$5:$G$1640,A377,'Bank Lines'!$J$5:$J$1640,1)</f>
        <v>1</v>
      </c>
      <c r="I377">
        <f>COUNTIFS('Odoo Items'!$J$5:$J$4331,A377)</f>
        <v>3</v>
      </c>
      <c r="J377" s="9">
        <f>ROUND(SUMIFS('Bank Lines'!$E$5:$E$1640,'Bank Lines'!$G$5:$G$1640,A377,'Bank Lines'!$J$5:$J$1640,1),2)</f>
        <v>748.67</v>
      </c>
      <c r="K377" s="9">
        <f>ROUND(SUMIFS('Odoo Items'!$G$5:$G$4331,'Odoo Items'!$J$5:$J$4331,A377),2)</f>
        <v>748.67</v>
      </c>
      <c r="L377" s="9">
        <f>ROUND(J377-K377,2)</f>
        <v>0</v>
      </c>
      <c r="M377" s="9">
        <f>ROUND(SUMIFS('Bank Lines'!$E$5:$E$1640,'Bank Lines'!$G$5:$G$1640,A377,'Bank Lines'!$J$5:$J$1640,1,'Bank Lines'!$C$5:$C$1640,"&lt;="&amp;Cover!$C$13),2)</f>
        <v>0</v>
      </c>
      <c r="N377" s="9">
        <f>ROUND(SUMIFS('Odoo Items'!$G$5:$G$4331,'Odoo Items'!$J$5:$J$4331,A377,'Odoo Items'!$C$5:$C$4331,"&lt;="&amp;Cover!$C$13),2)</f>
        <v>0</v>
      </c>
      <c r="O377">
        <f>COUNTIFS('Bank Lines'!$G$5:$G$1640,A377,'Bank Lines'!$J$5:$J$1640,1,'Bank Lines'!$C$5:$C$1640,"&lt;="&amp;Cover!$C$13)</f>
        <v>0</v>
      </c>
      <c r="P377">
        <f>COUNTIFS('Odoo Items'!$J$5:$J$4331,A377,'Odoo Items'!$C$5:$C$4331,"&lt;="&amp;Cover!$C$13)</f>
        <v>0</v>
      </c>
      <c r="Q377">
        <f>IF(AND(O377=0,P377=0),"",IF(O377=0,"ODOO-ONLY",IF(P377=0,"BANK-ONLY","BOTH")))</f>
      </c>
      <c r="R377" s="9">
        <f>IF(Q377="BOTH",ROUND(M377-N377,2),0)</f>
        <v>0</v>
      </c>
      <c r="S377" s="9">
        <f>ROUND(SUMIFS('Bank Lines'!$E$5:$E$1640,'Bank Lines'!$G$5:$G$1640,A377,'Bank Lines'!$J$5:$J$1640,1,'Bank Lines'!$C$5:$C$1640,"&lt;="&amp;Cover!$C$14),2)</f>
        <v>0</v>
      </c>
      <c r="T377" s="9">
        <f>ROUND(SUMIFS('Odoo Items'!$G$5:$G$4331,'Odoo Items'!$J$5:$J$4331,A377,'Odoo Items'!$C$5:$C$4331,"&lt;="&amp;Cover!$C$14),2)</f>
        <v>0</v>
      </c>
      <c r="U377">
        <f>COUNTIFS('Bank Lines'!$G$5:$G$1640,A377,'Bank Lines'!$J$5:$J$1640,1,'Bank Lines'!$C$5:$C$1640,"&lt;="&amp;Cover!$C$14)</f>
        <v>0</v>
      </c>
      <c r="V377">
        <f>COUNTIFS('Odoo Items'!$J$5:$J$4331,A377,'Odoo Items'!$C$5:$C$4331,"&lt;="&amp;Cover!$C$14)</f>
        <v>0</v>
      </c>
      <c r="W377">
        <f>IF(AND(U377=0,V377=0),"",IF(U377=0,"ODOO-ONLY",IF(V377=0,"BANK-ONLY","BOTH")))</f>
      </c>
      <c r="X377" s="9">
        <f>IF(W377="BOTH",ROUND(S377-T377,2),0)</f>
        <v>0</v>
      </c>
      <c r="Y377" s="9">
        <f>ROUND(SUMIFS('Bank Lines'!$E$5:$E$1640,'Bank Lines'!$G$5:$G$1640,A377,'Bank Lines'!$J$5:$J$1640,1,'Bank Lines'!$C$5:$C$1640,"&lt;="&amp;Cover!$C$15),2)</f>
        <v>748.67</v>
      </c>
      <c r="Z377" s="9">
        <f>ROUND(SUMIFS('Odoo Items'!$G$5:$G$4331,'Odoo Items'!$J$5:$J$4331,A377,'Odoo Items'!$C$5:$C$4331,"&lt;="&amp;Cover!$C$15),2)</f>
        <v>748.67</v>
      </c>
      <c r="AA377">
        <f>COUNTIFS('Bank Lines'!$G$5:$G$1640,A377,'Bank Lines'!$J$5:$J$1640,1,'Bank Lines'!$C$5:$C$1640,"&lt;="&amp;Cover!$C$15)</f>
        <v>1</v>
      </c>
      <c r="AB377">
        <f>COUNTIFS('Odoo Items'!$J$5:$J$4331,A377,'Odoo Items'!$C$5:$C$4331,"&lt;="&amp;Cover!$C$15)</f>
        <v>3</v>
      </c>
      <c r="AC377" t="str">
        <f>IF(AND(AA377=0,AB377=0),"",IF(AA377=0,"ODOO-ONLY",IF(AB377=0,"BANK-ONLY","BOTH")))</f>
        <v>BOTH</v>
      </c>
      <c r="AD377" s="9">
        <f>IF(AC377="BOTH",ROUND(Y377-Z377,2),0)</f>
        <v>0</v>
      </c>
    </row>
    <row r="378">
      <c r="A378" t="inlineStr">
        <is>
          <t>G00374</t>
        </is>
      </c>
      <c r="B378" t="inlineStr">
        <is>
          <t>OPS</t>
        </is>
      </c>
      <c r="C378" t="inlineStr">
        <is>
          <t>R03</t>
        </is>
      </c>
      <c r="D378" t="inlineStr">
        <is>
          <t>MATCH</t>
        </is>
      </c>
      <c r="E378" t="inlineStr">
        <is>
          <t>Southern Cross Plan Mgmt</t>
        </is>
      </c>
      <c r="F378" t="n">
        <v>1</v>
      </c>
      <c r="G378" t="inlineStr">
        <is>
          <t>8 invoices; 1 short-paid, registered correctly</t>
        </is>
      </c>
      <c r="H378">
        <f>COUNTIFS('Bank Lines'!$G$5:$G$1640,A378,'Bank Lines'!$J$5:$J$1640,1)</f>
        <v>1</v>
      </c>
      <c r="I378">
        <f>COUNTIFS('Odoo Items'!$J$5:$J$4331,A378)</f>
        <v>8</v>
      </c>
      <c r="J378" s="9">
        <f>ROUND(SUMIFS('Bank Lines'!$E$5:$E$1640,'Bank Lines'!$G$5:$G$1640,A378,'Bank Lines'!$J$5:$J$1640,1),2)</f>
        <v>1498.56</v>
      </c>
      <c r="K378" s="9">
        <f>ROUND(SUMIFS('Odoo Items'!$G$5:$G$4331,'Odoo Items'!$J$5:$J$4331,A378),2)</f>
        <v>1498.56</v>
      </c>
      <c r="L378" s="9">
        <f>ROUND(J378-K378,2)</f>
        <v>0</v>
      </c>
      <c r="M378" s="9">
        <f>ROUND(SUMIFS('Bank Lines'!$E$5:$E$1640,'Bank Lines'!$G$5:$G$1640,A378,'Bank Lines'!$J$5:$J$1640,1,'Bank Lines'!$C$5:$C$1640,"&lt;="&amp;Cover!$C$13),2)</f>
        <v>0</v>
      </c>
      <c r="N378" s="9">
        <f>ROUND(SUMIFS('Odoo Items'!$G$5:$G$4331,'Odoo Items'!$J$5:$J$4331,A378,'Odoo Items'!$C$5:$C$4331,"&lt;="&amp;Cover!$C$13),2)</f>
        <v>0</v>
      </c>
      <c r="O378">
        <f>COUNTIFS('Bank Lines'!$G$5:$G$1640,A378,'Bank Lines'!$J$5:$J$1640,1,'Bank Lines'!$C$5:$C$1640,"&lt;="&amp;Cover!$C$13)</f>
        <v>0</v>
      </c>
      <c r="P378">
        <f>COUNTIFS('Odoo Items'!$J$5:$J$4331,A378,'Odoo Items'!$C$5:$C$4331,"&lt;="&amp;Cover!$C$13)</f>
        <v>0</v>
      </c>
      <c r="Q378">
        <f>IF(AND(O378=0,P378=0),"",IF(O378=0,"ODOO-ONLY",IF(P378=0,"BANK-ONLY","BOTH")))</f>
      </c>
      <c r="R378" s="9">
        <f>IF(Q378="BOTH",ROUND(M378-N378,2),0)</f>
        <v>0</v>
      </c>
      <c r="S378" s="9">
        <f>ROUND(SUMIFS('Bank Lines'!$E$5:$E$1640,'Bank Lines'!$G$5:$G$1640,A378,'Bank Lines'!$J$5:$J$1640,1,'Bank Lines'!$C$5:$C$1640,"&lt;="&amp;Cover!$C$14),2)</f>
        <v>0</v>
      </c>
      <c r="T378" s="9">
        <f>ROUND(SUMIFS('Odoo Items'!$G$5:$G$4331,'Odoo Items'!$J$5:$J$4331,A378,'Odoo Items'!$C$5:$C$4331,"&lt;="&amp;Cover!$C$14),2)</f>
        <v>0</v>
      </c>
      <c r="U378">
        <f>COUNTIFS('Bank Lines'!$G$5:$G$1640,A378,'Bank Lines'!$J$5:$J$1640,1,'Bank Lines'!$C$5:$C$1640,"&lt;="&amp;Cover!$C$14)</f>
        <v>0</v>
      </c>
      <c r="V378">
        <f>COUNTIFS('Odoo Items'!$J$5:$J$4331,A378,'Odoo Items'!$C$5:$C$4331,"&lt;="&amp;Cover!$C$14)</f>
        <v>0</v>
      </c>
      <c r="W378">
        <f>IF(AND(U378=0,V378=0),"",IF(U378=0,"ODOO-ONLY",IF(V378=0,"BANK-ONLY","BOTH")))</f>
      </c>
      <c r="X378" s="9">
        <f>IF(W378="BOTH",ROUND(S378-T378,2),0)</f>
        <v>0</v>
      </c>
      <c r="Y378" s="9">
        <f>ROUND(SUMIFS('Bank Lines'!$E$5:$E$1640,'Bank Lines'!$G$5:$G$1640,A378,'Bank Lines'!$J$5:$J$1640,1,'Bank Lines'!$C$5:$C$1640,"&lt;="&amp;Cover!$C$15),2)</f>
        <v>1498.56</v>
      </c>
      <c r="Z378" s="9">
        <f>ROUND(SUMIFS('Odoo Items'!$G$5:$G$4331,'Odoo Items'!$J$5:$J$4331,A378,'Odoo Items'!$C$5:$C$4331,"&lt;="&amp;Cover!$C$15),2)</f>
        <v>1498.56</v>
      </c>
      <c r="AA378">
        <f>COUNTIFS('Bank Lines'!$G$5:$G$1640,A378,'Bank Lines'!$J$5:$J$1640,1,'Bank Lines'!$C$5:$C$1640,"&lt;="&amp;Cover!$C$15)</f>
        <v>1</v>
      </c>
      <c r="AB378">
        <f>COUNTIFS('Odoo Items'!$J$5:$J$4331,A378,'Odoo Items'!$C$5:$C$4331,"&lt;="&amp;Cover!$C$15)</f>
        <v>8</v>
      </c>
      <c r="AC378" t="str">
        <f>IF(AND(AA378=0,AB378=0),"",IF(AA378=0,"ODOO-ONLY",IF(AB378=0,"BANK-ONLY","BOTH")))</f>
        <v>BOTH</v>
      </c>
      <c r="AD378" s="9">
        <f>IF(AC378="BOTH",ROUND(Y378-Z378,2),0)</f>
        <v>0</v>
      </c>
    </row>
    <row r="379">
      <c r="A379" t="inlineStr">
        <is>
          <t>G00375</t>
        </is>
      </c>
      <c r="B379" t="inlineStr">
        <is>
          <t>OPS</t>
        </is>
      </c>
      <c r="C379" t="inlineStr">
        <is>
          <t>R03</t>
        </is>
      </c>
      <c r="D379" t="inlineStr">
        <is>
          <t>MATCH</t>
        </is>
      </c>
      <c r="E379" t="inlineStr">
        <is>
          <t>Lyrebird Plan Management</t>
        </is>
      </c>
      <c r="F379" t="n">
        <v>1</v>
      </c>
      <c r="G379" t="inlineStr">
        <is>
          <t>4 invoices</t>
        </is>
      </c>
      <c r="H379">
        <f>COUNTIFS('Bank Lines'!$G$5:$G$1640,A379,'Bank Lines'!$J$5:$J$1640,1)</f>
        <v>1</v>
      </c>
      <c r="I379">
        <f>COUNTIFS('Odoo Items'!$J$5:$J$4331,A379)</f>
        <v>4</v>
      </c>
      <c r="J379" s="9">
        <f>ROUND(SUMIFS('Bank Lines'!$E$5:$E$1640,'Bank Lines'!$G$5:$G$1640,A379,'Bank Lines'!$J$5:$J$1640,1),2)</f>
        <v>611.96</v>
      </c>
      <c r="K379" s="9">
        <f>ROUND(SUMIFS('Odoo Items'!$G$5:$G$4331,'Odoo Items'!$J$5:$J$4331,A379),2)</f>
        <v>611.96</v>
      </c>
      <c r="L379" s="9">
        <f>ROUND(J379-K379,2)</f>
        <v>0</v>
      </c>
      <c r="M379" s="9">
        <f>ROUND(SUMIFS('Bank Lines'!$E$5:$E$1640,'Bank Lines'!$G$5:$G$1640,A379,'Bank Lines'!$J$5:$J$1640,1,'Bank Lines'!$C$5:$C$1640,"&lt;="&amp;Cover!$C$13),2)</f>
        <v>0</v>
      </c>
      <c r="N379" s="9">
        <f>ROUND(SUMIFS('Odoo Items'!$G$5:$G$4331,'Odoo Items'!$J$5:$J$4331,A379,'Odoo Items'!$C$5:$C$4331,"&lt;="&amp;Cover!$C$13),2)</f>
        <v>0</v>
      </c>
      <c r="O379">
        <f>COUNTIFS('Bank Lines'!$G$5:$G$1640,A379,'Bank Lines'!$J$5:$J$1640,1,'Bank Lines'!$C$5:$C$1640,"&lt;="&amp;Cover!$C$13)</f>
        <v>0</v>
      </c>
      <c r="P379">
        <f>COUNTIFS('Odoo Items'!$J$5:$J$4331,A379,'Odoo Items'!$C$5:$C$4331,"&lt;="&amp;Cover!$C$13)</f>
        <v>0</v>
      </c>
      <c r="Q379">
        <f>IF(AND(O379=0,P379=0),"",IF(O379=0,"ODOO-ONLY",IF(P379=0,"BANK-ONLY","BOTH")))</f>
      </c>
      <c r="R379" s="9">
        <f>IF(Q379="BOTH",ROUND(M379-N379,2),0)</f>
        <v>0</v>
      </c>
      <c r="S379" s="9">
        <f>ROUND(SUMIFS('Bank Lines'!$E$5:$E$1640,'Bank Lines'!$G$5:$G$1640,A379,'Bank Lines'!$J$5:$J$1640,1,'Bank Lines'!$C$5:$C$1640,"&lt;="&amp;Cover!$C$14),2)</f>
        <v>0</v>
      </c>
      <c r="T379" s="9">
        <f>ROUND(SUMIFS('Odoo Items'!$G$5:$G$4331,'Odoo Items'!$J$5:$J$4331,A379,'Odoo Items'!$C$5:$C$4331,"&lt;="&amp;Cover!$C$14),2)</f>
        <v>611.96</v>
      </c>
      <c r="U379">
        <f>COUNTIFS('Bank Lines'!$G$5:$G$1640,A379,'Bank Lines'!$J$5:$J$1640,1,'Bank Lines'!$C$5:$C$1640,"&lt;="&amp;Cover!$C$14)</f>
        <v>0</v>
      </c>
      <c r="V379">
        <f>COUNTIFS('Odoo Items'!$J$5:$J$4331,A379,'Odoo Items'!$C$5:$C$4331,"&lt;="&amp;Cover!$C$14)</f>
        <v>4</v>
      </c>
      <c r="W379" t="str">
        <f>IF(AND(U379=0,V379=0),"",IF(U379=0,"ODOO-ONLY",IF(V379=0,"BANK-ONLY","BOTH")))</f>
        <v>ODOO-ONLY</v>
      </c>
      <c r="X379" s="9">
        <f>IF(W379="BOTH",ROUND(S379-T379,2),0)</f>
        <v>0</v>
      </c>
      <c r="Y379" s="9">
        <f>ROUND(SUMIFS('Bank Lines'!$E$5:$E$1640,'Bank Lines'!$G$5:$G$1640,A379,'Bank Lines'!$J$5:$J$1640,1,'Bank Lines'!$C$5:$C$1640,"&lt;="&amp;Cover!$C$15),2)</f>
        <v>611.96</v>
      </c>
      <c r="Z379" s="9">
        <f>ROUND(SUMIFS('Odoo Items'!$G$5:$G$4331,'Odoo Items'!$J$5:$J$4331,A379,'Odoo Items'!$C$5:$C$4331,"&lt;="&amp;Cover!$C$15),2)</f>
        <v>611.96</v>
      </c>
      <c r="AA379">
        <f>COUNTIFS('Bank Lines'!$G$5:$G$1640,A379,'Bank Lines'!$J$5:$J$1640,1,'Bank Lines'!$C$5:$C$1640,"&lt;="&amp;Cover!$C$15)</f>
        <v>1</v>
      </c>
      <c r="AB379">
        <f>COUNTIFS('Odoo Items'!$J$5:$J$4331,A379,'Odoo Items'!$C$5:$C$4331,"&lt;="&amp;Cover!$C$15)</f>
        <v>4</v>
      </c>
      <c r="AC379" t="str">
        <f>IF(AND(AA379=0,AB379=0),"",IF(AA379=0,"ODOO-ONLY",IF(AB379=0,"BANK-ONLY","BOTH")))</f>
        <v>BOTH</v>
      </c>
      <c r="AD379" s="9">
        <f>IF(AC379="BOTH",ROUND(Y379-Z379,2),0)</f>
        <v>0</v>
      </c>
    </row>
    <row r="380">
      <c r="A380" t="inlineStr">
        <is>
          <t>G00376</t>
        </is>
      </c>
      <c r="B380" t="inlineStr">
        <is>
          <t>OPS</t>
        </is>
      </c>
      <c r="C380" t="inlineStr">
        <is>
          <t>R03</t>
        </is>
      </c>
      <c r="D380" t="inlineStr">
        <is>
          <t>MATCH</t>
        </is>
      </c>
      <c r="E380" t="inlineStr">
        <is>
          <t>Mallee Plan Services</t>
        </is>
      </c>
      <c r="F380" t="n">
        <v>1</v>
      </c>
      <c r="G380" t="inlineStr">
        <is>
          <t>2 invoices</t>
        </is>
      </c>
      <c r="H380">
        <f>COUNTIFS('Bank Lines'!$G$5:$G$1640,A380,'Bank Lines'!$J$5:$J$1640,1)</f>
        <v>1</v>
      </c>
      <c r="I380">
        <f>COUNTIFS('Odoo Items'!$J$5:$J$4331,A380)</f>
        <v>2</v>
      </c>
      <c r="J380" s="9">
        <f>ROUND(SUMIFS('Bank Lines'!$E$5:$E$1640,'Bank Lines'!$G$5:$G$1640,A380,'Bank Lines'!$J$5:$J$1640,1),2)</f>
        <v>591.67</v>
      </c>
      <c r="K380" s="9">
        <f>ROUND(SUMIFS('Odoo Items'!$G$5:$G$4331,'Odoo Items'!$J$5:$J$4331,A380),2)</f>
        <v>591.67</v>
      </c>
      <c r="L380" s="9">
        <f>ROUND(J380-K380,2)</f>
        <v>0</v>
      </c>
      <c r="M380" s="9">
        <f>ROUND(SUMIFS('Bank Lines'!$E$5:$E$1640,'Bank Lines'!$G$5:$G$1640,A380,'Bank Lines'!$J$5:$J$1640,1,'Bank Lines'!$C$5:$C$1640,"&lt;="&amp;Cover!$C$13),2)</f>
        <v>0</v>
      </c>
      <c r="N380" s="9">
        <f>ROUND(SUMIFS('Odoo Items'!$G$5:$G$4331,'Odoo Items'!$J$5:$J$4331,A380,'Odoo Items'!$C$5:$C$4331,"&lt;="&amp;Cover!$C$13),2)</f>
        <v>0</v>
      </c>
      <c r="O380">
        <f>COUNTIFS('Bank Lines'!$G$5:$G$1640,A380,'Bank Lines'!$J$5:$J$1640,1,'Bank Lines'!$C$5:$C$1640,"&lt;="&amp;Cover!$C$13)</f>
        <v>0</v>
      </c>
      <c r="P380">
        <f>COUNTIFS('Odoo Items'!$J$5:$J$4331,A380,'Odoo Items'!$C$5:$C$4331,"&lt;="&amp;Cover!$C$13)</f>
        <v>0</v>
      </c>
      <c r="Q380">
        <f>IF(AND(O380=0,P380=0),"",IF(O380=0,"ODOO-ONLY",IF(P380=0,"BANK-ONLY","BOTH")))</f>
      </c>
      <c r="R380" s="9">
        <f>IF(Q380="BOTH",ROUND(M380-N380,2),0)</f>
        <v>0</v>
      </c>
      <c r="S380" s="9">
        <f>ROUND(SUMIFS('Bank Lines'!$E$5:$E$1640,'Bank Lines'!$G$5:$G$1640,A380,'Bank Lines'!$J$5:$J$1640,1,'Bank Lines'!$C$5:$C$1640,"&lt;="&amp;Cover!$C$14),2)</f>
        <v>0</v>
      </c>
      <c r="T380" s="9">
        <f>ROUND(SUMIFS('Odoo Items'!$G$5:$G$4331,'Odoo Items'!$J$5:$J$4331,A380,'Odoo Items'!$C$5:$C$4331,"&lt;="&amp;Cover!$C$14),2)</f>
        <v>0</v>
      </c>
      <c r="U380">
        <f>COUNTIFS('Bank Lines'!$G$5:$G$1640,A380,'Bank Lines'!$J$5:$J$1640,1,'Bank Lines'!$C$5:$C$1640,"&lt;="&amp;Cover!$C$14)</f>
        <v>0</v>
      </c>
      <c r="V380">
        <f>COUNTIFS('Odoo Items'!$J$5:$J$4331,A380,'Odoo Items'!$C$5:$C$4331,"&lt;="&amp;Cover!$C$14)</f>
        <v>0</v>
      </c>
      <c r="W380">
        <f>IF(AND(U380=0,V380=0),"",IF(U380=0,"ODOO-ONLY",IF(V380=0,"BANK-ONLY","BOTH")))</f>
      </c>
      <c r="X380" s="9">
        <f>IF(W380="BOTH",ROUND(S380-T380,2),0)</f>
        <v>0</v>
      </c>
      <c r="Y380" s="9">
        <f>ROUND(SUMIFS('Bank Lines'!$E$5:$E$1640,'Bank Lines'!$G$5:$G$1640,A380,'Bank Lines'!$J$5:$J$1640,1,'Bank Lines'!$C$5:$C$1640,"&lt;="&amp;Cover!$C$15),2)</f>
        <v>591.67</v>
      </c>
      <c r="Z380" s="9">
        <f>ROUND(SUMIFS('Odoo Items'!$G$5:$G$4331,'Odoo Items'!$J$5:$J$4331,A380,'Odoo Items'!$C$5:$C$4331,"&lt;="&amp;Cover!$C$15),2)</f>
        <v>591.67</v>
      </c>
      <c r="AA380">
        <f>COUNTIFS('Bank Lines'!$G$5:$G$1640,A380,'Bank Lines'!$J$5:$J$1640,1,'Bank Lines'!$C$5:$C$1640,"&lt;="&amp;Cover!$C$15)</f>
        <v>1</v>
      </c>
      <c r="AB380">
        <f>COUNTIFS('Odoo Items'!$J$5:$J$4331,A380,'Odoo Items'!$C$5:$C$4331,"&lt;="&amp;Cover!$C$15)</f>
        <v>2</v>
      </c>
      <c r="AC380" t="str">
        <f>IF(AND(AA380=0,AB380=0),"",IF(AA380=0,"ODOO-ONLY",IF(AB380=0,"BANK-ONLY","BOTH")))</f>
        <v>BOTH</v>
      </c>
      <c r="AD380" s="9">
        <f>IF(AC380="BOTH",ROUND(Y380-Z380,2),0)</f>
        <v>0</v>
      </c>
    </row>
    <row r="381">
      <c r="A381" t="inlineStr">
        <is>
          <t>G00377</t>
        </is>
      </c>
      <c r="B381" t="inlineStr">
        <is>
          <t>OPS</t>
        </is>
      </c>
      <c r="C381" t="inlineStr">
        <is>
          <t>R03</t>
        </is>
      </c>
      <c r="D381" t="inlineStr">
        <is>
          <t>MATCH</t>
        </is>
      </c>
      <c r="E381" t="inlineStr">
        <is>
          <t>Kookaburra Plan Support</t>
        </is>
      </c>
      <c r="F381" t="n">
        <v>1</v>
      </c>
      <c r="G381" t="inlineStr">
        <is>
          <t>2 invoices</t>
        </is>
      </c>
      <c r="H381">
        <f>COUNTIFS('Bank Lines'!$G$5:$G$1640,A381,'Bank Lines'!$J$5:$J$1640,1)</f>
        <v>1</v>
      </c>
      <c r="I381">
        <f>COUNTIFS('Odoo Items'!$J$5:$J$4331,A381)</f>
        <v>2</v>
      </c>
      <c r="J381" s="9">
        <f>ROUND(SUMIFS('Bank Lines'!$E$5:$E$1640,'Bank Lines'!$G$5:$G$1640,A381,'Bank Lines'!$J$5:$J$1640,1),2)</f>
        <v>514.97</v>
      </c>
      <c r="K381" s="9">
        <f>ROUND(SUMIFS('Odoo Items'!$G$5:$G$4331,'Odoo Items'!$J$5:$J$4331,A381),2)</f>
        <v>514.97</v>
      </c>
      <c r="L381" s="9">
        <f>ROUND(J381-K381,2)</f>
        <v>0</v>
      </c>
      <c r="M381" s="9">
        <f>ROUND(SUMIFS('Bank Lines'!$E$5:$E$1640,'Bank Lines'!$G$5:$G$1640,A381,'Bank Lines'!$J$5:$J$1640,1,'Bank Lines'!$C$5:$C$1640,"&lt;="&amp;Cover!$C$13),2)</f>
        <v>0</v>
      </c>
      <c r="N381" s="9">
        <f>ROUND(SUMIFS('Odoo Items'!$G$5:$G$4331,'Odoo Items'!$J$5:$J$4331,A381,'Odoo Items'!$C$5:$C$4331,"&lt;="&amp;Cover!$C$13),2)</f>
        <v>0</v>
      </c>
      <c r="O381">
        <f>COUNTIFS('Bank Lines'!$G$5:$G$1640,A381,'Bank Lines'!$J$5:$J$1640,1,'Bank Lines'!$C$5:$C$1640,"&lt;="&amp;Cover!$C$13)</f>
        <v>0</v>
      </c>
      <c r="P381">
        <f>COUNTIFS('Odoo Items'!$J$5:$J$4331,A381,'Odoo Items'!$C$5:$C$4331,"&lt;="&amp;Cover!$C$13)</f>
        <v>0</v>
      </c>
      <c r="Q381">
        <f>IF(AND(O381=0,P381=0),"",IF(O381=0,"ODOO-ONLY",IF(P381=0,"BANK-ONLY","BOTH")))</f>
      </c>
      <c r="R381" s="9">
        <f>IF(Q381="BOTH",ROUND(M381-N381,2),0)</f>
        <v>0</v>
      </c>
      <c r="S381" s="9">
        <f>ROUND(SUMIFS('Bank Lines'!$E$5:$E$1640,'Bank Lines'!$G$5:$G$1640,A381,'Bank Lines'!$J$5:$J$1640,1,'Bank Lines'!$C$5:$C$1640,"&lt;="&amp;Cover!$C$14),2)</f>
        <v>0</v>
      </c>
      <c r="T381" s="9">
        <f>ROUND(SUMIFS('Odoo Items'!$G$5:$G$4331,'Odoo Items'!$J$5:$J$4331,A381,'Odoo Items'!$C$5:$C$4331,"&lt;="&amp;Cover!$C$14),2)</f>
        <v>0</v>
      </c>
      <c r="U381">
        <f>COUNTIFS('Bank Lines'!$G$5:$G$1640,A381,'Bank Lines'!$J$5:$J$1640,1,'Bank Lines'!$C$5:$C$1640,"&lt;="&amp;Cover!$C$14)</f>
        <v>0</v>
      </c>
      <c r="V381">
        <f>COUNTIFS('Odoo Items'!$J$5:$J$4331,A381,'Odoo Items'!$C$5:$C$4331,"&lt;="&amp;Cover!$C$14)</f>
        <v>0</v>
      </c>
      <c r="W381">
        <f>IF(AND(U381=0,V381=0),"",IF(U381=0,"ODOO-ONLY",IF(V381=0,"BANK-ONLY","BOTH")))</f>
      </c>
      <c r="X381" s="9">
        <f>IF(W381="BOTH",ROUND(S381-T381,2),0)</f>
        <v>0</v>
      </c>
      <c r="Y381" s="9">
        <f>ROUND(SUMIFS('Bank Lines'!$E$5:$E$1640,'Bank Lines'!$G$5:$G$1640,A381,'Bank Lines'!$J$5:$J$1640,1,'Bank Lines'!$C$5:$C$1640,"&lt;="&amp;Cover!$C$15),2)</f>
        <v>514.97</v>
      </c>
      <c r="Z381" s="9">
        <f>ROUND(SUMIFS('Odoo Items'!$G$5:$G$4331,'Odoo Items'!$J$5:$J$4331,A381,'Odoo Items'!$C$5:$C$4331,"&lt;="&amp;Cover!$C$15),2)</f>
        <v>514.97</v>
      </c>
      <c r="AA381">
        <f>COUNTIFS('Bank Lines'!$G$5:$G$1640,A381,'Bank Lines'!$J$5:$J$1640,1,'Bank Lines'!$C$5:$C$1640,"&lt;="&amp;Cover!$C$15)</f>
        <v>1</v>
      </c>
      <c r="AB381">
        <f>COUNTIFS('Odoo Items'!$J$5:$J$4331,A381,'Odoo Items'!$C$5:$C$4331,"&lt;="&amp;Cover!$C$15)</f>
        <v>2</v>
      </c>
      <c r="AC381" t="str">
        <f>IF(AND(AA381=0,AB381=0),"",IF(AA381=0,"ODOO-ONLY",IF(AB381=0,"BANK-ONLY","BOTH")))</f>
        <v>BOTH</v>
      </c>
      <c r="AD381" s="9">
        <f>IF(AC381="BOTH",ROUND(Y381-Z381,2),0)</f>
        <v>0</v>
      </c>
    </row>
    <row r="382">
      <c r="A382" t="inlineStr">
        <is>
          <t>G00378</t>
        </is>
      </c>
      <c r="B382" t="inlineStr">
        <is>
          <t>OPS</t>
        </is>
      </c>
      <c r="C382" t="inlineStr">
        <is>
          <t>R03</t>
        </is>
      </c>
      <c r="D382" t="inlineStr">
        <is>
          <t>MATCH</t>
        </is>
      </c>
      <c r="E382" t="inlineStr">
        <is>
          <t>Redgum Plan Admin</t>
        </is>
      </c>
      <c r="F382" t="n">
        <v>1</v>
      </c>
      <c r="G382" t="inlineStr">
        <is>
          <t>2 invoices</t>
        </is>
      </c>
      <c r="H382">
        <f>COUNTIFS('Bank Lines'!$G$5:$G$1640,A382,'Bank Lines'!$J$5:$J$1640,1)</f>
        <v>1</v>
      </c>
      <c r="I382">
        <f>COUNTIFS('Odoo Items'!$J$5:$J$4331,A382)</f>
        <v>2</v>
      </c>
      <c r="J382" s="9">
        <f>ROUND(SUMIFS('Bank Lines'!$E$5:$E$1640,'Bank Lines'!$G$5:$G$1640,A382,'Bank Lines'!$J$5:$J$1640,1),2)</f>
        <v>427.68</v>
      </c>
      <c r="K382" s="9">
        <f>ROUND(SUMIFS('Odoo Items'!$G$5:$G$4331,'Odoo Items'!$J$5:$J$4331,A382),2)</f>
        <v>427.68</v>
      </c>
      <c r="L382" s="9">
        <f>ROUND(J382-K382,2)</f>
        <v>0</v>
      </c>
      <c r="M382" s="9">
        <f>ROUND(SUMIFS('Bank Lines'!$E$5:$E$1640,'Bank Lines'!$G$5:$G$1640,A382,'Bank Lines'!$J$5:$J$1640,1,'Bank Lines'!$C$5:$C$1640,"&lt;="&amp;Cover!$C$13),2)</f>
        <v>0</v>
      </c>
      <c r="N382" s="9">
        <f>ROUND(SUMIFS('Odoo Items'!$G$5:$G$4331,'Odoo Items'!$J$5:$J$4331,A382,'Odoo Items'!$C$5:$C$4331,"&lt;="&amp;Cover!$C$13),2)</f>
        <v>0</v>
      </c>
      <c r="O382">
        <f>COUNTIFS('Bank Lines'!$G$5:$G$1640,A382,'Bank Lines'!$J$5:$J$1640,1,'Bank Lines'!$C$5:$C$1640,"&lt;="&amp;Cover!$C$13)</f>
        <v>0</v>
      </c>
      <c r="P382">
        <f>COUNTIFS('Odoo Items'!$J$5:$J$4331,A382,'Odoo Items'!$C$5:$C$4331,"&lt;="&amp;Cover!$C$13)</f>
        <v>0</v>
      </c>
      <c r="Q382">
        <f>IF(AND(O382=0,P382=0),"",IF(O382=0,"ODOO-ONLY",IF(P382=0,"BANK-ONLY","BOTH")))</f>
      </c>
      <c r="R382" s="9">
        <f>IF(Q382="BOTH",ROUND(M382-N382,2),0)</f>
        <v>0</v>
      </c>
      <c r="S382" s="9">
        <f>ROUND(SUMIFS('Bank Lines'!$E$5:$E$1640,'Bank Lines'!$G$5:$G$1640,A382,'Bank Lines'!$J$5:$J$1640,1,'Bank Lines'!$C$5:$C$1640,"&lt;="&amp;Cover!$C$14),2)</f>
        <v>0</v>
      </c>
      <c r="T382" s="9">
        <f>ROUND(SUMIFS('Odoo Items'!$G$5:$G$4331,'Odoo Items'!$J$5:$J$4331,A382,'Odoo Items'!$C$5:$C$4331,"&lt;="&amp;Cover!$C$14),2)</f>
        <v>0</v>
      </c>
      <c r="U382">
        <f>COUNTIFS('Bank Lines'!$G$5:$G$1640,A382,'Bank Lines'!$J$5:$J$1640,1,'Bank Lines'!$C$5:$C$1640,"&lt;="&amp;Cover!$C$14)</f>
        <v>0</v>
      </c>
      <c r="V382">
        <f>COUNTIFS('Odoo Items'!$J$5:$J$4331,A382,'Odoo Items'!$C$5:$C$4331,"&lt;="&amp;Cover!$C$14)</f>
        <v>0</v>
      </c>
      <c r="W382">
        <f>IF(AND(U382=0,V382=0),"",IF(U382=0,"ODOO-ONLY",IF(V382=0,"BANK-ONLY","BOTH")))</f>
      </c>
      <c r="X382" s="9">
        <f>IF(W382="BOTH",ROUND(S382-T382,2),0)</f>
        <v>0</v>
      </c>
      <c r="Y382" s="9">
        <f>ROUND(SUMIFS('Bank Lines'!$E$5:$E$1640,'Bank Lines'!$G$5:$G$1640,A382,'Bank Lines'!$J$5:$J$1640,1,'Bank Lines'!$C$5:$C$1640,"&lt;="&amp;Cover!$C$15),2)</f>
        <v>427.68</v>
      </c>
      <c r="Z382" s="9">
        <f>ROUND(SUMIFS('Odoo Items'!$G$5:$G$4331,'Odoo Items'!$J$5:$J$4331,A382,'Odoo Items'!$C$5:$C$4331,"&lt;="&amp;Cover!$C$15),2)</f>
        <v>427.68</v>
      </c>
      <c r="AA382">
        <f>COUNTIFS('Bank Lines'!$G$5:$G$1640,A382,'Bank Lines'!$J$5:$J$1640,1,'Bank Lines'!$C$5:$C$1640,"&lt;="&amp;Cover!$C$15)</f>
        <v>1</v>
      </c>
      <c r="AB382">
        <f>COUNTIFS('Odoo Items'!$J$5:$J$4331,A382,'Odoo Items'!$C$5:$C$4331,"&lt;="&amp;Cover!$C$15)</f>
        <v>2</v>
      </c>
      <c r="AC382" t="str">
        <f>IF(AND(AA382=0,AB382=0),"",IF(AA382=0,"ODOO-ONLY",IF(AB382=0,"BANK-ONLY","BOTH")))</f>
        <v>BOTH</v>
      </c>
      <c r="AD382" s="9">
        <f>IF(AC382="BOTH",ROUND(Y382-Z382,2),0)</f>
        <v>0</v>
      </c>
    </row>
    <row r="383">
      <c r="A383" t="inlineStr">
        <is>
          <t>G00379</t>
        </is>
      </c>
      <c r="B383" t="inlineStr">
        <is>
          <t>OPS</t>
        </is>
      </c>
      <c r="C383" t="inlineStr">
        <is>
          <t>R03</t>
        </is>
      </c>
      <c r="D383" t="inlineStr">
        <is>
          <t>MATCH</t>
        </is>
      </c>
      <c r="E383" t="inlineStr">
        <is>
          <t>Southern Cross Plan Mgmt</t>
        </is>
      </c>
      <c r="F383" t="n">
        <v>1</v>
      </c>
      <c r="G383" t="inlineStr">
        <is>
          <t>12 invoices</t>
        </is>
      </c>
      <c r="H383">
        <f>COUNTIFS('Bank Lines'!$G$5:$G$1640,A383,'Bank Lines'!$J$5:$J$1640,1)</f>
        <v>1</v>
      </c>
      <c r="I383">
        <f>COUNTIFS('Odoo Items'!$J$5:$J$4331,A383)</f>
        <v>12</v>
      </c>
      <c r="J383" s="9">
        <f>ROUND(SUMIFS('Bank Lines'!$E$5:$E$1640,'Bank Lines'!$G$5:$G$1640,A383,'Bank Lines'!$J$5:$J$1640,1),2)</f>
        <v>3524.52</v>
      </c>
      <c r="K383" s="9">
        <f>ROUND(SUMIFS('Odoo Items'!$G$5:$G$4331,'Odoo Items'!$J$5:$J$4331,A383),2)</f>
        <v>3524.52</v>
      </c>
      <c r="L383" s="9">
        <f>ROUND(J383-K383,2)</f>
        <v>0</v>
      </c>
      <c r="M383" s="9">
        <f>ROUND(SUMIFS('Bank Lines'!$E$5:$E$1640,'Bank Lines'!$G$5:$G$1640,A383,'Bank Lines'!$J$5:$J$1640,1,'Bank Lines'!$C$5:$C$1640,"&lt;="&amp;Cover!$C$13),2)</f>
        <v>0</v>
      </c>
      <c r="N383" s="9">
        <f>ROUND(SUMIFS('Odoo Items'!$G$5:$G$4331,'Odoo Items'!$J$5:$J$4331,A383,'Odoo Items'!$C$5:$C$4331,"&lt;="&amp;Cover!$C$13),2)</f>
        <v>0</v>
      </c>
      <c r="O383">
        <f>COUNTIFS('Bank Lines'!$G$5:$G$1640,A383,'Bank Lines'!$J$5:$J$1640,1,'Bank Lines'!$C$5:$C$1640,"&lt;="&amp;Cover!$C$13)</f>
        <v>0</v>
      </c>
      <c r="P383">
        <f>COUNTIFS('Odoo Items'!$J$5:$J$4331,A383,'Odoo Items'!$C$5:$C$4331,"&lt;="&amp;Cover!$C$13)</f>
        <v>0</v>
      </c>
      <c r="Q383">
        <f>IF(AND(O383=0,P383=0),"",IF(O383=0,"ODOO-ONLY",IF(P383=0,"BANK-ONLY","BOTH")))</f>
      </c>
      <c r="R383" s="9">
        <f>IF(Q383="BOTH",ROUND(M383-N383,2),0)</f>
        <v>0</v>
      </c>
      <c r="S383" s="9">
        <f>ROUND(SUMIFS('Bank Lines'!$E$5:$E$1640,'Bank Lines'!$G$5:$G$1640,A383,'Bank Lines'!$J$5:$J$1640,1,'Bank Lines'!$C$5:$C$1640,"&lt;="&amp;Cover!$C$14),2)</f>
        <v>0</v>
      </c>
      <c r="T383" s="9">
        <f>ROUND(SUMIFS('Odoo Items'!$G$5:$G$4331,'Odoo Items'!$J$5:$J$4331,A383,'Odoo Items'!$C$5:$C$4331,"&lt;="&amp;Cover!$C$14),2)</f>
        <v>0</v>
      </c>
      <c r="U383">
        <f>COUNTIFS('Bank Lines'!$G$5:$G$1640,A383,'Bank Lines'!$J$5:$J$1640,1,'Bank Lines'!$C$5:$C$1640,"&lt;="&amp;Cover!$C$14)</f>
        <v>0</v>
      </c>
      <c r="V383">
        <f>COUNTIFS('Odoo Items'!$J$5:$J$4331,A383,'Odoo Items'!$C$5:$C$4331,"&lt;="&amp;Cover!$C$14)</f>
        <v>0</v>
      </c>
      <c r="W383">
        <f>IF(AND(U383=0,V383=0),"",IF(U383=0,"ODOO-ONLY",IF(V383=0,"BANK-ONLY","BOTH")))</f>
      </c>
      <c r="X383" s="9">
        <f>IF(W383="BOTH",ROUND(S383-T383,2),0)</f>
        <v>0</v>
      </c>
      <c r="Y383" s="9">
        <f>ROUND(SUMIFS('Bank Lines'!$E$5:$E$1640,'Bank Lines'!$G$5:$G$1640,A383,'Bank Lines'!$J$5:$J$1640,1,'Bank Lines'!$C$5:$C$1640,"&lt;="&amp;Cover!$C$15),2)</f>
        <v>3524.52</v>
      </c>
      <c r="Z383" s="9">
        <f>ROUND(SUMIFS('Odoo Items'!$G$5:$G$4331,'Odoo Items'!$J$5:$J$4331,A383,'Odoo Items'!$C$5:$C$4331,"&lt;="&amp;Cover!$C$15),2)</f>
        <v>3524.52</v>
      </c>
      <c r="AA383">
        <f>COUNTIFS('Bank Lines'!$G$5:$G$1640,A383,'Bank Lines'!$J$5:$J$1640,1,'Bank Lines'!$C$5:$C$1640,"&lt;="&amp;Cover!$C$15)</f>
        <v>1</v>
      </c>
      <c r="AB383">
        <f>COUNTIFS('Odoo Items'!$J$5:$J$4331,A383,'Odoo Items'!$C$5:$C$4331,"&lt;="&amp;Cover!$C$15)</f>
        <v>12</v>
      </c>
      <c r="AC383" t="str">
        <f>IF(AND(AA383=0,AB383=0),"",IF(AA383=0,"ODOO-ONLY",IF(AB383=0,"BANK-ONLY","BOTH")))</f>
        <v>BOTH</v>
      </c>
      <c r="AD383" s="9">
        <f>IF(AC383="BOTH",ROUND(Y383-Z383,2),0)</f>
        <v>0</v>
      </c>
    </row>
    <row r="384">
      <c r="A384" t="inlineStr">
        <is>
          <t>G00380</t>
        </is>
      </c>
      <c r="B384" t="inlineStr">
        <is>
          <t>OPS</t>
        </is>
      </c>
      <c r="C384" t="inlineStr">
        <is>
          <t>R03</t>
        </is>
      </c>
      <c r="D384" t="inlineStr">
        <is>
          <t>MATCH</t>
        </is>
      </c>
      <c r="E384" t="inlineStr">
        <is>
          <t>Lyrebird Plan Management</t>
        </is>
      </c>
      <c r="F384" t="n">
        <v>1</v>
      </c>
      <c r="G384" t="inlineStr">
        <is>
          <t>4 invoices</t>
        </is>
      </c>
      <c r="H384">
        <f>COUNTIFS('Bank Lines'!$G$5:$G$1640,A384,'Bank Lines'!$J$5:$J$1640,1)</f>
        <v>1</v>
      </c>
      <c r="I384">
        <f>COUNTIFS('Odoo Items'!$J$5:$J$4331,A384)</f>
        <v>4</v>
      </c>
      <c r="J384" s="9">
        <f>ROUND(SUMIFS('Bank Lines'!$E$5:$E$1640,'Bank Lines'!$G$5:$G$1640,A384,'Bank Lines'!$J$5:$J$1640,1),2)</f>
        <v>981.45</v>
      </c>
      <c r="K384" s="9">
        <f>ROUND(SUMIFS('Odoo Items'!$G$5:$G$4331,'Odoo Items'!$J$5:$J$4331,A384),2)</f>
        <v>981.45</v>
      </c>
      <c r="L384" s="9">
        <f>ROUND(J384-K384,2)</f>
        <v>0</v>
      </c>
      <c r="M384" s="9">
        <f>ROUND(SUMIFS('Bank Lines'!$E$5:$E$1640,'Bank Lines'!$G$5:$G$1640,A384,'Bank Lines'!$J$5:$J$1640,1,'Bank Lines'!$C$5:$C$1640,"&lt;="&amp;Cover!$C$13),2)</f>
        <v>0</v>
      </c>
      <c r="N384" s="9">
        <f>ROUND(SUMIFS('Odoo Items'!$G$5:$G$4331,'Odoo Items'!$J$5:$J$4331,A384,'Odoo Items'!$C$5:$C$4331,"&lt;="&amp;Cover!$C$13),2)</f>
        <v>0</v>
      </c>
      <c r="O384">
        <f>COUNTIFS('Bank Lines'!$G$5:$G$1640,A384,'Bank Lines'!$J$5:$J$1640,1,'Bank Lines'!$C$5:$C$1640,"&lt;="&amp;Cover!$C$13)</f>
        <v>0</v>
      </c>
      <c r="P384">
        <f>COUNTIFS('Odoo Items'!$J$5:$J$4331,A384,'Odoo Items'!$C$5:$C$4331,"&lt;="&amp;Cover!$C$13)</f>
        <v>0</v>
      </c>
      <c r="Q384">
        <f>IF(AND(O384=0,P384=0),"",IF(O384=0,"ODOO-ONLY",IF(P384=0,"BANK-ONLY","BOTH")))</f>
      </c>
      <c r="R384" s="9">
        <f>IF(Q384="BOTH",ROUND(M384-N384,2),0)</f>
        <v>0</v>
      </c>
      <c r="S384" s="9">
        <f>ROUND(SUMIFS('Bank Lines'!$E$5:$E$1640,'Bank Lines'!$G$5:$G$1640,A384,'Bank Lines'!$J$5:$J$1640,1,'Bank Lines'!$C$5:$C$1640,"&lt;="&amp;Cover!$C$14),2)</f>
        <v>0</v>
      </c>
      <c r="T384" s="9">
        <f>ROUND(SUMIFS('Odoo Items'!$G$5:$G$4331,'Odoo Items'!$J$5:$J$4331,A384,'Odoo Items'!$C$5:$C$4331,"&lt;="&amp;Cover!$C$14),2)</f>
        <v>0</v>
      </c>
      <c r="U384">
        <f>COUNTIFS('Bank Lines'!$G$5:$G$1640,A384,'Bank Lines'!$J$5:$J$1640,1,'Bank Lines'!$C$5:$C$1640,"&lt;="&amp;Cover!$C$14)</f>
        <v>0</v>
      </c>
      <c r="V384">
        <f>COUNTIFS('Odoo Items'!$J$5:$J$4331,A384,'Odoo Items'!$C$5:$C$4331,"&lt;="&amp;Cover!$C$14)</f>
        <v>0</v>
      </c>
      <c r="W384">
        <f>IF(AND(U384=0,V384=0),"",IF(U384=0,"ODOO-ONLY",IF(V384=0,"BANK-ONLY","BOTH")))</f>
      </c>
      <c r="X384" s="9">
        <f>IF(W384="BOTH",ROUND(S384-T384,2),0)</f>
        <v>0</v>
      </c>
      <c r="Y384" s="9">
        <f>ROUND(SUMIFS('Bank Lines'!$E$5:$E$1640,'Bank Lines'!$G$5:$G$1640,A384,'Bank Lines'!$J$5:$J$1640,1,'Bank Lines'!$C$5:$C$1640,"&lt;="&amp;Cover!$C$15),2)</f>
        <v>981.45</v>
      </c>
      <c r="Z384" s="9">
        <f>ROUND(SUMIFS('Odoo Items'!$G$5:$G$4331,'Odoo Items'!$J$5:$J$4331,A384,'Odoo Items'!$C$5:$C$4331,"&lt;="&amp;Cover!$C$15),2)</f>
        <v>981.45</v>
      </c>
      <c r="AA384">
        <f>COUNTIFS('Bank Lines'!$G$5:$G$1640,A384,'Bank Lines'!$J$5:$J$1640,1,'Bank Lines'!$C$5:$C$1640,"&lt;="&amp;Cover!$C$15)</f>
        <v>1</v>
      </c>
      <c r="AB384">
        <f>COUNTIFS('Odoo Items'!$J$5:$J$4331,A384,'Odoo Items'!$C$5:$C$4331,"&lt;="&amp;Cover!$C$15)</f>
        <v>4</v>
      </c>
      <c r="AC384" t="str">
        <f>IF(AND(AA384=0,AB384=0),"",IF(AA384=0,"ODOO-ONLY",IF(AB384=0,"BANK-ONLY","BOTH")))</f>
        <v>BOTH</v>
      </c>
      <c r="AD384" s="9">
        <f>IF(AC384="BOTH",ROUND(Y384-Z384,2),0)</f>
        <v>0</v>
      </c>
    </row>
    <row r="385">
      <c r="A385" t="inlineStr">
        <is>
          <t>G00381</t>
        </is>
      </c>
      <c r="B385" t="inlineStr">
        <is>
          <t>OPS</t>
        </is>
      </c>
      <c r="C385" t="inlineStr">
        <is>
          <t>R03</t>
        </is>
      </c>
      <c r="D385" t="inlineStr">
        <is>
          <t>MATCH</t>
        </is>
      </c>
      <c r="E385" t="inlineStr">
        <is>
          <t>Tallowwood Plans</t>
        </is>
      </c>
      <c r="F385" t="n">
        <v>1</v>
      </c>
      <c r="G385" t="inlineStr">
        <is>
          <t>12 invoices</t>
        </is>
      </c>
      <c r="H385">
        <f>COUNTIFS('Bank Lines'!$G$5:$G$1640,A385,'Bank Lines'!$J$5:$J$1640,1)</f>
        <v>1</v>
      </c>
      <c r="I385">
        <f>COUNTIFS('Odoo Items'!$J$5:$J$4331,A385)</f>
        <v>12</v>
      </c>
      <c r="J385" s="9">
        <f>ROUND(SUMIFS('Bank Lines'!$E$5:$E$1640,'Bank Lines'!$G$5:$G$1640,A385,'Bank Lines'!$J$5:$J$1640,1),2)</f>
        <v>3659.42</v>
      </c>
      <c r="K385" s="9">
        <f>ROUND(SUMIFS('Odoo Items'!$G$5:$G$4331,'Odoo Items'!$J$5:$J$4331,A385),2)</f>
        <v>3659.42</v>
      </c>
      <c r="L385" s="9">
        <f>ROUND(J385-K385,2)</f>
        <v>0</v>
      </c>
      <c r="M385" s="9">
        <f>ROUND(SUMIFS('Bank Lines'!$E$5:$E$1640,'Bank Lines'!$G$5:$G$1640,A385,'Bank Lines'!$J$5:$J$1640,1,'Bank Lines'!$C$5:$C$1640,"&lt;="&amp;Cover!$C$13),2)</f>
        <v>0</v>
      </c>
      <c r="N385" s="9">
        <f>ROUND(SUMIFS('Odoo Items'!$G$5:$G$4331,'Odoo Items'!$J$5:$J$4331,A385,'Odoo Items'!$C$5:$C$4331,"&lt;="&amp;Cover!$C$13),2)</f>
        <v>0</v>
      </c>
      <c r="O385">
        <f>COUNTIFS('Bank Lines'!$G$5:$G$1640,A385,'Bank Lines'!$J$5:$J$1640,1,'Bank Lines'!$C$5:$C$1640,"&lt;="&amp;Cover!$C$13)</f>
        <v>0</v>
      </c>
      <c r="P385">
        <f>COUNTIFS('Odoo Items'!$J$5:$J$4331,A385,'Odoo Items'!$C$5:$C$4331,"&lt;="&amp;Cover!$C$13)</f>
        <v>0</v>
      </c>
      <c r="Q385">
        <f>IF(AND(O385=0,P385=0),"",IF(O385=0,"ODOO-ONLY",IF(P385=0,"BANK-ONLY","BOTH")))</f>
      </c>
      <c r="R385" s="9">
        <f>IF(Q385="BOTH",ROUND(M385-N385,2),0)</f>
        <v>0</v>
      </c>
      <c r="S385" s="9">
        <f>ROUND(SUMIFS('Bank Lines'!$E$5:$E$1640,'Bank Lines'!$G$5:$G$1640,A385,'Bank Lines'!$J$5:$J$1640,1,'Bank Lines'!$C$5:$C$1640,"&lt;="&amp;Cover!$C$14),2)</f>
        <v>0</v>
      </c>
      <c r="T385" s="9">
        <f>ROUND(SUMIFS('Odoo Items'!$G$5:$G$4331,'Odoo Items'!$J$5:$J$4331,A385,'Odoo Items'!$C$5:$C$4331,"&lt;="&amp;Cover!$C$14),2)</f>
        <v>0</v>
      </c>
      <c r="U385">
        <f>COUNTIFS('Bank Lines'!$G$5:$G$1640,A385,'Bank Lines'!$J$5:$J$1640,1,'Bank Lines'!$C$5:$C$1640,"&lt;="&amp;Cover!$C$14)</f>
        <v>0</v>
      </c>
      <c r="V385">
        <f>COUNTIFS('Odoo Items'!$J$5:$J$4331,A385,'Odoo Items'!$C$5:$C$4331,"&lt;="&amp;Cover!$C$14)</f>
        <v>0</v>
      </c>
      <c r="W385">
        <f>IF(AND(U385=0,V385=0),"",IF(U385=0,"ODOO-ONLY",IF(V385=0,"BANK-ONLY","BOTH")))</f>
      </c>
      <c r="X385" s="9">
        <f>IF(W385="BOTH",ROUND(S385-T385,2),0)</f>
        <v>0</v>
      </c>
      <c r="Y385" s="9">
        <f>ROUND(SUMIFS('Bank Lines'!$E$5:$E$1640,'Bank Lines'!$G$5:$G$1640,A385,'Bank Lines'!$J$5:$J$1640,1,'Bank Lines'!$C$5:$C$1640,"&lt;="&amp;Cover!$C$15),2)</f>
        <v>3659.42</v>
      </c>
      <c r="Z385" s="9">
        <f>ROUND(SUMIFS('Odoo Items'!$G$5:$G$4331,'Odoo Items'!$J$5:$J$4331,A385,'Odoo Items'!$C$5:$C$4331,"&lt;="&amp;Cover!$C$15),2)</f>
        <v>3659.42</v>
      </c>
      <c r="AA385">
        <f>COUNTIFS('Bank Lines'!$G$5:$G$1640,A385,'Bank Lines'!$J$5:$J$1640,1,'Bank Lines'!$C$5:$C$1640,"&lt;="&amp;Cover!$C$15)</f>
        <v>1</v>
      </c>
      <c r="AB385">
        <f>COUNTIFS('Odoo Items'!$J$5:$J$4331,A385,'Odoo Items'!$C$5:$C$4331,"&lt;="&amp;Cover!$C$15)</f>
        <v>12</v>
      </c>
      <c r="AC385" t="str">
        <f>IF(AND(AA385=0,AB385=0),"",IF(AA385=0,"ODOO-ONLY",IF(AB385=0,"BANK-ONLY","BOTH")))</f>
        <v>BOTH</v>
      </c>
      <c r="AD385" s="9">
        <f>IF(AC385="BOTH",ROUND(Y385-Z385,2),0)</f>
        <v>0</v>
      </c>
    </row>
    <row r="386">
      <c r="A386" t="inlineStr">
        <is>
          <t>G00382</t>
        </is>
      </c>
      <c r="B386" t="inlineStr">
        <is>
          <t>OPS</t>
        </is>
      </c>
      <c r="C386" t="inlineStr">
        <is>
          <t>R03</t>
        </is>
      </c>
      <c r="D386" t="inlineStr">
        <is>
          <t>MATCH</t>
        </is>
      </c>
      <c r="E386" t="inlineStr">
        <is>
          <t>Acacia Plan Partners</t>
        </is>
      </c>
      <c r="F386" t="n">
        <v>1</v>
      </c>
      <c r="G386" t="inlineStr">
        <is>
          <t>1 invoices</t>
        </is>
      </c>
      <c r="H386">
        <f>COUNTIFS('Bank Lines'!$G$5:$G$1640,A386,'Bank Lines'!$J$5:$J$1640,1)</f>
        <v>1</v>
      </c>
      <c r="I386">
        <f>COUNTIFS('Odoo Items'!$J$5:$J$4331,A386)</f>
        <v>1</v>
      </c>
      <c r="J386" s="9">
        <f>ROUND(SUMIFS('Bank Lines'!$E$5:$E$1640,'Bank Lines'!$G$5:$G$1640,A386,'Bank Lines'!$J$5:$J$1640,1),2)</f>
        <v>320.98</v>
      </c>
      <c r="K386" s="9">
        <f>ROUND(SUMIFS('Odoo Items'!$G$5:$G$4331,'Odoo Items'!$J$5:$J$4331,A386),2)</f>
        <v>320.98</v>
      </c>
      <c r="L386" s="9">
        <f>ROUND(J386-K386,2)</f>
        <v>0</v>
      </c>
      <c r="M386" s="9">
        <f>ROUND(SUMIFS('Bank Lines'!$E$5:$E$1640,'Bank Lines'!$G$5:$G$1640,A386,'Bank Lines'!$J$5:$J$1640,1,'Bank Lines'!$C$5:$C$1640,"&lt;="&amp;Cover!$C$13),2)</f>
        <v>0</v>
      </c>
      <c r="N386" s="9">
        <f>ROUND(SUMIFS('Odoo Items'!$G$5:$G$4331,'Odoo Items'!$J$5:$J$4331,A386,'Odoo Items'!$C$5:$C$4331,"&lt;="&amp;Cover!$C$13),2)</f>
        <v>0</v>
      </c>
      <c r="O386">
        <f>COUNTIFS('Bank Lines'!$G$5:$G$1640,A386,'Bank Lines'!$J$5:$J$1640,1,'Bank Lines'!$C$5:$C$1640,"&lt;="&amp;Cover!$C$13)</f>
        <v>0</v>
      </c>
      <c r="P386">
        <f>COUNTIFS('Odoo Items'!$J$5:$J$4331,A386,'Odoo Items'!$C$5:$C$4331,"&lt;="&amp;Cover!$C$13)</f>
        <v>0</v>
      </c>
      <c r="Q386">
        <f>IF(AND(O386=0,P386=0),"",IF(O386=0,"ODOO-ONLY",IF(P386=0,"BANK-ONLY","BOTH")))</f>
      </c>
      <c r="R386" s="9">
        <f>IF(Q386="BOTH",ROUND(M386-N386,2),0)</f>
        <v>0</v>
      </c>
      <c r="S386" s="9">
        <f>ROUND(SUMIFS('Bank Lines'!$E$5:$E$1640,'Bank Lines'!$G$5:$G$1640,A386,'Bank Lines'!$J$5:$J$1640,1,'Bank Lines'!$C$5:$C$1640,"&lt;="&amp;Cover!$C$14),2)</f>
        <v>0</v>
      </c>
      <c r="T386" s="9">
        <f>ROUND(SUMIFS('Odoo Items'!$G$5:$G$4331,'Odoo Items'!$J$5:$J$4331,A386,'Odoo Items'!$C$5:$C$4331,"&lt;="&amp;Cover!$C$14),2)</f>
        <v>0</v>
      </c>
      <c r="U386">
        <f>COUNTIFS('Bank Lines'!$G$5:$G$1640,A386,'Bank Lines'!$J$5:$J$1640,1,'Bank Lines'!$C$5:$C$1640,"&lt;="&amp;Cover!$C$14)</f>
        <v>0</v>
      </c>
      <c r="V386">
        <f>COUNTIFS('Odoo Items'!$J$5:$J$4331,A386,'Odoo Items'!$C$5:$C$4331,"&lt;="&amp;Cover!$C$14)</f>
        <v>0</v>
      </c>
      <c r="W386">
        <f>IF(AND(U386=0,V386=0),"",IF(U386=0,"ODOO-ONLY",IF(V386=0,"BANK-ONLY","BOTH")))</f>
      </c>
      <c r="X386" s="9">
        <f>IF(W386="BOTH",ROUND(S386-T386,2),0)</f>
        <v>0</v>
      </c>
      <c r="Y386" s="9">
        <f>ROUND(SUMIFS('Bank Lines'!$E$5:$E$1640,'Bank Lines'!$G$5:$G$1640,A386,'Bank Lines'!$J$5:$J$1640,1,'Bank Lines'!$C$5:$C$1640,"&lt;="&amp;Cover!$C$15),2)</f>
        <v>320.98</v>
      </c>
      <c r="Z386" s="9">
        <f>ROUND(SUMIFS('Odoo Items'!$G$5:$G$4331,'Odoo Items'!$J$5:$J$4331,A386,'Odoo Items'!$C$5:$C$4331,"&lt;="&amp;Cover!$C$15),2)</f>
        <v>320.98</v>
      </c>
      <c r="AA386">
        <f>COUNTIFS('Bank Lines'!$G$5:$G$1640,A386,'Bank Lines'!$J$5:$J$1640,1,'Bank Lines'!$C$5:$C$1640,"&lt;="&amp;Cover!$C$15)</f>
        <v>1</v>
      </c>
      <c r="AB386">
        <f>COUNTIFS('Odoo Items'!$J$5:$J$4331,A386,'Odoo Items'!$C$5:$C$4331,"&lt;="&amp;Cover!$C$15)</f>
        <v>1</v>
      </c>
      <c r="AC386" t="str">
        <f>IF(AND(AA386=0,AB386=0),"",IF(AA386=0,"ODOO-ONLY",IF(AB386=0,"BANK-ONLY","BOTH")))</f>
        <v>BOTH</v>
      </c>
      <c r="AD386" s="9">
        <f>IF(AC386="BOTH",ROUND(Y386-Z386,2),0)</f>
        <v>0</v>
      </c>
    </row>
    <row r="387">
      <c r="A387" t="inlineStr">
        <is>
          <t>G00383</t>
        </is>
      </c>
      <c r="B387" t="inlineStr">
        <is>
          <t>OPS</t>
        </is>
      </c>
      <c r="C387" t="inlineStr">
        <is>
          <t>R03</t>
        </is>
      </c>
      <c r="D387" t="inlineStr">
        <is>
          <t>MATCH</t>
        </is>
      </c>
      <c r="E387" t="inlineStr">
        <is>
          <t>Riverbend Plan Partners</t>
        </is>
      </c>
      <c r="F387" t="n">
        <v>1</v>
      </c>
      <c r="G387" t="inlineStr">
        <is>
          <t>2 invoices</t>
        </is>
      </c>
      <c r="H387">
        <f>COUNTIFS('Bank Lines'!$G$5:$G$1640,A387,'Bank Lines'!$J$5:$J$1640,1)</f>
        <v>1</v>
      </c>
      <c r="I387">
        <f>COUNTIFS('Odoo Items'!$J$5:$J$4331,A387)</f>
        <v>2</v>
      </c>
      <c r="J387" s="9">
        <f>ROUND(SUMIFS('Bank Lines'!$E$5:$E$1640,'Bank Lines'!$G$5:$G$1640,A387,'Bank Lines'!$J$5:$J$1640,1),2)</f>
        <v>320.98</v>
      </c>
      <c r="K387" s="9">
        <f>ROUND(SUMIFS('Odoo Items'!$G$5:$G$4331,'Odoo Items'!$J$5:$J$4331,A387),2)</f>
        <v>320.98</v>
      </c>
      <c r="L387" s="9">
        <f>ROUND(J387-K387,2)</f>
        <v>0</v>
      </c>
      <c r="M387" s="9">
        <f>ROUND(SUMIFS('Bank Lines'!$E$5:$E$1640,'Bank Lines'!$G$5:$G$1640,A387,'Bank Lines'!$J$5:$J$1640,1,'Bank Lines'!$C$5:$C$1640,"&lt;="&amp;Cover!$C$13),2)</f>
        <v>0</v>
      </c>
      <c r="N387" s="9">
        <f>ROUND(SUMIFS('Odoo Items'!$G$5:$G$4331,'Odoo Items'!$J$5:$J$4331,A387,'Odoo Items'!$C$5:$C$4331,"&lt;="&amp;Cover!$C$13),2)</f>
        <v>0</v>
      </c>
      <c r="O387">
        <f>COUNTIFS('Bank Lines'!$G$5:$G$1640,A387,'Bank Lines'!$J$5:$J$1640,1,'Bank Lines'!$C$5:$C$1640,"&lt;="&amp;Cover!$C$13)</f>
        <v>0</v>
      </c>
      <c r="P387">
        <f>COUNTIFS('Odoo Items'!$J$5:$J$4331,A387,'Odoo Items'!$C$5:$C$4331,"&lt;="&amp;Cover!$C$13)</f>
        <v>0</v>
      </c>
      <c r="Q387">
        <f>IF(AND(O387=0,P387=0),"",IF(O387=0,"ODOO-ONLY",IF(P387=0,"BANK-ONLY","BOTH")))</f>
      </c>
      <c r="R387" s="9">
        <f>IF(Q387="BOTH",ROUND(M387-N387,2),0)</f>
        <v>0</v>
      </c>
      <c r="S387" s="9">
        <f>ROUND(SUMIFS('Bank Lines'!$E$5:$E$1640,'Bank Lines'!$G$5:$G$1640,A387,'Bank Lines'!$J$5:$J$1640,1,'Bank Lines'!$C$5:$C$1640,"&lt;="&amp;Cover!$C$14),2)</f>
        <v>0</v>
      </c>
      <c r="T387" s="9">
        <f>ROUND(SUMIFS('Odoo Items'!$G$5:$G$4331,'Odoo Items'!$J$5:$J$4331,A387,'Odoo Items'!$C$5:$C$4331,"&lt;="&amp;Cover!$C$14),2)</f>
        <v>0</v>
      </c>
      <c r="U387">
        <f>COUNTIFS('Bank Lines'!$G$5:$G$1640,A387,'Bank Lines'!$J$5:$J$1640,1,'Bank Lines'!$C$5:$C$1640,"&lt;="&amp;Cover!$C$14)</f>
        <v>0</v>
      </c>
      <c r="V387">
        <f>COUNTIFS('Odoo Items'!$J$5:$J$4331,A387,'Odoo Items'!$C$5:$C$4331,"&lt;="&amp;Cover!$C$14)</f>
        <v>0</v>
      </c>
      <c r="W387">
        <f>IF(AND(U387=0,V387=0),"",IF(U387=0,"ODOO-ONLY",IF(V387=0,"BANK-ONLY","BOTH")))</f>
      </c>
      <c r="X387" s="9">
        <f>IF(W387="BOTH",ROUND(S387-T387,2),0)</f>
        <v>0</v>
      </c>
      <c r="Y387" s="9">
        <f>ROUND(SUMIFS('Bank Lines'!$E$5:$E$1640,'Bank Lines'!$G$5:$G$1640,A387,'Bank Lines'!$J$5:$J$1640,1,'Bank Lines'!$C$5:$C$1640,"&lt;="&amp;Cover!$C$15),2)</f>
        <v>320.98</v>
      </c>
      <c r="Z387" s="9">
        <f>ROUND(SUMIFS('Odoo Items'!$G$5:$G$4331,'Odoo Items'!$J$5:$J$4331,A387,'Odoo Items'!$C$5:$C$4331,"&lt;="&amp;Cover!$C$15),2)</f>
        <v>320.98</v>
      </c>
      <c r="AA387">
        <f>COUNTIFS('Bank Lines'!$G$5:$G$1640,A387,'Bank Lines'!$J$5:$J$1640,1,'Bank Lines'!$C$5:$C$1640,"&lt;="&amp;Cover!$C$15)</f>
        <v>1</v>
      </c>
      <c r="AB387">
        <f>COUNTIFS('Odoo Items'!$J$5:$J$4331,A387,'Odoo Items'!$C$5:$C$4331,"&lt;="&amp;Cover!$C$15)</f>
        <v>2</v>
      </c>
      <c r="AC387" t="str">
        <f>IF(AND(AA387=0,AB387=0),"",IF(AA387=0,"ODOO-ONLY",IF(AB387=0,"BANK-ONLY","BOTH")))</f>
        <v>BOTH</v>
      </c>
      <c r="AD387" s="9">
        <f>IF(AC387="BOTH",ROUND(Y387-Z387,2),0)</f>
        <v>0</v>
      </c>
    </row>
    <row r="388">
      <c r="A388" t="inlineStr">
        <is>
          <t>G00384</t>
        </is>
      </c>
      <c r="B388" t="inlineStr">
        <is>
          <t>OPS</t>
        </is>
      </c>
      <c r="C388" t="inlineStr">
        <is>
          <t>R03</t>
        </is>
      </c>
      <c r="D388" t="inlineStr">
        <is>
          <t>MATCH</t>
        </is>
      </c>
      <c r="E388" t="inlineStr">
        <is>
          <t>Wattle Plan Services</t>
        </is>
      </c>
      <c r="F388" t="n">
        <v>0.973</v>
      </c>
      <c r="G388" t="inlineStr">
        <is>
          <t>4 invoices</t>
        </is>
      </c>
      <c r="H388">
        <f>COUNTIFS('Bank Lines'!$G$5:$G$1640,A388,'Bank Lines'!$J$5:$J$1640,1)</f>
        <v>1</v>
      </c>
      <c r="I388">
        <f>COUNTIFS('Odoo Items'!$J$5:$J$4331,A388)</f>
        <v>4</v>
      </c>
      <c r="J388" s="9">
        <f>ROUND(SUMIFS('Bank Lines'!$E$5:$E$1640,'Bank Lines'!$G$5:$G$1640,A388,'Bank Lines'!$J$5:$J$1640,1),2)</f>
        <v>950.56</v>
      </c>
      <c r="K388" s="9">
        <f>ROUND(SUMIFS('Odoo Items'!$G$5:$G$4331,'Odoo Items'!$J$5:$J$4331,A388),2)</f>
        <v>950.56</v>
      </c>
      <c r="L388" s="9">
        <f>ROUND(J388-K388,2)</f>
        <v>0</v>
      </c>
      <c r="M388" s="9">
        <f>ROUND(SUMIFS('Bank Lines'!$E$5:$E$1640,'Bank Lines'!$G$5:$G$1640,A388,'Bank Lines'!$J$5:$J$1640,1,'Bank Lines'!$C$5:$C$1640,"&lt;="&amp;Cover!$C$13),2)</f>
        <v>0</v>
      </c>
      <c r="N388" s="9">
        <f>ROUND(SUMIFS('Odoo Items'!$G$5:$G$4331,'Odoo Items'!$J$5:$J$4331,A388,'Odoo Items'!$C$5:$C$4331,"&lt;="&amp;Cover!$C$13),2)</f>
        <v>0</v>
      </c>
      <c r="O388">
        <f>COUNTIFS('Bank Lines'!$G$5:$G$1640,A388,'Bank Lines'!$J$5:$J$1640,1,'Bank Lines'!$C$5:$C$1640,"&lt;="&amp;Cover!$C$13)</f>
        <v>0</v>
      </c>
      <c r="P388">
        <f>COUNTIFS('Odoo Items'!$J$5:$J$4331,A388,'Odoo Items'!$C$5:$C$4331,"&lt;="&amp;Cover!$C$13)</f>
        <v>0</v>
      </c>
      <c r="Q388">
        <f>IF(AND(O388=0,P388=0),"",IF(O388=0,"ODOO-ONLY",IF(P388=0,"BANK-ONLY","BOTH")))</f>
      </c>
      <c r="R388" s="9">
        <f>IF(Q388="BOTH",ROUND(M388-N388,2),0)</f>
        <v>0</v>
      </c>
      <c r="S388" s="9">
        <f>ROUND(SUMIFS('Bank Lines'!$E$5:$E$1640,'Bank Lines'!$G$5:$G$1640,A388,'Bank Lines'!$J$5:$J$1640,1,'Bank Lines'!$C$5:$C$1640,"&lt;="&amp;Cover!$C$14),2)</f>
        <v>0</v>
      </c>
      <c r="T388" s="9">
        <f>ROUND(SUMIFS('Odoo Items'!$G$5:$G$4331,'Odoo Items'!$J$5:$J$4331,A388,'Odoo Items'!$C$5:$C$4331,"&lt;="&amp;Cover!$C$14),2)</f>
        <v>0</v>
      </c>
      <c r="U388">
        <f>COUNTIFS('Bank Lines'!$G$5:$G$1640,A388,'Bank Lines'!$J$5:$J$1640,1,'Bank Lines'!$C$5:$C$1640,"&lt;="&amp;Cover!$C$14)</f>
        <v>0</v>
      </c>
      <c r="V388">
        <f>COUNTIFS('Odoo Items'!$J$5:$J$4331,A388,'Odoo Items'!$C$5:$C$4331,"&lt;="&amp;Cover!$C$14)</f>
        <v>0</v>
      </c>
      <c r="W388">
        <f>IF(AND(U388=0,V388=0),"",IF(U388=0,"ODOO-ONLY",IF(V388=0,"BANK-ONLY","BOTH")))</f>
      </c>
      <c r="X388" s="9">
        <f>IF(W388="BOTH",ROUND(S388-T388,2),0)</f>
        <v>0</v>
      </c>
      <c r="Y388" s="9">
        <f>ROUND(SUMIFS('Bank Lines'!$E$5:$E$1640,'Bank Lines'!$G$5:$G$1640,A388,'Bank Lines'!$J$5:$J$1640,1,'Bank Lines'!$C$5:$C$1640,"&lt;="&amp;Cover!$C$15),2)</f>
        <v>950.56</v>
      </c>
      <c r="Z388" s="9">
        <f>ROUND(SUMIFS('Odoo Items'!$G$5:$G$4331,'Odoo Items'!$J$5:$J$4331,A388,'Odoo Items'!$C$5:$C$4331,"&lt;="&amp;Cover!$C$15),2)</f>
        <v>950.56</v>
      </c>
      <c r="AA388">
        <f>COUNTIFS('Bank Lines'!$G$5:$G$1640,A388,'Bank Lines'!$J$5:$J$1640,1,'Bank Lines'!$C$5:$C$1640,"&lt;="&amp;Cover!$C$15)</f>
        <v>1</v>
      </c>
      <c r="AB388">
        <f>COUNTIFS('Odoo Items'!$J$5:$J$4331,A388,'Odoo Items'!$C$5:$C$4331,"&lt;="&amp;Cover!$C$15)</f>
        <v>4</v>
      </c>
      <c r="AC388" t="str">
        <f>IF(AND(AA388=0,AB388=0),"",IF(AA388=0,"ODOO-ONLY",IF(AB388=0,"BANK-ONLY","BOTH")))</f>
        <v>BOTH</v>
      </c>
      <c r="AD388" s="9">
        <f>IF(AC388="BOTH",ROUND(Y388-Z388,2),0)</f>
        <v>0</v>
      </c>
    </row>
    <row r="389">
      <c r="A389" t="inlineStr">
        <is>
          <t>G00385</t>
        </is>
      </c>
      <c r="B389" t="inlineStr">
        <is>
          <t>OPS</t>
        </is>
      </c>
      <c r="C389" t="inlineStr">
        <is>
          <t>R03</t>
        </is>
      </c>
      <c r="D389" t="inlineStr">
        <is>
          <t>MATCH</t>
        </is>
      </c>
      <c r="E389" t="inlineStr">
        <is>
          <t>Ironbark Plan Management</t>
        </is>
      </c>
      <c r="F389" t="n">
        <v>1</v>
      </c>
      <c r="G389" t="inlineStr">
        <is>
          <t>2 invoices</t>
        </is>
      </c>
      <c r="H389">
        <f>COUNTIFS('Bank Lines'!$G$5:$G$1640,A389,'Bank Lines'!$J$5:$J$1640,1)</f>
        <v>1</v>
      </c>
      <c r="I389">
        <f>COUNTIFS('Odoo Items'!$J$5:$J$4331,A389)</f>
        <v>2</v>
      </c>
      <c r="J389" s="9">
        <f>ROUND(SUMIFS('Bank Lines'!$E$5:$E$1640,'Bank Lines'!$G$5:$G$1640,A389,'Bank Lines'!$J$5:$J$1640,1),2)</f>
        <v>678.96</v>
      </c>
      <c r="K389" s="9">
        <f>ROUND(SUMIFS('Odoo Items'!$G$5:$G$4331,'Odoo Items'!$J$5:$J$4331,A389),2)</f>
        <v>678.96</v>
      </c>
      <c r="L389" s="9">
        <f>ROUND(J389-K389,2)</f>
        <v>0</v>
      </c>
      <c r="M389" s="9">
        <f>ROUND(SUMIFS('Bank Lines'!$E$5:$E$1640,'Bank Lines'!$G$5:$G$1640,A389,'Bank Lines'!$J$5:$J$1640,1,'Bank Lines'!$C$5:$C$1640,"&lt;="&amp;Cover!$C$13),2)</f>
        <v>0</v>
      </c>
      <c r="N389" s="9">
        <f>ROUND(SUMIFS('Odoo Items'!$G$5:$G$4331,'Odoo Items'!$J$5:$J$4331,A389,'Odoo Items'!$C$5:$C$4331,"&lt;="&amp;Cover!$C$13),2)</f>
        <v>0</v>
      </c>
      <c r="O389">
        <f>COUNTIFS('Bank Lines'!$G$5:$G$1640,A389,'Bank Lines'!$J$5:$J$1640,1,'Bank Lines'!$C$5:$C$1640,"&lt;="&amp;Cover!$C$13)</f>
        <v>0</v>
      </c>
      <c r="P389">
        <f>COUNTIFS('Odoo Items'!$J$5:$J$4331,A389,'Odoo Items'!$C$5:$C$4331,"&lt;="&amp;Cover!$C$13)</f>
        <v>0</v>
      </c>
      <c r="Q389">
        <f>IF(AND(O389=0,P389=0),"",IF(O389=0,"ODOO-ONLY",IF(P389=0,"BANK-ONLY","BOTH")))</f>
      </c>
      <c r="R389" s="9">
        <f>IF(Q389="BOTH",ROUND(M389-N389,2),0)</f>
        <v>0</v>
      </c>
      <c r="S389" s="9">
        <f>ROUND(SUMIFS('Bank Lines'!$E$5:$E$1640,'Bank Lines'!$G$5:$G$1640,A389,'Bank Lines'!$J$5:$J$1640,1,'Bank Lines'!$C$5:$C$1640,"&lt;="&amp;Cover!$C$14),2)</f>
        <v>0</v>
      </c>
      <c r="T389" s="9">
        <f>ROUND(SUMIFS('Odoo Items'!$G$5:$G$4331,'Odoo Items'!$J$5:$J$4331,A389,'Odoo Items'!$C$5:$C$4331,"&lt;="&amp;Cover!$C$14),2)</f>
        <v>0</v>
      </c>
      <c r="U389">
        <f>COUNTIFS('Bank Lines'!$G$5:$G$1640,A389,'Bank Lines'!$J$5:$J$1640,1,'Bank Lines'!$C$5:$C$1640,"&lt;="&amp;Cover!$C$14)</f>
        <v>0</v>
      </c>
      <c r="V389">
        <f>COUNTIFS('Odoo Items'!$J$5:$J$4331,A389,'Odoo Items'!$C$5:$C$4331,"&lt;="&amp;Cover!$C$14)</f>
        <v>0</v>
      </c>
      <c r="W389">
        <f>IF(AND(U389=0,V389=0),"",IF(U389=0,"ODOO-ONLY",IF(V389=0,"BANK-ONLY","BOTH")))</f>
      </c>
      <c r="X389" s="9">
        <f>IF(W389="BOTH",ROUND(S389-T389,2),0)</f>
        <v>0</v>
      </c>
      <c r="Y389" s="9">
        <f>ROUND(SUMIFS('Bank Lines'!$E$5:$E$1640,'Bank Lines'!$G$5:$G$1640,A389,'Bank Lines'!$J$5:$J$1640,1,'Bank Lines'!$C$5:$C$1640,"&lt;="&amp;Cover!$C$15),2)</f>
        <v>678.96</v>
      </c>
      <c r="Z389" s="9">
        <f>ROUND(SUMIFS('Odoo Items'!$G$5:$G$4331,'Odoo Items'!$J$5:$J$4331,A389,'Odoo Items'!$C$5:$C$4331,"&lt;="&amp;Cover!$C$15),2)</f>
        <v>678.96</v>
      </c>
      <c r="AA389">
        <f>COUNTIFS('Bank Lines'!$G$5:$G$1640,A389,'Bank Lines'!$J$5:$J$1640,1,'Bank Lines'!$C$5:$C$1640,"&lt;="&amp;Cover!$C$15)</f>
        <v>1</v>
      </c>
      <c r="AB389">
        <f>COUNTIFS('Odoo Items'!$J$5:$J$4331,A389,'Odoo Items'!$C$5:$C$4331,"&lt;="&amp;Cover!$C$15)</f>
        <v>2</v>
      </c>
      <c r="AC389" t="str">
        <f>IF(AND(AA389=0,AB389=0),"",IF(AA389=0,"ODOO-ONLY",IF(AB389=0,"BANK-ONLY","BOTH")))</f>
        <v>BOTH</v>
      </c>
      <c r="AD389" s="9">
        <f>IF(AC389="BOTH",ROUND(Y389-Z389,2),0)</f>
        <v>0</v>
      </c>
    </row>
    <row r="390">
      <c r="A390" t="inlineStr">
        <is>
          <t>G00386</t>
        </is>
      </c>
      <c r="B390" t="inlineStr">
        <is>
          <t>OPS</t>
        </is>
      </c>
      <c r="C390" t="inlineStr">
        <is>
          <t>R03</t>
        </is>
      </c>
      <c r="D390" t="inlineStr">
        <is>
          <t>MATCH</t>
        </is>
      </c>
      <c r="E390" t="inlineStr">
        <is>
          <t>Redgum Plan Admin</t>
        </is>
      </c>
      <c r="F390" t="n">
        <v>1</v>
      </c>
      <c r="G390" t="inlineStr">
        <is>
          <t>1 invoices</t>
        </is>
      </c>
      <c r="H390">
        <f>COUNTIFS('Bank Lines'!$G$5:$G$1640,A390,'Bank Lines'!$J$5:$J$1640,1)</f>
        <v>1</v>
      </c>
      <c r="I390">
        <f>COUNTIFS('Odoo Items'!$J$5:$J$4331,A390)</f>
        <v>1</v>
      </c>
      <c r="J390" s="9">
        <f>ROUND(SUMIFS('Bank Lines'!$E$5:$E$1640,'Bank Lines'!$G$5:$G$1640,A390,'Bank Lines'!$J$5:$J$1640,1),2)</f>
        <v>417.98</v>
      </c>
      <c r="K390" s="9">
        <f>ROUND(SUMIFS('Odoo Items'!$G$5:$G$4331,'Odoo Items'!$J$5:$J$4331,A390),2)</f>
        <v>417.98</v>
      </c>
      <c r="L390" s="9">
        <f>ROUND(J390-K390,2)</f>
        <v>0</v>
      </c>
      <c r="M390" s="9">
        <f>ROUND(SUMIFS('Bank Lines'!$E$5:$E$1640,'Bank Lines'!$G$5:$G$1640,A390,'Bank Lines'!$J$5:$J$1640,1,'Bank Lines'!$C$5:$C$1640,"&lt;="&amp;Cover!$C$13),2)</f>
        <v>0</v>
      </c>
      <c r="N390" s="9">
        <f>ROUND(SUMIFS('Odoo Items'!$G$5:$G$4331,'Odoo Items'!$J$5:$J$4331,A390,'Odoo Items'!$C$5:$C$4331,"&lt;="&amp;Cover!$C$13),2)</f>
        <v>0</v>
      </c>
      <c r="O390">
        <f>COUNTIFS('Bank Lines'!$G$5:$G$1640,A390,'Bank Lines'!$J$5:$J$1640,1,'Bank Lines'!$C$5:$C$1640,"&lt;="&amp;Cover!$C$13)</f>
        <v>0</v>
      </c>
      <c r="P390">
        <f>COUNTIFS('Odoo Items'!$J$5:$J$4331,A390,'Odoo Items'!$C$5:$C$4331,"&lt;="&amp;Cover!$C$13)</f>
        <v>0</v>
      </c>
      <c r="Q390">
        <f>IF(AND(O390=0,P390=0),"",IF(O390=0,"ODOO-ONLY",IF(P390=0,"BANK-ONLY","BOTH")))</f>
      </c>
      <c r="R390" s="9">
        <f>IF(Q390="BOTH",ROUND(M390-N390,2),0)</f>
        <v>0</v>
      </c>
      <c r="S390" s="9">
        <f>ROUND(SUMIFS('Bank Lines'!$E$5:$E$1640,'Bank Lines'!$G$5:$G$1640,A390,'Bank Lines'!$J$5:$J$1640,1,'Bank Lines'!$C$5:$C$1640,"&lt;="&amp;Cover!$C$14),2)</f>
        <v>0</v>
      </c>
      <c r="T390" s="9">
        <f>ROUND(SUMIFS('Odoo Items'!$G$5:$G$4331,'Odoo Items'!$J$5:$J$4331,A390,'Odoo Items'!$C$5:$C$4331,"&lt;="&amp;Cover!$C$14),2)</f>
        <v>0</v>
      </c>
      <c r="U390">
        <f>COUNTIFS('Bank Lines'!$G$5:$G$1640,A390,'Bank Lines'!$J$5:$J$1640,1,'Bank Lines'!$C$5:$C$1640,"&lt;="&amp;Cover!$C$14)</f>
        <v>0</v>
      </c>
      <c r="V390">
        <f>COUNTIFS('Odoo Items'!$J$5:$J$4331,A390,'Odoo Items'!$C$5:$C$4331,"&lt;="&amp;Cover!$C$14)</f>
        <v>0</v>
      </c>
      <c r="W390">
        <f>IF(AND(U390=0,V390=0),"",IF(U390=0,"ODOO-ONLY",IF(V390=0,"BANK-ONLY","BOTH")))</f>
      </c>
      <c r="X390" s="9">
        <f>IF(W390="BOTH",ROUND(S390-T390,2),0)</f>
        <v>0</v>
      </c>
      <c r="Y390" s="9">
        <f>ROUND(SUMIFS('Bank Lines'!$E$5:$E$1640,'Bank Lines'!$G$5:$G$1640,A390,'Bank Lines'!$J$5:$J$1640,1,'Bank Lines'!$C$5:$C$1640,"&lt;="&amp;Cover!$C$15),2)</f>
        <v>417.98</v>
      </c>
      <c r="Z390" s="9">
        <f>ROUND(SUMIFS('Odoo Items'!$G$5:$G$4331,'Odoo Items'!$J$5:$J$4331,A390,'Odoo Items'!$C$5:$C$4331,"&lt;="&amp;Cover!$C$15),2)</f>
        <v>417.98</v>
      </c>
      <c r="AA390">
        <f>COUNTIFS('Bank Lines'!$G$5:$G$1640,A390,'Bank Lines'!$J$5:$J$1640,1,'Bank Lines'!$C$5:$C$1640,"&lt;="&amp;Cover!$C$15)</f>
        <v>1</v>
      </c>
      <c r="AB390">
        <f>COUNTIFS('Odoo Items'!$J$5:$J$4331,A390,'Odoo Items'!$C$5:$C$4331,"&lt;="&amp;Cover!$C$15)</f>
        <v>1</v>
      </c>
      <c r="AC390" t="str">
        <f>IF(AND(AA390=0,AB390=0),"",IF(AA390=0,"ODOO-ONLY",IF(AB390=0,"BANK-ONLY","BOTH")))</f>
        <v>BOTH</v>
      </c>
      <c r="AD390" s="9">
        <f>IF(AC390="BOTH",ROUND(Y390-Z390,2),0)</f>
        <v>0</v>
      </c>
    </row>
    <row r="391">
      <c r="A391" t="inlineStr">
        <is>
          <t>G00387</t>
        </is>
      </c>
      <c r="B391" t="inlineStr">
        <is>
          <t>OPS</t>
        </is>
      </c>
      <c r="C391" t="inlineStr">
        <is>
          <t>R03</t>
        </is>
      </c>
      <c r="D391" t="inlineStr">
        <is>
          <t>REG</t>
        </is>
      </c>
      <c r="E391" t="inlineStr">
        <is>
          <t>Tallowwood Plans</t>
        </is>
      </c>
      <c r="F391" t="n">
        <v>0.968</v>
      </c>
      <c r="G391" t="inlineStr">
        <is>
          <t>Receipt not registered in Odoo; remittance RA45108 lists 3 invoices</t>
        </is>
      </c>
      <c r="H391">
        <f>COUNTIFS('Bank Lines'!$G$5:$G$1640,A391,'Bank Lines'!$J$5:$J$1640,1)</f>
        <v>1</v>
      </c>
      <c r="I391">
        <f>COUNTIFS('Odoo Items'!$J$5:$J$4331,A391)</f>
        <v>0</v>
      </c>
      <c r="J391" s="9">
        <f>ROUND(SUMIFS('Bank Lines'!$E$5:$E$1640,'Bank Lines'!$G$5:$G$1640,A391,'Bank Lines'!$J$5:$J$1640,1),2)</f>
        <v>476.17</v>
      </c>
      <c r="K391" s="9">
        <f>ROUND(SUMIFS('Odoo Items'!$G$5:$G$4331,'Odoo Items'!$J$5:$J$4331,A391),2)</f>
        <v>0</v>
      </c>
      <c r="L391" s="9">
        <f>ROUND(J391-K391,2)</f>
        <v>476.17</v>
      </c>
      <c r="M391" s="9">
        <f>ROUND(SUMIFS('Bank Lines'!$E$5:$E$1640,'Bank Lines'!$G$5:$G$1640,A391,'Bank Lines'!$J$5:$J$1640,1,'Bank Lines'!$C$5:$C$1640,"&lt;="&amp;Cover!$C$13),2)</f>
        <v>0</v>
      </c>
      <c r="N391" s="9">
        <f>ROUND(SUMIFS('Odoo Items'!$G$5:$G$4331,'Odoo Items'!$J$5:$J$4331,A391,'Odoo Items'!$C$5:$C$4331,"&lt;="&amp;Cover!$C$13),2)</f>
        <v>0</v>
      </c>
      <c r="O391">
        <f>COUNTIFS('Bank Lines'!$G$5:$G$1640,A391,'Bank Lines'!$J$5:$J$1640,1,'Bank Lines'!$C$5:$C$1640,"&lt;="&amp;Cover!$C$13)</f>
        <v>0</v>
      </c>
      <c r="P391">
        <f>COUNTIFS('Odoo Items'!$J$5:$J$4331,A391,'Odoo Items'!$C$5:$C$4331,"&lt;="&amp;Cover!$C$13)</f>
        <v>0</v>
      </c>
      <c r="Q391">
        <f>IF(AND(O391=0,P391=0),"",IF(O391=0,"ODOO-ONLY",IF(P391=0,"BANK-ONLY","BOTH")))</f>
      </c>
      <c r="R391" s="9">
        <f>IF(Q391="BOTH",ROUND(M391-N391,2),0)</f>
        <v>0</v>
      </c>
      <c r="S391" s="9">
        <f>ROUND(SUMIFS('Bank Lines'!$E$5:$E$1640,'Bank Lines'!$G$5:$G$1640,A391,'Bank Lines'!$J$5:$J$1640,1,'Bank Lines'!$C$5:$C$1640,"&lt;="&amp;Cover!$C$14),2)</f>
        <v>0</v>
      </c>
      <c r="T391" s="9">
        <f>ROUND(SUMIFS('Odoo Items'!$G$5:$G$4331,'Odoo Items'!$J$5:$J$4331,A391,'Odoo Items'!$C$5:$C$4331,"&lt;="&amp;Cover!$C$14),2)</f>
        <v>0</v>
      </c>
      <c r="U391">
        <f>COUNTIFS('Bank Lines'!$G$5:$G$1640,A391,'Bank Lines'!$J$5:$J$1640,1,'Bank Lines'!$C$5:$C$1640,"&lt;="&amp;Cover!$C$14)</f>
        <v>0</v>
      </c>
      <c r="V391">
        <f>COUNTIFS('Odoo Items'!$J$5:$J$4331,A391,'Odoo Items'!$C$5:$C$4331,"&lt;="&amp;Cover!$C$14)</f>
        <v>0</v>
      </c>
      <c r="W391">
        <f>IF(AND(U391=0,V391=0),"",IF(U391=0,"ODOO-ONLY",IF(V391=0,"BANK-ONLY","BOTH")))</f>
      </c>
      <c r="X391" s="9">
        <f>IF(W391="BOTH",ROUND(S391-T391,2),0)</f>
        <v>0</v>
      </c>
      <c r="Y391" s="9">
        <f>ROUND(SUMIFS('Bank Lines'!$E$5:$E$1640,'Bank Lines'!$G$5:$G$1640,A391,'Bank Lines'!$J$5:$J$1640,1,'Bank Lines'!$C$5:$C$1640,"&lt;="&amp;Cover!$C$15),2)</f>
        <v>476.17</v>
      </c>
      <c r="Z391" s="9">
        <f>ROUND(SUMIFS('Odoo Items'!$G$5:$G$4331,'Odoo Items'!$J$5:$J$4331,A391,'Odoo Items'!$C$5:$C$4331,"&lt;="&amp;Cover!$C$15),2)</f>
        <v>0</v>
      </c>
      <c r="AA391">
        <f>COUNTIFS('Bank Lines'!$G$5:$G$1640,A391,'Bank Lines'!$J$5:$J$1640,1,'Bank Lines'!$C$5:$C$1640,"&lt;="&amp;Cover!$C$15)</f>
        <v>1</v>
      </c>
      <c r="AB391">
        <f>COUNTIFS('Odoo Items'!$J$5:$J$4331,A391,'Odoo Items'!$C$5:$C$4331,"&lt;="&amp;Cover!$C$15)</f>
        <v>0</v>
      </c>
      <c r="AC391" t="str">
        <f>IF(AND(AA391=0,AB391=0),"",IF(AA391=0,"ODOO-ONLY",IF(AB391=0,"BANK-ONLY","BOTH")))</f>
        <v>BANK-ONLY</v>
      </c>
      <c r="AD391" s="9">
        <f>IF(AC391="BOTH",ROUND(Y391-Z391,2),0)</f>
        <v>0</v>
      </c>
    </row>
    <row r="392">
      <c r="A392" t="inlineStr">
        <is>
          <t>G00388</t>
        </is>
      </c>
      <c r="B392" t="inlineStr">
        <is>
          <t>OPS</t>
        </is>
      </c>
      <c r="C392" t="inlineStr">
        <is>
          <t>R03</t>
        </is>
      </c>
      <c r="D392" t="inlineStr">
        <is>
          <t>MATCH</t>
        </is>
      </c>
      <c r="E392" t="inlineStr">
        <is>
          <t>Bluegum Plan Management</t>
        </is>
      </c>
      <c r="F392" t="n">
        <v>1</v>
      </c>
      <c r="G392" t="inlineStr">
        <is>
          <t>1 invoices</t>
        </is>
      </c>
      <c r="H392">
        <f>COUNTIFS('Bank Lines'!$G$5:$G$1640,A392,'Bank Lines'!$J$5:$J$1640,1)</f>
        <v>1</v>
      </c>
      <c r="I392">
        <f>COUNTIFS('Odoo Items'!$J$5:$J$4331,A392)</f>
        <v>1</v>
      </c>
      <c r="J392" s="9">
        <f>ROUND(SUMIFS('Bank Lines'!$E$5:$E$1640,'Bank Lines'!$G$5:$G$1640,A392,'Bank Lines'!$J$5:$J$1640,1),2)</f>
        <v>242.49</v>
      </c>
      <c r="K392" s="9">
        <f>ROUND(SUMIFS('Odoo Items'!$G$5:$G$4331,'Odoo Items'!$J$5:$J$4331,A392),2)</f>
        <v>242.49</v>
      </c>
      <c r="L392" s="9">
        <f>ROUND(J392-K392,2)</f>
        <v>0</v>
      </c>
      <c r="M392" s="9">
        <f>ROUND(SUMIFS('Bank Lines'!$E$5:$E$1640,'Bank Lines'!$G$5:$G$1640,A392,'Bank Lines'!$J$5:$J$1640,1,'Bank Lines'!$C$5:$C$1640,"&lt;="&amp;Cover!$C$13),2)</f>
        <v>0</v>
      </c>
      <c r="N392" s="9">
        <f>ROUND(SUMIFS('Odoo Items'!$G$5:$G$4331,'Odoo Items'!$J$5:$J$4331,A392,'Odoo Items'!$C$5:$C$4331,"&lt;="&amp;Cover!$C$13),2)</f>
        <v>0</v>
      </c>
      <c r="O392">
        <f>COUNTIFS('Bank Lines'!$G$5:$G$1640,A392,'Bank Lines'!$J$5:$J$1640,1,'Bank Lines'!$C$5:$C$1640,"&lt;="&amp;Cover!$C$13)</f>
        <v>0</v>
      </c>
      <c r="P392">
        <f>COUNTIFS('Odoo Items'!$J$5:$J$4331,A392,'Odoo Items'!$C$5:$C$4331,"&lt;="&amp;Cover!$C$13)</f>
        <v>0</v>
      </c>
      <c r="Q392">
        <f>IF(AND(O392=0,P392=0),"",IF(O392=0,"ODOO-ONLY",IF(P392=0,"BANK-ONLY","BOTH")))</f>
      </c>
      <c r="R392" s="9">
        <f>IF(Q392="BOTH",ROUND(M392-N392,2),0)</f>
        <v>0</v>
      </c>
      <c r="S392" s="9">
        <f>ROUND(SUMIFS('Bank Lines'!$E$5:$E$1640,'Bank Lines'!$G$5:$G$1640,A392,'Bank Lines'!$J$5:$J$1640,1,'Bank Lines'!$C$5:$C$1640,"&lt;="&amp;Cover!$C$14),2)</f>
        <v>0</v>
      </c>
      <c r="T392" s="9">
        <f>ROUND(SUMIFS('Odoo Items'!$G$5:$G$4331,'Odoo Items'!$J$5:$J$4331,A392,'Odoo Items'!$C$5:$C$4331,"&lt;="&amp;Cover!$C$14),2)</f>
        <v>0</v>
      </c>
      <c r="U392">
        <f>COUNTIFS('Bank Lines'!$G$5:$G$1640,A392,'Bank Lines'!$J$5:$J$1640,1,'Bank Lines'!$C$5:$C$1640,"&lt;="&amp;Cover!$C$14)</f>
        <v>0</v>
      </c>
      <c r="V392">
        <f>COUNTIFS('Odoo Items'!$J$5:$J$4331,A392,'Odoo Items'!$C$5:$C$4331,"&lt;="&amp;Cover!$C$14)</f>
        <v>0</v>
      </c>
      <c r="W392">
        <f>IF(AND(U392=0,V392=0),"",IF(U392=0,"ODOO-ONLY",IF(V392=0,"BANK-ONLY","BOTH")))</f>
      </c>
      <c r="X392" s="9">
        <f>IF(W392="BOTH",ROUND(S392-T392,2),0)</f>
        <v>0</v>
      </c>
      <c r="Y392" s="9">
        <f>ROUND(SUMIFS('Bank Lines'!$E$5:$E$1640,'Bank Lines'!$G$5:$G$1640,A392,'Bank Lines'!$J$5:$J$1640,1,'Bank Lines'!$C$5:$C$1640,"&lt;="&amp;Cover!$C$15),2)</f>
        <v>242.49</v>
      </c>
      <c r="Z392" s="9">
        <f>ROUND(SUMIFS('Odoo Items'!$G$5:$G$4331,'Odoo Items'!$J$5:$J$4331,A392,'Odoo Items'!$C$5:$C$4331,"&lt;="&amp;Cover!$C$15),2)</f>
        <v>242.49</v>
      </c>
      <c r="AA392">
        <f>COUNTIFS('Bank Lines'!$G$5:$G$1640,A392,'Bank Lines'!$J$5:$J$1640,1,'Bank Lines'!$C$5:$C$1640,"&lt;="&amp;Cover!$C$15)</f>
        <v>1</v>
      </c>
      <c r="AB392">
        <f>COUNTIFS('Odoo Items'!$J$5:$J$4331,A392,'Odoo Items'!$C$5:$C$4331,"&lt;="&amp;Cover!$C$15)</f>
        <v>1</v>
      </c>
      <c r="AC392" t="str">
        <f>IF(AND(AA392=0,AB392=0),"",IF(AA392=0,"ODOO-ONLY",IF(AB392=0,"BANK-ONLY","BOTH")))</f>
        <v>BOTH</v>
      </c>
      <c r="AD392" s="9">
        <f>IF(AC392="BOTH",ROUND(Y392-Z392,2),0)</f>
        <v>0</v>
      </c>
    </row>
    <row r="393">
      <c r="A393" t="inlineStr">
        <is>
          <t>G00389</t>
        </is>
      </c>
      <c r="B393" t="inlineStr">
        <is>
          <t>OPS</t>
        </is>
      </c>
      <c r="C393" t="inlineStr">
        <is>
          <t>R03</t>
        </is>
      </c>
      <c r="D393" t="inlineStr">
        <is>
          <t>MATCH</t>
        </is>
      </c>
      <c r="E393" t="inlineStr">
        <is>
          <t>Clearpath NDIS Plans</t>
        </is>
      </c>
      <c r="F393" t="n">
        <v>0.973</v>
      </c>
      <c r="G393" t="inlineStr">
        <is>
          <t>3 invoices</t>
        </is>
      </c>
      <c r="H393">
        <f>COUNTIFS('Bank Lines'!$G$5:$G$1640,A393,'Bank Lines'!$J$5:$J$1640,1)</f>
        <v>1</v>
      </c>
      <c r="I393">
        <f>COUNTIFS('Odoo Items'!$J$5:$J$4331,A393)</f>
        <v>3</v>
      </c>
      <c r="J393" s="9">
        <f>ROUND(SUMIFS('Bank Lines'!$E$5:$E$1640,'Bank Lines'!$G$5:$G$1640,A393,'Bank Lines'!$J$5:$J$1640,1),2)</f>
        <v>688.66</v>
      </c>
      <c r="K393" s="9">
        <f>ROUND(SUMIFS('Odoo Items'!$G$5:$G$4331,'Odoo Items'!$J$5:$J$4331,A393),2)</f>
        <v>688.66</v>
      </c>
      <c r="L393" s="9">
        <f>ROUND(J393-K393,2)</f>
        <v>0</v>
      </c>
      <c r="M393" s="9">
        <f>ROUND(SUMIFS('Bank Lines'!$E$5:$E$1640,'Bank Lines'!$G$5:$G$1640,A393,'Bank Lines'!$J$5:$J$1640,1,'Bank Lines'!$C$5:$C$1640,"&lt;="&amp;Cover!$C$13),2)</f>
        <v>0</v>
      </c>
      <c r="N393" s="9">
        <f>ROUND(SUMIFS('Odoo Items'!$G$5:$G$4331,'Odoo Items'!$J$5:$J$4331,A393,'Odoo Items'!$C$5:$C$4331,"&lt;="&amp;Cover!$C$13),2)</f>
        <v>0</v>
      </c>
      <c r="O393">
        <f>COUNTIFS('Bank Lines'!$G$5:$G$1640,A393,'Bank Lines'!$J$5:$J$1640,1,'Bank Lines'!$C$5:$C$1640,"&lt;="&amp;Cover!$C$13)</f>
        <v>0</v>
      </c>
      <c r="P393">
        <f>COUNTIFS('Odoo Items'!$J$5:$J$4331,A393,'Odoo Items'!$C$5:$C$4331,"&lt;="&amp;Cover!$C$13)</f>
        <v>0</v>
      </c>
      <c r="Q393">
        <f>IF(AND(O393=0,P393=0),"",IF(O393=0,"ODOO-ONLY",IF(P393=0,"BANK-ONLY","BOTH")))</f>
      </c>
      <c r="R393" s="9">
        <f>IF(Q393="BOTH",ROUND(M393-N393,2),0)</f>
        <v>0</v>
      </c>
      <c r="S393" s="9">
        <f>ROUND(SUMIFS('Bank Lines'!$E$5:$E$1640,'Bank Lines'!$G$5:$G$1640,A393,'Bank Lines'!$J$5:$J$1640,1,'Bank Lines'!$C$5:$C$1640,"&lt;="&amp;Cover!$C$14),2)</f>
        <v>0</v>
      </c>
      <c r="T393" s="9">
        <f>ROUND(SUMIFS('Odoo Items'!$G$5:$G$4331,'Odoo Items'!$J$5:$J$4331,A393,'Odoo Items'!$C$5:$C$4331,"&lt;="&amp;Cover!$C$14),2)</f>
        <v>0</v>
      </c>
      <c r="U393">
        <f>COUNTIFS('Bank Lines'!$G$5:$G$1640,A393,'Bank Lines'!$J$5:$J$1640,1,'Bank Lines'!$C$5:$C$1640,"&lt;="&amp;Cover!$C$14)</f>
        <v>0</v>
      </c>
      <c r="V393">
        <f>COUNTIFS('Odoo Items'!$J$5:$J$4331,A393,'Odoo Items'!$C$5:$C$4331,"&lt;="&amp;Cover!$C$14)</f>
        <v>0</v>
      </c>
      <c r="W393">
        <f>IF(AND(U393=0,V393=0),"",IF(U393=0,"ODOO-ONLY",IF(V393=0,"BANK-ONLY","BOTH")))</f>
      </c>
      <c r="X393" s="9">
        <f>IF(W393="BOTH",ROUND(S393-T393,2),0)</f>
        <v>0</v>
      </c>
      <c r="Y393" s="9">
        <f>ROUND(SUMIFS('Bank Lines'!$E$5:$E$1640,'Bank Lines'!$G$5:$G$1640,A393,'Bank Lines'!$J$5:$J$1640,1,'Bank Lines'!$C$5:$C$1640,"&lt;="&amp;Cover!$C$15),2)</f>
        <v>688.66</v>
      </c>
      <c r="Z393" s="9">
        <f>ROUND(SUMIFS('Odoo Items'!$G$5:$G$4331,'Odoo Items'!$J$5:$J$4331,A393,'Odoo Items'!$C$5:$C$4331,"&lt;="&amp;Cover!$C$15),2)</f>
        <v>688.66</v>
      </c>
      <c r="AA393">
        <f>COUNTIFS('Bank Lines'!$G$5:$G$1640,A393,'Bank Lines'!$J$5:$J$1640,1,'Bank Lines'!$C$5:$C$1640,"&lt;="&amp;Cover!$C$15)</f>
        <v>1</v>
      </c>
      <c r="AB393">
        <f>COUNTIFS('Odoo Items'!$J$5:$J$4331,A393,'Odoo Items'!$C$5:$C$4331,"&lt;="&amp;Cover!$C$15)</f>
        <v>3</v>
      </c>
      <c r="AC393" t="str">
        <f>IF(AND(AA393=0,AB393=0),"",IF(AA393=0,"ODOO-ONLY",IF(AB393=0,"BANK-ONLY","BOTH")))</f>
        <v>BOTH</v>
      </c>
      <c r="AD393" s="9">
        <f>IF(AC393="BOTH",ROUND(Y393-Z393,2),0)</f>
        <v>0</v>
      </c>
    </row>
    <row r="394">
      <c r="A394" t="inlineStr">
        <is>
          <t>G00390</t>
        </is>
      </c>
      <c r="B394" t="inlineStr">
        <is>
          <t>OPS</t>
        </is>
      </c>
      <c r="C394" t="inlineStr">
        <is>
          <t>R03</t>
        </is>
      </c>
      <c r="D394" t="inlineStr">
        <is>
          <t>MATCH</t>
        </is>
      </c>
      <c r="E394" t="inlineStr">
        <is>
          <t>Wattle Plan Services</t>
        </is>
      </c>
      <c r="F394" t="n">
        <v>1</v>
      </c>
      <c r="G394" t="inlineStr">
        <is>
          <t>2 invoices</t>
        </is>
      </c>
      <c r="H394">
        <f>COUNTIFS('Bank Lines'!$G$5:$G$1640,A394,'Bank Lines'!$J$5:$J$1640,1)</f>
        <v>1</v>
      </c>
      <c r="I394">
        <f>COUNTIFS('Odoo Items'!$J$5:$J$4331,A394)</f>
        <v>2</v>
      </c>
      <c r="J394" s="9">
        <f>ROUND(SUMIFS('Bank Lines'!$E$5:$E$1640,'Bank Lines'!$G$5:$G$1640,A394,'Bank Lines'!$J$5:$J$1640,1),2)</f>
        <v>563.47</v>
      </c>
      <c r="K394" s="9">
        <f>ROUND(SUMIFS('Odoo Items'!$G$5:$G$4331,'Odoo Items'!$J$5:$J$4331,A394),2)</f>
        <v>563.47</v>
      </c>
      <c r="L394" s="9">
        <f>ROUND(J394-K394,2)</f>
        <v>0</v>
      </c>
      <c r="M394" s="9">
        <f>ROUND(SUMIFS('Bank Lines'!$E$5:$E$1640,'Bank Lines'!$G$5:$G$1640,A394,'Bank Lines'!$J$5:$J$1640,1,'Bank Lines'!$C$5:$C$1640,"&lt;="&amp;Cover!$C$13),2)</f>
        <v>0</v>
      </c>
      <c r="N394" s="9">
        <f>ROUND(SUMIFS('Odoo Items'!$G$5:$G$4331,'Odoo Items'!$J$5:$J$4331,A394,'Odoo Items'!$C$5:$C$4331,"&lt;="&amp;Cover!$C$13),2)</f>
        <v>0</v>
      </c>
      <c r="O394">
        <f>COUNTIFS('Bank Lines'!$G$5:$G$1640,A394,'Bank Lines'!$J$5:$J$1640,1,'Bank Lines'!$C$5:$C$1640,"&lt;="&amp;Cover!$C$13)</f>
        <v>0</v>
      </c>
      <c r="P394">
        <f>COUNTIFS('Odoo Items'!$J$5:$J$4331,A394,'Odoo Items'!$C$5:$C$4331,"&lt;="&amp;Cover!$C$13)</f>
        <v>0</v>
      </c>
      <c r="Q394">
        <f>IF(AND(O394=0,P394=0),"",IF(O394=0,"ODOO-ONLY",IF(P394=0,"BANK-ONLY","BOTH")))</f>
      </c>
      <c r="R394" s="9">
        <f>IF(Q394="BOTH",ROUND(M394-N394,2),0)</f>
        <v>0</v>
      </c>
      <c r="S394" s="9">
        <f>ROUND(SUMIFS('Bank Lines'!$E$5:$E$1640,'Bank Lines'!$G$5:$G$1640,A394,'Bank Lines'!$J$5:$J$1640,1,'Bank Lines'!$C$5:$C$1640,"&lt;="&amp;Cover!$C$14),2)</f>
        <v>0</v>
      </c>
      <c r="T394" s="9">
        <f>ROUND(SUMIFS('Odoo Items'!$G$5:$G$4331,'Odoo Items'!$J$5:$J$4331,A394,'Odoo Items'!$C$5:$C$4331,"&lt;="&amp;Cover!$C$14),2)</f>
        <v>0</v>
      </c>
      <c r="U394">
        <f>COUNTIFS('Bank Lines'!$G$5:$G$1640,A394,'Bank Lines'!$J$5:$J$1640,1,'Bank Lines'!$C$5:$C$1640,"&lt;="&amp;Cover!$C$14)</f>
        <v>0</v>
      </c>
      <c r="V394">
        <f>COUNTIFS('Odoo Items'!$J$5:$J$4331,A394,'Odoo Items'!$C$5:$C$4331,"&lt;="&amp;Cover!$C$14)</f>
        <v>0</v>
      </c>
      <c r="W394">
        <f>IF(AND(U394=0,V394=0),"",IF(U394=0,"ODOO-ONLY",IF(V394=0,"BANK-ONLY","BOTH")))</f>
      </c>
      <c r="X394" s="9">
        <f>IF(W394="BOTH",ROUND(S394-T394,2),0)</f>
        <v>0</v>
      </c>
      <c r="Y394" s="9">
        <f>ROUND(SUMIFS('Bank Lines'!$E$5:$E$1640,'Bank Lines'!$G$5:$G$1640,A394,'Bank Lines'!$J$5:$J$1640,1,'Bank Lines'!$C$5:$C$1640,"&lt;="&amp;Cover!$C$15),2)</f>
        <v>563.47</v>
      </c>
      <c r="Z394" s="9">
        <f>ROUND(SUMIFS('Odoo Items'!$G$5:$G$4331,'Odoo Items'!$J$5:$J$4331,A394,'Odoo Items'!$C$5:$C$4331,"&lt;="&amp;Cover!$C$15),2)</f>
        <v>563.47</v>
      </c>
      <c r="AA394">
        <f>COUNTIFS('Bank Lines'!$G$5:$G$1640,A394,'Bank Lines'!$J$5:$J$1640,1,'Bank Lines'!$C$5:$C$1640,"&lt;="&amp;Cover!$C$15)</f>
        <v>1</v>
      </c>
      <c r="AB394">
        <f>COUNTIFS('Odoo Items'!$J$5:$J$4331,A394,'Odoo Items'!$C$5:$C$4331,"&lt;="&amp;Cover!$C$15)</f>
        <v>2</v>
      </c>
      <c r="AC394" t="str">
        <f>IF(AND(AA394=0,AB394=0),"",IF(AA394=0,"ODOO-ONLY",IF(AB394=0,"BANK-ONLY","BOTH")))</f>
        <v>BOTH</v>
      </c>
      <c r="AD394" s="9">
        <f>IF(AC394="BOTH",ROUND(Y394-Z394,2),0)</f>
        <v>0</v>
      </c>
    </row>
    <row r="395">
      <c r="A395" t="inlineStr">
        <is>
          <t>G00391</t>
        </is>
      </c>
      <c r="B395" t="inlineStr">
        <is>
          <t>OPS</t>
        </is>
      </c>
      <c r="C395" t="inlineStr">
        <is>
          <t>R03</t>
        </is>
      </c>
      <c r="D395" t="inlineStr">
        <is>
          <t>MATCH</t>
        </is>
      </c>
      <c r="E395" t="inlineStr">
        <is>
          <t>Banksia Plan Co</t>
        </is>
      </c>
      <c r="F395" t="n">
        <v>1</v>
      </c>
      <c r="G395" t="inlineStr">
        <is>
          <t>1 invoices</t>
        </is>
      </c>
      <c r="H395">
        <f>COUNTIFS('Bank Lines'!$G$5:$G$1640,A395,'Bank Lines'!$J$5:$J$1640,1)</f>
        <v>1</v>
      </c>
      <c r="I395">
        <f>COUNTIFS('Odoo Items'!$J$5:$J$4331,A395)</f>
        <v>1</v>
      </c>
      <c r="J395" s="9">
        <f>ROUND(SUMIFS('Bank Lines'!$E$5:$E$1640,'Bank Lines'!$G$5:$G$1640,A395,'Bank Lines'!$J$5:$J$1640,1),2)</f>
        <v>387.98</v>
      </c>
      <c r="K395" s="9">
        <f>ROUND(SUMIFS('Odoo Items'!$G$5:$G$4331,'Odoo Items'!$J$5:$J$4331,A395),2)</f>
        <v>387.98</v>
      </c>
      <c r="L395" s="9">
        <f>ROUND(J395-K395,2)</f>
        <v>0</v>
      </c>
      <c r="M395" s="9">
        <f>ROUND(SUMIFS('Bank Lines'!$E$5:$E$1640,'Bank Lines'!$G$5:$G$1640,A395,'Bank Lines'!$J$5:$J$1640,1,'Bank Lines'!$C$5:$C$1640,"&lt;="&amp;Cover!$C$13),2)</f>
        <v>0</v>
      </c>
      <c r="N395" s="9">
        <f>ROUND(SUMIFS('Odoo Items'!$G$5:$G$4331,'Odoo Items'!$J$5:$J$4331,A395,'Odoo Items'!$C$5:$C$4331,"&lt;="&amp;Cover!$C$13),2)</f>
        <v>0</v>
      </c>
      <c r="O395">
        <f>COUNTIFS('Bank Lines'!$G$5:$G$1640,A395,'Bank Lines'!$J$5:$J$1640,1,'Bank Lines'!$C$5:$C$1640,"&lt;="&amp;Cover!$C$13)</f>
        <v>0</v>
      </c>
      <c r="P395">
        <f>COUNTIFS('Odoo Items'!$J$5:$J$4331,A395,'Odoo Items'!$C$5:$C$4331,"&lt;="&amp;Cover!$C$13)</f>
        <v>0</v>
      </c>
      <c r="Q395">
        <f>IF(AND(O395=0,P395=0),"",IF(O395=0,"ODOO-ONLY",IF(P395=0,"BANK-ONLY","BOTH")))</f>
      </c>
      <c r="R395" s="9">
        <f>IF(Q395="BOTH",ROUND(M395-N395,2),0)</f>
        <v>0</v>
      </c>
      <c r="S395" s="9">
        <f>ROUND(SUMIFS('Bank Lines'!$E$5:$E$1640,'Bank Lines'!$G$5:$G$1640,A395,'Bank Lines'!$J$5:$J$1640,1,'Bank Lines'!$C$5:$C$1640,"&lt;="&amp;Cover!$C$14),2)</f>
        <v>0</v>
      </c>
      <c r="T395" s="9">
        <f>ROUND(SUMIFS('Odoo Items'!$G$5:$G$4331,'Odoo Items'!$J$5:$J$4331,A395,'Odoo Items'!$C$5:$C$4331,"&lt;="&amp;Cover!$C$14),2)</f>
        <v>0</v>
      </c>
      <c r="U395">
        <f>COUNTIFS('Bank Lines'!$G$5:$G$1640,A395,'Bank Lines'!$J$5:$J$1640,1,'Bank Lines'!$C$5:$C$1640,"&lt;="&amp;Cover!$C$14)</f>
        <v>0</v>
      </c>
      <c r="V395">
        <f>COUNTIFS('Odoo Items'!$J$5:$J$4331,A395,'Odoo Items'!$C$5:$C$4331,"&lt;="&amp;Cover!$C$14)</f>
        <v>0</v>
      </c>
      <c r="W395">
        <f>IF(AND(U395=0,V395=0),"",IF(U395=0,"ODOO-ONLY",IF(V395=0,"BANK-ONLY","BOTH")))</f>
      </c>
      <c r="X395" s="9">
        <f>IF(W395="BOTH",ROUND(S395-T395,2),0)</f>
        <v>0</v>
      </c>
      <c r="Y395" s="9">
        <f>ROUND(SUMIFS('Bank Lines'!$E$5:$E$1640,'Bank Lines'!$G$5:$G$1640,A395,'Bank Lines'!$J$5:$J$1640,1,'Bank Lines'!$C$5:$C$1640,"&lt;="&amp;Cover!$C$15),2)</f>
        <v>387.98</v>
      </c>
      <c r="Z395" s="9">
        <f>ROUND(SUMIFS('Odoo Items'!$G$5:$G$4331,'Odoo Items'!$J$5:$J$4331,A395,'Odoo Items'!$C$5:$C$4331,"&lt;="&amp;Cover!$C$15),2)</f>
        <v>387.98</v>
      </c>
      <c r="AA395">
        <f>COUNTIFS('Bank Lines'!$G$5:$G$1640,A395,'Bank Lines'!$J$5:$J$1640,1,'Bank Lines'!$C$5:$C$1640,"&lt;="&amp;Cover!$C$15)</f>
        <v>1</v>
      </c>
      <c r="AB395">
        <f>COUNTIFS('Odoo Items'!$J$5:$J$4331,A395,'Odoo Items'!$C$5:$C$4331,"&lt;="&amp;Cover!$C$15)</f>
        <v>1</v>
      </c>
      <c r="AC395" t="str">
        <f>IF(AND(AA395=0,AB395=0),"",IF(AA395=0,"ODOO-ONLY",IF(AB395=0,"BANK-ONLY","BOTH")))</f>
        <v>BOTH</v>
      </c>
      <c r="AD395" s="9">
        <f>IF(AC395="BOTH",ROUND(Y395-Z395,2),0)</f>
        <v>0</v>
      </c>
    </row>
    <row r="396">
      <c r="A396" t="inlineStr">
        <is>
          <t>G00392</t>
        </is>
      </c>
      <c r="B396" t="inlineStr">
        <is>
          <t>OPS</t>
        </is>
      </c>
      <c r="C396" t="inlineStr">
        <is>
          <t>R03</t>
        </is>
      </c>
      <c r="D396" t="inlineStr">
        <is>
          <t>MATCH</t>
        </is>
      </c>
      <c r="E396" t="inlineStr">
        <is>
          <t>Saltbush Plan Managers</t>
        </is>
      </c>
      <c r="F396" t="n">
        <v>1</v>
      </c>
      <c r="G396" t="inlineStr">
        <is>
          <t>3 invoices</t>
        </is>
      </c>
      <c r="H396">
        <f>COUNTIFS('Bank Lines'!$G$5:$G$1640,A396,'Bank Lines'!$J$5:$J$1640,1)</f>
        <v>1</v>
      </c>
      <c r="I396">
        <f>COUNTIFS('Odoo Items'!$J$5:$J$4331,A396)</f>
        <v>3</v>
      </c>
      <c r="J396" s="9">
        <f>ROUND(SUMIFS('Bank Lines'!$E$5:$E$1640,'Bank Lines'!$G$5:$G$1640,A396,'Bank Lines'!$J$5:$J$1640,1),2)</f>
        <v>892.35</v>
      </c>
      <c r="K396" s="9">
        <f>ROUND(SUMIFS('Odoo Items'!$G$5:$G$4331,'Odoo Items'!$J$5:$J$4331,A396),2)</f>
        <v>892.35</v>
      </c>
      <c r="L396" s="9">
        <f>ROUND(J396-K396,2)</f>
        <v>0</v>
      </c>
      <c r="M396" s="9">
        <f>ROUND(SUMIFS('Bank Lines'!$E$5:$E$1640,'Bank Lines'!$G$5:$G$1640,A396,'Bank Lines'!$J$5:$J$1640,1,'Bank Lines'!$C$5:$C$1640,"&lt;="&amp;Cover!$C$13),2)</f>
        <v>0</v>
      </c>
      <c r="N396" s="9">
        <f>ROUND(SUMIFS('Odoo Items'!$G$5:$G$4331,'Odoo Items'!$J$5:$J$4331,A396,'Odoo Items'!$C$5:$C$4331,"&lt;="&amp;Cover!$C$13),2)</f>
        <v>0</v>
      </c>
      <c r="O396">
        <f>COUNTIFS('Bank Lines'!$G$5:$G$1640,A396,'Bank Lines'!$J$5:$J$1640,1,'Bank Lines'!$C$5:$C$1640,"&lt;="&amp;Cover!$C$13)</f>
        <v>0</v>
      </c>
      <c r="P396">
        <f>COUNTIFS('Odoo Items'!$J$5:$J$4331,A396,'Odoo Items'!$C$5:$C$4331,"&lt;="&amp;Cover!$C$13)</f>
        <v>0</v>
      </c>
      <c r="Q396">
        <f>IF(AND(O396=0,P396=0),"",IF(O396=0,"ODOO-ONLY",IF(P396=0,"BANK-ONLY","BOTH")))</f>
      </c>
      <c r="R396" s="9">
        <f>IF(Q396="BOTH",ROUND(M396-N396,2),0)</f>
        <v>0</v>
      </c>
      <c r="S396" s="9">
        <f>ROUND(SUMIFS('Bank Lines'!$E$5:$E$1640,'Bank Lines'!$G$5:$G$1640,A396,'Bank Lines'!$J$5:$J$1640,1,'Bank Lines'!$C$5:$C$1640,"&lt;="&amp;Cover!$C$14),2)</f>
        <v>0</v>
      </c>
      <c r="T396" s="9">
        <f>ROUND(SUMIFS('Odoo Items'!$G$5:$G$4331,'Odoo Items'!$J$5:$J$4331,A396,'Odoo Items'!$C$5:$C$4331,"&lt;="&amp;Cover!$C$14),2)</f>
        <v>0</v>
      </c>
      <c r="U396">
        <f>COUNTIFS('Bank Lines'!$G$5:$G$1640,A396,'Bank Lines'!$J$5:$J$1640,1,'Bank Lines'!$C$5:$C$1640,"&lt;="&amp;Cover!$C$14)</f>
        <v>0</v>
      </c>
      <c r="V396">
        <f>COUNTIFS('Odoo Items'!$J$5:$J$4331,A396,'Odoo Items'!$C$5:$C$4331,"&lt;="&amp;Cover!$C$14)</f>
        <v>0</v>
      </c>
      <c r="W396">
        <f>IF(AND(U396=0,V396=0),"",IF(U396=0,"ODOO-ONLY",IF(V396=0,"BANK-ONLY","BOTH")))</f>
      </c>
      <c r="X396" s="9">
        <f>IF(W396="BOTH",ROUND(S396-T396,2),0)</f>
        <v>0</v>
      </c>
      <c r="Y396" s="9">
        <f>ROUND(SUMIFS('Bank Lines'!$E$5:$E$1640,'Bank Lines'!$G$5:$G$1640,A396,'Bank Lines'!$J$5:$J$1640,1,'Bank Lines'!$C$5:$C$1640,"&lt;="&amp;Cover!$C$15),2)</f>
        <v>892.35</v>
      </c>
      <c r="Z396" s="9">
        <f>ROUND(SUMIFS('Odoo Items'!$G$5:$G$4331,'Odoo Items'!$J$5:$J$4331,A396,'Odoo Items'!$C$5:$C$4331,"&lt;="&amp;Cover!$C$15),2)</f>
        <v>892.35</v>
      </c>
      <c r="AA396">
        <f>COUNTIFS('Bank Lines'!$G$5:$G$1640,A396,'Bank Lines'!$J$5:$J$1640,1,'Bank Lines'!$C$5:$C$1640,"&lt;="&amp;Cover!$C$15)</f>
        <v>1</v>
      </c>
      <c r="AB396">
        <f>COUNTIFS('Odoo Items'!$J$5:$J$4331,A396,'Odoo Items'!$C$5:$C$4331,"&lt;="&amp;Cover!$C$15)</f>
        <v>3</v>
      </c>
      <c r="AC396" t="str">
        <f>IF(AND(AA396=0,AB396=0),"",IF(AA396=0,"ODOO-ONLY",IF(AB396=0,"BANK-ONLY","BOTH")))</f>
        <v>BOTH</v>
      </c>
      <c r="AD396" s="9">
        <f>IF(AC396="BOTH",ROUND(Y396-Z396,2),0)</f>
        <v>0</v>
      </c>
    </row>
    <row r="397">
      <c r="A397" t="inlineStr">
        <is>
          <t>G00393</t>
        </is>
      </c>
      <c r="B397" t="inlineStr">
        <is>
          <t>OPS</t>
        </is>
      </c>
      <c r="C397" t="inlineStr">
        <is>
          <t>R03</t>
        </is>
      </c>
      <c r="D397" t="inlineStr">
        <is>
          <t>MATCH</t>
        </is>
      </c>
      <c r="E397" t="inlineStr">
        <is>
          <t>Redgum Plan Admin</t>
        </is>
      </c>
      <c r="F397" t="n">
        <v>1</v>
      </c>
      <c r="G397" t="inlineStr">
        <is>
          <t>1 invoices</t>
        </is>
      </c>
      <c r="H397">
        <f>COUNTIFS('Bank Lines'!$G$5:$G$1640,A397,'Bank Lines'!$J$5:$J$1640,1)</f>
        <v>1</v>
      </c>
      <c r="I397">
        <f>COUNTIFS('Odoo Items'!$J$5:$J$4331,A397)</f>
        <v>1</v>
      </c>
      <c r="J397" s="9">
        <f>ROUND(SUMIFS('Bank Lines'!$E$5:$E$1640,'Bank Lines'!$G$5:$G$1640,A397,'Bank Lines'!$J$5:$J$1640,1),2)</f>
        <v>96.99</v>
      </c>
      <c r="K397" s="9">
        <f>ROUND(SUMIFS('Odoo Items'!$G$5:$G$4331,'Odoo Items'!$J$5:$J$4331,A397),2)</f>
        <v>96.99</v>
      </c>
      <c r="L397" s="9">
        <f>ROUND(J397-K397,2)</f>
        <v>0</v>
      </c>
      <c r="M397" s="9">
        <f>ROUND(SUMIFS('Bank Lines'!$E$5:$E$1640,'Bank Lines'!$G$5:$G$1640,A397,'Bank Lines'!$J$5:$J$1640,1,'Bank Lines'!$C$5:$C$1640,"&lt;="&amp;Cover!$C$13),2)</f>
        <v>0</v>
      </c>
      <c r="N397" s="9">
        <f>ROUND(SUMIFS('Odoo Items'!$G$5:$G$4331,'Odoo Items'!$J$5:$J$4331,A397,'Odoo Items'!$C$5:$C$4331,"&lt;="&amp;Cover!$C$13),2)</f>
        <v>0</v>
      </c>
      <c r="O397">
        <f>COUNTIFS('Bank Lines'!$G$5:$G$1640,A397,'Bank Lines'!$J$5:$J$1640,1,'Bank Lines'!$C$5:$C$1640,"&lt;="&amp;Cover!$C$13)</f>
        <v>0</v>
      </c>
      <c r="P397">
        <f>COUNTIFS('Odoo Items'!$J$5:$J$4331,A397,'Odoo Items'!$C$5:$C$4331,"&lt;="&amp;Cover!$C$13)</f>
        <v>0</v>
      </c>
      <c r="Q397">
        <f>IF(AND(O397=0,P397=0),"",IF(O397=0,"ODOO-ONLY",IF(P397=0,"BANK-ONLY","BOTH")))</f>
      </c>
      <c r="R397" s="9">
        <f>IF(Q397="BOTH",ROUND(M397-N397,2),0)</f>
        <v>0</v>
      </c>
      <c r="S397" s="9">
        <f>ROUND(SUMIFS('Bank Lines'!$E$5:$E$1640,'Bank Lines'!$G$5:$G$1640,A397,'Bank Lines'!$J$5:$J$1640,1,'Bank Lines'!$C$5:$C$1640,"&lt;="&amp;Cover!$C$14),2)</f>
        <v>0</v>
      </c>
      <c r="T397" s="9">
        <f>ROUND(SUMIFS('Odoo Items'!$G$5:$G$4331,'Odoo Items'!$J$5:$J$4331,A397,'Odoo Items'!$C$5:$C$4331,"&lt;="&amp;Cover!$C$14),2)</f>
        <v>0</v>
      </c>
      <c r="U397">
        <f>COUNTIFS('Bank Lines'!$G$5:$G$1640,A397,'Bank Lines'!$J$5:$J$1640,1,'Bank Lines'!$C$5:$C$1640,"&lt;="&amp;Cover!$C$14)</f>
        <v>0</v>
      </c>
      <c r="V397">
        <f>COUNTIFS('Odoo Items'!$J$5:$J$4331,A397,'Odoo Items'!$C$5:$C$4331,"&lt;="&amp;Cover!$C$14)</f>
        <v>0</v>
      </c>
      <c r="W397">
        <f>IF(AND(U397=0,V397=0),"",IF(U397=0,"ODOO-ONLY",IF(V397=0,"BANK-ONLY","BOTH")))</f>
      </c>
      <c r="X397" s="9">
        <f>IF(W397="BOTH",ROUND(S397-T397,2),0)</f>
        <v>0</v>
      </c>
      <c r="Y397" s="9">
        <f>ROUND(SUMIFS('Bank Lines'!$E$5:$E$1640,'Bank Lines'!$G$5:$G$1640,A397,'Bank Lines'!$J$5:$J$1640,1,'Bank Lines'!$C$5:$C$1640,"&lt;="&amp;Cover!$C$15),2)</f>
        <v>96.99</v>
      </c>
      <c r="Z397" s="9">
        <f>ROUND(SUMIFS('Odoo Items'!$G$5:$G$4331,'Odoo Items'!$J$5:$J$4331,A397,'Odoo Items'!$C$5:$C$4331,"&lt;="&amp;Cover!$C$15),2)</f>
        <v>96.99</v>
      </c>
      <c r="AA397">
        <f>COUNTIFS('Bank Lines'!$G$5:$G$1640,A397,'Bank Lines'!$J$5:$J$1640,1,'Bank Lines'!$C$5:$C$1640,"&lt;="&amp;Cover!$C$15)</f>
        <v>1</v>
      </c>
      <c r="AB397">
        <f>COUNTIFS('Odoo Items'!$J$5:$J$4331,A397,'Odoo Items'!$C$5:$C$4331,"&lt;="&amp;Cover!$C$15)</f>
        <v>1</v>
      </c>
      <c r="AC397" t="str">
        <f>IF(AND(AA397=0,AB397=0),"",IF(AA397=0,"ODOO-ONLY",IF(AB397=0,"BANK-ONLY","BOTH")))</f>
        <v>BOTH</v>
      </c>
      <c r="AD397" s="9">
        <f>IF(AC397="BOTH",ROUND(Y397-Z397,2),0)</f>
        <v>0</v>
      </c>
    </row>
    <row r="398">
      <c r="A398" t="inlineStr">
        <is>
          <t>G00394</t>
        </is>
      </c>
      <c r="B398" t="inlineStr">
        <is>
          <t>OPS</t>
        </is>
      </c>
      <c r="C398" t="inlineStr">
        <is>
          <t>R03</t>
        </is>
      </c>
      <c r="D398" t="inlineStr">
        <is>
          <t>MATCH</t>
        </is>
      </c>
      <c r="E398" t="inlineStr">
        <is>
          <t>Tallowwood Plans</t>
        </is>
      </c>
      <c r="F398" t="n">
        <v>1</v>
      </c>
      <c r="G398" t="inlineStr">
        <is>
          <t>1 invoices</t>
        </is>
      </c>
      <c r="H398">
        <f>COUNTIFS('Bank Lines'!$G$5:$G$1640,A398,'Bank Lines'!$J$5:$J$1640,1)</f>
        <v>1</v>
      </c>
      <c r="I398">
        <f>COUNTIFS('Odoo Items'!$J$5:$J$4331,A398)</f>
        <v>1</v>
      </c>
      <c r="J398" s="9">
        <f>ROUND(SUMIFS('Bank Lines'!$E$5:$E$1640,'Bank Lines'!$G$5:$G$1640,A398,'Bank Lines'!$J$5:$J$1640,1),2)</f>
        <v>387.98</v>
      </c>
      <c r="K398" s="9">
        <f>ROUND(SUMIFS('Odoo Items'!$G$5:$G$4331,'Odoo Items'!$J$5:$J$4331,A398),2)</f>
        <v>387.98</v>
      </c>
      <c r="L398" s="9">
        <f>ROUND(J398-K398,2)</f>
        <v>0</v>
      </c>
      <c r="M398" s="9">
        <f>ROUND(SUMIFS('Bank Lines'!$E$5:$E$1640,'Bank Lines'!$G$5:$G$1640,A398,'Bank Lines'!$J$5:$J$1640,1,'Bank Lines'!$C$5:$C$1640,"&lt;="&amp;Cover!$C$13),2)</f>
        <v>0</v>
      </c>
      <c r="N398" s="9">
        <f>ROUND(SUMIFS('Odoo Items'!$G$5:$G$4331,'Odoo Items'!$J$5:$J$4331,A398,'Odoo Items'!$C$5:$C$4331,"&lt;="&amp;Cover!$C$13),2)</f>
        <v>0</v>
      </c>
      <c r="O398">
        <f>COUNTIFS('Bank Lines'!$G$5:$G$1640,A398,'Bank Lines'!$J$5:$J$1640,1,'Bank Lines'!$C$5:$C$1640,"&lt;="&amp;Cover!$C$13)</f>
        <v>0</v>
      </c>
      <c r="P398">
        <f>COUNTIFS('Odoo Items'!$J$5:$J$4331,A398,'Odoo Items'!$C$5:$C$4331,"&lt;="&amp;Cover!$C$13)</f>
        <v>0</v>
      </c>
      <c r="Q398">
        <f>IF(AND(O398=0,P398=0),"",IF(O398=0,"ODOO-ONLY",IF(P398=0,"BANK-ONLY","BOTH")))</f>
      </c>
      <c r="R398" s="9">
        <f>IF(Q398="BOTH",ROUND(M398-N398,2),0)</f>
        <v>0</v>
      </c>
      <c r="S398" s="9">
        <f>ROUND(SUMIFS('Bank Lines'!$E$5:$E$1640,'Bank Lines'!$G$5:$G$1640,A398,'Bank Lines'!$J$5:$J$1640,1,'Bank Lines'!$C$5:$C$1640,"&lt;="&amp;Cover!$C$14),2)</f>
        <v>0</v>
      </c>
      <c r="T398" s="9">
        <f>ROUND(SUMIFS('Odoo Items'!$G$5:$G$4331,'Odoo Items'!$J$5:$J$4331,A398,'Odoo Items'!$C$5:$C$4331,"&lt;="&amp;Cover!$C$14),2)</f>
        <v>0</v>
      </c>
      <c r="U398">
        <f>COUNTIFS('Bank Lines'!$G$5:$G$1640,A398,'Bank Lines'!$J$5:$J$1640,1,'Bank Lines'!$C$5:$C$1640,"&lt;="&amp;Cover!$C$14)</f>
        <v>0</v>
      </c>
      <c r="V398">
        <f>COUNTIFS('Odoo Items'!$J$5:$J$4331,A398,'Odoo Items'!$C$5:$C$4331,"&lt;="&amp;Cover!$C$14)</f>
        <v>0</v>
      </c>
      <c r="W398">
        <f>IF(AND(U398=0,V398=0),"",IF(U398=0,"ODOO-ONLY",IF(V398=0,"BANK-ONLY","BOTH")))</f>
      </c>
      <c r="X398" s="9">
        <f>IF(W398="BOTH",ROUND(S398-T398,2),0)</f>
        <v>0</v>
      </c>
      <c r="Y398" s="9">
        <f>ROUND(SUMIFS('Bank Lines'!$E$5:$E$1640,'Bank Lines'!$G$5:$G$1640,A398,'Bank Lines'!$J$5:$J$1640,1,'Bank Lines'!$C$5:$C$1640,"&lt;="&amp;Cover!$C$15),2)</f>
        <v>387.98</v>
      </c>
      <c r="Z398" s="9">
        <f>ROUND(SUMIFS('Odoo Items'!$G$5:$G$4331,'Odoo Items'!$J$5:$J$4331,A398,'Odoo Items'!$C$5:$C$4331,"&lt;="&amp;Cover!$C$15),2)</f>
        <v>387.98</v>
      </c>
      <c r="AA398">
        <f>COUNTIFS('Bank Lines'!$G$5:$G$1640,A398,'Bank Lines'!$J$5:$J$1640,1,'Bank Lines'!$C$5:$C$1640,"&lt;="&amp;Cover!$C$15)</f>
        <v>1</v>
      </c>
      <c r="AB398">
        <f>COUNTIFS('Odoo Items'!$J$5:$J$4331,A398,'Odoo Items'!$C$5:$C$4331,"&lt;="&amp;Cover!$C$15)</f>
        <v>1</v>
      </c>
      <c r="AC398" t="str">
        <f>IF(AND(AA398=0,AB398=0),"",IF(AA398=0,"ODOO-ONLY",IF(AB398=0,"BANK-ONLY","BOTH")))</f>
        <v>BOTH</v>
      </c>
      <c r="AD398" s="9">
        <f>IF(AC398="BOTH",ROUND(Y398-Z398,2),0)</f>
        <v>0</v>
      </c>
    </row>
    <row r="399">
      <c r="A399" t="inlineStr">
        <is>
          <t>G00395</t>
        </is>
      </c>
      <c r="B399" t="inlineStr">
        <is>
          <t>OPS</t>
        </is>
      </c>
      <c r="C399" t="inlineStr">
        <is>
          <t>R03</t>
        </is>
      </c>
      <c r="D399" t="inlineStr">
        <is>
          <t>MATCH</t>
        </is>
      </c>
      <c r="E399" t="inlineStr">
        <is>
          <t>Acacia Plan Partners</t>
        </is>
      </c>
      <c r="F399" t="n">
        <v>1</v>
      </c>
      <c r="G399" t="inlineStr">
        <is>
          <t>1 invoices</t>
        </is>
      </c>
      <c r="H399">
        <f>COUNTIFS('Bank Lines'!$G$5:$G$1640,A399,'Bank Lines'!$J$5:$J$1640,1)</f>
        <v>1</v>
      </c>
      <c r="I399">
        <f>COUNTIFS('Odoo Items'!$J$5:$J$4331,A399)</f>
        <v>1</v>
      </c>
      <c r="J399" s="9">
        <f>ROUND(SUMIFS('Bank Lines'!$E$5:$E$1640,'Bank Lines'!$G$5:$G$1640,A399,'Bank Lines'!$J$5:$J$1640,1),2)</f>
        <v>145.49</v>
      </c>
      <c r="K399" s="9">
        <f>ROUND(SUMIFS('Odoo Items'!$G$5:$G$4331,'Odoo Items'!$J$5:$J$4331,A399),2)</f>
        <v>145.49</v>
      </c>
      <c r="L399" s="9">
        <f>ROUND(J399-K399,2)</f>
        <v>0</v>
      </c>
      <c r="M399" s="9">
        <f>ROUND(SUMIFS('Bank Lines'!$E$5:$E$1640,'Bank Lines'!$G$5:$G$1640,A399,'Bank Lines'!$J$5:$J$1640,1,'Bank Lines'!$C$5:$C$1640,"&lt;="&amp;Cover!$C$13),2)</f>
        <v>0</v>
      </c>
      <c r="N399" s="9">
        <f>ROUND(SUMIFS('Odoo Items'!$G$5:$G$4331,'Odoo Items'!$J$5:$J$4331,A399,'Odoo Items'!$C$5:$C$4331,"&lt;="&amp;Cover!$C$13),2)</f>
        <v>0</v>
      </c>
      <c r="O399">
        <f>COUNTIFS('Bank Lines'!$G$5:$G$1640,A399,'Bank Lines'!$J$5:$J$1640,1,'Bank Lines'!$C$5:$C$1640,"&lt;="&amp;Cover!$C$13)</f>
        <v>0</v>
      </c>
      <c r="P399">
        <f>COUNTIFS('Odoo Items'!$J$5:$J$4331,A399,'Odoo Items'!$C$5:$C$4331,"&lt;="&amp;Cover!$C$13)</f>
        <v>0</v>
      </c>
      <c r="Q399">
        <f>IF(AND(O399=0,P399=0),"",IF(O399=0,"ODOO-ONLY",IF(P399=0,"BANK-ONLY","BOTH")))</f>
      </c>
      <c r="R399" s="9">
        <f>IF(Q399="BOTH",ROUND(M399-N399,2),0)</f>
        <v>0</v>
      </c>
      <c r="S399" s="9">
        <f>ROUND(SUMIFS('Bank Lines'!$E$5:$E$1640,'Bank Lines'!$G$5:$G$1640,A399,'Bank Lines'!$J$5:$J$1640,1,'Bank Lines'!$C$5:$C$1640,"&lt;="&amp;Cover!$C$14),2)</f>
        <v>0</v>
      </c>
      <c r="T399" s="9">
        <f>ROUND(SUMIFS('Odoo Items'!$G$5:$G$4331,'Odoo Items'!$J$5:$J$4331,A399,'Odoo Items'!$C$5:$C$4331,"&lt;="&amp;Cover!$C$14),2)</f>
        <v>0</v>
      </c>
      <c r="U399">
        <f>COUNTIFS('Bank Lines'!$G$5:$G$1640,A399,'Bank Lines'!$J$5:$J$1640,1,'Bank Lines'!$C$5:$C$1640,"&lt;="&amp;Cover!$C$14)</f>
        <v>0</v>
      </c>
      <c r="V399">
        <f>COUNTIFS('Odoo Items'!$J$5:$J$4331,A399,'Odoo Items'!$C$5:$C$4331,"&lt;="&amp;Cover!$C$14)</f>
        <v>0</v>
      </c>
      <c r="W399">
        <f>IF(AND(U399=0,V399=0),"",IF(U399=0,"ODOO-ONLY",IF(V399=0,"BANK-ONLY","BOTH")))</f>
      </c>
      <c r="X399" s="9">
        <f>IF(W399="BOTH",ROUND(S399-T399,2),0)</f>
        <v>0</v>
      </c>
      <c r="Y399" s="9">
        <f>ROUND(SUMIFS('Bank Lines'!$E$5:$E$1640,'Bank Lines'!$G$5:$G$1640,A399,'Bank Lines'!$J$5:$J$1640,1,'Bank Lines'!$C$5:$C$1640,"&lt;="&amp;Cover!$C$15),2)</f>
        <v>145.49</v>
      </c>
      <c r="Z399" s="9">
        <f>ROUND(SUMIFS('Odoo Items'!$G$5:$G$4331,'Odoo Items'!$J$5:$J$4331,A399,'Odoo Items'!$C$5:$C$4331,"&lt;="&amp;Cover!$C$15),2)</f>
        <v>145.49</v>
      </c>
      <c r="AA399">
        <f>COUNTIFS('Bank Lines'!$G$5:$G$1640,A399,'Bank Lines'!$J$5:$J$1640,1,'Bank Lines'!$C$5:$C$1640,"&lt;="&amp;Cover!$C$15)</f>
        <v>1</v>
      </c>
      <c r="AB399">
        <f>COUNTIFS('Odoo Items'!$J$5:$J$4331,A399,'Odoo Items'!$C$5:$C$4331,"&lt;="&amp;Cover!$C$15)</f>
        <v>1</v>
      </c>
      <c r="AC399" t="str">
        <f>IF(AND(AA399=0,AB399=0),"",IF(AA399=0,"ODOO-ONLY",IF(AB399=0,"BANK-ONLY","BOTH")))</f>
        <v>BOTH</v>
      </c>
      <c r="AD399" s="9">
        <f>IF(AC399="BOTH",ROUND(Y399-Z399,2),0)</f>
        <v>0</v>
      </c>
    </row>
    <row r="400">
      <c r="A400" t="inlineStr">
        <is>
          <t>G00396</t>
        </is>
      </c>
      <c r="B400" t="inlineStr">
        <is>
          <t>OPS</t>
        </is>
      </c>
      <c r="C400" t="inlineStr">
        <is>
          <t>R03</t>
        </is>
      </c>
      <c r="D400" t="inlineStr">
        <is>
          <t>MATCH</t>
        </is>
      </c>
      <c r="E400" t="inlineStr">
        <is>
          <t>Mallee Plan Services</t>
        </is>
      </c>
      <c r="F400" t="n">
        <v>1</v>
      </c>
      <c r="G400" t="inlineStr">
        <is>
          <t>2 invoices</t>
        </is>
      </c>
      <c r="H400">
        <f>COUNTIFS('Bank Lines'!$G$5:$G$1640,A400,'Bank Lines'!$J$5:$J$1640,1)</f>
        <v>1</v>
      </c>
      <c r="I400">
        <f>COUNTIFS('Odoo Items'!$J$5:$J$4331,A400)</f>
        <v>2</v>
      </c>
      <c r="J400" s="9">
        <f>ROUND(SUMIFS('Bank Lines'!$E$5:$E$1640,'Bank Lines'!$G$5:$G$1640,A400,'Bank Lines'!$J$5:$J$1640,1),2)</f>
        <v>708.96</v>
      </c>
      <c r="K400" s="9">
        <f>ROUND(SUMIFS('Odoo Items'!$G$5:$G$4331,'Odoo Items'!$J$5:$J$4331,A400),2)</f>
        <v>708.96</v>
      </c>
      <c r="L400" s="9">
        <f>ROUND(J400-K400,2)</f>
        <v>0</v>
      </c>
      <c r="M400" s="9">
        <f>ROUND(SUMIFS('Bank Lines'!$E$5:$E$1640,'Bank Lines'!$G$5:$G$1640,A400,'Bank Lines'!$J$5:$J$1640,1,'Bank Lines'!$C$5:$C$1640,"&lt;="&amp;Cover!$C$13),2)</f>
        <v>0</v>
      </c>
      <c r="N400" s="9">
        <f>ROUND(SUMIFS('Odoo Items'!$G$5:$G$4331,'Odoo Items'!$J$5:$J$4331,A400,'Odoo Items'!$C$5:$C$4331,"&lt;="&amp;Cover!$C$13),2)</f>
        <v>0</v>
      </c>
      <c r="O400">
        <f>COUNTIFS('Bank Lines'!$G$5:$G$1640,A400,'Bank Lines'!$J$5:$J$1640,1,'Bank Lines'!$C$5:$C$1640,"&lt;="&amp;Cover!$C$13)</f>
        <v>0</v>
      </c>
      <c r="P400">
        <f>COUNTIFS('Odoo Items'!$J$5:$J$4331,A400,'Odoo Items'!$C$5:$C$4331,"&lt;="&amp;Cover!$C$13)</f>
        <v>0</v>
      </c>
      <c r="Q400">
        <f>IF(AND(O400=0,P400=0),"",IF(O400=0,"ODOO-ONLY",IF(P400=0,"BANK-ONLY","BOTH")))</f>
      </c>
      <c r="R400" s="9">
        <f>IF(Q400="BOTH",ROUND(M400-N400,2),0)</f>
        <v>0</v>
      </c>
      <c r="S400" s="9">
        <f>ROUND(SUMIFS('Bank Lines'!$E$5:$E$1640,'Bank Lines'!$G$5:$G$1640,A400,'Bank Lines'!$J$5:$J$1640,1,'Bank Lines'!$C$5:$C$1640,"&lt;="&amp;Cover!$C$14),2)</f>
        <v>0</v>
      </c>
      <c r="T400" s="9">
        <f>ROUND(SUMIFS('Odoo Items'!$G$5:$G$4331,'Odoo Items'!$J$5:$J$4331,A400,'Odoo Items'!$C$5:$C$4331,"&lt;="&amp;Cover!$C$14),2)</f>
        <v>0</v>
      </c>
      <c r="U400">
        <f>COUNTIFS('Bank Lines'!$G$5:$G$1640,A400,'Bank Lines'!$J$5:$J$1640,1,'Bank Lines'!$C$5:$C$1640,"&lt;="&amp;Cover!$C$14)</f>
        <v>0</v>
      </c>
      <c r="V400">
        <f>COUNTIFS('Odoo Items'!$J$5:$J$4331,A400,'Odoo Items'!$C$5:$C$4331,"&lt;="&amp;Cover!$C$14)</f>
        <v>0</v>
      </c>
      <c r="W400">
        <f>IF(AND(U400=0,V400=0),"",IF(U400=0,"ODOO-ONLY",IF(V400=0,"BANK-ONLY","BOTH")))</f>
      </c>
      <c r="X400" s="9">
        <f>IF(W400="BOTH",ROUND(S400-T400,2),0)</f>
        <v>0</v>
      </c>
      <c r="Y400" s="9">
        <f>ROUND(SUMIFS('Bank Lines'!$E$5:$E$1640,'Bank Lines'!$G$5:$G$1640,A400,'Bank Lines'!$J$5:$J$1640,1,'Bank Lines'!$C$5:$C$1640,"&lt;="&amp;Cover!$C$15),2)</f>
        <v>708.96</v>
      </c>
      <c r="Z400" s="9">
        <f>ROUND(SUMIFS('Odoo Items'!$G$5:$G$4331,'Odoo Items'!$J$5:$J$4331,A400,'Odoo Items'!$C$5:$C$4331,"&lt;="&amp;Cover!$C$15),2)</f>
        <v>708.96</v>
      </c>
      <c r="AA400">
        <f>COUNTIFS('Bank Lines'!$G$5:$G$1640,A400,'Bank Lines'!$J$5:$J$1640,1,'Bank Lines'!$C$5:$C$1640,"&lt;="&amp;Cover!$C$15)</f>
        <v>1</v>
      </c>
      <c r="AB400">
        <f>COUNTIFS('Odoo Items'!$J$5:$J$4331,A400,'Odoo Items'!$C$5:$C$4331,"&lt;="&amp;Cover!$C$15)</f>
        <v>2</v>
      </c>
      <c r="AC400" t="str">
        <f>IF(AND(AA400=0,AB400=0),"",IF(AA400=0,"ODOO-ONLY",IF(AB400=0,"BANK-ONLY","BOTH")))</f>
        <v>BOTH</v>
      </c>
      <c r="AD400" s="9">
        <f>IF(AC400="BOTH",ROUND(Y400-Z400,2),0)</f>
        <v>0</v>
      </c>
    </row>
    <row r="401">
      <c r="A401" t="inlineStr">
        <is>
          <t>G00397</t>
        </is>
      </c>
      <c r="B401" t="inlineStr">
        <is>
          <t>OPS</t>
        </is>
      </c>
      <c r="C401" t="inlineStr">
        <is>
          <t>R03</t>
        </is>
      </c>
      <c r="D401" t="inlineStr">
        <is>
          <t>MATCH</t>
        </is>
      </c>
      <c r="E401" t="inlineStr">
        <is>
          <t>Riverbend Plan Partners</t>
        </is>
      </c>
      <c r="F401" t="n">
        <v>1</v>
      </c>
      <c r="G401" t="inlineStr">
        <is>
          <t>6 invoices</t>
        </is>
      </c>
      <c r="H401">
        <f>COUNTIFS('Bank Lines'!$G$5:$G$1640,A401,'Bank Lines'!$J$5:$J$1640,1)</f>
        <v>1</v>
      </c>
      <c r="I401">
        <f>COUNTIFS('Odoo Items'!$J$5:$J$4331,A401)</f>
        <v>6</v>
      </c>
      <c r="J401" s="9">
        <f>ROUND(SUMIFS('Bank Lines'!$E$5:$E$1640,'Bank Lines'!$G$5:$G$1640,A401,'Bank Lines'!$J$5:$J$1640,1),2)</f>
        <v>1417.92</v>
      </c>
      <c r="K401" s="9">
        <f>ROUND(SUMIFS('Odoo Items'!$G$5:$G$4331,'Odoo Items'!$J$5:$J$4331,A401),2)</f>
        <v>1417.92</v>
      </c>
      <c r="L401" s="9">
        <f>ROUND(J401-K401,2)</f>
        <v>0</v>
      </c>
      <c r="M401" s="9">
        <f>ROUND(SUMIFS('Bank Lines'!$E$5:$E$1640,'Bank Lines'!$G$5:$G$1640,A401,'Bank Lines'!$J$5:$J$1640,1,'Bank Lines'!$C$5:$C$1640,"&lt;="&amp;Cover!$C$13),2)</f>
        <v>0</v>
      </c>
      <c r="N401" s="9">
        <f>ROUND(SUMIFS('Odoo Items'!$G$5:$G$4331,'Odoo Items'!$J$5:$J$4331,A401,'Odoo Items'!$C$5:$C$4331,"&lt;="&amp;Cover!$C$13),2)</f>
        <v>0</v>
      </c>
      <c r="O401">
        <f>COUNTIFS('Bank Lines'!$G$5:$G$1640,A401,'Bank Lines'!$J$5:$J$1640,1,'Bank Lines'!$C$5:$C$1640,"&lt;="&amp;Cover!$C$13)</f>
        <v>0</v>
      </c>
      <c r="P401">
        <f>COUNTIFS('Odoo Items'!$J$5:$J$4331,A401,'Odoo Items'!$C$5:$C$4331,"&lt;="&amp;Cover!$C$13)</f>
        <v>0</v>
      </c>
      <c r="Q401">
        <f>IF(AND(O401=0,P401=0),"",IF(O401=0,"ODOO-ONLY",IF(P401=0,"BANK-ONLY","BOTH")))</f>
      </c>
      <c r="R401" s="9">
        <f>IF(Q401="BOTH",ROUND(M401-N401,2),0)</f>
        <v>0</v>
      </c>
      <c r="S401" s="9">
        <f>ROUND(SUMIFS('Bank Lines'!$E$5:$E$1640,'Bank Lines'!$G$5:$G$1640,A401,'Bank Lines'!$J$5:$J$1640,1,'Bank Lines'!$C$5:$C$1640,"&lt;="&amp;Cover!$C$14),2)</f>
        <v>0</v>
      </c>
      <c r="T401" s="9">
        <f>ROUND(SUMIFS('Odoo Items'!$G$5:$G$4331,'Odoo Items'!$J$5:$J$4331,A401,'Odoo Items'!$C$5:$C$4331,"&lt;="&amp;Cover!$C$14),2)</f>
        <v>0</v>
      </c>
      <c r="U401">
        <f>COUNTIFS('Bank Lines'!$G$5:$G$1640,A401,'Bank Lines'!$J$5:$J$1640,1,'Bank Lines'!$C$5:$C$1640,"&lt;="&amp;Cover!$C$14)</f>
        <v>0</v>
      </c>
      <c r="V401">
        <f>COUNTIFS('Odoo Items'!$J$5:$J$4331,A401,'Odoo Items'!$C$5:$C$4331,"&lt;="&amp;Cover!$C$14)</f>
        <v>0</v>
      </c>
      <c r="W401">
        <f>IF(AND(U401=0,V401=0),"",IF(U401=0,"ODOO-ONLY",IF(V401=0,"BANK-ONLY","BOTH")))</f>
      </c>
      <c r="X401" s="9">
        <f>IF(W401="BOTH",ROUND(S401-T401,2),0)</f>
        <v>0</v>
      </c>
      <c r="Y401" s="9">
        <f>ROUND(SUMIFS('Bank Lines'!$E$5:$E$1640,'Bank Lines'!$G$5:$G$1640,A401,'Bank Lines'!$J$5:$J$1640,1,'Bank Lines'!$C$5:$C$1640,"&lt;="&amp;Cover!$C$15),2)</f>
        <v>1417.92</v>
      </c>
      <c r="Z401" s="9">
        <f>ROUND(SUMIFS('Odoo Items'!$G$5:$G$4331,'Odoo Items'!$J$5:$J$4331,A401,'Odoo Items'!$C$5:$C$4331,"&lt;="&amp;Cover!$C$15),2)</f>
        <v>1417.92</v>
      </c>
      <c r="AA401">
        <f>COUNTIFS('Bank Lines'!$G$5:$G$1640,A401,'Bank Lines'!$J$5:$J$1640,1,'Bank Lines'!$C$5:$C$1640,"&lt;="&amp;Cover!$C$15)</f>
        <v>1</v>
      </c>
      <c r="AB401">
        <f>COUNTIFS('Odoo Items'!$J$5:$J$4331,A401,'Odoo Items'!$C$5:$C$4331,"&lt;="&amp;Cover!$C$15)</f>
        <v>6</v>
      </c>
      <c r="AC401" t="str">
        <f>IF(AND(AA401=0,AB401=0),"",IF(AA401=0,"ODOO-ONLY",IF(AB401=0,"BANK-ONLY","BOTH")))</f>
        <v>BOTH</v>
      </c>
      <c r="AD401" s="9">
        <f>IF(AC401="BOTH",ROUND(Y401-Z401,2),0)</f>
        <v>0</v>
      </c>
    </row>
    <row r="402">
      <c r="A402" t="inlineStr">
        <is>
          <t>G00398</t>
        </is>
      </c>
      <c r="B402" t="inlineStr">
        <is>
          <t>OPS</t>
        </is>
      </c>
      <c r="C402" t="inlineStr">
        <is>
          <t>R03</t>
        </is>
      </c>
      <c r="D402" t="inlineStr">
        <is>
          <t>MATCH</t>
        </is>
      </c>
      <c r="E402" t="inlineStr">
        <is>
          <t>Wattle Plan Services</t>
        </is>
      </c>
      <c r="F402" t="n">
        <v>1</v>
      </c>
      <c r="G402" t="inlineStr">
        <is>
          <t>3 invoices</t>
        </is>
      </c>
      <c r="H402">
        <f>COUNTIFS('Bank Lines'!$G$5:$G$1640,A402,'Bank Lines'!$J$5:$J$1640,1)</f>
        <v>1</v>
      </c>
      <c r="I402">
        <f>COUNTIFS('Odoo Items'!$J$5:$J$4331,A402)</f>
        <v>3</v>
      </c>
      <c r="J402" s="9">
        <f>ROUND(SUMIFS('Bank Lines'!$E$5:$E$1640,'Bank Lines'!$G$5:$G$1640,A402,'Bank Lines'!$J$5:$J$1640,1),2)</f>
        <v>660.46</v>
      </c>
      <c r="K402" s="9">
        <f>ROUND(SUMIFS('Odoo Items'!$G$5:$G$4331,'Odoo Items'!$J$5:$J$4331,A402),2)</f>
        <v>660.46</v>
      </c>
      <c r="L402" s="9">
        <f>ROUND(J402-K402,2)</f>
        <v>0</v>
      </c>
      <c r="M402" s="9">
        <f>ROUND(SUMIFS('Bank Lines'!$E$5:$E$1640,'Bank Lines'!$G$5:$G$1640,A402,'Bank Lines'!$J$5:$J$1640,1,'Bank Lines'!$C$5:$C$1640,"&lt;="&amp;Cover!$C$13),2)</f>
        <v>0</v>
      </c>
      <c r="N402" s="9">
        <f>ROUND(SUMIFS('Odoo Items'!$G$5:$G$4331,'Odoo Items'!$J$5:$J$4331,A402,'Odoo Items'!$C$5:$C$4331,"&lt;="&amp;Cover!$C$13),2)</f>
        <v>0</v>
      </c>
      <c r="O402">
        <f>COUNTIFS('Bank Lines'!$G$5:$G$1640,A402,'Bank Lines'!$J$5:$J$1640,1,'Bank Lines'!$C$5:$C$1640,"&lt;="&amp;Cover!$C$13)</f>
        <v>0</v>
      </c>
      <c r="P402">
        <f>COUNTIFS('Odoo Items'!$J$5:$J$4331,A402,'Odoo Items'!$C$5:$C$4331,"&lt;="&amp;Cover!$C$13)</f>
        <v>0</v>
      </c>
      <c r="Q402">
        <f>IF(AND(O402=0,P402=0),"",IF(O402=0,"ODOO-ONLY",IF(P402=0,"BANK-ONLY","BOTH")))</f>
      </c>
      <c r="R402" s="9">
        <f>IF(Q402="BOTH",ROUND(M402-N402,2),0)</f>
        <v>0</v>
      </c>
      <c r="S402" s="9">
        <f>ROUND(SUMIFS('Bank Lines'!$E$5:$E$1640,'Bank Lines'!$G$5:$G$1640,A402,'Bank Lines'!$J$5:$J$1640,1,'Bank Lines'!$C$5:$C$1640,"&lt;="&amp;Cover!$C$14),2)</f>
        <v>0</v>
      </c>
      <c r="T402" s="9">
        <f>ROUND(SUMIFS('Odoo Items'!$G$5:$G$4331,'Odoo Items'!$J$5:$J$4331,A402,'Odoo Items'!$C$5:$C$4331,"&lt;="&amp;Cover!$C$14),2)</f>
        <v>0</v>
      </c>
      <c r="U402">
        <f>COUNTIFS('Bank Lines'!$G$5:$G$1640,A402,'Bank Lines'!$J$5:$J$1640,1,'Bank Lines'!$C$5:$C$1640,"&lt;="&amp;Cover!$C$14)</f>
        <v>0</v>
      </c>
      <c r="V402">
        <f>COUNTIFS('Odoo Items'!$J$5:$J$4331,A402,'Odoo Items'!$C$5:$C$4331,"&lt;="&amp;Cover!$C$14)</f>
        <v>0</v>
      </c>
      <c r="W402">
        <f>IF(AND(U402=0,V402=0),"",IF(U402=0,"ODOO-ONLY",IF(V402=0,"BANK-ONLY","BOTH")))</f>
      </c>
      <c r="X402" s="9">
        <f>IF(W402="BOTH",ROUND(S402-T402,2),0)</f>
        <v>0</v>
      </c>
      <c r="Y402" s="9">
        <f>ROUND(SUMIFS('Bank Lines'!$E$5:$E$1640,'Bank Lines'!$G$5:$G$1640,A402,'Bank Lines'!$J$5:$J$1640,1,'Bank Lines'!$C$5:$C$1640,"&lt;="&amp;Cover!$C$15),2)</f>
        <v>660.46</v>
      </c>
      <c r="Z402" s="9">
        <f>ROUND(SUMIFS('Odoo Items'!$G$5:$G$4331,'Odoo Items'!$J$5:$J$4331,A402,'Odoo Items'!$C$5:$C$4331,"&lt;="&amp;Cover!$C$15),2)</f>
        <v>660.46</v>
      </c>
      <c r="AA402">
        <f>COUNTIFS('Bank Lines'!$G$5:$G$1640,A402,'Bank Lines'!$J$5:$J$1640,1,'Bank Lines'!$C$5:$C$1640,"&lt;="&amp;Cover!$C$15)</f>
        <v>1</v>
      </c>
      <c r="AB402">
        <f>COUNTIFS('Odoo Items'!$J$5:$J$4331,A402,'Odoo Items'!$C$5:$C$4331,"&lt;="&amp;Cover!$C$15)</f>
        <v>3</v>
      </c>
      <c r="AC402" t="str">
        <f>IF(AND(AA402=0,AB402=0),"",IF(AA402=0,"ODOO-ONLY",IF(AB402=0,"BANK-ONLY","BOTH")))</f>
        <v>BOTH</v>
      </c>
      <c r="AD402" s="9">
        <f>IF(AC402="BOTH",ROUND(Y402-Z402,2),0)</f>
        <v>0</v>
      </c>
    </row>
    <row r="403">
      <c r="A403" t="inlineStr">
        <is>
          <t>G00399</t>
        </is>
      </c>
      <c r="B403" t="inlineStr">
        <is>
          <t>OPS</t>
        </is>
      </c>
      <c r="C403" t="inlineStr">
        <is>
          <t>R03</t>
        </is>
      </c>
      <c r="D403" t="inlineStr">
        <is>
          <t>MATCH</t>
        </is>
      </c>
      <c r="E403" t="inlineStr">
        <is>
          <t>Kookaburra Plan Support</t>
        </is>
      </c>
      <c r="F403" t="n">
        <v>1</v>
      </c>
      <c r="G403" t="inlineStr">
        <is>
          <t>4 invoices</t>
        </is>
      </c>
      <c r="H403">
        <f>COUNTIFS('Bank Lines'!$G$5:$G$1640,A403,'Bank Lines'!$J$5:$J$1640,1)</f>
        <v>1</v>
      </c>
      <c r="I403">
        <f>COUNTIFS('Odoo Items'!$J$5:$J$4331,A403)</f>
        <v>4</v>
      </c>
      <c r="J403" s="9">
        <f>ROUND(SUMIFS('Bank Lines'!$E$5:$E$1640,'Bank Lines'!$G$5:$G$1640,A403,'Bank Lines'!$J$5:$J$1640,1),2)</f>
        <v>776.86</v>
      </c>
      <c r="K403" s="9">
        <f>ROUND(SUMIFS('Odoo Items'!$G$5:$G$4331,'Odoo Items'!$J$5:$J$4331,A403),2)</f>
        <v>776.86</v>
      </c>
      <c r="L403" s="9">
        <f>ROUND(J403-K403,2)</f>
        <v>0</v>
      </c>
      <c r="M403" s="9">
        <f>ROUND(SUMIFS('Bank Lines'!$E$5:$E$1640,'Bank Lines'!$G$5:$G$1640,A403,'Bank Lines'!$J$5:$J$1640,1,'Bank Lines'!$C$5:$C$1640,"&lt;="&amp;Cover!$C$13),2)</f>
        <v>0</v>
      </c>
      <c r="N403" s="9">
        <f>ROUND(SUMIFS('Odoo Items'!$G$5:$G$4331,'Odoo Items'!$J$5:$J$4331,A403,'Odoo Items'!$C$5:$C$4331,"&lt;="&amp;Cover!$C$13),2)</f>
        <v>0</v>
      </c>
      <c r="O403">
        <f>COUNTIFS('Bank Lines'!$G$5:$G$1640,A403,'Bank Lines'!$J$5:$J$1640,1,'Bank Lines'!$C$5:$C$1640,"&lt;="&amp;Cover!$C$13)</f>
        <v>0</v>
      </c>
      <c r="P403">
        <f>COUNTIFS('Odoo Items'!$J$5:$J$4331,A403,'Odoo Items'!$C$5:$C$4331,"&lt;="&amp;Cover!$C$13)</f>
        <v>0</v>
      </c>
      <c r="Q403">
        <f>IF(AND(O403=0,P403=0),"",IF(O403=0,"ODOO-ONLY",IF(P403=0,"BANK-ONLY","BOTH")))</f>
      </c>
      <c r="R403" s="9">
        <f>IF(Q403="BOTH",ROUND(M403-N403,2),0)</f>
        <v>0</v>
      </c>
      <c r="S403" s="9">
        <f>ROUND(SUMIFS('Bank Lines'!$E$5:$E$1640,'Bank Lines'!$G$5:$G$1640,A403,'Bank Lines'!$J$5:$J$1640,1,'Bank Lines'!$C$5:$C$1640,"&lt;="&amp;Cover!$C$14),2)</f>
        <v>0</v>
      </c>
      <c r="T403" s="9">
        <f>ROUND(SUMIFS('Odoo Items'!$G$5:$G$4331,'Odoo Items'!$J$5:$J$4331,A403,'Odoo Items'!$C$5:$C$4331,"&lt;="&amp;Cover!$C$14),2)</f>
        <v>0</v>
      </c>
      <c r="U403">
        <f>COUNTIFS('Bank Lines'!$G$5:$G$1640,A403,'Bank Lines'!$J$5:$J$1640,1,'Bank Lines'!$C$5:$C$1640,"&lt;="&amp;Cover!$C$14)</f>
        <v>0</v>
      </c>
      <c r="V403">
        <f>COUNTIFS('Odoo Items'!$J$5:$J$4331,A403,'Odoo Items'!$C$5:$C$4331,"&lt;="&amp;Cover!$C$14)</f>
        <v>0</v>
      </c>
      <c r="W403">
        <f>IF(AND(U403=0,V403=0),"",IF(U403=0,"ODOO-ONLY",IF(V403=0,"BANK-ONLY","BOTH")))</f>
      </c>
      <c r="X403" s="9">
        <f>IF(W403="BOTH",ROUND(S403-T403,2),0)</f>
        <v>0</v>
      </c>
      <c r="Y403" s="9">
        <f>ROUND(SUMIFS('Bank Lines'!$E$5:$E$1640,'Bank Lines'!$G$5:$G$1640,A403,'Bank Lines'!$J$5:$J$1640,1,'Bank Lines'!$C$5:$C$1640,"&lt;="&amp;Cover!$C$15),2)</f>
        <v>776.86</v>
      </c>
      <c r="Z403" s="9">
        <f>ROUND(SUMIFS('Odoo Items'!$G$5:$G$4331,'Odoo Items'!$J$5:$J$4331,A403,'Odoo Items'!$C$5:$C$4331,"&lt;="&amp;Cover!$C$15),2)</f>
        <v>776.86</v>
      </c>
      <c r="AA403">
        <f>COUNTIFS('Bank Lines'!$G$5:$G$1640,A403,'Bank Lines'!$J$5:$J$1640,1,'Bank Lines'!$C$5:$C$1640,"&lt;="&amp;Cover!$C$15)</f>
        <v>1</v>
      </c>
      <c r="AB403">
        <f>COUNTIFS('Odoo Items'!$J$5:$J$4331,A403,'Odoo Items'!$C$5:$C$4331,"&lt;="&amp;Cover!$C$15)</f>
        <v>4</v>
      </c>
      <c r="AC403" t="str">
        <f>IF(AND(AA403=0,AB403=0),"",IF(AA403=0,"ODOO-ONLY",IF(AB403=0,"BANK-ONLY","BOTH")))</f>
        <v>BOTH</v>
      </c>
      <c r="AD403" s="9">
        <f>IF(AC403="BOTH",ROUND(Y403-Z403,2),0)</f>
        <v>0</v>
      </c>
    </row>
    <row r="404">
      <c r="A404" t="inlineStr">
        <is>
          <t>G00400</t>
        </is>
      </c>
      <c r="B404" t="inlineStr">
        <is>
          <t>OPS</t>
        </is>
      </c>
      <c r="C404" t="inlineStr">
        <is>
          <t>R03</t>
        </is>
      </c>
      <c r="D404" t="inlineStr">
        <is>
          <t>MATCH</t>
        </is>
      </c>
      <c r="E404" t="inlineStr">
        <is>
          <t>Saltbush Plan Managers</t>
        </is>
      </c>
      <c r="F404" t="n">
        <v>1</v>
      </c>
      <c r="G404" t="inlineStr">
        <is>
          <t>5 invoices</t>
        </is>
      </c>
      <c r="H404">
        <f>COUNTIFS('Bank Lines'!$G$5:$G$1640,A404,'Bank Lines'!$J$5:$J$1640,1)</f>
        <v>1</v>
      </c>
      <c r="I404">
        <f>COUNTIFS('Odoo Items'!$J$5:$J$4331,A404)</f>
        <v>5</v>
      </c>
      <c r="J404" s="9">
        <f>ROUND(SUMIFS('Bank Lines'!$E$5:$E$1640,'Bank Lines'!$G$5:$G$1640,A404,'Bank Lines'!$J$5:$J$1640,1),2)</f>
        <v>1765.31</v>
      </c>
      <c r="K404" s="9">
        <f>ROUND(SUMIFS('Odoo Items'!$G$5:$G$4331,'Odoo Items'!$J$5:$J$4331,A404),2)</f>
        <v>1765.31</v>
      </c>
      <c r="L404" s="9">
        <f>ROUND(J404-K404,2)</f>
        <v>0</v>
      </c>
      <c r="M404" s="9">
        <f>ROUND(SUMIFS('Bank Lines'!$E$5:$E$1640,'Bank Lines'!$G$5:$G$1640,A404,'Bank Lines'!$J$5:$J$1640,1,'Bank Lines'!$C$5:$C$1640,"&lt;="&amp;Cover!$C$13),2)</f>
        <v>0</v>
      </c>
      <c r="N404" s="9">
        <f>ROUND(SUMIFS('Odoo Items'!$G$5:$G$4331,'Odoo Items'!$J$5:$J$4331,A404,'Odoo Items'!$C$5:$C$4331,"&lt;="&amp;Cover!$C$13),2)</f>
        <v>0</v>
      </c>
      <c r="O404">
        <f>COUNTIFS('Bank Lines'!$G$5:$G$1640,A404,'Bank Lines'!$J$5:$J$1640,1,'Bank Lines'!$C$5:$C$1640,"&lt;="&amp;Cover!$C$13)</f>
        <v>0</v>
      </c>
      <c r="P404">
        <f>COUNTIFS('Odoo Items'!$J$5:$J$4331,A404,'Odoo Items'!$C$5:$C$4331,"&lt;="&amp;Cover!$C$13)</f>
        <v>0</v>
      </c>
      <c r="Q404">
        <f>IF(AND(O404=0,P404=0),"",IF(O404=0,"ODOO-ONLY",IF(P404=0,"BANK-ONLY","BOTH")))</f>
      </c>
      <c r="R404" s="9">
        <f>IF(Q404="BOTH",ROUND(M404-N404,2),0)</f>
        <v>0</v>
      </c>
      <c r="S404" s="9">
        <f>ROUND(SUMIFS('Bank Lines'!$E$5:$E$1640,'Bank Lines'!$G$5:$G$1640,A404,'Bank Lines'!$J$5:$J$1640,1,'Bank Lines'!$C$5:$C$1640,"&lt;="&amp;Cover!$C$14),2)</f>
        <v>0</v>
      </c>
      <c r="T404" s="9">
        <f>ROUND(SUMIFS('Odoo Items'!$G$5:$G$4331,'Odoo Items'!$J$5:$J$4331,A404,'Odoo Items'!$C$5:$C$4331,"&lt;="&amp;Cover!$C$14),2)</f>
        <v>0</v>
      </c>
      <c r="U404">
        <f>COUNTIFS('Bank Lines'!$G$5:$G$1640,A404,'Bank Lines'!$J$5:$J$1640,1,'Bank Lines'!$C$5:$C$1640,"&lt;="&amp;Cover!$C$14)</f>
        <v>0</v>
      </c>
      <c r="V404">
        <f>COUNTIFS('Odoo Items'!$J$5:$J$4331,A404,'Odoo Items'!$C$5:$C$4331,"&lt;="&amp;Cover!$C$14)</f>
        <v>0</v>
      </c>
      <c r="W404">
        <f>IF(AND(U404=0,V404=0),"",IF(U404=0,"ODOO-ONLY",IF(V404=0,"BANK-ONLY","BOTH")))</f>
      </c>
      <c r="X404" s="9">
        <f>IF(W404="BOTH",ROUND(S404-T404,2),0)</f>
        <v>0</v>
      </c>
      <c r="Y404" s="9">
        <f>ROUND(SUMIFS('Bank Lines'!$E$5:$E$1640,'Bank Lines'!$G$5:$G$1640,A404,'Bank Lines'!$J$5:$J$1640,1,'Bank Lines'!$C$5:$C$1640,"&lt;="&amp;Cover!$C$15),2)</f>
        <v>1765.31</v>
      </c>
      <c r="Z404" s="9">
        <f>ROUND(SUMIFS('Odoo Items'!$G$5:$G$4331,'Odoo Items'!$J$5:$J$4331,A404,'Odoo Items'!$C$5:$C$4331,"&lt;="&amp;Cover!$C$15),2)</f>
        <v>1765.31</v>
      </c>
      <c r="AA404">
        <f>COUNTIFS('Bank Lines'!$G$5:$G$1640,A404,'Bank Lines'!$J$5:$J$1640,1,'Bank Lines'!$C$5:$C$1640,"&lt;="&amp;Cover!$C$15)</f>
        <v>1</v>
      </c>
      <c r="AB404">
        <f>COUNTIFS('Odoo Items'!$J$5:$J$4331,A404,'Odoo Items'!$C$5:$C$4331,"&lt;="&amp;Cover!$C$15)</f>
        <v>5</v>
      </c>
      <c r="AC404" t="str">
        <f>IF(AND(AA404=0,AB404=0),"",IF(AA404=0,"ODOO-ONLY",IF(AB404=0,"BANK-ONLY","BOTH")))</f>
        <v>BOTH</v>
      </c>
      <c r="AD404" s="9">
        <f>IF(AC404="BOTH",ROUND(Y404-Z404,2),0)</f>
        <v>0</v>
      </c>
    </row>
    <row r="405">
      <c r="A405" t="inlineStr">
        <is>
          <t>G00401</t>
        </is>
      </c>
      <c r="B405" t="inlineStr">
        <is>
          <t>OPS</t>
        </is>
      </c>
      <c r="C405" t="inlineStr">
        <is>
          <t>R03</t>
        </is>
      </c>
      <c r="D405" t="inlineStr">
        <is>
          <t>MATCH</t>
        </is>
      </c>
      <c r="E405" t="inlineStr">
        <is>
          <t>Redgum Plan Admin</t>
        </is>
      </c>
      <c r="F405" t="n">
        <v>1</v>
      </c>
      <c r="G405" t="inlineStr">
        <is>
          <t>3 invoices</t>
        </is>
      </c>
      <c r="H405">
        <f>COUNTIFS('Bank Lines'!$G$5:$G$1640,A405,'Bank Lines'!$J$5:$J$1640,1)</f>
        <v>1</v>
      </c>
      <c r="I405">
        <f>COUNTIFS('Odoo Items'!$J$5:$J$4331,A405)</f>
        <v>3</v>
      </c>
      <c r="J405" s="9">
        <f>ROUND(SUMIFS('Bank Lines'!$E$5:$E$1640,'Bank Lines'!$G$5:$G$1640,A405,'Bank Lines'!$J$5:$J$1640,1),2)</f>
        <v>649.87</v>
      </c>
      <c r="K405" s="9">
        <f>ROUND(SUMIFS('Odoo Items'!$G$5:$G$4331,'Odoo Items'!$J$5:$J$4331,A405),2)</f>
        <v>649.87</v>
      </c>
      <c r="L405" s="9">
        <f>ROUND(J405-K405,2)</f>
        <v>0</v>
      </c>
      <c r="M405" s="9">
        <f>ROUND(SUMIFS('Bank Lines'!$E$5:$E$1640,'Bank Lines'!$G$5:$G$1640,A405,'Bank Lines'!$J$5:$J$1640,1,'Bank Lines'!$C$5:$C$1640,"&lt;="&amp;Cover!$C$13),2)</f>
        <v>0</v>
      </c>
      <c r="N405" s="9">
        <f>ROUND(SUMIFS('Odoo Items'!$G$5:$G$4331,'Odoo Items'!$J$5:$J$4331,A405,'Odoo Items'!$C$5:$C$4331,"&lt;="&amp;Cover!$C$13),2)</f>
        <v>0</v>
      </c>
      <c r="O405">
        <f>COUNTIFS('Bank Lines'!$G$5:$G$1640,A405,'Bank Lines'!$J$5:$J$1640,1,'Bank Lines'!$C$5:$C$1640,"&lt;="&amp;Cover!$C$13)</f>
        <v>0</v>
      </c>
      <c r="P405">
        <f>COUNTIFS('Odoo Items'!$J$5:$J$4331,A405,'Odoo Items'!$C$5:$C$4331,"&lt;="&amp;Cover!$C$13)</f>
        <v>0</v>
      </c>
      <c r="Q405">
        <f>IF(AND(O405=0,P405=0),"",IF(O405=0,"ODOO-ONLY",IF(P405=0,"BANK-ONLY","BOTH")))</f>
      </c>
      <c r="R405" s="9">
        <f>IF(Q405="BOTH",ROUND(M405-N405,2),0)</f>
        <v>0</v>
      </c>
      <c r="S405" s="9">
        <f>ROUND(SUMIFS('Bank Lines'!$E$5:$E$1640,'Bank Lines'!$G$5:$G$1640,A405,'Bank Lines'!$J$5:$J$1640,1,'Bank Lines'!$C$5:$C$1640,"&lt;="&amp;Cover!$C$14),2)</f>
        <v>0</v>
      </c>
      <c r="T405" s="9">
        <f>ROUND(SUMIFS('Odoo Items'!$G$5:$G$4331,'Odoo Items'!$J$5:$J$4331,A405,'Odoo Items'!$C$5:$C$4331,"&lt;="&amp;Cover!$C$14),2)</f>
        <v>0</v>
      </c>
      <c r="U405">
        <f>COUNTIFS('Bank Lines'!$G$5:$G$1640,A405,'Bank Lines'!$J$5:$J$1640,1,'Bank Lines'!$C$5:$C$1640,"&lt;="&amp;Cover!$C$14)</f>
        <v>0</v>
      </c>
      <c r="V405">
        <f>COUNTIFS('Odoo Items'!$J$5:$J$4331,A405,'Odoo Items'!$C$5:$C$4331,"&lt;="&amp;Cover!$C$14)</f>
        <v>0</v>
      </c>
      <c r="W405">
        <f>IF(AND(U405=0,V405=0),"",IF(U405=0,"ODOO-ONLY",IF(V405=0,"BANK-ONLY","BOTH")))</f>
      </c>
      <c r="X405" s="9">
        <f>IF(W405="BOTH",ROUND(S405-T405,2),0)</f>
        <v>0</v>
      </c>
      <c r="Y405" s="9">
        <f>ROUND(SUMIFS('Bank Lines'!$E$5:$E$1640,'Bank Lines'!$G$5:$G$1640,A405,'Bank Lines'!$J$5:$J$1640,1,'Bank Lines'!$C$5:$C$1640,"&lt;="&amp;Cover!$C$15),2)</f>
        <v>649.87</v>
      </c>
      <c r="Z405" s="9">
        <f>ROUND(SUMIFS('Odoo Items'!$G$5:$G$4331,'Odoo Items'!$J$5:$J$4331,A405,'Odoo Items'!$C$5:$C$4331,"&lt;="&amp;Cover!$C$15),2)</f>
        <v>649.87</v>
      </c>
      <c r="AA405">
        <f>COUNTIFS('Bank Lines'!$G$5:$G$1640,A405,'Bank Lines'!$J$5:$J$1640,1,'Bank Lines'!$C$5:$C$1640,"&lt;="&amp;Cover!$C$15)</f>
        <v>1</v>
      </c>
      <c r="AB405">
        <f>COUNTIFS('Odoo Items'!$J$5:$J$4331,A405,'Odoo Items'!$C$5:$C$4331,"&lt;="&amp;Cover!$C$15)</f>
        <v>3</v>
      </c>
      <c r="AC405" t="str">
        <f>IF(AND(AA405=0,AB405=0),"",IF(AA405=0,"ODOO-ONLY",IF(AB405=0,"BANK-ONLY","BOTH")))</f>
        <v>BOTH</v>
      </c>
      <c r="AD405" s="9">
        <f>IF(AC405="BOTH",ROUND(Y405-Z405,2),0)</f>
        <v>0</v>
      </c>
    </row>
    <row r="406">
      <c r="A406" t="inlineStr">
        <is>
          <t>G00402</t>
        </is>
      </c>
      <c r="B406" t="inlineStr">
        <is>
          <t>OPS</t>
        </is>
      </c>
      <c r="C406" t="inlineStr">
        <is>
          <t>R03</t>
        </is>
      </c>
      <c r="D406" t="inlineStr">
        <is>
          <t>MATCH</t>
        </is>
      </c>
      <c r="E406" t="inlineStr">
        <is>
          <t>Lyrebird Plan Management</t>
        </is>
      </c>
      <c r="F406" t="n">
        <v>1</v>
      </c>
      <c r="G406" t="inlineStr">
        <is>
          <t>2 invoices</t>
        </is>
      </c>
      <c r="H406">
        <f>COUNTIFS('Bank Lines'!$G$5:$G$1640,A406,'Bank Lines'!$J$5:$J$1640,1)</f>
        <v>1</v>
      </c>
      <c r="I406">
        <f>COUNTIFS('Odoo Items'!$J$5:$J$4331,A406)</f>
        <v>2</v>
      </c>
      <c r="J406" s="9">
        <f>ROUND(SUMIFS('Bank Lines'!$E$5:$E$1640,'Bank Lines'!$G$5:$G$1640,A406,'Bank Lines'!$J$5:$J$1640,1),2)</f>
        <v>688.67</v>
      </c>
      <c r="K406" s="9">
        <f>ROUND(SUMIFS('Odoo Items'!$G$5:$G$4331,'Odoo Items'!$J$5:$J$4331,A406),2)</f>
        <v>688.67</v>
      </c>
      <c r="L406" s="9">
        <f>ROUND(J406-K406,2)</f>
        <v>0</v>
      </c>
      <c r="M406" s="9">
        <f>ROUND(SUMIFS('Bank Lines'!$E$5:$E$1640,'Bank Lines'!$G$5:$G$1640,A406,'Bank Lines'!$J$5:$J$1640,1,'Bank Lines'!$C$5:$C$1640,"&lt;="&amp;Cover!$C$13),2)</f>
        <v>0</v>
      </c>
      <c r="N406" s="9">
        <f>ROUND(SUMIFS('Odoo Items'!$G$5:$G$4331,'Odoo Items'!$J$5:$J$4331,A406,'Odoo Items'!$C$5:$C$4331,"&lt;="&amp;Cover!$C$13),2)</f>
        <v>0</v>
      </c>
      <c r="O406">
        <f>COUNTIFS('Bank Lines'!$G$5:$G$1640,A406,'Bank Lines'!$J$5:$J$1640,1,'Bank Lines'!$C$5:$C$1640,"&lt;="&amp;Cover!$C$13)</f>
        <v>0</v>
      </c>
      <c r="P406">
        <f>COUNTIFS('Odoo Items'!$J$5:$J$4331,A406,'Odoo Items'!$C$5:$C$4331,"&lt;="&amp;Cover!$C$13)</f>
        <v>0</v>
      </c>
      <c r="Q406">
        <f>IF(AND(O406=0,P406=0),"",IF(O406=0,"ODOO-ONLY",IF(P406=0,"BANK-ONLY","BOTH")))</f>
      </c>
      <c r="R406" s="9">
        <f>IF(Q406="BOTH",ROUND(M406-N406,2),0)</f>
        <v>0</v>
      </c>
      <c r="S406" s="9">
        <f>ROUND(SUMIFS('Bank Lines'!$E$5:$E$1640,'Bank Lines'!$G$5:$G$1640,A406,'Bank Lines'!$J$5:$J$1640,1,'Bank Lines'!$C$5:$C$1640,"&lt;="&amp;Cover!$C$14),2)</f>
        <v>0</v>
      </c>
      <c r="T406" s="9">
        <f>ROUND(SUMIFS('Odoo Items'!$G$5:$G$4331,'Odoo Items'!$J$5:$J$4331,A406,'Odoo Items'!$C$5:$C$4331,"&lt;="&amp;Cover!$C$14),2)</f>
        <v>0</v>
      </c>
      <c r="U406">
        <f>COUNTIFS('Bank Lines'!$G$5:$G$1640,A406,'Bank Lines'!$J$5:$J$1640,1,'Bank Lines'!$C$5:$C$1640,"&lt;="&amp;Cover!$C$14)</f>
        <v>0</v>
      </c>
      <c r="V406">
        <f>COUNTIFS('Odoo Items'!$J$5:$J$4331,A406,'Odoo Items'!$C$5:$C$4331,"&lt;="&amp;Cover!$C$14)</f>
        <v>0</v>
      </c>
      <c r="W406">
        <f>IF(AND(U406=0,V406=0),"",IF(U406=0,"ODOO-ONLY",IF(V406=0,"BANK-ONLY","BOTH")))</f>
      </c>
      <c r="X406" s="9">
        <f>IF(W406="BOTH",ROUND(S406-T406,2),0)</f>
        <v>0</v>
      </c>
      <c r="Y406" s="9">
        <f>ROUND(SUMIFS('Bank Lines'!$E$5:$E$1640,'Bank Lines'!$G$5:$G$1640,A406,'Bank Lines'!$J$5:$J$1640,1,'Bank Lines'!$C$5:$C$1640,"&lt;="&amp;Cover!$C$15),2)</f>
        <v>688.67</v>
      </c>
      <c r="Z406" s="9">
        <f>ROUND(SUMIFS('Odoo Items'!$G$5:$G$4331,'Odoo Items'!$J$5:$J$4331,A406,'Odoo Items'!$C$5:$C$4331,"&lt;="&amp;Cover!$C$15),2)</f>
        <v>688.67</v>
      </c>
      <c r="AA406">
        <f>COUNTIFS('Bank Lines'!$G$5:$G$1640,A406,'Bank Lines'!$J$5:$J$1640,1,'Bank Lines'!$C$5:$C$1640,"&lt;="&amp;Cover!$C$15)</f>
        <v>1</v>
      </c>
      <c r="AB406">
        <f>COUNTIFS('Odoo Items'!$J$5:$J$4331,A406,'Odoo Items'!$C$5:$C$4331,"&lt;="&amp;Cover!$C$15)</f>
        <v>2</v>
      </c>
      <c r="AC406" t="str">
        <f>IF(AND(AA406=0,AB406=0),"",IF(AA406=0,"ODOO-ONLY",IF(AB406=0,"BANK-ONLY","BOTH")))</f>
        <v>BOTH</v>
      </c>
      <c r="AD406" s="9">
        <f>IF(AC406="BOTH",ROUND(Y406-Z406,2),0)</f>
        <v>0</v>
      </c>
    </row>
    <row r="407">
      <c r="A407" t="inlineStr">
        <is>
          <t>G00403</t>
        </is>
      </c>
      <c r="B407" t="inlineStr">
        <is>
          <t>OPS</t>
        </is>
      </c>
      <c r="C407" t="inlineStr">
        <is>
          <t>R03</t>
        </is>
      </c>
      <c r="D407" t="inlineStr">
        <is>
          <t>REG</t>
        </is>
      </c>
      <c r="E407" t="inlineStr">
        <is>
          <t>Mallee Plan Services</t>
        </is>
      </c>
      <c r="F407" t="n">
        <v>1</v>
      </c>
      <c r="G407" t="inlineStr">
        <is>
          <t>Receipt not registered in Odoo; remittance RA45124 lists 2 invoices</t>
        </is>
      </c>
      <c r="H407">
        <f>COUNTIFS('Bank Lines'!$G$5:$G$1640,A407,'Bank Lines'!$J$5:$J$1640,1)</f>
        <v>1</v>
      </c>
      <c r="I407">
        <f>COUNTIFS('Odoo Items'!$J$5:$J$4331,A407)</f>
        <v>0</v>
      </c>
      <c r="J407" s="9">
        <f>ROUND(SUMIFS('Bank Lines'!$E$5:$E$1640,'Bank Lines'!$G$5:$G$1640,A407,'Bank Lines'!$J$5:$J$1640,1),2)</f>
        <v>300.68</v>
      </c>
      <c r="K407" s="9">
        <f>ROUND(SUMIFS('Odoo Items'!$G$5:$G$4331,'Odoo Items'!$J$5:$J$4331,A407),2)</f>
        <v>0</v>
      </c>
      <c r="L407" s="9">
        <f>ROUND(J407-K407,2)</f>
        <v>300.68</v>
      </c>
      <c r="M407" s="9">
        <f>ROUND(SUMIFS('Bank Lines'!$E$5:$E$1640,'Bank Lines'!$G$5:$G$1640,A407,'Bank Lines'!$J$5:$J$1640,1,'Bank Lines'!$C$5:$C$1640,"&lt;="&amp;Cover!$C$13),2)</f>
        <v>0</v>
      </c>
      <c r="N407" s="9">
        <f>ROUND(SUMIFS('Odoo Items'!$G$5:$G$4331,'Odoo Items'!$J$5:$J$4331,A407,'Odoo Items'!$C$5:$C$4331,"&lt;="&amp;Cover!$C$13),2)</f>
        <v>0</v>
      </c>
      <c r="O407">
        <f>COUNTIFS('Bank Lines'!$G$5:$G$1640,A407,'Bank Lines'!$J$5:$J$1640,1,'Bank Lines'!$C$5:$C$1640,"&lt;="&amp;Cover!$C$13)</f>
        <v>0</v>
      </c>
      <c r="P407">
        <f>COUNTIFS('Odoo Items'!$J$5:$J$4331,A407,'Odoo Items'!$C$5:$C$4331,"&lt;="&amp;Cover!$C$13)</f>
        <v>0</v>
      </c>
      <c r="Q407">
        <f>IF(AND(O407=0,P407=0),"",IF(O407=0,"ODOO-ONLY",IF(P407=0,"BANK-ONLY","BOTH")))</f>
      </c>
      <c r="R407" s="9">
        <f>IF(Q407="BOTH",ROUND(M407-N407,2),0)</f>
        <v>0</v>
      </c>
      <c r="S407" s="9">
        <f>ROUND(SUMIFS('Bank Lines'!$E$5:$E$1640,'Bank Lines'!$G$5:$G$1640,A407,'Bank Lines'!$J$5:$J$1640,1,'Bank Lines'!$C$5:$C$1640,"&lt;="&amp;Cover!$C$14),2)</f>
        <v>0</v>
      </c>
      <c r="T407" s="9">
        <f>ROUND(SUMIFS('Odoo Items'!$G$5:$G$4331,'Odoo Items'!$J$5:$J$4331,A407,'Odoo Items'!$C$5:$C$4331,"&lt;="&amp;Cover!$C$14),2)</f>
        <v>0</v>
      </c>
      <c r="U407">
        <f>COUNTIFS('Bank Lines'!$G$5:$G$1640,A407,'Bank Lines'!$J$5:$J$1640,1,'Bank Lines'!$C$5:$C$1640,"&lt;="&amp;Cover!$C$14)</f>
        <v>0</v>
      </c>
      <c r="V407">
        <f>COUNTIFS('Odoo Items'!$J$5:$J$4331,A407,'Odoo Items'!$C$5:$C$4331,"&lt;="&amp;Cover!$C$14)</f>
        <v>0</v>
      </c>
      <c r="W407">
        <f>IF(AND(U407=0,V407=0),"",IF(U407=0,"ODOO-ONLY",IF(V407=0,"BANK-ONLY","BOTH")))</f>
      </c>
      <c r="X407" s="9">
        <f>IF(W407="BOTH",ROUND(S407-T407,2),0)</f>
        <v>0</v>
      </c>
      <c r="Y407" s="9">
        <f>ROUND(SUMIFS('Bank Lines'!$E$5:$E$1640,'Bank Lines'!$G$5:$G$1640,A407,'Bank Lines'!$J$5:$J$1640,1,'Bank Lines'!$C$5:$C$1640,"&lt;="&amp;Cover!$C$15),2)</f>
        <v>300.68</v>
      </c>
      <c r="Z407" s="9">
        <f>ROUND(SUMIFS('Odoo Items'!$G$5:$G$4331,'Odoo Items'!$J$5:$J$4331,A407,'Odoo Items'!$C$5:$C$4331,"&lt;="&amp;Cover!$C$15),2)</f>
        <v>0</v>
      </c>
      <c r="AA407">
        <f>COUNTIFS('Bank Lines'!$G$5:$G$1640,A407,'Bank Lines'!$J$5:$J$1640,1,'Bank Lines'!$C$5:$C$1640,"&lt;="&amp;Cover!$C$15)</f>
        <v>1</v>
      </c>
      <c r="AB407">
        <f>COUNTIFS('Odoo Items'!$J$5:$J$4331,A407,'Odoo Items'!$C$5:$C$4331,"&lt;="&amp;Cover!$C$15)</f>
        <v>0</v>
      </c>
      <c r="AC407" t="str">
        <f>IF(AND(AA407=0,AB407=0),"",IF(AA407=0,"ODOO-ONLY",IF(AB407=0,"BANK-ONLY","BOTH")))</f>
        <v>BANK-ONLY</v>
      </c>
      <c r="AD407" s="9">
        <f>IF(AC407="BOTH",ROUND(Y407-Z407,2),0)</f>
        <v>0</v>
      </c>
    </row>
    <row r="408">
      <c r="A408" t="inlineStr">
        <is>
          <t>G00404</t>
        </is>
      </c>
      <c r="B408" t="inlineStr">
        <is>
          <t>OPS</t>
        </is>
      </c>
      <c r="C408" t="inlineStr">
        <is>
          <t>R03</t>
        </is>
      </c>
      <c r="D408" t="inlineStr">
        <is>
          <t>MATCH</t>
        </is>
      </c>
      <c r="E408" t="inlineStr">
        <is>
          <t>Clearpath NDIS Plans</t>
        </is>
      </c>
      <c r="F408" t="n">
        <v>1</v>
      </c>
      <c r="G408" t="inlineStr">
        <is>
          <t>3 invoices</t>
        </is>
      </c>
      <c r="H408">
        <f>COUNTIFS('Bank Lines'!$G$5:$G$1640,A408,'Bank Lines'!$J$5:$J$1640,1)</f>
        <v>1</v>
      </c>
      <c r="I408">
        <f>COUNTIFS('Odoo Items'!$J$5:$J$4331,A408)</f>
        <v>3</v>
      </c>
      <c r="J408" s="9">
        <f>ROUND(SUMIFS('Bank Lines'!$E$5:$E$1640,'Bank Lines'!$G$5:$G$1640,A408,'Bank Lines'!$J$5:$J$1640,1),2)</f>
        <v>640.17</v>
      </c>
      <c r="K408" s="9">
        <f>ROUND(SUMIFS('Odoo Items'!$G$5:$G$4331,'Odoo Items'!$J$5:$J$4331,A408),2)</f>
        <v>640.17</v>
      </c>
      <c r="L408" s="9">
        <f>ROUND(J408-K408,2)</f>
        <v>0</v>
      </c>
      <c r="M408" s="9">
        <f>ROUND(SUMIFS('Bank Lines'!$E$5:$E$1640,'Bank Lines'!$G$5:$G$1640,A408,'Bank Lines'!$J$5:$J$1640,1,'Bank Lines'!$C$5:$C$1640,"&lt;="&amp;Cover!$C$13),2)</f>
        <v>0</v>
      </c>
      <c r="N408" s="9">
        <f>ROUND(SUMIFS('Odoo Items'!$G$5:$G$4331,'Odoo Items'!$J$5:$J$4331,A408,'Odoo Items'!$C$5:$C$4331,"&lt;="&amp;Cover!$C$13),2)</f>
        <v>0</v>
      </c>
      <c r="O408">
        <f>COUNTIFS('Bank Lines'!$G$5:$G$1640,A408,'Bank Lines'!$J$5:$J$1640,1,'Bank Lines'!$C$5:$C$1640,"&lt;="&amp;Cover!$C$13)</f>
        <v>0</v>
      </c>
      <c r="P408">
        <f>COUNTIFS('Odoo Items'!$J$5:$J$4331,A408,'Odoo Items'!$C$5:$C$4331,"&lt;="&amp;Cover!$C$13)</f>
        <v>0</v>
      </c>
      <c r="Q408">
        <f>IF(AND(O408=0,P408=0),"",IF(O408=0,"ODOO-ONLY",IF(P408=0,"BANK-ONLY","BOTH")))</f>
      </c>
      <c r="R408" s="9">
        <f>IF(Q408="BOTH",ROUND(M408-N408,2),0)</f>
        <v>0</v>
      </c>
      <c r="S408" s="9">
        <f>ROUND(SUMIFS('Bank Lines'!$E$5:$E$1640,'Bank Lines'!$G$5:$G$1640,A408,'Bank Lines'!$J$5:$J$1640,1,'Bank Lines'!$C$5:$C$1640,"&lt;="&amp;Cover!$C$14),2)</f>
        <v>0</v>
      </c>
      <c r="T408" s="9">
        <f>ROUND(SUMIFS('Odoo Items'!$G$5:$G$4331,'Odoo Items'!$J$5:$J$4331,A408,'Odoo Items'!$C$5:$C$4331,"&lt;="&amp;Cover!$C$14),2)</f>
        <v>0</v>
      </c>
      <c r="U408">
        <f>COUNTIFS('Bank Lines'!$G$5:$G$1640,A408,'Bank Lines'!$J$5:$J$1640,1,'Bank Lines'!$C$5:$C$1640,"&lt;="&amp;Cover!$C$14)</f>
        <v>0</v>
      </c>
      <c r="V408">
        <f>COUNTIFS('Odoo Items'!$J$5:$J$4331,A408,'Odoo Items'!$C$5:$C$4331,"&lt;="&amp;Cover!$C$14)</f>
        <v>0</v>
      </c>
      <c r="W408">
        <f>IF(AND(U408=0,V408=0),"",IF(U408=0,"ODOO-ONLY",IF(V408=0,"BANK-ONLY","BOTH")))</f>
      </c>
      <c r="X408" s="9">
        <f>IF(W408="BOTH",ROUND(S408-T408,2),0)</f>
        <v>0</v>
      </c>
      <c r="Y408" s="9">
        <f>ROUND(SUMIFS('Bank Lines'!$E$5:$E$1640,'Bank Lines'!$G$5:$G$1640,A408,'Bank Lines'!$J$5:$J$1640,1,'Bank Lines'!$C$5:$C$1640,"&lt;="&amp;Cover!$C$15),2)</f>
        <v>640.17</v>
      </c>
      <c r="Z408" s="9">
        <f>ROUND(SUMIFS('Odoo Items'!$G$5:$G$4331,'Odoo Items'!$J$5:$J$4331,A408,'Odoo Items'!$C$5:$C$4331,"&lt;="&amp;Cover!$C$15),2)</f>
        <v>640.17</v>
      </c>
      <c r="AA408">
        <f>COUNTIFS('Bank Lines'!$G$5:$G$1640,A408,'Bank Lines'!$J$5:$J$1640,1,'Bank Lines'!$C$5:$C$1640,"&lt;="&amp;Cover!$C$15)</f>
        <v>1</v>
      </c>
      <c r="AB408">
        <f>COUNTIFS('Odoo Items'!$J$5:$J$4331,A408,'Odoo Items'!$C$5:$C$4331,"&lt;="&amp;Cover!$C$15)</f>
        <v>3</v>
      </c>
      <c r="AC408" t="str">
        <f>IF(AND(AA408=0,AB408=0),"",IF(AA408=0,"ODOO-ONLY",IF(AB408=0,"BANK-ONLY","BOTH")))</f>
        <v>BOTH</v>
      </c>
      <c r="AD408" s="9">
        <f>IF(AC408="BOTH",ROUND(Y408-Z408,2),0)</f>
        <v>0</v>
      </c>
    </row>
    <row r="409">
      <c r="A409" t="inlineStr">
        <is>
          <t>G00405</t>
        </is>
      </c>
      <c r="B409" t="inlineStr">
        <is>
          <t>OPS</t>
        </is>
      </c>
      <c r="C409" t="inlineStr">
        <is>
          <t>R03</t>
        </is>
      </c>
      <c r="D409" t="inlineStr">
        <is>
          <t>MATCH</t>
        </is>
      </c>
      <c r="E409" t="inlineStr">
        <is>
          <t>Wattle Plan Services</t>
        </is>
      </c>
      <c r="F409" t="n">
        <v>1</v>
      </c>
      <c r="G409" t="inlineStr">
        <is>
          <t>3 invoices</t>
        </is>
      </c>
      <c r="H409">
        <f>COUNTIFS('Bank Lines'!$G$5:$G$1640,A409,'Bank Lines'!$J$5:$J$1640,1)</f>
        <v>1</v>
      </c>
      <c r="I409">
        <f>COUNTIFS('Odoo Items'!$J$5:$J$4331,A409)</f>
        <v>3</v>
      </c>
      <c r="J409" s="9">
        <f>ROUND(SUMIFS('Bank Lines'!$E$5:$E$1640,'Bank Lines'!$G$5:$G$1640,A409,'Bank Lines'!$J$5:$J$1640,1),2)</f>
        <v>834.15</v>
      </c>
      <c r="K409" s="9">
        <f>ROUND(SUMIFS('Odoo Items'!$G$5:$G$4331,'Odoo Items'!$J$5:$J$4331,A409),2)</f>
        <v>834.15</v>
      </c>
      <c r="L409" s="9">
        <f>ROUND(J409-K409,2)</f>
        <v>0</v>
      </c>
      <c r="M409" s="9">
        <f>ROUND(SUMIFS('Bank Lines'!$E$5:$E$1640,'Bank Lines'!$G$5:$G$1640,A409,'Bank Lines'!$J$5:$J$1640,1,'Bank Lines'!$C$5:$C$1640,"&lt;="&amp;Cover!$C$13),2)</f>
        <v>0</v>
      </c>
      <c r="N409" s="9">
        <f>ROUND(SUMIFS('Odoo Items'!$G$5:$G$4331,'Odoo Items'!$J$5:$J$4331,A409,'Odoo Items'!$C$5:$C$4331,"&lt;="&amp;Cover!$C$13),2)</f>
        <v>0</v>
      </c>
      <c r="O409">
        <f>COUNTIFS('Bank Lines'!$G$5:$G$1640,A409,'Bank Lines'!$J$5:$J$1640,1,'Bank Lines'!$C$5:$C$1640,"&lt;="&amp;Cover!$C$13)</f>
        <v>0</v>
      </c>
      <c r="P409">
        <f>COUNTIFS('Odoo Items'!$J$5:$J$4331,A409,'Odoo Items'!$C$5:$C$4331,"&lt;="&amp;Cover!$C$13)</f>
        <v>0</v>
      </c>
      <c r="Q409">
        <f>IF(AND(O409=0,P409=0),"",IF(O409=0,"ODOO-ONLY",IF(P409=0,"BANK-ONLY","BOTH")))</f>
      </c>
      <c r="R409" s="9">
        <f>IF(Q409="BOTH",ROUND(M409-N409,2),0)</f>
        <v>0</v>
      </c>
      <c r="S409" s="9">
        <f>ROUND(SUMIFS('Bank Lines'!$E$5:$E$1640,'Bank Lines'!$G$5:$G$1640,A409,'Bank Lines'!$J$5:$J$1640,1,'Bank Lines'!$C$5:$C$1640,"&lt;="&amp;Cover!$C$14),2)</f>
        <v>0</v>
      </c>
      <c r="T409" s="9">
        <f>ROUND(SUMIFS('Odoo Items'!$G$5:$G$4331,'Odoo Items'!$J$5:$J$4331,A409,'Odoo Items'!$C$5:$C$4331,"&lt;="&amp;Cover!$C$14),2)</f>
        <v>0</v>
      </c>
      <c r="U409">
        <f>COUNTIFS('Bank Lines'!$G$5:$G$1640,A409,'Bank Lines'!$J$5:$J$1640,1,'Bank Lines'!$C$5:$C$1640,"&lt;="&amp;Cover!$C$14)</f>
        <v>0</v>
      </c>
      <c r="V409">
        <f>COUNTIFS('Odoo Items'!$J$5:$J$4331,A409,'Odoo Items'!$C$5:$C$4331,"&lt;="&amp;Cover!$C$14)</f>
        <v>0</v>
      </c>
      <c r="W409">
        <f>IF(AND(U409=0,V409=0),"",IF(U409=0,"ODOO-ONLY",IF(V409=0,"BANK-ONLY","BOTH")))</f>
      </c>
      <c r="X409" s="9">
        <f>IF(W409="BOTH",ROUND(S409-T409,2),0)</f>
        <v>0</v>
      </c>
      <c r="Y409" s="9">
        <f>ROUND(SUMIFS('Bank Lines'!$E$5:$E$1640,'Bank Lines'!$G$5:$G$1640,A409,'Bank Lines'!$J$5:$J$1640,1,'Bank Lines'!$C$5:$C$1640,"&lt;="&amp;Cover!$C$15),2)</f>
        <v>834.15</v>
      </c>
      <c r="Z409" s="9">
        <f>ROUND(SUMIFS('Odoo Items'!$G$5:$G$4331,'Odoo Items'!$J$5:$J$4331,A409,'Odoo Items'!$C$5:$C$4331,"&lt;="&amp;Cover!$C$15),2)</f>
        <v>834.15</v>
      </c>
      <c r="AA409">
        <f>COUNTIFS('Bank Lines'!$G$5:$G$1640,A409,'Bank Lines'!$J$5:$J$1640,1,'Bank Lines'!$C$5:$C$1640,"&lt;="&amp;Cover!$C$15)</f>
        <v>1</v>
      </c>
      <c r="AB409">
        <f>COUNTIFS('Odoo Items'!$J$5:$J$4331,A409,'Odoo Items'!$C$5:$C$4331,"&lt;="&amp;Cover!$C$15)</f>
        <v>3</v>
      </c>
      <c r="AC409" t="str">
        <f>IF(AND(AA409=0,AB409=0),"",IF(AA409=0,"ODOO-ONLY",IF(AB409=0,"BANK-ONLY","BOTH")))</f>
        <v>BOTH</v>
      </c>
      <c r="AD409" s="9">
        <f>IF(AC409="BOTH",ROUND(Y409-Z409,2),0)</f>
        <v>0</v>
      </c>
    </row>
    <row r="410">
      <c r="A410" t="inlineStr">
        <is>
          <t>G00406</t>
        </is>
      </c>
      <c r="B410" t="inlineStr">
        <is>
          <t>OPS</t>
        </is>
      </c>
      <c r="C410" t="inlineStr">
        <is>
          <t>R03</t>
        </is>
      </c>
      <c r="D410" t="inlineStr">
        <is>
          <t>REG</t>
        </is>
      </c>
      <c r="E410" t="inlineStr">
        <is>
          <t>Kookaburra Plan Support</t>
        </is>
      </c>
      <c r="F410" t="n">
        <v>1</v>
      </c>
      <c r="G410" t="inlineStr">
        <is>
          <t>Receipt not registered in Odoo; remittance RA45127 lists 3 invoices</t>
        </is>
      </c>
      <c r="H410">
        <f>COUNTIFS('Bank Lines'!$G$5:$G$1640,A410,'Bank Lines'!$J$5:$J$1640,1)</f>
        <v>1</v>
      </c>
      <c r="I410">
        <f>COUNTIFS('Odoo Items'!$J$5:$J$4331,A410)</f>
        <v>0</v>
      </c>
      <c r="J410" s="9">
        <f>ROUND(SUMIFS('Bank Lines'!$E$5:$E$1640,'Bank Lines'!$G$5:$G$1640,A410,'Bank Lines'!$J$5:$J$1640,1),2)</f>
        <v>1009.65</v>
      </c>
      <c r="K410" s="9">
        <f>ROUND(SUMIFS('Odoo Items'!$G$5:$G$4331,'Odoo Items'!$J$5:$J$4331,A410),2)</f>
        <v>0</v>
      </c>
      <c r="L410" s="9">
        <f>ROUND(J410-K410,2)</f>
        <v>1009.65</v>
      </c>
      <c r="M410" s="9">
        <f>ROUND(SUMIFS('Bank Lines'!$E$5:$E$1640,'Bank Lines'!$G$5:$G$1640,A410,'Bank Lines'!$J$5:$J$1640,1,'Bank Lines'!$C$5:$C$1640,"&lt;="&amp;Cover!$C$13),2)</f>
        <v>0</v>
      </c>
      <c r="N410" s="9">
        <f>ROUND(SUMIFS('Odoo Items'!$G$5:$G$4331,'Odoo Items'!$J$5:$J$4331,A410,'Odoo Items'!$C$5:$C$4331,"&lt;="&amp;Cover!$C$13),2)</f>
        <v>0</v>
      </c>
      <c r="O410">
        <f>COUNTIFS('Bank Lines'!$G$5:$G$1640,A410,'Bank Lines'!$J$5:$J$1640,1,'Bank Lines'!$C$5:$C$1640,"&lt;="&amp;Cover!$C$13)</f>
        <v>0</v>
      </c>
      <c r="P410">
        <f>COUNTIFS('Odoo Items'!$J$5:$J$4331,A410,'Odoo Items'!$C$5:$C$4331,"&lt;="&amp;Cover!$C$13)</f>
        <v>0</v>
      </c>
      <c r="Q410">
        <f>IF(AND(O410=0,P410=0),"",IF(O410=0,"ODOO-ONLY",IF(P410=0,"BANK-ONLY","BOTH")))</f>
      </c>
      <c r="R410" s="9">
        <f>IF(Q410="BOTH",ROUND(M410-N410,2),0)</f>
        <v>0</v>
      </c>
      <c r="S410" s="9">
        <f>ROUND(SUMIFS('Bank Lines'!$E$5:$E$1640,'Bank Lines'!$G$5:$G$1640,A410,'Bank Lines'!$J$5:$J$1640,1,'Bank Lines'!$C$5:$C$1640,"&lt;="&amp;Cover!$C$14),2)</f>
        <v>0</v>
      </c>
      <c r="T410" s="9">
        <f>ROUND(SUMIFS('Odoo Items'!$G$5:$G$4331,'Odoo Items'!$J$5:$J$4331,A410,'Odoo Items'!$C$5:$C$4331,"&lt;="&amp;Cover!$C$14),2)</f>
        <v>0</v>
      </c>
      <c r="U410">
        <f>COUNTIFS('Bank Lines'!$G$5:$G$1640,A410,'Bank Lines'!$J$5:$J$1640,1,'Bank Lines'!$C$5:$C$1640,"&lt;="&amp;Cover!$C$14)</f>
        <v>0</v>
      </c>
      <c r="V410">
        <f>COUNTIFS('Odoo Items'!$J$5:$J$4331,A410,'Odoo Items'!$C$5:$C$4331,"&lt;="&amp;Cover!$C$14)</f>
        <v>0</v>
      </c>
      <c r="W410">
        <f>IF(AND(U410=0,V410=0),"",IF(U410=0,"ODOO-ONLY",IF(V410=0,"BANK-ONLY","BOTH")))</f>
      </c>
      <c r="X410" s="9">
        <f>IF(W410="BOTH",ROUND(S410-T410,2),0)</f>
        <v>0</v>
      </c>
      <c r="Y410" s="9">
        <f>ROUND(SUMIFS('Bank Lines'!$E$5:$E$1640,'Bank Lines'!$G$5:$G$1640,A410,'Bank Lines'!$J$5:$J$1640,1,'Bank Lines'!$C$5:$C$1640,"&lt;="&amp;Cover!$C$15),2)</f>
        <v>1009.65</v>
      </c>
      <c r="Z410" s="9">
        <f>ROUND(SUMIFS('Odoo Items'!$G$5:$G$4331,'Odoo Items'!$J$5:$J$4331,A410,'Odoo Items'!$C$5:$C$4331,"&lt;="&amp;Cover!$C$15),2)</f>
        <v>0</v>
      </c>
      <c r="AA410">
        <f>COUNTIFS('Bank Lines'!$G$5:$G$1640,A410,'Bank Lines'!$J$5:$J$1640,1,'Bank Lines'!$C$5:$C$1640,"&lt;="&amp;Cover!$C$15)</f>
        <v>1</v>
      </c>
      <c r="AB410">
        <f>COUNTIFS('Odoo Items'!$J$5:$J$4331,A410,'Odoo Items'!$C$5:$C$4331,"&lt;="&amp;Cover!$C$15)</f>
        <v>0</v>
      </c>
      <c r="AC410" t="str">
        <f>IF(AND(AA410=0,AB410=0),"",IF(AA410=0,"ODOO-ONLY",IF(AB410=0,"BANK-ONLY","BOTH")))</f>
        <v>BANK-ONLY</v>
      </c>
      <c r="AD410" s="9">
        <f>IF(AC410="BOTH",ROUND(Y410-Z410,2),0)</f>
        <v>0</v>
      </c>
    </row>
    <row r="411">
      <c r="A411" t="inlineStr">
        <is>
          <t>G00407</t>
        </is>
      </c>
      <c r="B411" t="inlineStr">
        <is>
          <t>OPS</t>
        </is>
      </c>
      <c r="C411" t="inlineStr">
        <is>
          <t>R03</t>
        </is>
      </c>
      <c r="D411" t="inlineStr">
        <is>
          <t>MATCH</t>
        </is>
      </c>
      <c r="E411" t="inlineStr">
        <is>
          <t>Southern Cross Plan Mgmt</t>
        </is>
      </c>
      <c r="F411" t="n">
        <v>1</v>
      </c>
      <c r="G411" t="inlineStr">
        <is>
          <t>12 invoices</t>
        </is>
      </c>
      <c r="H411">
        <f>COUNTIFS('Bank Lines'!$G$5:$G$1640,A411,'Bank Lines'!$J$5:$J$1640,1)</f>
        <v>1</v>
      </c>
      <c r="I411">
        <f>COUNTIFS('Odoo Items'!$J$5:$J$4331,A411)</f>
        <v>12</v>
      </c>
      <c r="J411" s="9">
        <f>ROUND(SUMIFS('Bank Lines'!$E$5:$E$1640,'Bank Lines'!$G$5:$G$1640,A411,'Bank Lines'!$J$5:$J$1640,1),2)</f>
        <v>3202.65</v>
      </c>
      <c r="K411" s="9">
        <f>ROUND(SUMIFS('Odoo Items'!$G$5:$G$4331,'Odoo Items'!$J$5:$J$4331,A411),2)</f>
        <v>3202.65</v>
      </c>
      <c r="L411" s="9">
        <f>ROUND(J411-K411,2)</f>
        <v>0</v>
      </c>
      <c r="M411" s="9">
        <f>ROUND(SUMIFS('Bank Lines'!$E$5:$E$1640,'Bank Lines'!$G$5:$G$1640,A411,'Bank Lines'!$J$5:$J$1640,1,'Bank Lines'!$C$5:$C$1640,"&lt;="&amp;Cover!$C$13),2)</f>
        <v>0</v>
      </c>
      <c r="N411" s="9">
        <f>ROUND(SUMIFS('Odoo Items'!$G$5:$G$4331,'Odoo Items'!$J$5:$J$4331,A411,'Odoo Items'!$C$5:$C$4331,"&lt;="&amp;Cover!$C$13),2)</f>
        <v>0</v>
      </c>
      <c r="O411">
        <f>COUNTIFS('Bank Lines'!$G$5:$G$1640,A411,'Bank Lines'!$J$5:$J$1640,1,'Bank Lines'!$C$5:$C$1640,"&lt;="&amp;Cover!$C$13)</f>
        <v>0</v>
      </c>
      <c r="P411">
        <f>COUNTIFS('Odoo Items'!$J$5:$J$4331,A411,'Odoo Items'!$C$5:$C$4331,"&lt;="&amp;Cover!$C$13)</f>
        <v>0</v>
      </c>
      <c r="Q411">
        <f>IF(AND(O411=0,P411=0),"",IF(O411=0,"ODOO-ONLY",IF(P411=0,"BANK-ONLY","BOTH")))</f>
      </c>
      <c r="R411" s="9">
        <f>IF(Q411="BOTH",ROUND(M411-N411,2),0)</f>
        <v>0</v>
      </c>
      <c r="S411" s="9">
        <f>ROUND(SUMIFS('Bank Lines'!$E$5:$E$1640,'Bank Lines'!$G$5:$G$1640,A411,'Bank Lines'!$J$5:$J$1640,1,'Bank Lines'!$C$5:$C$1640,"&lt;="&amp;Cover!$C$14),2)</f>
        <v>0</v>
      </c>
      <c r="T411" s="9">
        <f>ROUND(SUMIFS('Odoo Items'!$G$5:$G$4331,'Odoo Items'!$J$5:$J$4331,A411,'Odoo Items'!$C$5:$C$4331,"&lt;="&amp;Cover!$C$14),2)</f>
        <v>0</v>
      </c>
      <c r="U411">
        <f>COUNTIFS('Bank Lines'!$G$5:$G$1640,A411,'Bank Lines'!$J$5:$J$1640,1,'Bank Lines'!$C$5:$C$1640,"&lt;="&amp;Cover!$C$14)</f>
        <v>0</v>
      </c>
      <c r="V411">
        <f>COUNTIFS('Odoo Items'!$J$5:$J$4331,A411,'Odoo Items'!$C$5:$C$4331,"&lt;="&amp;Cover!$C$14)</f>
        <v>0</v>
      </c>
      <c r="W411">
        <f>IF(AND(U411=0,V411=0),"",IF(U411=0,"ODOO-ONLY",IF(V411=0,"BANK-ONLY","BOTH")))</f>
      </c>
      <c r="X411" s="9">
        <f>IF(W411="BOTH",ROUND(S411-T411,2),0)</f>
        <v>0</v>
      </c>
      <c r="Y411" s="9">
        <f>ROUND(SUMIFS('Bank Lines'!$E$5:$E$1640,'Bank Lines'!$G$5:$G$1640,A411,'Bank Lines'!$J$5:$J$1640,1,'Bank Lines'!$C$5:$C$1640,"&lt;="&amp;Cover!$C$15),2)</f>
        <v>3202.65</v>
      </c>
      <c r="Z411" s="9">
        <f>ROUND(SUMIFS('Odoo Items'!$G$5:$G$4331,'Odoo Items'!$J$5:$J$4331,A411,'Odoo Items'!$C$5:$C$4331,"&lt;="&amp;Cover!$C$15),2)</f>
        <v>3202.65</v>
      </c>
      <c r="AA411">
        <f>COUNTIFS('Bank Lines'!$G$5:$G$1640,A411,'Bank Lines'!$J$5:$J$1640,1,'Bank Lines'!$C$5:$C$1640,"&lt;="&amp;Cover!$C$15)</f>
        <v>1</v>
      </c>
      <c r="AB411">
        <f>COUNTIFS('Odoo Items'!$J$5:$J$4331,A411,'Odoo Items'!$C$5:$C$4331,"&lt;="&amp;Cover!$C$15)</f>
        <v>12</v>
      </c>
      <c r="AC411" t="str">
        <f>IF(AND(AA411=0,AB411=0),"",IF(AA411=0,"ODOO-ONLY",IF(AB411=0,"BANK-ONLY","BOTH")))</f>
        <v>BOTH</v>
      </c>
      <c r="AD411" s="9">
        <f>IF(AC411="BOTH",ROUND(Y411-Z411,2),0)</f>
        <v>0</v>
      </c>
    </row>
    <row r="412">
      <c r="A412" t="inlineStr">
        <is>
          <t>G00408</t>
        </is>
      </c>
      <c r="B412" t="inlineStr">
        <is>
          <t>OPS</t>
        </is>
      </c>
      <c r="C412" t="inlineStr">
        <is>
          <t>R03</t>
        </is>
      </c>
      <c r="D412" t="inlineStr">
        <is>
          <t>MATCH</t>
        </is>
      </c>
      <c r="E412" t="inlineStr">
        <is>
          <t>Tallowwood Plans</t>
        </is>
      </c>
      <c r="F412" t="n">
        <v>1</v>
      </c>
      <c r="G412" t="inlineStr">
        <is>
          <t>4 invoices</t>
        </is>
      </c>
      <c r="H412">
        <f>COUNTIFS('Bank Lines'!$G$5:$G$1640,A412,'Bank Lines'!$J$5:$J$1640,1)</f>
        <v>1</v>
      </c>
      <c r="I412">
        <f>COUNTIFS('Odoo Items'!$J$5:$J$4331,A412)</f>
        <v>4</v>
      </c>
      <c r="J412" s="9">
        <f>ROUND(SUMIFS('Bank Lines'!$E$5:$E$1640,'Bank Lines'!$G$5:$G$1640,A412,'Bank Lines'!$J$5:$J$1640,1),2)</f>
        <v>1116.34</v>
      </c>
      <c r="K412" s="9">
        <f>ROUND(SUMIFS('Odoo Items'!$G$5:$G$4331,'Odoo Items'!$J$5:$J$4331,A412),2)</f>
        <v>1116.34</v>
      </c>
      <c r="L412" s="9">
        <f>ROUND(J412-K412,2)</f>
        <v>0</v>
      </c>
      <c r="M412" s="9">
        <f>ROUND(SUMIFS('Bank Lines'!$E$5:$E$1640,'Bank Lines'!$G$5:$G$1640,A412,'Bank Lines'!$J$5:$J$1640,1,'Bank Lines'!$C$5:$C$1640,"&lt;="&amp;Cover!$C$13),2)</f>
        <v>0</v>
      </c>
      <c r="N412" s="9">
        <f>ROUND(SUMIFS('Odoo Items'!$G$5:$G$4331,'Odoo Items'!$J$5:$J$4331,A412,'Odoo Items'!$C$5:$C$4331,"&lt;="&amp;Cover!$C$13),2)</f>
        <v>0</v>
      </c>
      <c r="O412">
        <f>COUNTIFS('Bank Lines'!$G$5:$G$1640,A412,'Bank Lines'!$J$5:$J$1640,1,'Bank Lines'!$C$5:$C$1640,"&lt;="&amp;Cover!$C$13)</f>
        <v>0</v>
      </c>
      <c r="P412">
        <f>COUNTIFS('Odoo Items'!$J$5:$J$4331,A412,'Odoo Items'!$C$5:$C$4331,"&lt;="&amp;Cover!$C$13)</f>
        <v>0</v>
      </c>
      <c r="Q412">
        <f>IF(AND(O412=0,P412=0),"",IF(O412=0,"ODOO-ONLY",IF(P412=0,"BANK-ONLY","BOTH")))</f>
      </c>
      <c r="R412" s="9">
        <f>IF(Q412="BOTH",ROUND(M412-N412,2),0)</f>
        <v>0</v>
      </c>
      <c r="S412" s="9">
        <f>ROUND(SUMIFS('Bank Lines'!$E$5:$E$1640,'Bank Lines'!$G$5:$G$1640,A412,'Bank Lines'!$J$5:$J$1640,1,'Bank Lines'!$C$5:$C$1640,"&lt;="&amp;Cover!$C$14),2)</f>
        <v>0</v>
      </c>
      <c r="T412" s="9">
        <f>ROUND(SUMIFS('Odoo Items'!$G$5:$G$4331,'Odoo Items'!$J$5:$J$4331,A412,'Odoo Items'!$C$5:$C$4331,"&lt;="&amp;Cover!$C$14),2)</f>
        <v>0</v>
      </c>
      <c r="U412">
        <f>COUNTIFS('Bank Lines'!$G$5:$G$1640,A412,'Bank Lines'!$J$5:$J$1640,1,'Bank Lines'!$C$5:$C$1640,"&lt;="&amp;Cover!$C$14)</f>
        <v>0</v>
      </c>
      <c r="V412">
        <f>COUNTIFS('Odoo Items'!$J$5:$J$4331,A412,'Odoo Items'!$C$5:$C$4331,"&lt;="&amp;Cover!$C$14)</f>
        <v>0</v>
      </c>
      <c r="W412">
        <f>IF(AND(U412=0,V412=0),"",IF(U412=0,"ODOO-ONLY",IF(V412=0,"BANK-ONLY","BOTH")))</f>
      </c>
      <c r="X412" s="9">
        <f>IF(W412="BOTH",ROUND(S412-T412,2),0)</f>
        <v>0</v>
      </c>
      <c r="Y412" s="9">
        <f>ROUND(SUMIFS('Bank Lines'!$E$5:$E$1640,'Bank Lines'!$G$5:$G$1640,A412,'Bank Lines'!$J$5:$J$1640,1,'Bank Lines'!$C$5:$C$1640,"&lt;="&amp;Cover!$C$15),2)</f>
        <v>1116.34</v>
      </c>
      <c r="Z412" s="9">
        <f>ROUND(SUMIFS('Odoo Items'!$G$5:$G$4331,'Odoo Items'!$J$5:$J$4331,A412,'Odoo Items'!$C$5:$C$4331,"&lt;="&amp;Cover!$C$15),2)</f>
        <v>1116.34</v>
      </c>
      <c r="AA412">
        <f>COUNTIFS('Bank Lines'!$G$5:$G$1640,A412,'Bank Lines'!$J$5:$J$1640,1,'Bank Lines'!$C$5:$C$1640,"&lt;="&amp;Cover!$C$15)</f>
        <v>1</v>
      </c>
      <c r="AB412">
        <f>COUNTIFS('Odoo Items'!$J$5:$J$4331,A412,'Odoo Items'!$C$5:$C$4331,"&lt;="&amp;Cover!$C$15)</f>
        <v>4</v>
      </c>
      <c r="AC412" t="str">
        <f>IF(AND(AA412=0,AB412=0),"",IF(AA412=0,"ODOO-ONLY",IF(AB412=0,"BANK-ONLY","BOTH")))</f>
        <v>BOTH</v>
      </c>
      <c r="AD412" s="9">
        <f>IF(AC412="BOTH",ROUND(Y412-Z412,2),0)</f>
        <v>0</v>
      </c>
    </row>
    <row r="413">
      <c r="A413" t="inlineStr">
        <is>
          <t>G00409</t>
        </is>
      </c>
      <c r="B413" t="inlineStr">
        <is>
          <t>OPS</t>
        </is>
      </c>
      <c r="C413" t="inlineStr">
        <is>
          <t>R03</t>
        </is>
      </c>
      <c r="D413" t="inlineStr">
        <is>
          <t>MATCH</t>
        </is>
      </c>
      <c r="E413" t="inlineStr">
        <is>
          <t>Acacia Plan Partners</t>
        </is>
      </c>
      <c r="F413" t="n">
        <v>1</v>
      </c>
      <c r="G413" t="inlineStr">
        <is>
          <t>5 invoices</t>
        </is>
      </c>
      <c r="H413">
        <f>COUNTIFS('Bank Lines'!$G$5:$G$1640,A413,'Bank Lines'!$J$5:$J$1640,1)</f>
        <v>1</v>
      </c>
      <c r="I413">
        <f>COUNTIFS('Odoo Items'!$J$5:$J$4331,A413)</f>
        <v>5</v>
      </c>
      <c r="J413" s="9">
        <f>ROUND(SUMIFS('Bank Lines'!$E$5:$E$1640,'Bank Lines'!$G$5:$G$1640,A413,'Bank Lines'!$J$5:$J$1640,1),2)</f>
        <v>1455.83</v>
      </c>
      <c r="K413" s="9">
        <f>ROUND(SUMIFS('Odoo Items'!$G$5:$G$4331,'Odoo Items'!$J$5:$J$4331,A413),2)</f>
        <v>1455.83</v>
      </c>
      <c r="L413" s="9">
        <f>ROUND(J413-K413,2)</f>
        <v>0</v>
      </c>
      <c r="M413" s="9">
        <f>ROUND(SUMIFS('Bank Lines'!$E$5:$E$1640,'Bank Lines'!$G$5:$G$1640,A413,'Bank Lines'!$J$5:$J$1640,1,'Bank Lines'!$C$5:$C$1640,"&lt;="&amp;Cover!$C$13),2)</f>
        <v>0</v>
      </c>
      <c r="N413" s="9">
        <f>ROUND(SUMIFS('Odoo Items'!$G$5:$G$4331,'Odoo Items'!$J$5:$J$4331,A413,'Odoo Items'!$C$5:$C$4331,"&lt;="&amp;Cover!$C$13),2)</f>
        <v>0</v>
      </c>
      <c r="O413">
        <f>COUNTIFS('Bank Lines'!$G$5:$G$1640,A413,'Bank Lines'!$J$5:$J$1640,1,'Bank Lines'!$C$5:$C$1640,"&lt;="&amp;Cover!$C$13)</f>
        <v>0</v>
      </c>
      <c r="P413">
        <f>COUNTIFS('Odoo Items'!$J$5:$J$4331,A413,'Odoo Items'!$C$5:$C$4331,"&lt;="&amp;Cover!$C$13)</f>
        <v>0</v>
      </c>
      <c r="Q413">
        <f>IF(AND(O413=0,P413=0),"",IF(O413=0,"ODOO-ONLY",IF(P413=0,"BANK-ONLY","BOTH")))</f>
      </c>
      <c r="R413" s="9">
        <f>IF(Q413="BOTH",ROUND(M413-N413,2),0)</f>
        <v>0</v>
      </c>
      <c r="S413" s="9">
        <f>ROUND(SUMIFS('Bank Lines'!$E$5:$E$1640,'Bank Lines'!$G$5:$G$1640,A413,'Bank Lines'!$J$5:$J$1640,1,'Bank Lines'!$C$5:$C$1640,"&lt;="&amp;Cover!$C$14),2)</f>
        <v>0</v>
      </c>
      <c r="T413" s="9">
        <f>ROUND(SUMIFS('Odoo Items'!$G$5:$G$4331,'Odoo Items'!$J$5:$J$4331,A413,'Odoo Items'!$C$5:$C$4331,"&lt;="&amp;Cover!$C$14),2)</f>
        <v>0</v>
      </c>
      <c r="U413">
        <f>COUNTIFS('Bank Lines'!$G$5:$G$1640,A413,'Bank Lines'!$J$5:$J$1640,1,'Bank Lines'!$C$5:$C$1640,"&lt;="&amp;Cover!$C$14)</f>
        <v>0</v>
      </c>
      <c r="V413">
        <f>COUNTIFS('Odoo Items'!$J$5:$J$4331,A413,'Odoo Items'!$C$5:$C$4331,"&lt;="&amp;Cover!$C$14)</f>
        <v>0</v>
      </c>
      <c r="W413">
        <f>IF(AND(U413=0,V413=0),"",IF(U413=0,"ODOO-ONLY",IF(V413=0,"BANK-ONLY","BOTH")))</f>
      </c>
      <c r="X413" s="9">
        <f>IF(W413="BOTH",ROUND(S413-T413,2),0)</f>
        <v>0</v>
      </c>
      <c r="Y413" s="9">
        <f>ROUND(SUMIFS('Bank Lines'!$E$5:$E$1640,'Bank Lines'!$G$5:$G$1640,A413,'Bank Lines'!$J$5:$J$1640,1,'Bank Lines'!$C$5:$C$1640,"&lt;="&amp;Cover!$C$15),2)</f>
        <v>1455.83</v>
      </c>
      <c r="Z413" s="9">
        <f>ROUND(SUMIFS('Odoo Items'!$G$5:$G$4331,'Odoo Items'!$J$5:$J$4331,A413,'Odoo Items'!$C$5:$C$4331,"&lt;="&amp;Cover!$C$15),2)</f>
        <v>1455.83</v>
      </c>
      <c r="AA413">
        <f>COUNTIFS('Bank Lines'!$G$5:$G$1640,A413,'Bank Lines'!$J$5:$J$1640,1,'Bank Lines'!$C$5:$C$1640,"&lt;="&amp;Cover!$C$15)</f>
        <v>1</v>
      </c>
      <c r="AB413">
        <f>COUNTIFS('Odoo Items'!$J$5:$J$4331,A413,'Odoo Items'!$C$5:$C$4331,"&lt;="&amp;Cover!$C$15)</f>
        <v>5</v>
      </c>
      <c r="AC413" t="str">
        <f>IF(AND(AA413=0,AB413=0),"",IF(AA413=0,"ODOO-ONLY",IF(AB413=0,"BANK-ONLY","BOTH")))</f>
        <v>BOTH</v>
      </c>
      <c r="AD413" s="9">
        <f>IF(AC413="BOTH",ROUND(Y413-Z413,2),0)</f>
        <v>0</v>
      </c>
    </row>
    <row r="414">
      <c r="A414" t="inlineStr">
        <is>
          <t>G00410</t>
        </is>
      </c>
      <c r="B414" t="inlineStr">
        <is>
          <t>OPS</t>
        </is>
      </c>
      <c r="C414" t="inlineStr">
        <is>
          <t>R03</t>
        </is>
      </c>
      <c r="D414" t="inlineStr">
        <is>
          <t>REG</t>
        </is>
      </c>
      <c r="E414" t="inlineStr">
        <is>
          <t>Banksia Plan Co</t>
        </is>
      </c>
      <c r="F414" t="n">
        <v>0.929</v>
      </c>
      <c r="G414" t="inlineStr">
        <is>
          <t>Receipt not registered in Odoo; remittance RA45131 lists 6 invoices</t>
        </is>
      </c>
      <c r="H414">
        <f>COUNTIFS('Bank Lines'!$G$5:$G$1640,A414,'Bank Lines'!$J$5:$J$1640,1)</f>
        <v>1</v>
      </c>
      <c r="I414">
        <f>COUNTIFS('Odoo Items'!$J$5:$J$4331,A414)</f>
        <v>0</v>
      </c>
      <c r="J414" s="9">
        <f>ROUND(SUMIFS('Bank Lines'!$E$5:$E$1640,'Bank Lines'!$G$5:$G$1640,A414,'Bank Lines'!$J$5:$J$1640,1),2)</f>
        <v>1892.32</v>
      </c>
      <c r="K414" s="9">
        <f>ROUND(SUMIFS('Odoo Items'!$G$5:$G$4331,'Odoo Items'!$J$5:$J$4331,A414),2)</f>
        <v>0</v>
      </c>
      <c r="L414" s="9">
        <f>ROUND(J414-K414,2)</f>
        <v>1892.32</v>
      </c>
      <c r="M414" s="9">
        <f>ROUND(SUMIFS('Bank Lines'!$E$5:$E$1640,'Bank Lines'!$G$5:$G$1640,A414,'Bank Lines'!$J$5:$J$1640,1,'Bank Lines'!$C$5:$C$1640,"&lt;="&amp;Cover!$C$13),2)</f>
        <v>0</v>
      </c>
      <c r="N414" s="9">
        <f>ROUND(SUMIFS('Odoo Items'!$G$5:$G$4331,'Odoo Items'!$J$5:$J$4331,A414,'Odoo Items'!$C$5:$C$4331,"&lt;="&amp;Cover!$C$13),2)</f>
        <v>0</v>
      </c>
      <c r="O414">
        <f>COUNTIFS('Bank Lines'!$G$5:$G$1640,A414,'Bank Lines'!$J$5:$J$1640,1,'Bank Lines'!$C$5:$C$1640,"&lt;="&amp;Cover!$C$13)</f>
        <v>0</v>
      </c>
      <c r="P414">
        <f>COUNTIFS('Odoo Items'!$J$5:$J$4331,A414,'Odoo Items'!$C$5:$C$4331,"&lt;="&amp;Cover!$C$13)</f>
        <v>0</v>
      </c>
      <c r="Q414">
        <f>IF(AND(O414=0,P414=0),"",IF(O414=0,"ODOO-ONLY",IF(P414=0,"BANK-ONLY","BOTH")))</f>
      </c>
      <c r="R414" s="9">
        <f>IF(Q414="BOTH",ROUND(M414-N414,2),0)</f>
        <v>0</v>
      </c>
      <c r="S414" s="9">
        <f>ROUND(SUMIFS('Bank Lines'!$E$5:$E$1640,'Bank Lines'!$G$5:$G$1640,A414,'Bank Lines'!$J$5:$J$1640,1,'Bank Lines'!$C$5:$C$1640,"&lt;="&amp;Cover!$C$14),2)</f>
        <v>0</v>
      </c>
      <c r="T414" s="9">
        <f>ROUND(SUMIFS('Odoo Items'!$G$5:$G$4331,'Odoo Items'!$J$5:$J$4331,A414,'Odoo Items'!$C$5:$C$4331,"&lt;="&amp;Cover!$C$14),2)</f>
        <v>0</v>
      </c>
      <c r="U414">
        <f>COUNTIFS('Bank Lines'!$G$5:$G$1640,A414,'Bank Lines'!$J$5:$J$1640,1,'Bank Lines'!$C$5:$C$1640,"&lt;="&amp;Cover!$C$14)</f>
        <v>0</v>
      </c>
      <c r="V414">
        <f>COUNTIFS('Odoo Items'!$J$5:$J$4331,A414,'Odoo Items'!$C$5:$C$4331,"&lt;="&amp;Cover!$C$14)</f>
        <v>0</v>
      </c>
      <c r="W414">
        <f>IF(AND(U414=0,V414=0),"",IF(U414=0,"ODOO-ONLY",IF(V414=0,"BANK-ONLY","BOTH")))</f>
      </c>
      <c r="X414" s="9">
        <f>IF(W414="BOTH",ROUND(S414-T414,2),0)</f>
        <v>0</v>
      </c>
      <c r="Y414" s="9">
        <f>ROUND(SUMIFS('Bank Lines'!$E$5:$E$1640,'Bank Lines'!$G$5:$G$1640,A414,'Bank Lines'!$J$5:$J$1640,1,'Bank Lines'!$C$5:$C$1640,"&lt;="&amp;Cover!$C$15),2)</f>
        <v>1892.32</v>
      </c>
      <c r="Z414" s="9">
        <f>ROUND(SUMIFS('Odoo Items'!$G$5:$G$4331,'Odoo Items'!$J$5:$J$4331,A414,'Odoo Items'!$C$5:$C$4331,"&lt;="&amp;Cover!$C$15),2)</f>
        <v>0</v>
      </c>
      <c r="AA414">
        <f>COUNTIFS('Bank Lines'!$G$5:$G$1640,A414,'Bank Lines'!$J$5:$J$1640,1,'Bank Lines'!$C$5:$C$1640,"&lt;="&amp;Cover!$C$15)</f>
        <v>1</v>
      </c>
      <c r="AB414">
        <f>COUNTIFS('Odoo Items'!$J$5:$J$4331,A414,'Odoo Items'!$C$5:$C$4331,"&lt;="&amp;Cover!$C$15)</f>
        <v>0</v>
      </c>
      <c r="AC414" t="str">
        <f>IF(AND(AA414=0,AB414=0),"",IF(AA414=0,"ODOO-ONLY",IF(AB414=0,"BANK-ONLY","BOTH")))</f>
        <v>BANK-ONLY</v>
      </c>
      <c r="AD414" s="9">
        <f>IF(AC414="BOTH",ROUND(Y414-Z414,2),0)</f>
        <v>0</v>
      </c>
    </row>
    <row r="415">
      <c r="A415" t="inlineStr">
        <is>
          <t>G00411</t>
        </is>
      </c>
      <c r="B415" t="inlineStr">
        <is>
          <t>OPS</t>
        </is>
      </c>
      <c r="C415" t="inlineStr">
        <is>
          <t>R03</t>
        </is>
      </c>
      <c r="D415" t="inlineStr">
        <is>
          <t>MATCH</t>
        </is>
      </c>
      <c r="E415" t="inlineStr">
        <is>
          <t>Redgum Plan Admin</t>
        </is>
      </c>
      <c r="F415" t="n">
        <v>1</v>
      </c>
      <c r="G415" t="inlineStr">
        <is>
          <t>2 invoices</t>
        </is>
      </c>
      <c r="H415">
        <f>COUNTIFS('Bank Lines'!$G$5:$G$1640,A415,'Bank Lines'!$J$5:$J$1640,1)</f>
        <v>1</v>
      </c>
      <c r="I415">
        <f>COUNTIFS('Odoo Items'!$J$5:$J$4331,A415)</f>
        <v>2</v>
      </c>
      <c r="J415" s="9">
        <f>ROUND(SUMIFS('Bank Lines'!$E$5:$E$1640,'Bank Lines'!$G$5:$G$1640,A415,'Bank Lines'!$J$5:$J$1640,1),2)</f>
        <v>290.98</v>
      </c>
      <c r="K415" s="9">
        <f>ROUND(SUMIFS('Odoo Items'!$G$5:$G$4331,'Odoo Items'!$J$5:$J$4331,A415),2)</f>
        <v>290.98</v>
      </c>
      <c r="L415" s="9">
        <f>ROUND(J415-K415,2)</f>
        <v>0</v>
      </c>
      <c r="M415" s="9">
        <f>ROUND(SUMIFS('Bank Lines'!$E$5:$E$1640,'Bank Lines'!$G$5:$G$1640,A415,'Bank Lines'!$J$5:$J$1640,1,'Bank Lines'!$C$5:$C$1640,"&lt;="&amp;Cover!$C$13),2)</f>
        <v>0</v>
      </c>
      <c r="N415" s="9">
        <f>ROUND(SUMIFS('Odoo Items'!$G$5:$G$4331,'Odoo Items'!$J$5:$J$4331,A415,'Odoo Items'!$C$5:$C$4331,"&lt;="&amp;Cover!$C$13),2)</f>
        <v>0</v>
      </c>
      <c r="O415">
        <f>COUNTIFS('Bank Lines'!$G$5:$G$1640,A415,'Bank Lines'!$J$5:$J$1640,1,'Bank Lines'!$C$5:$C$1640,"&lt;="&amp;Cover!$C$13)</f>
        <v>0</v>
      </c>
      <c r="P415">
        <f>COUNTIFS('Odoo Items'!$J$5:$J$4331,A415,'Odoo Items'!$C$5:$C$4331,"&lt;="&amp;Cover!$C$13)</f>
        <v>0</v>
      </c>
      <c r="Q415">
        <f>IF(AND(O415=0,P415=0),"",IF(O415=0,"ODOO-ONLY",IF(P415=0,"BANK-ONLY","BOTH")))</f>
      </c>
      <c r="R415" s="9">
        <f>IF(Q415="BOTH",ROUND(M415-N415,2),0)</f>
        <v>0</v>
      </c>
      <c r="S415" s="9">
        <f>ROUND(SUMIFS('Bank Lines'!$E$5:$E$1640,'Bank Lines'!$G$5:$G$1640,A415,'Bank Lines'!$J$5:$J$1640,1,'Bank Lines'!$C$5:$C$1640,"&lt;="&amp;Cover!$C$14),2)</f>
        <v>0</v>
      </c>
      <c r="T415" s="9">
        <f>ROUND(SUMIFS('Odoo Items'!$G$5:$G$4331,'Odoo Items'!$J$5:$J$4331,A415,'Odoo Items'!$C$5:$C$4331,"&lt;="&amp;Cover!$C$14),2)</f>
        <v>0</v>
      </c>
      <c r="U415">
        <f>COUNTIFS('Bank Lines'!$G$5:$G$1640,A415,'Bank Lines'!$J$5:$J$1640,1,'Bank Lines'!$C$5:$C$1640,"&lt;="&amp;Cover!$C$14)</f>
        <v>0</v>
      </c>
      <c r="V415">
        <f>COUNTIFS('Odoo Items'!$J$5:$J$4331,A415,'Odoo Items'!$C$5:$C$4331,"&lt;="&amp;Cover!$C$14)</f>
        <v>0</v>
      </c>
      <c r="W415">
        <f>IF(AND(U415=0,V415=0),"",IF(U415=0,"ODOO-ONLY",IF(V415=0,"BANK-ONLY","BOTH")))</f>
      </c>
      <c r="X415" s="9">
        <f>IF(W415="BOTH",ROUND(S415-T415,2),0)</f>
        <v>0</v>
      </c>
      <c r="Y415" s="9">
        <f>ROUND(SUMIFS('Bank Lines'!$E$5:$E$1640,'Bank Lines'!$G$5:$G$1640,A415,'Bank Lines'!$J$5:$J$1640,1,'Bank Lines'!$C$5:$C$1640,"&lt;="&amp;Cover!$C$15),2)</f>
        <v>290.98</v>
      </c>
      <c r="Z415" s="9">
        <f>ROUND(SUMIFS('Odoo Items'!$G$5:$G$4331,'Odoo Items'!$J$5:$J$4331,A415,'Odoo Items'!$C$5:$C$4331,"&lt;="&amp;Cover!$C$15),2)</f>
        <v>290.98</v>
      </c>
      <c r="AA415">
        <f>COUNTIFS('Bank Lines'!$G$5:$G$1640,A415,'Bank Lines'!$J$5:$J$1640,1,'Bank Lines'!$C$5:$C$1640,"&lt;="&amp;Cover!$C$15)</f>
        <v>1</v>
      </c>
      <c r="AB415">
        <f>COUNTIFS('Odoo Items'!$J$5:$J$4331,A415,'Odoo Items'!$C$5:$C$4331,"&lt;="&amp;Cover!$C$15)</f>
        <v>2</v>
      </c>
      <c r="AC415" t="str">
        <f>IF(AND(AA415=0,AB415=0),"",IF(AA415=0,"ODOO-ONLY",IF(AB415=0,"BANK-ONLY","BOTH")))</f>
        <v>BOTH</v>
      </c>
      <c r="AD415" s="9">
        <f>IF(AC415="BOTH",ROUND(Y415-Z415,2),0)</f>
        <v>0</v>
      </c>
    </row>
    <row r="416">
      <c r="A416" t="inlineStr">
        <is>
          <t>G00412</t>
        </is>
      </c>
      <c r="B416" t="inlineStr">
        <is>
          <t>OPS</t>
        </is>
      </c>
      <c r="C416" t="inlineStr">
        <is>
          <t>R03</t>
        </is>
      </c>
      <c r="D416" t="inlineStr">
        <is>
          <t>MATCH</t>
        </is>
      </c>
      <c r="E416" t="inlineStr">
        <is>
          <t>Southern Cross Plan Mgmt</t>
        </is>
      </c>
      <c r="F416" t="n">
        <v>1</v>
      </c>
      <c r="G416" t="inlineStr">
        <is>
          <t>3 invoices</t>
        </is>
      </c>
      <c r="H416">
        <f>COUNTIFS('Bank Lines'!$G$5:$G$1640,A416,'Bank Lines'!$J$5:$J$1640,1)</f>
        <v>1</v>
      </c>
      <c r="I416">
        <f>COUNTIFS('Odoo Items'!$J$5:$J$4331,A416)</f>
        <v>3</v>
      </c>
      <c r="J416" s="9">
        <f>ROUND(SUMIFS('Bank Lines'!$E$5:$E$1640,'Bank Lines'!$G$5:$G$1640,A416,'Bank Lines'!$J$5:$J$1640,1),2)</f>
        <v>484.97</v>
      </c>
      <c r="K416" s="9">
        <f>ROUND(SUMIFS('Odoo Items'!$G$5:$G$4331,'Odoo Items'!$J$5:$J$4331,A416),2)</f>
        <v>484.97</v>
      </c>
      <c r="L416" s="9">
        <f>ROUND(J416-K416,2)</f>
        <v>0</v>
      </c>
      <c r="M416" s="9">
        <f>ROUND(SUMIFS('Bank Lines'!$E$5:$E$1640,'Bank Lines'!$G$5:$G$1640,A416,'Bank Lines'!$J$5:$J$1640,1,'Bank Lines'!$C$5:$C$1640,"&lt;="&amp;Cover!$C$13),2)</f>
        <v>0</v>
      </c>
      <c r="N416" s="9">
        <f>ROUND(SUMIFS('Odoo Items'!$G$5:$G$4331,'Odoo Items'!$J$5:$J$4331,A416,'Odoo Items'!$C$5:$C$4331,"&lt;="&amp;Cover!$C$13),2)</f>
        <v>0</v>
      </c>
      <c r="O416">
        <f>COUNTIFS('Bank Lines'!$G$5:$G$1640,A416,'Bank Lines'!$J$5:$J$1640,1,'Bank Lines'!$C$5:$C$1640,"&lt;="&amp;Cover!$C$13)</f>
        <v>0</v>
      </c>
      <c r="P416">
        <f>COUNTIFS('Odoo Items'!$J$5:$J$4331,A416,'Odoo Items'!$C$5:$C$4331,"&lt;="&amp;Cover!$C$13)</f>
        <v>0</v>
      </c>
      <c r="Q416">
        <f>IF(AND(O416=0,P416=0),"",IF(O416=0,"ODOO-ONLY",IF(P416=0,"BANK-ONLY","BOTH")))</f>
      </c>
      <c r="R416" s="9">
        <f>IF(Q416="BOTH",ROUND(M416-N416,2),0)</f>
        <v>0</v>
      </c>
      <c r="S416" s="9">
        <f>ROUND(SUMIFS('Bank Lines'!$E$5:$E$1640,'Bank Lines'!$G$5:$G$1640,A416,'Bank Lines'!$J$5:$J$1640,1,'Bank Lines'!$C$5:$C$1640,"&lt;="&amp;Cover!$C$14),2)</f>
        <v>0</v>
      </c>
      <c r="T416" s="9">
        <f>ROUND(SUMIFS('Odoo Items'!$G$5:$G$4331,'Odoo Items'!$J$5:$J$4331,A416,'Odoo Items'!$C$5:$C$4331,"&lt;="&amp;Cover!$C$14),2)</f>
        <v>0</v>
      </c>
      <c r="U416">
        <f>COUNTIFS('Bank Lines'!$G$5:$G$1640,A416,'Bank Lines'!$J$5:$J$1640,1,'Bank Lines'!$C$5:$C$1640,"&lt;="&amp;Cover!$C$14)</f>
        <v>0</v>
      </c>
      <c r="V416">
        <f>COUNTIFS('Odoo Items'!$J$5:$J$4331,A416,'Odoo Items'!$C$5:$C$4331,"&lt;="&amp;Cover!$C$14)</f>
        <v>0</v>
      </c>
      <c r="W416">
        <f>IF(AND(U416=0,V416=0),"",IF(U416=0,"ODOO-ONLY",IF(V416=0,"BANK-ONLY","BOTH")))</f>
      </c>
      <c r="X416" s="9">
        <f>IF(W416="BOTH",ROUND(S416-T416,2),0)</f>
        <v>0</v>
      </c>
      <c r="Y416" s="9">
        <f>ROUND(SUMIFS('Bank Lines'!$E$5:$E$1640,'Bank Lines'!$G$5:$G$1640,A416,'Bank Lines'!$J$5:$J$1640,1,'Bank Lines'!$C$5:$C$1640,"&lt;="&amp;Cover!$C$15),2)</f>
        <v>484.97</v>
      </c>
      <c r="Z416" s="9">
        <f>ROUND(SUMIFS('Odoo Items'!$G$5:$G$4331,'Odoo Items'!$J$5:$J$4331,A416,'Odoo Items'!$C$5:$C$4331,"&lt;="&amp;Cover!$C$15),2)</f>
        <v>484.97</v>
      </c>
      <c r="AA416">
        <f>COUNTIFS('Bank Lines'!$G$5:$G$1640,A416,'Bank Lines'!$J$5:$J$1640,1,'Bank Lines'!$C$5:$C$1640,"&lt;="&amp;Cover!$C$15)</f>
        <v>1</v>
      </c>
      <c r="AB416">
        <f>COUNTIFS('Odoo Items'!$J$5:$J$4331,A416,'Odoo Items'!$C$5:$C$4331,"&lt;="&amp;Cover!$C$15)</f>
        <v>3</v>
      </c>
      <c r="AC416" t="str">
        <f>IF(AND(AA416=0,AB416=0),"",IF(AA416=0,"ODOO-ONLY",IF(AB416=0,"BANK-ONLY","BOTH")))</f>
        <v>BOTH</v>
      </c>
      <c r="AD416" s="9">
        <f>IF(AC416="BOTH",ROUND(Y416-Z416,2),0)</f>
        <v>0</v>
      </c>
    </row>
    <row r="417">
      <c r="A417" t="inlineStr">
        <is>
          <t>G00413</t>
        </is>
      </c>
      <c r="B417" t="inlineStr">
        <is>
          <t>OPS</t>
        </is>
      </c>
      <c r="C417" t="inlineStr">
        <is>
          <t>R03</t>
        </is>
      </c>
      <c r="D417" t="inlineStr">
        <is>
          <t>MATCH</t>
        </is>
      </c>
      <c r="E417" t="inlineStr">
        <is>
          <t>Lyrebird Plan Management</t>
        </is>
      </c>
      <c r="F417" t="n">
        <v>1</v>
      </c>
      <c r="G417" t="inlineStr">
        <is>
          <t>4 invoices</t>
        </is>
      </c>
      <c r="H417">
        <f>COUNTIFS('Bank Lines'!$G$5:$G$1640,A417,'Bank Lines'!$J$5:$J$1640,1)</f>
        <v>1</v>
      </c>
      <c r="I417">
        <f>COUNTIFS('Odoo Items'!$J$5:$J$4331,A417)</f>
        <v>4</v>
      </c>
      <c r="J417" s="9">
        <f>ROUND(SUMIFS('Bank Lines'!$E$5:$E$1640,'Bank Lines'!$G$5:$G$1640,A417,'Bank Lines'!$J$5:$J$1640,1),2)</f>
        <v>1028.15</v>
      </c>
      <c r="K417" s="9">
        <f>ROUND(SUMIFS('Odoo Items'!$G$5:$G$4331,'Odoo Items'!$J$5:$J$4331,A417),2)</f>
        <v>1028.15</v>
      </c>
      <c r="L417" s="9">
        <f>ROUND(J417-K417,2)</f>
        <v>0</v>
      </c>
      <c r="M417" s="9">
        <f>ROUND(SUMIFS('Bank Lines'!$E$5:$E$1640,'Bank Lines'!$G$5:$G$1640,A417,'Bank Lines'!$J$5:$J$1640,1,'Bank Lines'!$C$5:$C$1640,"&lt;="&amp;Cover!$C$13),2)</f>
        <v>0</v>
      </c>
      <c r="N417" s="9">
        <f>ROUND(SUMIFS('Odoo Items'!$G$5:$G$4331,'Odoo Items'!$J$5:$J$4331,A417,'Odoo Items'!$C$5:$C$4331,"&lt;="&amp;Cover!$C$13),2)</f>
        <v>0</v>
      </c>
      <c r="O417">
        <f>COUNTIFS('Bank Lines'!$G$5:$G$1640,A417,'Bank Lines'!$J$5:$J$1640,1,'Bank Lines'!$C$5:$C$1640,"&lt;="&amp;Cover!$C$13)</f>
        <v>0</v>
      </c>
      <c r="P417">
        <f>COUNTIFS('Odoo Items'!$J$5:$J$4331,A417,'Odoo Items'!$C$5:$C$4331,"&lt;="&amp;Cover!$C$13)</f>
        <v>0</v>
      </c>
      <c r="Q417">
        <f>IF(AND(O417=0,P417=0),"",IF(O417=0,"ODOO-ONLY",IF(P417=0,"BANK-ONLY","BOTH")))</f>
      </c>
      <c r="R417" s="9">
        <f>IF(Q417="BOTH",ROUND(M417-N417,2),0)</f>
        <v>0</v>
      </c>
      <c r="S417" s="9">
        <f>ROUND(SUMIFS('Bank Lines'!$E$5:$E$1640,'Bank Lines'!$G$5:$G$1640,A417,'Bank Lines'!$J$5:$J$1640,1,'Bank Lines'!$C$5:$C$1640,"&lt;="&amp;Cover!$C$14),2)</f>
        <v>0</v>
      </c>
      <c r="T417" s="9">
        <f>ROUND(SUMIFS('Odoo Items'!$G$5:$G$4331,'Odoo Items'!$J$5:$J$4331,A417,'Odoo Items'!$C$5:$C$4331,"&lt;="&amp;Cover!$C$14),2)</f>
        <v>0</v>
      </c>
      <c r="U417">
        <f>COUNTIFS('Bank Lines'!$G$5:$G$1640,A417,'Bank Lines'!$J$5:$J$1640,1,'Bank Lines'!$C$5:$C$1640,"&lt;="&amp;Cover!$C$14)</f>
        <v>0</v>
      </c>
      <c r="V417">
        <f>COUNTIFS('Odoo Items'!$J$5:$J$4331,A417,'Odoo Items'!$C$5:$C$4331,"&lt;="&amp;Cover!$C$14)</f>
        <v>0</v>
      </c>
      <c r="W417">
        <f>IF(AND(U417=0,V417=0),"",IF(U417=0,"ODOO-ONLY",IF(V417=0,"BANK-ONLY","BOTH")))</f>
      </c>
      <c r="X417" s="9">
        <f>IF(W417="BOTH",ROUND(S417-T417,2),0)</f>
        <v>0</v>
      </c>
      <c r="Y417" s="9">
        <f>ROUND(SUMIFS('Bank Lines'!$E$5:$E$1640,'Bank Lines'!$G$5:$G$1640,A417,'Bank Lines'!$J$5:$J$1640,1,'Bank Lines'!$C$5:$C$1640,"&lt;="&amp;Cover!$C$15),2)</f>
        <v>1028.15</v>
      </c>
      <c r="Z417" s="9">
        <f>ROUND(SUMIFS('Odoo Items'!$G$5:$G$4331,'Odoo Items'!$J$5:$J$4331,A417,'Odoo Items'!$C$5:$C$4331,"&lt;="&amp;Cover!$C$15),2)</f>
        <v>1028.15</v>
      </c>
      <c r="AA417">
        <f>COUNTIFS('Bank Lines'!$G$5:$G$1640,A417,'Bank Lines'!$J$5:$J$1640,1,'Bank Lines'!$C$5:$C$1640,"&lt;="&amp;Cover!$C$15)</f>
        <v>1</v>
      </c>
      <c r="AB417">
        <f>COUNTIFS('Odoo Items'!$J$5:$J$4331,A417,'Odoo Items'!$C$5:$C$4331,"&lt;="&amp;Cover!$C$15)</f>
        <v>4</v>
      </c>
      <c r="AC417" t="str">
        <f>IF(AND(AA417=0,AB417=0),"",IF(AA417=0,"ODOO-ONLY",IF(AB417=0,"BANK-ONLY","BOTH")))</f>
        <v>BOTH</v>
      </c>
      <c r="AD417" s="9">
        <f>IF(AC417="BOTH",ROUND(Y417-Z417,2),0)</f>
        <v>0</v>
      </c>
    </row>
    <row r="418">
      <c r="A418" t="inlineStr">
        <is>
          <t>G00414</t>
        </is>
      </c>
      <c r="B418" t="inlineStr">
        <is>
          <t>OPS</t>
        </is>
      </c>
      <c r="C418" t="inlineStr">
        <is>
          <t>R03</t>
        </is>
      </c>
      <c r="D418" t="inlineStr">
        <is>
          <t>MATCH</t>
        </is>
      </c>
      <c r="E418" t="inlineStr">
        <is>
          <t>Mallee Plan Services</t>
        </is>
      </c>
      <c r="F418" t="n">
        <v>0.973</v>
      </c>
      <c r="G418" t="inlineStr">
        <is>
          <t>2 invoices</t>
        </is>
      </c>
      <c r="H418">
        <f>COUNTIFS('Bank Lines'!$G$5:$G$1640,A418,'Bank Lines'!$J$5:$J$1640,1)</f>
        <v>1</v>
      </c>
      <c r="I418">
        <f>COUNTIFS('Odoo Items'!$J$5:$J$4331,A418)</f>
        <v>2</v>
      </c>
      <c r="J418" s="9">
        <f>ROUND(SUMIFS('Bank Lines'!$E$5:$E$1640,'Bank Lines'!$G$5:$G$1640,A418,'Bank Lines'!$J$5:$J$1640,1),2)</f>
        <v>775.96</v>
      </c>
      <c r="K418" s="9">
        <f>ROUND(SUMIFS('Odoo Items'!$G$5:$G$4331,'Odoo Items'!$J$5:$J$4331,A418),2)</f>
        <v>775.96</v>
      </c>
      <c r="L418" s="9">
        <f>ROUND(J418-K418,2)</f>
        <v>0</v>
      </c>
      <c r="M418" s="9">
        <f>ROUND(SUMIFS('Bank Lines'!$E$5:$E$1640,'Bank Lines'!$G$5:$G$1640,A418,'Bank Lines'!$J$5:$J$1640,1,'Bank Lines'!$C$5:$C$1640,"&lt;="&amp;Cover!$C$13),2)</f>
        <v>0</v>
      </c>
      <c r="N418" s="9">
        <f>ROUND(SUMIFS('Odoo Items'!$G$5:$G$4331,'Odoo Items'!$J$5:$J$4331,A418,'Odoo Items'!$C$5:$C$4331,"&lt;="&amp;Cover!$C$13),2)</f>
        <v>0</v>
      </c>
      <c r="O418">
        <f>COUNTIFS('Bank Lines'!$G$5:$G$1640,A418,'Bank Lines'!$J$5:$J$1640,1,'Bank Lines'!$C$5:$C$1640,"&lt;="&amp;Cover!$C$13)</f>
        <v>0</v>
      </c>
      <c r="P418">
        <f>COUNTIFS('Odoo Items'!$J$5:$J$4331,A418,'Odoo Items'!$C$5:$C$4331,"&lt;="&amp;Cover!$C$13)</f>
        <v>0</v>
      </c>
      <c r="Q418">
        <f>IF(AND(O418=0,P418=0),"",IF(O418=0,"ODOO-ONLY",IF(P418=0,"BANK-ONLY","BOTH")))</f>
      </c>
      <c r="R418" s="9">
        <f>IF(Q418="BOTH",ROUND(M418-N418,2),0)</f>
        <v>0</v>
      </c>
      <c r="S418" s="9">
        <f>ROUND(SUMIFS('Bank Lines'!$E$5:$E$1640,'Bank Lines'!$G$5:$G$1640,A418,'Bank Lines'!$J$5:$J$1640,1,'Bank Lines'!$C$5:$C$1640,"&lt;="&amp;Cover!$C$14),2)</f>
        <v>0</v>
      </c>
      <c r="T418" s="9">
        <f>ROUND(SUMIFS('Odoo Items'!$G$5:$G$4331,'Odoo Items'!$J$5:$J$4331,A418,'Odoo Items'!$C$5:$C$4331,"&lt;="&amp;Cover!$C$14),2)</f>
        <v>0</v>
      </c>
      <c r="U418">
        <f>COUNTIFS('Bank Lines'!$G$5:$G$1640,A418,'Bank Lines'!$J$5:$J$1640,1,'Bank Lines'!$C$5:$C$1640,"&lt;="&amp;Cover!$C$14)</f>
        <v>0</v>
      </c>
      <c r="V418">
        <f>COUNTIFS('Odoo Items'!$J$5:$J$4331,A418,'Odoo Items'!$C$5:$C$4331,"&lt;="&amp;Cover!$C$14)</f>
        <v>0</v>
      </c>
      <c r="W418">
        <f>IF(AND(U418=0,V418=0),"",IF(U418=0,"ODOO-ONLY",IF(V418=0,"BANK-ONLY","BOTH")))</f>
      </c>
      <c r="X418" s="9">
        <f>IF(W418="BOTH",ROUND(S418-T418,2),0)</f>
        <v>0</v>
      </c>
      <c r="Y418" s="9">
        <f>ROUND(SUMIFS('Bank Lines'!$E$5:$E$1640,'Bank Lines'!$G$5:$G$1640,A418,'Bank Lines'!$J$5:$J$1640,1,'Bank Lines'!$C$5:$C$1640,"&lt;="&amp;Cover!$C$15),2)</f>
        <v>775.96</v>
      </c>
      <c r="Z418" s="9">
        <f>ROUND(SUMIFS('Odoo Items'!$G$5:$G$4331,'Odoo Items'!$J$5:$J$4331,A418,'Odoo Items'!$C$5:$C$4331,"&lt;="&amp;Cover!$C$15),2)</f>
        <v>775.96</v>
      </c>
      <c r="AA418">
        <f>COUNTIFS('Bank Lines'!$G$5:$G$1640,A418,'Bank Lines'!$J$5:$J$1640,1,'Bank Lines'!$C$5:$C$1640,"&lt;="&amp;Cover!$C$15)</f>
        <v>1</v>
      </c>
      <c r="AB418">
        <f>COUNTIFS('Odoo Items'!$J$5:$J$4331,A418,'Odoo Items'!$C$5:$C$4331,"&lt;="&amp;Cover!$C$15)</f>
        <v>2</v>
      </c>
      <c r="AC418" t="str">
        <f>IF(AND(AA418=0,AB418=0),"",IF(AA418=0,"ODOO-ONLY",IF(AB418=0,"BANK-ONLY","BOTH")))</f>
        <v>BOTH</v>
      </c>
      <c r="AD418" s="9">
        <f>IF(AC418="BOTH",ROUND(Y418-Z418,2),0)</f>
        <v>0</v>
      </c>
    </row>
    <row r="419">
      <c r="A419" t="inlineStr">
        <is>
          <t>G00415</t>
        </is>
      </c>
      <c r="B419" t="inlineStr">
        <is>
          <t>OPS</t>
        </is>
      </c>
      <c r="C419" t="inlineStr">
        <is>
          <t>R03</t>
        </is>
      </c>
      <c r="D419" t="inlineStr">
        <is>
          <t>MATCH</t>
        </is>
      </c>
      <c r="E419" t="inlineStr">
        <is>
          <t>Clearpath NDIS Plans</t>
        </is>
      </c>
      <c r="F419" t="n">
        <v>0.973</v>
      </c>
      <c r="G419" t="inlineStr">
        <is>
          <t>4 invoices</t>
        </is>
      </c>
      <c r="H419">
        <f>COUNTIFS('Bank Lines'!$G$5:$G$1640,A419,'Bank Lines'!$J$5:$J$1640,1)</f>
        <v>1</v>
      </c>
      <c r="I419">
        <f>COUNTIFS('Odoo Items'!$J$5:$J$4331,A419)</f>
        <v>4</v>
      </c>
      <c r="J419" s="9">
        <f>ROUND(SUMIFS('Bank Lines'!$E$5:$E$1640,'Bank Lines'!$G$5:$G$1640,A419,'Bank Lines'!$J$5:$J$1640,1),2)</f>
        <v>1058.14</v>
      </c>
      <c r="K419" s="9">
        <f>ROUND(SUMIFS('Odoo Items'!$G$5:$G$4331,'Odoo Items'!$J$5:$J$4331,A419),2)</f>
        <v>1058.14</v>
      </c>
      <c r="L419" s="9">
        <f>ROUND(J419-K419,2)</f>
        <v>0</v>
      </c>
      <c r="M419" s="9">
        <f>ROUND(SUMIFS('Bank Lines'!$E$5:$E$1640,'Bank Lines'!$G$5:$G$1640,A419,'Bank Lines'!$J$5:$J$1640,1,'Bank Lines'!$C$5:$C$1640,"&lt;="&amp;Cover!$C$13),2)</f>
        <v>0</v>
      </c>
      <c r="N419" s="9">
        <f>ROUND(SUMIFS('Odoo Items'!$G$5:$G$4331,'Odoo Items'!$J$5:$J$4331,A419,'Odoo Items'!$C$5:$C$4331,"&lt;="&amp;Cover!$C$13),2)</f>
        <v>0</v>
      </c>
      <c r="O419">
        <f>COUNTIFS('Bank Lines'!$G$5:$G$1640,A419,'Bank Lines'!$J$5:$J$1640,1,'Bank Lines'!$C$5:$C$1640,"&lt;="&amp;Cover!$C$13)</f>
        <v>0</v>
      </c>
      <c r="P419">
        <f>COUNTIFS('Odoo Items'!$J$5:$J$4331,A419,'Odoo Items'!$C$5:$C$4331,"&lt;="&amp;Cover!$C$13)</f>
        <v>0</v>
      </c>
      <c r="Q419">
        <f>IF(AND(O419=0,P419=0),"",IF(O419=0,"ODOO-ONLY",IF(P419=0,"BANK-ONLY","BOTH")))</f>
      </c>
      <c r="R419" s="9">
        <f>IF(Q419="BOTH",ROUND(M419-N419,2),0)</f>
        <v>0</v>
      </c>
      <c r="S419" s="9">
        <f>ROUND(SUMIFS('Bank Lines'!$E$5:$E$1640,'Bank Lines'!$G$5:$G$1640,A419,'Bank Lines'!$J$5:$J$1640,1,'Bank Lines'!$C$5:$C$1640,"&lt;="&amp;Cover!$C$14),2)</f>
        <v>0</v>
      </c>
      <c r="T419" s="9">
        <f>ROUND(SUMIFS('Odoo Items'!$G$5:$G$4331,'Odoo Items'!$J$5:$J$4331,A419,'Odoo Items'!$C$5:$C$4331,"&lt;="&amp;Cover!$C$14),2)</f>
        <v>0</v>
      </c>
      <c r="U419">
        <f>COUNTIFS('Bank Lines'!$G$5:$G$1640,A419,'Bank Lines'!$J$5:$J$1640,1,'Bank Lines'!$C$5:$C$1640,"&lt;="&amp;Cover!$C$14)</f>
        <v>0</v>
      </c>
      <c r="V419">
        <f>COUNTIFS('Odoo Items'!$J$5:$J$4331,A419,'Odoo Items'!$C$5:$C$4331,"&lt;="&amp;Cover!$C$14)</f>
        <v>0</v>
      </c>
      <c r="W419">
        <f>IF(AND(U419=0,V419=0),"",IF(U419=0,"ODOO-ONLY",IF(V419=0,"BANK-ONLY","BOTH")))</f>
      </c>
      <c r="X419" s="9">
        <f>IF(W419="BOTH",ROUND(S419-T419,2),0)</f>
        <v>0</v>
      </c>
      <c r="Y419" s="9">
        <f>ROUND(SUMIFS('Bank Lines'!$E$5:$E$1640,'Bank Lines'!$G$5:$G$1640,A419,'Bank Lines'!$J$5:$J$1640,1,'Bank Lines'!$C$5:$C$1640,"&lt;="&amp;Cover!$C$15),2)</f>
        <v>1058.14</v>
      </c>
      <c r="Z419" s="9">
        <f>ROUND(SUMIFS('Odoo Items'!$G$5:$G$4331,'Odoo Items'!$J$5:$J$4331,A419,'Odoo Items'!$C$5:$C$4331,"&lt;="&amp;Cover!$C$15),2)</f>
        <v>1058.14</v>
      </c>
      <c r="AA419">
        <f>COUNTIFS('Bank Lines'!$G$5:$G$1640,A419,'Bank Lines'!$J$5:$J$1640,1,'Bank Lines'!$C$5:$C$1640,"&lt;="&amp;Cover!$C$15)</f>
        <v>1</v>
      </c>
      <c r="AB419">
        <f>COUNTIFS('Odoo Items'!$J$5:$J$4331,A419,'Odoo Items'!$C$5:$C$4331,"&lt;="&amp;Cover!$C$15)</f>
        <v>4</v>
      </c>
      <c r="AC419" t="str">
        <f>IF(AND(AA419=0,AB419=0),"",IF(AA419=0,"ODOO-ONLY",IF(AB419=0,"BANK-ONLY","BOTH")))</f>
        <v>BOTH</v>
      </c>
      <c r="AD419" s="9">
        <f>IF(AC419="BOTH",ROUND(Y419-Z419,2),0)</f>
        <v>0</v>
      </c>
    </row>
    <row r="420">
      <c r="A420" t="inlineStr">
        <is>
          <t>G00416</t>
        </is>
      </c>
      <c r="B420" t="inlineStr">
        <is>
          <t>OPS</t>
        </is>
      </c>
      <c r="C420" t="inlineStr">
        <is>
          <t>R03</t>
        </is>
      </c>
      <c r="D420" t="inlineStr">
        <is>
          <t>REG</t>
        </is>
      </c>
      <c r="E420" t="inlineStr">
        <is>
          <t>Banksia Plan Co</t>
        </is>
      </c>
      <c r="F420" t="n">
        <v>0.929</v>
      </c>
      <c r="G420" t="inlineStr">
        <is>
          <t>Receipt not registered in Odoo; remittance RA45137 lists 2 invoices</t>
        </is>
      </c>
      <c r="H420">
        <f>COUNTIFS('Bank Lines'!$G$5:$G$1640,A420,'Bank Lines'!$J$5:$J$1640,1)</f>
        <v>1</v>
      </c>
      <c r="I420">
        <f>COUNTIFS('Odoo Items'!$J$5:$J$4331,A420)</f>
        <v>0</v>
      </c>
      <c r="J420" s="9">
        <f>ROUND(SUMIFS('Bank Lines'!$E$5:$E$1640,'Bank Lines'!$G$5:$G$1640,A420,'Bank Lines'!$J$5:$J$1640,1),2)</f>
        <v>670.17</v>
      </c>
      <c r="K420" s="9">
        <f>ROUND(SUMIFS('Odoo Items'!$G$5:$G$4331,'Odoo Items'!$J$5:$J$4331,A420),2)</f>
        <v>0</v>
      </c>
      <c r="L420" s="9">
        <f>ROUND(J420-K420,2)</f>
        <v>670.17</v>
      </c>
      <c r="M420" s="9">
        <f>ROUND(SUMIFS('Bank Lines'!$E$5:$E$1640,'Bank Lines'!$G$5:$G$1640,A420,'Bank Lines'!$J$5:$J$1640,1,'Bank Lines'!$C$5:$C$1640,"&lt;="&amp;Cover!$C$13),2)</f>
        <v>0</v>
      </c>
      <c r="N420" s="9">
        <f>ROUND(SUMIFS('Odoo Items'!$G$5:$G$4331,'Odoo Items'!$J$5:$J$4331,A420,'Odoo Items'!$C$5:$C$4331,"&lt;="&amp;Cover!$C$13),2)</f>
        <v>0</v>
      </c>
      <c r="O420">
        <f>COUNTIFS('Bank Lines'!$G$5:$G$1640,A420,'Bank Lines'!$J$5:$J$1640,1,'Bank Lines'!$C$5:$C$1640,"&lt;="&amp;Cover!$C$13)</f>
        <v>0</v>
      </c>
      <c r="P420">
        <f>COUNTIFS('Odoo Items'!$J$5:$J$4331,A420,'Odoo Items'!$C$5:$C$4331,"&lt;="&amp;Cover!$C$13)</f>
        <v>0</v>
      </c>
      <c r="Q420">
        <f>IF(AND(O420=0,P420=0),"",IF(O420=0,"ODOO-ONLY",IF(P420=0,"BANK-ONLY","BOTH")))</f>
      </c>
      <c r="R420" s="9">
        <f>IF(Q420="BOTH",ROUND(M420-N420,2),0)</f>
        <v>0</v>
      </c>
      <c r="S420" s="9">
        <f>ROUND(SUMIFS('Bank Lines'!$E$5:$E$1640,'Bank Lines'!$G$5:$G$1640,A420,'Bank Lines'!$J$5:$J$1640,1,'Bank Lines'!$C$5:$C$1640,"&lt;="&amp;Cover!$C$14),2)</f>
        <v>0</v>
      </c>
      <c r="T420" s="9">
        <f>ROUND(SUMIFS('Odoo Items'!$G$5:$G$4331,'Odoo Items'!$J$5:$J$4331,A420,'Odoo Items'!$C$5:$C$4331,"&lt;="&amp;Cover!$C$14),2)</f>
        <v>0</v>
      </c>
      <c r="U420">
        <f>COUNTIFS('Bank Lines'!$G$5:$G$1640,A420,'Bank Lines'!$J$5:$J$1640,1,'Bank Lines'!$C$5:$C$1640,"&lt;="&amp;Cover!$C$14)</f>
        <v>0</v>
      </c>
      <c r="V420">
        <f>COUNTIFS('Odoo Items'!$J$5:$J$4331,A420,'Odoo Items'!$C$5:$C$4331,"&lt;="&amp;Cover!$C$14)</f>
        <v>0</v>
      </c>
      <c r="W420">
        <f>IF(AND(U420=0,V420=0),"",IF(U420=0,"ODOO-ONLY",IF(V420=0,"BANK-ONLY","BOTH")))</f>
      </c>
      <c r="X420" s="9">
        <f>IF(W420="BOTH",ROUND(S420-T420,2),0)</f>
        <v>0</v>
      </c>
      <c r="Y420" s="9">
        <f>ROUND(SUMIFS('Bank Lines'!$E$5:$E$1640,'Bank Lines'!$G$5:$G$1640,A420,'Bank Lines'!$J$5:$J$1640,1,'Bank Lines'!$C$5:$C$1640,"&lt;="&amp;Cover!$C$15),2)</f>
        <v>670.17</v>
      </c>
      <c r="Z420" s="9">
        <f>ROUND(SUMIFS('Odoo Items'!$G$5:$G$4331,'Odoo Items'!$J$5:$J$4331,A420,'Odoo Items'!$C$5:$C$4331,"&lt;="&amp;Cover!$C$15),2)</f>
        <v>0</v>
      </c>
      <c r="AA420">
        <f>COUNTIFS('Bank Lines'!$G$5:$G$1640,A420,'Bank Lines'!$J$5:$J$1640,1,'Bank Lines'!$C$5:$C$1640,"&lt;="&amp;Cover!$C$15)</f>
        <v>1</v>
      </c>
      <c r="AB420">
        <f>COUNTIFS('Odoo Items'!$J$5:$J$4331,A420,'Odoo Items'!$C$5:$C$4331,"&lt;="&amp;Cover!$C$15)</f>
        <v>0</v>
      </c>
      <c r="AC420" t="str">
        <f>IF(AND(AA420=0,AB420=0),"",IF(AA420=0,"ODOO-ONLY",IF(AB420=0,"BANK-ONLY","BOTH")))</f>
        <v>BANK-ONLY</v>
      </c>
      <c r="AD420" s="9">
        <f>IF(AC420="BOTH",ROUND(Y420-Z420,2),0)</f>
        <v>0</v>
      </c>
    </row>
    <row r="421">
      <c r="A421" t="inlineStr">
        <is>
          <t>G00417</t>
        </is>
      </c>
      <c r="B421" t="inlineStr">
        <is>
          <t>OPS</t>
        </is>
      </c>
      <c r="C421" t="inlineStr">
        <is>
          <t>R03</t>
        </is>
      </c>
      <c r="D421" t="inlineStr">
        <is>
          <t>MATCH</t>
        </is>
      </c>
      <c r="E421" t="inlineStr">
        <is>
          <t>Tallowwood Plans</t>
        </is>
      </c>
      <c r="F421" t="n">
        <v>0.968</v>
      </c>
      <c r="G421" t="inlineStr">
        <is>
          <t>1 invoices</t>
        </is>
      </c>
      <c r="H421">
        <f>COUNTIFS('Bank Lines'!$G$5:$G$1640,A421,'Bank Lines'!$J$5:$J$1640,1)</f>
        <v>1</v>
      </c>
      <c r="I421">
        <f>COUNTIFS('Odoo Items'!$J$5:$J$4331,A421)</f>
        <v>1</v>
      </c>
      <c r="J421" s="9">
        <f>ROUND(SUMIFS('Bank Lines'!$E$5:$E$1640,'Bank Lines'!$G$5:$G$1640,A421,'Bank Lines'!$J$5:$J$1640,1),2)</f>
        <v>175.49</v>
      </c>
      <c r="K421" s="9">
        <f>ROUND(SUMIFS('Odoo Items'!$G$5:$G$4331,'Odoo Items'!$J$5:$J$4331,A421),2)</f>
        <v>175.49</v>
      </c>
      <c r="L421" s="9">
        <f>ROUND(J421-K421,2)</f>
        <v>0</v>
      </c>
      <c r="M421" s="9">
        <f>ROUND(SUMIFS('Bank Lines'!$E$5:$E$1640,'Bank Lines'!$G$5:$G$1640,A421,'Bank Lines'!$J$5:$J$1640,1,'Bank Lines'!$C$5:$C$1640,"&lt;="&amp;Cover!$C$13),2)</f>
        <v>0</v>
      </c>
      <c r="N421" s="9">
        <f>ROUND(SUMIFS('Odoo Items'!$G$5:$G$4331,'Odoo Items'!$J$5:$J$4331,A421,'Odoo Items'!$C$5:$C$4331,"&lt;="&amp;Cover!$C$13),2)</f>
        <v>0</v>
      </c>
      <c r="O421">
        <f>COUNTIFS('Bank Lines'!$G$5:$G$1640,A421,'Bank Lines'!$J$5:$J$1640,1,'Bank Lines'!$C$5:$C$1640,"&lt;="&amp;Cover!$C$13)</f>
        <v>0</v>
      </c>
      <c r="P421">
        <f>COUNTIFS('Odoo Items'!$J$5:$J$4331,A421,'Odoo Items'!$C$5:$C$4331,"&lt;="&amp;Cover!$C$13)</f>
        <v>0</v>
      </c>
      <c r="Q421">
        <f>IF(AND(O421=0,P421=0),"",IF(O421=0,"ODOO-ONLY",IF(P421=0,"BANK-ONLY","BOTH")))</f>
      </c>
      <c r="R421" s="9">
        <f>IF(Q421="BOTH",ROUND(M421-N421,2),0)</f>
        <v>0</v>
      </c>
      <c r="S421" s="9">
        <f>ROUND(SUMIFS('Bank Lines'!$E$5:$E$1640,'Bank Lines'!$G$5:$G$1640,A421,'Bank Lines'!$J$5:$J$1640,1,'Bank Lines'!$C$5:$C$1640,"&lt;="&amp;Cover!$C$14),2)</f>
        <v>0</v>
      </c>
      <c r="T421" s="9">
        <f>ROUND(SUMIFS('Odoo Items'!$G$5:$G$4331,'Odoo Items'!$J$5:$J$4331,A421,'Odoo Items'!$C$5:$C$4331,"&lt;="&amp;Cover!$C$14),2)</f>
        <v>0</v>
      </c>
      <c r="U421">
        <f>COUNTIFS('Bank Lines'!$G$5:$G$1640,A421,'Bank Lines'!$J$5:$J$1640,1,'Bank Lines'!$C$5:$C$1640,"&lt;="&amp;Cover!$C$14)</f>
        <v>0</v>
      </c>
      <c r="V421">
        <f>COUNTIFS('Odoo Items'!$J$5:$J$4331,A421,'Odoo Items'!$C$5:$C$4331,"&lt;="&amp;Cover!$C$14)</f>
        <v>0</v>
      </c>
      <c r="W421">
        <f>IF(AND(U421=0,V421=0),"",IF(U421=0,"ODOO-ONLY",IF(V421=0,"BANK-ONLY","BOTH")))</f>
      </c>
      <c r="X421" s="9">
        <f>IF(W421="BOTH",ROUND(S421-T421,2),0)</f>
        <v>0</v>
      </c>
      <c r="Y421" s="9">
        <f>ROUND(SUMIFS('Bank Lines'!$E$5:$E$1640,'Bank Lines'!$G$5:$G$1640,A421,'Bank Lines'!$J$5:$J$1640,1,'Bank Lines'!$C$5:$C$1640,"&lt;="&amp;Cover!$C$15),2)</f>
        <v>175.49</v>
      </c>
      <c r="Z421" s="9">
        <f>ROUND(SUMIFS('Odoo Items'!$G$5:$G$4331,'Odoo Items'!$J$5:$J$4331,A421,'Odoo Items'!$C$5:$C$4331,"&lt;="&amp;Cover!$C$15),2)</f>
        <v>175.49</v>
      </c>
      <c r="AA421">
        <f>COUNTIFS('Bank Lines'!$G$5:$G$1640,A421,'Bank Lines'!$J$5:$J$1640,1,'Bank Lines'!$C$5:$C$1640,"&lt;="&amp;Cover!$C$15)</f>
        <v>1</v>
      </c>
      <c r="AB421">
        <f>COUNTIFS('Odoo Items'!$J$5:$J$4331,A421,'Odoo Items'!$C$5:$C$4331,"&lt;="&amp;Cover!$C$15)</f>
        <v>1</v>
      </c>
      <c r="AC421" t="str">
        <f>IF(AND(AA421=0,AB421=0),"",IF(AA421=0,"ODOO-ONLY",IF(AB421=0,"BANK-ONLY","BOTH")))</f>
        <v>BOTH</v>
      </c>
      <c r="AD421" s="9">
        <f>IF(AC421="BOTH",ROUND(Y421-Z421,2),0)</f>
        <v>0</v>
      </c>
    </row>
    <row r="422">
      <c r="A422" t="inlineStr">
        <is>
          <t>G00418</t>
        </is>
      </c>
      <c r="B422" t="inlineStr">
        <is>
          <t>OPS</t>
        </is>
      </c>
      <c r="C422" t="inlineStr">
        <is>
          <t>R03</t>
        </is>
      </c>
      <c r="D422" t="inlineStr">
        <is>
          <t>MATCH</t>
        </is>
      </c>
      <c r="E422" t="inlineStr">
        <is>
          <t>Riverbend Plan Partners</t>
        </is>
      </c>
      <c r="F422" t="n">
        <v>1</v>
      </c>
      <c r="G422" t="inlineStr">
        <is>
          <t>3 invoices</t>
        </is>
      </c>
      <c r="H422">
        <f>COUNTIFS('Bank Lines'!$G$5:$G$1640,A422,'Bank Lines'!$J$5:$J$1640,1)</f>
        <v>1</v>
      </c>
      <c r="I422">
        <f>COUNTIFS('Odoo Items'!$J$5:$J$4331,A422)</f>
        <v>3</v>
      </c>
      <c r="J422" s="9">
        <f>ROUND(SUMIFS('Bank Lines'!$E$5:$E$1640,'Bank Lines'!$G$5:$G$1640,A422,'Bank Lines'!$J$5:$J$1640,1),2)</f>
        <v>835.96</v>
      </c>
      <c r="K422" s="9">
        <f>ROUND(SUMIFS('Odoo Items'!$G$5:$G$4331,'Odoo Items'!$J$5:$J$4331,A422),2)</f>
        <v>835.96</v>
      </c>
      <c r="L422" s="9">
        <f>ROUND(J422-K422,2)</f>
        <v>0</v>
      </c>
      <c r="M422" s="9">
        <f>ROUND(SUMIFS('Bank Lines'!$E$5:$E$1640,'Bank Lines'!$G$5:$G$1640,A422,'Bank Lines'!$J$5:$J$1640,1,'Bank Lines'!$C$5:$C$1640,"&lt;="&amp;Cover!$C$13),2)</f>
        <v>0</v>
      </c>
      <c r="N422" s="9">
        <f>ROUND(SUMIFS('Odoo Items'!$G$5:$G$4331,'Odoo Items'!$J$5:$J$4331,A422,'Odoo Items'!$C$5:$C$4331,"&lt;="&amp;Cover!$C$13),2)</f>
        <v>0</v>
      </c>
      <c r="O422">
        <f>COUNTIFS('Bank Lines'!$G$5:$G$1640,A422,'Bank Lines'!$J$5:$J$1640,1,'Bank Lines'!$C$5:$C$1640,"&lt;="&amp;Cover!$C$13)</f>
        <v>0</v>
      </c>
      <c r="P422">
        <f>COUNTIFS('Odoo Items'!$J$5:$J$4331,A422,'Odoo Items'!$C$5:$C$4331,"&lt;="&amp;Cover!$C$13)</f>
        <v>0</v>
      </c>
      <c r="Q422">
        <f>IF(AND(O422=0,P422=0),"",IF(O422=0,"ODOO-ONLY",IF(P422=0,"BANK-ONLY","BOTH")))</f>
      </c>
      <c r="R422" s="9">
        <f>IF(Q422="BOTH",ROUND(M422-N422,2),0)</f>
        <v>0</v>
      </c>
      <c r="S422" s="9">
        <f>ROUND(SUMIFS('Bank Lines'!$E$5:$E$1640,'Bank Lines'!$G$5:$G$1640,A422,'Bank Lines'!$J$5:$J$1640,1,'Bank Lines'!$C$5:$C$1640,"&lt;="&amp;Cover!$C$14),2)</f>
        <v>0</v>
      </c>
      <c r="T422" s="9">
        <f>ROUND(SUMIFS('Odoo Items'!$G$5:$G$4331,'Odoo Items'!$J$5:$J$4331,A422,'Odoo Items'!$C$5:$C$4331,"&lt;="&amp;Cover!$C$14),2)</f>
        <v>0</v>
      </c>
      <c r="U422">
        <f>COUNTIFS('Bank Lines'!$G$5:$G$1640,A422,'Bank Lines'!$J$5:$J$1640,1,'Bank Lines'!$C$5:$C$1640,"&lt;="&amp;Cover!$C$14)</f>
        <v>0</v>
      </c>
      <c r="V422">
        <f>COUNTIFS('Odoo Items'!$J$5:$J$4331,A422,'Odoo Items'!$C$5:$C$4331,"&lt;="&amp;Cover!$C$14)</f>
        <v>0</v>
      </c>
      <c r="W422">
        <f>IF(AND(U422=0,V422=0),"",IF(U422=0,"ODOO-ONLY",IF(V422=0,"BANK-ONLY","BOTH")))</f>
      </c>
      <c r="X422" s="9">
        <f>IF(W422="BOTH",ROUND(S422-T422,2),0)</f>
        <v>0</v>
      </c>
      <c r="Y422" s="9">
        <f>ROUND(SUMIFS('Bank Lines'!$E$5:$E$1640,'Bank Lines'!$G$5:$G$1640,A422,'Bank Lines'!$J$5:$J$1640,1,'Bank Lines'!$C$5:$C$1640,"&lt;="&amp;Cover!$C$15),2)</f>
        <v>835.96</v>
      </c>
      <c r="Z422" s="9">
        <f>ROUND(SUMIFS('Odoo Items'!$G$5:$G$4331,'Odoo Items'!$J$5:$J$4331,A422,'Odoo Items'!$C$5:$C$4331,"&lt;="&amp;Cover!$C$15),2)</f>
        <v>835.96</v>
      </c>
      <c r="AA422">
        <f>COUNTIFS('Bank Lines'!$G$5:$G$1640,A422,'Bank Lines'!$J$5:$J$1640,1,'Bank Lines'!$C$5:$C$1640,"&lt;="&amp;Cover!$C$15)</f>
        <v>1</v>
      </c>
      <c r="AB422">
        <f>COUNTIFS('Odoo Items'!$J$5:$J$4331,A422,'Odoo Items'!$C$5:$C$4331,"&lt;="&amp;Cover!$C$15)</f>
        <v>3</v>
      </c>
      <c r="AC422" t="str">
        <f>IF(AND(AA422=0,AB422=0),"",IF(AA422=0,"ODOO-ONLY",IF(AB422=0,"BANK-ONLY","BOTH")))</f>
        <v>BOTH</v>
      </c>
      <c r="AD422" s="9">
        <f>IF(AC422="BOTH",ROUND(Y422-Z422,2),0)</f>
        <v>0</v>
      </c>
    </row>
    <row r="423">
      <c r="A423" t="inlineStr">
        <is>
          <t>G00419</t>
        </is>
      </c>
      <c r="B423" t="inlineStr">
        <is>
          <t>OPS</t>
        </is>
      </c>
      <c r="C423" t="inlineStr">
        <is>
          <t>R03</t>
        </is>
      </c>
      <c r="D423" t="inlineStr">
        <is>
          <t>MATCH</t>
        </is>
      </c>
      <c r="E423" t="inlineStr">
        <is>
          <t>Banksia Plan Co</t>
        </is>
      </c>
      <c r="F423" t="n">
        <v>1</v>
      </c>
      <c r="G423" t="inlineStr">
        <is>
          <t>1 invoices</t>
        </is>
      </c>
      <c r="H423">
        <f>COUNTIFS('Bank Lines'!$G$5:$G$1640,A423,'Bank Lines'!$J$5:$J$1640,1)</f>
        <v>1</v>
      </c>
      <c r="I423">
        <f>COUNTIFS('Odoo Items'!$J$5:$J$4331,A423)</f>
        <v>1</v>
      </c>
      <c r="J423" s="9">
        <f>ROUND(SUMIFS('Bank Lines'!$E$5:$E$1640,'Bank Lines'!$G$5:$G$1640,A423,'Bank Lines'!$J$5:$J$1640,1),2)</f>
        <v>145.49</v>
      </c>
      <c r="K423" s="9">
        <f>ROUND(SUMIFS('Odoo Items'!$G$5:$G$4331,'Odoo Items'!$J$5:$J$4331,A423),2)</f>
        <v>145.49</v>
      </c>
      <c r="L423" s="9">
        <f>ROUND(J423-K423,2)</f>
        <v>0</v>
      </c>
      <c r="M423" s="9">
        <f>ROUND(SUMIFS('Bank Lines'!$E$5:$E$1640,'Bank Lines'!$G$5:$G$1640,A423,'Bank Lines'!$J$5:$J$1640,1,'Bank Lines'!$C$5:$C$1640,"&lt;="&amp;Cover!$C$13),2)</f>
        <v>0</v>
      </c>
      <c r="N423" s="9">
        <f>ROUND(SUMIFS('Odoo Items'!$G$5:$G$4331,'Odoo Items'!$J$5:$J$4331,A423,'Odoo Items'!$C$5:$C$4331,"&lt;="&amp;Cover!$C$13),2)</f>
        <v>0</v>
      </c>
      <c r="O423">
        <f>COUNTIFS('Bank Lines'!$G$5:$G$1640,A423,'Bank Lines'!$J$5:$J$1640,1,'Bank Lines'!$C$5:$C$1640,"&lt;="&amp;Cover!$C$13)</f>
        <v>0</v>
      </c>
      <c r="P423">
        <f>COUNTIFS('Odoo Items'!$J$5:$J$4331,A423,'Odoo Items'!$C$5:$C$4331,"&lt;="&amp;Cover!$C$13)</f>
        <v>0</v>
      </c>
      <c r="Q423">
        <f>IF(AND(O423=0,P423=0),"",IF(O423=0,"ODOO-ONLY",IF(P423=0,"BANK-ONLY","BOTH")))</f>
      </c>
      <c r="R423" s="9">
        <f>IF(Q423="BOTH",ROUND(M423-N423,2),0)</f>
        <v>0</v>
      </c>
      <c r="S423" s="9">
        <f>ROUND(SUMIFS('Bank Lines'!$E$5:$E$1640,'Bank Lines'!$G$5:$G$1640,A423,'Bank Lines'!$J$5:$J$1640,1,'Bank Lines'!$C$5:$C$1640,"&lt;="&amp;Cover!$C$14),2)</f>
        <v>0</v>
      </c>
      <c r="T423" s="9">
        <f>ROUND(SUMIFS('Odoo Items'!$G$5:$G$4331,'Odoo Items'!$J$5:$J$4331,A423,'Odoo Items'!$C$5:$C$4331,"&lt;="&amp;Cover!$C$14),2)</f>
        <v>0</v>
      </c>
      <c r="U423">
        <f>COUNTIFS('Bank Lines'!$G$5:$G$1640,A423,'Bank Lines'!$J$5:$J$1640,1,'Bank Lines'!$C$5:$C$1640,"&lt;="&amp;Cover!$C$14)</f>
        <v>0</v>
      </c>
      <c r="V423">
        <f>COUNTIFS('Odoo Items'!$J$5:$J$4331,A423,'Odoo Items'!$C$5:$C$4331,"&lt;="&amp;Cover!$C$14)</f>
        <v>0</v>
      </c>
      <c r="W423">
        <f>IF(AND(U423=0,V423=0),"",IF(U423=0,"ODOO-ONLY",IF(V423=0,"BANK-ONLY","BOTH")))</f>
      </c>
      <c r="X423" s="9">
        <f>IF(W423="BOTH",ROUND(S423-T423,2),0)</f>
        <v>0</v>
      </c>
      <c r="Y423" s="9">
        <f>ROUND(SUMIFS('Bank Lines'!$E$5:$E$1640,'Bank Lines'!$G$5:$G$1640,A423,'Bank Lines'!$J$5:$J$1640,1,'Bank Lines'!$C$5:$C$1640,"&lt;="&amp;Cover!$C$15),2)</f>
        <v>145.49</v>
      </c>
      <c r="Z423" s="9">
        <f>ROUND(SUMIFS('Odoo Items'!$G$5:$G$4331,'Odoo Items'!$J$5:$J$4331,A423,'Odoo Items'!$C$5:$C$4331,"&lt;="&amp;Cover!$C$15),2)</f>
        <v>145.49</v>
      </c>
      <c r="AA423">
        <f>COUNTIFS('Bank Lines'!$G$5:$G$1640,A423,'Bank Lines'!$J$5:$J$1640,1,'Bank Lines'!$C$5:$C$1640,"&lt;="&amp;Cover!$C$15)</f>
        <v>1</v>
      </c>
      <c r="AB423">
        <f>COUNTIFS('Odoo Items'!$J$5:$J$4331,A423,'Odoo Items'!$C$5:$C$4331,"&lt;="&amp;Cover!$C$15)</f>
        <v>1</v>
      </c>
      <c r="AC423" t="str">
        <f>IF(AND(AA423=0,AB423=0),"",IF(AA423=0,"ODOO-ONLY",IF(AB423=0,"BANK-ONLY","BOTH")))</f>
        <v>BOTH</v>
      </c>
      <c r="AD423" s="9">
        <f>IF(AC423="BOTH",ROUND(Y423-Z423,2),0)</f>
        <v>0</v>
      </c>
    </row>
    <row r="424">
      <c r="A424" t="inlineStr">
        <is>
          <t>G00420</t>
        </is>
      </c>
      <c r="B424" t="inlineStr">
        <is>
          <t>OPS</t>
        </is>
      </c>
      <c r="C424" t="inlineStr">
        <is>
          <t>R03</t>
        </is>
      </c>
      <c r="D424" t="inlineStr">
        <is>
          <t>MATCH</t>
        </is>
      </c>
      <c r="E424" t="inlineStr">
        <is>
          <t>Saltbush Plan Managers</t>
        </is>
      </c>
      <c r="F424" t="n">
        <v>1</v>
      </c>
      <c r="G424" t="inlineStr">
        <is>
          <t>2 invoices</t>
        </is>
      </c>
      <c r="H424">
        <f>COUNTIFS('Bank Lines'!$G$5:$G$1640,A424,'Bank Lines'!$J$5:$J$1640,1)</f>
        <v>1</v>
      </c>
      <c r="I424">
        <f>COUNTIFS('Odoo Items'!$J$5:$J$4331,A424)</f>
        <v>2</v>
      </c>
      <c r="J424" s="9">
        <f>ROUND(SUMIFS('Bank Lines'!$E$5:$E$1640,'Bank Lines'!$G$5:$G$1640,A424,'Bank Lines'!$J$5:$J$1640,1),2)</f>
        <v>369.48</v>
      </c>
      <c r="K424" s="9">
        <f>ROUND(SUMIFS('Odoo Items'!$G$5:$G$4331,'Odoo Items'!$J$5:$J$4331,A424),2)</f>
        <v>369.48</v>
      </c>
      <c r="L424" s="9">
        <f>ROUND(J424-K424,2)</f>
        <v>0</v>
      </c>
      <c r="M424" s="9">
        <f>ROUND(SUMIFS('Bank Lines'!$E$5:$E$1640,'Bank Lines'!$G$5:$G$1640,A424,'Bank Lines'!$J$5:$J$1640,1,'Bank Lines'!$C$5:$C$1640,"&lt;="&amp;Cover!$C$13),2)</f>
        <v>0</v>
      </c>
      <c r="N424" s="9">
        <f>ROUND(SUMIFS('Odoo Items'!$G$5:$G$4331,'Odoo Items'!$J$5:$J$4331,A424,'Odoo Items'!$C$5:$C$4331,"&lt;="&amp;Cover!$C$13),2)</f>
        <v>0</v>
      </c>
      <c r="O424">
        <f>COUNTIFS('Bank Lines'!$G$5:$G$1640,A424,'Bank Lines'!$J$5:$J$1640,1,'Bank Lines'!$C$5:$C$1640,"&lt;="&amp;Cover!$C$13)</f>
        <v>0</v>
      </c>
      <c r="P424">
        <f>COUNTIFS('Odoo Items'!$J$5:$J$4331,A424,'Odoo Items'!$C$5:$C$4331,"&lt;="&amp;Cover!$C$13)</f>
        <v>0</v>
      </c>
      <c r="Q424">
        <f>IF(AND(O424=0,P424=0),"",IF(O424=0,"ODOO-ONLY",IF(P424=0,"BANK-ONLY","BOTH")))</f>
      </c>
      <c r="R424" s="9">
        <f>IF(Q424="BOTH",ROUND(M424-N424,2),0)</f>
        <v>0</v>
      </c>
      <c r="S424" s="9">
        <f>ROUND(SUMIFS('Bank Lines'!$E$5:$E$1640,'Bank Lines'!$G$5:$G$1640,A424,'Bank Lines'!$J$5:$J$1640,1,'Bank Lines'!$C$5:$C$1640,"&lt;="&amp;Cover!$C$14),2)</f>
        <v>0</v>
      </c>
      <c r="T424" s="9">
        <f>ROUND(SUMIFS('Odoo Items'!$G$5:$G$4331,'Odoo Items'!$J$5:$J$4331,A424,'Odoo Items'!$C$5:$C$4331,"&lt;="&amp;Cover!$C$14),2)</f>
        <v>0</v>
      </c>
      <c r="U424">
        <f>COUNTIFS('Bank Lines'!$G$5:$G$1640,A424,'Bank Lines'!$J$5:$J$1640,1,'Bank Lines'!$C$5:$C$1640,"&lt;="&amp;Cover!$C$14)</f>
        <v>0</v>
      </c>
      <c r="V424">
        <f>COUNTIFS('Odoo Items'!$J$5:$J$4331,A424,'Odoo Items'!$C$5:$C$4331,"&lt;="&amp;Cover!$C$14)</f>
        <v>0</v>
      </c>
      <c r="W424">
        <f>IF(AND(U424=0,V424=0),"",IF(U424=0,"ODOO-ONLY",IF(V424=0,"BANK-ONLY","BOTH")))</f>
      </c>
      <c r="X424" s="9">
        <f>IF(W424="BOTH",ROUND(S424-T424,2),0)</f>
        <v>0</v>
      </c>
      <c r="Y424" s="9">
        <f>ROUND(SUMIFS('Bank Lines'!$E$5:$E$1640,'Bank Lines'!$G$5:$G$1640,A424,'Bank Lines'!$J$5:$J$1640,1,'Bank Lines'!$C$5:$C$1640,"&lt;="&amp;Cover!$C$15),2)</f>
        <v>369.48</v>
      </c>
      <c r="Z424" s="9">
        <f>ROUND(SUMIFS('Odoo Items'!$G$5:$G$4331,'Odoo Items'!$J$5:$J$4331,A424,'Odoo Items'!$C$5:$C$4331,"&lt;="&amp;Cover!$C$15),2)</f>
        <v>369.48</v>
      </c>
      <c r="AA424">
        <f>COUNTIFS('Bank Lines'!$G$5:$G$1640,A424,'Bank Lines'!$J$5:$J$1640,1,'Bank Lines'!$C$5:$C$1640,"&lt;="&amp;Cover!$C$15)</f>
        <v>1</v>
      </c>
      <c r="AB424">
        <f>COUNTIFS('Odoo Items'!$J$5:$J$4331,A424,'Odoo Items'!$C$5:$C$4331,"&lt;="&amp;Cover!$C$15)</f>
        <v>2</v>
      </c>
      <c r="AC424" t="str">
        <f>IF(AND(AA424=0,AB424=0),"",IF(AA424=0,"ODOO-ONLY",IF(AB424=0,"BANK-ONLY","BOTH")))</f>
        <v>BOTH</v>
      </c>
      <c r="AD424" s="9">
        <f>IF(AC424="BOTH",ROUND(Y424-Z424,2),0)</f>
        <v>0</v>
      </c>
    </row>
    <row r="425">
      <c r="A425" t="inlineStr">
        <is>
          <t>G00421</t>
        </is>
      </c>
      <c r="B425" t="inlineStr">
        <is>
          <t>OPS</t>
        </is>
      </c>
      <c r="C425" t="inlineStr">
        <is>
          <t>R03</t>
        </is>
      </c>
      <c r="D425" t="inlineStr">
        <is>
          <t>REG</t>
        </is>
      </c>
      <c r="E425" t="inlineStr">
        <is>
          <t>Southern Cross Plan Mgmt</t>
        </is>
      </c>
      <c r="F425" t="n">
        <v>1</v>
      </c>
      <c r="G425" t="inlineStr">
        <is>
          <t>Receipt not registered in Odoo; remittance RA45142 lists 12 invoices</t>
        </is>
      </c>
      <c r="H425">
        <f>COUNTIFS('Bank Lines'!$G$5:$G$1640,A425,'Bank Lines'!$J$5:$J$1640,1)</f>
        <v>1</v>
      </c>
      <c r="I425">
        <f>COUNTIFS('Odoo Items'!$J$5:$J$4331,A425)</f>
        <v>0</v>
      </c>
      <c r="J425" s="9">
        <f>ROUND(SUMIFS('Bank Lines'!$E$5:$E$1640,'Bank Lines'!$G$5:$G$1640,A425,'Bank Lines'!$J$5:$J$1640,1),2)</f>
        <v>2767.94</v>
      </c>
      <c r="K425" s="9">
        <f>ROUND(SUMIFS('Odoo Items'!$G$5:$G$4331,'Odoo Items'!$J$5:$J$4331,A425),2)</f>
        <v>0</v>
      </c>
      <c r="L425" s="9">
        <f>ROUND(J425-K425,2)</f>
        <v>2767.94</v>
      </c>
      <c r="M425" s="9">
        <f>ROUND(SUMIFS('Bank Lines'!$E$5:$E$1640,'Bank Lines'!$G$5:$G$1640,A425,'Bank Lines'!$J$5:$J$1640,1,'Bank Lines'!$C$5:$C$1640,"&lt;="&amp;Cover!$C$13),2)</f>
        <v>0</v>
      </c>
      <c r="N425" s="9">
        <f>ROUND(SUMIFS('Odoo Items'!$G$5:$G$4331,'Odoo Items'!$J$5:$J$4331,A425,'Odoo Items'!$C$5:$C$4331,"&lt;="&amp;Cover!$C$13),2)</f>
        <v>0</v>
      </c>
      <c r="O425">
        <f>COUNTIFS('Bank Lines'!$G$5:$G$1640,A425,'Bank Lines'!$J$5:$J$1640,1,'Bank Lines'!$C$5:$C$1640,"&lt;="&amp;Cover!$C$13)</f>
        <v>0</v>
      </c>
      <c r="P425">
        <f>COUNTIFS('Odoo Items'!$J$5:$J$4331,A425,'Odoo Items'!$C$5:$C$4331,"&lt;="&amp;Cover!$C$13)</f>
        <v>0</v>
      </c>
      <c r="Q425">
        <f>IF(AND(O425=0,P425=0),"",IF(O425=0,"ODOO-ONLY",IF(P425=0,"BANK-ONLY","BOTH")))</f>
      </c>
      <c r="R425" s="9">
        <f>IF(Q425="BOTH",ROUND(M425-N425,2),0)</f>
        <v>0</v>
      </c>
      <c r="S425" s="9">
        <f>ROUND(SUMIFS('Bank Lines'!$E$5:$E$1640,'Bank Lines'!$G$5:$G$1640,A425,'Bank Lines'!$J$5:$J$1640,1,'Bank Lines'!$C$5:$C$1640,"&lt;="&amp;Cover!$C$14),2)</f>
        <v>0</v>
      </c>
      <c r="T425" s="9">
        <f>ROUND(SUMIFS('Odoo Items'!$G$5:$G$4331,'Odoo Items'!$J$5:$J$4331,A425,'Odoo Items'!$C$5:$C$4331,"&lt;="&amp;Cover!$C$14),2)</f>
        <v>0</v>
      </c>
      <c r="U425">
        <f>COUNTIFS('Bank Lines'!$G$5:$G$1640,A425,'Bank Lines'!$J$5:$J$1640,1,'Bank Lines'!$C$5:$C$1640,"&lt;="&amp;Cover!$C$14)</f>
        <v>0</v>
      </c>
      <c r="V425">
        <f>COUNTIFS('Odoo Items'!$J$5:$J$4331,A425,'Odoo Items'!$C$5:$C$4331,"&lt;="&amp;Cover!$C$14)</f>
        <v>0</v>
      </c>
      <c r="W425">
        <f>IF(AND(U425=0,V425=0),"",IF(U425=0,"ODOO-ONLY",IF(V425=0,"BANK-ONLY","BOTH")))</f>
      </c>
      <c r="X425" s="9">
        <f>IF(W425="BOTH",ROUND(S425-T425,2),0)</f>
        <v>0</v>
      </c>
      <c r="Y425" s="9">
        <f>ROUND(SUMIFS('Bank Lines'!$E$5:$E$1640,'Bank Lines'!$G$5:$G$1640,A425,'Bank Lines'!$J$5:$J$1640,1,'Bank Lines'!$C$5:$C$1640,"&lt;="&amp;Cover!$C$15),2)</f>
        <v>2767.94</v>
      </c>
      <c r="Z425" s="9">
        <f>ROUND(SUMIFS('Odoo Items'!$G$5:$G$4331,'Odoo Items'!$J$5:$J$4331,A425,'Odoo Items'!$C$5:$C$4331,"&lt;="&amp;Cover!$C$15),2)</f>
        <v>0</v>
      </c>
      <c r="AA425">
        <f>COUNTIFS('Bank Lines'!$G$5:$G$1640,A425,'Bank Lines'!$J$5:$J$1640,1,'Bank Lines'!$C$5:$C$1640,"&lt;="&amp;Cover!$C$15)</f>
        <v>1</v>
      </c>
      <c r="AB425">
        <f>COUNTIFS('Odoo Items'!$J$5:$J$4331,A425,'Odoo Items'!$C$5:$C$4331,"&lt;="&amp;Cover!$C$15)</f>
        <v>0</v>
      </c>
      <c r="AC425" t="str">
        <f>IF(AND(AA425=0,AB425=0),"",IF(AA425=0,"ODOO-ONLY",IF(AB425=0,"BANK-ONLY","BOTH")))</f>
        <v>BANK-ONLY</v>
      </c>
      <c r="AD425" s="9">
        <f>IF(AC425="BOTH",ROUND(Y425-Z425,2),0)</f>
        <v>0</v>
      </c>
    </row>
    <row r="426">
      <c r="A426" t="inlineStr">
        <is>
          <t>G00422</t>
        </is>
      </c>
      <c r="B426" t="inlineStr">
        <is>
          <t>OPS</t>
        </is>
      </c>
      <c r="C426" t="inlineStr">
        <is>
          <t>R03</t>
        </is>
      </c>
      <c r="D426" t="inlineStr">
        <is>
          <t>MATCH</t>
        </is>
      </c>
      <c r="E426" t="inlineStr">
        <is>
          <t>Bluegum Plan Management</t>
        </is>
      </c>
      <c r="F426" t="n">
        <v>0.9</v>
      </c>
      <c r="G426" t="inlineStr">
        <is>
          <t>6 invoices; 1 short-paid, registered correctly</t>
        </is>
      </c>
      <c r="H426">
        <f>COUNTIFS('Bank Lines'!$G$5:$G$1640,A426,'Bank Lines'!$J$5:$J$1640,1)</f>
        <v>1</v>
      </c>
      <c r="I426">
        <f>COUNTIFS('Odoo Items'!$J$5:$J$4331,A426)</f>
        <v>6</v>
      </c>
      <c r="J426" s="9">
        <f>ROUND(SUMIFS('Bank Lines'!$E$5:$E$1640,'Bank Lines'!$G$5:$G$1640,A426,'Bank Lines'!$J$5:$J$1640,1),2)</f>
        <v>1644.07</v>
      </c>
      <c r="K426" s="9">
        <f>ROUND(SUMIFS('Odoo Items'!$G$5:$G$4331,'Odoo Items'!$J$5:$J$4331,A426),2)</f>
        <v>1644.07</v>
      </c>
      <c r="L426" s="9">
        <f>ROUND(J426-K426,2)</f>
        <v>0</v>
      </c>
      <c r="M426" s="9">
        <f>ROUND(SUMIFS('Bank Lines'!$E$5:$E$1640,'Bank Lines'!$G$5:$G$1640,A426,'Bank Lines'!$J$5:$J$1640,1,'Bank Lines'!$C$5:$C$1640,"&lt;="&amp;Cover!$C$13),2)</f>
        <v>0</v>
      </c>
      <c r="N426" s="9">
        <f>ROUND(SUMIFS('Odoo Items'!$G$5:$G$4331,'Odoo Items'!$J$5:$J$4331,A426,'Odoo Items'!$C$5:$C$4331,"&lt;="&amp;Cover!$C$13),2)</f>
        <v>0</v>
      </c>
      <c r="O426">
        <f>COUNTIFS('Bank Lines'!$G$5:$G$1640,A426,'Bank Lines'!$J$5:$J$1640,1,'Bank Lines'!$C$5:$C$1640,"&lt;="&amp;Cover!$C$13)</f>
        <v>0</v>
      </c>
      <c r="P426">
        <f>COUNTIFS('Odoo Items'!$J$5:$J$4331,A426,'Odoo Items'!$C$5:$C$4331,"&lt;="&amp;Cover!$C$13)</f>
        <v>0</v>
      </c>
      <c r="Q426">
        <f>IF(AND(O426=0,P426=0),"",IF(O426=0,"ODOO-ONLY",IF(P426=0,"BANK-ONLY","BOTH")))</f>
      </c>
      <c r="R426" s="9">
        <f>IF(Q426="BOTH",ROUND(M426-N426,2),0)</f>
        <v>0</v>
      </c>
      <c r="S426" s="9">
        <f>ROUND(SUMIFS('Bank Lines'!$E$5:$E$1640,'Bank Lines'!$G$5:$G$1640,A426,'Bank Lines'!$J$5:$J$1640,1,'Bank Lines'!$C$5:$C$1640,"&lt;="&amp;Cover!$C$14),2)</f>
        <v>0</v>
      </c>
      <c r="T426" s="9">
        <f>ROUND(SUMIFS('Odoo Items'!$G$5:$G$4331,'Odoo Items'!$J$5:$J$4331,A426,'Odoo Items'!$C$5:$C$4331,"&lt;="&amp;Cover!$C$14),2)</f>
        <v>0</v>
      </c>
      <c r="U426">
        <f>COUNTIFS('Bank Lines'!$G$5:$G$1640,A426,'Bank Lines'!$J$5:$J$1640,1,'Bank Lines'!$C$5:$C$1640,"&lt;="&amp;Cover!$C$14)</f>
        <v>0</v>
      </c>
      <c r="V426">
        <f>COUNTIFS('Odoo Items'!$J$5:$J$4331,A426,'Odoo Items'!$C$5:$C$4331,"&lt;="&amp;Cover!$C$14)</f>
        <v>0</v>
      </c>
      <c r="W426">
        <f>IF(AND(U426=0,V426=0),"",IF(U426=0,"ODOO-ONLY",IF(V426=0,"BANK-ONLY","BOTH")))</f>
      </c>
      <c r="X426" s="9">
        <f>IF(W426="BOTH",ROUND(S426-T426,2),0)</f>
        <v>0</v>
      </c>
      <c r="Y426" s="9">
        <f>ROUND(SUMIFS('Bank Lines'!$E$5:$E$1640,'Bank Lines'!$G$5:$G$1640,A426,'Bank Lines'!$J$5:$J$1640,1,'Bank Lines'!$C$5:$C$1640,"&lt;="&amp;Cover!$C$15),2)</f>
        <v>1644.07</v>
      </c>
      <c r="Z426" s="9">
        <f>ROUND(SUMIFS('Odoo Items'!$G$5:$G$4331,'Odoo Items'!$J$5:$J$4331,A426,'Odoo Items'!$C$5:$C$4331,"&lt;="&amp;Cover!$C$15),2)</f>
        <v>1644.07</v>
      </c>
      <c r="AA426">
        <f>COUNTIFS('Bank Lines'!$G$5:$G$1640,A426,'Bank Lines'!$J$5:$J$1640,1,'Bank Lines'!$C$5:$C$1640,"&lt;="&amp;Cover!$C$15)</f>
        <v>1</v>
      </c>
      <c r="AB426">
        <f>COUNTIFS('Odoo Items'!$J$5:$J$4331,A426,'Odoo Items'!$C$5:$C$4331,"&lt;="&amp;Cover!$C$15)</f>
        <v>6</v>
      </c>
      <c r="AC426" t="str">
        <f>IF(AND(AA426=0,AB426=0),"",IF(AA426=0,"ODOO-ONLY",IF(AB426=0,"BANK-ONLY","BOTH")))</f>
        <v>BOTH</v>
      </c>
      <c r="AD426" s="9">
        <f>IF(AC426="BOTH",ROUND(Y426-Z426,2),0)</f>
        <v>0</v>
      </c>
    </row>
    <row r="427">
      <c r="A427" t="inlineStr">
        <is>
          <t>G00423</t>
        </is>
      </c>
      <c r="B427" t="inlineStr">
        <is>
          <t>OPS</t>
        </is>
      </c>
      <c r="C427" t="inlineStr">
        <is>
          <t>R03</t>
        </is>
      </c>
      <c r="D427" t="inlineStr">
        <is>
          <t>MATCH</t>
        </is>
      </c>
      <c r="E427" t="inlineStr">
        <is>
          <t>Wattle Plan Services</t>
        </is>
      </c>
      <c r="F427" t="n">
        <v>1</v>
      </c>
      <c r="G427" t="inlineStr">
        <is>
          <t>4 invoices</t>
        </is>
      </c>
      <c r="H427">
        <f>COUNTIFS('Bank Lines'!$G$5:$G$1640,A427,'Bank Lines'!$J$5:$J$1640,1)</f>
        <v>1</v>
      </c>
      <c r="I427">
        <f>COUNTIFS('Odoo Items'!$J$5:$J$4331,A427)</f>
        <v>4</v>
      </c>
      <c r="J427" s="9">
        <f>ROUND(SUMIFS('Bank Lines'!$E$5:$E$1640,'Bank Lines'!$G$5:$G$1640,A427,'Bank Lines'!$J$5:$J$1640,1),2)</f>
        <v>775.94</v>
      </c>
      <c r="K427" s="9">
        <f>ROUND(SUMIFS('Odoo Items'!$G$5:$G$4331,'Odoo Items'!$J$5:$J$4331,A427),2)</f>
        <v>775.94</v>
      </c>
      <c r="L427" s="9">
        <f>ROUND(J427-K427,2)</f>
        <v>0</v>
      </c>
      <c r="M427" s="9">
        <f>ROUND(SUMIFS('Bank Lines'!$E$5:$E$1640,'Bank Lines'!$G$5:$G$1640,A427,'Bank Lines'!$J$5:$J$1640,1,'Bank Lines'!$C$5:$C$1640,"&lt;="&amp;Cover!$C$13),2)</f>
        <v>0</v>
      </c>
      <c r="N427" s="9">
        <f>ROUND(SUMIFS('Odoo Items'!$G$5:$G$4331,'Odoo Items'!$J$5:$J$4331,A427,'Odoo Items'!$C$5:$C$4331,"&lt;="&amp;Cover!$C$13),2)</f>
        <v>0</v>
      </c>
      <c r="O427">
        <f>COUNTIFS('Bank Lines'!$G$5:$G$1640,A427,'Bank Lines'!$J$5:$J$1640,1,'Bank Lines'!$C$5:$C$1640,"&lt;="&amp;Cover!$C$13)</f>
        <v>0</v>
      </c>
      <c r="P427">
        <f>COUNTIFS('Odoo Items'!$J$5:$J$4331,A427,'Odoo Items'!$C$5:$C$4331,"&lt;="&amp;Cover!$C$13)</f>
        <v>0</v>
      </c>
      <c r="Q427">
        <f>IF(AND(O427=0,P427=0),"",IF(O427=0,"ODOO-ONLY",IF(P427=0,"BANK-ONLY","BOTH")))</f>
      </c>
      <c r="R427" s="9">
        <f>IF(Q427="BOTH",ROUND(M427-N427,2),0)</f>
        <v>0</v>
      </c>
      <c r="S427" s="9">
        <f>ROUND(SUMIFS('Bank Lines'!$E$5:$E$1640,'Bank Lines'!$G$5:$G$1640,A427,'Bank Lines'!$J$5:$J$1640,1,'Bank Lines'!$C$5:$C$1640,"&lt;="&amp;Cover!$C$14),2)</f>
        <v>0</v>
      </c>
      <c r="T427" s="9">
        <f>ROUND(SUMIFS('Odoo Items'!$G$5:$G$4331,'Odoo Items'!$J$5:$J$4331,A427,'Odoo Items'!$C$5:$C$4331,"&lt;="&amp;Cover!$C$14),2)</f>
        <v>0</v>
      </c>
      <c r="U427">
        <f>COUNTIFS('Bank Lines'!$G$5:$G$1640,A427,'Bank Lines'!$J$5:$J$1640,1,'Bank Lines'!$C$5:$C$1640,"&lt;="&amp;Cover!$C$14)</f>
        <v>0</v>
      </c>
      <c r="V427">
        <f>COUNTIFS('Odoo Items'!$J$5:$J$4331,A427,'Odoo Items'!$C$5:$C$4331,"&lt;="&amp;Cover!$C$14)</f>
        <v>0</v>
      </c>
      <c r="W427">
        <f>IF(AND(U427=0,V427=0),"",IF(U427=0,"ODOO-ONLY",IF(V427=0,"BANK-ONLY","BOTH")))</f>
      </c>
      <c r="X427" s="9">
        <f>IF(W427="BOTH",ROUND(S427-T427,2),0)</f>
        <v>0</v>
      </c>
      <c r="Y427" s="9">
        <f>ROUND(SUMIFS('Bank Lines'!$E$5:$E$1640,'Bank Lines'!$G$5:$G$1640,A427,'Bank Lines'!$J$5:$J$1640,1,'Bank Lines'!$C$5:$C$1640,"&lt;="&amp;Cover!$C$15),2)</f>
        <v>775.94</v>
      </c>
      <c r="Z427" s="9">
        <f>ROUND(SUMIFS('Odoo Items'!$G$5:$G$4331,'Odoo Items'!$J$5:$J$4331,A427,'Odoo Items'!$C$5:$C$4331,"&lt;="&amp;Cover!$C$15),2)</f>
        <v>775.94</v>
      </c>
      <c r="AA427">
        <f>COUNTIFS('Bank Lines'!$G$5:$G$1640,A427,'Bank Lines'!$J$5:$J$1640,1,'Bank Lines'!$C$5:$C$1640,"&lt;="&amp;Cover!$C$15)</f>
        <v>1</v>
      </c>
      <c r="AB427">
        <f>COUNTIFS('Odoo Items'!$J$5:$J$4331,A427,'Odoo Items'!$C$5:$C$4331,"&lt;="&amp;Cover!$C$15)</f>
        <v>4</v>
      </c>
      <c r="AC427" t="str">
        <f>IF(AND(AA427=0,AB427=0),"",IF(AA427=0,"ODOO-ONLY",IF(AB427=0,"BANK-ONLY","BOTH")))</f>
        <v>BOTH</v>
      </c>
      <c r="AD427" s="9">
        <f>IF(AC427="BOTH",ROUND(Y427-Z427,2),0)</f>
        <v>0</v>
      </c>
    </row>
    <row r="428">
      <c r="A428" t="inlineStr">
        <is>
          <t>G00424</t>
        </is>
      </c>
      <c r="B428" t="inlineStr">
        <is>
          <t>OPS</t>
        </is>
      </c>
      <c r="C428" t="inlineStr">
        <is>
          <t>R03</t>
        </is>
      </c>
      <c r="D428" t="inlineStr">
        <is>
          <t>MATCH</t>
        </is>
      </c>
      <c r="E428" t="inlineStr">
        <is>
          <t>Banksia Plan Co</t>
        </is>
      </c>
      <c r="F428" t="n">
        <v>1</v>
      </c>
      <c r="G428" t="inlineStr">
        <is>
          <t>2 invoices</t>
        </is>
      </c>
      <c r="H428">
        <f>COUNTIFS('Bank Lines'!$G$5:$G$1640,A428,'Bank Lines'!$J$5:$J$1640,1)</f>
        <v>1</v>
      </c>
      <c r="I428">
        <f>COUNTIFS('Odoo Items'!$J$5:$J$4331,A428)</f>
        <v>2</v>
      </c>
      <c r="J428" s="9">
        <f>ROUND(SUMIFS('Bank Lines'!$E$5:$E$1640,'Bank Lines'!$G$5:$G$1640,A428,'Bank Lines'!$J$5:$J$1640,1),2)</f>
        <v>591.67</v>
      </c>
      <c r="K428" s="9">
        <f>ROUND(SUMIFS('Odoo Items'!$G$5:$G$4331,'Odoo Items'!$J$5:$J$4331,A428),2)</f>
        <v>591.67</v>
      </c>
      <c r="L428" s="9">
        <f>ROUND(J428-K428,2)</f>
        <v>0</v>
      </c>
      <c r="M428" s="9">
        <f>ROUND(SUMIFS('Bank Lines'!$E$5:$E$1640,'Bank Lines'!$G$5:$G$1640,A428,'Bank Lines'!$J$5:$J$1640,1,'Bank Lines'!$C$5:$C$1640,"&lt;="&amp;Cover!$C$13),2)</f>
        <v>0</v>
      </c>
      <c r="N428" s="9">
        <f>ROUND(SUMIFS('Odoo Items'!$G$5:$G$4331,'Odoo Items'!$J$5:$J$4331,A428,'Odoo Items'!$C$5:$C$4331,"&lt;="&amp;Cover!$C$13),2)</f>
        <v>0</v>
      </c>
      <c r="O428">
        <f>COUNTIFS('Bank Lines'!$G$5:$G$1640,A428,'Bank Lines'!$J$5:$J$1640,1,'Bank Lines'!$C$5:$C$1640,"&lt;="&amp;Cover!$C$13)</f>
        <v>0</v>
      </c>
      <c r="P428">
        <f>COUNTIFS('Odoo Items'!$J$5:$J$4331,A428,'Odoo Items'!$C$5:$C$4331,"&lt;="&amp;Cover!$C$13)</f>
        <v>0</v>
      </c>
      <c r="Q428">
        <f>IF(AND(O428=0,P428=0),"",IF(O428=0,"ODOO-ONLY",IF(P428=0,"BANK-ONLY","BOTH")))</f>
      </c>
      <c r="R428" s="9">
        <f>IF(Q428="BOTH",ROUND(M428-N428,2),0)</f>
        <v>0</v>
      </c>
      <c r="S428" s="9">
        <f>ROUND(SUMIFS('Bank Lines'!$E$5:$E$1640,'Bank Lines'!$G$5:$G$1640,A428,'Bank Lines'!$J$5:$J$1640,1,'Bank Lines'!$C$5:$C$1640,"&lt;="&amp;Cover!$C$14),2)</f>
        <v>0</v>
      </c>
      <c r="T428" s="9">
        <f>ROUND(SUMIFS('Odoo Items'!$G$5:$G$4331,'Odoo Items'!$J$5:$J$4331,A428,'Odoo Items'!$C$5:$C$4331,"&lt;="&amp;Cover!$C$14),2)</f>
        <v>0</v>
      </c>
      <c r="U428">
        <f>COUNTIFS('Bank Lines'!$G$5:$G$1640,A428,'Bank Lines'!$J$5:$J$1640,1,'Bank Lines'!$C$5:$C$1640,"&lt;="&amp;Cover!$C$14)</f>
        <v>0</v>
      </c>
      <c r="V428">
        <f>COUNTIFS('Odoo Items'!$J$5:$J$4331,A428,'Odoo Items'!$C$5:$C$4331,"&lt;="&amp;Cover!$C$14)</f>
        <v>0</v>
      </c>
      <c r="W428">
        <f>IF(AND(U428=0,V428=0),"",IF(U428=0,"ODOO-ONLY",IF(V428=0,"BANK-ONLY","BOTH")))</f>
      </c>
      <c r="X428" s="9">
        <f>IF(W428="BOTH",ROUND(S428-T428,2),0)</f>
        <v>0</v>
      </c>
      <c r="Y428" s="9">
        <f>ROUND(SUMIFS('Bank Lines'!$E$5:$E$1640,'Bank Lines'!$G$5:$G$1640,A428,'Bank Lines'!$J$5:$J$1640,1,'Bank Lines'!$C$5:$C$1640,"&lt;="&amp;Cover!$C$15),2)</f>
        <v>591.67</v>
      </c>
      <c r="Z428" s="9">
        <f>ROUND(SUMIFS('Odoo Items'!$G$5:$G$4331,'Odoo Items'!$J$5:$J$4331,A428,'Odoo Items'!$C$5:$C$4331,"&lt;="&amp;Cover!$C$15),2)</f>
        <v>591.67</v>
      </c>
      <c r="AA428">
        <f>COUNTIFS('Bank Lines'!$G$5:$G$1640,A428,'Bank Lines'!$J$5:$J$1640,1,'Bank Lines'!$C$5:$C$1640,"&lt;="&amp;Cover!$C$15)</f>
        <v>1</v>
      </c>
      <c r="AB428">
        <f>COUNTIFS('Odoo Items'!$J$5:$J$4331,A428,'Odoo Items'!$C$5:$C$4331,"&lt;="&amp;Cover!$C$15)</f>
        <v>2</v>
      </c>
      <c r="AC428" t="str">
        <f>IF(AND(AA428=0,AB428=0),"",IF(AA428=0,"ODOO-ONLY",IF(AB428=0,"BANK-ONLY","BOTH")))</f>
        <v>BOTH</v>
      </c>
      <c r="AD428" s="9">
        <f>IF(AC428="BOTH",ROUND(Y428-Z428,2),0)</f>
        <v>0</v>
      </c>
    </row>
    <row r="429">
      <c r="A429" t="inlineStr">
        <is>
          <t>G00425</t>
        </is>
      </c>
      <c r="B429" t="inlineStr">
        <is>
          <t>OPS</t>
        </is>
      </c>
      <c r="C429" t="inlineStr">
        <is>
          <t>R03</t>
        </is>
      </c>
      <c r="D429" t="inlineStr">
        <is>
          <t>MATCH</t>
        </is>
      </c>
      <c r="E429" t="inlineStr">
        <is>
          <t>Ironbark Plan Management</t>
        </is>
      </c>
      <c r="F429" t="n">
        <v>1</v>
      </c>
      <c r="G429" t="inlineStr">
        <is>
          <t>4 invoices</t>
        </is>
      </c>
      <c r="H429">
        <f>COUNTIFS('Bank Lines'!$G$5:$G$1640,A429,'Bank Lines'!$J$5:$J$1640,1)</f>
        <v>1</v>
      </c>
      <c r="I429">
        <f>COUNTIFS('Odoo Items'!$J$5:$J$4331,A429)</f>
        <v>4</v>
      </c>
      <c r="J429" s="9">
        <f>ROUND(SUMIFS('Bank Lines'!$E$5:$E$1640,'Bank Lines'!$G$5:$G$1640,A429,'Bank Lines'!$J$5:$J$1640,1),2)</f>
        <v>1290.94</v>
      </c>
      <c r="K429" s="9">
        <f>ROUND(SUMIFS('Odoo Items'!$G$5:$G$4331,'Odoo Items'!$J$5:$J$4331,A429),2)</f>
        <v>1290.94</v>
      </c>
      <c r="L429" s="9">
        <f>ROUND(J429-K429,2)</f>
        <v>0</v>
      </c>
      <c r="M429" s="9">
        <f>ROUND(SUMIFS('Bank Lines'!$E$5:$E$1640,'Bank Lines'!$G$5:$G$1640,A429,'Bank Lines'!$J$5:$J$1640,1,'Bank Lines'!$C$5:$C$1640,"&lt;="&amp;Cover!$C$13),2)</f>
        <v>0</v>
      </c>
      <c r="N429" s="9">
        <f>ROUND(SUMIFS('Odoo Items'!$G$5:$G$4331,'Odoo Items'!$J$5:$J$4331,A429,'Odoo Items'!$C$5:$C$4331,"&lt;="&amp;Cover!$C$13),2)</f>
        <v>0</v>
      </c>
      <c r="O429">
        <f>COUNTIFS('Bank Lines'!$G$5:$G$1640,A429,'Bank Lines'!$J$5:$J$1640,1,'Bank Lines'!$C$5:$C$1640,"&lt;="&amp;Cover!$C$13)</f>
        <v>0</v>
      </c>
      <c r="P429">
        <f>COUNTIFS('Odoo Items'!$J$5:$J$4331,A429,'Odoo Items'!$C$5:$C$4331,"&lt;="&amp;Cover!$C$13)</f>
        <v>0</v>
      </c>
      <c r="Q429">
        <f>IF(AND(O429=0,P429=0),"",IF(O429=0,"ODOO-ONLY",IF(P429=0,"BANK-ONLY","BOTH")))</f>
      </c>
      <c r="R429" s="9">
        <f>IF(Q429="BOTH",ROUND(M429-N429,2),0)</f>
        <v>0</v>
      </c>
      <c r="S429" s="9">
        <f>ROUND(SUMIFS('Bank Lines'!$E$5:$E$1640,'Bank Lines'!$G$5:$G$1640,A429,'Bank Lines'!$J$5:$J$1640,1,'Bank Lines'!$C$5:$C$1640,"&lt;="&amp;Cover!$C$14),2)</f>
        <v>0</v>
      </c>
      <c r="T429" s="9">
        <f>ROUND(SUMIFS('Odoo Items'!$G$5:$G$4331,'Odoo Items'!$J$5:$J$4331,A429,'Odoo Items'!$C$5:$C$4331,"&lt;="&amp;Cover!$C$14),2)</f>
        <v>0</v>
      </c>
      <c r="U429">
        <f>COUNTIFS('Bank Lines'!$G$5:$G$1640,A429,'Bank Lines'!$J$5:$J$1640,1,'Bank Lines'!$C$5:$C$1640,"&lt;="&amp;Cover!$C$14)</f>
        <v>0</v>
      </c>
      <c r="V429">
        <f>COUNTIFS('Odoo Items'!$J$5:$J$4331,A429,'Odoo Items'!$C$5:$C$4331,"&lt;="&amp;Cover!$C$14)</f>
        <v>0</v>
      </c>
      <c r="W429">
        <f>IF(AND(U429=0,V429=0),"",IF(U429=0,"ODOO-ONLY",IF(V429=0,"BANK-ONLY","BOTH")))</f>
      </c>
      <c r="X429" s="9">
        <f>IF(W429="BOTH",ROUND(S429-T429,2),0)</f>
        <v>0</v>
      </c>
      <c r="Y429" s="9">
        <f>ROUND(SUMIFS('Bank Lines'!$E$5:$E$1640,'Bank Lines'!$G$5:$G$1640,A429,'Bank Lines'!$J$5:$J$1640,1,'Bank Lines'!$C$5:$C$1640,"&lt;="&amp;Cover!$C$15),2)</f>
        <v>1290.94</v>
      </c>
      <c r="Z429" s="9">
        <f>ROUND(SUMIFS('Odoo Items'!$G$5:$G$4331,'Odoo Items'!$J$5:$J$4331,A429,'Odoo Items'!$C$5:$C$4331,"&lt;="&amp;Cover!$C$15),2)</f>
        <v>1290.94</v>
      </c>
      <c r="AA429">
        <f>COUNTIFS('Bank Lines'!$G$5:$G$1640,A429,'Bank Lines'!$J$5:$J$1640,1,'Bank Lines'!$C$5:$C$1640,"&lt;="&amp;Cover!$C$15)</f>
        <v>1</v>
      </c>
      <c r="AB429">
        <f>COUNTIFS('Odoo Items'!$J$5:$J$4331,A429,'Odoo Items'!$C$5:$C$4331,"&lt;="&amp;Cover!$C$15)</f>
        <v>4</v>
      </c>
      <c r="AC429" t="str">
        <f>IF(AND(AA429=0,AB429=0),"",IF(AA429=0,"ODOO-ONLY",IF(AB429=0,"BANK-ONLY","BOTH")))</f>
        <v>BOTH</v>
      </c>
      <c r="AD429" s="9">
        <f>IF(AC429="BOTH",ROUND(Y429-Z429,2),0)</f>
        <v>0</v>
      </c>
    </row>
    <row r="430">
      <c r="A430" t="inlineStr">
        <is>
          <t>G00426</t>
        </is>
      </c>
      <c r="B430" t="inlineStr">
        <is>
          <t>OPS</t>
        </is>
      </c>
      <c r="C430" t="inlineStr">
        <is>
          <t>R03</t>
        </is>
      </c>
      <c r="D430" t="inlineStr">
        <is>
          <t>MATCH</t>
        </is>
      </c>
      <c r="E430" t="inlineStr">
        <is>
          <t>Saltbush Plan Managers</t>
        </is>
      </c>
      <c r="F430" t="n">
        <v>1</v>
      </c>
      <c r="G430" t="inlineStr">
        <is>
          <t>6 invoices</t>
        </is>
      </c>
      <c r="H430">
        <f>COUNTIFS('Bank Lines'!$G$5:$G$1640,A430,'Bank Lines'!$J$5:$J$1640,1)</f>
        <v>1</v>
      </c>
      <c r="I430">
        <f>COUNTIFS('Odoo Items'!$J$5:$J$4331,A430)</f>
        <v>6</v>
      </c>
      <c r="J430" s="9">
        <f>ROUND(SUMIFS('Bank Lines'!$E$5:$E$1640,'Bank Lines'!$G$5:$G$1640,A430,'Bank Lines'!$J$5:$J$1640,1),2)</f>
        <v>1543.12</v>
      </c>
      <c r="K430" s="9">
        <f>ROUND(SUMIFS('Odoo Items'!$G$5:$G$4331,'Odoo Items'!$J$5:$J$4331,A430),2)</f>
        <v>1543.12</v>
      </c>
      <c r="L430" s="9">
        <f>ROUND(J430-K430,2)</f>
        <v>0</v>
      </c>
      <c r="M430" s="9">
        <f>ROUND(SUMIFS('Bank Lines'!$E$5:$E$1640,'Bank Lines'!$G$5:$G$1640,A430,'Bank Lines'!$J$5:$J$1640,1,'Bank Lines'!$C$5:$C$1640,"&lt;="&amp;Cover!$C$13),2)</f>
        <v>0</v>
      </c>
      <c r="N430" s="9">
        <f>ROUND(SUMIFS('Odoo Items'!$G$5:$G$4331,'Odoo Items'!$J$5:$J$4331,A430,'Odoo Items'!$C$5:$C$4331,"&lt;="&amp;Cover!$C$13),2)</f>
        <v>0</v>
      </c>
      <c r="O430">
        <f>COUNTIFS('Bank Lines'!$G$5:$G$1640,A430,'Bank Lines'!$J$5:$J$1640,1,'Bank Lines'!$C$5:$C$1640,"&lt;="&amp;Cover!$C$13)</f>
        <v>0</v>
      </c>
      <c r="P430">
        <f>COUNTIFS('Odoo Items'!$J$5:$J$4331,A430,'Odoo Items'!$C$5:$C$4331,"&lt;="&amp;Cover!$C$13)</f>
        <v>0</v>
      </c>
      <c r="Q430">
        <f>IF(AND(O430=0,P430=0),"",IF(O430=0,"ODOO-ONLY",IF(P430=0,"BANK-ONLY","BOTH")))</f>
      </c>
      <c r="R430" s="9">
        <f>IF(Q430="BOTH",ROUND(M430-N430,2),0)</f>
        <v>0</v>
      </c>
      <c r="S430" s="9">
        <f>ROUND(SUMIFS('Bank Lines'!$E$5:$E$1640,'Bank Lines'!$G$5:$G$1640,A430,'Bank Lines'!$J$5:$J$1640,1,'Bank Lines'!$C$5:$C$1640,"&lt;="&amp;Cover!$C$14),2)</f>
        <v>0</v>
      </c>
      <c r="T430" s="9">
        <f>ROUND(SUMIFS('Odoo Items'!$G$5:$G$4331,'Odoo Items'!$J$5:$J$4331,A430,'Odoo Items'!$C$5:$C$4331,"&lt;="&amp;Cover!$C$14),2)</f>
        <v>0</v>
      </c>
      <c r="U430">
        <f>COUNTIFS('Bank Lines'!$G$5:$G$1640,A430,'Bank Lines'!$J$5:$J$1640,1,'Bank Lines'!$C$5:$C$1640,"&lt;="&amp;Cover!$C$14)</f>
        <v>0</v>
      </c>
      <c r="V430">
        <f>COUNTIFS('Odoo Items'!$J$5:$J$4331,A430,'Odoo Items'!$C$5:$C$4331,"&lt;="&amp;Cover!$C$14)</f>
        <v>0</v>
      </c>
      <c r="W430">
        <f>IF(AND(U430=0,V430=0),"",IF(U430=0,"ODOO-ONLY",IF(V430=0,"BANK-ONLY","BOTH")))</f>
      </c>
      <c r="X430" s="9">
        <f>IF(W430="BOTH",ROUND(S430-T430,2),0)</f>
        <v>0</v>
      </c>
      <c r="Y430" s="9">
        <f>ROUND(SUMIFS('Bank Lines'!$E$5:$E$1640,'Bank Lines'!$G$5:$G$1640,A430,'Bank Lines'!$J$5:$J$1640,1,'Bank Lines'!$C$5:$C$1640,"&lt;="&amp;Cover!$C$15),2)</f>
        <v>1543.12</v>
      </c>
      <c r="Z430" s="9">
        <f>ROUND(SUMIFS('Odoo Items'!$G$5:$G$4331,'Odoo Items'!$J$5:$J$4331,A430,'Odoo Items'!$C$5:$C$4331,"&lt;="&amp;Cover!$C$15),2)</f>
        <v>1543.12</v>
      </c>
      <c r="AA430">
        <f>COUNTIFS('Bank Lines'!$G$5:$G$1640,A430,'Bank Lines'!$J$5:$J$1640,1,'Bank Lines'!$C$5:$C$1640,"&lt;="&amp;Cover!$C$15)</f>
        <v>1</v>
      </c>
      <c r="AB430">
        <f>COUNTIFS('Odoo Items'!$J$5:$J$4331,A430,'Odoo Items'!$C$5:$C$4331,"&lt;="&amp;Cover!$C$15)</f>
        <v>6</v>
      </c>
      <c r="AC430" t="str">
        <f>IF(AND(AA430=0,AB430=0),"",IF(AA430=0,"ODOO-ONLY",IF(AB430=0,"BANK-ONLY","BOTH")))</f>
        <v>BOTH</v>
      </c>
      <c r="AD430" s="9">
        <f>IF(AC430="BOTH",ROUND(Y430-Z430,2),0)</f>
        <v>0</v>
      </c>
    </row>
    <row r="431">
      <c r="A431" t="inlineStr">
        <is>
          <t>G00427</t>
        </is>
      </c>
      <c r="B431" t="inlineStr">
        <is>
          <t>OPS</t>
        </is>
      </c>
      <c r="C431" t="inlineStr">
        <is>
          <t>R03</t>
        </is>
      </c>
      <c r="D431" t="inlineStr">
        <is>
          <t>MATCH</t>
        </is>
      </c>
      <c r="E431" t="inlineStr">
        <is>
          <t>Southern Cross Plan Mgmt</t>
        </is>
      </c>
      <c r="F431" t="n">
        <v>0.955</v>
      </c>
      <c r="G431" t="inlineStr">
        <is>
          <t>4 invoices</t>
        </is>
      </c>
      <c r="H431">
        <f>COUNTIFS('Bank Lines'!$G$5:$G$1640,A431,'Bank Lines'!$J$5:$J$1640,1)</f>
        <v>1</v>
      </c>
      <c r="I431">
        <f>COUNTIFS('Odoo Items'!$J$5:$J$4331,A431)</f>
        <v>4</v>
      </c>
      <c r="J431" s="9">
        <f>ROUND(SUMIFS('Bank Lines'!$E$5:$E$1640,'Bank Lines'!$G$5:$G$1640,A431,'Bank Lines'!$J$5:$J$1640,1),2)</f>
        <v>1339.43</v>
      </c>
      <c r="K431" s="9">
        <f>ROUND(SUMIFS('Odoo Items'!$G$5:$G$4331,'Odoo Items'!$J$5:$J$4331,A431),2)</f>
        <v>1339.43</v>
      </c>
      <c r="L431" s="9">
        <f>ROUND(J431-K431,2)</f>
        <v>0</v>
      </c>
      <c r="M431" s="9">
        <f>ROUND(SUMIFS('Bank Lines'!$E$5:$E$1640,'Bank Lines'!$G$5:$G$1640,A431,'Bank Lines'!$J$5:$J$1640,1,'Bank Lines'!$C$5:$C$1640,"&lt;="&amp;Cover!$C$13),2)</f>
        <v>0</v>
      </c>
      <c r="N431" s="9">
        <f>ROUND(SUMIFS('Odoo Items'!$G$5:$G$4331,'Odoo Items'!$J$5:$J$4331,A431,'Odoo Items'!$C$5:$C$4331,"&lt;="&amp;Cover!$C$13),2)</f>
        <v>0</v>
      </c>
      <c r="O431">
        <f>COUNTIFS('Bank Lines'!$G$5:$G$1640,A431,'Bank Lines'!$J$5:$J$1640,1,'Bank Lines'!$C$5:$C$1640,"&lt;="&amp;Cover!$C$13)</f>
        <v>0</v>
      </c>
      <c r="P431">
        <f>COUNTIFS('Odoo Items'!$J$5:$J$4331,A431,'Odoo Items'!$C$5:$C$4331,"&lt;="&amp;Cover!$C$13)</f>
        <v>0</v>
      </c>
      <c r="Q431">
        <f>IF(AND(O431=0,P431=0),"",IF(O431=0,"ODOO-ONLY",IF(P431=0,"BANK-ONLY","BOTH")))</f>
      </c>
      <c r="R431" s="9">
        <f>IF(Q431="BOTH",ROUND(M431-N431,2),0)</f>
        <v>0</v>
      </c>
      <c r="S431" s="9">
        <f>ROUND(SUMIFS('Bank Lines'!$E$5:$E$1640,'Bank Lines'!$G$5:$G$1640,A431,'Bank Lines'!$J$5:$J$1640,1,'Bank Lines'!$C$5:$C$1640,"&lt;="&amp;Cover!$C$14),2)</f>
        <v>0</v>
      </c>
      <c r="T431" s="9">
        <f>ROUND(SUMIFS('Odoo Items'!$G$5:$G$4331,'Odoo Items'!$J$5:$J$4331,A431,'Odoo Items'!$C$5:$C$4331,"&lt;="&amp;Cover!$C$14),2)</f>
        <v>0</v>
      </c>
      <c r="U431">
        <f>COUNTIFS('Bank Lines'!$G$5:$G$1640,A431,'Bank Lines'!$J$5:$J$1640,1,'Bank Lines'!$C$5:$C$1640,"&lt;="&amp;Cover!$C$14)</f>
        <v>0</v>
      </c>
      <c r="V431">
        <f>COUNTIFS('Odoo Items'!$J$5:$J$4331,A431,'Odoo Items'!$C$5:$C$4331,"&lt;="&amp;Cover!$C$14)</f>
        <v>0</v>
      </c>
      <c r="W431">
        <f>IF(AND(U431=0,V431=0),"",IF(U431=0,"ODOO-ONLY",IF(V431=0,"BANK-ONLY","BOTH")))</f>
      </c>
      <c r="X431" s="9">
        <f>IF(W431="BOTH",ROUND(S431-T431,2),0)</f>
        <v>0</v>
      </c>
      <c r="Y431" s="9">
        <f>ROUND(SUMIFS('Bank Lines'!$E$5:$E$1640,'Bank Lines'!$G$5:$G$1640,A431,'Bank Lines'!$J$5:$J$1640,1,'Bank Lines'!$C$5:$C$1640,"&lt;="&amp;Cover!$C$15),2)</f>
        <v>1339.43</v>
      </c>
      <c r="Z431" s="9">
        <f>ROUND(SUMIFS('Odoo Items'!$G$5:$G$4331,'Odoo Items'!$J$5:$J$4331,A431,'Odoo Items'!$C$5:$C$4331,"&lt;="&amp;Cover!$C$15),2)</f>
        <v>1339.43</v>
      </c>
      <c r="AA431">
        <f>COUNTIFS('Bank Lines'!$G$5:$G$1640,A431,'Bank Lines'!$J$5:$J$1640,1,'Bank Lines'!$C$5:$C$1640,"&lt;="&amp;Cover!$C$15)</f>
        <v>1</v>
      </c>
      <c r="AB431">
        <f>COUNTIFS('Odoo Items'!$J$5:$J$4331,A431,'Odoo Items'!$C$5:$C$4331,"&lt;="&amp;Cover!$C$15)</f>
        <v>4</v>
      </c>
      <c r="AC431" t="str">
        <f>IF(AND(AA431=0,AB431=0),"",IF(AA431=0,"ODOO-ONLY",IF(AB431=0,"BANK-ONLY","BOTH")))</f>
        <v>BOTH</v>
      </c>
      <c r="AD431" s="9">
        <f>IF(AC431="BOTH",ROUND(Y431-Z431,2),0)</f>
        <v>0</v>
      </c>
    </row>
    <row r="432">
      <c r="A432" t="inlineStr">
        <is>
          <t>G00428</t>
        </is>
      </c>
      <c r="B432" t="inlineStr">
        <is>
          <t>OPS</t>
        </is>
      </c>
      <c r="C432" t="inlineStr">
        <is>
          <t>R03</t>
        </is>
      </c>
      <c r="D432" t="inlineStr">
        <is>
          <t>MATCH</t>
        </is>
      </c>
      <c r="E432" t="inlineStr">
        <is>
          <t>Lyrebird Plan Management</t>
        </is>
      </c>
      <c r="F432" t="n">
        <v>1</v>
      </c>
      <c r="G432" t="inlineStr">
        <is>
          <t>3 invoices</t>
        </is>
      </c>
      <c r="H432">
        <f>COUNTIFS('Bank Lines'!$G$5:$G$1640,A432,'Bank Lines'!$J$5:$J$1640,1)</f>
        <v>1</v>
      </c>
      <c r="I432">
        <f>COUNTIFS('Odoo Items'!$J$5:$J$4331,A432)</f>
        <v>3</v>
      </c>
      <c r="J432" s="9">
        <f>ROUND(SUMIFS('Bank Lines'!$E$5:$E$1640,'Bank Lines'!$G$5:$G$1640,A432,'Bank Lines'!$J$5:$J$1640,1),2)</f>
        <v>757.46</v>
      </c>
      <c r="K432" s="9">
        <f>ROUND(SUMIFS('Odoo Items'!$G$5:$G$4331,'Odoo Items'!$J$5:$J$4331,A432),2)</f>
        <v>757.46</v>
      </c>
      <c r="L432" s="9">
        <f>ROUND(J432-K432,2)</f>
        <v>0</v>
      </c>
      <c r="M432" s="9">
        <f>ROUND(SUMIFS('Bank Lines'!$E$5:$E$1640,'Bank Lines'!$G$5:$G$1640,A432,'Bank Lines'!$J$5:$J$1640,1,'Bank Lines'!$C$5:$C$1640,"&lt;="&amp;Cover!$C$13),2)</f>
        <v>0</v>
      </c>
      <c r="N432" s="9">
        <f>ROUND(SUMIFS('Odoo Items'!$G$5:$G$4331,'Odoo Items'!$J$5:$J$4331,A432,'Odoo Items'!$C$5:$C$4331,"&lt;="&amp;Cover!$C$13),2)</f>
        <v>0</v>
      </c>
      <c r="O432">
        <f>COUNTIFS('Bank Lines'!$G$5:$G$1640,A432,'Bank Lines'!$J$5:$J$1640,1,'Bank Lines'!$C$5:$C$1640,"&lt;="&amp;Cover!$C$13)</f>
        <v>0</v>
      </c>
      <c r="P432">
        <f>COUNTIFS('Odoo Items'!$J$5:$J$4331,A432,'Odoo Items'!$C$5:$C$4331,"&lt;="&amp;Cover!$C$13)</f>
        <v>0</v>
      </c>
      <c r="Q432">
        <f>IF(AND(O432=0,P432=0),"",IF(O432=0,"ODOO-ONLY",IF(P432=0,"BANK-ONLY","BOTH")))</f>
      </c>
      <c r="R432" s="9">
        <f>IF(Q432="BOTH",ROUND(M432-N432,2),0)</f>
        <v>0</v>
      </c>
      <c r="S432" s="9">
        <f>ROUND(SUMIFS('Bank Lines'!$E$5:$E$1640,'Bank Lines'!$G$5:$G$1640,A432,'Bank Lines'!$J$5:$J$1640,1,'Bank Lines'!$C$5:$C$1640,"&lt;="&amp;Cover!$C$14),2)</f>
        <v>0</v>
      </c>
      <c r="T432" s="9">
        <f>ROUND(SUMIFS('Odoo Items'!$G$5:$G$4331,'Odoo Items'!$J$5:$J$4331,A432,'Odoo Items'!$C$5:$C$4331,"&lt;="&amp;Cover!$C$14),2)</f>
        <v>0</v>
      </c>
      <c r="U432">
        <f>COUNTIFS('Bank Lines'!$G$5:$G$1640,A432,'Bank Lines'!$J$5:$J$1640,1,'Bank Lines'!$C$5:$C$1640,"&lt;="&amp;Cover!$C$14)</f>
        <v>0</v>
      </c>
      <c r="V432">
        <f>COUNTIFS('Odoo Items'!$J$5:$J$4331,A432,'Odoo Items'!$C$5:$C$4331,"&lt;="&amp;Cover!$C$14)</f>
        <v>0</v>
      </c>
      <c r="W432">
        <f>IF(AND(U432=0,V432=0),"",IF(U432=0,"ODOO-ONLY",IF(V432=0,"BANK-ONLY","BOTH")))</f>
      </c>
      <c r="X432" s="9">
        <f>IF(W432="BOTH",ROUND(S432-T432,2),0)</f>
        <v>0</v>
      </c>
      <c r="Y432" s="9">
        <f>ROUND(SUMIFS('Bank Lines'!$E$5:$E$1640,'Bank Lines'!$G$5:$G$1640,A432,'Bank Lines'!$J$5:$J$1640,1,'Bank Lines'!$C$5:$C$1640,"&lt;="&amp;Cover!$C$15),2)</f>
        <v>757.46</v>
      </c>
      <c r="Z432" s="9">
        <f>ROUND(SUMIFS('Odoo Items'!$G$5:$G$4331,'Odoo Items'!$J$5:$J$4331,A432,'Odoo Items'!$C$5:$C$4331,"&lt;="&amp;Cover!$C$15),2)</f>
        <v>757.46</v>
      </c>
      <c r="AA432">
        <f>COUNTIFS('Bank Lines'!$G$5:$G$1640,A432,'Bank Lines'!$J$5:$J$1640,1,'Bank Lines'!$C$5:$C$1640,"&lt;="&amp;Cover!$C$15)</f>
        <v>1</v>
      </c>
      <c r="AB432">
        <f>COUNTIFS('Odoo Items'!$J$5:$J$4331,A432,'Odoo Items'!$C$5:$C$4331,"&lt;="&amp;Cover!$C$15)</f>
        <v>3</v>
      </c>
      <c r="AC432" t="str">
        <f>IF(AND(AA432=0,AB432=0),"",IF(AA432=0,"ODOO-ONLY",IF(AB432=0,"BANK-ONLY","BOTH")))</f>
        <v>BOTH</v>
      </c>
      <c r="AD432" s="9">
        <f>IF(AC432="BOTH",ROUND(Y432-Z432,2),0)</f>
        <v>0</v>
      </c>
    </row>
    <row r="433">
      <c r="A433" t="inlineStr">
        <is>
          <t>G00429</t>
        </is>
      </c>
      <c r="B433" t="inlineStr">
        <is>
          <t>OPS</t>
        </is>
      </c>
      <c r="C433" t="inlineStr">
        <is>
          <t>R03</t>
        </is>
      </c>
      <c r="D433" t="inlineStr">
        <is>
          <t>REG</t>
        </is>
      </c>
      <c r="E433" t="inlineStr">
        <is>
          <t>Bluegum Plan Management</t>
        </is>
      </c>
      <c r="F433" t="n">
        <v>0.9</v>
      </c>
      <c r="G433" t="inlineStr">
        <is>
          <t>Receipt not registered in Odoo; remittance RA45150 lists 2 invoices</t>
        </is>
      </c>
      <c r="H433">
        <f>COUNTIFS('Bank Lines'!$G$5:$G$1640,A433,'Bank Lines'!$J$5:$J$1640,1)</f>
        <v>1</v>
      </c>
      <c r="I433">
        <f>COUNTIFS('Odoo Items'!$J$5:$J$4331,A433)</f>
        <v>0</v>
      </c>
      <c r="J433" s="9">
        <f>ROUND(SUMIFS('Bank Lines'!$E$5:$E$1640,'Bank Lines'!$G$5:$G$1640,A433,'Bank Lines'!$J$5:$J$1640,1),2)</f>
        <v>611.97</v>
      </c>
      <c r="K433" s="9">
        <f>ROUND(SUMIFS('Odoo Items'!$G$5:$G$4331,'Odoo Items'!$J$5:$J$4331,A433),2)</f>
        <v>0</v>
      </c>
      <c r="L433" s="9">
        <f>ROUND(J433-K433,2)</f>
        <v>611.97</v>
      </c>
      <c r="M433" s="9">
        <f>ROUND(SUMIFS('Bank Lines'!$E$5:$E$1640,'Bank Lines'!$G$5:$G$1640,A433,'Bank Lines'!$J$5:$J$1640,1,'Bank Lines'!$C$5:$C$1640,"&lt;="&amp;Cover!$C$13),2)</f>
        <v>0</v>
      </c>
      <c r="N433" s="9">
        <f>ROUND(SUMIFS('Odoo Items'!$G$5:$G$4331,'Odoo Items'!$J$5:$J$4331,A433,'Odoo Items'!$C$5:$C$4331,"&lt;="&amp;Cover!$C$13),2)</f>
        <v>0</v>
      </c>
      <c r="O433">
        <f>COUNTIFS('Bank Lines'!$G$5:$G$1640,A433,'Bank Lines'!$J$5:$J$1640,1,'Bank Lines'!$C$5:$C$1640,"&lt;="&amp;Cover!$C$13)</f>
        <v>0</v>
      </c>
      <c r="P433">
        <f>COUNTIFS('Odoo Items'!$J$5:$J$4331,A433,'Odoo Items'!$C$5:$C$4331,"&lt;="&amp;Cover!$C$13)</f>
        <v>0</v>
      </c>
      <c r="Q433">
        <f>IF(AND(O433=0,P433=0),"",IF(O433=0,"ODOO-ONLY",IF(P433=0,"BANK-ONLY","BOTH")))</f>
      </c>
      <c r="R433" s="9">
        <f>IF(Q433="BOTH",ROUND(M433-N433,2),0)</f>
        <v>0</v>
      </c>
      <c r="S433" s="9">
        <f>ROUND(SUMIFS('Bank Lines'!$E$5:$E$1640,'Bank Lines'!$G$5:$G$1640,A433,'Bank Lines'!$J$5:$J$1640,1,'Bank Lines'!$C$5:$C$1640,"&lt;="&amp;Cover!$C$14),2)</f>
        <v>0</v>
      </c>
      <c r="T433" s="9">
        <f>ROUND(SUMIFS('Odoo Items'!$G$5:$G$4331,'Odoo Items'!$J$5:$J$4331,A433,'Odoo Items'!$C$5:$C$4331,"&lt;="&amp;Cover!$C$14),2)</f>
        <v>0</v>
      </c>
      <c r="U433">
        <f>COUNTIFS('Bank Lines'!$G$5:$G$1640,A433,'Bank Lines'!$J$5:$J$1640,1,'Bank Lines'!$C$5:$C$1640,"&lt;="&amp;Cover!$C$14)</f>
        <v>0</v>
      </c>
      <c r="V433">
        <f>COUNTIFS('Odoo Items'!$J$5:$J$4331,A433,'Odoo Items'!$C$5:$C$4331,"&lt;="&amp;Cover!$C$14)</f>
        <v>0</v>
      </c>
      <c r="W433">
        <f>IF(AND(U433=0,V433=0),"",IF(U433=0,"ODOO-ONLY",IF(V433=0,"BANK-ONLY","BOTH")))</f>
      </c>
      <c r="X433" s="9">
        <f>IF(W433="BOTH",ROUND(S433-T433,2),0)</f>
        <v>0</v>
      </c>
      <c r="Y433" s="9">
        <f>ROUND(SUMIFS('Bank Lines'!$E$5:$E$1640,'Bank Lines'!$G$5:$G$1640,A433,'Bank Lines'!$J$5:$J$1640,1,'Bank Lines'!$C$5:$C$1640,"&lt;="&amp;Cover!$C$15),2)</f>
        <v>611.97</v>
      </c>
      <c r="Z433" s="9">
        <f>ROUND(SUMIFS('Odoo Items'!$G$5:$G$4331,'Odoo Items'!$J$5:$J$4331,A433,'Odoo Items'!$C$5:$C$4331,"&lt;="&amp;Cover!$C$15),2)</f>
        <v>0</v>
      </c>
      <c r="AA433">
        <f>COUNTIFS('Bank Lines'!$G$5:$G$1640,A433,'Bank Lines'!$J$5:$J$1640,1,'Bank Lines'!$C$5:$C$1640,"&lt;="&amp;Cover!$C$15)</f>
        <v>1</v>
      </c>
      <c r="AB433">
        <f>COUNTIFS('Odoo Items'!$J$5:$J$4331,A433,'Odoo Items'!$C$5:$C$4331,"&lt;="&amp;Cover!$C$15)</f>
        <v>0</v>
      </c>
      <c r="AC433" t="str">
        <f>IF(AND(AA433=0,AB433=0),"",IF(AA433=0,"ODOO-ONLY",IF(AB433=0,"BANK-ONLY","BOTH")))</f>
        <v>BANK-ONLY</v>
      </c>
      <c r="AD433" s="9">
        <f>IF(AC433="BOTH",ROUND(Y433-Z433,2),0)</f>
        <v>0</v>
      </c>
    </row>
    <row r="434">
      <c r="A434" t="inlineStr">
        <is>
          <t>G00430</t>
        </is>
      </c>
      <c r="B434" t="inlineStr">
        <is>
          <t>OPS</t>
        </is>
      </c>
      <c r="C434" t="inlineStr">
        <is>
          <t>R03</t>
        </is>
      </c>
      <c r="D434" t="inlineStr">
        <is>
          <t>MATCH</t>
        </is>
      </c>
      <c r="E434" t="inlineStr">
        <is>
          <t>Riverbend Plan Partners</t>
        </is>
      </c>
      <c r="F434" t="n">
        <v>1</v>
      </c>
      <c r="G434" t="inlineStr">
        <is>
          <t>4 invoices</t>
        </is>
      </c>
      <c r="H434">
        <f>COUNTIFS('Bank Lines'!$G$5:$G$1640,A434,'Bank Lines'!$J$5:$J$1640,1)</f>
        <v>1</v>
      </c>
      <c r="I434">
        <f>COUNTIFS('Odoo Items'!$J$5:$J$4331,A434)</f>
        <v>4</v>
      </c>
      <c r="J434" s="9">
        <f>ROUND(SUMIFS('Bank Lines'!$E$5:$E$1640,'Bank Lines'!$G$5:$G$1640,A434,'Bank Lines'!$J$5:$J$1640,1),2)</f>
        <v>1231.84</v>
      </c>
      <c r="K434" s="9">
        <f>ROUND(SUMIFS('Odoo Items'!$G$5:$G$4331,'Odoo Items'!$J$5:$J$4331,A434),2)</f>
        <v>1231.84</v>
      </c>
      <c r="L434" s="9">
        <f>ROUND(J434-K434,2)</f>
        <v>0</v>
      </c>
      <c r="M434" s="9">
        <f>ROUND(SUMIFS('Bank Lines'!$E$5:$E$1640,'Bank Lines'!$G$5:$G$1640,A434,'Bank Lines'!$J$5:$J$1640,1,'Bank Lines'!$C$5:$C$1640,"&lt;="&amp;Cover!$C$13),2)</f>
        <v>0</v>
      </c>
      <c r="N434" s="9">
        <f>ROUND(SUMIFS('Odoo Items'!$G$5:$G$4331,'Odoo Items'!$J$5:$J$4331,A434,'Odoo Items'!$C$5:$C$4331,"&lt;="&amp;Cover!$C$13),2)</f>
        <v>0</v>
      </c>
      <c r="O434">
        <f>COUNTIFS('Bank Lines'!$G$5:$G$1640,A434,'Bank Lines'!$J$5:$J$1640,1,'Bank Lines'!$C$5:$C$1640,"&lt;="&amp;Cover!$C$13)</f>
        <v>0</v>
      </c>
      <c r="P434">
        <f>COUNTIFS('Odoo Items'!$J$5:$J$4331,A434,'Odoo Items'!$C$5:$C$4331,"&lt;="&amp;Cover!$C$13)</f>
        <v>0</v>
      </c>
      <c r="Q434">
        <f>IF(AND(O434=0,P434=0),"",IF(O434=0,"ODOO-ONLY",IF(P434=0,"BANK-ONLY","BOTH")))</f>
      </c>
      <c r="R434" s="9">
        <f>IF(Q434="BOTH",ROUND(M434-N434,2),0)</f>
        <v>0</v>
      </c>
      <c r="S434" s="9">
        <f>ROUND(SUMIFS('Bank Lines'!$E$5:$E$1640,'Bank Lines'!$G$5:$G$1640,A434,'Bank Lines'!$J$5:$J$1640,1,'Bank Lines'!$C$5:$C$1640,"&lt;="&amp;Cover!$C$14),2)</f>
        <v>0</v>
      </c>
      <c r="T434" s="9">
        <f>ROUND(SUMIFS('Odoo Items'!$G$5:$G$4331,'Odoo Items'!$J$5:$J$4331,A434,'Odoo Items'!$C$5:$C$4331,"&lt;="&amp;Cover!$C$14),2)</f>
        <v>0</v>
      </c>
      <c r="U434">
        <f>COUNTIFS('Bank Lines'!$G$5:$G$1640,A434,'Bank Lines'!$J$5:$J$1640,1,'Bank Lines'!$C$5:$C$1640,"&lt;="&amp;Cover!$C$14)</f>
        <v>0</v>
      </c>
      <c r="V434">
        <f>COUNTIFS('Odoo Items'!$J$5:$J$4331,A434,'Odoo Items'!$C$5:$C$4331,"&lt;="&amp;Cover!$C$14)</f>
        <v>0</v>
      </c>
      <c r="W434">
        <f>IF(AND(U434=0,V434=0),"",IF(U434=0,"ODOO-ONLY",IF(V434=0,"BANK-ONLY","BOTH")))</f>
      </c>
      <c r="X434" s="9">
        <f>IF(W434="BOTH",ROUND(S434-T434,2),0)</f>
        <v>0</v>
      </c>
      <c r="Y434" s="9">
        <f>ROUND(SUMIFS('Bank Lines'!$E$5:$E$1640,'Bank Lines'!$G$5:$G$1640,A434,'Bank Lines'!$J$5:$J$1640,1,'Bank Lines'!$C$5:$C$1640,"&lt;="&amp;Cover!$C$15),2)</f>
        <v>1231.84</v>
      </c>
      <c r="Z434" s="9">
        <f>ROUND(SUMIFS('Odoo Items'!$G$5:$G$4331,'Odoo Items'!$J$5:$J$4331,A434,'Odoo Items'!$C$5:$C$4331,"&lt;="&amp;Cover!$C$15),2)</f>
        <v>1231.84</v>
      </c>
      <c r="AA434">
        <f>COUNTIFS('Bank Lines'!$G$5:$G$1640,A434,'Bank Lines'!$J$5:$J$1640,1,'Bank Lines'!$C$5:$C$1640,"&lt;="&amp;Cover!$C$15)</f>
        <v>1</v>
      </c>
      <c r="AB434">
        <f>COUNTIFS('Odoo Items'!$J$5:$J$4331,A434,'Odoo Items'!$C$5:$C$4331,"&lt;="&amp;Cover!$C$15)</f>
        <v>4</v>
      </c>
      <c r="AC434" t="str">
        <f>IF(AND(AA434=0,AB434=0),"",IF(AA434=0,"ODOO-ONLY",IF(AB434=0,"BANK-ONLY","BOTH")))</f>
        <v>BOTH</v>
      </c>
      <c r="AD434" s="9">
        <f>IF(AC434="BOTH",ROUND(Y434-Z434,2),0)</f>
        <v>0</v>
      </c>
    </row>
    <row r="435">
      <c r="A435" t="inlineStr">
        <is>
          <t>G00431</t>
        </is>
      </c>
      <c r="B435" t="inlineStr">
        <is>
          <t>OPS</t>
        </is>
      </c>
      <c r="C435" t="inlineStr">
        <is>
          <t>R03</t>
        </is>
      </c>
      <c r="D435" t="inlineStr">
        <is>
          <t>MATCH</t>
        </is>
      </c>
      <c r="E435" t="inlineStr">
        <is>
          <t>Clearpath NDIS Plans</t>
        </is>
      </c>
      <c r="F435" t="n">
        <v>1</v>
      </c>
      <c r="G435" t="inlineStr">
        <is>
          <t>2 invoices</t>
        </is>
      </c>
      <c r="H435">
        <f>COUNTIFS('Bank Lines'!$G$5:$G$1640,A435,'Bank Lines'!$J$5:$J$1640,1)</f>
        <v>1</v>
      </c>
      <c r="I435">
        <f>COUNTIFS('Odoo Items'!$J$5:$J$4331,A435)</f>
        <v>2</v>
      </c>
      <c r="J435" s="9">
        <f>ROUND(SUMIFS('Bank Lines'!$E$5:$E$1640,'Bank Lines'!$G$5:$G$1640,A435,'Bank Lines'!$J$5:$J$1640,1),2)</f>
        <v>466.47</v>
      </c>
      <c r="K435" s="9">
        <f>ROUND(SUMIFS('Odoo Items'!$G$5:$G$4331,'Odoo Items'!$J$5:$J$4331,A435),2)</f>
        <v>466.47</v>
      </c>
      <c r="L435" s="9">
        <f>ROUND(J435-K435,2)</f>
        <v>0</v>
      </c>
      <c r="M435" s="9">
        <f>ROUND(SUMIFS('Bank Lines'!$E$5:$E$1640,'Bank Lines'!$G$5:$G$1640,A435,'Bank Lines'!$J$5:$J$1640,1,'Bank Lines'!$C$5:$C$1640,"&lt;="&amp;Cover!$C$13),2)</f>
        <v>0</v>
      </c>
      <c r="N435" s="9">
        <f>ROUND(SUMIFS('Odoo Items'!$G$5:$G$4331,'Odoo Items'!$J$5:$J$4331,A435,'Odoo Items'!$C$5:$C$4331,"&lt;="&amp;Cover!$C$13),2)</f>
        <v>0</v>
      </c>
      <c r="O435">
        <f>COUNTIFS('Bank Lines'!$G$5:$G$1640,A435,'Bank Lines'!$J$5:$J$1640,1,'Bank Lines'!$C$5:$C$1640,"&lt;="&amp;Cover!$C$13)</f>
        <v>0</v>
      </c>
      <c r="P435">
        <f>COUNTIFS('Odoo Items'!$J$5:$J$4331,A435,'Odoo Items'!$C$5:$C$4331,"&lt;="&amp;Cover!$C$13)</f>
        <v>0</v>
      </c>
      <c r="Q435">
        <f>IF(AND(O435=0,P435=0),"",IF(O435=0,"ODOO-ONLY",IF(P435=0,"BANK-ONLY","BOTH")))</f>
      </c>
      <c r="R435" s="9">
        <f>IF(Q435="BOTH",ROUND(M435-N435,2),0)</f>
        <v>0</v>
      </c>
      <c r="S435" s="9">
        <f>ROUND(SUMIFS('Bank Lines'!$E$5:$E$1640,'Bank Lines'!$G$5:$G$1640,A435,'Bank Lines'!$J$5:$J$1640,1,'Bank Lines'!$C$5:$C$1640,"&lt;="&amp;Cover!$C$14),2)</f>
        <v>0</v>
      </c>
      <c r="T435" s="9">
        <f>ROUND(SUMIFS('Odoo Items'!$G$5:$G$4331,'Odoo Items'!$J$5:$J$4331,A435,'Odoo Items'!$C$5:$C$4331,"&lt;="&amp;Cover!$C$14),2)</f>
        <v>0</v>
      </c>
      <c r="U435">
        <f>COUNTIFS('Bank Lines'!$G$5:$G$1640,A435,'Bank Lines'!$J$5:$J$1640,1,'Bank Lines'!$C$5:$C$1640,"&lt;="&amp;Cover!$C$14)</f>
        <v>0</v>
      </c>
      <c r="V435">
        <f>COUNTIFS('Odoo Items'!$J$5:$J$4331,A435,'Odoo Items'!$C$5:$C$4331,"&lt;="&amp;Cover!$C$14)</f>
        <v>0</v>
      </c>
      <c r="W435">
        <f>IF(AND(U435=0,V435=0),"",IF(U435=0,"ODOO-ONLY",IF(V435=0,"BANK-ONLY","BOTH")))</f>
      </c>
      <c r="X435" s="9">
        <f>IF(W435="BOTH",ROUND(S435-T435,2),0)</f>
        <v>0</v>
      </c>
      <c r="Y435" s="9">
        <f>ROUND(SUMIFS('Bank Lines'!$E$5:$E$1640,'Bank Lines'!$G$5:$G$1640,A435,'Bank Lines'!$J$5:$J$1640,1,'Bank Lines'!$C$5:$C$1640,"&lt;="&amp;Cover!$C$15),2)</f>
        <v>466.47</v>
      </c>
      <c r="Z435" s="9">
        <f>ROUND(SUMIFS('Odoo Items'!$G$5:$G$4331,'Odoo Items'!$J$5:$J$4331,A435,'Odoo Items'!$C$5:$C$4331,"&lt;="&amp;Cover!$C$15),2)</f>
        <v>466.47</v>
      </c>
      <c r="AA435">
        <f>COUNTIFS('Bank Lines'!$G$5:$G$1640,A435,'Bank Lines'!$J$5:$J$1640,1,'Bank Lines'!$C$5:$C$1640,"&lt;="&amp;Cover!$C$15)</f>
        <v>1</v>
      </c>
      <c r="AB435">
        <f>COUNTIFS('Odoo Items'!$J$5:$J$4331,A435,'Odoo Items'!$C$5:$C$4331,"&lt;="&amp;Cover!$C$15)</f>
        <v>2</v>
      </c>
      <c r="AC435" t="str">
        <f>IF(AND(AA435=0,AB435=0),"",IF(AA435=0,"ODOO-ONLY",IF(AB435=0,"BANK-ONLY","BOTH")))</f>
        <v>BOTH</v>
      </c>
      <c r="AD435" s="9">
        <f>IF(AC435="BOTH",ROUND(Y435-Z435,2),0)</f>
        <v>0</v>
      </c>
    </row>
    <row r="436">
      <c r="A436" t="inlineStr">
        <is>
          <t>G00432</t>
        </is>
      </c>
      <c r="B436" t="inlineStr">
        <is>
          <t>OPS</t>
        </is>
      </c>
      <c r="C436" t="inlineStr">
        <is>
          <t>R03</t>
        </is>
      </c>
      <c r="D436" t="inlineStr">
        <is>
          <t>MATCH</t>
        </is>
      </c>
      <c r="E436" t="inlineStr">
        <is>
          <t>Banksia Plan Co</t>
        </is>
      </c>
      <c r="F436" t="n">
        <v>1</v>
      </c>
      <c r="G436" t="inlineStr">
        <is>
          <t>1 invoices</t>
        </is>
      </c>
      <c r="H436">
        <f>COUNTIFS('Bank Lines'!$G$5:$G$1640,A436,'Bank Lines'!$J$5:$J$1640,1)</f>
        <v>1</v>
      </c>
      <c r="I436">
        <f>COUNTIFS('Odoo Items'!$J$5:$J$4331,A436)</f>
        <v>1</v>
      </c>
      <c r="J436" s="9">
        <f>ROUND(SUMIFS('Bank Lines'!$E$5:$E$1640,'Bank Lines'!$G$5:$G$1640,A436,'Bank Lines'!$J$5:$J$1640,1),2)</f>
        <v>242.49</v>
      </c>
      <c r="K436" s="9">
        <f>ROUND(SUMIFS('Odoo Items'!$G$5:$G$4331,'Odoo Items'!$J$5:$J$4331,A436),2)</f>
        <v>242.49</v>
      </c>
      <c r="L436" s="9">
        <f>ROUND(J436-K436,2)</f>
        <v>0</v>
      </c>
      <c r="M436" s="9">
        <f>ROUND(SUMIFS('Bank Lines'!$E$5:$E$1640,'Bank Lines'!$G$5:$G$1640,A436,'Bank Lines'!$J$5:$J$1640,1,'Bank Lines'!$C$5:$C$1640,"&lt;="&amp;Cover!$C$13),2)</f>
        <v>0</v>
      </c>
      <c r="N436" s="9">
        <f>ROUND(SUMIFS('Odoo Items'!$G$5:$G$4331,'Odoo Items'!$J$5:$J$4331,A436,'Odoo Items'!$C$5:$C$4331,"&lt;="&amp;Cover!$C$13),2)</f>
        <v>0</v>
      </c>
      <c r="O436">
        <f>COUNTIFS('Bank Lines'!$G$5:$G$1640,A436,'Bank Lines'!$J$5:$J$1640,1,'Bank Lines'!$C$5:$C$1640,"&lt;="&amp;Cover!$C$13)</f>
        <v>0</v>
      </c>
      <c r="P436">
        <f>COUNTIFS('Odoo Items'!$J$5:$J$4331,A436,'Odoo Items'!$C$5:$C$4331,"&lt;="&amp;Cover!$C$13)</f>
        <v>0</v>
      </c>
      <c r="Q436">
        <f>IF(AND(O436=0,P436=0),"",IF(O436=0,"ODOO-ONLY",IF(P436=0,"BANK-ONLY","BOTH")))</f>
      </c>
      <c r="R436" s="9">
        <f>IF(Q436="BOTH",ROUND(M436-N436,2),0)</f>
        <v>0</v>
      </c>
      <c r="S436" s="9">
        <f>ROUND(SUMIFS('Bank Lines'!$E$5:$E$1640,'Bank Lines'!$G$5:$G$1640,A436,'Bank Lines'!$J$5:$J$1640,1,'Bank Lines'!$C$5:$C$1640,"&lt;="&amp;Cover!$C$14),2)</f>
        <v>0</v>
      </c>
      <c r="T436" s="9">
        <f>ROUND(SUMIFS('Odoo Items'!$G$5:$G$4331,'Odoo Items'!$J$5:$J$4331,A436,'Odoo Items'!$C$5:$C$4331,"&lt;="&amp;Cover!$C$14),2)</f>
        <v>0</v>
      </c>
      <c r="U436">
        <f>COUNTIFS('Bank Lines'!$G$5:$G$1640,A436,'Bank Lines'!$J$5:$J$1640,1,'Bank Lines'!$C$5:$C$1640,"&lt;="&amp;Cover!$C$14)</f>
        <v>0</v>
      </c>
      <c r="V436">
        <f>COUNTIFS('Odoo Items'!$J$5:$J$4331,A436,'Odoo Items'!$C$5:$C$4331,"&lt;="&amp;Cover!$C$14)</f>
        <v>0</v>
      </c>
      <c r="W436">
        <f>IF(AND(U436=0,V436=0),"",IF(U436=0,"ODOO-ONLY",IF(V436=0,"BANK-ONLY","BOTH")))</f>
      </c>
      <c r="X436" s="9">
        <f>IF(W436="BOTH",ROUND(S436-T436,2),0)</f>
        <v>0</v>
      </c>
      <c r="Y436" s="9">
        <f>ROUND(SUMIFS('Bank Lines'!$E$5:$E$1640,'Bank Lines'!$G$5:$G$1640,A436,'Bank Lines'!$J$5:$J$1640,1,'Bank Lines'!$C$5:$C$1640,"&lt;="&amp;Cover!$C$15),2)</f>
        <v>242.49</v>
      </c>
      <c r="Z436" s="9">
        <f>ROUND(SUMIFS('Odoo Items'!$G$5:$G$4331,'Odoo Items'!$J$5:$J$4331,A436,'Odoo Items'!$C$5:$C$4331,"&lt;="&amp;Cover!$C$15),2)</f>
        <v>242.49</v>
      </c>
      <c r="AA436">
        <f>COUNTIFS('Bank Lines'!$G$5:$G$1640,A436,'Bank Lines'!$J$5:$J$1640,1,'Bank Lines'!$C$5:$C$1640,"&lt;="&amp;Cover!$C$15)</f>
        <v>1</v>
      </c>
      <c r="AB436">
        <f>COUNTIFS('Odoo Items'!$J$5:$J$4331,A436,'Odoo Items'!$C$5:$C$4331,"&lt;="&amp;Cover!$C$15)</f>
        <v>1</v>
      </c>
      <c r="AC436" t="str">
        <f>IF(AND(AA436=0,AB436=0),"",IF(AA436=0,"ODOO-ONLY",IF(AB436=0,"BANK-ONLY","BOTH")))</f>
        <v>BOTH</v>
      </c>
      <c r="AD436" s="9">
        <f>IF(AC436="BOTH",ROUND(Y436-Z436,2),0)</f>
        <v>0</v>
      </c>
    </row>
    <row r="437">
      <c r="A437" t="inlineStr">
        <is>
          <t>G00433</t>
        </is>
      </c>
      <c r="B437" t="inlineStr">
        <is>
          <t>OPS</t>
        </is>
      </c>
      <c r="C437" t="inlineStr">
        <is>
          <t>R03</t>
        </is>
      </c>
      <c r="D437" t="inlineStr">
        <is>
          <t>MATCH</t>
        </is>
      </c>
      <c r="E437" t="inlineStr">
        <is>
          <t>Ironbark Plan Management</t>
        </is>
      </c>
      <c r="F437" t="n">
        <v>1</v>
      </c>
      <c r="G437" t="inlineStr">
        <is>
          <t>4 invoices</t>
        </is>
      </c>
      <c r="H437">
        <f>COUNTIFS('Bank Lines'!$G$5:$G$1640,A437,'Bank Lines'!$J$5:$J$1640,1)</f>
        <v>1</v>
      </c>
      <c r="I437">
        <f>COUNTIFS('Odoo Items'!$J$5:$J$4331,A437)</f>
        <v>4</v>
      </c>
      <c r="J437" s="9">
        <f>ROUND(SUMIFS('Bank Lines'!$E$5:$E$1640,'Bank Lines'!$G$5:$G$1640,A437,'Bank Lines'!$J$5:$J$1640,1),2)</f>
        <v>1106.64</v>
      </c>
      <c r="K437" s="9">
        <f>ROUND(SUMIFS('Odoo Items'!$G$5:$G$4331,'Odoo Items'!$J$5:$J$4331,A437),2)</f>
        <v>1106.64</v>
      </c>
      <c r="L437" s="9">
        <f>ROUND(J437-K437,2)</f>
        <v>0</v>
      </c>
      <c r="M437" s="9">
        <f>ROUND(SUMIFS('Bank Lines'!$E$5:$E$1640,'Bank Lines'!$G$5:$G$1640,A437,'Bank Lines'!$J$5:$J$1640,1,'Bank Lines'!$C$5:$C$1640,"&lt;="&amp;Cover!$C$13),2)</f>
        <v>0</v>
      </c>
      <c r="N437" s="9">
        <f>ROUND(SUMIFS('Odoo Items'!$G$5:$G$4331,'Odoo Items'!$J$5:$J$4331,A437,'Odoo Items'!$C$5:$C$4331,"&lt;="&amp;Cover!$C$13),2)</f>
        <v>0</v>
      </c>
      <c r="O437">
        <f>COUNTIFS('Bank Lines'!$G$5:$G$1640,A437,'Bank Lines'!$J$5:$J$1640,1,'Bank Lines'!$C$5:$C$1640,"&lt;="&amp;Cover!$C$13)</f>
        <v>0</v>
      </c>
      <c r="P437">
        <f>COUNTIFS('Odoo Items'!$J$5:$J$4331,A437,'Odoo Items'!$C$5:$C$4331,"&lt;="&amp;Cover!$C$13)</f>
        <v>0</v>
      </c>
      <c r="Q437">
        <f>IF(AND(O437=0,P437=0),"",IF(O437=0,"ODOO-ONLY",IF(P437=0,"BANK-ONLY","BOTH")))</f>
      </c>
      <c r="R437" s="9">
        <f>IF(Q437="BOTH",ROUND(M437-N437,2),0)</f>
        <v>0</v>
      </c>
      <c r="S437" s="9">
        <f>ROUND(SUMIFS('Bank Lines'!$E$5:$E$1640,'Bank Lines'!$G$5:$G$1640,A437,'Bank Lines'!$J$5:$J$1640,1,'Bank Lines'!$C$5:$C$1640,"&lt;="&amp;Cover!$C$14),2)</f>
        <v>0</v>
      </c>
      <c r="T437" s="9">
        <f>ROUND(SUMIFS('Odoo Items'!$G$5:$G$4331,'Odoo Items'!$J$5:$J$4331,A437,'Odoo Items'!$C$5:$C$4331,"&lt;="&amp;Cover!$C$14),2)</f>
        <v>0</v>
      </c>
      <c r="U437">
        <f>COUNTIFS('Bank Lines'!$G$5:$G$1640,A437,'Bank Lines'!$J$5:$J$1640,1,'Bank Lines'!$C$5:$C$1640,"&lt;="&amp;Cover!$C$14)</f>
        <v>0</v>
      </c>
      <c r="V437">
        <f>COUNTIFS('Odoo Items'!$J$5:$J$4331,A437,'Odoo Items'!$C$5:$C$4331,"&lt;="&amp;Cover!$C$14)</f>
        <v>0</v>
      </c>
      <c r="W437">
        <f>IF(AND(U437=0,V437=0),"",IF(U437=0,"ODOO-ONLY",IF(V437=0,"BANK-ONLY","BOTH")))</f>
      </c>
      <c r="X437" s="9">
        <f>IF(W437="BOTH",ROUND(S437-T437,2),0)</f>
        <v>0</v>
      </c>
      <c r="Y437" s="9">
        <f>ROUND(SUMIFS('Bank Lines'!$E$5:$E$1640,'Bank Lines'!$G$5:$G$1640,A437,'Bank Lines'!$J$5:$J$1640,1,'Bank Lines'!$C$5:$C$1640,"&lt;="&amp;Cover!$C$15),2)</f>
        <v>1106.64</v>
      </c>
      <c r="Z437" s="9">
        <f>ROUND(SUMIFS('Odoo Items'!$G$5:$G$4331,'Odoo Items'!$J$5:$J$4331,A437,'Odoo Items'!$C$5:$C$4331,"&lt;="&amp;Cover!$C$15),2)</f>
        <v>1106.64</v>
      </c>
      <c r="AA437">
        <f>COUNTIFS('Bank Lines'!$G$5:$G$1640,A437,'Bank Lines'!$J$5:$J$1640,1,'Bank Lines'!$C$5:$C$1640,"&lt;="&amp;Cover!$C$15)</f>
        <v>1</v>
      </c>
      <c r="AB437">
        <f>COUNTIFS('Odoo Items'!$J$5:$J$4331,A437,'Odoo Items'!$C$5:$C$4331,"&lt;="&amp;Cover!$C$15)</f>
        <v>4</v>
      </c>
      <c r="AC437" t="str">
        <f>IF(AND(AA437=0,AB437=0),"",IF(AA437=0,"ODOO-ONLY",IF(AB437=0,"BANK-ONLY","BOTH")))</f>
        <v>BOTH</v>
      </c>
      <c r="AD437" s="9">
        <f>IF(AC437="BOTH",ROUND(Y437-Z437,2),0)</f>
        <v>0</v>
      </c>
    </row>
    <row r="438">
      <c r="A438" t="inlineStr">
        <is>
          <t>G00434</t>
        </is>
      </c>
      <c r="B438" t="inlineStr">
        <is>
          <t>OPS</t>
        </is>
      </c>
      <c r="C438" t="inlineStr">
        <is>
          <t>R03</t>
        </is>
      </c>
      <c r="D438" t="inlineStr">
        <is>
          <t>MATCH</t>
        </is>
      </c>
      <c r="E438" t="inlineStr">
        <is>
          <t>Redgum Plan Admin</t>
        </is>
      </c>
      <c r="F438" t="n">
        <v>1</v>
      </c>
      <c r="G438" t="inlineStr">
        <is>
          <t>4 invoices</t>
        </is>
      </c>
      <c r="H438">
        <f>COUNTIFS('Bank Lines'!$G$5:$G$1640,A438,'Bank Lines'!$J$5:$J$1640,1)</f>
        <v>1</v>
      </c>
      <c r="I438">
        <f>COUNTIFS('Odoo Items'!$J$5:$J$4331,A438)</f>
        <v>4</v>
      </c>
      <c r="J438" s="9">
        <f>ROUND(SUMIFS('Bank Lines'!$E$5:$E$1640,'Bank Lines'!$G$5:$G$1640,A438,'Bank Lines'!$J$5:$J$1640,1),2)</f>
        <v>1164.84</v>
      </c>
      <c r="K438" s="9">
        <f>ROUND(SUMIFS('Odoo Items'!$G$5:$G$4331,'Odoo Items'!$J$5:$J$4331,A438),2)</f>
        <v>1164.84</v>
      </c>
      <c r="L438" s="9">
        <f>ROUND(J438-K438,2)</f>
        <v>0</v>
      </c>
      <c r="M438" s="9">
        <f>ROUND(SUMIFS('Bank Lines'!$E$5:$E$1640,'Bank Lines'!$G$5:$G$1640,A438,'Bank Lines'!$J$5:$J$1640,1,'Bank Lines'!$C$5:$C$1640,"&lt;="&amp;Cover!$C$13),2)</f>
        <v>0</v>
      </c>
      <c r="N438" s="9">
        <f>ROUND(SUMIFS('Odoo Items'!$G$5:$G$4331,'Odoo Items'!$J$5:$J$4331,A438,'Odoo Items'!$C$5:$C$4331,"&lt;="&amp;Cover!$C$13),2)</f>
        <v>0</v>
      </c>
      <c r="O438">
        <f>COUNTIFS('Bank Lines'!$G$5:$G$1640,A438,'Bank Lines'!$J$5:$J$1640,1,'Bank Lines'!$C$5:$C$1640,"&lt;="&amp;Cover!$C$13)</f>
        <v>0</v>
      </c>
      <c r="P438">
        <f>COUNTIFS('Odoo Items'!$J$5:$J$4331,A438,'Odoo Items'!$C$5:$C$4331,"&lt;="&amp;Cover!$C$13)</f>
        <v>0</v>
      </c>
      <c r="Q438">
        <f>IF(AND(O438=0,P438=0),"",IF(O438=0,"ODOO-ONLY",IF(P438=0,"BANK-ONLY","BOTH")))</f>
      </c>
      <c r="R438" s="9">
        <f>IF(Q438="BOTH",ROUND(M438-N438,2),0)</f>
        <v>0</v>
      </c>
      <c r="S438" s="9">
        <f>ROUND(SUMIFS('Bank Lines'!$E$5:$E$1640,'Bank Lines'!$G$5:$G$1640,A438,'Bank Lines'!$J$5:$J$1640,1,'Bank Lines'!$C$5:$C$1640,"&lt;="&amp;Cover!$C$14),2)</f>
        <v>0</v>
      </c>
      <c r="T438" s="9">
        <f>ROUND(SUMIFS('Odoo Items'!$G$5:$G$4331,'Odoo Items'!$J$5:$J$4331,A438,'Odoo Items'!$C$5:$C$4331,"&lt;="&amp;Cover!$C$14),2)</f>
        <v>0</v>
      </c>
      <c r="U438">
        <f>COUNTIFS('Bank Lines'!$G$5:$G$1640,A438,'Bank Lines'!$J$5:$J$1640,1,'Bank Lines'!$C$5:$C$1640,"&lt;="&amp;Cover!$C$14)</f>
        <v>0</v>
      </c>
      <c r="V438">
        <f>COUNTIFS('Odoo Items'!$J$5:$J$4331,A438,'Odoo Items'!$C$5:$C$4331,"&lt;="&amp;Cover!$C$14)</f>
        <v>0</v>
      </c>
      <c r="W438">
        <f>IF(AND(U438=0,V438=0),"",IF(U438=0,"ODOO-ONLY",IF(V438=0,"BANK-ONLY","BOTH")))</f>
      </c>
      <c r="X438" s="9">
        <f>IF(W438="BOTH",ROUND(S438-T438,2),0)</f>
        <v>0</v>
      </c>
      <c r="Y438" s="9">
        <f>ROUND(SUMIFS('Bank Lines'!$E$5:$E$1640,'Bank Lines'!$G$5:$G$1640,A438,'Bank Lines'!$J$5:$J$1640,1,'Bank Lines'!$C$5:$C$1640,"&lt;="&amp;Cover!$C$15),2)</f>
        <v>1164.84</v>
      </c>
      <c r="Z438" s="9">
        <f>ROUND(SUMIFS('Odoo Items'!$G$5:$G$4331,'Odoo Items'!$J$5:$J$4331,A438,'Odoo Items'!$C$5:$C$4331,"&lt;="&amp;Cover!$C$15),2)</f>
        <v>1164.84</v>
      </c>
      <c r="AA438">
        <f>COUNTIFS('Bank Lines'!$G$5:$G$1640,A438,'Bank Lines'!$J$5:$J$1640,1,'Bank Lines'!$C$5:$C$1640,"&lt;="&amp;Cover!$C$15)</f>
        <v>1</v>
      </c>
      <c r="AB438">
        <f>COUNTIFS('Odoo Items'!$J$5:$J$4331,A438,'Odoo Items'!$C$5:$C$4331,"&lt;="&amp;Cover!$C$15)</f>
        <v>4</v>
      </c>
      <c r="AC438" t="str">
        <f>IF(AND(AA438=0,AB438=0),"",IF(AA438=0,"ODOO-ONLY",IF(AB438=0,"BANK-ONLY","BOTH")))</f>
        <v>BOTH</v>
      </c>
      <c r="AD438" s="9">
        <f>IF(AC438="BOTH",ROUND(Y438-Z438,2),0)</f>
        <v>0</v>
      </c>
    </row>
    <row r="439">
      <c r="A439" t="inlineStr">
        <is>
          <t>G00435</t>
        </is>
      </c>
      <c r="B439" t="inlineStr">
        <is>
          <t>OPS</t>
        </is>
      </c>
      <c r="C439" t="inlineStr">
        <is>
          <t>R03</t>
        </is>
      </c>
      <c r="D439" t="inlineStr">
        <is>
          <t>MATCH</t>
        </is>
      </c>
      <c r="E439" t="inlineStr">
        <is>
          <t>Lyrebird Plan Management</t>
        </is>
      </c>
      <c r="F439" t="n">
        <v>1</v>
      </c>
      <c r="G439" t="inlineStr">
        <is>
          <t>3 invoices</t>
        </is>
      </c>
      <c r="H439">
        <f>COUNTIFS('Bank Lines'!$G$5:$G$1640,A439,'Bank Lines'!$J$5:$J$1640,1)</f>
        <v>1</v>
      </c>
      <c r="I439">
        <f>COUNTIFS('Odoo Items'!$J$5:$J$4331,A439)</f>
        <v>3</v>
      </c>
      <c r="J439" s="9">
        <f>ROUND(SUMIFS('Bank Lines'!$E$5:$E$1640,'Bank Lines'!$G$5:$G$1640,A439,'Bank Lines'!$J$5:$J$1640,1),2)</f>
        <v>999.95</v>
      </c>
      <c r="K439" s="9">
        <f>ROUND(SUMIFS('Odoo Items'!$G$5:$G$4331,'Odoo Items'!$J$5:$J$4331,A439),2)</f>
        <v>999.95</v>
      </c>
      <c r="L439" s="9">
        <f>ROUND(J439-K439,2)</f>
        <v>0</v>
      </c>
      <c r="M439" s="9">
        <f>ROUND(SUMIFS('Bank Lines'!$E$5:$E$1640,'Bank Lines'!$G$5:$G$1640,A439,'Bank Lines'!$J$5:$J$1640,1,'Bank Lines'!$C$5:$C$1640,"&lt;="&amp;Cover!$C$13),2)</f>
        <v>0</v>
      </c>
      <c r="N439" s="9">
        <f>ROUND(SUMIFS('Odoo Items'!$G$5:$G$4331,'Odoo Items'!$J$5:$J$4331,A439,'Odoo Items'!$C$5:$C$4331,"&lt;="&amp;Cover!$C$13),2)</f>
        <v>0</v>
      </c>
      <c r="O439">
        <f>COUNTIFS('Bank Lines'!$G$5:$G$1640,A439,'Bank Lines'!$J$5:$J$1640,1,'Bank Lines'!$C$5:$C$1640,"&lt;="&amp;Cover!$C$13)</f>
        <v>0</v>
      </c>
      <c r="P439">
        <f>COUNTIFS('Odoo Items'!$J$5:$J$4331,A439,'Odoo Items'!$C$5:$C$4331,"&lt;="&amp;Cover!$C$13)</f>
        <v>0</v>
      </c>
      <c r="Q439">
        <f>IF(AND(O439=0,P439=0),"",IF(O439=0,"ODOO-ONLY",IF(P439=0,"BANK-ONLY","BOTH")))</f>
      </c>
      <c r="R439" s="9">
        <f>IF(Q439="BOTH",ROUND(M439-N439,2),0)</f>
        <v>0</v>
      </c>
      <c r="S439" s="9">
        <f>ROUND(SUMIFS('Bank Lines'!$E$5:$E$1640,'Bank Lines'!$G$5:$G$1640,A439,'Bank Lines'!$J$5:$J$1640,1,'Bank Lines'!$C$5:$C$1640,"&lt;="&amp;Cover!$C$14),2)</f>
        <v>0</v>
      </c>
      <c r="T439" s="9">
        <f>ROUND(SUMIFS('Odoo Items'!$G$5:$G$4331,'Odoo Items'!$J$5:$J$4331,A439,'Odoo Items'!$C$5:$C$4331,"&lt;="&amp;Cover!$C$14),2)</f>
        <v>0</v>
      </c>
      <c r="U439">
        <f>COUNTIFS('Bank Lines'!$G$5:$G$1640,A439,'Bank Lines'!$J$5:$J$1640,1,'Bank Lines'!$C$5:$C$1640,"&lt;="&amp;Cover!$C$14)</f>
        <v>0</v>
      </c>
      <c r="V439">
        <f>COUNTIFS('Odoo Items'!$J$5:$J$4331,A439,'Odoo Items'!$C$5:$C$4331,"&lt;="&amp;Cover!$C$14)</f>
        <v>0</v>
      </c>
      <c r="W439">
        <f>IF(AND(U439=0,V439=0),"",IF(U439=0,"ODOO-ONLY",IF(V439=0,"BANK-ONLY","BOTH")))</f>
      </c>
      <c r="X439" s="9">
        <f>IF(W439="BOTH",ROUND(S439-T439,2),0)</f>
        <v>0</v>
      </c>
      <c r="Y439" s="9">
        <f>ROUND(SUMIFS('Bank Lines'!$E$5:$E$1640,'Bank Lines'!$G$5:$G$1640,A439,'Bank Lines'!$J$5:$J$1640,1,'Bank Lines'!$C$5:$C$1640,"&lt;="&amp;Cover!$C$15),2)</f>
        <v>999.95</v>
      </c>
      <c r="Z439" s="9">
        <f>ROUND(SUMIFS('Odoo Items'!$G$5:$G$4331,'Odoo Items'!$J$5:$J$4331,A439,'Odoo Items'!$C$5:$C$4331,"&lt;="&amp;Cover!$C$15),2)</f>
        <v>999.95</v>
      </c>
      <c r="AA439">
        <f>COUNTIFS('Bank Lines'!$G$5:$G$1640,A439,'Bank Lines'!$J$5:$J$1640,1,'Bank Lines'!$C$5:$C$1640,"&lt;="&amp;Cover!$C$15)</f>
        <v>1</v>
      </c>
      <c r="AB439">
        <f>COUNTIFS('Odoo Items'!$J$5:$J$4331,A439,'Odoo Items'!$C$5:$C$4331,"&lt;="&amp;Cover!$C$15)</f>
        <v>3</v>
      </c>
      <c r="AC439" t="str">
        <f>IF(AND(AA439=0,AB439=0),"",IF(AA439=0,"ODOO-ONLY",IF(AB439=0,"BANK-ONLY","BOTH")))</f>
        <v>BOTH</v>
      </c>
      <c r="AD439" s="9">
        <f>IF(AC439="BOTH",ROUND(Y439-Z439,2),0)</f>
        <v>0</v>
      </c>
    </row>
    <row r="440">
      <c r="A440" t="inlineStr">
        <is>
          <t>G00436</t>
        </is>
      </c>
      <c r="B440" t="inlineStr">
        <is>
          <t>OPS</t>
        </is>
      </c>
      <c r="C440" t="inlineStr">
        <is>
          <t>R03</t>
        </is>
      </c>
      <c r="D440" t="inlineStr">
        <is>
          <t>REG</t>
        </is>
      </c>
      <c r="E440" t="inlineStr">
        <is>
          <t>Tallowwood Plans</t>
        </is>
      </c>
      <c r="F440" t="n">
        <v>0.968</v>
      </c>
      <c r="G440" t="inlineStr">
        <is>
          <t>Receipt not registered in Odoo; remittance RA45157 lists 3 invoices</t>
        </is>
      </c>
      <c r="H440">
        <f>COUNTIFS('Bank Lines'!$G$5:$G$1640,A440,'Bank Lines'!$J$5:$J$1640,1)</f>
        <v>1</v>
      </c>
      <c r="I440">
        <f>COUNTIFS('Odoo Items'!$J$5:$J$4331,A440)</f>
        <v>0</v>
      </c>
      <c r="J440" s="9">
        <f>ROUND(SUMIFS('Bank Lines'!$E$5:$E$1640,'Bank Lines'!$G$5:$G$1640,A440,'Bank Lines'!$J$5:$J$1640,1),2)</f>
        <v>834.16</v>
      </c>
      <c r="K440" s="9">
        <f>ROUND(SUMIFS('Odoo Items'!$G$5:$G$4331,'Odoo Items'!$J$5:$J$4331,A440),2)</f>
        <v>0</v>
      </c>
      <c r="L440" s="9">
        <f>ROUND(J440-K440,2)</f>
        <v>834.16</v>
      </c>
      <c r="M440" s="9">
        <f>ROUND(SUMIFS('Bank Lines'!$E$5:$E$1640,'Bank Lines'!$G$5:$G$1640,A440,'Bank Lines'!$J$5:$J$1640,1,'Bank Lines'!$C$5:$C$1640,"&lt;="&amp;Cover!$C$13),2)</f>
        <v>0</v>
      </c>
      <c r="N440" s="9">
        <f>ROUND(SUMIFS('Odoo Items'!$G$5:$G$4331,'Odoo Items'!$J$5:$J$4331,A440,'Odoo Items'!$C$5:$C$4331,"&lt;="&amp;Cover!$C$13),2)</f>
        <v>0</v>
      </c>
      <c r="O440">
        <f>COUNTIFS('Bank Lines'!$G$5:$G$1640,A440,'Bank Lines'!$J$5:$J$1640,1,'Bank Lines'!$C$5:$C$1640,"&lt;="&amp;Cover!$C$13)</f>
        <v>0</v>
      </c>
      <c r="P440">
        <f>COUNTIFS('Odoo Items'!$J$5:$J$4331,A440,'Odoo Items'!$C$5:$C$4331,"&lt;="&amp;Cover!$C$13)</f>
        <v>0</v>
      </c>
      <c r="Q440">
        <f>IF(AND(O440=0,P440=0),"",IF(O440=0,"ODOO-ONLY",IF(P440=0,"BANK-ONLY","BOTH")))</f>
      </c>
      <c r="R440" s="9">
        <f>IF(Q440="BOTH",ROUND(M440-N440,2),0)</f>
        <v>0</v>
      </c>
      <c r="S440" s="9">
        <f>ROUND(SUMIFS('Bank Lines'!$E$5:$E$1640,'Bank Lines'!$G$5:$G$1640,A440,'Bank Lines'!$J$5:$J$1640,1,'Bank Lines'!$C$5:$C$1640,"&lt;="&amp;Cover!$C$14),2)</f>
        <v>0</v>
      </c>
      <c r="T440" s="9">
        <f>ROUND(SUMIFS('Odoo Items'!$G$5:$G$4331,'Odoo Items'!$J$5:$J$4331,A440,'Odoo Items'!$C$5:$C$4331,"&lt;="&amp;Cover!$C$14),2)</f>
        <v>0</v>
      </c>
      <c r="U440">
        <f>COUNTIFS('Bank Lines'!$G$5:$G$1640,A440,'Bank Lines'!$J$5:$J$1640,1,'Bank Lines'!$C$5:$C$1640,"&lt;="&amp;Cover!$C$14)</f>
        <v>0</v>
      </c>
      <c r="V440">
        <f>COUNTIFS('Odoo Items'!$J$5:$J$4331,A440,'Odoo Items'!$C$5:$C$4331,"&lt;="&amp;Cover!$C$14)</f>
        <v>0</v>
      </c>
      <c r="W440">
        <f>IF(AND(U440=0,V440=0),"",IF(U440=0,"ODOO-ONLY",IF(V440=0,"BANK-ONLY","BOTH")))</f>
      </c>
      <c r="X440" s="9">
        <f>IF(W440="BOTH",ROUND(S440-T440,2),0)</f>
        <v>0</v>
      </c>
      <c r="Y440" s="9">
        <f>ROUND(SUMIFS('Bank Lines'!$E$5:$E$1640,'Bank Lines'!$G$5:$G$1640,A440,'Bank Lines'!$J$5:$J$1640,1,'Bank Lines'!$C$5:$C$1640,"&lt;="&amp;Cover!$C$15),2)</f>
        <v>834.16</v>
      </c>
      <c r="Z440" s="9">
        <f>ROUND(SUMIFS('Odoo Items'!$G$5:$G$4331,'Odoo Items'!$J$5:$J$4331,A440,'Odoo Items'!$C$5:$C$4331,"&lt;="&amp;Cover!$C$15),2)</f>
        <v>0</v>
      </c>
      <c r="AA440">
        <f>COUNTIFS('Bank Lines'!$G$5:$G$1640,A440,'Bank Lines'!$J$5:$J$1640,1,'Bank Lines'!$C$5:$C$1640,"&lt;="&amp;Cover!$C$15)</f>
        <v>1</v>
      </c>
      <c r="AB440">
        <f>COUNTIFS('Odoo Items'!$J$5:$J$4331,A440,'Odoo Items'!$C$5:$C$4331,"&lt;="&amp;Cover!$C$15)</f>
        <v>0</v>
      </c>
      <c r="AC440" t="str">
        <f>IF(AND(AA440=0,AB440=0),"",IF(AA440=0,"ODOO-ONLY",IF(AB440=0,"BANK-ONLY","BOTH")))</f>
        <v>BANK-ONLY</v>
      </c>
      <c r="AD440" s="9">
        <f>IF(AC440="BOTH",ROUND(Y440-Z440,2),0)</f>
        <v>0</v>
      </c>
    </row>
    <row r="441">
      <c r="A441" t="inlineStr">
        <is>
          <t>G00437</t>
        </is>
      </c>
      <c r="B441" t="inlineStr">
        <is>
          <t>OPS</t>
        </is>
      </c>
      <c r="C441" t="inlineStr">
        <is>
          <t>R03</t>
        </is>
      </c>
      <c r="D441" t="inlineStr">
        <is>
          <t>MATCH</t>
        </is>
      </c>
      <c r="E441" t="inlineStr">
        <is>
          <t>Acacia Plan Partners</t>
        </is>
      </c>
      <c r="F441" t="n">
        <v>1</v>
      </c>
      <c r="G441" t="inlineStr">
        <is>
          <t>2 invoices</t>
        </is>
      </c>
      <c r="H441">
        <f>COUNTIFS('Bank Lines'!$G$5:$G$1640,A441,'Bank Lines'!$J$5:$J$1640,1)</f>
        <v>1</v>
      </c>
      <c r="I441">
        <f>COUNTIFS('Odoo Items'!$J$5:$J$4331,A441)</f>
        <v>2</v>
      </c>
      <c r="J441" s="9">
        <f>ROUND(SUMIFS('Bank Lines'!$E$5:$E$1640,'Bank Lines'!$G$5:$G$1640,A441,'Bank Lines'!$J$5:$J$1640,1),2)</f>
        <v>533.47</v>
      </c>
      <c r="K441" s="9">
        <f>ROUND(SUMIFS('Odoo Items'!$G$5:$G$4331,'Odoo Items'!$J$5:$J$4331,A441),2)</f>
        <v>533.47</v>
      </c>
      <c r="L441" s="9">
        <f>ROUND(J441-K441,2)</f>
        <v>0</v>
      </c>
      <c r="M441" s="9">
        <f>ROUND(SUMIFS('Bank Lines'!$E$5:$E$1640,'Bank Lines'!$G$5:$G$1640,A441,'Bank Lines'!$J$5:$J$1640,1,'Bank Lines'!$C$5:$C$1640,"&lt;="&amp;Cover!$C$13),2)</f>
        <v>0</v>
      </c>
      <c r="N441" s="9">
        <f>ROUND(SUMIFS('Odoo Items'!$G$5:$G$4331,'Odoo Items'!$J$5:$J$4331,A441,'Odoo Items'!$C$5:$C$4331,"&lt;="&amp;Cover!$C$13),2)</f>
        <v>0</v>
      </c>
      <c r="O441">
        <f>COUNTIFS('Bank Lines'!$G$5:$G$1640,A441,'Bank Lines'!$J$5:$J$1640,1,'Bank Lines'!$C$5:$C$1640,"&lt;="&amp;Cover!$C$13)</f>
        <v>0</v>
      </c>
      <c r="P441">
        <f>COUNTIFS('Odoo Items'!$J$5:$J$4331,A441,'Odoo Items'!$C$5:$C$4331,"&lt;="&amp;Cover!$C$13)</f>
        <v>0</v>
      </c>
      <c r="Q441">
        <f>IF(AND(O441=0,P441=0),"",IF(O441=0,"ODOO-ONLY",IF(P441=0,"BANK-ONLY","BOTH")))</f>
      </c>
      <c r="R441" s="9">
        <f>IF(Q441="BOTH",ROUND(M441-N441,2),0)</f>
        <v>0</v>
      </c>
      <c r="S441" s="9">
        <f>ROUND(SUMIFS('Bank Lines'!$E$5:$E$1640,'Bank Lines'!$G$5:$G$1640,A441,'Bank Lines'!$J$5:$J$1640,1,'Bank Lines'!$C$5:$C$1640,"&lt;="&amp;Cover!$C$14),2)</f>
        <v>0</v>
      </c>
      <c r="T441" s="9">
        <f>ROUND(SUMIFS('Odoo Items'!$G$5:$G$4331,'Odoo Items'!$J$5:$J$4331,A441,'Odoo Items'!$C$5:$C$4331,"&lt;="&amp;Cover!$C$14),2)</f>
        <v>0</v>
      </c>
      <c r="U441">
        <f>COUNTIFS('Bank Lines'!$G$5:$G$1640,A441,'Bank Lines'!$J$5:$J$1640,1,'Bank Lines'!$C$5:$C$1640,"&lt;="&amp;Cover!$C$14)</f>
        <v>0</v>
      </c>
      <c r="V441">
        <f>COUNTIFS('Odoo Items'!$J$5:$J$4331,A441,'Odoo Items'!$C$5:$C$4331,"&lt;="&amp;Cover!$C$14)</f>
        <v>0</v>
      </c>
      <c r="W441">
        <f>IF(AND(U441=0,V441=0),"",IF(U441=0,"ODOO-ONLY",IF(V441=0,"BANK-ONLY","BOTH")))</f>
      </c>
      <c r="X441" s="9">
        <f>IF(W441="BOTH",ROUND(S441-T441,2),0)</f>
        <v>0</v>
      </c>
      <c r="Y441" s="9">
        <f>ROUND(SUMIFS('Bank Lines'!$E$5:$E$1640,'Bank Lines'!$G$5:$G$1640,A441,'Bank Lines'!$J$5:$J$1640,1,'Bank Lines'!$C$5:$C$1640,"&lt;="&amp;Cover!$C$15),2)</f>
        <v>533.47</v>
      </c>
      <c r="Z441" s="9">
        <f>ROUND(SUMIFS('Odoo Items'!$G$5:$G$4331,'Odoo Items'!$J$5:$J$4331,A441,'Odoo Items'!$C$5:$C$4331,"&lt;="&amp;Cover!$C$15),2)</f>
        <v>533.47</v>
      </c>
      <c r="AA441">
        <f>COUNTIFS('Bank Lines'!$G$5:$G$1640,A441,'Bank Lines'!$J$5:$J$1640,1,'Bank Lines'!$C$5:$C$1640,"&lt;="&amp;Cover!$C$15)</f>
        <v>1</v>
      </c>
      <c r="AB441">
        <f>COUNTIFS('Odoo Items'!$J$5:$J$4331,A441,'Odoo Items'!$C$5:$C$4331,"&lt;="&amp;Cover!$C$15)</f>
        <v>2</v>
      </c>
      <c r="AC441" t="str">
        <f>IF(AND(AA441=0,AB441=0),"",IF(AA441=0,"ODOO-ONLY",IF(AB441=0,"BANK-ONLY","BOTH")))</f>
        <v>BOTH</v>
      </c>
      <c r="AD441" s="9">
        <f>IF(AC441="BOTH",ROUND(Y441-Z441,2),0)</f>
        <v>0</v>
      </c>
    </row>
    <row r="442">
      <c r="A442" t="inlineStr">
        <is>
          <t>G00438</t>
        </is>
      </c>
      <c r="B442" t="inlineStr">
        <is>
          <t>OPS</t>
        </is>
      </c>
      <c r="C442" t="inlineStr">
        <is>
          <t>R03</t>
        </is>
      </c>
      <c r="D442" t="inlineStr">
        <is>
          <t>MATCH</t>
        </is>
      </c>
      <c r="E442" t="inlineStr">
        <is>
          <t>Mallee Plan Services</t>
        </is>
      </c>
      <c r="F442" t="n">
        <v>1</v>
      </c>
      <c r="G442" t="inlineStr">
        <is>
          <t>3 invoices</t>
        </is>
      </c>
      <c r="H442">
        <f>COUNTIFS('Bank Lines'!$G$5:$G$1640,A442,'Bank Lines'!$J$5:$J$1640,1)</f>
        <v>1</v>
      </c>
      <c r="I442">
        <f>COUNTIFS('Odoo Items'!$J$5:$J$4331,A442)</f>
        <v>3</v>
      </c>
      <c r="J442" s="9">
        <f>ROUND(SUMIFS('Bank Lines'!$E$5:$E$1640,'Bank Lines'!$G$5:$G$1640,A442,'Bank Lines'!$J$5:$J$1640,1),2)</f>
        <v>921.45</v>
      </c>
      <c r="K442" s="9">
        <f>ROUND(SUMIFS('Odoo Items'!$G$5:$G$4331,'Odoo Items'!$J$5:$J$4331,A442),2)</f>
        <v>921.45</v>
      </c>
      <c r="L442" s="9">
        <f>ROUND(J442-K442,2)</f>
        <v>0</v>
      </c>
      <c r="M442" s="9">
        <f>ROUND(SUMIFS('Bank Lines'!$E$5:$E$1640,'Bank Lines'!$G$5:$G$1640,A442,'Bank Lines'!$J$5:$J$1640,1,'Bank Lines'!$C$5:$C$1640,"&lt;="&amp;Cover!$C$13),2)</f>
        <v>0</v>
      </c>
      <c r="N442" s="9">
        <f>ROUND(SUMIFS('Odoo Items'!$G$5:$G$4331,'Odoo Items'!$J$5:$J$4331,A442,'Odoo Items'!$C$5:$C$4331,"&lt;="&amp;Cover!$C$13),2)</f>
        <v>0</v>
      </c>
      <c r="O442">
        <f>COUNTIFS('Bank Lines'!$G$5:$G$1640,A442,'Bank Lines'!$J$5:$J$1640,1,'Bank Lines'!$C$5:$C$1640,"&lt;="&amp;Cover!$C$13)</f>
        <v>0</v>
      </c>
      <c r="P442">
        <f>COUNTIFS('Odoo Items'!$J$5:$J$4331,A442,'Odoo Items'!$C$5:$C$4331,"&lt;="&amp;Cover!$C$13)</f>
        <v>0</v>
      </c>
      <c r="Q442">
        <f>IF(AND(O442=0,P442=0),"",IF(O442=0,"ODOO-ONLY",IF(P442=0,"BANK-ONLY","BOTH")))</f>
      </c>
      <c r="R442" s="9">
        <f>IF(Q442="BOTH",ROUND(M442-N442,2),0)</f>
        <v>0</v>
      </c>
      <c r="S442" s="9">
        <f>ROUND(SUMIFS('Bank Lines'!$E$5:$E$1640,'Bank Lines'!$G$5:$G$1640,A442,'Bank Lines'!$J$5:$J$1640,1,'Bank Lines'!$C$5:$C$1640,"&lt;="&amp;Cover!$C$14),2)</f>
        <v>0</v>
      </c>
      <c r="T442" s="9">
        <f>ROUND(SUMIFS('Odoo Items'!$G$5:$G$4331,'Odoo Items'!$J$5:$J$4331,A442,'Odoo Items'!$C$5:$C$4331,"&lt;="&amp;Cover!$C$14),2)</f>
        <v>0</v>
      </c>
      <c r="U442">
        <f>COUNTIFS('Bank Lines'!$G$5:$G$1640,A442,'Bank Lines'!$J$5:$J$1640,1,'Bank Lines'!$C$5:$C$1640,"&lt;="&amp;Cover!$C$14)</f>
        <v>0</v>
      </c>
      <c r="V442">
        <f>COUNTIFS('Odoo Items'!$J$5:$J$4331,A442,'Odoo Items'!$C$5:$C$4331,"&lt;="&amp;Cover!$C$14)</f>
        <v>0</v>
      </c>
      <c r="W442">
        <f>IF(AND(U442=0,V442=0),"",IF(U442=0,"ODOO-ONLY",IF(V442=0,"BANK-ONLY","BOTH")))</f>
      </c>
      <c r="X442" s="9">
        <f>IF(W442="BOTH",ROUND(S442-T442,2),0)</f>
        <v>0</v>
      </c>
      <c r="Y442" s="9">
        <f>ROUND(SUMIFS('Bank Lines'!$E$5:$E$1640,'Bank Lines'!$G$5:$G$1640,A442,'Bank Lines'!$J$5:$J$1640,1,'Bank Lines'!$C$5:$C$1640,"&lt;="&amp;Cover!$C$15),2)</f>
        <v>921.45</v>
      </c>
      <c r="Z442" s="9">
        <f>ROUND(SUMIFS('Odoo Items'!$G$5:$G$4331,'Odoo Items'!$J$5:$J$4331,A442,'Odoo Items'!$C$5:$C$4331,"&lt;="&amp;Cover!$C$15),2)</f>
        <v>921.45</v>
      </c>
      <c r="AA442">
        <f>COUNTIFS('Bank Lines'!$G$5:$G$1640,A442,'Bank Lines'!$J$5:$J$1640,1,'Bank Lines'!$C$5:$C$1640,"&lt;="&amp;Cover!$C$15)</f>
        <v>1</v>
      </c>
      <c r="AB442">
        <f>COUNTIFS('Odoo Items'!$J$5:$J$4331,A442,'Odoo Items'!$C$5:$C$4331,"&lt;="&amp;Cover!$C$15)</f>
        <v>3</v>
      </c>
      <c r="AC442" t="str">
        <f>IF(AND(AA442=0,AB442=0),"",IF(AA442=0,"ODOO-ONLY",IF(AB442=0,"BANK-ONLY","BOTH")))</f>
        <v>BOTH</v>
      </c>
      <c r="AD442" s="9">
        <f>IF(AC442="BOTH",ROUND(Y442-Z442,2),0)</f>
        <v>0</v>
      </c>
    </row>
    <row r="443">
      <c r="A443" t="inlineStr">
        <is>
          <t>G00439</t>
        </is>
      </c>
      <c r="B443" t="inlineStr">
        <is>
          <t>OPS</t>
        </is>
      </c>
      <c r="C443" t="inlineStr">
        <is>
          <t>R03</t>
        </is>
      </c>
      <c r="D443" t="inlineStr">
        <is>
          <t>MATCH</t>
        </is>
      </c>
      <c r="E443" t="inlineStr">
        <is>
          <t>Clearpath NDIS Plans</t>
        </is>
      </c>
      <c r="F443" t="n">
        <v>1</v>
      </c>
      <c r="G443" t="inlineStr">
        <is>
          <t>4 invoices</t>
        </is>
      </c>
      <c r="H443">
        <f>COUNTIFS('Bank Lines'!$G$5:$G$1640,A443,'Bank Lines'!$J$5:$J$1640,1)</f>
        <v>1</v>
      </c>
      <c r="I443">
        <f>COUNTIFS('Odoo Items'!$J$5:$J$4331,A443)</f>
        <v>4</v>
      </c>
      <c r="J443" s="9">
        <f>ROUND(SUMIFS('Bank Lines'!$E$5:$E$1640,'Bank Lines'!$G$5:$G$1640,A443,'Bank Lines'!$J$5:$J$1640,1),2)</f>
        <v>757.45</v>
      </c>
      <c r="K443" s="9">
        <f>ROUND(SUMIFS('Odoo Items'!$G$5:$G$4331,'Odoo Items'!$J$5:$J$4331,A443),2)</f>
        <v>757.45</v>
      </c>
      <c r="L443" s="9">
        <f>ROUND(J443-K443,2)</f>
        <v>0</v>
      </c>
      <c r="M443" s="9">
        <f>ROUND(SUMIFS('Bank Lines'!$E$5:$E$1640,'Bank Lines'!$G$5:$G$1640,A443,'Bank Lines'!$J$5:$J$1640,1,'Bank Lines'!$C$5:$C$1640,"&lt;="&amp;Cover!$C$13),2)</f>
        <v>0</v>
      </c>
      <c r="N443" s="9">
        <f>ROUND(SUMIFS('Odoo Items'!$G$5:$G$4331,'Odoo Items'!$J$5:$J$4331,A443,'Odoo Items'!$C$5:$C$4331,"&lt;="&amp;Cover!$C$13),2)</f>
        <v>0</v>
      </c>
      <c r="O443">
        <f>COUNTIFS('Bank Lines'!$G$5:$G$1640,A443,'Bank Lines'!$J$5:$J$1640,1,'Bank Lines'!$C$5:$C$1640,"&lt;="&amp;Cover!$C$13)</f>
        <v>0</v>
      </c>
      <c r="P443">
        <f>COUNTIFS('Odoo Items'!$J$5:$J$4331,A443,'Odoo Items'!$C$5:$C$4331,"&lt;="&amp;Cover!$C$13)</f>
        <v>0</v>
      </c>
      <c r="Q443">
        <f>IF(AND(O443=0,P443=0),"",IF(O443=0,"ODOO-ONLY",IF(P443=0,"BANK-ONLY","BOTH")))</f>
      </c>
      <c r="R443" s="9">
        <f>IF(Q443="BOTH",ROUND(M443-N443,2),0)</f>
        <v>0</v>
      </c>
      <c r="S443" s="9">
        <f>ROUND(SUMIFS('Bank Lines'!$E$5:$E$1640,'Bank Lines'!$G$5:$G$1640,A443,'Bank Lines'!$J$5:$J$1640,1,'Bank Lines'!$C$5:$C$1640,"&lt;="&amp;Cover!$C$14),2)</f>
        <v>0</v>
      </c>
      <c r="T443" s="9">
        <f>ROUND(SUMIFS('Odoo Items'!$G$5:$G$4331,'Odoo Items'!$J$5:$J$4331,A443,'Odoo Items'!$C$5:$C$4331,"&lt;="&amp;Cover!$C$14),2)</f>
        <v>0</v>
      </c>
      <c r="U443">
        <f>COUNTIFS('Bank Lines'!$G$5:$G$1640,A443,'Bank Lines'!$J$5:$J$1640,1,'Bank Lines'!$C$5:$C$1640,"&lt;="&amp;Cover!$C$14)</f>
        <v>0</v>
      </c>
      <c r="V443">
        <f>COUNTIFS('Odoo Items'!$J$5:$J$4331,A443,'Odoo Items'!$C$5:$C$4331,"&lt;="&amp;Cover!$C$14)</f>
        <v>0</v>
      </c>
      <c r="W443">
        <f>IF(AND(U443=0,V443=0),"",IF(U443=0,"ODOO-ONLY",IF(V443=0,"BANK-ONLY","BOTH")))</f>
      </c>
      <c r="X443" s="9">
        <f>IF(W443="BOTH",ROUND(S443-T443,2),0)</f>
        <v>0</v>
      </c>
      <c r="Y443" s="9">
        <f>ROUND(SUMIFS('Bank Lines'!$E$5:$E$1640,'Bank Lines'!$G$5:$G$1640,A443,'Bank Lines'!$J$5:$J$1640,1,'Bank Lines'!$C$5:$C$1640,"&lt;="&amp;Cover!$C$15),2)</f>
        <v>757.45</v>
      </c>
      <c r="Z443" s="9">
        <f>ROUND(SUMIFS('Odoo Items'!$G$5:$G$4331,'Odoo Items'!$J$5:$J$4331,A443,'Odoo Items'!$C$5:$C$4331,"&lt;="&amp;Cover!$C$15),2)</f>
        <v>757.45</v>
      </c>
      <c r="AA443">
        <f>COUNTIFS('Bank Lines'!$G$5:$G$1640,A443,'Bank Lines'!$J$5:$J$1640,1,'Bank Lines'!$C$5:$C$1640,"&lt;="&amp;Cover!$C$15)</f>
        <v>1</v>
      </c>
      <c r="AB443">
        <f>COUNTIFS('Odoo Items'!$J$5:$J$4331,A443,'Odoo Items'!$C$5:$C$4331,"&lt;="&amp;Cover!$C$15)</f>
        <v>4</v>
      </c>
      <c r="AC443" t="str">
        <f>IF(AND(AA443=0,AB443=0),"",IF(AA443=0,"ODOO-ONLY",IF(AB443=0,"BANK-ONLY","BOTH")))</f>
        <v>BOTH</v>
      </c>
      <c r="AD443" s="9">
        <f>IF(AC443="BOTH",ROUND(Y443-Z443,2),0)</f>
        <v>0</v>
      </c>
    </row>
    <row r="444">
      <c r="A444" t="inlineStr">
        <is>
          <t>G00440</t>
        </is>
      </c>
      <c r="B444" t="inlineStr">
        <is>
          <t>OPS</t>
        </is>
      </c>
      <c r="C444" t="inlineStr">
        <is>
          <t>R03</t>
        </is>
      </c>
      <c r="D444" t="inlineStr">
        <is>
          <t>MATCH</t>
        </is>
      </c>
      <c r="E444" t="inlineStr">
        <is>
          <t>Banksia Plan Co</t>
        </is>
      </c>
      <c r="F444" t="n">
        <v>1</v>
      </c>
      <c r="G444" t="inlineStr">
        <is>
          <t>2 invoices</t>
        </is>
      </c>
      <c r="H444">
        <f>COUNTIFS('Bank Lines'!$G$5:$G$1640,A444,'Bank Lines'!$J$5:$J$1640,1)</f>
        <v>1</v>
      </c>
      <c r="I444">
        <f>COUNTIFS('Odoo Items'!$J$5:$J$4331,A444)</f>
        <v>2</v>
      </c>
      <c r="J444" s="9">
        <f>ROUND(SUMIFS('Bank Lines'!$E$5:$E$1640,'Bank Lines'!$G$5:$G$1640,A444,'Bank Lines'!$J$5:$J$1640,1),2)</f>
        <v>369.48</v>
      </c>
      <c r="K444" s="9">
        <f>ROUND(SUMIFS('Odoo Items'!$G$5:$G$4331,'Odoo Items'!$J$5:$J$4331,A444),2)</f>
        <v>369.48</v>
      </c>
      <c r="L444" s="9">
        <f>ROUND(J444-K444,2)</f>
        <v>0</v>
      </c>
      <c r="M444" s="9">
        <f>ROUND(SUMIFS('Bank Lines'!$E$5:$E$1640,'Bank Lines'!$G$5:$G$1640,A444,'Bank Lines'!$J$5:$J$1640,1,'Bank Lines'!$C$5:$C$1640,"&lt;="&amp;Cover!$C$13),2)</f>
        <v>0</v>
      </c>
      <c r="N444" s="9">
        <f>ROUND(SUMIFS('Odoo Items'!$G$5:$G$4331,'Odoo Items'!$J$5:$J$4331,A444,'Odoo Items'!$C$5:$C$4331,"&lt;="&amp;Cover!$C$13),2)</f>
        <v>0</v>
      </c>
      <c r="O444">
        <f>COUNTIFS('Bank Lines'!$G$5:$G$1640,A444,'Bank Lines'!$J$5:$J$1640,1,'Bank Lines'!$C$5:$C$1640,"&lt;="&amp;Cover!$C$13)</f>
        <v>0</v>
      </c>
      <c r="P444">
        <f>COUNTIFS('Odoo Items'!$J$5:$J$4331,A444,'Odoo Items'!$C$5:$C$4331,"&lt;="&amp;Cover!$C$13)</f>
        <v>0</v>
      </c>
      <c r="Q444">
        <f>IF(AND(O444=0,P444=0),"",IF(O444=0,"ODOO-ONLY",IF(P444=0,"BANK-ONLY","BOTH")))</f>
      </c>
      <c r="R444" s="9">
        <f>IF(Q444="BOTH",ROUND(M444-N444,2),0)</f>
        <v>0</v>
      </c>
      <c r="S444" s="9">
        <f>ROUND(SUMIFS('Bank Lines'!$E$5:$E$1640,'Bank Lines'!$G$5:$G$1640,A444,'Bank Lines'!$J$5:$J$1640,1,'Bank Lines'!$C$5:$C$1640,"&lt;="&amp;Cover!$C$14),2)</f>
        <v>0</v>
      </c>
      <c r="T444" s="9">
        <f>ROUND(SUMIFS('Odoo Items'!$G$5:$G$4331,'Odoo Items'!$J$5:$J$4331,A444,'Odoo Items'!$C$5:$C$4331,"&lt;="&amp;Cover!$C$14),2)</f>
        <v>0</v>
      </c>
      <c r="U444">
        <f>COUNTIFS('Bank Lines'!$G$5:$G$1640,A444,'Bank Lines'!$J$5:$J$1640,1,'Bank Lines'!$C$5:$C$1640,"&lt;="&amp;Cover!$C$14)</f>
        <v>0</v>
      </c>
      <c r="V444">
        <f>COUNTIFS('Odoo Items'!$J$5:$J$4331,A444,'Odoo Items'!$C$5:$C$4331,"&lt;="&amp;Cover!$C$14)</f>
        <v>0</v>
      </c>
      <c r="W444">
        <f>IF(AND(U444=0,V444=0),"",IF(U444=0,"ODOO-ONLY",IF(V444=0,"BANK-ONLY","BOTH")))</f>
      </c>
      <c r="X444" s="9">
        <f>IF(W444="BOTH",ROUND(S444-T444,2),0)</f>
        <v>0</v>
      </c>
      <c r="Y444" s="9">
        <f>ROUND(SUMIFS('Bank Lines'!$E$5:$E$1640,'Bank Lines'!$G$5:$G$1640,A444,'Bank Lines'!$J$5:$J$1640,1,'Bank Lines'!$C$5:$C$1640,"&lt;="&amp;Cover!$C$15),2)</f>
        <v>369.48</v>
      </c>
      <c r="Z444" s="9">
        <f>ROUND(SUMIFS('Odoo Items'!$G$5:$G$4331,'Odoo Items'!$J$5:$J$4331,A444,'Odoo Items'!$C$5:$C$4331,"&lt;="&amp;Cover!$C$15),2)</f>
        <v>369.48</v>
      </c>
      <c r="AA444">
        <f>COUNTIFS('Bank Lines'!$G$5:$G$1640,A444,'Bank Lines'!$J$5:$J$1640,1,'Bank Lines'!$C$5:$C$1640,"&lt;="&amp;Cover!$C$15)</f>
        <v>1</v>
      </c>
      <c r="AB444">
        <f>COUNTIFS('Odoo Items'!$J$5:$J$4331,A444,'Odoo Items'!$C$5:$C$4331,"&lt;="&amp;Cover!$C$15)</f>
        <v>2</v>
      </c>
      <c r="AC444" t="str">
        <f>IF(AND(AA444=0,AB444=0),"",IF(AA444=0,"ODOO-ONLY",IF(AB444=0,"BANK-ONLY","BOTH")))</f>
        <v>BOTH</v>
      </c>
      <c r="AD444" s="9">
        <f>IF(AC444="BOTH",ROUND(Y444-Z444,2),0)</f>
        <v>0</v>
      </c>
    </row>
    <row r="445">
      <c r="A445" t="inlineStr">
        <is>
          <t>G00441</t>
        </is>
      </c>
      <c r="B445" t="inlineStr">
        <is>
          <t>OPS</t>
        </is>
      </c>
      <c r="C445" t="inlineStr">
        <is>
          <t>R03</t>
        </is>
      </c>
      <c r="D445" t="inlineStr">
        <is>
          <t>MATCH</t>
        </is>
      </c>
      <c r="E445" t="inlineStr">
        <is>
          <t>Saltbush Plan Managers</t>
        </is>
      </c>
      <c r="F445" t="n">
        <v>1</v>
      </c>
      <c r="G445" t="inlineStr">
        <is>
          <t>3 invoices</t>
        </is>
      </c>
      <c r="H445">
        <f>COUNTIFS('Bank Lines'!$G$5:$G$1640,A445,'Bank Lines'!$J$5:$J$1640,1)</f>
        <v>1</v>
      </c>
      <c r="I445">
        <f>COUNTIFS('Odoo Items'!$J$5:$J$4331,A445)</f>
        <v>3</v>
      </c>
      <c r="J445" s="9">
        <f>ROUND(SUMIFS('Bank Lines'!$E$5:$E$1640,'Bank Lines'!$G$5:$G$1640,A445,'Bank Lines'!$J$5:$J$1640,1),2)</f>
        <v>835.95</v>
      </c>
      <c r="K445" s="9">
        <f>ROUND(SUMIFS('Odoo Items'!$G$5:$G$4331,'Odoo Items'!$J$5:$J$4331,A445),2)</f>
        <v>835.95</v>
      </c>
      <c r="L445" s="9">
        <f>ROUND(J445-K445,2)</f>
        <v>0</v>
      </c>
      <c r="M445" s="9">
        <f>ROUND(SUMIFS('Bank Lines'!$E$5:$E$1640,'Bank Lines'!$G$5:$G$1640,A445,'Bank Lines'!$J$5:$J$1640,1,'Bank Lines'!$C$5:$C$1640,"&lt;="&amp;Cover!$C$13),2)</f>
        <v>0</v>
      </c>
      <c r="N445" s="9">
        <f>ROUND(SUMIFS('Odoo Items'!$G$5:$G$4331,'Odoo Items'!$J$5:$J$4331,A445,'Odoo Items'!$C$5:$C$4331,"&lt;="&amp;Cover!$C$13),2)</f>
        <v>0</v>
      </c>
      <c r="O445">
        <f>COUNTIFS('Bank Lines'!$G$5:$G$1640,A445,'Bank Lines'!$J$5:$J$1640,1,'Bank Lines'!$C$5:$C$1640,"&lt;="&amp;Cover!$C$13)</f>
        <v>0</v>
      </c>
      <c r="P445">
        <f>COUNTIFS('Odoo Items'!$J$5:$J$4331,A445,'Odoo Items'!$C$5:$C$4331,"&lt;="&amp;Cover!$C$13)</f>
        <v>0</v>
      </c>
      <c r="Q445">
        <f>IF(AND(O445=0,P445=0),"",IF(O445=0,"ODOO-ONLY",IF(P445=0,"BANK-ONLY","BOTH")))</f>
      </c>
      <c r="R445" s="9">
        <f>IF(Q445="BOTH",ROUND(M445-N445,2),0)</f>
        <v>0</v>
      </c>
      <c r="S445" s="9">
        <f>ROUND(SUMIFS('Bank Lines'!$E$5:$E$1640,'Bank Lines'!$G$5:$G$1640,A445,'Bank Lines'!$J$5:$J$1640,1,'Bank Lines'!$C$5:$C$1640,"&lt;="&amp;Cover!$C$14),2)</f>
        <v>0</v>
      </c>
      <c r="T445" s="9">
        <f>ROUND(SUMIFS('Odoo Items'!$G$5:$G$4331,'Odoo Items'!$J$5:$J$4331,A445,'Odoo Items'!$C$5:$C$4331,"&lt;="&amp;Cover!$C$14),2)</f>
        <v>0</v>
      </c>
      <c r="U445">
        <f>COUNTIFS('Bank Lines'!$G$5:$G$1640,A445,'Bank Lines'!$J$5:$J$1640,1,'Bank Lines'!$C$5:$C$1640,"&lt;="&amp;Cover!$C$14)</f>
        <v>0</v>
      </c>
      <c r="V445">
        <f>COUNTIFS('Odoo Items'!$J$5:$J$4331,A445,'Odoo Items'!$C$5:$C$4331,"&lt;="&amp;Cover!$C$14)</f>
        <v>0</v>
      </c>
      <c r="W445">
        <f>IF(AND(U445=0,V445=0),"",IF(U445=0,"ODOO-ONLY",IF(V445=0,"BANK-ONLY","BOTH")))</f>
      </c>
      <c r="X445" s="9">
        <f>IF(W445="BOTH",ROUND(S445-T445,2),0)</f>
        <v>0</v>
      </c>
      <c r="Y445" s="9">
        <f>ROUND(SUMIFS('Bank Lines'!$E$5:$E$1640,'Bank Lines'!$G$5:$G$1640,A445,'Bank Lines'!$J$5:$J$1640,1,'Bank Lines'!$C$5:$C$1640,"&lt;="&amp;Cover!$C$15),2)</f>
        <v>835.95</v>
      </c>
      <c r="Z445" s="9">
        <f>ROUND(SUMIFS('Odoo Items'!$G$5:$G$4331,'Odoo Items'!$J$5:$J$4331,A445,'Odoo Items'!$C$5:$C$4331,"&lt;="&amp;Cover!$C$15),2)</f>
        <v>835.95</v>
      </c>
      <c r="AA445">
        <f>COUNTIFS('Bank Lines'!$G$5:$G$1640,A445,'Bank Lines'!$J$5:$J$1640,1,'Bank Lines'!$C$5:$C$1640,"&lt;="&amp;Cover!$C$15)</f>
        <v>1</v>
      </c>
      <c r="AB445">
        <f>COUNTIFS('Odoo Items'!$J$5:$J$4331,A445,'Odoo Items'!$C$5:$C$4331,"&lt;="&amp;Cover!$C$15)</f>
        <v>3</v>
      </c>
      <c r="AC445" t="str">
        <f>IF(AND(AA445=0,AB445=0),"",IF(AA445=0,"ODOO-ONLY",IF(AB445=0,"BANK-ONLY","BOTH")))</f>
        <v>BOTH</v>
      </c>
      <c r="AD445" s="9">
        <f>IF(AC445="BOTH",ROUND(Y445-Z445,2),0)</f>
        <v>0</v>
      </c>
    </row>
    <row r="446">
      <c r="A446" t="inlineStr">
        <is>
          <t>G00442</t>
        </is>
      </c>
      <c r="B446" t="inlineStr">
        <is>
          <t>OPS</t>
        </is>
      </c>
      <c r="C446" t="inlineStr">
        <is>
          <t>R03</t>
        </is>
      </c>
      <c r="D446" t="inlineStr">
        <is>
          <t>MATCH</t>
        </is>
      </c>
      <c r="E446" t="inlineStr">
        <is>
          <t>Redgum Plan Admin</t>
        </is>
      </c>
      <c r="F446" t="n">
        <v>1</v>
      </c>
      <c r="G446" t="inlineStr">
        <is>
          <t>2 invoices</t>
        </is>
      </c>
      <c r="H446">
        <f>COUNTIFS('Bank Lines'!$G$5:$G$1640,A446,'Bank Lines'!$J$5:$J$1640,1)</f>
        <v>1</v>
      </c>
      <c r="I446">
        <f>COUNTIFS('Odoo Items'!$J$5:$J$4331,A446)</f>
        <v>2</v>
      </c>
      <c r="J446" s="9">
        <f>ROUND(SUMIFS('Bank Lines'!$E$5:$E$1640,'Bank Lines'!$G$5:$G$1640,A446,'Bank Lines'!$J$5:$J$1640,1),2)</f>
        <v>504.37</v>
      </c>
      <c r="K446" s="9">
        <f>ROUND(SUMIFS('Odoo Items'!$G$5:$G$4331,'Odoo Items'!$J$5:$J$4331,A446),2)</f>
        <v>504.37</v>
      </c>
      <c r="L446" s="9">
        <f>ROUND(J446-K446,2)</f>
        <v>0</v>
      </c>
      <c r="M446" s="9">
        <f>ROUND(SUMIFS('Bank Lines'!$E$5:$E$1640,'Bank Lines'!$G$5:$G$1640,A446,'Bank Lines'!$J$5:$J$1640,1,'Bank Lines'!$C$5:$C$1640,"&lt;="&amp;Cover!$C$13),2)</f>
        <v>0</v>
      </c>
      <c r="N446" s="9">
        <f>ROUND(SUMIFS('Odoo Items'!$G$5:$G$4331,'Odoo Items'!$J$5:$J$4331,A446,'Odoo Items'!$C$5:$C$4331,"&lt;="&amp;Cover!$C$13),2)</f>
        <v>0</v>
      </c>
      <c r="O446">
        <f>COUNTIFS('Bank Lines'!$G$5:$G$1640,A446,'Bank Lines'!$J$5:$J$1640,1,'Bank Lines'!$C$5:$C$1640,"&lt;="&amp;Cover!$C$13)</f>
        <v>0</v>
      </c>
      <c r="P446">
        <f>COUNTIFS('Odoo Items'!$J$5:$J$4331,A446,'Odoo Items'!$C$5:$C$4331,"&lt;="&amp;Cover!$C$13)</f>
        <v>0</v>
      </c>
      <c r="Q446">
        <f>IF(AND(O446=0,P446=0),"",IF(O446=0,"ODOO-ONLY",IF(P446=0,"BANK-ONLY","BOTH")))</f>
      </c>
      <c r="R446" s="9">
        <f>IF(Q446="BOTH",ROUND(M446-N446,2),0)</f>
        <v>0</v>
      </c>
      <c r="S446" s="9">
        <f>ROUND(SUMIFS('Bank Lines'!$E$5:$E$1640,'Bank Lines'!$G$5:$G$1640,A446,'Bank Lines'!$J$5:$J$1640,1,'Bank Lines'!$C$5:$C$1640,"&lt;="&amp;Cover!$C$14),2)</f>
        <v>0</v>
      </c>
      <c r="T446" s="9">
        <f>ROUND(SUMIFS('Odoo Items'!$G$5:$G$4331,'Odoo Items'!$J$5:$J$4331,A446,'Odoo Items'!$C$5:$C$4331,"&lt;="&amp;Cover!$C$14),2)</f>
        <v>0</v>
      </c>
      <c r="U446">
        <f>COUNTIFS('Bank Lines'!$G$5:$G$1640,A446,'Bank Lines'!$J$5:$J$1640,1,'Bank Lines'!$C$5:$C$1640,"&lt;="&amp;Cover!$C$14)</f>
        <v>0</v>
      </c>
      <c r="V446">
        <f>COUNTIFS('Odoo Items'!$J$5:$J$4331,A446,'Odoo Items'!$C$5:$C$4331,"&lt;="&amp;Cover!$C$14)</f>
        <v>0</v>
      </c>
      <c r="W446">
        <f>IF(AND(U446=0,V446=0),"",IF(U446=0,"ODOO-ONLY",IF(V446=0,"BANK-ONLY","BOTH")))</f>
      </c>
      <c r="X446" s="9">
        <f>IF(W446="BOTH",ROUND(S446-T446,2),0)</f>
        <v>0</v>
      </c>
      <c r="Y446" s="9">
        <f>ROUND(SUMIFS('Bank Lines'!$E$5:$E$1640,'Bank Lines'!$G$5:$G$1640,A446,'Bank Lines'!$J$5:$J$1640,1,'Bank Lines'!$C$5:$C$1640,"&lt;="&amp;Cover!$C$15),2)</f>
        <v>504.37</v>
      </c>
      <c r="Z446" s="9">
        <f>ROUND(SUMIFS('Odoo Items'!$G$5:$G$4331,'Odoo Items'!$J$5:$J$4331,A446,'Odoo Items'!$C$5:$C$4331,"&lt;="&amp;Cover!$C$15),2)</f>
        <v>504.37</v>
      </c>
      <c r="AA446">
        <f>COUNTIFS('Bank Lines'!$G$5:$G$1640,A446,'Bank Lines'!$J$5:$J$1640,1,'Bank Lines'!$C$5:$C$1640,"&lt;="&amp;Cover!$C$15)</f>
        <v>1</v>
      </c>
      <c r="AB446">
        <f>COUNTIFS('Odoo Items'!$J$5:$J$4331,A446,'Odoo Items'!$C$5:$C$4331,"&lt;="&amp;Cover!$C$15)</f>
        <v>2</v>
      </c>
      <c r="AC446" t="str">
        <f>IF(AND(AA446=0,AB446=0),"",IF(AA446=0,"ODOO-ONLY",IF(AB446=0,"BANK-ONLY","BOTH")))</f>
        <v>BOTH</v>
      </c>
      <c r="AD446" s="9">
        <f>IF(AC446="BOTH",ROUND(Y446-Z446,2),0)</f>
        <v>0</v>
      </c>
    </row>
    <row r="447">
      <c r="A447" t="inlineStr">
        <is>
          <t>G00443</t>
        </is>
      </c>
      <c r="B447" t="inlineStr">
        <is>
          <t>OPS</t>
        </is>
      </c>
      <c r="C447" t="inlineStr">
        <is>
          <t>R03</t>
        </is>
      </c>
      <c r="D447" t="inlineStr">
        <is>
          <t>MATCH</t>
        </is>
      </c>
      <c r="E447" t="inlineStr">
        <is>
          <t>Southern Cross Plan Mgmt</t>
        </is>
      </c>
      <c r="F447" t="n">
        <v>0.955</v>
      </c>
      <c r="G447" t="inlineStr">
        <is>
          <t>3 invoices</t>
        </is>
      </c>
      <c r="H447">
        <f>COUNTIFS('Bank Lines'!$G$5:$G$1640,A447,'Bank Lines'!$J$5:$J$1640,1)</f>
        <v>1</v>
      </c>
      <c r="I447">
        <f>COUNTIFS('Odoo Items'!$J$5:$J$4331,A447)</f>
        <v>3</v>
      </c>
      <c r="J447" s="9">
        <f>ROUND(SUMIFS('Bank Lines'!$E$5:$E$1640,'Bank Lines'!$G$5:$G$1640,A447,'Bank Lines'!$J$5:$J$1640,1),2)</f>
        <v>698.37</v>
      </c>
      <c r="K447" s="9">
        <f>ROUND(SUMIFS('Odoo Items'!$G$5:$G$4331,'Odoo Items'!$J$5:$J$4331,A447),2)</f>
        <v>698.37</v>
      </c>
      <c r="L447" s="9">
        <f>ROUND(J447-K447,2)</f>
        <v>0</v>
      </c>
      <c r="M447" s="9">
        <f>ROUND(SUMIFS('Bank Lines'!$E$5:$E$1640,'Bank Lines'!$G$5:$G$1640,A447,'Bank Lines'!$J$5:$J$1640,1,'Bank Lines'!$C$5:$C$1640,"&lt;="&amp;Cover!$C$13),2)</f>
        <v>0</v>
      </c>
      <c r="N447" s="9">
        <f>ROUND(SUMIFS('Odoo Items'!$G$5:$G$4331,'Odoo Items'!$J$5:$J$4331,A447,'Odoo Items'!$C$5:$C$4331,"&lt;="&amp;Cover!$C$13),2)</f>
        <v>0</v>
      </c>
      <c r="O447">
        <f>COUNTIFS('Bank Lines'!$G$5:$G$1640,A447,'Bank Lines'!$J$5:$J$1640,1,'Bank Lines'!$C$5:$C$1640,"&lt;="&amp;Cover!$C$13)</f>
        <v>0</v>
      </c>
      <c r="P447">
        <f>COUNTIFS('Odoo Items'!$J$5:$J$4331,A447,'Odoo Items'!$C$5:$C$4331,"&lt;="&amp;Cover!$C$13)</f>
        <v>0</v>
      </c>
      <c r="Q447">
        <f>IF(AND(O447=0,P447=0),"",IF(O447=0,"ODOO-ONLY",IF(P447=0,"BANK-ONLY","BOTH")))</f>
      </c>
      <c r="R447" s="9">
        <f>IF(Q447="BOTH",ROUND(M447-N447,2),0)</f>
        <v>0</v>
      </c>
      <c r="S447" s="9">
        <f>ROUND(SUMIFS('Bank Lines'!$E$5:$E$1640,'Bank Lines'!$G$5:$G$1640,A447,'Bank Lines'!$J$5:$J$1640,1,'Bank Lines'!$C$5:$C$1640,"&lt;="&amp;Cover!$C$14),2)</f>
        <v>0</v>
      </c>
      <c r="T447" s="9">
        <f>ROUND(SUMIFS('Odoo Items'!$G$5:$G$4331,'Odoo Items'!$J$5:$J$4331,A447,'Odoo Items'!$C$5:$C$4331,"&lt;="&amp;Cover!$C$14),2)</f>
        <v>0</v>
      </c>
      <c r="U447">
        <f>COUNTIFS('Bank Lines'!$G$5:$G$1640,A447,'Bank Lines'!$J$5:$J$1640,1,'Bank Lines'!$C$5:$C$1640,"&lt;="&amp;Cover!$C$14)</f>
        <v>0</v>
      </c>
      <c r="V447">
        <f>COUNTIFS('Odoo Items'!$J$5:$J$4331,A447,'Odoo Items'!$C$5:$C$4331,"&lt;="&amp;Cover!$C$14)</f>
        <v>0</v>
      </c>
      <c r="W447">
        <f>IF(AND(U447=0,V447=0),"",IF(U447=0,"ODOO-ONLY",IF(V447=0,"BANK-ONLY","BOTH")))</f>
      </c>
      <c r="X447" s="9">
        <f>IF(W447="BOTH",ROUND(S447-T447,2),0)</f>
        <v>0</v>
      </c>
      <c r="Y447" s="9">
        <f>ROUND(SUMIFS('Bank Lines'!$E$5:$E$1640,'Bank Lines'!$G$5:$G$1640,A447,'Bank Lines'!$J$5:$J$1640,1,'Bank Lines'!$C$5:$C$1640,"&lt;="&amp;Cover!$C$15),2)</f>
        <v>698.37</v>
      </c>
      <c r="Z447" s="9">
        <f>ROUND(SUMIFS('Odoo Items'!$G$5:$G$4331,'Odoo Items'!$J$5:$J$4331,A447,'Odoo Items'!$C$5:$C$4331,"&lt;="&amp;Cover!$C$15),2)</f>
        <v>698.37</v>
      </c>
      <c r="AA447">
        <f>COUNTIFS('Bank Lines'!$G$5:$G$1640,A447,'Bank Lines'!$J$5:$J$1640,1,'Bank Lines'!$C$5:$C$1640,"&lt;="&amp;Cover!$C$15)</f>
        <v>1</v>
      </c>
      <c r="AB447">
        <f>COUNTIFS('Odoo Items'!$J$5:$J$4331,A447,'Odoo Items'!$C$5:$C$4331,"&lt;="&amp;Cover!$C$15)</f>
        <v>3</v>
      </c>
      <c r="AC447" t="str">
        <f>IF(AND(AA447=0,AB447=0),"",IF(AA447=0,"ODOO-ONLY",IF(AB447=0,"BANK-ONLY","BOTH")))</f>
        <v>BOTH</v>
      </c>
      <c r="AD447" s="9">
        <f>IF(AC447="BOTH",ROUND(Y447-Z447,2),0)</f>
        <v>0</v>
      </c>
    </row>
    <row r="448">
      <c r="A448" t="inlineStr">
        <is>
          <t>G00444</t>
        </is>
      </c>
      <c r="B448" t="inlineStr">
        <is>
          <t>OPS</t>
        </is>
      </c>
      <c r="C448" t="inlineStr">
        <is>
          <t>R03</t>
        </is>
      </c>
      <c r="D448" t="inlineStr">
        <is>
          <t>MATCH</t>
        </is>
      </c>
      <c r="E448" t="inlineStr">
        <is>
          <t>Acacia Plan Partners</t>
        </is>
      </c>
      <c r="F448" t="n">
        <v>1</v>
      </c>
      <c r="G448" t="inlineStr">
        <is>
          <t>2 invoices</t>
        </is>
      </c>
      <c r="H448">
        <f>COUNTIFS('Bank Lines'!$G$5:$G$1640,A448,'Bank Lines'!$J$5:$J$1640,1)</f>
        <v>1</v>
      </c>
      <c r="I448">
        <f>COUNTIFS('Odoo Items'!$J$5:$J$4331,A448)</f>
        <v>2</v>
      </c>
      <c r="J448" s="9">
        <f>ROUND(SUMIFS('Bank Lines'!$E$5:$E$1640,'Bank Lines'!$G$5:$G$1640,A448,'Bank Lines'!$J$5:$J$1640,1),2)</f>
        <v>290.98</v>
      </c>
      <c r="K448" s="9">
        <f>ROUND(SUMIFS('Odoo Items'!$G$5:$G$4331,'Odoo Items'!$J$5:$J$4331,A448),2)</f>
        <v>290.98</v>
      </c>
      <c r="L448" s="9">
        <f>ROUND(J448-K448,2)</f>
        <v>0</v>
      </c>
      <c r="M448" s="9">
        <f>ROUND(SUMIFS('Bank Lines'!$E$5:$E$1640,'Bank Lines'!$G$5:$G$1640,A448,'Bank Lines'!$J$5:$J$1640,1,'Bank Lines'!$C$5:$C$1640,"&lt;="&amp;Cover!$C$13),2)</f>
        <v>0</v>
      </c>
      <c r="N448" s="9">
        <f>ROUND(SUMIFS('Odoo Items'!$G$5:$G$4331,'Odoo Items'!$J$5:$J$4331,A448,'Odoo Items'!$C$5:$C$4331,"&lt;="&amp;Cover!$C$13),2)</f>
        <v>0</v>
      </c>
      <c r="O448">
        <f>COUNTIFS('Bank Lines'!$G$5:$G$1640,A448,'Bank Lines'!$J$5:$J$1640,1,'Bank Lines'!$C$5:$C$1640,"&lt;="&amp;Cover!$C$13)</f>
        <v>0</v>
      </c>
      <c r="P448">
        <f>COUNTIFS('Odoo Items'!$J$5:$J$4331,A448,'Odoo Items'!$C$5:$C$4331,"&lt;="&amp;Cover!$C$13)</f>
        <v>0</v>
      </c>
      <c r="Q448">
        <f>IF(AND(O448=0,P448=0),"",IF(O448=0,"ODOO-ONLY",IF(P448=0,"BANK-ONLY","BOTH")))</f>
      </c>
      <c r="R448" s="9">
        <f>IF(Q448="BOTH",ROUND(M448-N448,2),0)</f>
        <v>0</v>
      </c>
      <c r="S448" s="9">
        <f>ROUND(SUMIFS('Bank Lines'!$E$5:$E$1640,'Bank Lines'!$G$5:$G$1640,A448,'Bank Lines'!$J$5:$J$1640,1,'Bank Lines'!$C$5:$C$1640,"&lt;="&amp;Cover!$C$14),2)</f>
        <v>0</v>
      </c>
      <c r="T448" s="9">
        <f>ROUND(SUMIFS('Odoo Items'!$G$5:$G$4331,'Odoo Items'!$J$5:$J$4331,A448,'Odoo Items'!$C$5:$C$4331,"&lt;="&amp;Cover!$C$14),2)</f>
        <v>0</v>
      </c>
      <c r="U448">
        <f>COUNTIFS('Bank Lines'!$G$5:$G$1640,A448,'Bank Lines'!$J$5:$J$1640,1,'Bank Lines'!$C$5:$C$1640,"&lt;="&amp;Cover!$C$14)</f>
        <v>0</v>
      </c>
      <c r="V448">
        <f>COUNTIFS('Odoo Items'!$J$5:$J$4331,A448,'Odoo Items'!$C$5:$C$4331,"&lt;="&amp;Cover!$C$14)</f>
        <v>0</v>
      </c>
      <c r="W448">
        <f>IF(AND(U448=0,V448=0),"",IF(U448=0,"ODOO-ONLY",IF(V448=0,"BANK-ONLY","BOTH")))</f>
      </c>
      <c r="X448" s="9">
        <f>IF(W448="BOTH",ROUND(S448-T448,2),0)</f>
        <v>0</v>
      </c>
      <c r="Y448" s="9">
        <f>ROUND(SUMIFS('Bank Lines'!$E$5:$E$1640,'Bank Lines'!$G$5:$G$1640,A448,'Bank Lines'!$J$5:$J$1640,1,'Bank Lines'!$C$5:$C$1640,"&lt;="&amp;Cover!$C$15),2)</f>
        <v>290.98</v>
      </c>
      <c r="Z448" s="9">
        <f>ROUND(SUMIFS('Odoo Items'!$G$5:$G$4331,'Odoo Items'!$J$5:$J$4331,A448,'Odoo Items'!$C$5:$C$4331,"&lt;="&amp;Cover!$C$15),2)</f>
        <v>290.98</v>
      </c>
      <c r="AA448">
        <f>COUNTIFS('Bank Lines'!$G$5:$G$1640,A448,'Bank Lines'!$J$5:$J$1640,1,'Bank Lines'!$C$5:$C$1640,"&lt;="&amp;Cover!$C$15)</f>
        <v>1</v>
      </c>
      <c r="AB448">
        <f>COUNTIFS('Odoo Items'!$J$5:$J$4331,A448,'Odoo Items'!$C$5:$C$4331,"&lt;="&amp;Cover!$C$15)</f>
        <v>2</v>
      </c>
      <c r="AC448" t="str">
        <f>IF(AND(AA448=0,AB448=0),"",IF(AA448=0,"ODOO-ONLY",IF(AB448=0,"BANK-ONLY","BOTH")))</f>
        <v>BOTH</v>
      </c>
      <c r="AD448" s="9">
        <f>IF(AC448="BOTH",ROUND(Y448-Z448,2),0)</f>
        <v>0</v>
      </c>
    </row>
    <row r="449">
      <c r="A449" t="inlineStr">
        <is>
          <t>G00445</t>
        </is>
      </c>
      <c r="B449" t="inlineStr">
        <is>
          <t>OPS</t>
        </is>
      </c>
      <c r="C449" t="inlineStr">
        <is>
          <t>R03</t>
        </is>
      </c>
      <c r="D449" t="inlineStr">
        <is>
          <t>MATCH</t>
        </is>
      </c>
      <c r="E449" t="inlineStr">
        <is>
          <t>Mallee Plan Services</t>
        </is>
      </c>
      <c r="F449" t="n">
        <v>1</v>
      </c>
      <c r="G449" t="inlineStr">
        <is>
          <t>3 invoices</t>
        </is>
      </c>
      <c r="H449">
        <f>COUNTIFS('Bank Lines'!$G$5:$G$1640,A449,'Bank Lines'!$J$5:$J$1640,1)</f>
        <v>1</v>
      </c>
      <c r="I449">
        <f>COUNTIFS('Odoo Items'!$J$5:$J$4331,A449)</f>
        <v>3</v>
      </c>
      <c r="J449" s="9">
        <f>ROUND(SUMIFS('Bank Lines'!$E$5:$E$1640,'Bank Lines'!$G$5:$G$1640,A449,'Bank Lines'!$J$5:$J$1640,1),2)</f>
        <v>737.16</v>
      </c>
      <c r="K449" s="9">
        <f>ROUND(SUMIFS('Odoo Items'!$G$5:$G$4331,'Odoo Items'!$J$5:$J$4331,A449),2)</f>
        <v>737.16</v>
      </c>
      <c r="L449" s="9">
        <f>ROUND(J449-K449,2)</f>
        <v>0</v>
      </c>
      <c r="M449" s="9">
        <f>ROUND(SUMIFS('Bank Lines'!$E$5:$E$1640,'Bank Lines'!$G$5:$G$1640,A449,'Bank Lines'!$J$5:$J$1640,1,'Bank Lines'!$C$5:$C$1640,"&lt;="&amp;Cover!$C$13),2)</f>
        <v>0</v>
      </c>
      <c r="N449" s="9">
        <f>ROUND(SUMIFS('Odoo Items'!$G$5:$G$4331,'Odoo Items'!$J$5:$J$4331,A449,'Odoo Items'!$C$5:$C$4331,"&lt;="&amp;Cover!$C$13),2)</f>
        <v>0</v>
      </c>
      <c r="O449">
        <f>COUNTIFS('Bank Lines'!$G$5:$G$1640,A449,'Bank Lines'!$J$5:$J$1640,1,'Bank Lines'!$C$5:$C$1640,"&lt;="&amp;Cover!$C$13)</f>
        <v>0</v>
      </c>
      <c r="P449">
        <f>COUNTIFS('Odoo Items'!$J$5:$J$4331,A449,'Odoo Items'!$C$5:$C$4331,"&lt;="&amp;Cover!$C$13)</f>
        <v>0</v>
      </c>
      <c r="Q449">
        <f>IF(AND(O449=0,P449=0),"",IF(O449=0,"ODOO-ONLY",IF(P449=0,"BANK-ONLY","BOTH")))</f>
      </c>
      <c r="R449" s="9">
        <f>IF(Q449="BOTH",ROUND(M449-N449,2),0)</f>
        <v>0</v>
      </c>
      <c r="S449" s="9">
        <f>ROUND(SUMIFS('Bank Lines'!$E$5:$E$1640,'Bank Lines'!$G$5:$G$1640,A449,'Bank Lines'!$J$5:$J$1640,1,'Bank Lines'!$C$5:$C$1640,"&lt;="&amp;Cover!$C$14),2)</f>
        <v>0</v>
      </c>
      <c r="T449" s="9">
        <f>ROUND(SUMIFS('Odoo Items'!$G$5:$G$4331,'Odoo Items'!$J$5:$J$4331,A449,'Odoo Items'!$C$5:$C$4331,"&lt;="&amp;Cover!$C$14),2)</f>
        <v>0</v>
      </c>
      <c r="U449">
        <f>COUNTIFS('Bank Lines'!$G$5:$G$1640,A449,'Bank Lines'!$J$5:$J$1640,1,'Bank Lines'!$C$5:$C$1640,"&lt;="&amp;Cover!$C$14)</f>
        <v>0</v>
      </c>
      <c r="V449">
        <f>COUNTIFS('Odoo Items'!$J$5:$J$4331,A449,'Odoo Items'!$C$5:$C$4331,"&lt;="&amp;Cover!$C$14)</f>
        <v>0</v>
      </c>
      <c r="W449">
        <f>IF(AND(U449=0,V449=0),"",IF(U449=0,"ODOO-ONLY",IF(V449=0,"BANK-ONLY","BOTH")))</f>
      </c>
      <c r="X449" s="9">
        <f>IF(W449="BOTH",ROUND(S449-T449,2),0)</f>
        <v>0</v>
      </c>
      <c r="Y449" s="9">
        <f>ROUND(SUMIFS('Bank Lines'!$E$5:$E$1640,'Bank Lines'!$G$5:$G$1640,A449,'Bank Lines'!$J$5:$J$1640,1,'Bank Lines'!$C$5:$C$1640,"&lt;="&amp;Cover!$C$15),2)</f>
        <v>737.16</v>
      </c>
      <c r="Z449" s="9">
        <f>ROUND(SUMIFS('Odoo Items'!$G$5:$G$4331,'Odoo Items'!$J$5:$J$4331,A449,'Odoo Items'!$C$5:$C$4331,"&lt;="&amp;Cover!$C$15),2)</f>
        <v>737.16</v>
      </c>
      <c r="AA449">
        <f>COUNTIFS('Bank Lines'!$G$5:$G$1640,A449,'Bank Lines'!$J$5:$J$1640,1,'Bank Lines'!$C$5:$C$1640,"&lt;="&amp;Cover!$C$15)</f>
        <v>1</v>
      </c>
      <c r="AB449">
        <f>COUNTIFS('Odoo Items'!$J$5:$J$4331,A449,'Odoo Items'!$C$5:$C$4331,"&lt;="&amp;Cover!$C$15)</f>
        <v>3</v>
      </c>
      <c r="AC449" t="str">
        <f>IF(AND(AA449=0,AB449=0),"",IF(AA449=0,"ODOO-ONLY",IF(AB449=0,"BANK-ONLY","BOTH")))</f>
        <v>BOTH</v>
      </c>
      <c r="AD449" s="9">
        <f>IF(AC449="BOTH",ROUND(Y449-Z449,2),0)</f>
        <v>0</v>
      </c>
    </row>
    <row r="450">
      <c r="A450" t="inlineStr">
        <is>
          <t>G00446</t>
        </is>
      </c>
      <c r="B450" t="inlineStr">
        <is>
          <t>OPS</t>
        </is>
      </c>
      <c r="C450" t="inlineStr">
        <is>
          <t>R03</t>
        </is>
      </c>
      <c r="D450" t="inlineStr">
        <is>
          <t>MATCH</t>
        </is>
      </c>
      <c r="E450" t="inlineStr">
        <is>
          <t>Riverbend Plan Partners</t>
        </is>
      </c>
      <c r="F450" t="n">
        <v>1</v>
      </c>
      <c r="G450" t="inlineStr">
        <is>
          <t>2 invoices</t>
        </is>
      </c>
      <c r="H450">
        <f>COUNTIFS('Bank Lines'!$G$5:$G$1640,A450,'Bank Lines'!$J$5:$J$1640,1)</f>
        <v>1</v>
      </c>
      <c r="I450">
        <f>COUNTIFS('Odoo Items'!$J$5:$J$4331,A450)</f>
        <v>2</v>
      </c>
      <c r="J450" s="9">
        <f>ROUND(SUMIFS('Bank Lines'!$E$5:$E$1640,'Bank Lines'!$G$5:$G$1640,A450,'Bank Lines'!$J$5:$J$1640,1),2)</f>
        <v>379.18</v>
      </c>
      <c r="K450" s="9">
        <f>ROUND(SUMIFS('Odoo Items'!$G$5:$G$4331,'Odoo Items'!$J$5:$J$4331,A450),2)</f>
        <v>379.18</v>
      </c>
      <c r="L450" s="9">
        <f>ROUND(J450-K450,2)</f>
        <v>0</v>
      </c>
      <c r="M450" s="9">
        <f>ROUND(SUMIFS('Bank Lines'!$E$5:$E$1640,'Bank Lines'!$G$5:$G$1640,A450,'Bank Lines'!$J$5:$J$1640,1,'Bank Lines'!$C$5:$C$1640,"&lt;="&amp;Cover!$C$13),2)</f>
        <v>0</v>
      </c>
      <c r="N450" s="9">
        <f>ROUND(SUMIFS('Odoo Items'!$G$5:$G$4331,'Odoo Items'!$J$5:$J$4331,A450,'Odoo Items'!$C$5:$C$4331,"&lt;="&amp;Cover!$C$13),2)</f>
        <v>0</v>
      </c>
      <c r="O450">
        <f>COUNTIFS('Bank Lines'!$G$5:$G$1640,A450,'Bank Lines'!$J$5:$J$1640,1,'Bank Lines'!$C$5:$C$1640,"&lt;="&amp;Cover!$C$13)</f>
        <v>0</v>
      </c>
      <c r="P450">
        <f>COUNTIFS('Odoo Items'!$J$5:$J$4331,A450,'Odoo Items'!$C$5:$C$4331,"&lt;="&amp;Cover!$C$13)</f>
        <v>0</v>
      </c>
      <c r="Q450">
        <f>IF(AND(O450=0,P450=0),"",IF(O450=0,"ODOO-ONLY",IF(P450=0,"BANK-ONLY","BOTH")))</f>
      </c>
      <c r="R450" s="9">
        <f>IF(Q450="BOTH",ROUND(M450-N450,2),0)</f>
        <v>0</v>
      </c>
      <c r="S450" s="9">
        <f>ROUND(SUMIFS('Bank Lines'!$E$5:$E$1640,'Bank Lines'!$G$5:$G$1640,A450,'Bank Lines'!$J$5:$J$1640,1,'Bank Lines'!$C$5:$C$1640,"&lt;="&amp;Cover!$C$14),2)</f>
        <v>0</v>
      </c>
      <c r="T450" s="9">
        <f>ROUND(SUMIFS('Odoo Items'!$G$5:$G$4331,'Odoo Items'!$J$5:$J$4331,A450,'Odoo Items'!$C$5:$C$4331,"&lt;="&amp;Cover!$C$14),2)</f>
        <v>0</v>
      </c>
      <c r="U450">
        <f>COUNTIFS('Bank Lines'!$G$5:$G$1640,A450,'Bank Lines'!$J$5:$J$1640,1,'Bank Lines'!$C$5:$C$1640,"&lt;="&amp;Cover!$C$14)</f>
        <v>0</v>
      </c>
      <c r="V450">
        <f>COUNTIFS('Odoo Items'!$J$5:$J$4331,A450,'Odoo Items'!$C$5:$C$4331,"&lt;="&amp;Cover!$C$14)</f>
        <v>0</v>
      </c>
      <c r="W450">
        <f>IF(AND(U450=0,V450=0),"",IF(U450=0,"ODOO-ONLY",IF(V450=0,"BANK-ONLY","BOTH")))</f>
      </c>
      <c r="X450" s="9">
        <f>IF(W450="BOTH",ROUND(S450-T450,2),0)</f>
        <v>0</v>
      </c>
      <c r="Y450" s="9">
        <f>ROUND(SUMIFS('Bank Lines'!$E$5:$E$1640,'Bank Lines'!$G$5:$G$1640,A450,'Bank Lines'!$J$5:$J$1640,1,'Bank Lines'!$C$5:$C$1640,"&lt;="&amp;Cover!$C$15),2)</f>
        <v>379.18</v>
      </c>
      <c r="Z450" s="9">
        <f>ROUND(SUMIFS('Odoo Items'!$G$5:$G$4331,'Odoo Items'!$J$5:$J$4331,A450,'Odoo Items'!$C$5:$C$4331,"&lt;="&amp;Cover!$C$15),2)</f>
        <v>379.18</v>
      </c>
      <c r="AA450">
        <f>COUNTIFS('Bank Lines'!$G$5:$G$1640,A450,'Bank Lines'!$J$5:$J$1640,1,'Bank Lines'!$C$5:$C$1640,"&lt;="&amp;Cover!$C$15)</f>
        <v>1</v>
      </c>
      <c r="AB450">
        <f>COUNTIFS('Odoo Items'!$J$5:$J$4331,A450,'Odoo Items'!$C$5:$C$4331,"&lt;="&amp;Cover!$C$15)</f>
        <v>2</v>
      </c>
      <c r="AC450" t="str">
        <f>IF(AND(AA450=0,AB450=0),"",IF(AA450=0,"ODOO-ONLY",IF(AB450=0,"BANK-ONLY","BOTH")))</f>
        <v>BOTH</v>
      </c>
      <c r="AD450" s="9">
        <f>IF(AC450="BOTH",ROUND(Y450-Z450,2),0)</f>
        <v>0</v>
      </c>
    </row>
    <row r="451">
      <c r="A451" t="inlineStr">
        <is>
          <t>G00447</t>
        </is>
      </c>
      <c r="B451" t="inlineStr">
        <is>
          <t>OPS</t>
        </is>
      </c>
      <c r="C451" t="inlineStr">
        <is>
          <t>R03</t>
        </is>
      </c>
      <c r="D451" t="inlineStr">
        <is>
          <t>MATCH</t>
        </is>
      </c>
      <c r="E451" t="inlineStr">
        <is>
          <t>Kookaburra Plan Support</t>
        </is>
      </c>
      <c r="F451" t="n">
        <v>1</v>
      </c>
      <c r="G451" t="inlineStr">
        <is>
          <t>12 invoices</t>
        </is>
      </c>
      <c r="H451">
        <f>COUNTIFS('Bank Lines'!$G$5:$G$1640,A451,'Bank Lines'!$J$5:$J$1640,1)</f>
        <v>1</v>
      </c>
      <c r="I451">
        <f>COUNTIFS('Odoo Items'!$J$5:$J$4331,A451)</f>
        <v>12</v>
      </c>
      <c r="J451" s="9">
        <f>ROUND(SUMIFS('Bank Lines'!$E$5:$E$1640,'Bank Lines'!$G$5:$G$1640,A451,'Bank Lines'!$J$5:$J$1640,1),2)</f>
        <v>3513.92</v>
      </c>
      <c r="K451" s="9">
        <f>ROUND(SUMIFS('Odoo Items'!$G$5:$G$4331,'Odoo Items'!$J$5:$J$4331,A451),2)</f>
        <v>3513.92</v>
      </c>
      <c r="L451" s="9">
        <f>ROUND(J451-K451,2)</f>
        <v>0</v>
      </c>
      <c r="M451" s="9">
        <f>ROUND(SUMIFS('Bank Lines'!$E$5:$E$1640,'Bank Lines'!$G$5:$G$1640,A451,'Bank Lines'!$J$5:$J$1640,1,'Bank Lines'!$C$5:$C$1640,"&lt;="&amp;Cover!$C$13),2)</f>
        <v>0</v>
      </c>
      <c r="N451" s="9">
        <f>ROUND(SUMIFS('Odoo Items'!$G$5:$G$4331,'Odoo Items'!$J$5:$J$4331,A451,'Odoo Items'!$C$5:$C$4331,"&lt;="&amp;Cover!$C$13),2)</f>
        <v>0</v>
      </c>
      <c r="O451">
        <f>COUNTIFS('Bank Lines'!$G$5:$G$1640,A451,'Bank Lines'!$J$5:$J$1640,1,'Bank Lines'!$C$5:$C$1640,"&lt;="&amp;Cover!$C$13)</f>
        <v>0</v>
      </c>
      <c r="P451">
        <f>COUNTIFS('Odoo Items'!$J$5:$J$4331,A451,'Odoo Items'!$C$5:$C$4331,"&lt;="&amp;Cover!$C$13)</f>
        <v>0</v>
      </c>
      <c r="Q451">
        <f>IF(AND(O451=0,P451=0),"",IF(O451=0,"ODOO-ONLY",IF(P451=0,"BANK-ONLY","BOTH")))</f>
      </c>
      <c r="R451" s="9">
        <f>IF(Q451="BOTH",ROUND(M451-N451,2),0)</f>
        <v>0</v>
      </c>
      <c r="S451" s="9">
        <f>ROUND(SUMIFS('Bank Lines'!$E$5:$E$1640,'Bank Lines'!$G$5:$G$1640,A451,'Bank Lines'!$J$5:$J$1640,1,'Bank Lines'!$C$5:$C$1640,"&lt;="&amp;Cover!$C$14),2)</f>
        <v>0</v>
      </c>
      <c r="T451" s="9">
        <f>ROUND(SUMIFS('Odoo Items'!$G$5:$G$4331,'Odoo Items'!$J$5:$J$4331,A451,'Odoo Items'!$C$5:$C$4331,"&lt;="&amp;Cover!$C$14),2)</f>
        <v>0</v>
      </c>
      <c r="U451">
        <f>COUNTIFS('Bank Lines'!$G$5:$G$1640,A451,'Bank Lines'!$J$5:$J$1640,1,'Bank Lines'!$C$5:$C$1640,"&lt;="&amp;Cover!$C$14)</f>
        <v>0</v>
      </c>
      <c r="V451">
        <f>COUNTIFS('Odoo Items'!$J$5:$J$4331,A451,'Odoo Items'!$C$5:$C$4331,"&lt;="&amp;Cover!$C$14)</f>
        <v>0</v>
      </c>
      <c r="W451">
        <f>IF(AND(U451=0,V451=0),"",IF(U451=0,"ODOO-ONLY",IF(V451=0,"BANK-ONLY","BOTH")))</f>
      </c>
      <c r="X451" s="9">
        <f>IF(W451="BOTH",ROUND(S451-T451,2),0)</f>
        <v>0</v>
      </c>
      <c r="Y451" s="9">
        <f>ROUND(SUMIFS('Bank Lines'!$E$5:$E$1640,'Bank Lines'!$G$5:$G$1640,A451,'Bank Lines'!$J$5:$J$1640,1,'Bank Lines'!$C$5:$C$1640,"&lt;="&amp;Cover!$C$15),2)</f>
        <v>3513.92</v>
      </c>
      <c r="Z451" s="9">
        <f>ROUND(SUMIFS('Odoo Items'!$G$5:$G$4331,'Odoo Items'!$J$5:$J$4331,A451,'Odoo Items'!$C$5:$C$4331,"&lt;="&amp;Cover!$C$15),2)</f>
        <v>3513.92</v>
      </c>
      <c r="AA451">
        <f>COUNTIFS('Bank Lines'!$G$5:$G$1640,A451,'Bank Lines'!$J$5:$J$1640,1,'Bank Lines'!$C$5:$C$1640,"&lt;="&amp;Cover!$C$15)</f>
        <v>1</v>
      </c>
      <c r="AB451">
        <f>COUNTIFS('Odoo Items'!$J$5:$J$4331,A451,'Odoo Items'!$C$5:$C$4331,"&lt;="&amp;Cover!$C$15)</f>
        <v>12</v>
      </c>
      <c r="AC451" t="str">
        <f>IF(AND(AA451=0,AB451=0),"",IF(AA451=0,"ODOO-ONLY",IF(AB451=0,"BANK-ONLY","BOTH")))</f>
        <v>BOTH</v>
      </c>
      <c r="AD451" s="9">
        <f>IF(AC451="BOTH",ROUND(Y451-Z451,2),0)</f>
        <v>0</v>
      </c>
    </row>
    <row r="452">
      <c r="A452" t="inlineStr">
        <is>
          <t>G00448</t>
        </is>
      </c>
      <c r="B452" t="inlineStr">
        <is>
          <t>OPS</t>
        </is>
      </c>
      <c r="C452" t="inlineStr">
        <is>
          <t>R03</t>
        </is>
      </c>
      <c r="D452" t="inlineStr">
        <is>
          <t>MATCH</t>
        </is>
      </c>
      <c r="E452" t="inlineStr">
        <is>
          <t>Lyrebird Plan Management</t>
        </is>
      </c>
      <c r="F452" t="n">
        <v>1</v>
      </c>
      <c r="G452" t="inlineStr">
        <is>
          <t>2 invoices</t>
        </is>
      </c>
      <c r="H452">
        <f>COUNTIFS('Bank Lines'!$G$5:$G$1640,A452,'Bank Lines'!$J$5:$J$1640,1)</f>
        <v>1</v>
      </c>
      <c r="I452">
        <f>COUNTIFS('Odoo Items'!$J$5:$J$4331,A452)</f>
        <v>2</v>
      </c>
      <c r="J452" s="9">
        <f>ROUND(SUMIFS('Bank Lines'!$E$5:$E$1640,'Bank Lines'!$G$5:$G$1640,A452,'Bank Lines'!$J$5:$J$1640,1),2)</f>
        <v>339.48</v>
      </c>
      <c r="K452" s="9">
        <f>ROUND(SUMIFS('Odoo Items'!$G$5:$G$4331,'Odoo Items'!$J$5:$J$4331,A452),2)</f>
        <v>339.48</v>
      </c>
      <c r="L452" s="9">
        <f>ROUND(J452-K452,2)</f>
        <v>0</v>
      </c>
      <c r="M452" s="9">
        <f>ROUND(SUMIFS('Bank Lines'!$E$5:$E$1640,'Bank Lines'!$G$5:$G$1640,A452,'Bank Lines'!$J$5:$J$1640,1,'Bank Lines'!$C$5:$C$1640,"&lt;="&amp;Cover!$C$13),2)</f>
        <v>0</v>
      </c>
      <c r="N452" s="9">
        <f>ROUND(SUMIFS('Odoo Items'!$G$5:$G$4331,'Odoo Items'!$J$5:$J$4331,A452,'Odoo Items'!$C$5:$C$4331,"&lt;="&amp;Cover!$C$13),2)</f>
        <v>0</v>
      </c>
      <c r="O452">
        <f>COUNTIFS('Bank Lines'!$G$5:$G$1640,A452,'Bank Lines'!$J$5:$J$1640,1,'Bank Lines'!$C$5:$C$1640,"&lt;="&amp;Cover!$C$13)</f>
        <v>0</v>
      </c>
      <c r="P452">
        <f>COUNTIFS('Odoo Items'!$J$5:$J$4331,A452,'Odoo Items'!$C$5:$C$4331,"&lt;="&amp;Cover!$C$13)</f>
        <v>0</v>
      </c>
      <c r="Q452">
        <f>IF(AND(O452=0,P452=0),"",IF(O452=0,"ODOO-ONLY",IF(P452=0,"BANK-ONLY","BOTH")))</f>
      </c>
      <c r="R452" s="9">
        <f>IF(Q452="BOTH",ROUND(M452-N452,2),0)</f>
        <v>0</v>
      </c>
      <c r="S452" s="9">
        <f>ROUND(SUMIFS('Bank Lines'!$E$5:$E$1640,'Bank Lines'!$G$5:$G$1640,A452,'Bank Lines'!$J$5:$J$1640,1,'Bank Lines'!$C$5:$C$1640,"&lt;="&amp;Cover!$C$14),2)</f>
        <v>0</v>
      </c>
      <c r="T452" s="9">
        <f>ROUND(SUMIFS('Odoo Items'!$G$5:$G$4331,'Odoo Items'!$J$5:$J$4331,A452,'Odoo Items'!$C$5:$C$4331,"&lt;="&amp;Cover!$C$14),2)</f>
        <v>0</v>
      </c>
      <c r="U452">
        <f>COUNTIFS('Bank Lines'!$G$5:$G$1640,A452,'Bank Lines'!$J$5:$J$1640,1,'Bank Lines'!$C$5:$C$1640,"&lt;="&amp;Cover!$C$14)</f>
        <v>0</v>
      </c>
      <c r="V452">
        <f>COUNTIFS('Odoo Items'!$J$5:$J$4331,A452,'Odoo Items'!$C$5:$C$4331,"&lt;="&amp;Cover!$C$14)</f>
        <v>0</v>
      </c>
      <c r="W452">
        <f>IF(AND(U452=0,V452=0),"",IF(U452=0,"ODOO-ONLY",IF(V452=0,"BANK-ONLY","BOTH")))</f>
      </c>
      <c r="X452" s="9">
        <f>IF(W452="BOTH",ROUND(S452-T452,2),0)</f>
        <v>0</v>
      </c>
      <c r="Y452" s="9">
        <f>ROUND(SUMIFS('Bank Lines'!$E$5:$E$1640,'Bank Lines'!$G$5:$G$1640,A452,'Bank Lines'!$J$5:$J$1640,1,'Bank Lines'!$C$5:$C$1640,"&lt;="&amp;Cover!$C$15),2)</f>
        <v>339.48</v>
      </c>
      <c r="Z452" s="9">
        <f>ROUND(SUMIFS('Odoo Items'!$G$5:$G$4331,'Odoo Items'!$J$5:$J$4331,A452,'Odoo Items'!$C$5:$C$4331,"&lt;="&amp;Cover!$C$15),2)</f>
        <v>339.48</v>
      </c>
      <c r="AA452">
        <f>COUNTIFS('Bank Lines'!$G$5:$G$1640,A452,'Bank Lines'!$J$5:$J$1640,1,'Bank Lines'!$C$5:$C$1640,"&lt;="&amp;Cover!$C$15)</f>
        <v>1</v>
      </c>
      <c r="AB452">
        <f>COUNTIFS('Odoo Items'!$J$5:$J$4331,A452,'Odoo Items'!$C$5:$C$4331,"&lt;="&amp;Cover!$C$15)</f>
        <v>2</v>
      </c>
      <c r="AC452" t="str">
        <f>IF(AND(AA452=0,AB452=0),"",IF(AA452=0,"ODOO-ONLY",IF(AB452=0,"BANK-ONLY","BOTH")))</f>
        <v>BOTH</v>
      </c>
      <c r="AD452" s="9">
        <f>IF(AC452="BOTH",ROUND(Y452-Z452,2),0)</f>
        <v>0</v>
      </c>
    </row>
    <row r="453">
      <c r="A453" t="inlineStr">
        <is>
          <t>G00449</t>
        </is>
      </c>
      <c r="B453" t="inlineStr">
        <is>
          <t>OPS</t>
        </is>
      </c>
      <c r="C453" t="inlineStr">
        <is>
          <t>R03</t>
        </is>
      </c>
      <c r="D453" t="inlineStr">
        <is>
          <t>MATCH</t>
        </is>
      </c>
      <c r="E453" t="inlineStr">
        <is>
          <t>Bluegum Plan Management</t>
        </is>
      </c>
      <c r="F453" t="n">
        <v>1</v>
      </c>
      <c r="G453" t="inlineStr">
        <is>
          <t>2 invoices</t>
        </is>
      </c>
      <c r="H453">
        <f>COUNTIFS('Bank Lines'!$G$5:$G$1640,A453,'Bank Lines'!$J$5:$J$1640,1)</f>
        <v>1</v>
      </c>
      <c r="I453">
        <f>COUNTIFS('Odoo Items'!$J$5:$J$4331,A453)</f>
        <v>2</v>
      </c>
      <c r="J453" s="9">
        <f>ROUND(SUMIFS('Bank Lines'!$E$5:$E$1640,'Bank Lines'!$G$5:$G$1640,A453,'Bank Lines'!$J$5:$J$1640,1),2)</f>
        <v>543.17</v>
      </c>
      <c r="K453" s="9">
        <f>ROUND(SUMIFS('Odoo Items'!$G$5:$G$4331,'Odoo Items'!$J$5:$J$4331,A453),2)</f>
        <v>543.17</v>
      </c>
      <c r="L453" s="9">
        <f>ROUND(J453-K453,2)</f>
        <v>0</v>
      </c>
      <c r="M453" s="9">
        <f>ROUND(SUMIFS('Bank Lines'!$E$5:$E$1640,'Bank Lines'!$G$5:$G$1640,A453,'Bank Lines'!$J$5:$J$1640,1,'Bank Lines'!$C$5:$C$1640,"&lt;="&amp;Cover!$C$13),2)</f>
        <v>0</v>
      </c>
      <c r="N453" s="9">
        <f>ROUND(SUMIFS('Odoo Items'!$G$5:$G$4331,'Odoo Items'!$J$5:$J$4331,A453,'Odoo Items'!$C$5:$C$4331,"&lt;="&amp;Cover!$C$13),2)</f>
        <v>0</v>
      </c>
      <c r="O453">
        <f>COUNTIFS('Bank Lines'!$G$5:$G$1640,A453,'Bank Lines'!$J$5:$J$1640,1,'Bank Lines'!$C$5:$C$1640,"&lt;="&amp;Cover!$C$13)</f>
        <v>0</v>
      </c>
      <c r="P453">
        <f>COUNTIFS('Odoo Items'!$J$5:$J$4331,A453,'Odoo Items'!$C$5:$C$4331,"&lt;="&amp;Cover!$C$13)</f>
        <v>0</v>
      </c>
      <c r="Q453">
        <f>IF(AND(O453=0,P453=0),"",IF(O453=0,"ODOO-ONLY",IF(P453=0,"BANK-ONLY","BOTH")))</f>
      </c>
      <c r="R453" s="9">
        <f>IF(Q453="BOTH",ROUND(M453-N453,2),0)</f>
        <v>0</v>
      </c>
      <c r="S453" s="9">
        <f>ROUND(SUMIFS('Bank Lines'!$E$5:$E$1640,'Bank Lines'!$G$5:$G$1640,A453,'Bank Lines'!$J$5:$J$1640,1,'Bank Lines'!$C$5:$C$1640,"&lt;="&amp;Cover!$C$14),2)</f>
        <v>0</v>
      </c>
      <c r="T453" s="9">
        <f>ROUND(SUMIFS('Odoo Items'!$G$5:$G$4331,'Odoo Items'!$J$5:$J$4331,A453,'Odoo Items'!$C$5:$C$4331,"&lt;="&amp;Cover!$C$14),2)</f>
        <v>0</v>
      </c>
      <c r="U453">
        <f>COUNTIFS('Bank Lines'!$G$5:$G$1640,A453,'Bank Lines'!$J$5:$J$1640,1,'Bank Lines'!$C$5:$C$1640,"&lt;="&amp;Cover!$C$14)</f>
        <v>0</v>
      </c>
      <c r="V453">
        <f>COUNTIFS('Odoo Items'!$J$5:$J$4331,A453,'Odoo Items'!$C$5:$C$4331,"&lt;="&amp;Cover!$C$14)</f>
        <v>0</v>
      </c>
      <c r="W453">
        <f>IF(AND(U453=0,V453=0),"",IF(U453=0,"ODOO-ONLY",IF(V453=0,"BANK-ONLY","BOTH")))</f>
      </c>
      <c r="X453" s="9">
        <f>IF(W453="BOTH",ROUND(S453-T453,2),0)</f>
        <v>0</v>
      </c>
      <c r="Y453" s="9">
        <f>ROUND(SUMIFS('Bank Lines'!$E$5:$E$1640,'Bank Lines'!$G$5:$G$1640,A453,'Bank Lines'!$J$5:$J$1640,1,'Bank Lines'!$C$5:$C$1640,"&lt;="&amp;Cover!$C$15),2)</f>
        <v>543.17</v>
      </c>
      <c r="Z453" s="9">
        <f>ROUND(SUMIFS('Odoo Items'!$G$5:$G$4331,'Odoo Items'!$J$5:$J$4331,A453,'Odoo Items'!$C$5:$C$4331,"&lt;="&amp;Cover!$C$15),2)</f>
        <v>543.17</v>
      </c>
      <c r="AA453">
        <f>COUNTIFS('Bank Lines'!$G$5:$G$1640,A453,'Bank Lines'!$J$5:$J$1640,1,'Bank Lines'!$C$5:$C$1640,"&lt;="&amp;Cover!$C$15)</f>
        <v>1</v>
      </c>
      <c r="AB453">
        <f>COUNTIFS('Odoo Items'!$J$5:$J$4331,A453,'Odoo Items'!$C$5:$C$4331,"&lt;="&amp;Cover!$C$15)</f>
        <v>2</v>
      </c>
      <c r="AC453" t="str">
        <f>IF(AND(AA453=0,AB453=0),"",IF(AA453=0,"ODOO-ONLY",IF(AB453=0,"BANK-ONLY","BOTH")))</f>
        <v>BOTH</v>
      </c>
      <c r="AD453" s="9">
        <f>IF(AC453="BOTH",ROUND(Y453-Z453,2),0)</f>
        <v>0</v>
      </c>
    </row>
    <row r="454">
      <c r="A454" t="inlineStr">
        <is>
          <t>G00450</t>
        </is>
      </c>
      <c r="B454" t="inlineStr">
        <is>
          <t>OPS</t>
        </is>
      </c>
      <c r="C454" t="inlineStr">
        <is>
          <t>R03</t>
        </is>
      </c>
      <c r="D454" t="inlineStr">
        <is>
          <t>MATCH</t>
        </is>
      </c>
      <c r="E454" t="inlineStr">
        <is>
          <t>Riverbend Plan Partners</t>
        </is>
      </c>
      <c r="F454" t="n">
        <v>1</v>
      </c>
      <c r="G454" t="inlineStr">
        <is>
          <t>1 invoices</t>
        </is>
      </c>
      <c r="H454">
        <f>COUNTIFS('Bank Lines'!$G$5:$G$1640,A454,'Bank Lines'!$J$5:$J$1640,1)</f>
        <v>1</v>
      </c>
      <c r="I454">
        <f>COUNTIFS('Odoo Items'!$J$5:$J$4331,A454)</f>
        <v>1</v>
      </c>
      <c r="J454" s="9">
        <f>ROUND(SUMIFS('Bank Lines'!$E$5:$E$1640,'Bank Lines'!$G$5:$G$1640,A454,'Bank Lines'!$J$5:$J$1640,1),2)</f>
        <v>193.99</v>
      </c>
      <c r="K454" s="9">
        <f>ROUND(SUMIFS('Odoo Items'!$G$5:$G$4331,'Odoo Items'!$J$5:$J$4331,A454),2)</f>
        <v>193.99</v>
      </c>
      <c r="L454" s="9">
        <f>ROUND(J454-K454,2)</f>
        <v>0</v>
      </c>
      <c r="M454" s="9">
        <f>ROUND(SUMIFS('Bank Lines'!$E$5:$E$1640,'Bank Lines'!$G$5:$G$1640,A454,'Bank Lines'!$J$5:$J$1640,1,'Bank Lines'!$C$5:$C$1640,"&lt;="&amp;Cover!$C$13),2)</f>
        <v>0</v>
      </c>
      <c r="N454" s="9">
        <f>ROUND(SUMIFS('Odoo Items'!$G$5:$G$4331,'Odoo Items'!$J$5:$J$4331,A454,'Odoo Items'!$C$5:$C$4331,"&lt;="&amp;Cover!$C$13),2)</f>
        <v>0</v>
      </c>
      <c r="O454">
        <f>COUNTIFS('Bank Lines'!$G$5:$G$1640,A454,'Bank Lines'!$J$5:$J$1640,1,'Bank Lines'!$C$5:$C$1640,"&lt;="&amp;Cover!$C$13)</f>
        <v>0</v>
      </c>
      <c r="P454">
        <f>COUNTIFS('Odoo Items'!$J$5:$J$4331,A454,'Odoo Items'!$C$5:$C$4331,"&lt;="&amp;Cover!$C$13)</f>
        <v>0</v>
      </c>
      <c r="Q454">
        <f>IF(AND(O454=0,P454=0),"",IF(O454=0,"ODOO-ONLY",IF(P454=0,"BANK-ONLY","BOTH")))</f>
      </c>
      <c r="R454" s="9">
        <f>IF(Q454="BOTH",ROUND(M454-N454,2),0)</f>
        <v>0</v>
      </c>
      <c r="S454" s="9">
        <f>ROUND(SUMIFS('Bank Lines'!$E$5:$E$1640,'Bank Lines'!$G$5:$G$1640,A454,'Bank Lines'!$J$5:$J$1640,1,'Bank Lines'!$C$5:$C$1640,"&lt;="&amp;Cover!$C$14),2)</f>
        <v>0</v>
      </c>
      <c r="T454" s="9">
        <f>ROUND(SUMIFS('Odoo Items'!$G$5:$G$4331,'Odoo Items'!$J$5:$J$4331,A454,'Odoo Items'!$C$5:$C$4331,"&lt;="&amp;Cover!$C$14),2)</f>
        <v>0</v>
      </c>
      <c r="U454">
        <f>COUNTIFS('Bank Lines'!$G$5:$G$1640,A454,'Bank Lines'!$J$5:$J$1640,1,'Bank Lines'!$C$5:$C$1640,"&lt;="&amp;Cover!$C$14)</f>
        <v>0</v>
      </c>
      <c r="V454">
        <f>COUNTIFS('Odoo Items'!$J$5:$J$4331,A454,'Odoo Items'!$C$5:$C$4331,"&lt;="&amp;Cover!$C$14)</f>
        <v>0</v>
      </c>
      <c r="W454">
        <f>IF(AND(U454=0,V454=0),"",IF(U454=0,"ODOO-ONLY",IF(V454=0,"BANK-ONLY","BOTH")))</f>
      </c>
      <c r="X454" s="9">
        <f>IF(W454="BOTH",ROUND(S454-T454,2),0)</f>
        <v>0</v>
      </c>
      <c r="Y454" s="9">
        <f>ROUND(SUMIFS('Bank Lines'!$E$5:$E$1640,'Bank Lines'!$G$5:$G$1640,A454,'Bank Lines'!$J$5:$J$1640,1,'Bank Lines'!$C$5:$C$1640,"&lt;="&amp;Cover!$C$15),2)</f>
        <v>193.99</v>
      </c>
      <c r="Z454" s="9">
        <f>ROUND(SUMIFS('Odoo Items'!$G$5:$G$4331,'Odoo Items'!$J$5:$J$4331,A454,'Odoo Items'!$C$5:$C$4331,"&lt;="&amp;Cover!$C$15),2)</f>
        <v>193.99</v>
      </c>
      <c r="AA454">
        <f>COUNTIFS('Bank Lines'!$G$5:$G$1640,A454,'Bank Lines'!$J$5:$J$1640,1,'Bank Lines'!$C$5:$C$1640,"&lt;="&amp;Cover!$C$15)</f>
        <v>1</v>
      </c>
      <c r="AB454">
        <f>COUNTIFS('Odoo Items'!$J$5:$J$4331,A454,'Odoo Items'!$C$5:$C$4331,"&lt;="&amp;Cover!$C$15)</f>
        <v>1</v>
      </c>
      <c r="AC454" t="str">
        <f>IF(AND(AA454=0,AB454=0),"",IF(AA454=0,"ODOO-ONLY",IF(AB454=0,"BANK-ONLY","BOTH")))</f>
        <v>BOTH</v>
      </c>
      <c r="AD454" s="9">
        <f>IF(AC454="BOTH",ROUND(Y454-Z454,2),0)</f>
        <v>0</v>
      </c>
    </row>
    <row r="455">
      <c r="A455" t="inlineStr">
        <is>
          <t>G00451</t>
        </is>
      </c>
      <c r="B455" t="inlineStr">
        <is>
          <t>OPS</t>
        </is>
      </c>
      <c r="C455" t="inlineStr">
        <is>
          <t>R03</t>
        </is>
      </c>
      <c r="D455" t="inlineStr">
        <is>
          <t>REG</t>
        </is>
      </c>
      <c r="E455" t="inlineStr">
        <is>
          <t>Clearpath NDIS Plans</t>
        </is>
      </c>
      <c r="F455" t="n">
        <v>0.973</v>
      </c>
      <c r="G455" t="inlineStr">
        <is>
          <t>Receipt not registered in Odoo; remittance RA45172 lists 2 invoices</t>
        </is>
      </c>
      <c r="H455">
        <f>COUNTIFS('Bank Lines'!$G$5:$G$1640,A455,'Bank Lines'!$J$5:$J$1640,1)</f>
        <v>1</v>
      </c>
      <c r="I455">
        <f>COUNTIFS('Odoo Items'!$J$5:$J$4331,A455)</f>
        <v>0</v>
      </c>
      <c r="J455" s="9">
        <f>ROUND(SUMIFS('Bank Lines'!$E$5:$E$1640,'Bank Lines'!$G$5:$G$1640,A455,'Bank Lines'!$J$5:$J$1640,1),2)</f>
        <v>282.18</v>
      </c>
      <c r="K455" s="9">
        <f>ROUND(SUMIFS('Odoo Items'!$G$5:$G$4331,'Odoo Items'!$J$5:$J$4331,A455),2)</f>
        <v>0</v>
      </c>
      <c r="L455" s="9">
        <f>ROUND(J455-K455,2)</f>
        <v>282.18</v>
      </c>
      <c r="M455" s="9">
        <f>ROUND(SUMIFS('Bank Lines'!$E$5:$E$1640,'Bank Lines'!$G$5:$G$1640,A455,'Bank Lines'!$J$5:$J$1640,1,'Bank Lines'!$C$5:$C$1640,"&lt;="&amp;Cover!$C$13),2)</f>
        <v>0</v>
      </c>
      <c r="N455" s="9">
        <f>ROUND(SUMIFS('Odoo Items'!$G$5:$G$4331,'Odoo Items'!$J$5:$J$4331,A455,'Odoo Items'!$C$5:$C$4331,"&lt;="&amp;Cover!$C$13),2)</f>
        <v>0</v>
      </c>
      <c r="O455">
        <f>COUNTIFS('Bank Lines'!$G$5:$G$1640,A455,'Bank Lines'!$J$5:$J$1640,1,'Bank Lines'!$C$5:$C$1640,"&lt;="&amp;Cover!$C$13)</f>
        <v>0</v>
      </c>
      <c r="P455">
        <f>COUNTIFS('Odoo Items'!$J$5:$J$4331,A455,'Odoo Items'!$C$5:$C$4331,"&lt;="&amp;Cover!$C$13)</f>
        <v>0</v>
      </c>
      <c r="Q455">
        <f>IF(AND(O455=0,P455=0),"",IF(O455=0,"ODOO-ONLY",IF(P455=0,"BANK-ONLY","BOTH")))</f>
      </c>
      <c r="R455" s="9">
        <f>IF(Q455="BOTH",ROUND(M455-N455,2),0)</f>
        <v>0</v>
      </c>
      <c r="S455" s="9">
        <f>ROUND(SUMIFS('Bank Lines'!$E$5:$E$1640,'Bank Lines'!$G$5:$G$1640,A455,'Bank Lines'!$J$5:$J$1640,1,'Bank Lines'!$C$5:$C$1640,"&lt;="&amp;Cover!$C$14),2)</f>
        <v>0</v>
      </c>
      <c r="T455" s="9">
        <f>ROUND(SUMIFS('Odoo Items'!$G$5:$G$4331,'Odoo Items'!$J$5:$J$4331,A455,'Odoo Items'!$C$5:$C$4331,"&lt;="&amp;Cover!$C$14),2)</f>
        <v>0</v>
      </c>
      <c r="U455">
        <f>COUNTIFS('Bank Lines'!$G$5:$G$1640,A455,'Bank Lines'!$J$5:$J$1640,1,'Bank Lines'!$C$5:$C$1640,"&lt;="&amp;Cover!$C$14)</f>
        <v>0</v>
      </c>
      <c r="V455">
        <f>COUNTIFS('Odoo Items'!$J$5:$J$4331,A455,'Odoo Items'!$C$5:$C$4331,"&lt;="&amp;Cover!$C$14)</f>
        <v>0</v>
      </c>
      <c r="W455">
        <f>IF(AND(U455=0,V455=0),"",IF(U455=0,"ODOO-ONLY",IF(V455=0,"BANK-ONLY","BOTH")))</f>
      </c>
      <c r="X455" s="9">
        <f>IF(W455="BOTH",ROUND(S455-T455,2),0)</f>
        <v>0</v>
      </c>
      <c r="Y455" s="9">
        <f>ROUND(SUMIFS('Bank Lines'!$E$5:$E$1640,'Bank Lines'!$G$5:$G$1640,A455,'Bank Lines'!$J$5:$J$1640,1,'Bank Lines'!$C$5:$C$1640,"&lt;="&amp;Cover!$C$15),2)</f>
        <v>282.18</v>
      </c>
      <c r="Z455" s="9">
        <f>ROUND(SUMIFS('Odoo Items'!$G$5:$G$4331,'Odoo Items'!$J$5:$J$4331,A455,'Odoo Items'!$C$5:$C$4331,"&lt;="&amp;Cover!$C$15),2)</f>
        <v>0</v>
      </c>
      <c r="AA455">
        <f>COUNTIFS('Bank Lines'!$G$5:$G$1640,A455,'Bank Lines'!$J$5:$J$1640,1,'Bank Lines'!$C$5:$C$1640,"&lt;="&amp;Cover!$C$15)</f>
        <v>1</v>
      </c>
      <c r="AB455">
        <f>COUNTIFS('Odoo Items'!$J$5:$J$4331,A455,'Odoo Items'!$C$5:$C$4331,"&lt;="&amp;Cover!$C$15)</f>
        <v>0</v>
      </c>
      <c r="AC455" t="str">
        <f>IF(AND(AA455=0,AB455=0),"",IF(AA455=0,"ODOO-ONLY",IF(AB455=0,"BANK-ONLY","BOTH")))</f>
        <v>BANK-ONLY</v>
      </c>
      <c r="AD455" s="9">
        <f>IF(AC455="BOTH",ROUND(Y455-Z455,2),0)</f>
        <v>0</v>
      </c>
    </row>
    <row r="456">
      <c r="A456" t="inlineStr">
        <is>
          <t>G00452</t>
        </is>
      </c>
      <c r="B456" t="inlineStr">
        <is>
          <t>OPS</t>
        </is>
      </c>
      <c r="C456" t="inlineStr">
        <is>
          <t>R03</t>
        </is>
      </c>
      <c r="D456" t="inlineStr">
        <is>
          <t>REG</t>
        </is>
      </c>
      <c r="E456" t="inlineStr">
        <is>
          <t>Wattle Plan Services</t>
        </is>
      </c>
      <c r="F456" t="n">
        <v>1</v>
      </c>
      <c r="G456" t="inlineStr">
        <is>
          <t>Receipt not registered in Odoo; remittance RA45173 lists 7 invoices</t>
        </is>
      </c>
      <c r="H456">
        <f>COUNTIFS('Bank Lines'!$G$5:$G$1640,A456,'Bank Lines'!$J$5:$J$1640,1)</f>
        <v>1</v>
      </c>
      <c r="I456">
        <f>COUNTIFS('Odoo Items'!$J$5:$J$4331,A456)</f>
        <v>0</v>
      </c>
      <c r="J456" s="9">
        <f>ROUND(SUMIFS('Bank Lines'!$E$5:$E$1640,'Bank Lines'!$G$5:$G$1640,A456,'Bank Lines'!$J$5:$J$1640,1),2)</f>
        <v>1922.29</v>
      </c>
      <c r="K456" s="9">
        <f>ROUND(SUMIFS('Odoo Items'!$G$5:$G$4331,'Odoo Items'!$J$5:$J$4331,A456),2)</f>
        <v>0</v>
      </c>
      <c r="L456" s="9">
        <f>ROUND(J456-K456,2)</f>
        <v>1922.29</v>
      </c>
      <c r="M456" s="9">
        <f>ROUND(SUMIFS('Bank Lines'!$E$5:$E$1640,'Bank Lines'!$G$5:$G$1640,A456,'Bank Lines'!$J$5:$J$1640,1,'Bank Lines'!$C$5:$C$1640,"&lt;="&amp;Cover!$C$13),2)</f>
        <v>0</v>
      </c>
      <c r="N456" s="9">
        <f>ROUND(SUMIFS('Odoo Items'!$G$5:$G$4331,'Odoo Items'!$J$5:$J$4331,A456,'Odoo Items'!$C$5:$C$4331,"&lt;="&amp;Cover!$C$13),2)</f>
        <v>0</v>
      </c>
      <c r="O456">
        <f>COUNTIFS('Bank Lines'!$G$5:$G$1640,A456,'Bank Lines'!$J$5:$J$1640,1,'Bank Lines'!$C$5:$C$1640,"&lt;="&amp;Cover!$C$13)</f>
        <v>0</v>
      </c>
      <c r="P456">
        <f>COUNTIFS('Odoo Items'!$J$5:$J$4331,A456,'Odoo Items'!$C$5:$C$4331,"&lt;="&amp;Cover!$C$13)</f>
        <v>0</v>
      </c>
      <c r="Q456">
        <f>IF(AND(O456=0,P456=0),"",IF(O456=0,"ODOO-ONLY",IF(P456=0,"BANK-ONLY","BOTH")))</f>
      </c>
      <c r="R456" s="9">
        <f>IF(Q456="BOTH",ROUND(M456-N456,2),0)</f>
        <v>0</v>
      </c>
      <c r="S456" s="9">
        <f>ROUND(SUMIFS('Bank Lines'!$E$5:$E$1640,'Bank Lines'!$G$5:$G$1640,A456,'Bank Lines'!$J$5:$J$1640,1,'Bank Lines'!$C$5:$C$1640,"&lt;="&amp;Cover!$C$14),2)</f>
        <v>0</v>
      </c>
      <c r="T456" s="9">
        <f>ROUND(SUMIFS('Odoo Items'!$G$5:$G$4331,'Odoo Items'!$J$5:$J$4331,A456,'Odoo Items'!$C$5:$C$4331,"&lt;="&amp;Cover!$C$14),2)</f>
        <v>0</v>
      </c>
      <c r="U456">
        <f>COUNTIFS('Bank Lines'!$G$5:$G$1640,A456,'Bank Lines'!$J$5:$J$1640,1,'Bank Lines'!$C$5:$C$1640,"&lt;="&amp;Cover!$C$14)</f>
        <v>0</v>
      </c>
      <c r="V456">
        <f>COUNTIFS('Odoo Items'!$J$5:$J$4331,A456,'Odoo Items'!$C$5:$C$4331,"&lt;="&amp;Cover!$C$14)</f>
        <v>0</v>
      </c>
      <c r="W456">
        <f>IF(AND(U456=0,V456=0),"",IF(U456=0,"ODOO-ONLY",IF(V456=0,"BANK-ONLY","BOTH")))</f>
      </c>
      <c r="X456" s="9">
        <f>IF(W456="BOTH",ROUND(S456-T456,2),0)</f>
        <v>0</v>
      </c>
      <c r="Y456" s="9">
        <f>ROUND(SUMIFS('Bank Lines'!$E$5:$E$1640,'Bank Lines'!$G$5:$G$1640,A456,'Bank Lines'!$J$5:$J$1640,1,'Bank Lines'!$C$5:$C$1640,"&lt;="&amp;Cover!$C$15),2)</f>
        <v>1922.29</v>
      </c>
      <c r="Z456" s="9">
        <f>ROUND(SUMIFS('Odoo Items'!$G$5:$G$4331,'Odoo Items'!$J$5:$J$4331,A456,'Odoo Items'!$C$5:$C$4331,"&lt;="&amp;Cover!$C$15),2)</f>
        <v>0</v>
      </c>
      <c r="AA456">
        <f>COUNTIFS('Bank Lines'!$G$5:$G$1640,A456,'Bank Lines'!$J$5:$J$1640,1,'Bank Lines'!$C$5:$C$1640,"&lt;="&amp;Cover!$C$15)</f>
        <v>1</v>
      </c>
      <c r="AB456">
        <f>COUNTIFS('Odoo Items'!$J$5:$J$4331,A456,'Odoo Items'!$C$5:$C$4331,"&lt;="&amp;Cover!$C$15)</f>
        <v>0</v>
      </c>
      <c r="AC456" t="str">
        <f>IF(AND(AA456=0,AB456=0),"",IF(AA456=0,"ODOO-ONLY",IF(AB456=0,"BANK-ONLY","BOTH")))</f>
        <v>BANK-ONLY</v>
      </c>
      <c r="AD456" s="9">
        <f>IF(AC456="BOTH",ROUND(Y456-Z456,2),0)</f>
        <v>0</v>
      </c>
    </row>
    <row r="457">
      <c r="A457" t="inlineStr">
        <is>
          <t>G00453</t>
        </is>
      </c>
      <c r="B457" t="inlineStr">
        <is>
          <t>OPS</t>
        </is>
      </c>
      <c r="C457" t="inlineStr">
        <is>
          <t>R03</t>
        </is>
      </c>
      <c r="D457" t="inlineStr">
        <is>
          <t>MATCH</t>
        </is>
      </c>
      <c r="E457" t="inlineStr">
        <is>
          <t>Ironbark Plan Management</t>
        </is>
      </c>
      <c r="F457" t="n">
        <v>1</v>
      </c>
      <c r="G457" t="inlineStr">
        <is>
          <t>2 invoices</t>
        </is>
      </c>
      <c r="H457">
        <f>COUNTIFS('Bank Lines'!$G$5:$G$1640,A457,'Bank Lines'!$J$5:$J$1640,1)</f>
        <v>1</v>
      </c>
      <c r="I457">
        <f>COUNTIFS('Odoo Items'!$J$5:$J$4331,A457)</f>
        <v>2</v>
      </c>
      <c r="J457" s="9">
        <f>ROUND(SUMIFS('Bank Lines'!$E$5:$E$1640,'Bank Lines'!$G$5:$G$1640,A457,'Bank Lines'!$J$5:$J$1640,1),2)</f>
        <v>290.98</v>
      </c>
      <c r="K457" s="9">
        <f>ROUND(SUMIFS('Odoo Items'!$G$5:$G$4331,'Odoo Items'!$J$5:$J$4331,A457),2)</f>
        <v>290.98</v>
      </c>
      <c r="L457" s="9">
        <f>ROUND(J457-K457,2)</f>
        <v>0</v>
      </c>
      <c r="M457" s="9">
        <f>ROUND(SUMIFS('Bank Lines'!$E$5:$E$1640,'Bank Lines'!$G$5:$G$1640,A457,'Bank Lines'!$J$5:$J$1640,1,'Bank Lines'!$C$5:$C$1640,"&lt;="&amp;Cover!$C$13),2)</f>
        <v>0</v>
      </c>
      <c r="N457" s="9">
        <f>ROUND(SUMIFS('Odoo Items'!$G$5:$G$4331,'Odoo Items'!$J$5:$J$4331,A457,'Odoo Items'!$C$5:$C$4331,"&lt;="&amp;Cover!$C$13),2)</f>
        <v>0</v>
      </c>
      <c r="O457">
        <f>COUNTIFS('Bank Lines'!$G$5:$G$1640,A457,'Bank Lines'!$J$5:$J$1640,1,'Bank Lines'!$C$5:$C$1640,"&lt;="&amp;Cover!$C$13)</f>
        <v>0</v>
      </c>
      <c r="P457">
        <f>COUNTIFS('Odoo Items'!$J$5:$J$4331,A457,'Odoo Items'!$C$5:$C$4331,"&lt;="&amp;Cover!$C$13)</f>
        <v>0</v>
      </c>
      <c r="Q457">
        <f>IF(AND(O457=0,P457=0),"",IF(O457=0,"ODOO-ONLY",IF(P457=0,"BANK-ONLY","BOTH")))</f>
      </c>
      <c r="R457" s="9">
        <f>IF(Q457="BOTH",ROUND(M457-N457,2),0)</f>
        <v>0</v>
      </c>
      <c r="S457" s="9">
        <f>ROUND(SUMIFS('Bank Lines'!$E$5:$E$1640,'Bank Lines'!$G$5:$G$1640,A457,'Bank Lines'!$J$5:$J$1640,1,'Bank Lines'!$C$5:$C$1640,"&lt;="&amp;Cover!$C$14),2)</f>
        <v>0</v>
      </c>
      <c r="T457" s="9">
        <f>ROUND(SUMIFS('Odoo Items'!$G$5:$G$4331,'Odoo Items'!$J$5:$J$4331,A457,'Odoo Items'!$C$5:$C$4331,"&lt;="&amp;Cover!$C$14),2)</f>
        <v>0</v>
      </c>
      <c r="U457">
        <f>COUNTIFS('Bank Lines'!$G$5:$G$1640,A457,'Bank Lines'!$J$5:$J$1640,1,'Bank Lines'!$C$5:$C$1640,"&lt;="&amp;Cover!$C$14)</f>
        <v>0</v>
      </c>
      <c r="V457">
        <f>COUNTIFS('Odoo Items'!$J$5:$J$4331,A457,'Odoo Items'!$C$5:$C$4331,"&lt;="&amp;Cover!$C$14)</f>
        <v>0</v>
      </c>
      <c r="W457">
        <f>IF(AND(U457=0,V457=0),"",IF(U457=0,"ODOO-ONLY",IF(V457=0,"BANK-ONLY","BOTH")))</f>
      </c>
      <c r="X457" s="9">
        <f>IF(W457="BOTH",ROUND(S457-T457,2),0)</f>
        <v>0</v>
      </c>
      <c r="Y457" s="9">
        <f>ROUND(SUMIFS('Bank Lines'!$E$5:$E$1640,'Bank Lines'!$G$5:$G$1640,A457,'Bank Lines'!$J$5:$J$1640,1,'Bank Lines'!$C$5:$C$1640,"&lt;="&amp;Cover!$C$15),2)</f>
        <v>290.98</v>
      </c>
      <c r="Z457" s="9">
        <f>ROUND(SUMIFS('Odoo Items'!$G$5:$G$4331,'Odoo Items'!$J$5:$J$4331,A457,'Odoo Items'!$C$5:$C$4331,"&lt;="&amp;Cover!$C$15),2)</f>
        <v>290.98</v>
      </c>
      <c r="AA457">
        <f>COUNTIFS('Bank Lines'!$G$5:$G$1640,A457,'Bank Lines'!$J$5:$J$1640,1,'Bank Lines'!$C$5:$C$1640,"&lt;="&amp;Cover!$C$15)</f>
        <v>1</v>
      </c>
      <c r="AB457">
        <f>COUNTIFS('Odoo Items'!$J$5:$J$4331,A457,'Odoo Items'!$C$5:$C$4331,"&lt;="&amp;Cover!$C$15)</f>
        <v>2</v>
      </c>
      <c r="AC457" t="str">
        <f>IF(AND(AA457=0,AB457=0),"",IF(AA457=0,"ODOO-ONLY",IF(AB457=0,"BANK-ONLY","BOTH")))</f>
        <v>BOTH</v>
      </c>
      <c r="AD457" s="9">
        <f>IF(AC457="BOTH",ROUND(Y457-Z457,2),0)</f>
        <v>0</v>
      </c>
    </row>
    <row r="458">
      <c r="A458" t="inlineStr">
        <is>
          <t>G00454</t>
        </is>
      </c>
      <c r="B458" t="inlineStr">
        <is>
          <t>OPS</t>
        </is>
      </c>
      <c r="C458" t="inlineStr">
        <is>
          <t>R03</t>
        </is>
      </c>
      <c r="D458" t="inlineStr">
        <is>
          <t>MATCH</t>
        </is>
      </c>
      <c r="E458" t="inlineStr">
        <is>
          <t>Saltbush Plan Managers</t>
        </is>
      </c>
      <c r="F458" t="n">
        <v>1</v>
      </c>
      <c r="G458" t="inlineStr">
        <is>
          <t>1 invoices</t>
        </is>
      </c>
      <c r="H458">
        <f>COUNTIFS('Bank Lines'!$G$5:$G$1640,A458,'Bank Lines'!$J$5:$J$1640,1)</f>
        <v>1</v>
      </c>
      <c r="I458">
        <f>COUNTIFS('Odoo Items'!$J$5:$J$4331,A458)</f>
        <v>1</v>
      </c>
      <c r="J458" s="9">
        <f>ROUND(SUMIFS('Bank Lines'!$E$5:$E$1640,'Bank Lines'!$G$5:$G$1640,A458,'Bank Lines'!$J$5:$J$1640,1),2)</f>
        <v>242.49</v>
      </c>
      <c r="K458" s="9">
        <f>ROUND(SUMIFS('Odoo Items'!$G$5:$G$4331,'Odoo Items'!$J$5:$J$4331,A458),2)</f>
        <v>242.49</v>
      </c>
      <c r="L458" s="9">
        <f>ROUND(J458-K458,2)</f>
        <v>0</v>
      </c>
      <c r="M458" s="9">
        <f>ROUND(SUMIFS('Bank Lines'!$E$5:$E$1640,'Bank Lines'!$G$5:$G$1640,A458,'Bank Lines'!$J$5:$J$1640,1,'Bank Lines'!$C$5:$C$1640,"&lt;="&amp;Cover!$C$13),2)</f>
        <v>0</v>
      </c>
      <c r="N458" s="9">
        <f>ROUND(SUMIFS('Odoo Items'!$G$5:$G$4331,'Odoo Items'!$J$5:$J$4331,A458,'Odoo Items'!$C$5:$C$4331,"&lt;="&amp;Cover!$C$13),2)</f>
        <v>0</v>
      </c>
      <c r="O458">
        <f>COUNTIFS('Bank Lines'!$G$5:$G$1640,A458,'Bank Lines'!$J$5:$J$1640,1,'Bank Lines'!$C$5:$C$1640,"&lt;="&amp;Cover!$C$13)</f>
        <v>0</v>
      </c>
      <c r="P458">
        <f>COUNTIFS('Odoo Items'!$J$5:$J$4331,A458,'Odoo Items'!$C$5:$C$4331,"&lt;="&amp;Cover!$C$13)</f>
        <v>0</v>
      </c>
      <c r="Q458">
        <f>IF(AND(O458=0,P458=0),"",IF(O458=0,"ODOO-ONLY",IF(P458=0,"BANK-ONLY","BOTH")))</f>
      </c>
      <c r="R458" s="9">
        <f>IF(Q458="BOTH",ROUND(M458-N458,2),0)</f>
        <v>0</v>
      </c>
      <c r="S458" s="9">
        <f>ROUND(SUMIFS('Bank Lines'!$E$5:$E$1640,'Bank Lines'!$G$5:$G$1640,A458,'Bank Lines'!$J$5:$J$1640,1,'Bank Lines'!$C$5:$C$1640,"&lt;="&amp;Cover!$C$14),2)</f>
        <v>0</v>
      </c>
      <c r="T458" s="9">
        <f>ROUND(SUMIFS('Odoo Items'!$G$5:$G$4331,'Odoo Items'!$J$5:$J$4331,A458,'Odoo Items'!$C$5:$C$4331,"&lt;="&amp;Cover!$C$14),2)</f>
        <v>0</v>
      </c>
      <c r="U458">
        <f>COUNTIFS('Bank Lines'!$G$5:$G$1640,A458,'Bank Lines'!$J$5:$J$1640,1,'Bank Lines'!$C$5:$C$1640,"&lt;="&amp;Cover!$C$14)</f>
        <v>0</v>
      </c>
      <c r="V458">
        <f>COUNTIFS('Odoo Items'!$J$5:$J$4331,A458,'Odoo Items'!$C$5:$C$4331,"&lt;="&amp;Cover!$C$14)</f>
        <v>0</v>
      </c>
      <c r="W458">
        <f>IF(AND(U458=0,V458=0),"",IF(U458=0,"ODOO-ONLY",IF(V458=0,"BANK-ONLY","BOTH")))</f>
      </c>
      <c r="X458" s="9">
        <f>IF(W458="BOTH",ROUND(S458-T458,2),0)</f>
        <v>0</v>
      </c>
      <c r="Y458" s="9">
        <f>ROUND(SUMIFS('Bank Lines'!$E$5:$E$1640,'Bank Lines'!$G$5:$G$1640,A458,'Bank Lines'!$J$5:$J$1640,1,'Bank Lines'!$C$5:$C$1640,"&lt;="&amp;Cover!$C$15),2)</f>
        <v>242.49</v>
      </c>
      <c r="Z458" s="9">
        <f>ROUND(SUMIFS('Odoo Items'!$G$5:$G$4331,'Odoo Items'!$J$5:$J$4331,A458,'Odoo Items'!$C$5:$C$4331,"&lt;="&amp;Cover!$C$15),2)</f>
        <v>242.49</v>
      </c>
      <c r="AA458">
        <f>COUNTIFS('Bank Lines'!$G$5:$G$1640,A458,'Bank Lines'!$J$5:$J$1640,1,'Bank Lines'!$C$5:$C$1640,"&lt;="&amp;Cover!$C$15)</f>
        <v>1</v>
      </c>
      <c r="AB458">
        <f>COUNTIFS('Odoo Items'!$J$5:$J$4331,A458,'Odoo Items'!$C$5:$C$4331,"&lt;="&amp;Cover!$C$15)</f>
        <v>1</v>
      </c>
      <c r="AC458" t="str">
        <f>IF(AND(AA458=0,AB458=0),"",IF(AA458=0,"ODOO-ONLY",IF(AB458=0,"BANK-ONLY","BOTH")))</f>
        <v>BOTH</v>
      </c>
      <c r="AD458" s="9">
        <f>IF(AC458="BOTH",ROUND(Y458-Z458,2),0)</f>
        <v>0</v>
      </c>
    </row>
    <row r="459">
      <c r="A459" t="inlineStr">
        <is>
          <t>G00455</t>
        </is>
      </c>
      <c r="B459" t="inlineStr">
        <is>
          <t>OPS</t>
        </is>
      </c>
      <c r="C459" t="inlineStr">
        <is>
          <t>R03</t>
        </is>
      </c>
      <c r="D459" t="inlineStr">
        <is>
          <t>MATCH</t>
        </is>
      </c>
      <c r="E459" t="inlineStr">
        <is>
          <t>Redgum Plan Admin</t>
        </is>
      </c>
      <c r="F459" t="n">
        <v>1</v>
      </c>
      <c r="G459" t="inlineStr">
        <is>
          <t>2 invoices</t>
        </is>
      </c>
      <c r="H459">
        <f>COUNTIFS('Bank Lines'!$G$5:$G$1640,A459,'Bank Lines'!$J$5:$J$1640,1)</f>
        <v>1</v>
      </c>
      <c r="I459">
        <f>COUNTIFS('Odoo Items'!$J$5:$J$4331,A459)</f>
        <v>2</v>
      </c>
      <c r="J459" s="9">
        <f>ROUND(SUMIFS('Bank Lines'!$E$5:$E$1640,'Bank Lines'!$G$5:$G$1640,A459,'Bank Lines'!$J$5:$J$1640,1),2)</f>
        <v>494.67</v>
      </c>
      <c r="K459" s="9">
        <f>ROUND(SUMIFS('Odoo Items'!$G$5:$G$4331,'Odoo Items'!$J$5:$J$4331,A459),2)</f>
        <v>494.67</v>
      </c>
      <c r="L459" s="9">
        <f>ROUND(J459-K459,2)</f>
        <v>0</v>
      </c>
      <c r="M459" s="9">
        <f>ROUND(SUMIFS('Bank Lines'!$E$5:$E$1640,'Bank Lines'!$G$5:$G$1640,A459,'Bank Lines'!$J$5:$J$1640,1,'Bank Lines'!$C$5:$C$1640,"&lt;="&amp;Cover!$C$13),2)</f>
        <v>0</v>
      </c>
      <c r="N459" s="9">
        <f>ROUND(SUMIFS('Odoo Items'!$G$5:$G$4331,'Odoo Items'!$J$5:$J$4331,A459,'Odoo Items'!$C$5:$C$4331,"&lt;="&amp;Cover!$C$13),2)</f>
        <v>0</v>
      </c>
      <c r="O459">
        <f>COUNTIFS('Bank Lines'!$G$5:$G$1640,A459,'Bank Lines'!$J$5:$J$1640,1,'Bank Lines'!$C$5:$C$1640,"&lt;="&amp;Cover!$C$13)</f>
        <v>0</v>
      </c>
      <c r="P459">
        <f>COUNTIFS('Odoo Items'!$J$5:$J$4331,A459,'Odoo Items'!$C$5:$C$4331,"&lt;="&amp;Cover!$C$13)</f>
        <v>0</v>
      </c>
      <c r="Q459">
        <f>IF(AND(O459=0,P459=0),"",IF(O459=0,"ODOO-ONLY",IF(P459=0,"BANK-ONLY","BOTH")))</f>
      </c>
      <c r="R459" s="9">
        <f>IF(Q459="BOTH",ROUND(M459-N459,2),0)</f>
        <v>0</v>
      </c>
      <c r="S459" s="9">
        <f>ROUND(SUMIFS('Bank Lines'!$E$5:$E$1640,'Bank Lines'!$G$5:$G$1640,A459,'Bank Lines'!$J$5:$J$1640,1,'Bank Lines'!$C$5:$C$1640,"&lt;="&amp;Cover!$C$14),2)</f>
        <v>0</v>
      </c>
      <c r="T459" s="9">
        <f>ROUND(SUMIFS('Odoo Items'!$G$5:$G$4331,'Odoo Items'!$J$5:$J$4331,A459,'Odoo Items'!$C$5:$C$4331,"&lt;="&amp;Cover!$C$14),2)</f>
        <v>0</v>
      </c>
      <c r="U459">
        <f>COUNTIFS('Bank Lines'!$G$5:$G$1640,A459,'Bank Lines'!$J$5:$J$1640,1,'Bank Lines'!$C$5:$C$1640,"&lt;="&amp;Cover!$C$14)</f>
        <v>0</v>
      </c>
      <c r="V459">
        <f>COUNTIFS('Odoo Items'!$J$5:$J$4331,A459,'Odoo Items'!$C$5:$C$4331,"&lt;="&amp;Cover!$C$14)</f>
        <v>0</v>
      </c>
      <c r="W459">
        <f>IF(AND(U459=0,V459=0),"",IF(U459=0,"ODOO-ONLY",IF(V459=0,"BANK-ONLY","BOTH")))</f>
      </c>
      <c r="X459" s="9">
        <f>IF(W459="BOTH",ROUND(S459-T459,2),0)</f>
        <v>0</v>
      </c>
      <c r="Y459" s="9">
        <f>ROUND(SUMIFS('Bank Lines'!$E$5:$E$1640,'Bank Lines'!$G$5:$G$1640,A459,'Bank Lines'!$J$5:$J$1640,1,'Bank Lines'!$C$5:$C$1640,"&lt;="&amp;Cover!$C$15),2)</f>
        <v>494.67</v>
      </c>
      <c r="Z459" s="9">
        <f>ROUND(SUMIFS('Odoo Items'!$G$5:$G$4331,'Odoo Items'!$J$5:$J$4331,A459,'Odoo Items'!$C$5:$C$4331,"&lt;="&amp;Cover!$C$15),2)</f>
        <v>494.67</v>
      </c>
      <c r="AA459">
        <f>COUNTIFS('Bank Lines'!$G$5:$G$1640,A459,'Bank Lines'!$J$5:$J$1640,1,'Bank Lines'!$C$5:$C$1640,"&lt;="&amp;Cover!$C$15)</f>
        <v>1</v>
      </c>
      <c r="AB459">
        <f>COUNTIFS('Odoo Items'!$J$5:$J$4331,A459,'Odoo Items'!$C$5:$C$4331,"&lt;="&amp;Cover!$C$15)</f>
        <v>2</v>
      </c>
      <c r="AC459" t="str">
        <f>IF(AND(AA459=0,AB459=0),"",IF(AA459=0,"ODOO-ONLY",IF(AB459=0,"BANK-ONLY","BOTH")))</f>
        <v>BOTH</v>
      </c>
      <c r="AD459" s="9">
        <f>IF(AC459="BOTH",ROUND(Y459-Z459,2),0)</f>
        <v>0</v>
      </c>
    </row>
    <row r="460">
      <c r="A460" t="inlineStr">
        <is>
          <t>G00456</t>
        </is>
      </c>
      <c r="B460" t="inlineStr">
        <is>
          <t>OPS</t>
        </is>
      </c>
      <c r="C460" t="inlineStr">
        <is>
          <t>R03</t>
        </is>
      </c>
      <c r="D460" t="inlineStr">
        <is>
          <t>MATCH</t>
        </is>
      </c>
      <c r="E460" t="inlineStr">
        <is>
          <t>Lyrebird Plan Management</t>
        </is>
      </c>
      <c r="F460" t="n">
        <v>1</v>
      </c>
      <c r="G460" t="inlineStr">
        <is>
          <t>1 invoices</t>
        </is>
      </c>
      <c r="H460">
        <f>COUNTIFS('Bank Lines'!$G$5:$G$1640,A460,'Bank Lines'!$J$5:$J$1640,1)</f>
        <v>1</v>
      </c>
      <c r="I460">
        <f>COUNTIFS('Odoo Items'!$J$5:$J$4331,A460)</f>
        <v>1</v>
      </c>
      <c r="J460" s="9">
        <f>ROUND(SUMIFS('Bank Lines'!$E$5:$E$1640,'Bank Lines'!$G$5:$G$1640,A460,'Bank Lines'!$J$5:$J$1640,1),2)</f>
        <v>446.18</v>
      </c>
      <c r="K460" s="9">
        <f>ROUND(SUMIFS('Odoo Items'!$G$5:$G$4331,'Odoo Items'!$J$5:$J$4331,A460),2)</f>
        <v>446.18</v>
      </c>
      <c r="L460" s="9">
        <f>ROUND(J460-K460,2)</f>
        <v>0</v>
      </c>
      <c r="M460" s="9">
        <f>ROUND(SUMIFS('Bank Lines'!$E$5:$E$1640,'Bank Lines'!$G$5:$G$1640,A460,'Bank Lines'!$J$5:$J$1640,1,'Bank Lines'!$C$5:$C$1640,"&lt;="&amp;Cover!$C$13),2)</f>
        <v>0</v>
      </c>
      <c r="N460" s="9">
        <f>ROUND(SUMIFS('Odoo Items'!$G$5:$G$4331,'Odoo Items'!$J$5:$J$4331,A460,'Odoo Items'!$C$5:$C$4331,"&lt;="&amp;Cover!$C$13),2)</f>
        <v>0</v>
      </c>
      <c r="O460">
        <f>COUNTIFS('Bank Lines'!$G$5:$G$1640,A460,'Bank Lines'!$J$5:$J$1640,1,'Bank Lines'!$C$5:$C$1640,"&lt;="&amp;Cover!$C$13)</f>
        <v>0</v>
      </c>
      <c r="P460">
        <f>COUNTIFS('Odoo Items'!$J$5:$J$4331,A460,'Odoo Items'!$C$5:$C$4331,"&lt;="&amp;Cover!$C$13)</f>
        <v>0</v>
      </c>
      <c r="Q460">
        <f>IF(AND(O460=0,P460=0),"",IF(O460=0,"ODOO-ONLY",IF(P460=0,"BANK-ONLY","BOTH")))</f>
      </c>
      <c r="R460" s="9">
        <f>IF(Q460="BOTH",ROUND(M460-N460,2),0)</f>
        <v>0</v>
      </c>
      <c r="S460" s="9">
        <f>ROUND(SUMIFS('Bank Lines'!$E$5:$E$1640,'Bank Lines'!$G$5:$G$1640,A460,'Bank Lines'!$J$5:$J$1640,1,'Bank Lines'!$C$5:$C$1640,"&lt;="&amp;Cover!$C$14),2)</f>
        <v>0</v>
      </c>
      <c r="T460" s="9">
        <f>ROUND(SUMIFS('Odoo Items'!$G$5:$G$4331,'Odoo Items'!$J$5:$J$4331,A460,'Odoo Items'!$C$5:$C$4331,"&lt;="&amp;Cover!$C$14),2)</f>
        <v>0</v>
      </c>
      <c r="U460">
        <f>COUNTIFS('Bank Lines'!$G$5:$G$1640,A460,'Bank Lines'!$J$5:$J$1640,1,'Bank Lines'!$C$5:$C$1640,"&lt;="&amp;Cover!$C$14)</f>
        <v>0</v>
      </c>
      <c r="V460">
        <f>COUNTIFS('Odoo Items'!$J$5:$J$4331,A460,'Odoo Items'!$C$5:$C$4331,"&lt;="&amp;Cover!$C$14)</f>
        <v>0</v>
      </c>
      <c r="W460">
        <f>IF(AND(U460=0,V460=0),"",IF(U460=0,"ODOO-ONLY",IF(V460=0,"BANK-ONLY","BOTH")))</f>
      </c>
      <c r="X460" s="9">
        <f>IF(W460="BOTH",ROUND(S460-T460,2),0)</f>
        <v>0</v>
      </c>
      <c r="Y460" s="9">
        <f>ROUND(SUMIFS('Bank Lines'!$E$5:$E$1640,'Bank Lines'!$G$5:$G$1640,A460,'Bank Lines'!$J$5:$J$1640,1,'Bank Lines'!$C$5:$C$1640,"&lt;="&amp;Cover!$C$15),2)</f>
        <v>446.18</v>
      </c>
      <c r="Z460" s="9">
        <f>ROUND(SUMIFS('Odoo Items'!$G$5:$G$4331,'Odoo Items'!$J$5:$J$4331,A460,'Odoo Items'!$C$5:$C$4331,"&lt;="&amp;Cover!$C$15),2)</f>
        <v>446.18</v>
      </c>
      <c r="AA460">
        <f>COUNTIFS('Bank Lines'!$G$5:$G$1640,A460,'Bank Lines'!$J$5:$J$1640,1,'Bank Lines'!$C$5:$C$1640,"&lt;="&amp;Cover!$C$15)</f>
        <v>1</v>
      </c>
      <c r="AB460">
        <f>COUNTIFS('Odoo Items'!$J$5:$J$4331,A460,'Odoo Items'!$C$5:$C$4331,"&lt;="&amp;Cover!$C$15)</f>
        <v>1</v>
      </c>
      <c r="AC460" t="str">
        <f>IF(AND(AA460=0,AB460=0),"",IF(AA460=0,"ODOO-ONLY",IF(AB460=0,"BANK-ONLY","BOTH")))</f>
        <v>BOTH</v>
      </c>
      <c r="AD460" s="9">
        <f>IF(AC460="BOTH",ROUND(Y460-Z460,2),0)</f>
        <v>0</v>
      </c>
    </row>
    <row r="461">
      <c r="A461" t="inlineStr">
        <is>
          <t>G00457</t>
        </is>
      </c>
      <c r="B461" t="inlineStr">
        <is>
          <t>OPS</t>
        </is>
      </c>
      <c r="C461" t="inlineStr">
        <is>
          <t>R03</t>
        </is>
      </c>
      <c r="D461" t="inlineStr">
        <is>
          <t>MATCH</t>
        </is>
      </c>
      <c r="E461" t="inlineStr">
        <is>
          <t>Bluegum Plan Management</t>
        </is>
      </c>
      <c r="F461" t="n">
        <v>0.9</v>
      </c>
      <c r="G461" t="inlineStr">
        <is>
          <t>2 invoices; 1 short-paid, registered correctly</t>
        </is>
      </c>
      <c r="H461">
        <f>COUNTIFS('Bank Lines'!$G$5:$G$1640,A461,'Bank Lines'!$J$5:$J$1640,1)</f>
        <v>1</v>
      </c>
      <c r="I461">
        <f>COUNTIFS('Odoo Items'!$J$5:$J$4331,A461)</f>
        <v>2</v>
      </c>
      <c r="J461" s="9">
        <f>ROUND(SUMIFS('Bank Lines'!$E$5:$E$1640,'Bank Lines'!$G$5:$G$1640,A461,'Bank Lines'!$J$5:$J$1640,1),2)</f>
        <v>194.88</v>
      </c>
      <c r="K461" s="9">
        <f>ROUND(SUMIFS('Odoo Items'!$G$5:$G$4331,'Odoo Items'!$J$5:$J$4331,A461),2)</f>
        <v>194.88</v>
      </c>
      <c r="L461" s="9">
        <f>ROUND(J461-K461,2)</f>
        <v>0</v>
      </c>
      <c r="M461" s="9">
        <f>ROUND(SUMIFS('Bank Lines'!$E$5:$E$1640,'Bank Lines'!$G$5:$G$1640,A461,'Bank Lines'!$J$5:$J$1640,1,'Bank Lines'!$C$5:$C$1640,"&lt;="&amp;Cover!$C$13),2)</f>
        <v>0</v>
      </c>
      <c r="N461" s="9">
        <f>ROUND(SUMIFS('Odoo Items'!$G$5:$G$4331,'Odoo Items'!$J$5:$J$4331,A461,'Odoo Items'!$C$5:$C$4331,"&lt;="&amp;Cover!$C$13),2)</f>
        <v>0</v>
      </c>
      <c r="O461">
        <f>COUNTIFS('Bank Lines'!$G$5:$G$1640,A461,'Bank Lines'!$J$5:$J$1640,1,'Bank Lines'!$C$5:$C$1640,"&lt;="&amp;Cover!$C$13)</f>
        <v>0</v>
      </c>
      <c r="P461">
        <f>COUNTIFS('Odoo Items'!$J$5:$J$4331,A461,'Odoo Items'!$C$5:$C$4331,"&lt;="&amp;Cover!$C$13)</f>
        <v>0</v>
      </c>
      <c r="Q461">
        <f>IF(AND(O461=0,P461=0),"",IF(O461=0,"ODOO-ONLY",IF(P461=0,"BANK-ONLY","BOTH")))</f>
      </c>
      <c r="R461" s="9">
        <f>IF(Q461="BOTH",ROUND(M461-N461,2),0)</f>
        <v>0</v>
      </c>
      <c r="S461" s="9">
        <f>ROUND(SUMIFS('Bank Lines'!$E$5:$E$1640,'Bank Lines'!$G$5:$G$1640,A461,'Bank Lines'!$J$5:$J$1640,1,'Bank Lines'!$C$5:$C$1640,"&lt;="&amp;Cover!$C$14),2)</f>
        <v>0</v>
      </c>
      <c r="T461" s="9">
        <f>ROUND(SUMIFS('Odoo Items'!$G$5:$G$4331,'Odoo Items'!$J$5:$J$4331,A461,'Odoo Items'!$C$5:$C$4331,"&lt;="&amp;Cover!$C$14),2)</f>
        <v>0</v>
      </c>
      <c r="U461">
        <f>COUNTIFS('Bank Lines'!$G$5:$G$1640,A461,'Bank Lines'!$J$5:$J$1640,1,'Bank Lines'!$C$5:$C$1640,"&lt;="&amp;Cover!$C$14)</f>
        <v>0</v>
      </c>
      <c r="V461">
        <f>COUNTIFS('Odoo Items'!$J$5:$J$4331,A461,'Odoo Items'!$C$5:$C$4331,"&lt;="&amp;Cover!$C$14)</f>
        <v>0</v>
      </c>
      <c r="W461">
        <f>IF(AND(U461=0,V461=0),"",IF(U461=0,"ODOO-ONLY",IF(V461=0,"BANK-ONLY","BOTH")))</f>
      </c>
      <c r="X461" s="9">
        <f>IF(W461="BOTH",ROUND(S461-T461,2),0)</f>
        <v>0</v>
      </c>
      <c r="Y461" s="9">
        <f>ROUND(SUMIFS('Bank Lines'!$E$5:$E$1640,'Bank Lines'!$G$5:$G$1640,A461,'Bank Lines'!$J$5:$J$1640,1,'Bank Lines'!$C$5:$C$1640,"&lt;="&amp;Cover!$C$15),2)</f>
        <v>194.88</v>
      </c>
      <c r="Z461" s="9">
        <f>ROUND(SUMIFS('Odoo Items'!$G$5:$G$4331,'Odoo Items'!$J$5:$J$4331,A461,'Odoo Items'!$C$5:$C$4331,"&lt;="&amp;Cover!$C$15),2)</f>
        <v>194.88</v>
      </c>
      <c r="AA461">
        <f>COUNTIFS('Bank Lines'!$G$5:$G$1640,A461,'Bank Lines'!$J$5:$J$1640,1,'Bank Lines'!$C$5:$C$1640,"&lt;="&amp;Cover!$C$15)</f>
        <v>1</v>
      </c>
      <c r="AB461">
        <f>COUNTIFS('Odoo Items'!$J$5:$J$4331,A461,'Odoo Items'!$C$5:$C$4331,"&lt;="&amp;Cover!$C$15)</f>
        <v>2</v>
      </c>
      <c r="AC461" t="str">
        <f>IF(AND(AA461=0,AB461=0),"",IF(AA461=0,"ODOO-ONLY",IF(AB461=0,"BANK-ONLY","BOTH")))</f>
        <v>BOTH</v>
      </c>
      <c r="AD461" s="9">
        <f>IF(AC461="BOTH",ROUND(Y461-Z461,2),0)</f>
        <v>0</v>
      </c>
    </row>
    <row r="462">
      <c r="A462" t="inlineStr">
        <is>
          <t>G00458</t>
        </is>
      </c>
      <c r="B462" t="inlineStr">
        <is>
          <t>OPS</t>
        </is>
      </c>
      <c r="C462" t="inlineStr">
        <is>
          <t>R03</t>
        </is>
      </c>
      <c r="D462" t="inlineStr">
        <is>
          <t>MATCH</t>
        </is>
      </c>
      <c r="E462" t="inlineStr">
        <is>
          <t>Wattle Plan Services</t>
        </is>
      </c>
      <c r="F462" t="n">
        <v>1</v>
      </c>
      <c r="G462" t="inlineStr">
        <is>
          <t>2 invoices</t>
        </is>
      </c>
      <c r="H462">
        <f>COUNTIFS('Bank Lines'!$G$5:$G$1640,A462,'Bank Lines'!$J$5:$J$1640,1)</f>
        <v>1</v>
      </c>
      <c r="I462">
        <f>COUNTIFS('Odoo Items'!$J$5:$J$4331,A462)</f>
        <v>2</v>
      </c>
      <c r="J462" s="9">
        <f>ROUND(SUMIFS('Bank Lines'!$E$5:$E$1640,'Bank Lines'!$G$5:$G$1640,A462,'Bank Lines'!$J$5:$J$1640,1),2)</f>
        <v>320.98</v>
      </c>
      <c r="K462" s="9">
        <f>ROUND(SUMIFS('Odoo Items'!$G$5:$G$4331,'Odoo Items'!$J$5:$J$4331,A462),2)</f>
        <v>320.98</v>
      </c>
      <c r="L462" s="9">
        <f>ROUND(J462-K462,2)</f>
        <v>0</v>
      </c>
      <c r="M462" s="9">
        <f>ROUND(SUMIFS('Bank Lines'!$E$5:$E$1640,'Bank Lines'!$G$5:$G$1640,A462,'Bank Lines'!$J$5:$J$1640,1,'Bank Lines'!$C$5:$C$1640,"&lt;="&amp;Cover!$C$13),2)</f>
        <v>0</v>
      </c>
      <c r="N462" s="9">
        <f>ROUND(SUMIFS('Odoo Items'!$G$5:$G$4331,'Odoo Items'!$J$5:$J$4331,A462,'Odoo Items'!$C$5:$C$4331,"&lt;="&amp;Cover!$C$13),2)</f>
        <v>0</v>
      </c>
      <c r="O462">
        <f>COUNTIFS('Bank Lines'!$G$5:$G$1640,A462,'Bank Lines'!$J$5:$J$1640,1,'Bank Lines'!$C$5:$C$1640,"&lt;="&amp;Cover!$C$13)</f>
        <v>0</v>
      </c>
      <c r="P462">
        <f>COUNTIFS('Odoo Items'!$J$5:$J$4331,A462,'Odoo Items'!$C$5:$C$4331,"&lt;="&amp;Cover!$C$13)</f>
        <v>0</v>
      </c>
      <c r="Q462">
        <f>IF(AND(O462=0,P462=0),"",IF(O462=0,"ODOO-ONLY",IF(P462=0,"BANK-ONLY","BOTH")))</f>
      </c>
      <c r="R462" s="9">
        <f>IF(Q462="BOTH",ROUND(M462-N462,2),0)</f>
        <v>0</v>
      </c>
      <c r="S462" s="9">
        <f>ROUND(SUMIFS('Bank Lines'!$E$5:$E$1640,'Bank Lines'!$G$5:$G$1640,A462,'Bank Lines'!$J$5:$J$1640,1,'Bank Lines'!$C$5:$C$1640,"&lt;="&amp;Cover!$C$14),2)</f>
        <v>0</v>
      </c>
      <c r="T462" s="9">
        <f>ROUND(SUMIFS('Odoo Items'!$G$5:$G$4331,'Odoo Items'!$J$5:$J$4331,A462,'Odoo Items'!$C$5:$C$4331,"&lt;="&amp;Cover!$C$14),2)</f>
        <v>0</v>
      </c>
      <c r="U462">
        <f>COUNTIFS('Bank Lines'!$G$5:$G$1640,A462,'Bank Lines'!$J$5:$J$1640,1,'Bank Lines'!$C$5:$C$1640,"&lt;="&amp;Cover!$C$14)</f>
        <v>0</v>
      </c>
      <c r="V462">
        <f>COUNTIFS('Odoo Items'!$J$5:$J$4331,A462,'Odoo Items'!$C$5:$C$4331,"&lt;="&amp;Cover!$C$14)</f>
        <v>0</v>
      </c>
      <c r="W462">
        <f>IF(AND(U462=0,V462=0),"",IF(U462=0,"ODOO-ONLY",IF(V462=0,"BANK-ONLY","BOTH")))</f>
      </c>
      <c r="X462" s="9">
        <f>IF(W462="BOTH",ROUND(S462-T462,2),0)</f>
        <v>0</v>
      </c>
      <c r="Y462" s="9">
        <f>ROUND(SUMIFS('Bank Lines'!$E$5:$E$1640,'Bank Lines'!$G$5:$G$1640,A462,'Bank Lines'!$J$5:$J$1640,1,'Bank Lines'!$C$5:$C$1640,"&lt;="&amp;Cover!$C$15),2)</f>
        <v>320.98</v>
      </c>
      <c r="Z462" s="9">
        <f>ROUND(SUMIFS('Odoo Items'!$G$5:$G$4331,'Odoo Items'!$J$5:$J$4331,A462,'Odoo Items'!$C$5:$C$4331,"&lt;="&amp;Cover!$C$15),2)</f>
        <v>320.98</v>
      </c>
      <c r="AA462">
        <f>COUNTIFS('Bank Lines'!$G$5:$G$1640,A462,'Bank Lines'!$J$5:$J$1640,1,'Bank Lines'!$C$5:$C$1640,"&lt;="&amp;Cover!$C$15)</f>
        <v>1</v>
      </c>
      <c r="AB462">
        <f>COUNTIFS('Odoo Items'!$J$5:$J$4331,A462,'Odoo Items'!$C$5:$C$4331,"&lt;="&amp;Cover!$C$15)</f>
        <v>2</v>
      </c>
      <c r="AC462" t="str">
        <f>IF(AND(AA462=0,AB462=0),"",IF(AA462=0,"ODOO-ONLY",IF(AB462=0,"BANK-ONLY","BOTH")))</f>
        <v>BOTH</v>
      </c>
      <c r="AD462" s="9">
        <f>IF(AC462="BOTH",ROUND(Y462-Z462,2),0)</f>
        <v>0</v>
      </c>
    </row>
    <row r="463">
      <c r="A463" t="inlineStr">
        <is>
          <t>G00459</t>
        </is>
      </c>
      <c r="B463" t="inlineStr">
        <is>
          <t>OPS</t>
        </is>
      </c>
      <c r="C463" t="inlineStr">
        <is>
          <t>R03</t>
        </is>
      </c>
      <c r="D463" t="inlineStr">
        <is>
          <t>MATCH</t>
        </is>
      </c>
      <c r="E463" t="inlineStr">
        <is>
          <t>Banksia Plan Co</t>
        </is>
      </c>
      <c r="F463" t="n">
        <v>0.929</v>
      </c>
      <c r="G463" t="inlineStr">
        <is>
          <t>2 invoices</t>
        </is>
      </c>
      <c r="H463">
        <f>COUNTIFS('Bank Lines'!$G$5:$G$1640,A463,'Bank Lines'!$J$5:$J$1640,1)</f>
        <v>1</v>
      </c>
      <c r="I463">
        <f>COUNTIFS('Odoo Items'!$J$5:$J$4331,A463)</f>
        <v>2</v>
      </c>
      <c r="J463" s="9">
        <f>ROUND(SUMIFS('Bank Lines'!$E$5:$E$1640,'Bank Lines'!$G$5:$G$1640,A463,'Bank Lines'!$J$5:$J$1640,1),2)</f>
        <v>397.68</v>
      </c>
      <c r="K463" s="9">
        <f>ROUND(SUMIFS('Odoo Items'!$G$5:$G$4331,'Odoo Items'!$J$5:$J$4331,A463),2)</f>
        <v>397.68</v>
      </c>
      <c r="L463" s="9">
        <f>ROUND(J463-K463,2)</f>
        <v>0</v>
      </c>
      <c r="M463" s="9">
        <f>ROUND(SUMIFS('Bank Lines'!$E$5:$E$1640,'Bank Lines'!$G$5:$G$1640,A463,'Bank Lines'!$J$5:$J$1640,1,'Bank Lines'!$C$5:$C$1640,"&lt;="&amp;Cover!$C$13),2)</f>
        <v>0</v>
      </c>
      <c r="N463" s="9">
        <f>ROUND(SUMIFS('Odoo Items'!$G$5:$G$4331,'Odoo Items'!$J$5:$J$4331,A463,'Odoo Items'!$C$5:$C$4331,"&lt;="&amp;Cover!$C$13),2)</f>
        <v>0</v>
      </c>
      <c r="O463">
        <f>COUNTIFS('Bank Lines'!$G$5:$G$1640,A463,'Bank Lines'!$J$5:$J$1640,1,'Bank Lines'!$C$5:$C$1640,"&lt;="&amp;Cover!$C$13)</f>
        <v>0</v>
      </c>
      <c r="P463">
        <f>COUNTIFS('Odoo Items'!$J$5:$J$4331,A463,'Odoo Items'!$C$5:$C$4331,"&lt;="&amp;Cover!$C$13)</f>
        <v>0</v>
      </c>
      <c r="Q463">
        <f>IF(AND(O463=0,P463=0),"",IF(O463=0,"ODOO-ONLY",IF(P463=0,"BANK-ONLY","BOTH")))</f>
      </c>
      <c r="R463" s="9">
        <f>IF(Q463="BOTH",ROUND(M463-N463,2),0)</f>
        <v>0</v>
      </c>
      <c r="S463" s="9">
        <f>ROUND(SUMIFS('Bank Lines'!$E$5:$E$1640,'Bank Lines'!$G$5:$G$1640,A463,'Bank Lines'!$J$5:$J$1640,1,'Bank Lines'!$C$5:$C$1640,"&lt;="&amp;Cover!$C$14),2)</f>
        <v>0</v>
      </c>
      <c r="T463" s="9">
        <f>ROUND(SUMIFS('Odoo Items'!$G$5:$G$4331,'Odoo Items'!$J$5:$J$4331,A463,'Odoo Items'!$C$5:$C$4331,"&lt;="&amp;Cover!$C$14),2)</f>
        <v>0</v>
      </c>
      <c r="U463">
        <f>COUNTIFS('Bank Lines'!$G$5:$G$1640,A463,'Bank Lines'!$J$5:$J$1640,1,'Bank Lines'!$C$5:$C$1640,"&lt;="&amp;Cover!$C$14)</f>
        <v>0</v>
      </c>
      <c r="V463">
        <f>COUNTIFS('Odoo Items'!$J$5:$J$4331,A463,'Odoo Items'!$C$5:$C$4331,"&lt;="&amp;Cover!$C$14)</f>
        <v>0</v>
      </c>
      <c r="W463">
        <f>IF(AND(U463=0,V463=0),"",IF(U463=0,"ODOO-ONLY",IF(V463=0,"BANK-ONLY","BOTH")))</f>
      </c>
      <c r="X463" s="9">
        <f>IF(W463="BOTH",ROUND(S463-T463,2),0)</f>
        <v>0</v>
      </c>
      <c r="Y463" s="9">
        <f>ROUND(SUMIFS('Bank Lines'!$E$5:$E$1640,'Bank Lines'!$G$5:$G$1640,A463,'Bank Lines'!$J$5:$J$1640,1,'Bank Lines'!$C$5:$C$1640,"&lt;="&amp;Cover!$C$15),2)</f>
        <v>397.68</v>
      </c>
      <c r="Z463" s="9">
        <f>ROUND(SUMIFS('Odoo Items'!$G$5:$G$4331,'Odoo Items'!$J$5:$J$4331,A463,'Odoo Items'!$C$5:$C$4331,"&lt;="&amp;Cover!$C$15),2)</f>
        <v>397.68</v>
      </c>
      <c r="AA463">
        <f>COUNTIFS('Bank Lines'!$G$5:$G$1640,A463,'Bank Lines'!$J$5:$J$1640,1,'Bank Lines'!$C$5:$C$1640,"&lt;="&amp;Cover!$C$15)</f>
        <v>1</v>
      </c>
      <c r="AB463">
        <f>COUNTIFS('Odoo Items'!$J$5:$J$4331,A463,'Odoo Items'!$C$5:$C$4331,"&lt;="&amp;Cover!$C$15)</f>
        <v>2</v>
      </c>
      <c r="AC463" t="str">
        <f>IF(AND(AA463=0,AB463=0),"",IF(AA463=0,"ODOO-ONLY",IF(AB463=0,"BANK-ONLY","BOTH")))</f>
        <v>BOTH</v>
      </c>
      <c r="AD463" s="9">
        <f>IF(AC463="BOTH",ROUND(Y463-Z463,2),0)</f>
        <v>0</v>
      </c>
    </row>
    <row r="464">
      <c r="A464" t="inlineStr">
        <is>
          <t>G00460</t>
        </is>
      </c>
      <c r="B464" t="inlineStr">
        <is>
          <t>OPS</t>
        </is>
      </c>
      <c r="C464" t="inlineStr">
        <is>
          <t>R03</t>
        </is>
      </c>
      <c r="D464" t="inlineStr">
        <is>
          <t>MATCH</t>
        </is>
      </c>
      <c r="E464" t="inlineStr">
        <is>
          <t>Ironbark Plan Management</t>
        </is>
      </c>
      <c r="F464" t="n">
        <v>1</v>
      </c>
      <c r="G464" t="inlineStr">
        <is>
          <t>3 invoices</t>
        </is>
      </c>
      <c r="H464">
        <f>COUNTIFS('Bank Lines'!$G$5:$G$1640,A464,'Bank Lines'!$J$5:$J$1640,1)</f>
        <v>1</v>
      </c>
      <c r="I464">
        <f>COUNTIFS('Odoo Items'!$J$5:$J$4331,A464)</f>
        <v>3</v>
      </c>
      <c r="J464" s="9">
        <f>ROUND(SUMIFS('Bank Lines'!$E$5:$E$1640,'Bank Lines'!$G$5:$G$1640,A464,'Bank Lines'!$J$5:$J$1640,1),2)</f>
        <v>882.65</v>
      </c>
      <c r="K464" s="9">
        <f>ROUND(SUMIFS('Odoo Items'!$G$5:$G$4331,'Odoo Items'!$J$5:$J$4331,A464),2)</f>
        <v>882.65</v>
      </c>
      <c r="L464" s="9">
        <f>ROUND(J464-K464,2)</f>
        <v>0</v>
      </c>
      <c r="M464" s="9">
        <f>ROUND(SUMIFS('Bank Lines'!$E$5:$E$1640,'Bank Lines'!$G$5:$G$1640,A464,'Bank Lines'!$J$5:$J$1640,1,'Bank Lines'!$C$5:$C$1640,"&lt;="&amp;Cover!$C$13),2)</f>
        <v>0</v>
      </c>
      <c r="N464" s="9">
        <f>ROUND(SUMIFS('Odoo Items'!$G$5:$G$4331,'Odoo Items'!$J$5:$J$4331,A464,'Odoo Items'!$C$5:$C$4331,"&lt;="&amp;Cover!$C$13),2)</f>
        <v>0</v>
      </c>
      <c r="O464">
        <f>COUNTIFS('Bank Lines'!$G$5:$G$1640,A464,'Bank Lines'!$J$5:$J$1640,1,'Bank Lines'!$C$5:$C$1640,"&lt;="&amp;Cover!$C$13)</f>
        <v>0</v>
      </c>
      <c r="P464">
        <f>COUNTIFS('Odoo Items'!$J$5:$J$4331,A464,'Odoo Items'!$C$5:$C$4331,"&lt;="&amp;Cover!$C$13)</f>
        <v>0</v>
      </c>
      <c r="Q464">
        <f>IF(AND(O464=0,P464=0),"",IF(O464=0,"ODOO-ONLY",IF(P464=0,"BANK-ONLY","BOTH")))</f>
      </c>
      <c r="R464" s="9">
        <f>IF(Q464="BOTH",ROUND(M464-N464,2),0)</f>
        <v>0</v>
      </c>
      <c r="S464" s="9">
        <f>ROUND(SUMIFS('Bank Lines'!$E$5:$E$1640,'Bank Lines'!$G$5:$G$1640,A464,'Bank Lines'!$J$5:$J$1640,1,'Bank Lines'!$C$5:$C$1640,"&lt;="&amp;Cover!$C$14),2)</f>
        <v>0</v>
      </c>
      <c r="T464" s="9">
        <f>ROUND(SUMIFS('Odoo Items'!$G$5:$G$4331,'Odoo Items'!$J$5:$J$4331,A464,'Odoo Items'!$C$5:$C$4331,"&lt;="&amp;Cover!$C$14),2)</f>
        <v>0</v>
      </c>
      <c r="U464">
        <f>COUNTIFS('Bank Lines'!$G$5:$G$1640,A464,'Bank Lines'!$J$5:$J$1640,1,'Bank Lines'!$C$5:$C$1640,"&lt;="&amp;Cover!$C$14)</f>
        <v>0</v>
      </c>
      <c r="V464">
        <f>COUNTIFS('Odoo Items'!$J$5:$J$4331,A464,'Odoo Items'!$C$5:$C$4331,"&lt;="&amp;Cover!$C$14)</f>
        <v>0</v>
      </c>
      <c r="W464">
        <f>IF(AND(U464=0,V464=0),"",IF(U464=0,"ODOO-ONLY",IF(V464=0,"BANK-ONLY","BOTH")))</f>
      </c>
      <c r="X464" s="9">
        <f>IF(W464="BOTH",ROUND(S464-T464,2),0)</f>
        <v>0</v>
      </c>
      <c r="Y464" s="9">
        <f>ROUND(SUMIFS('Bank Lines'!$E$5:$E$1640,'Bank Lines'!$G$5:$G$1640,A464,'Bank Lines'!$J$5:$J$1640,1,'Bank Lines'!$C$5:$C$1640,"&lt;="&amp;Cover!$C$15),2)</f>
        <v>882.65</v>
      </c>
      <c r="Z464" s="9">
        <f>ROUND(SUMIFS('Odoo Items'!$G$5:$G$4331,'Odoo Items'!$J$5:$J$4331,A464,'Odoo Items'!$C$5:$C$4331,"&lt;="&amp;Cover!$C$15),2)</f>
        <v>882.65</v>
      </c>
      <c r="AA464">
        <f>COUNTIFS('Bank Lines'!$G$5:$G$1640,A464,'Bank Lines'!$J$5:$J$1640,1,'Bank Lines'!$C$5:$C$1640,"&lt;="&amp;Cover!$C$15)</f>
        <v>1</v>
      </c>
      <c r="AB464">
        <f>COUNTIFS('Odoo Items'!$J$5:$J$4331,A464,'Odoo Items'!$C$5:$C$4331,"&lt;="&amp;Cover!$C$15)</f>
        <v>3</v>
      </c>
      <c r="AC464" t="str">
        <f>IF(AND(AA464=0,AB464=0),"",IF(AA464=0,"ODOO-ONLY",IF(AB464=0,"BANK-ONLY","BOTH")))</f>
        <v>BOTH</v>
      </c>
      <c r="AD464" s="9">
        <f>IF(AC464="BOTH",ROUND(Y464-Z464,2),0)</f>
        <v>0</v>
      </c>
    </row>
    <row r="465">
      <c r="A465" t="inlineStr">
        <is>
          <t>G00461</t>
        </is>
      </c>
      <c r="B465" t="inlineStr">
        <is>
          <t>OPS</t>
        </is>
      </c>
      <c r="C465" t="inlineStr">
        <is>
          <t>R03</t>
        </is>
      </c>
      <c r="D465" t="inlineStr">
        <is>
          <t>MATCH</t>
        </is>
      </c>
      <c r="E465" t="inlineStr">
        <is>
          <t>Redgum Plan Admin</t>
        </is>
      </c>
      <c r="F465" t="n">
        <v>1</v>
      </c>
      <c r="G465" t="inlineStr">
        <is>
          <t>3 invoices</t>
        </is>
      </c>
      <c r="H465">
        <f>COUNTIFS('Bank Lines'!$G$5:$G$1640,A465,'Bank Lines'!$J$5:$J$1640,1)</f>
        <v>1</v>
      </c>
      <c r="I465">
        <f>COUNTIFS('Odoo Items'!$J$5:$J$4331,A465)</f>
        <v>3</v>
      </c>
      <c r="J465" s="9">
        <f>ROUND(SUMIFS('Bank Lines'!$E$5:$E$1640,'Bank Lines'!$G$5:$G$1640,A465,'Bank Lines'!$J$5:$J$1640,1),2)</f>
        <v>621.66</v>
      </c>
      <c r="K465" s="9">
        <f>ROUND(SUMIFS('Odoo Items'!$G$5:$G$4331,'Odoo Items'!$J$5:$J$4331,A465),2)</f>
        <v>621.66</v>
      </c>
      <c r="L465" s="9">
        <f>ROUND(J465-K465,2)</f>
        <v>0</v>
      </c>
      <c r="M465" s="9">
        <f>ROUND(SUMIFS('Bank Lines'!$E$5:$E$1640,'Bank Lines'!$G$5:$G$1640,A465,'Bank Lines'!$J$5:$J$1640,1,'Bank Lines'!$C$5:$C$1640,"&lt;="&amp;Cover!$C$13),2)</f>
        <v>0</v>
      </c>
      <c r="N465" s="9">
        <f>ROUND(SUMIFS('Odoo Items'!$G$5:$G$4331,'Odoo Items'!$J$5:$J$4331,A465,'Odoo Items'!$C$5:$C$4331,"&lt;="&amp;Cover!$C$13),2)</f>
        <v>0</v>
      </c>
      <c r="O465">
        <f>COUNTIFS('Bank Lines'!$G$5:$G$1640,A465,'Bank Lines'!$J$5:$J$1640,1,'Bank Lines'!$C$5:$C$1640,"&lt;="&amp;Cover!$C$13)</f>
        <v>0</v>
      </c>
      <c r="P465">
        <f>COUNTIFS('Odoo Items'!$J$5:$J$4331,A465,'Odoo Items'!$C$5:$C$4331,"&lt;="&amp;Cover!$C$13)</f>
        <v>0</v>
      </c>
      <c r="Q465">
        <f>IF(AND(O465=0,P465=0),"",IF(O465=0,"ODOO-ONLY",IF(P465=0,"BANK-ONLY","BOTH")))</f>
      </c>
      <c r="R465" s="9">
        <f>IF(Q465="BOTH",ROUND(M465-N465,2),0)</f>
        <v>0</v>
      </c>
      <c r="S465" s="9">
        <f>ROUND(SUMIFS('Bank Lines'!$E$5:$E$1640,'Bank Lines'!$G$5:$G$1640,A465,'Bank Lines'!$J$5:$J$1640,1,'Bank Lines'!$C$5:$C$1640,"&lt;="&amp;Cover!$C$14),2)</f>
        <v>0</v>
      </c>
      <c r="T465" s="9">
        <f>ROUND(SUMIFS('Odoo Items'!$G$5:$G$4331,'Odoo Items'!$J$5:$J$4331,A465,'Odoo Items'!$C$5:$C$4331,"&lt;="&amp;Cover!$C$14),2)</f>
        <v>0</v>
      </c>
      <c r="U465">
        <f>COUNTIFS('Bank Lines'!$G$5:$G$1640,A465,'Bank Lines'!$J$5:$J$1640,1,'Bank Lines'!$C$5:$C$1640,"&lt;="&amp;Cover!$C$14)</f>
        <v>0</v>
      </c>
      <c r="V465">
        <f>COUNTIFS('Odoo Items'!$J$5:$J$4331,A465,'Odoo Items'!$C$5:$C$4331,"&lt;="&amp;Cover!$C$14)</f>
        <v>0</v>
      </c>
      <c r="W465">
        <f>IF(AND(U465=0,V465=0),"",IF(U465=0,"ODOO-ONLY",IF(V465=0,"BANK-ONLY","BOTH")))</f>
      </c>
      <c r="X465" s="9">
        <f>IF(W465="BOTH",ROUND(S465-T465,2),0)</f>
        <v>0</v>
      </c>
      <c r="Y465" s="9">
        <f>ROUND(SUMIFS('Bank Lines'!$E$5:$E$1640,'Bank Lines'!$G$5:$G$1640,A465,'Bank Lines'!$J$5:$J$1640,1,'Bank Lines'!$C$5:$C$1640,"&lt;="&amp;Cover!$C$15),2)</f>
        <v>621.66</v>
      </c>
      <c r="Z465" s="9">
        <f>ROUND(SUMIFS('Odoo Items'!$G$5:$G$4331,'Odoo Items'!$J$5:$J$4331,A465,'Odoo Items'!$C$5:$C$4331,"&lt;="&amp;Cover!$C$15),2)</f>
        <v>621.66</v>
      </c>
      <c r="AA465">
        <f>COUNTIFS('Bank Lines'!$G$5:$G$1640,A465,'Bank Lines'!$J$5:$J$1640,1,'Bank Lines'!$C$5:$C$1640,"&lt;="&amp;Cover!$C$15)</f>
        <v>1</v>
      </c>
      <c r="AB465">
        <f>COUNTIFS('Odoo Items'!$J$5:$J$4331,A465,'Odoo Items'!$C$5:$C$4331,"&lt;="&amp;Cover!$C$15)</f>
        <v>3</v>
      </c>
      <c r="AC465" t="str">
        <f>IF(AND(AA465=0,AB465=0),"",IF(AA465=0,"ODOO-ONLY",IF(AB465=0,"BANK-ONLY","BOTH")))</f>
        <v>BOTH</v>
      </c>
      <c r="AD465" s="9">
        <f>IF(AC465="BOTH",ROUND(Y465-Z465,2),0)</f>
        <v>0</v>
      </c>
    </row>
    <row r="466">
      <c r="A466" t="inlineStr">
        <is>
          <t>G00462</t>
        </is>
      </c>
      <c r="B466" t="inlineStr">
        <is>
          <t>OPS</t>
        </is>
      </c>
      <c r="C466" t="inlineStr">
        <is>
          <t>R03</t>
        </is>
      </c>
      <c r="D466" t="inlineStr">
        <is>
          <t>MATCH</t>
        </is>
      </c>
      <c r="E466" t="inlineStr">
        <is>
          <t>Southern Cross Plan Mgmt</t>
        </is>
      </c>
      <c r="F466" t="n">
        <v>1</v>
      </c>
      <c r="G466" t="inlineStr">
        <is>
          <t>8 invoices</t>
        </is>
      </c>
      <c r="H466">
        <f>COUNTIFS('Bank Lines'!$G$5:$G$1640,A466,'Bank Lines'!$J$5:$J$1640,1)</f>
        <v>1</v>
      </c>
      <c r="I466">
        <f>COUNTIFS('Odoo Items'!$J$5:$J$4331,A466)</f>
        <v>8</v>
      </c>
      <c r="J466" s="9">
        <f>ROUND(SUMIFS('Bank Lines'!$E$5:$E$1640,'Bank Lines'!$G$5:$G$1640,A466,'Bank Lines'!$J$5:$J$1640,1),2)</f>
        <v>1407.31</v>
      </c>
      <c r="K466" s="9">
        <f>ROUND(SUMIFS('Odoo Items'!$G$5:$G$4331,'Odoo Items'!$J$5:$J$4331,A466),2)</f>
        <v>1407.31</v>
      </c>
      <c r="L466" s="9">
        <f>ROUND(J466-K466,2)</f>
        <v>0</v>
      </c>
      <c r="M466" s="9">
        <f>ROUND(SUMIFS('Bank Lines'!$E$5:$E$1640,'Bank Lines'!$G$5:$G$1640,A466,'Bank Lines'!$J$5:$J$1640,1,'Bank Lines'!$C$5:$C$1640,"&lt;="&amp;Cover!$C$13),2)</f>
        <v>0</v>
      </c>
      <c r="N466" s="9">
        <f>ROUND(SUMIFS('Odoo Items'!$G$5:$G$4331,'Odoo Items'!$J$5:$J$4331,A466,'Odoo Items'!$C$5:$C$4331,"&lt;="&amp;Cover!$C$13),2)</f>
        <v>0</v>
      </c>
      <c r="O466">
        <f>COUNTIFS('Bank Lines'!$G$5:$G$1640,A466,'Bank Lines'!$J$5:$J$1640,1,'Bank Lines'!$C$5:$C$1640,"&lt;="&amp;Cover!$C$13)</f>
        <v>0</v>
      </c>
      <c r="P466">
        <f>COUNTIFS('Odoo Items'!$J$5:$J$4331,A466,'Odoo Items'!$C$5:$C$4331,"&lt;="&amp;Cover!$C$13)</f>
        <v>0</v>
      </c>
      <c r="Q466">
        <f>IF(AND(O466=0,P466=0),"",IF(O466=0,"ODOO-ONLY",IF(P466=0,"BANK-ONLY","BOTH")))</f>
      </c>
      <c r="R466" s="9">
        <f>IF(Q466="BOTH",ROUND(M466-N466,2),0)</f>
        <v>0</v>
      </c>
      <c r="S466" s="9">
        <f>ROUND(SUMIFS('Bank Lines'!$E$5:$E$1640,'Bank Lines'!$G$5:$G$1640,A466,'Bank Lines'!$J$5:$J$1640,1,'Bank Lines'!$C$5:$C$1640,"&lt;="&amp;Cover!$C$14),2)</f>
        <v>0</v>
      </c>
      <c r="T466" s="9">
        <f>ROUND(SUMIFS('Odoo Items'!$G$5:$G$4331,'Odoo Items'!$J$5:$J$4331,A466,'Odoo Items'!$C$5:$C$4331,"&lt;="&amp;Cover!$C$14),2)</f>
        <v>0</v>
      </c>
      <c r="U466">
        <f>COUNTIFS('Bank Lines'!$G$5:$G$1640,A466,'Bank Lines'!$J$5:$J$1640,1,'Bank Lines'!$C$5:$C$1640,"&lt;="&amp;Cover!$C$14)</f>
        <v>0</v>
      </c>
      <c r="V466">
        <f>COUNTIFS('Odoo Items'!$J$5:$J$4331,A466,'Odoo Items'!$C$5:$C$4331,"&lt;="&amp;Cover!$C$14)</f>
        <v>0</v>
      </c>
      <c r="W466">
        <f>IF(AND(U466=0,V466=0),"",IF(U466=0,"ODOO-ONLY",IF(V466=0,"BANK-ONLY","BOTH")))</f>
      </c>
      <c r="X466" s="9">
        <f>IF(W466="BOTH",ROUND(S466-T466,2),0)</f>
        <v>0</v>
      </c>
      <c r="Y466" s="9">
        <f>ROUND(SUMIFS('Bank Lines'!$E$5:$E$1640,'Bank Lines'!$G$5:$G$1640,A466,'Bank Lines'!$J$5:$J$1640,1,'Bank Lines'!$C$5:$C$1640,"&lt;="&amp;Cover!$C$15),2)</f>
        <v>1407.31</v>
      </c>
      <c r="Z466" s="9">
        <f>ROUND(SUMIFS('Odoo Items'!$G$5:$G$4331,'Odoo Items'!$J$5:$J$4331,A466,'Odoo Items'!$C$5:$C$4331,"&lt;="&amp;Cover!$C$15),2)</f>
        <v>1407.31</v>
      </c>
      <c r="AA466">
        <f>COUNTIFS('Bank Lines'!$G$5:$G$1640,A466,'Bank Lines'!$J$5:$J$1640,1,'Bank Lines'!$C$5:$C$1640,"&lt;="&amp;Cover!$C$15)</f>
        <v>1</v>
      </c>
      <c r="AB466">
        <f>COUNTIFS('Odoo Items'!$J$5:$J$4331,A466,'Odoo Items'!$C$5:$C$4331,"&lt;="&amp;Cover!$C$15)</f>
        <v>8</v>
      </c>
      <c r="AC466" t="str">
        <f>IF(AND(AA466=0,AB466=0),"",IF(AA466=0,"ODOO-ONLY",IF(AB466=0,"BANK-ONLY","BOTH")))</f>
        <v>BOTH</v>
      </c>
      <c r="AD466" s="9">
        <f>IF(AC466="BOTH",ROUND(Y466-Z466,2),0)</f>
        <v>0</v>
      </c>
    </row>
    <row r="467">
      <c r="A467" t="inlineStr">
        <is>
          <t>G00463</t>
        </is>
      </c>
      <c r="B467" t="inlineStr">
        <is>
          <t>OPS</t>
        </is>
      </c>
      <c r="C467" t="inlineStr">
        <is>
          <t>R03</t>
        </is>
      </c>
      <c r="D467" t="inlineStr">
        <is>
          <t>MATCH</t>
        </is>
      </c>
      <c r="E467" t="inlineStr">
        <is>
          <t>Wattle Plan Services</t>
        </is>
      </c>
      <c r="F467" t="n">
        <v>1</v>
      </c>
      <c r="G467" t="inlineStr">
        <is>
          <t>2 invoices</t>
        </is>
      </c>
      <c r="H467">
        <f>COUNTIFS('Bank Lines'!$G$5:$G$1640,A467,'Bank Lines'!$J$5:$J$1640,1)</f>
        <v>1</v>
      </c>
      <c r="I467">
        <f>COUNTIFS('Odoo Items'!$J$5:$J$4331,A467)</f>
        <v>2</v>
      </c>
      <c r="J467" s="9">
        <f>ROUND(SUMIFS('Bank Lines'!$E$5:$E$1640,'Bank Lines'!$G$5:$G$1640,A467,'Bank Lines'!$J$5:$J$1640,1),2)</f>
        <v>591.67</v>
      </c>
      <c r="K467" s="9">
        <f>ROUND(SUMIFS('Odoo Items'!$G$5:$G$4331,'Odoo Items'!$J$5:$J$4331,A467),2)</f>
        <v>591.67</v>
      </c>
      <c r="L467" s="9">
        <f>ROUND(J467-K467,2)</f>
        <v>0</v>
      </c>
      <c r="M467" s="9">
        <f>ROUND(SUMIFS('Bank Lines'!$E$5:$E$1640,'Bank Lines'!$G$5:$G$1640,A467,'Bank Lines'!$J$5:$J$1640,1,'Bank Lines'!$C$5:$C$1640,"&lt;="&amp;Cover!$C$13),2)</f>
        <v>0</v>
      </c>
      <c r="N467" s="9">
        <f>ROUND(SUMIFS('Odoo Items'!$G$5:$G$4331,'Odoo Items'!$J$5:$J$4331,A467,'Odoo Items'!$C$5:$C$4331,"&lt;="&amp;Cover!$C$13),2)</f>
        <v>0</v>
      </c>
      <c r="O467">
        <f>COUNTIFS('Bank Lines'!$G$5:$G$1640,A467,'Bank Lines'!$J$5:$J$1640,1,'Bank Lines'!$C$5:$C$1640,"&lt;="&amp;Cover!$C$13)</f>
        <v>0</v>
      </c>
      <c r="P467">
        <f>COUNTIFS('Odoo Items'!$J$5:$J$4331,A467,'Odoo Items'!$C$5:$C$4331,"&lt;="&amp;Cover!$C$13)</f>
        <v>0</v>
      </c>
      <c r="Q467">
        <f>IF(AND(O467=0,P467=0),"",IF(O467=0,"ODOO-ONLY",IF(P467=0,"BANK-ONLY","BOTH")))</f>
      </c>
      <c r="R467" s="9">
        <f>IF(Q467="BOTH",ROUND(M467-N467,2),0)</f>
        <v>0</v>
      </c>
      <c r="S467" s="9">
        <f>ROUND(SUMIFS('Bank Lines'!$E$5:$E$1640,'Bank Lines'!$G$5:$G$1640,A467,'Bank Lines'!$J$5:$J$1640,1,'Bank Lines'!$C$5:$C$1640,"&lt;="&amp;Cover!$C$14),2)</f>
        <v>0</v>
      </c>
      <c r="T467" s="9">
        <f>ROUND(SUMIFS('Odoo Items'!$G$5:$G$4331,'Odoo Items'!$J$5:$J$4331,A467,'Odoo Items'!$C$5:$C$4331,"&lt;="&amp;Cover!$C$14),2)</f>
        <v>0</v>
      </c>
      <c r="U467">
        <f>COUNTIFS('Bank Lines'!$G$5:$G$1640,A467,'Bank Lines'!$J$5:$J$1640,1,'Bank Lines'!$C$5:$C$1640,"&lt;="&amp;Cover!$C$14)</f>
        <v>0</v>
      </c>
      <c r="V467">
        <f>COUNTIFS('Odoo Items'!$J$5:$J$4331,A467,'Odoo Items'!$C$5:$C$4331,"&lt;="&amp;Cover!$C$14)</f>
        <v>0</v>
      </c>
      <c r="W467">
        <f>IF(AND(U467=0,V467=0),"",IF(U467=0,"ODOO-ONLY",IF(V467=0,"BANK-ONLY","BOTH")))</f>
      </c>
      <c r="X467" s="9">
        <f>IF(W467="BOTH",ROUND(S467-T467,2),0)</f>
        <v>0</v>
      </c>
      <c r="Y467" s="9">
        <f>ROUND(SUMIFS('Bank Lines'!$E$5:$E$1640,'Bank Lines'!$G$5:$G$1640,A467,'Bank Lines'!$J$5:$J$1640,1,'Bank Lines'!$C$5:$C$1640,"&lt;="&amp;Cover!$C$15),2)</f>
        <v>591.67</v>
      </c>
      <c r="Z467" s="9">
        <f>ROUND(SUMIFS('Odoo Items'!$G$5:$G$4331,'Odoo Items'!$J$5:$J$4331,A467,'Odoo Items'!$C$5:$C$4331,"&lt;="&amp;Cover!$C$15),2)</f>
        <v>591.67</v>
      </c>
      <c r="AA467">
        <f>COUNTIFS('Bank Lines'!$G$5:$G$1640,A467,'Bank Lines'!$J$5:$J$1640,1,'Bank Lines'!$C$5:$C$1640,"&lt;="&amp;Cover!$C$15)</f>
        <v>1</v>
      </c>
      <c r="AB467">
        <f>COUNTIFS('Odoo Items'!$J$5:$J$4331,A467,'Odoo Items'!$C$5:$C$4331,"&lt;="&amp;Cover!$C$15)</f>
        <v>2</v>
      </c>
      <c r="AC467" t="str">
        <f>IF(AND(AA467=0,AB467=0),"",IF(AA467=0,"ODOO-ONLY",IF(AB467=0,"BANK-ONLY","BOTH")))</f>
        <v>BOTH</v>
      </c>
      <c r="AD467" s="9">
        <f>IF(AC467="BOTH",ROUND(Y467-Z467,2),0)</f>
        <v>0</v>
      </c>
    </row>
    <row r="468">
      <c r="A468" t="inlineStr">
        <is>
          <t>G00464</t>
        </is>
      </c>
      <c r="B468" t="inlineStr">
        <is>
          <t>OPS</t>
        </is>
      </c>
      <c r="C468" t="inlineStr">
        <is>
          <t>R03</t>
        </is>
      </c>
      <c r="D468" t="inlineStr">
        <is>
          <t>MATCH</t>
        </is>
      </c>
      <c r="E468" t="inlineStr">
        <is>
          <t>Kookaburra Plan Support</t>
        </is>
      </c>
      <c r="F468" t="n">
        <v>1</v>
      </c>
      <c r="G468" t="inlineStr">
        <is>
          <t>3 invoices</t>
        </is>
      </c>
      <c r="H468">
        <f>COUNTIFS('Bank Lines'!$G$5:$G$1640,A468,'Bank Lines'!$J$5:$J$1640,1)</f>
        <v>1</v>
      </c>
      <c r="I468">
        <f>COUNTIFS('Odoo Items'!$J$5:$J$4331,A468)</f>
        <v>3</v>
      </c>
      <c r="J468" s="9">
        <f>ROUND(SUMIFS('Bank Lines'!$E$5:$E$1640,'Bank Lines'!$G$5:$G$1640,A468,'Bank Lines'!$J$5:$J$1640,1),2)</f>
        <v>961.16</v>
      </c>
      <c r="K468" s="9">
        <f>ROUND(SUMIFS('Odoo Items'!$G$5:$G$4331,'Odoo Items'!$J$5:$J$4331,A468),2)</f>
        <v>961.16</v>
      </c>
      <c r="L468" s="9">
        <f>ROUND(J468-K468,2)</f>
        <v>0</v>
      </c>
      <c r="M468" s="9">
        <f>ROUND(SUMIFS('Bank Lines'!$E$5:$E$1640,'Bank Lines'!$G$5:$G$1640,A468,'Bank Lines'!$J$5:$J$1640,1,'Bank Lines'!$C$5:$C$1640,"&lt;="&amp;Cover!$C$13),2)</f>
        <v>0</v>
      </c>
      <c r="N468" s="9">
        <f>ROUND(SUMIFS('Odoo Items'!$G$5:$G$4331,'Odoo Items'!$J$5:$J$4331,A468,'Odoo Items'!$C$5:$C$4331,"&lt;="&amp;Cover!$C$13),2)</f>
        <v>0</v>
      </c>
      <c r="O468">
        <f>COUNTIFS('Bank Lines'!$G$5:$G$1640,A468,'Bank Lines'!$J$5:$J$1640,1,'Bank Lines'!$C$5:$C$1640,"&lt;="&amp;Cover!$C$13)</f>
        <v>0</v>
      </c>
      <c r="P468">
        <f>COUNTIFS('Odoo Items'!$J$5:$J$4331,A468,'Odoo Items'!$C$5:$C$4331,"&lt;="&amp;Cover!$C$13)</f>
        <v>0</v>
      </c>
      <c r="Q468">
        <f>IF(AND(O468=0,P468=0),"",IF(O468=0,"ODOO-ONLY",IF(P468=0,"BANK-ONLY","BOTH")))</f>
      </c>
      <c r="R468" s="9">
        <f>IF(Q468="BOTH",ROUND(M468-N468,2),0)</f>
        <v>0</v>
      </c>
      <c r="S468" s="9">
        <f>ROUND(SUMIFS('Bank Lines'!$E$5:$E$1640,'Bank Lines'!$G$5:$G$1640,A468,'Bank Lines'!$J$5:$J$1640,1,'Bank Lines'!$C$5:$C$1640,"&lt;="&amp;Cover!$C$14),2)</f>
        <v>0</v>
      </c>
      <c r="T468" s="9">
        <f>ROUND(SUMIFS('Odoo Items'!$G$5:$G$4331,'Odoo Items'!$J$5:$J$4331,A468,'Odoo Items'!$C$5:$C$4331,"&lt;="&amp;Cover!$C$14),2)</f>
        <v>0</v>
      </c>
      <c r="U468">
        <f>COUNTIFS('Bank Lines'!$G$5:$G$1640,A468,'Bank Lines'!$J$5:$J$1640,1,'Bank Lines'!$C$5:$C$1640,"&lt;="&amp;Cover!$C$14)</f>
        <v>0</v>
      </c>
      <c r="V468">
        <f>COUNTIFS('Odoo Items'!$J$5:$J$4331,A468,'Odoo Items'!$C$5:$C$4331,"&lt;="&amp;Cover!$C$14)</f>
        <v>0</v>
      </c>
      <c r="W468">
        <f>IF(AND(U468=0,V468=0),"",IF(U468=0,"ODOO-ONLY",IF(V468=0,"BANK-ONLY","BOTH")))</f>
      </c>
      <c r="X468" s="9">
        <f>IF(W468="BOTH",ROUND(S468-T468,2),0)</f>
        <v>0</v>
      </c>
      <c r="Y468" s="9">
        <f>ROUND(SUMIFS('Bank Lines'!$E$5:$E$1640,'Bank Lines'!$G$5:$G$1640,A468,'Bank Lines'!$J$5:$J$1640,1,'Bank Lines'!$C$5:$C$1640,"&lt;="&amp;Cover!$C$15),2)</f>
        <v>961.16</v>
      </c>
      <c r="Z468" s="9">
        <f>ROUND(SUMIFS('Odoo Items'!$G$5:$G$4331,'Odoo Items'!$J$5:$J$4331,A468,'Odoo Items'!$C$5:$C$4331,"&lt;="&amp;Cover!$C$15),2)</f>
        <v>961.16</v>
      </c>
      <c r="AA468">
        <f>COUNTIFS('Bank Lines'!$G$5:$G$1640,A468,'Bank Lines'!$J$5:$J$1640,1,'Bank Lines'!$C$5:$C$1640,"&lt;="&amp;Cover!$C$15)</f>
        <v>1</v>
      </c>
      <c r="AB468">
        <f>COUNTIFS('Odoo Items'!$J$5:$J$4331,A468,'Odoo Items'!$C$5:$C$4331,"&lt;="&amp;Cover!$C$15)</f>
        <v>3</v>
      </c>
      <c r="AC468" t="str">
        <f>IF(AND(AA468=0,AB468=0),"",IF(AA468=0,"ODOO-ONLY",IF(AB468=0,"BANK-ONLY","BOTH")))</f>
        <v>BOTH</v>
      </c>
      <c r="AD468" s="9">
        <f>IF(AC468="BOTH",ROUND(Y468-Z468,2),0)</f>
        <v>0</v>
      </c>
    </row>
    <row r="469">
      <c r="A469" t="inlineStr">
        <is>
          <t>G00465</t>
        </is>
      </c>
      <c r="B469" t="inlineStr">
        <is>
          <t>OPS</t>
        </is>
      </c>
      <c r="C469" t="inlineStr">
        <is>
          <t>R03</t>
        </is>
      </c>
      <c r="D469" t="inlineStr">
        <is>
          <t>MATCH</t>
        </is>
      </c>
      <c r="E469" t="inlineStr">
        <is>
          <t>Redgum Plan Admin</t>
        </is>
      </c>
      <c r="F469" t="n">
        <v>1</v>
      </c>
      <c r="G469" t="inlineStr">
        <is>
          <t>4 invoices</t>
        </is>
      </c>
      <c r="H469">
        <f>COUNTIFS('Bank Lines'!$G$5:$G$1640,A469,'Bank Lines'!$J$5:$J$1640,1)</f>
        <v>1</v>
      </c>
      <c r="I469">
        <f>COUNTIFS('Odoo Items'!$J$5:$J$4331,A469)</f>
        <v>4</v>
      </c>
      <c r="J469" s="9">
        <f>ROUND(SUMIFS('Bank Lines'!$E$5:$E$1640,'Bank Lines'!$G$5:$G$1640,A469,'Bank Lines'!$J$5:$J$1640,1),2)</f>
        <v>1019.35</v>
      </c>
      <c r="K469" s="9">
        <f>ROUND(SUMIFS('Odoo Items'!$G$5:$G$4331,'Odoo Items'!$J$5:$J$4331,A469),2)</f>
        <v>1019.35</v>
      </c>
      <c r="L469" s="9">
        <f>ROUND(J469-K469,2)</f>
        <v>0</v>
      </c>
      <c r="M469" s="9">
        <f>ROUND(SUMIFS('Bank Lines'!$E$5:$E$1640,'Bank Lines'!$G$5:$G$1640,A469,'Bank Lines'!$J$5:$J$1640,1,'Bank Lines'!$C$5:$C$1640,"&lt;="&amp;Cover!$C$13),2)</f>
        <v>0</v>
      </c>
      <c r="N469" s="9">
        <f>ROUND(SUMIFS('Odoo Items'!$G$5:$G$4331,'Odoo Items'!$J$5:$J$4331,A469,'Odoo Items'!$C$5:$C$4331,"&lt;="&amp;Cover!$C$13),2)</f>
        <v>0</v>
      </c>
      <c r="O469">
        <f>COUNTIFS('Bank Lines'!$G$5:$G$1640,A469,'Bank Lines'!$J$5:$J$1640,1,'Bank Lines'!$C$5:$C$1640,"&lt;="&amp;Cover!$C$13)</f>
        <v>0</v>
      </c>
      <c r="P469">
        <f>COUNTIFS('Odoo Items'!$J$5:$J$4331,A469,'Odoo Items'!$C$5:$C$4331,"&lt;="&amp;Cover!$C$13)</f>
        <v>0</v>
      </c>
      <c r="Q469">
        <f>IF(AND(O469=0,P469=0),"",IF(O469=0,"ODOO-ONLY",IF(P469=0,"BANK-ONLY","BOTH")))</f>
      </c>
      <c r="R469" s="9">
        <f>IF(Q469="BOTH",ROUND(M469-N469,2),0)</f>
        <v>0</v>
      </c>
      <c r="S469" s="9">
        <f>ROUND(SUMIFS('Bank Lines'!$E$5:$E$1640,'Bank Lines'!$G$5:$G$1640,A469,'Bank Lines'!$J$5:$J$1640,1,'Bank Lines'!$C$5:$C$1640,"&lt;="&amp;Cover!$C$14),2)</f>
        <v>0</v>
      </c>
      <c r="T469" s="9">
        <f>ROUND(SUMIFS('Odoo Items'!$G$5:$G$4331,'Odoo Items'!$J$5:$J$4331,A469,'Odoo Items'!$C$5:$C$4331,"&lt;="&amp;Cover!$C$14),2)</f>
        <v>0</v>
      </c>
      <c r="U469">
        <f>COUNTIFS('Bank Lines'!$G$5:$G$1640,A469,'Bank Lines'!$J$5:$J$1640,1,'Bank Lines'!$C$5:$C$1640,"&lt;="&amp;Cover!$C$14)</f>
        <v>0</v>
      </c>
      <c r="V469">
        <f>COUNTIFS('Odoo Items'!$J$5:$J$4331,A469,'Odoo Items'!$C$5:$C$4331,"&lt;="&amp;Cover!$C$14)</f>
        <v>0</v>
      </c>
      <c r="W469">
        <f>IF(AND(U469=0,V469=0),"",IF(U469=0,"ODOO-ONLY",IF(V469=0,"BANK-ONLY","BOTH")))</f>
      </c>
      <c r="X469" s="9">
        <f>IF(W469="BOTH",ROUND(S469-T469,2),0)</f>
        <v>0</v>
      </c>
      <c r="Y469" s="9">
        <f>ROUND(SUMIFS('Bank Lines'!$E$5:$E$1640,'Bank Lines'!$G$5:$G$1640,A469,'Bank Lines'!$J$5:$J$1640,1,'Bank Lines'!$C$5:$C$1640,"&lt;="&amp;Cover!$C$15),2)</f>
        <v>1019.35</v>
      </c>
      <c r="Z469" s="9">
        <f>ROUND(SUMIFS('Odoo Items'!$G$5:$G$4331,'Odoo Items'!$J$5:$J$4331,A469,'Odoo Items'!$C$5:$C$4331,"&lt;="&amp;Cover!$C$15),2)</f>
        <v>1019.35</v>
      </c>
      <c r="AA469">
        <f>COUNTIFS('Bank Lines'!$G$5:$G$1640,A469,'Bank Lines'!$J$5:$J$1640,1,'Bank Lines'!$C$5:$C$1640,"&lt;="&amp;Cover!$C$15)</f>
        <v>1</v>
      </c>
      <c r="AB469">
        <f>COUNTIFS('Odoo Items'!$J$5:$J$4331,A469,'Odoo Items'!$C$5:$C$4331,"&lt;="&amp;Cover!$C$15)</f>
        <v>4</v>
      </c>
      <c r="AC469" t="str">
        <f>IF(AND(AA469=0,AB469=0),"",IF(AA469=0,"ODOO-ONLY",IF(AB469=0,"BANK-ONLY","BOTH")))</f>
        <v>BOTH</v>
      </c>
      <c r="AD469" s="9">
        <f>IF(AC469="BOTH",ROUND(Y469-Z469,2),0)</f>
        <v>0</v>
      </c>
    </row>
    <row r="470">
      <c r="A470" t="inlineStr">
        <is>
          <t>G00466</t>
        </is>
      </c>
      <c r="B470" t="inlineStr">
        <is>
          <t>OPS</t>
        </is>
      </c>
      <c r="C470" t="inlineStr">
        <is>
          <t>R03</t>
        </is>
      </c>
      <c r="D470" t="inlineStr">
        <is>
          <t>MATCH</t>
        </is>
      </c>
      <c r="E470" t="inlineStr">
        <is>
          <t>Lyrebird Plan Management</t>
        </is>
      </c>
      <c r="F470" t="n">
        <v>1</v>
      </c>
      <c r="G470" t="inlineStr">
        <is>
          <t>1 invoices</t>
        </is>
      </c>
      <c r="H470">
        <f>COUNTIFS('Bank Lines'!$G$5:$G$1640,A470,'Bank Lines'!$J$5:$J$1640,1)</f>
        <v>1</v>
      </c>
      <c r="I470">
        <f>COUNTIFS('Odoo Items'!$J$5:$J$4331,A470)</f>
        <v>1</v>
      </c>
      <c r="J470" s="9">
        <f>ROUND(SUMIFS('Bank Lines'!$E$5:$E$1640,'Bank Lines'!$G$5:$G$1640,A470,'Bank Lines'!$J$5:$J$1640,1),2)</f>
        <v>349.18</v>
      </c>
      <c r="K470" s="9">
        <f>ROUND(SUMIFS('Odoo Items'!$G$5:$G$4331,'Odoo Items'!$J$5:$J$4331,A470),2)</f>
        <v>349.18</v>
      </c>
      <c r="L470" s="9">
        <f>ROUND(J470-K470,2)</f>
        <v>0</v>
      </c>
      <c r="M470" s="9">
        <f>ROUND(SUMIFS('Bank Lines'!$E$5:$E$1640,'Bank Lines'!$G$5:$G$1640,A470,'Bank Lines'!$J$5:$J$1640,1,'Bank Lines'!$C$5:$C$1640,"&lt;="&amp;Cover!$C$13),2)</f>
        <v>0</v>
      </c>
      <c r="N470" s="9">
        <f>ROUND(SUMIFS('Odoo Items'!$G$5:$G$4331,'Odoo Items'!$J$5:$J$4331,A470,'Odoo Items'!$C$5:$C$4331,"&lt;="&amp;Cover!$C$13),2)</f>
        <v>0</v>
      </c>
      <c r="O470">
        <f>COUNTIFS('Bank Lines'!$G$5:$G$1640,A470,'Bank Lines'!$J$5:$J$1640,1,'Bank Lines'!$C$5:$C$1640,"&lt;="&amp;Cover!$C$13)</f>
        <v>0</v>
      </c>
      <c r="P470">
        <f>COUNTIFS('Odoo Items'!$J$5:$J$4331,A470,'Odoo Items'!$C$5:$C$4331,"&lt;="&amp;Cover!$C$13)</f>
        <v>0</v>
      </c>
      <c r="Q470">
        <f>IF(AND(O470=0,P470=0),"",IF(O470=0,"ODOO-ONLY",IF(P470=0,"BANK-ONLY","BOTH")))</f>
      </c>
      <c r="R470" s="9">
        <f>IF(Q470="BOTH",ROUND(M470-N470,2),0)</f>
        <v>0</v>
      </c>
      <c r="S470" s="9">
        <f>ROUND(SUMIFS('Bank Lines'!$E$5:$E$1640,'Bank Lines'!$G$5:$G$1640,A470,'Bank Lines'!$J$5:$J$1640,1,'Bank Lines'!$C$5:$C$1640,"&lt;="&amp;Cover!$C$14),2)</f>
        <v>0</v>
      </c>
      <c r="T470" s="9">
        <f>ROUND(SUMIFS('Odoo Items'!$G$5:$G$4331,'Odoo Items'!$J$5:$J$4331,A470,'Odoo Items'!$C$5:$C$4331,"&lt;="&amp;Cover!$C$14),2)</f>
        <v>0</v>
      </c>
      <c r="U470">
        <f>COUNTIFS('Bank Lines'!$G$5:$G$1640,A470,'Bank Lines'!$J$5:$J$1640,1,'Bank Lines'!$C$5:$C$1640,"&lt;="&amp;Cover!$C$14)</f>
        <v>0</v>
      </c>
      <c r="V470">
        <f>COUNTIFS('Odoo Items'!$J$5:$J$4331,A470,'Odoo Items'!$C$5:$C$4331,"&lt;="&amp;Cover!$C$14)</f>
        <v>0</v>
      </c>
      <c r="W470">
        <f>IF(AND(U470=0,V470=0),"",IF(U470=0,"ODOO-ONLY",IF(V470=0,"BANK-ONLY","BOTH")))</f>
      </c>
      <c r="X470" s="9">
        <f>IF(W470="BOTH",ROUND(S470-T470,2),0)</f>
        <v>0</v>
      </c>
      <c r="Y470" s="9">
        <f>ROUND(SUMIFS('Bank Lines'!$E$5:$E$1640,'Bank Lines'!$G$5:$G$1640,A470,'Bank Lines'!$J$5:$J$1640,1,'Bank Lines'!$C$5:$C$1640,"&lt;="&amp;Cover!$C$15),2)</f>
        <v>349.18</v>
      </c>
      <c r="Z470" s="9">
        <f>ROUND(SUMIFS('Odoo Items'!$G$5:$G$4331,'Odoo Items'!$J$5:$J$4331,A470,'Odoo Items'!$C$5:$C$4331,"&lt;="&amp;Cover!$C$15),2)</f>
        <v>349.18</v>
      </c>
      <c r="AA470">
        <f>COUNTIFS('Bank Lines'!$G$5:$G$1640,A470,'Bank Lines'!$J$5:$J$1640,1,'Bank Lines'!$C$5:$C$1640,"&lt;="&amp;Cover!$C$15)</f>
        <v>1</v>
      </c>
      <c r="AB470">
        <f>COUNTIFS('Odoo Items'!$J$5:$J$4331,A470,'Odoo Items'!$C$5:$C$4331,"&lt;="&amp;Cover!$C$15)</f>
        <v>1</v>
      </c>
      <c r="AC470" t="str">
        <f>IF(AND(AA470=0,AB470=0),"",IF(AA470=0,"ODOO-ONLY",IF(AB470=0,"BANK-ONLY","BOTH")))</f>
        <v>BOTH</v>
      </c>
      <c r="AD470" s="9">
        <f>IF(AC470="BOTH",ROUND(Y470-Z470,2),0)</f>
        <v>0</v>
      </c>
    </row>
    <row r="471">
      <c r="A471" t="inlineStr">
        <is>
          <t>G00467</t>
        </is>
      </c>
      <c r="B471" t="inlineStr">
        <is>
          <t>OPS</t>
        </is>
      </c>
      <c r="C471" t="inlineStr">
        <is>
          <t>R03</t>
        </is>
      </c>
      <c r="D471" t="inlineStr">
        <is>
          <t>MATCH</t>
        </is>
      </c>
      <c r="E471" t="inlineStr">
        <is>
          <t>Tallowwood Plans</t>
        </is>
      </c>
      <c r="F471" t="n">
        <v>1</v>
      </c>
      <c r="G471" t="inlineStr">
        <is>
          <t>12 invoices</t>
        </is>
      </c>
      <c r="H471">
        <f>COUNTIFS('Bank Lines'!$G$5:$G$1640,A471,'Bank Lines'!$J$5:$J$1640,1)</f>
        <v>1</v>
      </c>
      <c r="I471">
        <f>COUNTIFS('Odoo Items'!$J$5:$J$4331,A471)</f>
        <v>12</v>
      </c>
      <c r="J471" s="9">
        <f>ROUND(SUMIFS('Bank Lines'!$E$5:$E$1640,'Bank Lines'!$G$5:$G$1640,A471,'Bank Lines'!$J$5:$J$1640,1),2)</f>
        <v>3000.74</v>
      </c>
      <c r="K471" s="9">
        <f>ROUND(SUMIFS('Odoo Items'!$G$5:$G$4331,'Odoo Items'!$J$5:$J$4331,A471),2)</f>
        <v>3000.74</v>
      </c>
      <c r="L471" s="9">
        <f>ROUND(J471-K471,2)</f>
        <v>0</v>
      </c>
      <c r="M471" s="9">
        <f>ROUND(SUMIFS('Bank Lines'!$E$5:$E$1640,'Bank Lines'!$G$5:$G$1640,A471,'Bank Lines'!$J$5:$J$1640,1,'Bank Lines'!$C$5:$C$1640,"&lt;="&amp;Cover!$C$13),2)</f>
        <v>0</v>
      </c>
      <c r="N471" s="9">
        <f>ROUND(SUMIFS('Odoo Items'!$G$5:$G$4331,'Odoo Items'!$J$5:$J$4331,A471,'Odoo Items'!$C$5:$C$4331,"&lt;="&amp;Cover!$C$13),2)</f>
        <v>0</v>
      </c>
      <c r="O471">
        <f>COUNTIFS('Bank Lines'!$G$5:$G$1640,A471,'Bank Lines'!$J$5:$J$1640,1,'Bank Lines'!$C$5:$C$1640,"&lt;="&amp;Cover!$C$13)</f>
        <v>0</v>
      </c>
      <c r="P471">
        <f>COUNTIFS('Odoo Items'!$J$5:$J$4331,A471,'Odoo Items'!$C$5:$C$4331,"&lt;="&amp;Cover!$C$13)</f>
        <v>0</v>
      </c>
      <c r="Q471">
        <f>IF(AND(O471=0,P471=0),"",IF(O471=0,"ODOO-ONLY",IF(P471=0,"BANK-ONLY","BOTH")))</f>
      </c>
      <c r="R471" s="9">
        <f>IF(Q471="BOTH",ROUND(M471-N471,2),0)</f>
        <v>0</v>
      </c>
      <c r="S471" s="9">
        <f>ROUND(SUMIFS('Bank Lines'!$E$5:$E$1640,'Bank Lines'!$G$5:$G$1640,A471,'Bank Lines'!$J$5:$J$1640,1,'Bank Lines'!$C$5:$C$1640,"&lt;="&amp;Cover!$C$14),2)</f>
        <v>0</v>
      </c>
      <c r="T471" s="9">
        <f>ROUND(SUMIFS('Odoo Items'!$G$5:$G$4331,'Odoo Items'!$J$5:$J$4331,A471,'Odoo Items'!$C$5:$C$4331,"&lt;="&amp;Cover!$C$14),2)</f>
        <v>0</v>
      </c>
      <c r="U471">
        <f>COUNTIFS('Bank Lines'!$G$5:$G$1640,A471,'Bank Lines'!$J$5:$J$1640,1,'Bank Lines'!$C$5:$C$1640,"&lt;="&amp;Cover!$C$14)</f>
        <v>0</v>
      </c>
      <c r="V471">
        <f>COUNTIFS('Odoo Items'!$J$5:$J$4331,A471,'Odoo Items'!$C$5:$C$4331,"&lt;="&amp;Cover!$C$14)</f>
        <v>0</v>
      </c>
      <c r="W471">
        <f>IF(AND(U471=0,V471=0),"",IF(U471=0,"ODOO-ONLY",IF(V471=0,"BANK-ONLY","BOTH")))</f>
      </c>
      <c r="X471" s="9">
        <f>IF(W471="BOTH",ROUND(S471-T471,2),0)</f>
        <v>0</v>
      </c>
      <c r="Y471" s="9">
        <f>ROUND(SUMIFS('Bank Lines'!$E$5:$E$1640,'Bank Lines'!$G$5:$G$1640,A471,'Bank Lines'!$J$5:$J$1640,1,'Bank Lines'!$C$5:$C$1640,"&lt;="&amp;Cover!$C$15),2)</f>
        <v>3000.74</v>
      </c>
      <c r="Z471" s="9">
        <f>ROUND(SUMIFS('Odoo Items'!$G$5:$G$4331,'Odoo Items'!$J$5:$J$4331,A471,'Odoo Items'!$C$5:$C$4331,"&lt;="&amp;Cover!$C$15),2)</f>
        <v>3000.74</v>
      </c>
      <c r="AA471">
        <f>COUNTIFS('Bank Lines'!$G$5:$G$1640,A471,'Bank Lines'!$J$5:$J$1640,1,'Bank Lines'!$C$5:$C$1640,"&lt;="&amp;Cover!$C$15)</f>
        <v>1</v>
      </c>
      <c r="AB471">
        <f>COUNTIFS('Odoo Items'!$J$5:$J$4331,A471,'Odoo Items'!$C$5:$C$4331,"&lt;="&amp;Cover!$C$15)</f>
        <v>12</v>
      </c>
      <c r="AC471" t="str">
        <f>IF(AND(AA471=0,AB471=0),"",IF(AA471=0,"ODOO-ONLY",IF(AB471=0,"BANK-ONLY","BOTH")))</f>
        <v>BOTH</v>
      </c>
      <c r="AD471" s="9">
        <f>IF(AC471="BOTH",ROUND(Y471-Z471,2),0)</f>
        <v>0</v>
      </c>
    </row>
    <row r="472">
      <c r="A472" t="inlineStr">
        <is>
          <t>G00468</t>
        </is>
      </c>
      <c r="B472" t="inlineStr">
        <is>
          <t>OPS</t>
        </is>
      </c>
      <c r="C472" t="inlineStr">
        <is>
          <t>R03</t>
        </is>
      </c>
      <c r="D472" t="inlineStr">
        <is>
          <t>MATCH</t>
        </is>
      </c>
      <c r="E472" t="inlineStr">
        <is>
          <t>Acacia Plan Partners</t>
        </is>
      </c>
      <c r="F472" t="n">
        <v>0.973</v>
      </c>
      <c r="G472" t="inlineStr">
        <is>
          <t>4 invoices</t>
        </is>
      </c>
      <c r="H472">
        <f>COUNTIFS('Bank Lines'!$G$5:$G$1640,A472,'Bank Lines'!$J$5:$J$1640,1)</f>
        <v>1</v>
      </c>
      <c r="I472">
        <f>COUNTIFS('Odoo Items'!$J$5:$J$4331,A472)</f>
        <v>4</v>
      </c>
      <c r="J472" s="9">
        <f>ROUND(SUMIFS('Bank Lines'!$E$5:$E$1640,'Bank Lines'!$G$5:$G$1640,A472,'Bank Lines'!$J$5:$J$1640,1),2)</f>
        <v>1058.15</v>
      </c>
      <c r="K472" s="9">
        <f>ROUND(SUMIFS('Odoo Items'!$G$5:$G$4331,'Odoo Items'!$J$5:$J$4331,A472),2)</f>
        <v>1058.15</v>
      </c>
      <c r="L472" s="9">
        <f>ROUND(J472-K472,2)</f>
        <v>0</v>
      </c>
      <c r="M472" s="9">
        <f>ROUND(SUMIFS('Bank Lines'!$E$5:$E$1640,'Bank Lines'!$G$5:$G$1640,A472,'Bank Lines'!$J$5:$J$1640,1,'Bank Lines'!$C$5:$C$1640,"&lt;="&amp;Cover!$C$13),2)</f>
        <v>0</v>
      </c>
      <c r="N472" s="9">
        <f>ROUND(SUMIFS('Odoo Items'!$G$5:$G$4331,'Odoo Items'!$J$5:$J$4331,A472,'Odoo Items'!$C$5:$C$4331,"&lt;="&amp;Cover!$C$13),2)</f>
        <v>0</v>
      </c>
      <c r="O472">
        <f>COUNTIFS('Bank Lines'!$G$5:$G$1640,A472,'Bank Lines'!$J$5:$J$1640,1,'Bank Lines'!$C$5:$C$1640,"&lt;="&amp;Cover!$C$13)</f>
        <v>0</v>
      </c>
      <c r="P472">
        <f>COUNTIFS('Odoo Items'!$J$5:$J$4331,A472,'Odoo Items'!$C$5:$C$4331,"&lt;="&amp;Cover!$C$13)</f>
        <v>0</v>
      </c>
      <c r="Q472">
        <f>IF(AND(O472=0,P472=0),"",IF(O472=0,"ODOO-ONLY",IF(P472=0,"BANK-ONLY","BOTH")))</f>
      </c>
      <c r="R472" s="9">
        <f>IF(Q472="BOTH",ROUND(M472-N472,2),0)</f>
        <v>0</v>
      </c>
      <c r="S472" s="9">
        <f>ROUND(SUMIFS('Bank Lines'!$E$5:$E$1640,'Bank Lines'!$G$5:$G$1640,A472,'Bank Lines'!$J$5:$J$1640,1,'Bank Lines'!$C$5:$C$1640,"&lt;="&amp;Cover!$C$14),2)</f>
        <v>0</v>
      </c>
      <c r="T472" s="9">
        <f>ROUND(SUMIFS('Odoo Items'!$G$5:$G$4331,'Odoo Items'!$J$5:$J$4331,A472,'Odoo Items'!$C$5:$C$4331,"&lt;="&amp;Cover!$C$14),2)</f>
        <v>0</v>
      </c>
      <c r="U472">
        <f>COUNTIFS('Bank Lines'!$G$5:$G$1640,A472,'Bank Lines'!$J$5:$J$1640,1,'Bank Lines'!$C$5:$C$1640,"&lt;="&amp;Cover!$C$14)</f>
        <v>0</v>
      </c>
      <c r="V472">
        <f>COUNTIFS('Odoo Items'!$J$5:$J$4331,A472,'Odoo Items'!$C$5:$C$4331,"&lt;="&amp;Cover!$C$14)</f>
        <v>0</v>
      </c>
      <c r="W472">
        <f>IF(AND(U472=0,V472=0),"",IF(U472=0,"ODOO-ONLY",IF(V472=0,"BANK-ONLY","BOTH")))</f>
      </c>
      <c r="X472" s="9">
        <f>IF(W472="BOTH",ROUND(S472-T472,2),0)</f>
        <v>0</v>
      </c>
      <c r="Y472" s="9">
        <f>ROUND(SUMIFS('Bank Lines'!$E$5:$E$1640,'Bank Lines'!$G$5:$G$1640,A472,'Bank Lines'!$J$5:$J$1640,1,'Bank Lines'!$C$5:$C$1640,"&lt;="&amp;Cover!$C$15),2)</f>
        <v>1058.15</v>
      </c>
      <c r="Z472" s="9">
        <f>ROUND(SUMIFS('Odoo Items'!$G$5:$G$4331,'Odoo Items'!$J$5:$J$4331,A472,'Odoo Items'!$C$5:$C$4331,"&lt;="&amp;Cover!$C$15),2)</f>
        <v>1058.15</v>
      </c>
      <c r="AA472">
        <f>COUNTIFS('Bank Lines'!$G$5:$G$1640,A472,'Bank Lines'!$J$5:$J$1640,1,'Bank Lines'!$C$5:$C$1640,"&lt;="&amp;Cover!$C$15)</f>
        <v>1</v>
      </c>
      <c r="AB472">
        <f>COUNTIFS('Odoo Items'!$J$5:$J$4331,A472,'Odoo Items'!$C$5:$C$4331,"&lt;="&amp;Cover!$C$15)</f>
        <v>4</v>
      </c>
      <c r="AC472" t="str">
        <f>IF(AND(AA472=0,AB472=0),"",IF(AA472=0,"ODOO-ONLY",IF(AB472=0,"BANK-ONLY","BOTH")))</f>
        <v>BOTH</v>
      </c>
      <c r="AD472" s="9">
        <f>IF(AC472="BOTH",ROUND(Y472-Z472,2),0)</f>
        <v>0</v>
      </c>
    </row>
    <row r="473">
      <c r="A473" t="inlineStr">
        <is>
          <t>G00469</t>
        </is>
      </c>
      <c r="B473" t="inlineStr">
        <is>
          <t>OPS</t>
        </is>
      </c>
      <c r="C473" t="inlineStr">
        <is>
          <t>R03</t>
        </is>
      </c>
      <c r="D473" t="inlineStr">
        <is>
          <t>MATCH</t>
        </is>
      </c>
      <c r="E473" t="inlineStr">
        <is>
          <t>Mallee Plan Services</t>
        </is>
      </c>
      <c r="F473" t="n">
        <v>1</v>
      </c>
      <c r="G473" t="inlineStr">
        <is>
          <t>2 invoices</t>
        </is>
      </c>
      <c r="H473">
        <f>COUNTIFS('Bank Lines'!$G$5:$G$1640,A473,'Bank Lines'!$J$5:$J$1640,1)</f>
        <v>1</v>
      </c>
      <c r="I473">
        <f>COUNTIFS('Odoo Items'!$J$5:$J$4331,A473)</f>
        <v>2</v>
      </c>
      <c r="J473" s="9">
        <f>ROUND(SUMIFS('Bank Lines'!$E$5:$E$1640,'Bank Lines'!$G$5:$G$1640,A473,'Bank Lines'!$J$5:$J$1640,1),2)</f>
        <v>399.48</v>
      </c>
      <c r="K473" s="9">
        <f>ROUND(SUMIFS('Odoo Items'!$G$5:$G$4331,'Odoo Items'!$J$5:$J$4331,A473),2)</f>
        <v>399.48</v>
      </c>
      <c r="L473" s="9">
        <f>ROUND(J473-K473,2)</f>
        <v>0</v>
      </c>
      <c r="M473" s="9">
        <f>ROUND(SUMIFS('Bank Lines'!$E$5:$E$1640,'Bank Lines'!$G$5:$G$1640,A473,'Bank Lines'!$J$5:$J$1640,1,'Bank Lines'!$C$5:$C$1640,"&lt;="&amp;Cover!$C$13),2)</f>
        <v>0</v>
      </c>
      <c r="N473" s="9">
        <f>ROUND(SUMIFS('Odoo Items'!$G$5:$G$4331,'Odoo Items'!$J$5:$J$4331,A473,'Odoo Items'!$C$5:$C$4331,"&lt;="&amp;Cover!$C$13),2)</f>
        <v>0</v>
      </c>
      <c r="O473">
        <f>COUNTIFS('Bank Lines'!$G$5:$G$1640,A473,'Bank Lines'!$J$5:$J$1640,1,'Bank Lines'!$C$5:$C$1640,"&lt;="&amp;Cover!$C$13)</f>
        <v>0</v>
      </c>
      <c r="P473">
        <f>COUNTIFS('Odoo Items'!$J$5:$J$4331,A473,'Odoo Items'!$C$5:$C$4331,"&lt;="&amp;Cover!$C$13)</f>
        <v>0</v>
      </c>
      <c r="Q473">
        <f>IF(AND(O473=0,P473=0),"",IF(O473=0,"ODOO-ONLY",IF(P473=0,"BANK-ONLY","BOTH")))</f>
      </c>
      <c r="R473" s="9">
        <f>IF(Q473="BOTH",ROUND(M473-N473,2),0)</f>
        <v>0</v>
      </c>
      <c r="S473" s="9">
        <f>ROUND(SUMIFS('Bank Lines'!$E$5:$E$1640,'Bank Lines'!$G$5:$G$1640,A473,'Bank Lines'!$J$5:$J$1640,1,'Bank Lines'!$C$5:$C$1640,"&lt;="&amp;Cover!$C$14),2)</f>
        <v>0</v>
      </c>
      <c r="T473" s="9">
        <f>ROUND(SUMIFS('Odoo Items'!$G$5:$G$4331,'Odoo Items'!$J$5:$J$4331,A473,'Odoo Items'!$C$5:$C$4331,"&lt;="&amp;Cover!$C$14),2)</f>
        <v>0</v>
      </c>
      <c r="U473">
        <f>COUNTIFS('Bank Lines'!$G$5:$G$1640,A473,'Bank Lines'!$J$5:$J$1640,1,'Bank Lines'!$C$5:$C$1640,"&lt;="&amp;Cover!$C$14)</f>
        <v>0</v>
      </c>
      <c r="V473">
        <f>COUNTIFS('Odoo Items'!$J$5:$J$4331,A473,'Odoo Items'!$C$5:$C$4331,"&lt;="&amp;Cover!$C$14)</f>
        <v>0</v>
      </c>
      <c r="W473">
        <f>IF(AND(U473=0,V473=0),"",IF(U473=0,"ODOO-ONLY",IF(V473=0,"BANK-ONLY","BOTH")))</f>
      </c>
      <c r="X473" s="9">
        <f>IF(W473="BOTH",ROUND(S473-T473,2),0)</f>
        <v>0</v>
      </c>
      <c r="Y473" s="9">
        <f>ROUND(SUMIFS('Bank Lines'!$E$5:$E$1640,'Bank Lines'!$G$5:$G$1640,A473,'Bank Lines'!$J$5:$J$1640,1,'Bank Lines'!$C$5:$C$1640,"&lt;="&amp;Cover!$C$15),2)</f>
        <v>399.48</v>
      </c>
      <c r="Z473" s="9">
        <f>ROUND(SUMIFS('Odoo Items'!$G$5:$G$4331,'Odoo Items'!$J$5:$J$4331,A473,'Odoo Items'!$C$5:$C$4331,"&lt;="&amp;Cover!$C$15),2)</f>
        <v>399.48</v>
      </c>
      <c r="AA473">
        <f>COUNTIFS('Bank Lines'!$G$5:$G$1640,A473,'Bank Lines'!$J$5:$J$1640,1,'Bank Lines'!$C$5:$C$1640,"&lt;="&amp;Cover!$C$15)</f>
        <v>1</v>
      </c>
      <c r="AB473">
        <f>COUNTIFS('Odoo Items'!$J$5:$J$4331,A473,'Odoo Items'!$C$5:$C$4331,"&lt;="&amp;Cover!$C$15)</f>
        <v>2</v>
      </c>
      <c r="AC473" t="str">
        <f>IF(AND(AA473=0,AB473=0),"",IF(AA473=0,"ODOO-ONLY",IF(AB473=0,"BANK-ONLY","BOTH")))</f>
        <v>BOTH</v>
      </c>
      <c r="AD473" s="9">
        <f>IF(AC473="BOTH",ROUND(Y473-Z473,2),0)</f>
        <v>0</v>
      </c>
    </row>
    <row r="474">
      <c r="A474" t="inlineStr">
        <is>
          <t>G00470</t>
        </is>
      </c>
      <c r="B474" t="inlineStr">
        <is>
          <t>OPS</t>
        </is>
      </c>
      <c r="C474" t="inlineStr">
        <is>
          <t>R03</t>
        </is>
      </c>
      <c r="D474" t="inlineStr">
        <is>
          <t>MATCH</t>
        </is>
      </c>
      <c r="E474" t="inlineStr">
        <is>
          <t>Bluegum Plan Management</t>
        </is>
      </c>
      <c r="F474" t="n">
        <v>1</v>
      </c>
      <c r="G474" t="inlineStr">
        <is>
          <t>5 invoices</t>
        </is>
      </c>
      <c r="H474">
        <f>COUNTIFS('Bank Lines'!$G$5:$G$1640,A474,'Bank Lines'!$J$5:$J$1640,1)</f>
        <v>1</v>
      </c>
      <c r="I474">
        <f>COUNTIFS('Odoo Items'!$J$5:$J$4331,A474)</f>
        <v>5</v>
      </c>
      <c r="J474" s="9">
        <f>ROUND(SUMIFS('Bank Lines'!$E$5:$E$1640,'Bank Lines'!$G$5:$G$1640,A474,'Bank Lines'!$J$5:$J$1640,1),2)</f>
        <v>854.45</v>
      </c>
      <c r="K474" s="9">
        <f>ROUND(SUMIFS('Odoo Items'!$G$5:$G$4331,'Odoo Items'!$J$5:$J$4331,A474),2)</f>
        <v>854.45</v>
      </c>
      <c r="L474" s="9">
        <f>ROUND(J474-K474,2)</f>
        <v>0</v>
      </c>
      <c r="M474" s="9">
        <f>ROUND(SUMIFS('Bank Lines'!$E$5:$E$1640,'Bank Lines'!$G$5:$G$1640,A474,'Bank Lines'!$J$5:$J$1640,1,'Bank Lines'!$C$5:$C$1640,"&lt;="&amp;Cover!$C$13),2)</f>
        <v>0</v>
      </c>
      <c r="N474" s="9">
        <f>ROUND(SUMIFS('Odoo Items'!$G$5:$G$4331,'Odoo Items'!$J$5:$J$4331,A474,'Odoo Items'!$C$5:$C$4331,"&lt;="&amp;Cover!$C$13),2)</f>
        <v>0</v>
      </c>
      <c r="O474">
        <f>COUNTIFS('Bank Lines'!$G$5:$G$1640,A474,'Bank Lines'!$J$5:$J$1640,1,'Bank Lines'!$C$5:$C$1640,"&lt;="&amp;Cover!$C$13)</f>
        <v>0</v>
      </c>
      <c r="P474">
        <f>COUNTIFS('Odoo Items'!$J$5:$J$4331,A474,'Odoo Items'!$C$5:$C$4331,"&lt;="&amp;Cover!$C$13)</f>
        <v>0</v>
      </c>
      <c r="Q474">
        <f>IF(AND(O474=0,P474=0),"",IF(O474=0,"ODOO-ONLY",IF(P474=0,"BANK-ONLY","BOTH")))</f>
      </c>
      <c r="R474" s="9">
        <f>IF(Q474="BOTH",ROUND(M474-N474,2),0)</f>
        <v>0</v>
      </c>
      <c r="S474" s="9">
        <f>ROUND(SUMIFS('Bank Lines'!$E$5:$E$1640,'Bank Lines'!$G$5:$G$1640,A474,'Bank Lines'!$J$5:$J$1640,1,'Bank Lines'!$C$5:$C$1640,"&lt;="&amp;Cover!$C$14),2)</f>
        <v>0</v>
      </c>
      <c r="T474" s="9">
        <f>ROUND(SUMIFS('Odoo Items'!$G$5:$G$4331,'Odoo Items'!$J$5:$J$4331,A474,'Odoo Items'!$C$5:$C$4331,"&lt;="&amp;Cover!$C$14),2)</f>
        <v>0</v>
      </c>
      <c r="U474">
        <f>COUNTIFS('Bank Lines'!$G$5:$G$1640,A474,'Bank Lines'!$J$5:$J$1640,1,'Bank Lines'!$C$5:$C$1640,"&lt;="&amp;Cover!$C$14)</f>
        <v>0</v>
      </c>
      <c r="V474">
        <f>COUNTIFS('Odoo Items'!$J$5:$J$4331,A474,'Odoo Items'!$C$5:$C$4331,"&lt;="&amp;Cover!$C$14)</f>
        <v>0</v>
      </c>
      <c r="W474">
        <f>IF(AND(U474=0,V474=0),"",IF(U474=0,"ODOO-ONLY",IF(V474=0,"BANK-ONLY","BOTH")))</f>
      </c>
      <c r="X474" s="9">
        <f>IF(W474="BOTH",ROUND(S474-T474,2),0)</f>
        <v>0</v>
      </c>
      <c r="Y474" s="9">
        <f>ROUND(SUMIFS('Bank Lines'!$E$5:$E$1640,'Bank Lines'!$G$5:$G$1640,A474,'Bank Lines'!$J$5:$J$1640,1,'Bank Lines'!$C$5:$C$1640,"&lt;="&amp;Cover!$C$15),2)</f>
        <v>854.45</v>
      </c>
      <c r="Z474" s="9">
        <f>ROUND(SUMIFS('Odoo Items'!$G$5:$G$4331,'Odoo Items'!$J$5:$J$4331,A474,'Odoo Items'!$C$5:$C$4331,"&lt;="&amp;Cover!$C$15),2)</f>
        <v>854.45</v>
      </c>
      <c r="AA474">
        <f>COUNTIFS('Bank Lines'!$G$5:$G$1640,A474,'Bank Lines'!$J$5:$J$1640,1,'Bank Lines'!$C$5:$C$1640,"&lt;="&amp;Cover!$C$15)</f>
        <v>1</v>
      </c>
      <c r="AB474">
        <f>COUNTIFS('Odoo Items'!$J$5:$J$4331,A474,'Odoo Items'!$C$5:$C$4331,"&lt;="&amp;Cover!$C$15)</f>
        <v>5</v>
      </c>
      <c r="AC474" t="str">
        <f>IF(AND(AA474=0,AB474=0),"",IF(AA474=0,"ODOO-ONLY",IF(AB474=0,"BANK-ONLY","BOTH")))</f>
        <v>BOTH</v>
      </c>
      <c r="AD474" s="9">
        <f>IF(AC474="BOTH",ROUND(Y474-Z474,2),0)</f>
        <v>0</v>
      </c>
    </row>
    <row r="475">
      <c r="A475" t="inlineStr">
        <is>
          <t>G00471</t>
        </is>
      </c>
      <c r="B475" t="inlineStr">
        <is>
          <t>OPS</t>
        </is>
      </c>
      <c r="C475" t="inlineStr">
        <is>
          <t>R03</t>
        </is>
      </c>
      <c r="D475" t="inlineStr">
        <is>
          <t>MATCH</t>
        </is>
      </c>
      <c r="E475" t="inlineStr">
        <is>
          <t>Wattle Plan Services</t>
        </is>
      </c>
      <c r="F475" t="n">
        <v>1</v>
      </c>
      <c r="G475" t="inlineStr">
        <is>
          <t>1 invoices</t>
        </is>
      </c>
      <c r="H475">
        <f>COUNTIFS('Bank Lines'!$G$5:$G$1640,A475,'Bank Lines'!$J$5:$J$1640,1)</f>
        <v>1</v>
      </c>
      <c r="I475">
        <f>COUNTIFS('Odoo Items'!$J$5:$J$4331,A475)</f>
        <v>1</v>
      </c>
      <c r="J475" s="9">
        <f>ROUND(SUMIFS('Bank Lines'!$E$5:$E$1640,'Bank Lines'!$G$5:$G$1640,A475,'Bank Lines'!$J$5:$J$1640,1),2)</f>
        <v>272.49</v>
      </c>
      <c r="K475" s="9">
        <f>ROUND(SUMIFS('Odoo Items'!$G$5:$G$4331,'Odoo Items'!$J$5:$J$4331,A475),2)</f>
        <v>272.49</v>
      </c>
      <c r="L475" s="9">
        <f>ROUND(J475-K475,2)</f>
        <v>0</v>
      </c>
      <c r="M475" s="9">
        <f>ROUND(SUMIFS('Bank Lines'!$E$5:$E$1640,'Bank Lines'!$G$5:$G$1640,A475,'Bank Lines'!$J$5:$J$1640,1,'Bank Lines'!$C$5:$C$1640,"&lt;="&amp;Cover!$C$13),2)</f>
        <v>0</v>
      </c>
      <c r="N475" s="9">
        <f>ROUND(SUMIFS('Odoo Items'!$G$5:$G$4331,'Odoo Items'!$J$5:$J$4331,A475,'Odoo Items'!$C$5:$C$4331,"&lt;="&amp;Cover!$C$13),2)</f>
        <v>0</v>
      </c>
      <c r="O475">
        <f>COUNTIFS('Bank Lines'!$G$5:$G$1640,A475,'Bank Lines'!$J$5:$J$1640,1,'Bank Lines'!$C$5:$C$1640,"&lt;="&amp;Cover!$C$13)</f>
        <v>0</v>
      </c>
      <c r="P475">
        <f>COUNTIFS('Odoo Items'!$J$5:$J$4331,A475,'Odoo Items'!$C$5:$C$4331,"&lt;="&amp;Cover!$C$13)</f>
        <v>0</v>
      </c>
      <c r="Q475">
        <f>IF(AND(O475=0,P475=0),"",IF(O475=0,"ODOO-ONLY",IF(P475=0,"BANK-ONLY","BOTH")))</f>
      </c>
      <c r="R475" s="9">
        <f>IF(Q475="BOTH",ROUND(M475-N475,2),0)</f>
        <v>0</v>
      </c>
      <c r="S475" s="9">
        <f>ROUND(SUMIFS('Bank Lines'!$E$5:$E$1640,'Bank Lines'!$G$5:$G$1640,A475,'Bank Lines'!$J$5:$J$1640,1,'Bank Lines'!$C$5:$C$1640,"&lt;="&amp;Cover!$C$14),2)</f>
        <v>0</v>
      </c>
      <c r="T475" s="9">
        <f>ROUND(SUMIFS('Odoo Items'!$G$5:$G$4331,'Odoo Items'!$J$5:$J$4331,A475,'Odoo Items'!$C$5:$C$4331,"&lt;="&amp;Cover!$C$14),2)</f>
        <v>0</v>
      </c>
      <c r="U475">
        <f>COUNTIFS('Bank Lines'!$G$5:$G$1640,A475,'Bank Lines'!$J$5:$J$1640,1,'Bank Lines'!$C$5:$C$1640,"&lt;="&amp;Cover!$C$14)</f>
        <v>0</v>
      </c>
      <c r="V475">
        <f>COUNTIFS('Odoo Items'!$J$5:$J$4331,A475,'Odoo Items'!$C$5:$C$4331,"&lt;="&amp;Cover!$C$14)</f>
        <v>0</v>
      </c>
      <c r="W475">
        <f>IF(AND(U475=0,V475=0),"",IF(U475=0,"ODOO-ONLY",IF(V475=0,"BANK-ONLY","BOTH")))</f>
      </c>
      <c r="X475" s="9">
        <f>IF(W475="BOTH",ROUND(S475-T475,2),0)</f>
        <v>0</v>
      </c>
      <c r="Y475" s="9">
        <f>ROUND(SUMIFS('Bank Lines'!$E$5:$E$1640,'Bank Lines'!$G$5:$G$1640,A475,'Bank Lines'!$J$5:$J$1640,1,'Bank Lines'!$C$5:$C$1640,"&lt;="&amp;Cover!$C$15),2)</f>
        <v>272.49</v>
      </c>
      <c r="Z475" s="9">
        <f>ROUND(SUMIFS('Odoo Items'!$G$5:$G$4331,'Odoo Items'!$J$5:$J$4331,A475,'Odoo Items'!$C$5:$C$4331,"&lt;="&amp;Cover!$C$15),2)</f>
        <v>272.49</v>
      </c>
      <c r="AA475">
        <f>COUNTIFS('Bank Lines'!$G$5:$G$1640,A475,'Bank Lines'!$J$5:$J$1640,1,'Bank Lines'!$C$5:$C$1640,"&lt;="&amp;Cover!$C$15)</f>
        <v>1</v>
      </c>
      <c r="AB475">
        <f>COUNTIFS('Odoo Items'!$J$5:$J$4331,A475,'Odoo Items'!$C$5:$C$4331,"&lt;="&amp;Cover!$C$15)</f>
        <v>1</v>
      </c>
      <c r="AC475" t="str">
        <f>IF(AND(AA475=0,AB475=0),"",IF(AA475=0,"ODOO-ONLY",IF(AB475=0,"BANK-ONLY","BOTH")))</f>
        <v>BOTH</v>
      </c>
      <c r="AD475" s="9">
        <f>IF(AC475="BOTH",ROUND(Y475-Z475,2),0)</f>
        <v>0</v>
      </c>
    </row>
    <row r="476">
      <c r="A476" t="inlineStr">
        <is>
          <t>G00472</t>
        </is>
      </c>
      <c r="B476" t="inlineStr">
        <is>
          <t>OPS</t>
        </is>
      </c>
      <c r="C476" t="inlineStr">
        <is>
          <t>R03</t>
        </is>
      </c>
      <c r="D476" t="inlineStr">
        <is>
          <t>MATCH</t>
        </is>
      </c>
      <c r="E476" t="inlineStr">
        <is>
          <t>Banksia Plan Co</t>
        </is>
      </c>
      <c r="F476" t="n">
        <v>1</v>
      </c>
      <c r="G476" t="inlineStr">
        <is>
          <t>3 invoices</t>
        </is>
      </c>
      <c r="H476">
        <f>COUNTIFS('Bank Lines'!$G$5:$G$1640,A476,'Bank Lines'!$J$5:$J$1640,1)</f>
        <v>1</v>
      </c>
      <c r="I476">
        <f>COUNTIFS('Odoo Items'!$J$5:$J$4331,A476)</f>
        <v>3</v>
      </c>
      <c r="J476" s="9">
        <f>ROUND(SUMIFS('Bank Lines'!$E$5:$E$1640,'Bank Lines'!$G$5:$G$1640,A476,'Bank Lines'!$J$5:$J$1640,1),2)</f>
        <v>787.46</v>
      </c>
      <c r="K476" s="9">
        <f>ROUND(SUMIFS('Odoo Items'!$G$5:$G$4331,'Odoo Items'!$J$5:$J$4331,A476),2)</f>
        <v>787.46</v>
      </c>
      <c r="L476" s="9">
        <f>ROUND(J476-K476,2)</f>
        <v>0</v>
      </c>
      <c r="M476" s="9">
        <f>ROUND(SUMIFS('Bank Lines'!$E$5:$E$1640,'Bank Lines'!$G$5:$G$1640,A476,'Bank Lines'!$J$5:$J$1640,1,'Bank Lines'!$C$5:$C$1640,"&lt;="&amp;Cover!$C$13),2)</f>
        <v>0</v>
      </c>
      <c r="N476" s="9">
        <f>ROUND(SUMIFS('Odoo Items'!$G$5:$G$4331,'Odoo Items'!$J$5:$J$4331,A476,'Odoo Items'!$C$5:$C$4331,"&lt;="&amp;Cover!$C$13),2)</f>
        <v>0</v>
      </c>
      <c r="O476">
        <f>COUNTIFS('Bank Lines'!$G$5:$G$1640,A476,'Bank Lines'!$J$5:$J$1640,1,'Bank Lines'!$C$5:$C$1640,"&lt;="&amp;Cover!$C$13)</f>
        <v>0</v>
      </c>
      <c r="P476">
        <f>COUNTIFS('Odoo Items'!$J$5:$J$4331,A476,'Odoo Items'!$C$5:$C$4331,"&lt;="&amp;Cover!$C$13)</f>
        <v>0</v>
      </c>
      <c r="Q476">
        <f>IF(AND(O476=0,P476=0),"",IF(O476=0,"ODOO-ONLY",IF(P476=0,"BANK-ONLY","BOTH")))</f>
      </c>
      <c r="R476" s="9">
        <f>IF(Q476="BOTH",ROUND(M476-N476,2),0)</f>
        <v>0</v>
      </c>
      <c r="S476" s="9">
        <f>ROUND(SUMIFS('Bank Lines'!$E$5:$E$1640,'Bank Lines'!$G$5:$G$1640,A476,'Bank Lines'!$J$5:$J$1640,1,'Bank Lines'!$C$5:$C$1640,"&lt;="&amp;Cover!$C$14),2)</f>
        <v>0</v>
      </c>
      <c r="T476" s="9">
        <f>ROUND(SUMIFS('Odoo Items'!$G$5:$G$4331,'Odoo Items'!$J$5:$J$4331,A476,'Odoo Items'!$C$5:$C$4331,"&lt;="&amp;Cover!$C$14),2)</f>
        <v>0</v>
      </c>
      <c r="U476">
        <f>COUNTIFS('Bank Lines'!$G$5:$G$1640,A476,'Bank Lines'!$J$5:$J$1640,1,'Bank Lines'!$C$5:$C$1640,"&lt;="&amp;Cover!$C$14)</f>
        <v>0</v>
      </c>
      <c r="V476">
        <f>COUNTIFS('Odoo Items'!$J$5:$J$4331,A476,'Odoo Items'!$C$5:$C$4331,"&lt;="&amp;Cover!$C$14)</f>
        <v>0</v>
      </c>
      <c r="W476">
        <f>IF(AND(U476=0,V476=0),"",IF(U476=0,"ODOO-ONLY",IF(V476=0,"BANK-ONLY","BOTH")))</f>
      </c>
      <c r="X476" s="9">
        <f>IF(W476="BOTH",ROUND(S476-T476,2),0)</f>
        <v>0</v>
      </c>
      <c r="Y476" s="9">
        <f>ROUND(SUMIFS('Bank Lines'!$E$5:$E$1640,'Bank Lines'!$G$5:$G$1640,A476,'Bank Lines'!$J$5:$J$1640,1,'Bank Lines'!$C$5:$C$1640,"&lt;="&amp;Cover!$C$15),2)</f>
        <v>787.46</v>
      </c>
      <c r="Z476" s="9">
        <f>ROUND(SUMIFS('Odoo Items'!$G$5:$G$4331,'Odoo Items'!$J$5:$J$4331,A476,'Odoo Items'!$C$5:$C$4331,"&lt;="&amp;Cover!$C$15),2)</f>
        <v>787.46</v>
      </c>
      <c r="AA476">
        <f>COUNTIFS('Bank Lines'!$G$5:$G$1640,A476,'Bank Lines'!$J$5:$J$1640,1,'Bank Lines'!$C$5:$C$1640,"&lt;="&amp;Cover!$C$15)</f>
        <v>1</v>
      </c>
      <c r="AB476">
        <f>COUNTIFS('Odoo Items'!$J$5:$J$4331,A476,'Odoo Items'!$C$5:$C$4331,"&lt;="&amp;Cover!$C$15)</f>
        <v>3</v>
      </c>
      <c r="AC476" t="str">
        <f>IF(AND(AA476=0,AB476=0),"",IF(AA476=0,"ODOO-ONLY",IF(AB476=0,"BANK-ONLY","BOTH")))</f>
        <v>BOTH</v>
      </c>
      <c r="AD476" s="9">
        <f>IF(AC476="BOTH",ROUND(Y476-Z476,2),0)</f>
        <v>0</v>
      </c>
    </row>
    <row r="477">
      <c r="A477" t="inlineStr">
        <is>
          <t>G00473</t>
        </is>
      </c>
      <c r="B477" t="inlineStr">
        <is>
          <t>OPS</t>
        </is>
      </c>
      <c r="C477" t="inlineStr">
        <is>
          <t>R03</t>
        </is>
      </c>
      <c r="D477" t="inlineStr">
        <is>
          <t>REG</t>
        </is>
      </c>
      <c r="E477" t="inlineStr">
        <is>
          <t>Kookaburra Plan Support</t>
        </is>
      </c>
      <c r="F477" t="n">
        <v>1</v>
      </c>
      <c r="G477" t="inlineStr">
        <is>
          <t>Receipt not registered in Odoo; remittance RA45194 lists 10 invoices</t>
        </is>
      </c>
      <c r="H477">
        <f>COUNTIFS('Bank Lines'!$G$5:$G$1640,A477,'Bank Lines'!$J$5:$J$1640,1)</f>
        <v>1</v>
      </c>
      <c r="I477">
        <f>COUNTIFS('Odoo Items'!$J$5:$J$4331,A477)</f>
        <v>0</v>
      </c>
      <c r="J477" s="9">
        <f>ROUND(SUMIFS('Bank Lines'!$E$5:$E$1640,'Bank Lines'!$G$5:$G$1640,A477,'Bank Lines'!$J$5:$J$1640,1),2)</f>
        <v>2427.56</v>
      </c>
      <c r="K477" s="9">
        <f>ROUND(SUMIFS('Odoo Items'!$G$5:$G$4331,'Odoo Items'!$J$5:$J$4331,A477),2)</f>
        <v>0</v>
      </c>
      <c r="L477" s="9">
        <f>ROUND(J477-K477,2)</f>
        <v>2427.56</v>
      </c>
      <c r="M477" s="9">
        <f>ROUND(SUMIFS('Bank Lines'!$E$5:$E$1640,'Bank Lines'!$G$5:$G$1640,A477,'Bank Lines'!$J$5:$J$1640,1,'Bank Lines'!$C$5:$C$1640,"&lt;="&amp;Cover!$C$13),2)</f>
        <v>0</v>
      </c>
      <c r="N477" s="9">
        <f>ROUND(SUMIFS('Odoo Items'!$G$5:$G$4331,'Odoo Items'!$J$5:$J$4331,A477,'Odoo Items'!$C$5:$C$4331,"&lt;="&amp;Cover!$C$13),2)</f>
        <v>0</v>
      </c>
      <c r="O477">
        <f>COUNTIFS('Bank Lines'!$G$5:$G$1640,A477,'Bank Lines'!$J$5:$J$1640,1,'Bank Lines'!$C$5:$C$1640,"&lt;="&amp;Cover!$C$13)</f>
        <v>0</v>
      </c>
      <c r="P477">
        <f>COUNTIFS('Odoo Items'!$J$5:$J$4331,A477,'Odoo Items'!$C$5:$C$4331,"&lt;="&amp;Cover!$C$13)</f>
        <v>0</v>
      </c>
      <c r="Q477">
        <f>IF(AND(O477=0,P477=0),"",IF(O477=0,"ODOO-ONLY",IF(P477=0,"BANK-ONLY","BOTH")))</f>
      </c>
      <c r="R477" s="9">
        <f>IF(Q477="BOTH",ROUND(M477-N477,2),0)</f>
        <v>0</v>
      </c>
      <c r="S477" s="9">
        <f>ROUND(SUMIFS('Bank Lines'!$E$5:$E$1640,'Bank Lines'!$G$5:$G$1640,A477,'Bank Lines'!$J$5:$J$1640,1,'Bank Lines'!$C$5:$C$1640,"&lt;="&amp;Cover!$C$14),2)</f>
        <v>0</v>
      </c>
      <c r="T477" s="9">
        <f>ROUND(SUMIFS('Odoo Items'!$G$5:$G$4331,'Odoo Items'!$J$5:$J$4331,A477,'Odoo Items'!$C$5:$C$4331,"&lt;="&amp;Cover!$C$14),2)</f>
        <v>0</v>
      </c>
      <c r="U477">
        <f>COUNTIFS('Bank Lines'!$G$5:$G$1640,A477,'Bank Lines'!$J$5:$J$1640,1,'Bank Lines'!$C$5:$C$1640,"&lt;="&amp;Cover!$C$14)</f>
        <v>0</v>
      </c>
      <c r="V477">
        <f>COUNTIFS('Odoo Items'!$J$5:$J$4331,A477,'Odoo Items'!$C$5:$C$4331,"&lt;="&amp;Cover!$C$14)</f>
        <v>0</v>
      </c>
      <c r="W477">
        <f>IF(AND(U477=0,V477=0),"",IF(U477=0,"ODOO-ONLY",IF(V477=0,"BANK-ONLY","BOTH")))</f>
      </c>
      <c r="X477" s="9">
        <f>IF(W477="BOTH",ROUND(S477-T477,2),0)</f>
        <v>0</v>
      </c>
      <c r="Y477" s="9">
        <f>ROUND(SUMIFS('Bank Lines'!$E$5:$E$1640,'Bank Lines'!$G$5:$G$1640,A477,'Bank Lines'!$J$5:$J$1640,1,'Bank Lines'!$C$5:$C$1640,"&lt;="&amp;Cover!$C$15),2)</f>
        <v>2427.56</v>
      </c>
      <c r="Z477" s="9">
        <f>ROUND(SUMIFS('Odoo Items'!$G$5:$G$4331,'Odoo Items'!$J$5:$J$4331,A477,'Odoo Items'!$C$5:$C$4331,"&lt;="&amp;Cover!$C$15),2)</f>
        <v>0</v>
      </c>
      <c r="AA477">
        <f>COUNTIFS('Bank Lines'!$G$5:$G$1640,A477,'Bank Lines'!$J$5:$J$1640,1,'Bank Lines'!$C$5:$C$1640,"&lt;="&amp;Cover!$C$15)</f>
        <v>1</v>
      </c>
      <c r="AB477">
        <f>COUNTIFS('Odoo Items'!$J$5:$J$4331,A477,'Odoo Items'!$C$5:$C$4331,"&lt;="&amp;Cover!$C$15)</f>
        <v>0</v>
      </c>
      <c r="AC477" t="str">
        <f>IF(AND(AA477=0,AB477=0),"",IF(AA477=0,"ODOO-ONLY",IF(AB477=0,"BANK-ONLY","BOTH")))</f>
        <v>BANK-ONLY</v>
      </c>
      <c r="AD477" s="9">
        <f>IF(AC477="BOTH",ROUND(Y477-Z477,2),0)</f>
        <v>0</v>
      </c>
    </row>
    <row r="478">
      <c r="A478" t="inlineStr">
        <is>
          <t>G00474</t>
        </is>
      </c>
      <c r="B478" t="inlineStr">
        <is>
          <t>OPS</t>
        </is>
      </c>
      <c r="C478" t="inlineStr">
        <is>
          <t>R03</t>
        </is>
      </c>
      <c r="D478" t="inlineStr">
        <is>
          <t>MATCH</t>
        </is>
      </c>
      <c r="E478" t="inlineStr">
        <is>
          <t>Southern Cross Plan Mgmt</t>
        </is>
      </c>
      <c r="F478" t="n">
        <v>1</v>
      </c>
      <c r="G478" t="inlineStr">
        <is>
          <t>2 invoices</t>
        </is>
      </c>
      <c r="H478">
        <f>COUNTIFS('Bank Lines'!$G$5:$G$1640,A478,'Bank Lines'!$J$5:$J$1640,1)</f>
        <v>1</v>
      </c>
      <c r="I478">
        <f>COUNTIFS('Odoo Items'!$J$5:$J$4331,A478)</f>
        <v>2</v>
      </c>
      <c r="J478" s="9">
        <f>ROUND(SUMIFS('Bank Lines'!$E$5:$E$1640,'Bank Lines'!$G$5:$G$1640,A478,'Bank Lines'!$J$5:$J$1640,1),2)</f>
        <v>252.18</v>
      </c>
      <c r="K478" s="9">
        <f>ROUND(SUMIFS('Odoo Items'!$G$5:$G$4331,'Odoo Items'!$J$5:$J$4331,A478),2)</f>
        <v>252.18</v>
      </c>
      <c r="L478" s="9">
        <f>ROUND(J478-K478,2)</f>
        <v>0</v>
      </c>
      <c r="M478" s="9">
        <f>ROUND(SUMIFS('Bank Lines'!$E$5:$E$1640,'Bank Lines'!$G$5:$G$1640,A478,'Bank Lines'!$J$5:$J$1640,1,'Bank Lines'!$C$5:$C$1640,"&lt;="&amp;Cover!$C$13),2)</f>
        <v>0</v>
      </c>
      <c r="N478" s="9">
        <f>ROUND(SUMIFS('Odoo Items'!$G$5:$G$4331,'Odoo Items'!$J$5:$J$4331,A478,'Odoo Items'!$C$5:$C$4331,"&lt;="&amp;Cover!$C$13),2)</f>
        <v>0</v>
      </c>
      <c r="O478">
        <f>COUNTIFS('Bank Lines'!$G$5:$G$1640,A478,'Bank Lines'!$J$5:$J$1640,1,'Bank Lines'!$C$5:$C$1640,"&lt;="&amp;Cover!$C$13)</f>
        <v>0</v>
      </c>
      <c r="P478">
        <f>COUNTIFS('Odoo Items'!$J$5:$J$4331,A478,'Odoo Items'!$C$5:$C$4331,"&lt;="&amp;Cover!$C$13)</f>
        <v>0</v>
      </c>
      <c r="Q478">
        <f>IF(AND(O478=0,P478=0),"",IF(O478=0,"ODOO-ONLY",IF(P478=0,"BANK-ONLY","BOTH")))</f>
      </c>
      <c r="R478" s="9">
        <f>IF(Q478="BOTH",ROUND(M478-N478,2),0)</f>
        <v>0</v>
      </c>
      <c r="S478" s="9">
        <f>ROUND(SUMIFS('Bank Lines'!$E$5:$E$1640,'Bank Lines'!$G$5:$G$1640,A478,'Bank Lines'!$J$5:$J$1640,1,'Bank Lines'!$C$5:$C$1640,"&lt;="&amp;Cover!$C$14),2)</f>
        <v>0</v>
      </c>
      <c r="T478" s="9">
        <f>ROUND(SUMIFS('Odoo Items'!$G$5:$G$4331,'Odoo Items'!$J$5:$J$4331,A478,'Odoo Items'!$C$5:$C$4331,"&lt;="&amp;Cover!$C$14),2)</f>
        <v>0</v>
      </c>
      <c r="U478">
        <f>COUNTIFS('Bank Lines'!$G$5:$G$1640,A478,'Bank Lines'!$J$5:$J$1640,1,'Bank Lines'!$C$5:$C$1640,"&lt;="&amp;Cover!$C$14)</f>
        <v>0</v>
      </c>
      <c r="V478">
        <f>COUNTIFS('Odoo Items'!$J$5:$J$4331,A478,'Odoo Items'!$C$5:$C$4331,"&lt;="&amp;Cover!$C$14)</f>
        <v>0</v>
      </c>
      <c r="W478">
        <f>IF(AND(U478=0,V478=0),"",IF(U478=0,"ODOO-ONLY",IF(V478=0,"BANK-ONLY","BOTH")))</f>
      </c>
      <c r="X478" s="9">
        <f>IF(W478="BOTH",ROUND(S478-T478,2),0)</f>
        <v>0</v>
      </c>
      <c r="Y478" s="9">
        <f>ROUND(SUMIFS('Bank Lines'!$E$5:$E$1640,'Bank Lines'!$G$5:$G$1640,A478,'Bank Lines'!$J$5:$J$1640,1,'Bank Lines'!$C$5:$C$1640,"&lt;="&amp;Cover!$C$15),2)</f>
        <v>252.18</v>
      </c>
      <c r="Z478" s="9">
        <f>ROUND(SUMIFS('Odoo Items'!$G$5:$G$4331,'Odoo Items'!$J$5:$J$4331,A478,'Odoo Items'!$C$5:$C$4331,"&lt;="&amp;Cover!$C$15),2)</f>
        <v>252.18</v>
      </c>
      <c r="AA478">
        <f>COUNTIFS('Bank Lines'!$G$5:$G$1640,A478,'Bank Lines'!$J$5:$J$1640,1,'Bank Lines'!$C$5:$C$1640,"&lt;="&amp;Cover!$C$15)</f>
        <v>1</v>
      </c>
      <c r="AB478">
        <f>COUNTIFS('Odoo Items'!$J$5:$J$4331,A478,'Odoo Items'!$C$5:$C$4331,"&lt;="&amp;Cover!$C$15)</f>
        <v>2</v>
      </c>
      <c r="AC478" t="str">
        <f>IF(AND(AA478=0,AB478=0),"",IF(AA478=0,"ODOO-ONLY",IF(AB478=0,"BANK-ONLY","BOTH")))</f>
        <v>BOTH</v>
      </c>
      <c r="AD478" s="9">
        <f>IF(AC478="BOTH",ROUND(Y478-Z478,2),0)</f>
        <v>0</v>
      </c>
    </row>
    <row r="479">
      <c r="A479" t="inlineStr">
        <is>
          <t>G00475</t>
        </is>
      </c>
      <c r="B479" t="inlineStr">
        <is>
          <t>OPS</t>
        </is>
      </c>
      <c r="C479" t="inlineStr">
        <is>
          <t>R03</t>
        </is>
      </c>
      <c r="D479" t="inlineStr">
        <is>
          <t>REG</t>
        </is>
      </c>
      <c r="E479" t="inlineStr">
        <is>
          <t>Tallowwood Plans</t>
        </is>
      </c>
      <c r="F479" t="n">
        <v>1</v>
      </c>
      <c r="G479" t="inlineStr">
        <is>
          <t>Receipt not registered in Odoo; remittance RA45196 lists 3 invoices</t>
        </is>
      </c>
      <c r="H479">
        <f>COUNTIFS('Bank Lines'!$G$5:$G$1640,A479,'Bank Lines'!$J$5:$J$1640,1)</f>
        <v>1</v>
      </c>
      <c r="I479">
        <f>COUNTIFS('Odoo Items'!$J$5:$J$4331,A479)</f>
        <v>0</v>
      </c>
      <c r="J479" s="9">
        <f>ROUND(SUMIFS('Bank Lines'!$E$5:$E$1640,'Bank Lines'!$G$5:$G$1640,A479,'Bank Lines'!$J$5:$J$1640,1),2)</f>
        <v>854.45</v>
      </c>
      <c r="K479" s="9">
        <f>ROUND(SUMIFS('Odoo Items'!$G$5:$G$4331,'Odoo Items'!$J$5:$J$4331,A479),2)</f>
        <v>0</v>
      </c>
      <c r="L479" s="9">
        <f>ROUND(J479-K479,2)</f>
        <v>854.45</v>
      </c>
      <c r="M479" s="9">
        <f>ROUND(SUMIFS('Bank Lines'!$E$5:$E$1640,'Bank Lines'!$G$5:$G$1640,A479,'Bank Lines'!$J$5:$J$1640,1,'Bank Lines'!$C$5:$C$1640,"&lt;="&amp;Cover!$C$13),2)</f>
        <v>0</v>
      </c>
      <c r="N479" s="9">
        <f>ROUND(SUMIFS('Odoo Items'!$G$5:$G$4331,'Odoo Items'!$J$5:$J$4331,A479,'Odoo Items'!$C$5:$C$4331,"&lt;="&amp;Cover!$C$13),2)</f>
        <v>0</v>
      </c>
      <c r="O479">
        <f>COUNTIFS('Bank Lines'!$G$5:$G$1640,A479,'Bank Lines'!$J$5:$J$1640,1,'Bank Lines'!$C$5:$C$1640,"&lt;="&amp;Cover!$C$13)</f>
        <v>0</v>
      </c>
      <c r="P479">
        <f>COUNTIFS('Odoo Items'!$J$5:$J$4331,A479,'Odoo Items'!$C$5:$C$4331,"&lt;="&amp;Cover!$C$13)</f>
        <v>0</v>
      </c>
      <c r="Q479">
        <f>IF(AND(O479=0,P479=0),"",IF(O479=0,"ODOO-ONLY",IF(P479=0,"BANK-ONLY","BOTH")))</f>
      </c>
      <c r="R479" s="9">
        <f>IF(Q479="BOTH",ROUND(M479-N479,2),0)</f>
        <v>0</v>
      </c>
      <c r="S479" s="9">
        <f>ROUND(SUMIFS('Bank Lines'!$E$5:$E$1640,'Bank Lines'!$G$5:$G$1640,A479,'Bank Lines'!$J$5:$J$1640,1,'Bank Lines'!$C$5:$C$1640,"&lt;="&amp;Cover!$C$14),2)</f>
        <v>0</v>
      </c>
      <c r="T479" s="9">
        <f>ROUND(SUMIFS('Odoo Items'!$G$5:$G$4331,'Odoo Items'!$J$5:$J$4331,A479,'Odoo Items'!$C$5:$C$4331,"&lt;="&amp;Cover!$C$14),2)</f>
        <v>0</v>
      </c>
      <c r="U479">
        <f>COUNTIFS('Bank Lines'!$G$5:$G$1640,A479,'Bank Lines'!$J$5:$J$1640,1,'Bank Lines'!$C$5:$C$1640,"&lt;="&amp;Cover!$C$14)</f>
        <v>0</v>
      </c>
      <c r="V479">
        <f>COUNTIFS('Odoo Items'!$J$5:$J$4331,A479,'Odoo Items'!$C$5:$C$4331,"&lt;="&amp;Cover!$C$14)</f>
        <v>0</v>
      </c>
      <c r="W479">
        <f>IF(AND(U479=0,V479=0),"",IF(U479=0,"ODOO-ONLY",IF(V479=0,"BANK-ONLY","BOTH")))</f>
      </c>
      <c r="X479" s="9">
        <f>IF(W479="BOTH",ROUND(S479-T479,2),0)</f>
        <v>0</v>
      </c>
      <c r="Y479" s="9">
        <f>ROUND(SUMIFS('Bank Lines'!$E$5:$E$1640,'Bank Lines'!$G$5:$G$1640,A479,'Bank Lines'!$J$5:$J$1640,1,'Bank Lines'!$C$5:$C$1640,"&lt;="&amp;Cover!$C$15),2)</f>
        <v>854.45</v>
      </c>
      <c r="Z479" s="9">
        <f>ROUND(SUMIFS('Odoo Items'!$G$5:$G$4331,'Odoo Items'!$J$5:$J$4331,A479,'Odoo Items'!$C$5:$C$4331,"&lt;="&amp;Cover!$C$15),2)</f>
        <v>0</v>
      </c>
      <c r="AA479">
        <f>COUNTIFS('Bank Lines'!$G$5:$G$1640,A479,'Bank Lines'!$J$5:$J$1640,1,'Bank Lines'!$C$5:$C$1640,"&lt;="&amp;Cover!$C$15)</f>
        <v>1</v>
      </c>
      <c r="AB479">
        <f>COUNTIFS('Odoo Items'!$J$5:$J$4331,A479,'Odoo Items'!$C$5:$C$4331,"&lt;="&amp;Cover!$C$15)</f>
        <v>0</v>
      </c>
      <c r="AC479" t="str">
        <f>IF(AND(AA479=0,AB479=0),"",IF(AA479=0,"ODOO-ONLY",IF(AB479=0,"BANK-ONLY","BOTH")))</f>
        <v>BANK-ONLY</v>
      </c>
      <c r="AD479" s="9">
        <f>IF(AC479="BOTH",ROUND(Y479-Z479,2),0)</f>
        <v>0</v>
      </c>
    </row>
    <row r="480">
      <c r="A480" t="inlineStr">
        <is>
          <t>G00476</t>
        </is>
      </c>
      <c r="B480" t="inlineStr">
        <is>
          <t>OPS</t>
        </is>
      </c>
      <c r="C480" t="inlineStr">
        <is>
          <t>R03</t>
        </is>
      </c>
      <c r="D480" t="inlineStr">
        <is>
          <t>MATCH</t>
        </is>
      </c>
      <c r="E480" t="inlineStr">
        <is>
          <t>Mallee Plan Services</t>
        </is>
      </c>
      <c r="F480" t="n">
        <v>1</v>
      </c>
      <c r="G480" t="inlineStr">
        <is>
          <t>2 invoices</t>
        </is>
      </c>
      <c r="H480">
        <f>COUNTIFS('Bank Lines'!$G$5:$G$1640,A480,'Bank Lines'!$J$5:$J$1640,1)</f>
        <v>1</v>
      </c>
      <c r="I480">
        <f>COUNTIFS('Odoo Items'!$J$5:$J$4331,A480)</f>
        <v>2</v>
      </c>
      <c r="J480" s="9">
        <f>ROUND(SUMIFS('Bank Lines'!$E$5:$E$1640,'Bank Lines'!$G$5:$G$1640,A480,'Bank Lines'!$J$5:$J$1640,1),2)</f>
        <v>417.98</v>
      </c>
      <c r="K480" s="9">
        <f>ROUND(SUMIFS('Odoo Items'!$G$5:$G$4331,'Odoo Items'!$J$5:$J$4331,A480),2)</f>
        <v>417.98</v>
      </c>
      <c r="L480" s="9">
        <f>ROUND(J480-K480,2)</f>
        <v>0</v>
      </c>
      <c r="M480" s="9">
        <f>ROUND(SUMIFS('Bank Lines'!$E$5:$E$1640,'Bank Lines'!$G$5:$G$1640,A480,'Bank Lines'!$J$5:$J$1640,1,'Bank Lines'!$C$5:$C$1640,"&lt;="&amp;Cover!$C$13),2)</f>
        <v>0</v>
      </c>
      <c r="N480" s="9">
        <f>ROUND(SUMIFS('Odoo Items'!$G$5:$G$4331,'Odoo Items'!$J$5:$J$4331,A480,'Odoo Items'!$C$5:$C$4331,"&lt;="&amp;Cover!$C$13),2)</f>
        <v>0</v>
      </c>
      <c r="O480">
        <f>COUNTIFS('Bank Lines'!$G$5:$G$1640,A480,'Bank Lines'!$J$5:$J$1640,1,'Bank Lines'!$C$5:$C$1640,"&lt;="&amp;Cover!$C$13)</f>
        <v>0</v>
      </c>
      <c r="P480">
        <f>COUNTIFS('Odoo Items'!$J$5:$J$4331,A480,'Odoo Items'!$C$5:$C$4331,"&lt;="&amp;Cover!$C$13)</f>
        <v>0</v>
      </c>
      <c r="Q480">
        <f>IF(AND(O480=0,P480=0),"",IF(O480=0,"ODOO-ONLY",IF(P480=0,"BANK-ONLY","BOTH")))</f>
      </c>
      <c r="R480" s="9">
        <f>IF(Q480="BOTH",ROUND(M480-N480,2),0)</f>
        <v>0</v>
      </c>
      <c r="S480" s="9">
        <f>ROUND(SUMIFS('Bank Lines'!$E$5:$E$1640,'Bank Lines'!$G$5:$G$1640,A480,'Bank Lines'!$J$5:$J$1640,1,'Bank Lines'!$C$5:$C$1640,"&lt;="&amp;Cover!$C$14),2)</f>
        <v>0</v>
      </c>
      <c r="T480" s="9">
        <f>ROUND(SUMIFS('Odoo Items'!$G$5:$G$4331,'Odoo Items'!$J$5:$J$4331,A480,'Odoo Items'!$C$5:$C$4331,"&lt;="&amp;Cover!$C$14),2)</f>
        <v>0</v>
      </c>
      <c r="U480">
        <f>COUNTIFS('Bank Lines'!$G$5:$G$1640,A480,'Bank Lines'!$J$5:$J$1640,1,'Bank Lines'!$C$5:$C$1640,"&lt;="&amp;Cover!$C$14)</f>
        <v>0</v>
      </c>
      <c r="V480">
        <f>COUNTIFS('Odoo Items'!$J$5:$J$4331,A480,'Odoo Items'!$C$5:$C$4331,"&lt;="&amp;Cover!$C$14)</f>
        <v>0</v>
      </c>
      <c r="W480">
        <f>IF(AND(U480=0,V480=0),"",IF(U480=0,"ODOO-ONLY",IF(V480=0,"BANK-ONLY","BOTH")))</f>
      </c>
      <c r="X480" s="9">
        <f>IF(W480="BOTH",ROUND(S480-T480,2),0)</f>
        <v>0</v>
      </c>
      <c r="Y480" s="9">
        <f>ROUND(SUMIFS('Bank Lines'!$E$5:$E$1640,'Bank Lines'!$G$5:$G$1640,A480,'Bank Lines'!$J$5:$J$1640,1,'Bank Lines'!$C$5:$C$1640,"&lt;="&amp;Cover!$C$15),2)</f>
        <v>417.98</v>
      </c>
      <c r="Z480" s="9">
        <f>ROUND(SUMIFS('Odoo Items'!$G$5:$G$4331,'Odoo Items'!$J$5:$J$4331,A480,'Odoo Items'!$C$5:$C$4331,"&lt;="&amp;Cover!$C$15),2)</f>
        <v>417.98</v>
      </c>
      <c r="AA480">
        <f>COUNTIFS('Bank Lines'!$G$5:$G$1640,A480,'Bank Lines'!$J$5:$J$1640,1,'Bank Lines'!$C$5:$C$1640,"&lt;="&amp;Cover!$C$15)</f>
        <v>1</v>
      </c>
      <c r="AB480">
        <f>COUNTIFS('Odoo Items'!$J$5:$J$4331,A480,'Odoo Items'!$C$5:$C$4331,"&lt;="&amp;Cover!$C$15)</f>
        <v>2</v>
      </c>
      <c r="AC480" t="str">
        <f>IF(AND(AA480=0,AB480=0),"",IF(AA480=0,"ODOO-ONLY",IF(AB480=0,"BANK-ONLY","BOTH")))</f>
        <v>BOTH</v>
      </c>
      <c r="AD480" s="9">
        <f>IF(AC480="BOTH",ROUND(Y480-Z480,2),0)</f>
        <v>0</v>
      </c>
    </row>
    <row r="481">
      <c r="A481" t="inlineStr">
        <is>
          <t>G00477</t>
        </is>
      </c>
      <c r="B481" t="inlineStr">
        <is>
          <t>OPS</t>
        </is>
      </c>
      <c r="C481" t="inlineStr">
        <is>
          <t>R03</t>
        </is>
      </c>
      <c r="D481" t="inlineStr">
        <is>
          <t>MATCH</t>
        </is>
      </c>
      <c r="E481" t="inlineStr">
        <is>
          <t>Bluegum Plan Management</t>
        </is>
      </c>
      <c r="F481" t="n">
        <v>1</v>
      </c>
      <c r="G481" t="inlineStr">
        <is>
          <t>2 invoices</t>
        </is>
      </c>
      <c r="H481">
        <f>COUNTIFS('Bank Lines'!$G$5:$G$1640,A481,'Bank Lines'!$J$5:$J$1640,1)</f>
        <v>1</v>
      </c>
      <c r="I481">
        <f>COUNTIFS('Odoo Items'!$J$5:$J$4331,A481)</f>
        <v>2</v>
      </c>
      <c r="J481" s="9">
        <f>ROUND(SUMIFS('Bank Lines'!$E$5:$E$1640,'Bank Lines'!$G$5:$G$1640,A481,'Bank Lines'!$J$5:$J$1640,1),2)</f>
        <v>834.16</v>
      </c>
      <c r="K481" s="9">
        <f>ROUND(SUMIFS('Odoo Items'!$G$5:$G$4331,'Odoo Items'!$J$5:$J$4331,A481),2)</f>
        <v>834.16</v>
      </c>
      <c r="L481" s="9">
        <f>ROUND(J481-K481,2)</f>
        <v>0</v>
      </c>
      <c r="M481" s="9">
        <f>ROUND(SUMIFS('Bank Lines'!$E$5:$E$1640,'Bank Lines'!$G$5:$G$1640,A481,'Bank Lines'!$J$5:$J$1640,1,'Bank Lines'!$C$5:$C$1640,"&lt;="&amp;Cover!$C$13),2)</f>
        <v>0</v>
      </c>
      <c r="N481" s="9">
        <f>ROUND(SUMIFS('Odoo Items'!$G$5:$G$4331,'Odoo Items'!$J$5:$J$4331,A481,'Odoo Items'!$C$5:$C$4331,"&lt;="&amp;Cover!$C$13),2)</f>
        <v>0</v>
      </c>
      <c r="O481">
        <f>COUNTIFS('Bank Lines'!$G$5:$G$1640,A481,'Bank Lines'!$J$5:$J$1640,1,'Bank Lines'!$C$5:$C$1640,"&lt;="&amp;Cover!$C$13)</f>
        <v>0</v>
      </c>
      <c r="P481">
        <f>COUNTIFS('Odoo Items'!$J$5:$J$4331,A481,'Odoo Items'!$C$5:$C$4331,"&lt;="&amp;Cover!$C$13)</f>
        <v>0</v>
      </c>
      <c r="Q481">
        <f>IF(AND(O481=0,P481=0),"",IF(O481=0,"ODOO-ONLY",IF(P481=0,"BANK-ONLY","BOTH")))</f>
      </c>
      <c r="R481" s="9">
        <f>IF(Q481="BOTH",ROUND(M481-N481,2),0)</f>
        <v>0</v>
      </c>
      <c r="S481" s="9">
        <f>ROUND(SUMIFS('Bank Lines'!$E$5:$E$1640,'Bank Lines'!$G$5:$G$1640,A481,'Bank Lines'!$J$5:$J$1640,1,'Bank Lines'!$C$5:$C$1640,"&lt;="&amp;Cover!$C$14),2)</f>
        <v>0</v>
      </c>
      <c r="T481" s="9">
        <f>ROUND(SUMIFS('Odoo Items'!$G$5:$G$4331,'Odoo Items'!$J$5:$J$4331,A481,'Odoo Items'!$C$5:$C$4331,"&lt;="&amp;Cover!$C$14),2)</f>
        <v>0</v>
      </c>
      <c r="U481">
        <f>COUNTIFS('Bank Lines'!$G$5:$G$1640,A481,'Bank Lines'!$J$5:$J$1640,1,'Bank Lines'!$C$5:$C$1640,"&lt;="&amp;Cover!$C$14)</f>
        <v>0</v>
      </c>
      <c r="V481">
        <f>COUNTIFS('Odoo Items'!$J$5:$J$4331,A481,'Odoo Items'!$C$5:$C$4331,"&lt;="&amp;Cover!$C$14)</f>
        <v>0</v>
      </c>
      <c r="W481">
        <f>IF(AND(U481=0,V481=0),"",IF(U481=0,"ODOO-ONLY",IF(V481=0,"BANK-ONLY","BOTH")))</f>
      </c>
      <c r="X481" s="9">
        <f>IF(W481="BOTH",ROUND(S481-T481,2),0)</f>
        <v>0</v>
      </c>
      <c r="Y481" s="9">
        <f>ROUND(SUMIFS('Bank Lines'!$E$5:$E$1640,'Bank Lines'!$G$5:$G$1640,A481,'Bank Lines'!$J$5:$J$1640,1,'Bank Lines'!$C$5:$C$1640,"&lt;="&amp;Cover!$C$15),2)</f>
        <v>834.16</v>
      </c>
      <c r="Z481" s="9">
        <f>ROUND(SUMIFS('Odoo Items'!$G$5:$G$4331,'Odoo Items'!$J$5:$J$4331,A481,'Odoo Items'!$C$5:$C$4331,"&lt;="&amp;Cover!$C$15),2)</f>
        <v>834.16</v>
      </c>
      <c r="AA481">
        <f>COUNTIFS('Bank Lines'!$G$5:$G$1640,A481,'Bank Lines'!$J$5:$J$1640,1,'Bank Lines'!$C$5:$C$1640,"&lt;="&amp;Cover!$C$15)</f>
        <v>1</v>
      </c>
      <c r="AB481">
        <f>COUNTIFS('Odoo Items'!$J$5:$J$4331,A481,'Odoo Items'!$C$5:$C$4331,"&lt;="&amp;Cover!$C$15)</f>
        <v>2</v>
      </c>
      <c r="AC481" t="str">
        <f>IF(AND(AA481=0,AB481=0),"",IF(AA481=0,"ODOO-ONLY",IF(AB481=0,"BANK-ONLY","BOTH")))</f>
        <v>BOTH</v>
      </c>
      <c r="AD481" s="9">
        <f>IF(AC481="BOTH",ROUND(Y481-Z481,2),0)</f>
        <v>0</v>
      </c>
    </row>
    <row r="482">
      <c r="A482" t="inlineStr">
        <is>
          <t>G00478</t>
        </is>
      </c>
      <c r="B482" t="inlineStr">
        <is>
          <t>OPS</t>
        </is>
      </c>
      <c r="C482" t="inlineStr">
        <is>
          <t>R03</t>
        </is>
      </c>
      <c r="D482" t="inlineStr">
        <is>
          <t>MATCH</t>
        </is>
      </c>
      <c r="E482" t="inlineStr">
        <is>
          <t>Clearpath NDIS Plans</t>
        </is>
      </c>
      <c r="F482" t="n">
        <v>0.973</v>
      </c>
      <c r="G482" t="inlineStr">
        <is>
          <t>4 invoices</t>
        </is>
      </c>
      <c r="H482">
        <f>COUNTIFS('Bank Lines'!$G$5:$G$1640,A482,'Bank Lines'!$J$5:$J$1640,1)</f>
        <v>1</v>
      </c>
      <c r="I482">
        <f>COUNTIFS('Odoo Items'!$J$5:$J$4331,A482)</f>
        <v>4</v>
      </c>
      <c r="J482" s="9">
        <f>ROUND(SUMIFS('Bank Lines'!$E$5:$E$1640,'Bank Lines'!$G$5:$G$1640,A482,'Bank Lines'!$J$5:$J$1640,1),2)</f>
        <v>1397.63</v>
      </c>
      <c r="K482" s="9">
        <f>ROUND(SUMIFS('Odoo Items'!$G$5:$G$4331,'Odoo Items'!$J$5:$J$4331,A482),2)</f>
        <v>1397.63</v>
      </c>
      <c r="L482" s="9">
        <f>ROUND(J482-K482,2)</f>
        <v>0</v>
      </c>
      <c r="M482" s="9">
        <f>ROUND(SUMIFS('Bank Lines'!$E$5:$E$1640,'Bank Lines'!$G$5:$G$1640,A482,'Bank Lines'!$J$5:$J$1640,1,'Bank Lines'!$C$5:$C$1640,"&lt;="&amp;Cover!$C$13),2)</f>
        <v>0</v>
      </c>
      <c r="N482" s="9">
        <f>ROUND(SUMIFS('Odoo Items'!$G$5:$G$4331,'Odoo Items'!$J$5:$J$4331,A482,'Odoo Items'!$C$5:$C$4331,"&lt;="&amp;Cover!$C$13),2)</f>
        <v>0</v>
      </c>
      <c r="O482">
        <f>COUNTIFS('Bank Lines'!$G$5:$G$1640,A482,'Bank Lines'!$J$5:$J$1640,1,'Bank Lines'!$C$5:$C$1640,"&lt;="&amp;Cover!$C$13)</f>
        <v>0</v>
      </c>
      <c r="P482">
        <f>COUNTIFS('Odoo Items'!$J$5:$J$4331,A482,'Odoo Items'!$C$5:$C$4331,"&lt;="&amp;Cover!$C$13)</f>
        <v>0</v>
      </c>
      <c r="Q482">
        <f>IF(AND(O482=0,P482=0),"",IF(O482=0,"ODOO-ONLY",IF(P482=0,"BANK-ONLY","BOTH")))</f>
      </c>
      <c r="R482" s="9">
        <f>IF(Q482="BOTH",ROUND(M482-N482,2),0)</f>
        <v>0</v>
      </c>
      <c r="S482" s="9">
        <f>ROUND(SUMIFS('Bank Lines'!$E$5:$E$1640,'Bank Lines'!$G$5:$G$1640,A482,'Bank Lines'!$J$5:$J$1640,1,'Bank Lines'!$C$5:$C$1640,"&lt;="&amp;Cover!$C$14),2)</f>
        <v>0</v>
      </c>
      <c r="T482" s="9">
        <f>ROUND(SUMIFS('Odoo Items'!$G$5:$G$4331,'Odoo Items'!$J$5:$J$4331,A482,'Odoo Items'!$C$5:$C$4331,"&lt;="&amp;Cover!$C$14),2)</f>
        <v>0</v>
      </c>
      <c r="U482">
        <f>COUNTIFS('Bank Lines'!$G$5:$G$1640,A482,'Bank Lines'!$J$5:$J$1640,1,'Bank Lines'!$C$5:$C$1640,"&lt;="&amp;Cover!$C$14)</f>
        <v>0</v>
      </c>
      <c r="V482">
        <f>COUNTIFS('Odoo Items'!$J$5:$J$4331,A482,'Odoo Items'!$C$5:$C$4331,"&lt;="&amp;Cover!$C$14)</f>
        <v>0</v>
      </c>
      <c r="W482">
        <f>IF(AND(U482=0,V482=0),"",IF(U482=0,"ODOO-ONLY",IF(V482=0,"BANK-ONLY","BOTH")))</f>
      </c>
      <c r="X482" s="9">
        <f>IF(W482="BOTH",ROUND(S482-T482,2),0)</f>
        <v>0</v>
      </c>
      <c r="Y482" s="9">
        <f>ROUND(SUMIFS('Bank Lines'!$E$5:$E$1640,'Bank Lines'!$G$5:$G$1640,A482,'Bank Lines'!$J$5:$J$1640,1,'Bank Lines'!$C$5:$C$1640,"&lt;="&amp;Cover!$C$15),2)</f>
        <v>1397.63</v>
      </c>
      <c r="Z482" s="9">
        <f>ROUND(SUMIFS('Odoo Items'!$G$5:$G$4331,'Odoo Items'!$J$5:$J$4331,A482,'Odoo Items'!$C$5:$C$4331,"&lt;="&amp;Cover!$C$15),2)</f>
        <v>1397.63</v>
      </c>
      <c r="AA482">
        <f>COUNTIFS('Bank Lines'!$G$5:$G$1640,A482,'Bank Lines'!$J$5:$J$1640,1,'Bank Lines'!$C$5:$C$1640,"&lt;="&amp;Cover!$C$15)</f>
        <v>1</v>
      </c>
      <c r="AB482">
        <f>COUNTIFS('Odoo Items'!$J$5:$J$4331,A482,'Odoo Items'!$C$5:$C$4331,"&lt;="&amp;Cover!$C$15)</f>
        <v>4</v>
      </c>
      <c r="AC482" t="str">
        <f>IF(AND(AA482=0,AB482=0),"",IF(AA482=0,"ODOO-ONLY",IF(AB482=0,"BANK-ONLY","BOTH")))</f>
        <v>BOTH</v>
      </c>
      <c r="AD482" s="9">
        <f>IF(AC482="BOTH",ROUND(Y482-Z482,2),0)</f>
        <v>0</v>
      </c>
    </row>
    <row r="483">
      <c r="A483" t="inlineStr">
        <is>
          <t>G00479</t>
        </is>
      </c>
      <c r="B483" t="inlineStr">
        <is>
          <t>OPS</t>
        </is>
      </c>
      <c r="C483" t="inlineStr">
        <is>
          <t>R03</t>
        </is>
      </c>
      <c r="D483" t="inlineStr">
        <is>
          <t>MATCH</t>
        </is>
      </c>
      <c r="E483" t="inlineStr">
        <is>
          <t>Banksia Plan Co</t>
        </is>
      </c>
      <c r="F483" t="n">
        <v>0.929</v>
      </c>
      <c r="G483" t="inlineStr">
        <is>
          <t>5 invoices</t>
        </is>
      </c>
      <c r="H483">
        <f>COUNTIFS('Bank Lines'!$G$5:$G$1640,A483,'Bank Lines'!$J$5:$J$1640,1)</f>
        <v>1</v>
      </c>
      <c r="I483">
        <f>COUNTIFS('Odoo Items'!$J$5:$J$4331,A483)</f>
        <v>5</v>
      </c>
      <c r="J483" s="9">
        <f>ROUND(SUMIFS('Bank Lines'!$E$5:$E$1640,'Bank Lines'!$G$5:$G$1640,A483,'Bank Lines'!$J$5:$J$1640,1),2)</f>
        <v>1088.14</v>
      </c>
      <c r="K483" s="9">
        <f>ROUND(SUMIFS('Odoo Items'!$G$5:$G$4331,'Odoo Items'!$J$5:$J$4331,A483),2)</f>
        <v>1088.14</v>
      </c>
      <c r="L483" s="9">
        <f>ROUND(J483-K483,2)</f>
        <v>0</v>
      </c>
      <c r="M483" s="9">
        <f>ROUND(SUMIFS('Bank Lines'!$E$5:$E$1640,'Bank Lines'!$G$5:$G$1640,A483,'Bank Lines'!$J$5:$J$1640,1,'Bank Lines'!$C$5:$C$1640,"&lt;="&amp;Cover!$C$13),2)</f>
        <v>0</v>
      </c>
      <c r="N483" s="9">
        <f>ROUND(SUMIFS('Odoo Items'!$G$5:$G$4331,'Odoo Items'!$J$5:$J$4331,A483,'Odoo Items'!$C$5:$C$4331,"&lt;="&amp;Cover!$C$13),2)</f>
        <v>0</v>
      </c>
      <c r="O483">
        <f>COUNTIFS('Bank Lines'!$G$5:$G$1640,A483,'Bank Lines'!$J$5:$J$1640,1,'Bank Lines'!$C$5:$C$1640,"&lt;="&amp;Cover!$C$13)</f>
        <v>0</v>
      </c>
      <c r="P483">
        <f>COUNTIFS('Odoo Items'!$J$5:$J$4331,A483,'Odoo Items'!$C$5:$C$4331,"&lt;="&amp;Cover!$C$13)</f>
        <v>0</v>
      </c>
      <c r="Q483">
        <f>IF(AND(O483=0,P483=0),"",IF(O483=0,"ODOO-ONLY",IF(P483=0,"BANK-ONLY","BOTH")))</f>
      </c>
      <c r="R483" s="9">
        <f>IF(Q483="BOTH",ROUND(M483-N483,2),0)</f>
        <v>0</v>
      </c>
      <c r="S483" s="9">
        <f>ROUND(SUMIFS('Bank Lines'!$E$5:$E$1640,'Bank Lines'!$G$5:$G$1640,A483,'Bank Lines'!$J$5:$J$1640,1,'Bank Lines'!$C$5:$C$1640,"&lt;="&amp;Cover!$C$14),2)</f>
        <v>0</v>
      </c>
      <c r="T483" s="9">
        <f>ROUND(SUMIFS('Odoo Items'!$G$5:$G$4331,'Odoo Items'!$J$5:$J$4331,A483,'Odoo Items'!$C$5:$C$4331,"&lt;="&amp;Cover!$C$14),2)</f>
        <v>0</v>
      </c>
      <c r="U483">
        <f>COUNTIFS('Bank Lines'!$G$5:$G$1640,A483,'Bank Lines'!$J$5:$J$1640,1,'Bank Lines'!$C$5:$C$1640,"&lt;="&amp;Cover!$C$14)</f>
        <v>0</v>
      </c>
      <c r="V483">
        <f>COUNTIFS('Odoo Items'!$J$5:$J$4331,A483,'Odoo Items'!$C$5:$C$4331,"&lt;="&amp;Cover!$C$14)</f>
        <v>0</v>
      </c>
      <c r="W483">
        <f>IF(AND(U483=0,V483=0),"",IF(U483=0,"ODOO-ONLY",IF(V483=0,"BANK-ONLY","BOTH")))</f>
      </c>
      <c r="X483" s="9">
        <f>IF(W483="BOTH",ROUND(S483-T483,2),0)</f>
        <v>0</v>
      </c>
      <c r="Y483" s="9">
        <f>ROUND(SUMIFS('Bank Lines'!$E$5:$E$1640,'Bank Lines'!$G$5:$G$1640,A483,'Bank Lines'!$J$5:$J$1640,1,'Bank Lines'!$C$5:$C$1640,"&lt;="&amp;Cover!$C$15),2)</f>
        <v>1088.14</v>
      </c>
      <c r="Z483" s="9">
        <f>ROUND(SUMIFS('Odoo Items'!$G$5:$G$4331,'Odoo Items'!$J$5:$J$4331,A483,'Odoo Items'!$C$5:$C$4331,"&lt;="&amp;Cover!$C$15),2)</f>
        <v>1088.14</v>
      </c>
      <c r="AA483">
        <f>COUNTIFS('Bank Lines'!$G$5:$G$1640,A483,'Bank Lines'!$J$5:$J$1640,1,'Bank Lines'!$C$5:$C$1640,"&lt;="&amp;Cover!$C$15)</f>
        <v>1</v>
      </c>
      <c r="AB483">
        <f>COUNTIFS('Odoo Items'!$J$5:$J$4331,A483,'Odoo Items'!$C$5:$C$4331,"&lt;="&amp;Cover!$C$15)</f>
        <v>5</v>
      </c>
      <c r="AC483" t="str">
        <f>IF(AND(AA483=0,AB483=0),"",IF(AA483=0,"ODOO-ONLY",IF(AB483=0,"BANK-ONLY","BOTH")))</f>
        <v>BOTH</v>
      </c>
      <c r="AD483" s="9">
        <f>IF(AC483="BOTH",ROUND(Y483-Z483,2),0)</f>
        <v>0</v>
      </c>
    </row>
    <row r="484">
      <c r="A484" t="inlineStr">
        <is>
          <t>G00480</t>
        </is>
      </c>
      <c r="B484" t="inlineStr">
        <is>
          <t>OPS</t>
        </is>
      </c>
      <c r="C484" t="inlineStr">
        <is>
          <t>R03</t>
        </is>
      </c>
      <c r="D484" t="inlineStr">
        <is>
          <t>MATCH</t>
        </is>
      </c>
      <c r="E484" t="inlineStr">
        <is>
          <t>Redgum Plan Admin</t>
        </is>
      </c>
      <c r="F484" t="n">
        <v>1</v>
      </c>
      <c r="G484" t="inlineStr">
        <is>
          <t>2 invoices</t>
        </is>
      </c>
      <c r="H484">
        <f>COUNTIFS('Bank Lines'!$G$5:$G$1640,A484,'Bank Lines'!$J$5:$J$1640,1)</f>
        <v>1</v>
      </c>
      <c r="I484">
        <f>COUNTIFS('Odoo Items'!$J$5:$J$4331,A484)</f>
        <v>2</v>
      </c>
      <c r="J484" s="9">
        <f>ROUND(SUMIFS('Bank Lines'!$E$5:$E$1640,'Bank Lines'!$G$5:$G$1640,A484,'Bank Lines'!$J$5:$J$1640,1),2)</f>
        <v>349.18</v>
      </c>
      <c r="K484" s="9">
        <f>ROUND(SUMIFS('Odoo Items'!$G$5:$G$4331,'Odoo Items'!$J$5:$J$4331,A484),2)</f>
        <v>349.18</v>
      </c>
      <c r="L484" s="9">
        <f>ROUND(J484-K484,2)</f>
        <v>0</v>
      </c>
      <c r="M484" s="9">
        <f>ROUND(SUMIFS('Bank Lines'!$E$5:$E$1640,'Bank Lines'!$G$5:$G$1640,A484,'Bank Lines'!$J$5:$J$1640,1,'Bank Lines'!$C$5:$C$1640,"&lt;="&amp;Cover!$C$13),2)</f>
        <v>0</v>
      </c>
      <c r="N484" s="9">
        <f>ROUND(SUMIFS('Odoo Items'!$G$5:$G$4331,'Odoo Items'!$J$5:$J$4331,A484,'Odoo Items'!$C$5:$C$4331,"&lt;="&amp;Cover!$C$13),2)</f>
        <v>0</v>
      </c>
      <c r="O484">
        <f>COUNTIFS('Bank Lines'!$G$5:$G$1640,A484,'Bank Lines'!$J$5:$J$1640,1,'Bank Lines'!$C$5:$C$1640,"&lt;="&amp;Cover!$C$13)</f>
        <v>0</v>
      </c>
      <c r="P484">
        <f>COUNTIFS('Odoo Items'!$J$5:$J$4331,A484,'Odoo Items'!$C$5:$C$4331,"&lt;="&amp;Cover!$C$13)</f>
        <v>0</v>
      </c>
      <c r="Q484">
        <f>IF(AND(O484=0,P484=0),"",IF(O484=0,"ODOO-ONLY",IF(P484=0,"BANK-ONLY","BOTH")))</f>
      </c>
      <c r="R484" s="9">
        <f>IF(Q484="BOTH",ROUND(M484-N484,2),0)</f>
        <v>0</v>
      </c>
      <c r="S484" s="9">
        <f>ROUND(SUMIFS('Bank Lines'!$E$5:$E$1640,'Bank Lines'!$G$5:$G$1640,A484,'Bank Lines'!$J$5:$J$1640,1,'Bank Lines'!$C$5:$C$1640,"&lt;="&amp;Cover!$C$14),2)</f>
        <v>0</v>
      </c>
      <c r="T484" s="9">
        <f>ROUND(SUMIFS('Odoo Items'!$G$5:$G$4331,'Odoo Items'!$J$5:$J$4331,A484,'Odoo Items'!$C$5:$C$4331,"&lt;="&amp;Cover!$C$14),2)</f>
        <v>0</v>
      </c>
      <c r="U484">
        <f>COUNTIFS('Bank Lines'!$G$5:$G$1640,A484,'Bank Lines'!$J$5:$J$1640,1,'Bank Lines'!$C$5:$C$1640,"&lt;="&amp;Cover!$C$14)</f>
        <v>0</v>
      </c>
      <c r="V484">
        <f>COUNTIFS('Odoo Items'!$J$5:$J$4331,A484,'Odoo Items'!$C$5:$C$4331,"&lt;="&amp;Cover!$C$14)</f>
        <v>0</v>
      </c>
      <c r="W484">
        <f>IF(AND(U484=0,V484=0),"",IF(U484=0,"ODOO-ONLY",IF(V484=0,"BANK-ONLY","BOTH")))</f>
      </c>
      <c r="X484" s="9">
        <f>IF(W484="BOTH",ROUND(S484-T484,2),0)</f>
        <v>0</v>
      </c>
      <c r="Y484" s="9">
        <f>ROUND(SUMIFS('Bank Lines'!$E$5:$E$1640,'Bank Lines'!$G$5:$G$1640,A484,'Bank Lines'!$J$5:$J$1640,1,'Bank Lines'!$C$5:$C$1640,"&lt;="&amp;Cover!$C$15),2)</f>
        <v>349.18</v>
      </c>
      <c r="Z484" s="9">
        <f>ROUND(SUMIFS('Odoo Items'!$G$5:$G$4331,'Odoo Items'!$J$5:$J$4331,A484,'Odoo Items'!$C$5:$C$4331,"&lt;="&amp;Cover!$C$15),2)</f>
        <v>349.18</v>
      </c>
      <c r="AA484">
        <f>COUNTIFS('Bank Lines'!$G$5:$G$1640,A484,'Bank Lines'!$J$5:$J$1640,1,'Bank Lines'!$C$5:$C$1640,"&lt;="&amp;Cover!$C$15)</f>
        <v>1</v>
      </c>
      <c r="AB484">
        <f>COUNTIFS('Odoo Items'!$J$5:$J$4331,A484,'Odoo Items'!$C$5:$C$4331,"&lt;="&amp;Cover!$C$15)</f>
        <v>2</v>
      </c>
      <c r="AC484" t="str">
        <f>IF(AND(AA484=0,AB484=0),"",IF(AA484=0,"ODOO-ONLY",IF(AB484=0,"BANK-ONLY","BOTH")))</f>
        <v>BOTH</v>
      </c>
      <c r="AD484" s="9">
        <f>IF(AC484="BOTH",ROUND(Y484-Z484,2),0)</f>
        <v>0</v>
      </c>
    </row>
    <row r="485">
      <c r="A485" t="inlineStr">
        <is>
          <t>G00481</t>
        </is>
      </c>
      <c r="B485" t="inlineStr">
        <is>
          <t>OPS</t>
        </is>
      </c>
      <c r="C485" t="inlineStr">
        <is>
          <t>R03</t>
        </is>
      </c>
      <c r="D485" t="inlineStr">
        <is>
          <t>MATCH</t>
        </is>
      </c>
      <c r="E485" t="inlineStr">
        <is>
          <t>Acacia Plan Partners</t>
        </is>
      </c>
      <c r="F485" t="n">
        <v>1</v>
      </c>
      <c r="G485" t="inlineStr">
        <is>
          <t>1 invoices</t>
        </is>
      </c>
      <c r="H485">
        <f>COUNTIFS('Bank Lines'!$G$5:$G$1640,A485,'Bank Lines'!$J$5:$J$1640,1)</f>
        <v>1</v>
      </c>
      <c r="I485">
        <f>COUNTIFS('Odoo Items'!$J$5:$J$4331,A485)</f>
        <v>1</v>
      </c>
      <c r="J485" s="9">
        <f>ROUND(SUMIFS('Bank Lines'!$E$5:$E$1640,'Bank Lines'!$G$5:$G$1640,A485,'Bank Lines'!$J$5:$J$1640,1),2)</f>
        <v>193.99</v>
      </c>
      <c r="K485" s="9">
        <f>ROUND(SUMIFS('Odoo Items'!$G$5:$G$4331,'Odoo Items'!$J$5:$J$4331,A485),2)</f>
        <v>193.99</v>
      </c>
      <c r="L485" s="9">
        <f>ROUND(J485-K485,2)</f>
        <v>0</v>
      </c>
      <c r="M485" s="9">
        <f>ROUND(SUMIFS('Bank Lines'!$E$5:$E$1640,'Bank Lines'!$G$5:$G$1640,A485,'Bank Lines'!$J$5:$J$1640,1,'Bank Lines'!$C$5:$C$1640,"&lt;="&amp;Cover!$C$13),2)</f>
        <v>0</v>
      </c>
      <c r="N485" s="9">
        <f>ROUND(SUMIFS('Odoo Items'!$G$5:$G$4331,'Odoo Items'!$J$5:$J$4331,A485,'Odoo Items'!$C$5:$C$4331,"&lt;="&amp;Cover!$C$13),2)</f>
        <v>0</v>
      </c>
      <c r="O485">
        <f>COUNTIFS('Bank Lines'!$G$5:$G$1640,A485,'Bank Lines'!$J$5:$J$1640,1,'Bank Lines'!$C$5:$C$1640,"&lt;="&amp;Cover!$C$13)</f>
        <v>0</v>
      </c>
      <c r="P485">
        <f>COUNTIFS('Odoo Items'!$J$5:$J$4331,A485,'Odoo Items'!$C$5:$C$4331,"&lt;="&amp;Cover!$C$13)</f>
        <v>0</v>
      </c>
      <c r="Q485">
        <f>IF(AND(O485=0,P485=0),"",IF(O485=0,"ODOO-ONLY",IF(P485=0,"BANK-ONLY","BOTH")))</f>
      </c>
      <c r="R485" s="9">
        <f>IF(Q485="BOTH",ROUND(M485-N485,2),0)</f>
        <v>0</v>
      </c>
      <c r="S485" s="9">
        <f>ROUND(SUMIFS('Bank Lines'!$E$5:$E$1640,'Bank Lines'!$G$5:$G$1640,A485,'Bank Lines'!$J$5:$J$1640,1,'Bank Lines'!$C$5:$C$1640,"&lt;="&amp;Cover!$C$14),2)</f>
        <v>0</v>
      </c>
      <c r="T485" s="9">
        <f>ROUND(SUMIFS('Odoo Items'!$G$5:$G$4331,'Odoo Items'!$J$5:$J$4331,A485,'Odoo Items'!$C$5:$C$4331,"&lt;="&amp;Cover!$C$14),2)</f>
        <v>0</v>
      </c>
      <c r="U485">
        <f>COUNTIFS('Bank Lines'!$G$5:$G$1640,A485,'Bank Lines'!$J$5:$J$1640,1,'Bank Lines'!$C$5:$C$1640,"&lt;="&amp;Cover!$C$14)</f>
        <v>0</v>
      </c>
      <c r="V485">
        <f>COUNTIFS('Odoo Items'!$J$5:$J$4331,A485,'Odoo Items'!$C$5:$C$4331,"&lt;="&amp;Cover!$C$14)</f>
        <v>0</v>
      </c>
      <c r="W485">
        <f>IF(AND(U485=0,V485=0),"",IF(U485=0,"ODOO-ONLY",IF(V485=0,"BANK-ONLY","BOTH")))</f>
      </c>
      <c r="X485" s="9">
        <f>IF(W485="BOTH",ROUND(S485-T485,2),0)</f>
        <v>0</v>
      </c>
      <c r="Y485" s="9">
        <f>ROUND(SUMIFS('Bank Lines'!$E$5:$E$1640,'Bank Lines'!$G$5:$G$1640,A485,'Bank Lines'!$J$5:$J$1640,1,'Bank Lines'!$C$5:$C$1640,"&lt;="&amp;Cover!$C$15),2)</f>
        <v>193.99</v>
      </c>
      <c r="Z485" s="9">
        <f>ROUND(SUMIFS('Odoo Items'!$G$5:$G$4331,'Odoo Items'!$J$5:$J$4331,A485,'Odoo Items'!$C$5:$C$4331,"&lt;="&amp;Cover!$C$15),2)</f>
        <v>193.99</v>
      </c>
      <c r="AA485">
        <f>COUNTIFS('Bank Lines'!$G$5:$G$1640,A485,'Bank Lines'!$J$5:$J$1640,1,'Bank Lines'!$C$5:$C$1640,"&lt;="&amp;Cover!$C$15)</f>
        <v>1</v>
      </c>
      <c r="AB485">
        <f>COUNTIFS('Odoo Items'!$J$5:$J$4331,A485,'Odoo Items'!$C$5:$C$4331,"&lt;="&amp;Cover!$C$15)</f>
        <v>1</v>
      </c>
      <c r="AC485" t="str">
        <f>IF(AND(AA485=0,AB485=0),"",IF(AA485=0,"ODOO-ONLY",IF(AB485=0,"BANK-ONLY","BOTH")))</f>
        <v>BOTH</v>
      </c>
      <c r="AD485" s="9">
        <f>IF(AC485="BOTH",ROUND(Y485-Z485,2),0)</f>
        <v>0</v>
      </c>
    </row>
    <row r="486">
      <c r="A486" t="inlineStr">
        <is>
          <t>G00482</t>
        </is>
      </c>
      <c r="B486" t="inlineStr">
        <is>
          <t>OPS</t>
        </is>
      </c>
      <c r="C486" t="inlineStr">
        <is>
          <t>R03</t>
        </is>
      </c>
      <c r="D486" t="inlineStr">
        <is>
          <t>MATCH</t>
        </is>
      </c>
      <c r="E486" t="inlineStr">
        <is>
          <t>Clearpath NDIS Plans</t>
        </is>
      </c>
      <c r="F486" t="n">
        <v>1</v>
      </c>
      <c r="G486" t="inlineStr">
        <is>
          <t>3 invoices</t>
        </is>
      </c>
      <c r="H486">
        <f>COUNTIFS('Bank Lines'!$G$5:$G$1640,A486,'Bank Lines'!$J$5:$J$1640,1)</f>
        <v>1</v>
      </c>
      <c r="I486">
        <f>COUNTIFS('Odoo Items'!$J$5:$J$4331,A486)</f>
        <v>3</v>
      </c>
      <c r="J486" s="9">
        <f>ROUND(SUMIFS('Bank Lines'!$E$5:$E$1640,'Bank Lines'!$G$5:$G$1640,A486,'Bank Lines'!$J$5:$J$1640,1),2)</f>
        <v>727.46</v>
      </c>
      <c r="K486" s="9">
        <f>ROUND(SUMIFS('Odoo Items'!$G$5:$G$4331,'Odoo Items'!$J$5:$J$4331,A486),2)</f>
        <v>727.46</v>
      </c>
      <c r="L486" s="9">
        <f>ROUND(J486-K486,2)</f>
        <v>0</v>
      </c>
      <c r="M486" s="9">
        <f>ROUND(SUMIFS('Bank Lines'!$E$5:$E$1640,'Bank Lines'!$G$5:$G$1640,A486,'Bank Lines'!$J$5:$J$1640,1,'Bank Lines'!$C$5:$C$1640,"&lt;="&amp;Cover!$C$13),2)</f>
        <v>0</v>
      </c>
      <c r="N486" s="9">
        <f>ROUND(SUMIFS('Odoo Items'!$G$5:$G$4331,'Odoo Items'!$J$5:$J$4331,A486,'Odoo Items'!$C$5:$C$4331,"&lt;="&amp;Cover!$C$13),2)</f>
        <v>0</v>
      </c>
      <c r="O486">
        <f>COUNTIFS('Bank Lines'!$G$5:$G$1640,A486,'Bank Lines'!$J$5:$J$1640,1,'Bank Lines'!$C$5:$C$1640,"&lt;="&amp;Cover!$C$13)</f>
        <v>0</v>
      </c>
      <c r="P486">
        <f>COUNTIFS('Odoo Items'!$J$5:$J$4331,A486,'Odoo Items'!$C$5:$C$4331,"&lt;="&amp;Cover!$C$13)</f>
        <v>0</v>
      </c>
      <c r="Q486">
        <f>IF(AND(O486=0,P486=0),"",IF(O486=0,"ODOO-ONLY",IF(P486=0,"BANK-ONLY","BOTH")))</f>
      </c>
      <c r="R486" s="9">
        <f>IF(Q486="BOTH",ROUND(M486-N486,2),0)</f>
        <v>0</v>
      </c>
      <c r="S486" s="9">
        <f>ROUND(SUMIFS('Bank Lines'!$E$5:$E$1640,'Bank Lines'!$G$5:$G$1640,A486,'Bank Lines'!$J$5:$J$1640,1,'Bank Lines'!$C$5:$C$1640,"&lt;="&amp;Cover!$C$14),2)</f>
        <v>0</v>
      </c>
      <c r="T486" s="9">
        <f>ROUND(SUMIFS('Odoo Items'!$G$5:$G$4331,'Odoo Items'!$J$5:$J$4331,A486,'Odoo Items'!$C$5:$C$4331,"&lt;="&amp;Cover!$C$14),2)</f>
        <v>0</v>
      </c>
      <c r="U486">
        <f>COUNTIFS('Bank Lines'!$G$5:$G$1640,A486,'Bank Lines'!$J$5:$J$1640,1,'Bank Lines'!$C$5:$C$1640,"&lt;="&amp;Cover!$C$14)</f>
        <v>0</v>
      </c>
      <c r="V486">
        <f>COUNTIFS('Odoo Items'!$J$5:$J$4331,A486,'Odoo Items'!$C$5:$C$4331,"&lt;="&amp;Cover!$C$14)</f>
        <v>0</v>
      </c>
      <c r="W486">
        <f>IF(AND(U486=0,V486=0),"",IF(U486=0,"ODOO-ONLY",IF(V486=0,"BANK-ONLY","BOTH")))</f>
      </c>
      <c r="X486" s="9">
        <f>IF(W486="BOTH",ROUND(S486-T486,2),0)</f>
        <v>0</v>
      </c>
      <c r="Y486" s="9">
        <f>ROUND(SUMIFS('Bank Lines'!$E$5:$E$1640,'Bank Lines'!$G$5:$G$1640,A486,'Bank Lines'!$J$5:$J$1640,1,'Bank Lines'!$C$5:$C$1640,"&lt;="&amp;Cover!$C$15),2)</f>
        <v>727.46</v>
      </c>
      <c r="Z486" s="9">
        <f>ROUND(SUMIFS('Odoo Items'!$G$5:$G$4331,'Odoo Items'!$J$5:$J$4331,A486,'Odoo Items'!$C$5:$C$4331,"&lt;="&amp;Cover!$C$15),2)</f>
        <v>727.46</v>
      </c>
      <c r="AA486">
        <f>COUNTIFS('Bank Lines'!$G$5:$G$1640,A486,'Bank Lines'!$J$5:$J$1640,1,'Bank Lines'!$C$5:$C$1640,"&lt;="&amp;Cover!$C$15)</f>
        <v>1</v>
      </c>
      <c r="AB486">
        <f>COUNTIFS('Odoo Items'!$J$5:$J$4331,A486,'Odoo Items'!$C$5:$C$4331,"&lt;="&amp;Cover!$C$15)</f>
        <v>3</v>
      </c>
      <c r="AC486" t="str">
        <f>IF(AND(AA486=0,AB486=0),"",IF(AA486=0,"ODOO-ONLY",IF(AB486=0,"BANK-ONLY","BOTH")))</f>
        <v>BOTH</v>
      </c>
      <c r="AD486" s="9">
        <f>IF(AC486="BOTH",ROUND(Y486-Z486,2),0)</f>
        <v>0</v>
      </c>
    </row>
    <row r="487">
      <c r="A487" t="inlineStr">
        <is>
          <t>G00483</t>
        </is>
      </c>
      <c r="B487" t="inlineStr">
        <is>
          <t>OPS</t>
        </is>
      </c>
      <c r="C487" t="inlineStr">
        <is>
          <t>R03</t>
        </is>
      </c>
      <c r="D487" t="inlineStr">
        <is>
          <t>MATCH</t>
        </is>
      </c>
      <c r="E487" t="inlineStr">
        <is>
          <t>Kookaburra Plan Support</t>
        </is>
      </c>
      <c r="F487" t="n">
        <v>1</v>
      </c>
      <c r="G487" t="inlineStr">
        <is>
          <t>3 invoices</t>
        </is>
      </c>
      <c r="H487">
        <f>COUNTIFS('Bank Lines'!$G$5:$G$1640,A487,'Bank Lines'!$J$5:$J$1640,1)</f>
        <v>1</v>
      </c>
      <c r="I487">
        <f>COUNTIFS('Odoo Items'!$J$5:$J$4331,A487)</f>
        <v>3</v>
      </c>
      <c r="J487" s="9">
        <f>ROUND(SUMIFS('Bank Lines'!$E$5:$E$1640,'Bank Lines'!$G$5:$G$1640,A487,'Bank Lines'!$J$5:$J$1640,1),2)</f>
        <v>1058.14</v>
      </c>
      <c r="K487" s="9">
        <f>ROUND(SUMIFS('Odoo Items'!$G$5:$G$4331,'Odoo Items'!$J$5:$J$4331,A487),2)</f>
        <v>1058.14</v>
      </c>
      <c r="L487" s="9">
        <f>ROUND(J487-K487,2)</f>
        <v>0</v>
      </c>
      <c r="M487" s="9">
        <f>ROUND(SUMIFS('Bank Lines'!$E$5:$E$1640,'Bank Lines'!$G$5:$G$1640,A487,'Bank Lines'!$J$5:$J$1640,1,'Bank Lines'!$C$5:$C$1640,"&lt;="&amp;Cover!$C$13),2)</f>
        <v>0</v>
      </c>
      <c r="N487" s="9">
        <f>ROUND(SUMIFS('Odoo Items'!$G$5:$G$4331,'Odoo Items'!$J$5:$J$4331,A487,'Odoo Items'!$C$5:$C$4331,"&lt;="&amp;Cover!$C$13),2)</f>
        <v>0</v>
      </c>
      <c r="O487">
        <f>COUNTIFS('Bank Lines'!$G$5:$G$1640,A487,'Bank Lines'!$J$5:$J$1640,1,'Bank Lines'!$C$5:$C$1640,"&lt;="&amp;Cover!$C$13)</f>
        <v>0</v>
      </c>
      <c r="P487">
        <f>COUNTIFS('Odoo Items'!$J$5:$J$4331,A487,'Odoo Items'!$C$5:$C$4331,"&lt;="&amp;Cover!$C$13)</f>
        <v>0</v>
      </c>
      <c r="Q487">
        <f>IF(AND(O487=0,P487=0),"",IF(O487=0,"ODOO-ONLY",IF(P487=0,"BANK-ONLY","BOTH")))</f>
      </c>
      <c r="R487" s="9">
        <f>IF(Q487="BOTH",ROUND(M487-N487,2),0)</f>
        <v>0</v>
      </c>
      <c r="S487" s="9">
        <f>ROUND(SUMIFS('Bank Lines'!$E$5:$E$1640,'Bank Lines'!$G$5:$G$1640,A487,'Bank Lines'!$J$5:$J$1640,1,'Bank Lines'!$C$5:$C$1640,"&lt;="&amp;Cover!$C$14),2)</f>
        <v>0</v>
      </c>
      <c r="T487" s="9">
        <f>ROUND(SUMIFS('Odoo Items'!$G$5:$G$4331,'Odoo Items'!$J$5:$J$4331,A487,'Odoo Items'!$C$5:$C$4331,"&lt;="&amp;Cover!$C$14),2)</f>
        <v>0</v>
      </c>
      <c r="U487">
        <f>COUNTIFS('Bank Lines'!$G$5:$G$1640,A487,'Bank Lines'!$J$5:$J$1640,1,'Bank Lines'!$C$5:$C$1640,"&lt;="&amp;Cover!$C$14)</f>
        <v>0</v>
      </c>
      <c r="V487">
        <f>COUNTIFS('Odoo Items'!$J$5:$J$4331,A487,'Odoo Items'!$C$5:$C$4331,"&lt;="&amp;Cover!$C$14)</f>
        <v>0</v>
      </c>
      <c r="W487">
        <f>IF(AND(U487=0,V487=0),"",IF(U487=0,"ODOO-ONLY",IF(V487=0,"BANK-ONLY","BOTH")))</f>
      </c>
      <c r="X487" s="9">
        <f>IF(W487="BOTH",ROUND(S487-T487,2),0)</f>
        <v>0</v>
      </c>
      <c r="Y487" s="9">
        <f>ROUND(SUMIFS('Bank Lines'!$E$5:$E$1640,'Bank Lines'!$G$5:$G$1640,A487,'Bank Lines'!$J$5:$J$1640,1,'Bank Lines'!$C$5:$C$1640,"&lt;="&amp;Cover!$C$15),2)</f>
        <v>1058.14</v>
      </c>
      <c r="Z487" s="9">
        <f>ROUND(SUMIFS('Odoo Items'!$G$5:$G$4331,'Odoo Items'!$J$5:$J$4331,A487,'Odoo Items'!$C$5:$C$4331,"&lt;="&amp;Cover!$C$15),2)</f>
        <v>1058.14</v>
      </c>
      <c r="AA487">
        <f>COUNTIFS('Bank Lines'!$G$5:$G$1640,A487,'Bank Lines'!$J$5:$J$1640,1,'Bank Lines'!$C$5:$C$1640,"&lt;="&amp;Cover!$C$15)</f>
        <v>1</v>
      </c>
      <c r="AB487">
        <f>COUNTIFS('Odoo Items'!$J$5:$J$4331,A487,'Odoo Items'!$C$5:$C$4331,"&lt;="&amp;Cover!$C$15)</f>
        <v>3</v>
      </c>
      <c r="AC487" t="str">
        <f>IF(AND(AA487=0,AB487=0),"",IF(AA487=0,"ODOO-ONLY",IF(AB487=0,"BANK-ONLY","BOTH")))</f>
        <v>BOTH</v>
      </c>
      <c r="AD487" s="9">
        <f>IF(AC487="BOTH",ROUND(Y487-Z487,2),0)</f>
        <v>0</v>
      </c>
    </row>
    <row r="488">
      <c r="A488" t="inlineStr">
        <is>
          <t>G00484</t>
        </is>
      </c>
      <c r="B488" t="inlineStr">
        <is>
          <t>OPS</t>
        </is>
      </c>
      <c r="C488" t="inlineStr">
        <is>
          <t>R03</t>
        </is>
      </c>
      <c r="D488" t="inlineStr">
        <is>
          <t>MATCH</t>
        </is>
      </c>
      <c r="E488" t="inlineStr">
        <is>
          <t>Saltbush Plan Managers</t>
        </is>
      </c>
      <c r="F488" t="n">
        <v>1</v>
      </c>
      <c r="G488" t="inlineStr">
        <is>
          <t>3 invoices</t>
        </is>
      </c>
      <c r="H488">
        <f>COUNTIFS('Bank Lines'!$G$5:$G$1640,A488,'Bank Lines'!$J$5:$J$1640,1)</f>
        <v>1</v>
      </c>
      <c r="I488">
        <f>COUNTIFS('Odoo Items'!$J$5:$J$4331,A488)</f>
        <v>3</v>
      </c>
      <c r="J488" s="9">
        <f>ROUND(SUMIFS('Bank Lines'!$E$5:$E$1640,'Bank Lines'!$G$5:$G$1640,A488,'Bank Lines'!$J$5:$J$1640,1),2)</f>
        <v>728.36</v>
      </c>
      <c r="K488" s="9">
        <f>ROUND(SUMIFS('Odoo Items'!$G$5:$G$4331,'Odoo Items'!$J$5:$J$4331,A488),2)</f>
        <v>728.36</v>
      </c>
      <c r="L488" s="9">
        <f>ROUND(J488-K488,2)</f>
        <v>0</v>
      </c>
      <c r="M488" s="9">
        <f>ROUND(SUMIFS('Bank Lines'!$E$5:$E$1640,'Bank Lines'!$G$5:$G$1640,A488,'Bank Lines'!$J$5:$J$1640,1,'Bank Lines'!$C$5:$C$1640,"&lt;="&amp;Cover!$C$13),2)</f>
        <v>0</v>
      </c>
      <c r="N488" s="9">
        <f>ROUND(SUMIFS('Odoo Items'!$G$5:$G$4331,'Odoo Items'!$J$5:$J$4331,A488,'Odoo Items'!$C$5:$C$4331,"&lt;="&amp;Cover!$C$13),2)</f>
        <v>0</v>
      </c>
      <c r="O488">
        <f>COUNTIFS('Bank Lines'!$G$5:$G$1640,A488,'Bank Lines'!$J$5:$J$1640,1,'Bank Lines'!$C$5:$C$1640,"&lt;="&amp;Cover!$C$13)</f>
        <v>0</v>
      </c>
      <c r="P488">
        <f>COUNTIFS('Odoo Items'!$J$5:$J$4331,A488,'Odoo Items'!$C$5:$C$4331,"&lt;="&amp;Cover!$C$13)</f>
        <v>0</v>
      </c>
      <c r="Q488">
        <f>IF(AND(O488=0,P488=0),"",IF(O488=0,"ODOO-ONLY",IF(P488=0,"BANK-ONLY","BOTH")))</f>
      </c>
      <c r="R488" s="9">
        <f>IF(Q488="BOTH",ROUND(M488-N488,2),0)</f>
        <v>0</v>
      </c>
      <c r="S488" s="9">
        <f>ROUND(SUMIFS('Bank Lines'!$E$5:$E$1640,'Bank Lines'!$G$5:$G$1640,A488,'Bank Lines'!$J$5:$J$1640,1,'Bank Lines'!$C$5:$C$1640,"&lt;="&amp;Cover!$C$14),2)</f>
        <v>0</v>
      </c>
      <c r="T488" s="9">
        <f>ROUND(SUMIFS('Odoo Items'!$G$5:$G$4331,'Odoo Items'!$J$5:$J$4331,A488,'Odoo Items'!$C$5:$C$4331,"&lt;="&amp;Cover!$C$14),2)</f>
        <v>0</v>
      </c>
      <c r="U488">
        <f>COUNTIFS('Bank Lines'!$G$5:$G$1640,A488,'Bank Lines'!$J$5:$J$1640,1,'Bank Lines'!$C$5:$C$1640,"&lt;="&amp;Cover!$C$14)</f>
        <v>0</v>
      </c>
      <c r="V488">
        <f>COUNTIFS('Odoo Items'!$J$5:$J$4331,A488,'Odoo Items'!$C$5:$C$4331,"&lt;="&amp;Cover!$C$14)</f>
        <v>0</v>
      </c>
      <c r="W488">
        <f>IF(AND(U488=0,V488=0),"",IF(U488=0,"ODOO-ONLY",IF(V488=0,"BANK-ONLY","BOTH")))</f>
      </c>
      <c r="X488" s="9">
        <f>IF(W488="BOTH",ROUND(S488-T488,2),0)</f>
        <v>0</v>
      </c>
      <c r="Y488" s="9">
        <f>ROUND(SUMIFS('Bank Lines'!$E$5:$E$1640,'Bank Lines'!$G$5:$G$1640,A488,'Bank Lines'!$J$5:$J$1640,1,'Bank Lines'!$C$5:$C$1640,"&lt;="&amp;Cover!$C$15),2)</f>
        <v>728.36</v>
      </c>
      <c r="Z488" s="9">
        <f>ROUND(SUMIFS('Odoo Items'!$G$5:$G$4331,'Odoo Items'!$J$5:$J$4331,A488,'Odoo Items'!$C$5:$C$4331,"&lt;="&amp;Cover!$C$15),2)</f>
        <v>728.36</v>
      </c>
      <c r="AA488">
        <f>COUNTIFS('Bank Lines'!$G$5:$G$1640,A488,'Bank Lines'!$J$5:$J$1640,1,'Bank Lines'!$C$5:$C$1640,"&lt;="&amp;Cover!$C$15)</f>
        <v>1</v>
      </c>
      <c r="AB488">
        <f>COUNTIFS('Odoo Items'!$J$5:$J$4331,A488,'Odoo Items'!$C$5:$C$4331,"&lt;="&amp;Cover!$C$15)</f>
        <v>3</v>
      </c>
      <c r="AC488" t="str">
        <f>IF(AND(AA488=0,AB488=0),"",IF(AA488=0,"ODOO-ONLY",IF(AB488=0,"BANK-ONLY","BOTH")))</f>
        <v>BOTH</v>
      </c>
      <c r="AD488" s="9">
        <f>IF(AC488="BOTH",ROUND(Y488-Z488,2),0)</f>
        <v>0</v>
      </c>
    </row>
    <row r="489">
      <c r="A489" t="inlineStr">
        <is>
          <t>G00485</t>
        </is>
      </c>
      <c r="B489" t="inlineStr">
        <is>
          <t>OPS</t>
        </is>
      </c>
      <c r="C489" t="inlineStr">
        <is>
          <t>R03</t>
        </is>
      </c>
      <c r="D489" t="inlineStr">
        <is>
          <t>MATCH</t>
        </is>
      </c>
      <c r="E489" t="inlineStr">
        <is>
          <t>Redgum Plan Admin</t>
        </is>
      </c>
      <c r="F489" t="n">
        <v>1</v>
      </c>
      <c r="G489" t="inlineStr">
        <is>
          <t>1 invoices</t>
        </is>
      </c>
      <c r="H489">
        <f>COUNTIFS('Bank Lines'!$G$5:$G$1640,A489,'Bank Lines'!$J$5:$J$1640,1)</f>
        <v>1</v>
      </c>
      <c r="I489">
        <f>COUNTIFS('Odoo Items'!$J$5:$J$4331,A489)</f>
        <v>1</v>
      </c>
      <c r="J489" s="9">
        <f>ROUND(SUMIFS('Bank Lines'!$E$5:$E$1640,'Bank Lines'!$G$5:$G$1640,A489,'Bank Lines'!$J$5:$J$1640,1),2)</f>
        <v>387.98</v>
      </c>
      <c r="K489" s="9">
        <f>ROUND(SUMIFS('Odoo Items'!$G$5:$G$4331,'Odoo Items'!$J$5:$J$4331,A489),2)</f>
        <v>387.98</v>
      </c>
      <c r="L489" s="9">
        <f>ROUND(J489-K489,2)</f>
        <v>0</v>
      </c>
      <c r="M489" s="9">
        <f>ROUND(SUMIFS('Bank Lines'!$E$5:$E$1640,'Bank Lines'!$G$5:$G$1640,A489,'Bank Lines'!$J$5:$J$1640,1,'Bank Lines'!$C$5:$C$1640,"&lt;="&amp;Cover!$C$13),2)</f>
        <v>0</v>
      </c>
      <c r="N489" s="9">
        <f>ROUND(SUMIFS('Odoo Items'!$G$5:$G$4331,'Odoo Items'!$J$5:$J$4331,A489,'Odoo Items'!$C$5:$C$4331,"&lt;="&amp;Cover!$C$13),2)</f>
        <v>0</v>
      </c>
      <c r="O489">
        <f>COUNTIFS('Bank Lines'!$G$5:$G$1640,A489,'Bank Lines'!$J$5:$J$1640,1,'Bank Lines'!$C$5:$C$1640,"&lt;="&amp;Cover!$C$13)</f>
        <v>0</v>
      </c>
      <c r="P489">
        <f>COUNTIFS('Odoo Items'!$J$5:$J$4331,A489,'Odoo Items'!$C$5:$C$4331,"&lt;="&amp;Cover!$C$13)</f>
        <v>0</v>
      </c>
      <c r="Q489">
        <f>IF(AND(O489=0,P489=0),"",IF(O489=0,"ODOO-ONLY",IF(P489=0,"BANK-ONLY","BOTH")))</f>
      </c>
      <c r="R489" s="9">
        <f>IF(Q489="BOTH",ROUND(M489-N489,2),0)</f>
        <v>0</v>
      </c>
      <c r="S489" s="9">
        <f>ROUND(SUMIFS('Bank Lines'!$E$5:$E$1640,'Bank Lines'!$G$5:$G$1640,A489,'Bank Lines'!$J$5:$J$1640,1,'Bank Lines'!$C$5:$C$1640,"&lt;="&amp;Cover!$C$14),2)</f>
        <v>0</v>
      </c>
      <c r="T489" s="9">
        <f>ROUND(SUMIFS('Odoo Items'!$G$5:$G$4331,'Odoo Items'!$J$5:$J$4331,A489,'Odoo Items'!$C$5:$C$4331,"&lt;="&amp;Cover!$C$14),2)</f>
        <v>0</v>
      </c>
      <c r="U489">
        <f>COUNTIFS('Bank Lines'!$G$5:$G$1640,A489,'Bank Lines'!$J$5:$J$1640,1,'Bank Lines'!$C$5:$C$1640,"&lt;="&amp;Cover!$C$14)</f>
        <v>0</v>
      </c>
      <c r="V489">
        <f>COUNTIFS('Odoo Items'!$J$5:$J$4331,A489,'Odoo Items'!$C$5:$C$4331,"&lt;="&amp;Cover!$C$14)</f>
        <v>0</v>
      </c>
      <c r="W489">
        <f>IF(AND(U489=0,V489=0),"",IF(U489=0,"ODOO-ONLY",IF(V489=0,"BANK-ONLY","BOTH")))</f>
      </c>
      <c r="X489" s="9">
        <f>IF(W489="BOTH",ROUND(S489-T489,2),0)</f>
        <v>0</v>
      </c>
      <c r="Y489" s="9">
        <f>ROUND(SUMIFS('Bank Lines'!$E$5:$E$1640,'Bank Lines'!$G$5:$G$1640,A489,'Bank Lines'!$J$5:$J$1640,1,'Bank Lines'!$C$5:$C$1640,"&lt;="&amp;Cover!$C$15),2)</f>
        <v>387.98</v>
      </c>
      <c r="Z489" s="9">
        <f>ROUND(SUMIFS('Odoo Items'!$G$5:$G$4331,'Odoo Items'!$J$5:$J$4331,A489,'Odoo Items'!$C$5:$C$4331,"&lt;="&amp;Cover!$C$15),2)</f>
        <v>387.98</v>
      </c>
      <c r="AA489">
        <f>COUNTIFS('Bank Lines'!$G$5:$G$1640,A489,'Bank Lines'!$J$5:$J$1640,1,'Bank Lines'!$C$5:$C$1640,"&lt;="&amp;Cover!$C$15)</f>
        <v>1</v>
      </c>
      <c r="AB489">
        <f>COUNTIFS('Odoo Items'!$J$5:$J$4331,A489,'Odoo Items'!$C$5:$C$4331,"&lt;="&amp;Cover!$C$15)</f>
        <v>1</v>
      </c>
      <c r="AC489" t="str">
        <f>IF(AND(AA489=0,AB489=0),"",IF(AA489=0,"ODOO-ONLY",IF(AB489=0,"BANK-ONLY","BOTH")))</f>
        <v>BOTH</v>
      </c>
      <c r="AD489" s="9">
        <f>IF(AC489="BOTH",ROUND(Y489-Z489,2),0)</f>
        <v>0</v>
      </c>
    </row>
    <row r="490">
      <c r="A490" t="inlineStr">
        <is>
          <t>G00486</t>
        </is>
      </c>
      <c r="B490" t="inlineStr">
        <is>
          <t>OPS</t>
        </is>
      </c>
      <c r="C490" t="inlineStr">
        <is>
          <t>R03</t>
        </is>
      </c>
      <c r="D490" t="inlineStr">
        <is>
          <t>MATCH</t>
        </is>
      </c>
      <c r="E490" t="inlineStr">
        <is>
          <t>Southern Cross Plan Mgmt</t>
        </is>
      </c>
      <c r="F490" t="n">
        <v>1</v>
      </c>
      <c r="G490" t="inlineStr">
        <is>
          <t>2 invoices</t>
        </is>
      </c>
      <c r="H490">
        <f>COUNTIFS('Bank Lines'!$G$5:$G$1640,A490,'Bank Lines'!$J$5:$J$1640,1)</f>
        <v>1</v>
      </c>
      <c r="I490">
        <f>COUNTIFS('Odoo Items'!$J$5:$J$4331,A490)</f>
        <v>2</v>
      </c>
      <c r="J490" s="9">
        <f>ROUND(SUMIFS('Bank Lines'!$E$5:$E$1640,'Bank Lines'!$G$5:$G$1640,A490,'Bank Lines'!$J$5:$J$1640,1),2)</f>
        <v>436.48</v>
      </c>
      <c r="K490" s="9">
        <f>ROUND(SUMIFS('Odoo Items'!$G$5:$G$4331,'Odoo Items'!$J$5:$J$4331,A490),2)</f>
        <v>436.48</v>
      </c>
      <c r="L490" s="9">
        <f>ROUND(J490-K490,2)</f>
        <v>0</v>
      </c>
      <c r="M490" s="9">
        <f>ROUND(SUMIFS('Bank Lines'!$E$5:$E$1640,'Bank Lines'!$G$5:$G$1640,A490,'Bank Lines'!$J$5:$J$1640,1,'Bank Lines'!$C$5:$C$1640,"&lt;="&amp;Cover!$C$13),2)</f>
        <v>0</v>
      </c>
      <c r="N490" s="9">
        <f>ROUND(SUMIFS('Odoo Items'!$G$5:$G$4331,'Odoo Items'!$J$5:$J$4331,A490,'Odoo Items'!$C$5:$C$4331,"&lt;="&amp;Cover!$C$13),2)</f>
        <v>0</v>
      </c>
      <c r="O490">
        <f>COUNTIFS('Bank Lines'!$G$5:$G$1640,A490,'Bank Lines'!$J$5:$J$1640,1,'Bank Lines'!$C$5:$C$1640,"&lt;="&amp;Cover!$C$13)</f>
        <v>0</v>
      </c>
      <c r="P490">
        <f>COUNTIFS('Odoo Items'!$J$5:$J$4331,A490,'Odoo Items'!$C$5:$C$4331,"&lt;="&amp;Cover!$C$13)</f>
        <v>0</v>
      </c>
      <c r="Q490">
        <f>IF(AND(O490=0,P490=0),"",IF(O490=0,"ODOO-ONLY",IF(P490=0,"BANK-ONLY","BOTH")))</f>
      </c>
      <c r="R490" s="9">
        <f>IF(Q490="BOTH",ROUND(M490-N490,2),0)</f>
        <v>0</v>
      </c>
      <c r="S490" s="9">
        <f>ROUND(SUMIFS('Bank Lines'!$E$5:$E$1640,'Bank Lines'!$G$5:$G$1640,A490,'Bank Lines'!$J$5:$J$1640,1,'Bank Lines'!$C$5:$C$1640,"&lt;="&amp;Cover!$C$14),2)</f>
        <v>0</v>
      </c>
      <c r="T490" s="9">
        <f>ROUND(SUMIFS('Odoo Items'!$G$5:$G$4331,'Odoo Items'!$J$5:$J$4331,A490,'Odoo Items'!$C$5:$C$4331,"&lt;="&amp;Cover!$C$14),2)</f>
        <v>0</v>
      </c>
      <c r="U490">
        <f>COUNTIFS('Bank Lines'!$G$5:$G$1640,A490,'Bank Lines'!$J$5:$J$1640,1,'Bank Lines'!$C$5:$C$1640,"&lt;="&amp;Cover!$C$14)</f>
        <v>0</v>
      </c>
      <c r="V490">
        <f>COUNTIFS('Odoo Items'!$J$5:$J$4331,A490,'Odoo Items'!$C$5:$C$4331,"&lt;="&amp;Cover!$C$14)</f>
        <v>0</v>
      </c>
      <c r="W490">
        <f>IF(AND(U490=0,V490=0),"",IF(U490=0,"ODOO-ONLY",IF(V490=0,"BANK-ONLY","BOTH")))</f>
      </c>
      <c r="X490" s="9">
        <f>IF(W490="BOTH",ROUND(S490-T490,2),0)</f>
        <v>0</v>
      </c>
      <c r="Y490" s="9">
        <f>ROUND(SUMIFS('Bank Lines'!$E$5:$E$1640,'Bank Lines'!$G$5:$G$1640,A490,'Bank Lines'!$J$5:$J$1640,1,'Bank Lines'!$C$5:$C$1640,"&lt;="&amp;Cover!$C$15),2)</f>
        <v>436.48</v>
      </c>
      <c r="Z490" s="9">
        <f>ROUND(SUMIFS('Odoo Items'!$G$5:$G$4331,'Odoo Items'!$J$5:$J$4331,A490,'Odoo Items'!$C$5:$C$4331,"&lt;="&amp;Cover!$C$15),2)</f>
        <v>436.48</v>
      </c>
      <c r="AA490">
        <f>COUNTIFS('Bank Lines'!$G$5:$G$1640,A490,'Bank Lines'!$J$5:$J$1640,1,'Bank Lines'!$C$5:$C$1640,"&lt;="&amp;Cover!$C$15)</f>
        <v>1</v>
      </c>
      <c r="AB490">
        <f>COUNTIFS('Odoo Items'!$J$5:$J$4331,A490,'Odoo Items'!$C$5:$C$4331,"&lt;="&amp;Cover!$C$15)</f>
        <v>2</v>
      </c>
      <c r="AC490" t="str">
        <f>IF(AND(AA490=0,AB490=0),"",IF(AA490=0,"ODOO-ONLY",IF(AB490=0,"BANK-ONLY","BOTH")))</f>
        <v>BOTH</v>
      </c>
      <c r="AD490" s="9">
        <f>IF(AC490="BOTH",ROUND(Y490-Z490,2),0)</f>
        <v>0</v>
      </c>
    </row>
    <row r="491">
      <c r="A491" t="inlineStr">
        <is>
          <t>G00487</t>
        </is>
      </c>
      <c r="B491" t="inlineStr">
        <is>
          <t>OPS</t>
        </is>
      </c>
      <c r="C491" t="inlineStr">
        <is>
          <t>R03</t>
        </is>
      </c>
      <c r="D491" t="inlineStr">
        <is>
          <t>MATCH</t>
        </is>
      </c>
      <c r="E491" t="inlineStr">
        <is>
          <t>Lyrebird Plan Management</t>
        </is>
      </c>
      <c r="F491" t="n">
        <v>1</v>
      </c>
      <c r="G491" t="inlineStr">
        <is>
          <t>3 invoices</t>
        </is>
      </c>
      <c r="H491">
        <f>COUNTIFS('Bank Lines'!$G$5:$G$1640,A491,'Bank Lines'!$J$5:$J$1640,1)</f>
        <v>1</v>
      </c>
      <c r="I491">
        <f>COUNTIFS('Odoo Items'!$J$5:$J$4331,A491)</f>
        <v>3</v>
      </c>
      <c r="J491" s="9">
        <f>ROUND(SUMIFS('Bank Lines'!$E$5:$E$1640,'Bank Lines'!$G$5:$G$1640,A491,'Bank Lines'!$J$5:$J$1640,1),2)</f>
        <v>864.15</v>
      </c>
      <c r="K491" s="9">
        <f>ROUND(SUMIFS('Odoo Items'!$G$5:$G$4331,'Odoo Items'!$J$5:$J$4331,A491),2)</f>
        <v>864.15</v>
      </c>
      <c r="L491" s="9">
        <f>ROUND(J491-K491,2)</f>
        <v>0</v>
      </c>
      <c r="M491" s="9">
        <f>ROUND(SUMIFS('Bank Lines'!$E$5:$E$1640,'Bank Lines'!$G$5:$G$1640,A491,'Bank Lines'!$J$5:$J$1640,1,'Bank Lines'!$C$5:$C$1640,"&lt;="&amp;Cover!$C$13),2)</f>
        <v>0</v>
      </c>
      <c r="N491" s="9">
        <f>ROUND(SUMIFS('Odoo Items'!$G$5:$G$4331,'Odoo Items'!$J$5:$J$4331,A491,'Odoo Items'!$C$5:$C$4331,"&lt;="&amp;Cover!$C$13),2)</f>
        <v>0</v>
      </c>
      <c r="O491">
        <f>COUNTIFS('Bank Lines'!$G$5:$G$1640,A491,'Bank Lines'!$J$5:$J$1640,1,'Bank Lines'!$C$5:$C$1640,"&lt;="&amp;Cover!$C$13)</f>
        <v>0</v>
      </c>
      <c r="P491">
        <f>COUNTIFS('Odoo Items'!$J$5:$J$4331,A491,'Odoo Items'!$C$5:$C$4331,"&lt;="&amp;Cover!$C$13)</f>
        <v>0</v>
      </c>
      <c r="Q491">
        <f>IF(AND(O491=0,P491=0),"",IF(O491=0,"ODOO-ONLY",IF(P491=0,"BANK-ONLY","BOTH")))</f>
      </c>
      <c r="R491" s="9">
        <f>IF(Q491="BOTH",ROUND(M491-N491,2),0)</f>
        <v>0</v>
      </c>
      <c r="S491" s="9">
        <f>ROUND(SUMIFS('Bank Lines'!$E$5:$E$1640,'Bank Lines'!$G$5:$G$1640,A491,'Bank Lines'!$J$5:$J$1640,1,'Bank Lines'!$C$5:$C$1640,"&lt;="&amp;Cover!$C$14),2)</f>
        <v>0</v>
      </c>
      <c r="T491" s="9">
        <f>ROUND(SUMIFS('Odoo Items'!$G$5:$G$4331,'Odoo Items'!$J$5:$J$4331,A491,'Odoo Items'!$C$5:$C$4331,"&lt;="&amp;Cover!$C$14),2)</f>
        <v>0</v>
      </c>
      <c r="U491">
        <f>COUNTIFS('Bank Lines'!$G$5:$G$1640,A491,'Bank Lines'!$J$5:$J$1640,1,'Bank Lines'!$C$5:$C$1640,"&lt;="&amp;Cover!$C$14)</f>
        <v>0</v>
      </c>
      <c r="V491">
        <f>COUNTIFS('Odoo Items'!$J$5:$J$4331,A491,'Odoo Items'!$C$5:$C$4331,"&lt;="&amp;Cover!$C$14)</f>
        <v>0</v>
      </c>
      <c r="W491">
        <f>IF(AND(U491=0,V491=0),"",IF(U491=0,"ODOO-ONLY",IF(V491=0,"BANK-ONLY","BOTH")))</f>
      </c>
      <c r="X491" s="9">
        <f>IF(W491="BOTH",ROUND(S491-T491,2),0)</f>
        <v>0</v>
      </c>
      <c r="Y491" s="9">
        <f>ROUND(SUMIFS('Bank Lines'!$E$5:$E$1640,'Bank Lines'!$G$5:$G$1640,A491,'Bank Lines'!$J$5:$J$1640,1,'Bank Lines'!$C$5:$C$1640,"&lt;="&amp;Cover!$C$15),2)</f>
        <v>864.15</v>
      </c>
      <c r="Z491" s="9">
        <f>ROUND(SUMIFS('Odoo Items'!$G$5:$G$4331,'Odoo Items'!$J$5:$J$4331,A491,'Odoo Items'!$C$5:$C$4331,"&lt;="&amp;Cover!$C$15),2)</f>
        <v>864.15</v>
      </c>
      <c r="AA491">
        <f>COUNTIFS('Bank Lines'!$G$5:$G$1640,A491,'Bank Lines'!$J$5:$J$1640,1,'Bank Lines'!$C$5:$C$1640,"&lt;="&amp;Cover!$C$15)</f>
        <v>1</v>
      </c>
      <c r="AB491">
        <f>COUNTIFS('Odoo Items'!$J$5:$J$4331,A491,'Odoo Items'!$C$5:$C$4331,"&lt;="&amp;Cover!$C$15)</f>
        <v>3</v>
      </c>
      <c r="AC491" t="str">
        <f>IF(AND(AA491=0,AB491=0),"",IF(AA491=0,"ODOO-ONLY",IF(AB491=0,"BANK-ONLY","BOTH")))</f>
        <v>BOTH</v>
      </c>
      <c r="AD491" s="9">
        <f>IF(AC491="BOTH",ROUND(Y491-Z491,2),0)</f>
        <v>0</v>
      </c>
    </row>
    <row r="492">
      <c r="A492" t="inlineStr">
        <is>
          <t>G00488</t>
        </is>
      </c>
      <c r="B492" t="inlineStr">
        <is>
          <t>OPS</t>
        </is>
      </c>
      <c r="C492" t="inlineStr">
        <is>
          <t>R03</t>
        </is>
      </c>
      <c r="D492" t="inlineStr">
        <is>
          <t>REG</t>
        </is>
      </c>
      <c r="E492" t="inlineStr">
        <is>
          <t>Riverbend Plan Partners</t>
        </is>
      </c>
      <c r="F492" t="n">
        <v>1</v>
      </c>
      <c r="G492" t="inlineStr">
        <is>
          <t>Receipt not registered in Odoo; remittance RA45209 lists 12 invoices</t>
        </is>
      </c>
      <c r="H492">
        <f>COUNTIFS('Bank Lines'!$G$5:$G$1640,A492,'Bank Lines'!$J$5:$J$1640,1)</f>
        <v>1</v>
      </c>
      <c r="I492">
        <f>COUNTIFS('Odoo Items'!$J$5:$J$4331,A492)</f>
        <v>0</v>
      </c>
      <c r="J492" s="9">
        <f>ROUND(SUMIFS('Bank Lines'!$E$5:$E$1640,'Bank Lines'!$G$5:$G$1640,A492,'Bank Lines'!$J$5:$J$1640,1),2)</f>
        <v>2261.77</v>
      </c>
      <c r="K492" s="9">
        <f>ROUND(SUMIFS('Odoo Items'!$G$5:$G$4331,'Odoo Items'!$J$5:$J$4331,A492),2)</f>
        <v>0</v>
      </c>
      <c r="L492" s="9">
        <f>ROUND(J492-K492,2)</f>
        <v>2261.77</v>
      </c>
      <c r="M492" s="9">
        <f>ROUND(SUMIFS('Bank Lines'!$E$5:$E$1640,'Bank Lines'!$G$5:$G$1640,A492,'Bank Lines'!$J$5:$J$1640,1,'Bank Lines'!$C$5:$C$1640,"&lt;="&amp;Cover!$C$13),2)</f>
        <v>0</v>
      </c>
      <c r="N492" s="9">
        <f>ROUND(SUMIFS('Odoo Items'!$G$5:$G$4331,'Odoo Items'!$J$5:$J$4331,A492,'Odoo Items'!$C$5:$C$4331,"&lt;="&amp;Cover!$C$13),2)</f>
        <v>0</v>
      </c>
      <c r="O492">
        <f>COUNTIFS('Bank Lines'!$G$5:$G$1640,A492,'Bank Lines'!$J$5:$J$1640,1,'Bank Lines'!$C$5:$C$1640,"&lt;="&amp;Cover!$C$13)</f>
        <v>0</v>
      </c>
      <c r="P492">
        <f>COUNTIFS('Odoo Items'!$J$5:$J$4331,A492,'Odoo Items'!$C$5:$C$4331,"&lt;="&amp;Cover!$C$13)</f>
        <v>0</v>
      </c>
      <c r="Q492">
        <f>IF(AND(O492=0,P492=0),"",IF(O492=0,"ODOO-ONLY",IF(P492=0,"BANK-ONLY","BOTH")))</f>
      </c>
      <c r="R492" s="9">
        <f>IF(Q492="BOTH",ROUND(M492-N492,2),0)</f>
        <v>0</v>
      </c>
      <c r="S492" s="9">
        <f>ROUND(SUMIFS('Bank Lines'!$E$5:$E$1640,'Bank Lines'!$G$5:$G$1640,A492,'Bank Lines'!$J$5:$J$1640,1,'Bank Lines'!$C$5:$C$1640,"&lt;="&amp;Cover!$C$14),2)</f>
        <v>0</v>
      </c>
      <c r="T492" s="9">
        <f>ROUND(SUMIFS('Odoo Items'!$G$5:$G$4331,'Odoo Items'!$J$5:$J$4331,A492,'Odoo Items'!$C$5:$C$4331,"&lt;="&amp;Cover!$C$14),2)</f>
        <v>0</v>
      </c>
      <c r="U492">
        <f>COUNTIFS('Bank Lines'!$G$5:$G$1640,A492,'Bank Lines'!$J$5:$J$1640,1,'Bank Lines'!$C$5:$C$1640,"&lt;="&amp;Cover!$C$14)</f>
        <v>0</v>
      </c>
      <c r="V492">
        <f>COUNTIFS('Odoo Items'!$J$5:$J$4331,A492,'Odoo Items'!$C$5:$C$4331,"&lt;="&amp;Cover!$C$14)</f>
        <v>0</v>
      </c>
      <c r="W492">
        <f>IF(AND(U492=0,V492=0),"",IF(U492=0,"ODOO-ONLY",IF(V492=0,"BANK-ONLY","BOTH")))</f>
      </c>
      <c r="X492" s="9">
        <f>IF(W492="BOTH",ROUND(S492-T492,2),0)</f>
        <v>0</v>
      </c>
      <c r="Y492" s="9">
        <f>ROUND(SUMIFS('Bank Lines'!$E$5:$E$1640,'Bank Lines'!$G$5:$G$1640,A492,'Bank Lines'!$J$5:$J$1640,1,'Bank Lines'!$C$5:$C$1640,"&lt;="&amp;Cover!$C$15),2)</f>
        <v>2261.77</v>
      </c>
      <c r="Z492" s="9">
        <f>ROUND(SUMIFS('Odoo Items'!$G$5:$G$4331,'Odoo Items'!$J$5:$J$4331,A492,'Odoo Items'!$C$5:$C$4331,"&lt;="&amp;Cover!$C$15),2)</f>
        <v>0</v>
      </c>
      <c r="AA492">
        <f>COUNTIFS('Bank Lines'!$G$5:$G$1640,A492,'Bank Lines'!$J$5:$J$1640,1,'Bank Lines'!$C$5:$C$1640,"&lt;="&amp;Cover!$C$15)</f>
        <v>1</v>
      </c>
      <c r="AB492">
        <f>COUNTIFS('Odoo Items'!$J$5:$J$4331,A492,'Odoo Items'!$C$5:$C$4331,"&lt;="&amp;Cover!$C$15)</f>
        <v>0</v>
      </c>
      <c r="AC492" t="str">
        <f>IF(AND(AA492=0,AB492=0),"",IF(AA492=0,"ODOO-ONLY",IF(AB492=0,"BANK-ONLY","BOTH")))</f>
        <v>BANK-ONLY</v>
      </c>
      <c r="AD492" s="9">
        <f>IF(AC492="BOTH",ROUND(Y492-Z492,2),0)</f>
        <v>0</v>
      </c>
    </row>
    <row r="493">
      <c r="A493" t="inlineStr">
        <is>
          <t>G00489</t>
        </is>
      </c>
      <c r="B493" t="inlineStr">
        <is>
          <t>OPS</t>
        </is>
      </c>
      <c r="C493" t="inlineStr">
        <is>
          <t>R03</t>
        </is>
      </c>
      <c r="D493" t="inlineStr">
        <is>
          <t>REG</t>
        </is>
      </c>
      <c r="E493" t="inlineStr">
        <is>
          <t>Banksia Plan Co</t>
        </is>
      </c>
      <c r="F493" t="n">
        <v>1</v>
      </c>
      <c r="G493" t="inlineStr">
        <is>
          <t>Receipt not registered in Odoo; remittance RA45210 lists 8 invoices</t>
        </is>
      </c>
      <c r="H493">
        <f>COUNTIFS('Bank Lines'!$G$5:$G$1640,A493,'Bank Lines'!$J$5:$J$1640,1)</f>
        <v>1</v>
      </c>
      <c r="I493">
        <f>COUNTIFS('Odoo Items'!$J$5:$J$4331,A493)</f>
        <v>0</v>
      </c>
      <c r="J493" s="9">
        <f>ROUND(SUMIFS('Bank Lines'!$E$5:$E$1640,'Bank Lines'!$G$5:$G$1640,A493,'Bank Lines'!$J$5:$J$1640,1),2)</f>
        <v>2037.8</v>
      </c>
      <c r="K493" s="9">
        <f>ROUND(SUMIFS('Odoo Items'!$G$5:$G$4331,'Odoo Items'!$J$5:$J$4331,A493),2)</f>
        <v>0</v>
      </c>
      <c r="L493" s="9">
        <f>ROUND(J493-K493,2)</f>
        <v>2037.8</v>
      </c>
      <c r="M493" s="9">
        <f>ROUND(SUMIFS('Bank Lines'!$E$5:$E$1640,'Bank Lines'!$G$5:$G$1640,A493,'Bank Lines'!$J$5:$J$1640,1,'Bank Lines'!$C$5:$C$1640,"&lt;="&amp;Cover!$C$13),2)</f>
        <v>0</v>
      </c>
      <c r="N493" s="9">
        <f>ROUND(SUMIFS('Odoo Items'!$G$5:$G$4331,'Odoo Items'!$J$5:$J$4331,A493,'Odoo Items'!$C$5:$C$4331,"&lt;="&amp;Cover!$C$13),2)</f>
        <v>0</v>
      </c>
      <c r="O493">
        <f>COUNTIFS('Bank Lines'!$G$5:$G$1640,A493,'Bank Lines'!$J$5:$J$1640,1,'Bank Lines'!$C$5:$C$1640,"&lt;="&amp;Cover!$C$13)</f>
        <v>0</v>
      </c>
      <c r="P493">
        <f>COUNTIFS('Odoo Items'!$J$5:$J$4331,A493,'Odoo Items'!$C$5:$C$4331,"&lt;="&amp;Cover!$C$13)</f>
        <v>0</v>
      </c>
      <c r="Q493">
        <f>IF(AND(O493=0,P493=0),"",IF(O493=0,"ODOO-ONLY",IF(P493=0,"BANK-ONLY","BOTH")))</f>
      </c>
      <c r="R493" s="9">
        <f>IF(Q493="BOTH",ROUND(M493-N493,2),0)</f>
        <v>0</v>
      </c>
      <c r="S493" s="9">
        <f>ROUND(SUMIFS('Bank Lines'!$E$5:$E$1640,'Bank Lines'!$G$5:$G$1640,A493,'Bank Lines'!$J$5:$J$1640,1,'Bank Lines'!$C$5:$C$1640,"&lt;="&amp;Cover!$C$14),2)</f>
        <v>0</v>
      </c>
      <c r="T493" s="9">
        <f>ROUND(SUMIFS('Odoo Items'!$G$5:$G$4331,'Odoo Items'!$J$5:$J$4331,A493,'Odoo Items'!$C$5:$C$4331,"&lt;="&amp;Cover!$C$14),2)</f>
        <v>0</v>
      </c>
      <c r="U493">
        <f>COUNTIFS('Bank Lines'!$G$5:$G$1640,A493,'Bank Lines'!$J$5:$J$1640,1,'Bank Lines'!$C$5:$C$1640,"&lt;="&amp;Cover!$C$14)</f>
        <v>0</v>
      </c>
      <c r="V493">
        <f>COUNTIFS('Odoo Items'!$J$5:$J$4331,A493,'Odoo Items'!$C$5:$C$4331,"&lt;="&amp;Cover!$C$14)</f>
        <v>0</v>
      </c>
      <c r="W493">
        <f>IF(AND(U493=0,V493=0),"",IF(U493=0,"ODOO-ONLY",IF(V493=0,"BANK-ONLY","BOTH")))</f>
      </c>
      <c r="X493" s="9">
        <f>IF(W493="BOTH",ROUND(S493-T493,2),0)</f>
        <v>0</v>
      </c>
      <c r="Y493" s="9">
        <f>ROUND(SUMIFS('Bank Lines'!$E$5:$E$1640,'Bank Lines'!$G$5:$G$1640,A493,'Bank Lines'!$J$5:$J$1640,1,'Bank Lines'!$C$5:$C$1640,"&lt;="&amp;Cover!$C$15),2)</f>
        <v>2037.8</v>
      </c>
      <c r="Z493" s="9">
        <f>ROUND(SUMIFS('Odoo Items'!$G$5:$G$4331,'Odoo Items'!$J$5:$J$4331,A493,'Odoo Items'!$C$5:$C$4331,"&lt;="&amp;Cover!$C$15),2)</f>
        <v>0</v>
      </c>
      <c r="AA493">
        <f>COUNTIFS('Bank Lines'!$G$5:$G$1640,A493,'Bank Lines'!$J$5:$J$1640,1,'Bank Lines'!$C$5:$C$1640,"&lt;="&amp;Cover!$C$15)</f>
        <v>1</v>
      </c>
      <c r="AB493">
        <f>COUNTIFS('Odoo Items'!$J$5:$J$4331,A493,'Odoo Items'!$C$5:$C$4331,"&lt;="&amp;Cover!$C$15)</f>
        <v>0</v>
      </c>
      <c r="AC493" t="str">
        <f>IF(AND(AA493=0,AB493=0),"",IF(AA493=0,"ODOO-ONLY",IF(AB493=0,"BANK-ONLY","BOTH")))</f>
        <v>BANK-ONLY</v>
      </c>
      <c r="AD493" s="9">
        <f>IF(AC493="BOTH",ROUND(Y493-Z493,2),0)</f>
        <v>0</v>
      </c>
    </row>
    <row r="494">
      <c r="A494" t="inlineStr">
        <is>
          <t>G00490</t>
        </is>
      </c>
      <c r="B494" t="inlineStr">
        <is>
          <t>OPS</t>
        </is>
      </c>
      <c r="C494" t="inlineStr">
        <is>
          <t>R03</t>
        </is>
      </c>
      <c r="D494" t="inlineStr">
        <is>
          <t>MATCH</t>
        </is>
      </c>
      <c r="E494" t="inlineStr">
        <is>
          <t>Kookaburra Plan Support</t>
        </is>
      </c>
      <c r="F494" t="n">
        <v>1</v>
      </c>
      <c r="G494" t="inlineStr">
        <is>
          <t>3 invoices</t>
        </is>
      </c>
      <c r="H494">
        <f>COUNTIFS('Bank Lines'!$G$5:$G$1640,A494,'Bank Lines'!$J$5:$J$1640,1)</f>
        <v>1</v>
      </c>
      <c r="I494">
        <f>COUNTIFS('Odoo Items'!$J$5:$J$4331,A494)</f>
        <v>3</v>
      </c>
      <c r="J494" s="9">
        <f>ROUND(SUMIFS('Bank Lines'!$E$5:$E$1640,'Bank Lines'!$G$5:$G$1640,A494,'Bank Lines'!$J$5:$J$1640,1),2)</f>
        <v>872.96</v>
      </c>
      <c r="K494" s="9">
        <f>ROUND(SUMIFS('Odoo Items'!$G$5:$G$4331,'Odoo Items'!$J$5:$J$4331,A494),2)</f>
        <v>872.96</v>
      </c>
      <c r="L494" s="9">
        <f>ROUND(J494-K494,2)</f>
        <v>0</v>
      </c>
      <c r="M494" s="9">
        <f>ROUND(SUMIFS('Bank Lines'!$E$5:$E$1640,'Bank Lines'!$G$5:$G$1640,A494,'Bank Lines'!$J$5:$J$1640,1,'Bank Lines'!$C$5:$C$1640,"&lt;="&amp;Cover!$C$13),2)</f>
        <v>0</v>
      </c>
      <c r="N494" s="9">
        <f>ROUND(SUMIFS('Odoo Items'!$G$5:$G$4331,'Odoo Items'!$J$5:$J$4331,A494,'Odoo Items'!$C$5:$C$4331,"&lt;="&amp;Cover!$C$13),2)</f>
        <v>0</v>
      </c>
      <c r="O494">
        <f>COUNTIFS('Bank Lines'!$G$5:$G$1640,A494,'Bank Lines'!$J$5:$J$1640,1,'Bank Lines'!$C$5:$C$1640,"&lt;="&amp;Cover!$C$13)</f>
        <v>0</v>
      </c>
      <c r="P494">
        <f>COUNTIFS('Odoo Items'!$J$5:$J$4331,A494,'Odoo Items'!$C$5:$C$4331,"&lt;="&amp;Cover!$C$13)</f>
        <v>0</v>
      </c>
      <c r="Q494">
        <f>IF(AND(O494=0,P494=0),"",IF(O494=0,"ODOO-ONLY",IF(P494=0,"BANK-ONLY","BOTH")))</f>
      </c>
      <c r="R494" s="9">
        <f>IF(Q494="BOTH",ROUND(M494-N494,2),0)</f>
        <v>0</v>
      </c>
      <c r="S494" s="9">
        <f>ROUND(SUMIFS('Bank Lines'!$E$5:$E$1640,'Bank Lines'!$G$5:$G$1640,A494,'Bank Lines'!$J$5:$J$1640,1,'Bank Lines'!$C$5:$C$1640,"&lt;="&amp;Cover!$C$14),2)</f>
        <v>0</v>
      </c>
      <c r="T494" s="9">
        <f>ROUND(SUMIFS('Odoo Items'!$G$5:$G$4331,'Odoo Items'!$J$5:$J$4331,A494,'Odoo Items'!$C$5:$C$4331,"&lt;="&amp;Cover!$C$14),2)</f>
        <v>0</v>
      </c>
      <c r="U494">
        <f>COUNTIFS('Bank Lines'!$G$5:$G$1640,A494,'Bank Lines'!$J$5:$J$1640,1,'Bank Lines'!$C$5:$C$1640,"&lt;="&amp;Cover!$C$14)</f>
        <v>0</v>
      </c>
      <c r="V494">
        <f>COUNTIFS('Odoo Items'!$J$5:$J$4331,A494,'Odoo Items'!$C$5:$C$4331,"&lt;="&amp;Cover!$C$14)</f>
        <v>0</v>
      </c>
      <c r="W494">
        <f>IF(AND(U494=0,V494=0),"",IF(U494=0,"ODOO-ONLY",IF(V494=0,"BANK-ONLY","BOTH")))</f>
      </c>
      <c r="X494" s="9">
        <f>IF(W494="BOTH",ROUND(S494-T494,2),0)</f>
        <v>0</v>
      </c>
      <c r="Y494" s="9">
        <f>ROUND(SUMIFS('Bank Lines'!$E$5:$E$1640,'Bank Lines'!$G$5:$G$1640,A494,'Bank Lines'!$J$5:$J$1640,1,'Bank Lines'!$C$5:$C$1640,"&lt;="&amp;Cover!$C$15),2)</f>
        <v>872.96</v>
      </c>
      <c r="Z494" s="9">
        <f>ROUND(SUMIFS('Odoo Items'!$G$5:$G$4331,'Odoo Items'!$J$5:$J$4331,A494,'Odoo Items'!$C$5:$C$4331,"&lt;="&amp;Cover!$C$15),2)</f>
        <v>872.96</v>
      </c>
      <c r="AA494">
        <f>COUNTIFS('Bank Lines'!$G$5:$G$1640,A494,'Bank Lines'!$J$5:$J$1640,1,'Bank Lines'!$C$5:$C$1640,"&lt;="&amp;Cover!$C$15)</f>
        <v>1</v>
      </c>
      <c r="AB494">
        <f>COUNTIFS('Odoo Items'!$J$5:$J$4331,A494,'Odoo Items'!$C$5:$C$4331,"&lt;="&amp;Cover!$C$15)</f>
        <v>3</v>
      </c>
      <c r="AC494" t="str">
        <f>IF(AND(AA494=0,AB494=0),"",IF(AA494=0,"ODOO-ONLY",IF(AB494=0,"BANK-ONLY","BOTH")))</f>
        <v>BOTH</v>
      </c>
      <c r="AD494" s="9">
        <f>IF(AC494="BOTH",ROUND(Y494-Z494,2),0)</f>
        <v>0</v>
      </c>
    </row>
    <row r="495">
      <c r="A495" t="inlineStr">
        <is>
          <t>G00491</t>
        </is>
      </c>
      <c r="B495" t="inlineStr">
        <is>
          <t>OPS</t>
        </is>
      </c>
      <c r="C495" t="inlineStr">
        <is>
          <t>R03</t>
        </is>
      </c>
      <c r="D495" t="inlineStr">
        <is>
          <t>MATCH</t>
        </is>
      </c>
      <c r="E495" t="inlineStr">
        <is>
          <t>Redgum Plan Admin</t>
        </is>
      </c>
      <c r="F495" t="n">
        <v>1</v>
      </c>
      <c r="G495" t="inlineStr">
        <is>
          <t>2 invoices</t>
        </is>
      </c>
      <c r="H495">
        <f>COUNTIFS('Bank Lines'!$G$5:$G$1640,A495,'Bank Lines'!$J$5:$J$1640,1)</f>
        <v>1</v>
      </c>
      <c r="I495">
        <f>COUNTIFS('Odoo Items'!$J$5:$J$4331,A495)</f>
        <v>2</v>
      </c>
      <c r="J495" s="9">
        <f>ROUND(SUMIFS('Bank Lines'!$E$5:$E$1640,'Bank Lines'!$G$5:$G$1640,A495,'Bank Lines'!$J$5:$J$1640,1),2)</f>
        <v>543.18</v>
      </c>
      <c r="K495" s="9">
        <f>ROUND(SUMIFS('Odoo Items'!$G$5:$G$4331,'Odoo Items'!$J$5:$J$4331,A495),2)</f>
        <v>543.18</v>
      </c>
      <c r="L495" s="9">
        <f>ROUND(J495-K495,2)</f>
        <v>0</v>
      </c>
      <c r="M495" s="9">
        <f>ROUND(SUMIFS('Bank Lines'!$E$5:$E$1640,'Bank Lines'!$G$5:$G$1640,A495,'Bank Lines'!$J$5:$J$1640,1,'Bank Lines'!$C$5:$C$1640,"&lt;="&amp;Cover!$C$13),2)</f>
        <v>0</v>
      </c>
      <c r="N495" s="9">
        <f>ROUND(SUMIFS('Odoo Items'!$G$5:$G$4331,'Odoo Items'!$J$5:$J$4331,A495,'Odoo Items'!$C$5:$C$4331,"&lt;="&amp;Cover!$C$13),2)</f>
        <v>0</v>
      </c>
      <c r="O495">
        <f>COUNTIFS('Bank Lines'!$G$5:$G$1640,A495,'Bank Lines'!$J$5:$J$1640,1,'Bank Lines'!$C$5:$C$1640,"&lt;="&amp;Cover!$C$13)</f>
        <v>0</v>
      </c>
      <c r="P495">
        <f>COUNTIFS('Odoo Items'!$J$5:$J$4331,A495,'Odoo Items'!$C$5:$C$4331,"&lt;="&amp;Cover!$C$13)</f>
        <v>0</v>
      </c>
      <c r="Q495">
        <f>IF(AND(O495=0,P495=0),"",IF(O495=0,"ODOO-ONLY",IF(P495=0,"BANK-ONLY","BOTH")))</f>
      </c>
      <c r="R495" s="9">
        <f>IF(Q495="BOTH",ROUND(M495-N495,2),0)</f>
        <v>0</v>
      </c>
      <c r="S495" s="9">
        <f>ROUND(SUMIFS('Bank Lines'!$E$5:$E$1640,'Bank Lines'!$G$5:$G$1640,A495,'Bank Lines'!$J$5:$J$1640,1,'Bank Lines'!$C$5:$C$1640,"&lt;="&amp;Cover!$C$14),2)</f>
        <v>0</v>
      </c>
      <c r="T495" s="9">
        <f>ROUND(SUMIFS('Odoo Items'!$G$5:$G$4331,'Odoo Items'!$J$5:$J$4331,A495,'Odoo Items'!$C$5:$C$4331,"&lt;="&amp;Cover!$C$14),2)</f>
        <v>0</v>
      </c>
      <c r="U495">
        <f>COUNTIFS('Bank Lines'!$G$5:$G$1640,A495,'Bank Lines'!$J$5:$J$1640,1,'Bank Lines'!$C$5:$C$1640,"&lt;="&amp;Cover!$C$14)</f>
        <v>0</v>
      </c>
      <c r="V495">
        <f>COUNTIFS('Odoo Items'!$J$5:$J$4331,A495,'Odoo Items'!$C$5:$C$4331,"&lt;="&amp;Cover!$C$14)</f>
        <v>0</v>
      </c>
      <c r="W495">
        <f>IF(AND(U495=0,V495=0),"",IF(U495=0,"ODOO-ONLY",IF(V495=0,"BANK-ONLY","BOTH")))</f>
      </c>
      <c r="X495" s="9">
        <f>IF(W495="BOTH",ROUND(S495-T495,2),0)</f>
        <v>0</v>
      </c>
      <c r="Y495" s="9">
        <f>ROUND(SUMIFS('Bank Lines'!$E$5:$E$1640,'Bank Lines'!$G$5:$G$1640,A495,'Bank Lines'!$J$5:$J$1640,1,'Bank Lines'!$C$5:$C$1640,"&lt;="&amp;Cover!$C$15),2)</f>
        <v>543.18</v>
      </c>
      <c r="Z495" s="9">
        <f>ROUND(SUMIFS('Odoo Items'!$G$5:$G$4331,'Odoo Items'!$J$5:$J$4331,A495,'Odoo Items'!$C$5:$C$4331,"&lt;="&amp;Cover!$C$15),2)</f>
        <v>543.18</v>
      </c>
      <c r="AA495">
        <f>COUNTIFS('Bank Lines'!$G$5:$G$1640,A495,'Bank Lines'!$J$5:$J$1640,1,'Bank Lines'!$C$5:$C$1640,"&lt;="&amp;Cover!$C$15)</f>
        <v>1</v>
      </c>
      <c r="AB495">
        <f>COUNTIFS('Odoo Items'!$J$5:$J$4331,A495,'Odoo Items'!$C$5:$C$4331,"&lt;="&amp;Cover!$C$15)</f>
        <v>2</v>
      </c>
      <c r="AC495" t="str">
        <f>IF(AND(AA495=0,AB495=0),"",IF(AA495=0,"ODOO-ONLY",IF(AB495=0,"BANK-ONLY","BOTH")))</f>
        <v>BOTH</v>
      </c>
      <c r="AD495" s="9">
        <f>IF(AC495="BOTH",ROUND(Y495-Z495,2),0)</f>
        <v>0</v>
      </c>
    </row>
    <row r="496">
      <c r="A496" t="inlineStr">
        <is>
          <t>G00492</t>
        </is>
      </c>
      <c r="B496" t="inlineStr">
        <is>
          <t>OPS</t>
        </is>
      </c>
      <c r="C496" t="inlineStr">
        <is>
          <t>R03</t>
        </is>
      </c>
      <c r="D496" t="inlineStr">
        <is>
          <t>MATCH</t>
        </is>
      </c>
      <c r="E496" t="inlineStr">
        <is>
          <t>Southern Cross Plan Mgmt</t>
        </is>
      </c>
      <c r="F496" t="n">
        <v>0.955</v>
      </c>
      <c r="G496" t="inlineStr">
        <is>
          <t>2 invoices</t>
        </is>
      </c>
      <c r="H496">
        <f>COUNTIFS('Bank Lines'!$G$5:$G$1640,A496,'Bank Lines'!$J$5:$J$1640,1)</f>
        <v>1</v>
      </c>
      <c r="I496">
        <f>COUNTIFS('Odoo Items'!$J$5:$J$4331,A496)</f>
        <v>2</v>
      </c>
      <c r="J496" s="9">
        <f>ROUND(SUMIFS('Bank Lines'!$E$5:$E$1640,'Bank Lines'!$G$5:$G$1640,A496,'Bank Lines'!$J$5:$J$1640,1),2)</f>
        <v>339.48</v>
      </c>
      <c r="K496" s="9">
        <f>ROUND(SUMIFS('Odoo Items'!$G$5:$G$4331,'Odoo Items'!$J$5:$J$4331,A496),2)</f>
        <v>339.48</v>
      </c>
      <c r="L496" s="9">
        <f>ROUND(J496-K496,2)</f>
        <v>0</v>
      </c>
      <c r="M496" s="9">
        <f>ROUND(SUMIFS('Bank Lines'!$E$5:$E$1640,'Bank Lines'!$G$5:$G$1640,A496,'Bank Lines'!$J$5:$J$1640,1,'Bank Lines'!$C$5:$C$1640,"&lt;="&amp;Cover!$C$13),2)</f>
        <v>0</v>
      </c>
      <c r="N496" s="9">
        <f>ROUND(SUMIFS('Odoo Items'!$G$5:$G$4331,'Odoo Items'!$J$5:$J$4331,A496,'Odoo Items'!$C$5:$C$4331,"&lt;="&amp;Cover!$C$13),2)</f>
        <v>0</v>
      </c>
      <c r="O496">
        <f>COUNTIFS('Bank Lines'!$G$5:$G$1640,A496,'Bank Lines'!$J$5:$J$1640,1,'Bank Lines'!$C$5:$C$1640,"&lt;="&amp;Cover!$C$13)</f>
        <v>0</v>
      </c>
      <c r="P496">
        <f>COUNTIFS('Odoo Items'!$J$5:$J$4331,A496,'Odoo Items'!$C$5:$C$4331,"&lt;="&amp;Cover!$C$13)</f>
        <v>0</v>
      </c>
      <c r="Q496">
        <f>IF(AND(O496=0,P496=0),"",IF(O496=0,"ODOO-ONLY",IF(P496=0,"BANK-ONLY","BOTH")))</f>
      </c>
      <c r="R496" s="9">
        <f>IF(Q496="BOTH",ROUND(M496-N496,2),0)</f>
        <v>0</v>
      </c>
      <c r="S496" s="9">
        <f>ROUND(SUMIFS('Bank Lines'!$E$5:$E$1640,'Bank Lines'!$G$5:$G$1640,A496,'Bank Lines'!$J$5:$J$1640,1,'Bank Lines'!$C$5:$C$1640,"&lt;="&amp;Cover!$C$14),2)</f>
        <v>0</v>
      </c>
      <c r="T496" s="9">
        <f>ROUND(SUMIFS('Odoo Items'!$G$5:$G$4331,'Odoo Items'!$J$5:$J$4331,A496,'Odoo Items'!$C$5:$C$4331,"&lt;="&amp;Cover!$C$14),2)</f>
        <v>0</v>
      </c>
      <c r="U496">
        <f>COUNTIFS('Bank Lines'!$G$5:$G$1640,A496,'Bank Lines'!$J$5:$J$1640,1,'Bank Lines'!$C$5:$C$1640,"&lt;="&amp;Cover!$C$14)</f>
        <v>0</v>
      </c>
      <c r="V496">
        <f>COUNTIFS('Odoo Items'!$J$5:$J$4331,A496,'Odoo Items'!$C$5:$C$4331,"&lt;="&amp;Cover!$C$14)</f>
        <v>0</v>
      </c>
      <c r="W496">
        <f>IF(AND(U496=0,V496=0),"",IF(U496=0,"ODOO-ONLY",IF(V496=0,"BANK-ONLY","BOTH")))</f>
      </c>
      <c r="X496" s="9">
        <f>IF(W496="BOTH",ROUND(S496-T496,2),0)</f>
        <v>0</v>
      </c>
      <c r="Y496" s="9">
        <f>ROUND(SUMIFS('Bank Lines'!$E$5:$E$1640,'Bank Lines'!$G$5:$G$1640,A496,'Bank Lines'!$J$5:$J$1640,1,'Bank Lines'!$C$5:$C$1640,"&lt;="&amp;Cover!$C$15),2)</f>
        <v>339.48</v>
      </c>
      <c r="Z496" s="9">
        <f>ROUND(SUMIFS('Odoo Items'!$G$5:$G$4331,'Odoo Items'!$J$5:$J$4331,A496,'Odoo Items'!$C$5:$C$4331,"&lt;="&amp;Cover!$C$15),2)</f>
        <v>339.48</v>
      </c>
      <c r="AA496">
        <f>COUNTIFS('Bank Lines'!$G$5:$G$1640,A496,'Bank Lines'!$J$5:$J$1640,1,'Bank Lines'!$C$5:$C$1640,"&lt;="&amp;Cover!$C$15)</f>
        <v>1</v>
      </c>
      <c r="AB496">
        <f>COUNTIFS('Odoo Items'!$J$5:$J$4331,A496,'Odoo Items'!$C$5:$C$4331,"&lt;="&amp;Cover!$C$15)</f>
        <v>2</v>
      </c>
      <c r="AC496" t="str">
        <f>IF(AND(AA496=0,AB496=0),"",IF(AA496=0,"ODOO-ONLY",IF(AB496=0,"BANK-ONLY","BOTH")))</f>
        <v>BOTH</v>
      </c>
      <c r="AD496" s="9">
        <f>IF(AC496="BOTH",ROUND(Y496-Z496,2),0)</f>
        <v>0</v>
      </c>
    </row>
    <row r="497">
      <c r="A497" t="inlineStr">
        <is>
          <t>G00493</t>
        </is>
      </c>
      <c r="B497" t="inlineStr">
        <is>
          <t>OPS</t>
        </is>
      </c>
      <c r="C497" t="inlineStr">
        <is>
          <t>R03</t>
        </is>
      </c>
      <c r="D497" t="inlineStr">
        <is>
          <t>MATCH</t>
        </is>
      </c>
      <c r="E497" t="inlineStr">
        <is>
          <t>Tallowwood Plans</t>
        </is>
      </c>
      <c r="F497" t="n">
        <v>0.968</v>
      </c>
      <c r="G497" t="inlineStr">
        <is>
          <t>3 invoices</t>
        </is>
      </c>
      <c r="H497">
        <f>COUNTIFS('Bank Lines'!$G$5:$G$1640,A497,'Bank Lines'!$J$5:$J$1640,1)</f>
        <v>1</v>
      </c>
      <c r="I497">
        <f>COUNTIFS('Odoo Items'!$J$5:$J$4331,A497)</f>
        <v>3</v>
      </c>
      <c r="J497" s="9">
        <f>ROUND(SUMIFS('Bank Lines'!$E$5:$E$1640,'Bank Lines'!$G$5:$G$1640,A497,'Bank Lines'!$J$5:$J$1640,1),2)</f>
        <v>640.16</v>
      </c>
      <c r="K497" s="9">
        <f>ROUND(SUMIFS('Odoo Items'!$G$5:$G$4331,'Odoo Items'!$J$5:$J$4331,A497),2)</f>
        <v>640.16</v>
      </c>
      <c r="L497" s="9">
        <f>ROUND(J497-K497,2)</f>
        <v>0</v>
      </c>
      <c r="M497" s="9">
        <f>ROUND(SUMIFS('Bank Lines'!$E$5:$E$1640,'Bank Lines'!$G$5:$G$1640,A497,'Bank Lines'!$J$5:$J$1640,1,'Bank Lines'!$C$5:$C$1640,"&lt;="&amp;Cover!$C$13),2)</f>
        <v>0</v>
      </c>
      <c r="N497" s="9">
        <f>ROUND(SUMIFS('Odoo Items'!$G$5:$G$4331,'Odoo Items'!$J$5:$J$4331,A497,'Odoo Items'!$C$5:$C$4331,"&lt;="&amp;Cover!$C$13),2)</f>
        <v>0</v>
      </c>
      <c r="O497">
        <f>COUNTIFS('Bank Lines'!$G$5:$G$1640,A497,'Bank Lines'!$J$5:$J$1640,1,'Bank Lines'!$C$5:$C$1640,"&lt;="&amp;Cover!$C$13)</f>
        <v>0</v>
      </c>
      <c r="P497">
        <f>COUNTIFS('Odoo Items'!$J$5:$J$4331,A497,'Odoo Items'!$C$5:$C$4331,"&lt;="&amp;Cover!$C$13)</f>
        <v>0</v>
      </c>
      <c r="Q497">
        <f>IF(AND(O497=0,P497=0),"",IF(O497=0,"ODOO-ONLY",IF(P497=0,"BANK-ONLY","BOTH")))</f>
      </c>
      <c r="R497" s="9">
        <f>IF(Q497="BOTH",ROUND(M497-N497,2),0)</f>
        <v>0</v>
      </c>
      <c r="S497" s="9">
        <f>ROUND(SUMIFS('Bank Lines'!$E$5:$E$1640,'Bank Lines'!$G$5:$G$1640,A497,'Bank Lines'!$J$5:$J$1640,1,'Bank Lines'!$C$5:$C$1640,"&lt;="&amp;Cover!$C$14),2)</f>
        <v>0</v>
      </c>
      <c r="T497" s="9">
        <f>ROUND(SUMIFS('Odoo Items'!$G$5:$G$4331,'Odoo Items'!$J$5:$J$4331,A497,'Odoo Items'!$C$5:$C$4331,"&lt;="&amp;Cover!$C$14),2)</f>
        <v>0</v>
      </c>
      <c r="U497">
        <f>COUNTIFS('Bank Lines'!$G$5:$G$1640,A497,'Bank Lines'!$J$5:$J$1640,1,'Bank Lines'!$C$5:$C$1640,"&lt;="&amp;Cover!$C$14)</f>
        <v>0</v>
      </c>
      <c r="V497">
        <f>COUNTIFS('Odoo Items'!$J$5:$J$4331,A497,'Odoo Items'!$C$5:$C$4331,"&lt;="&amp;Cover!$C$14)</f>
        <v>0</v>
      </c>
      <c r="W497">
        <f>IF(AND(U497=0,V497=0),"",IF(U497=0,"ODOO-ONLY",IF(V497=0,"BANK-ONLY","BOTH")))</f>
      </c>
      <c r="X497" s="9">
        <f>IF(W497="BOTH",ROUND(S497-T497,2),0)</f>
        <v>0</v>
      </c>
      <c r="Y497" s="9">
        <f>ROUND(SUMIFS('Bank Lines'!$E$5:$E$1640,'Bank Lines'!$G$5:$G$1640,A497,'Bank Lines'!$J$5:$J$1640,1,'Bank Lines'!$C$5:$C$1640,"&lt;="&amp;Cover!$C$15),2)</f>
        <v>640.16</v>
      </c>
      <c r="Z497" s="9">
        <f>ROUND(SUMIFS('Odoo Items'!$G$5:$G$4331,'Odoo Items'!$J$5:$J$4331,A497,'Odoo Items'!$C$5:$C$4331,"&lt;="&amp;Cover!$C$15),2)</f>
        <v>640.16</v>
      </c>
      <c r="AA497">
        <f>COUNTIFS('Bank Lines'!$G$5:$G$1640,A497,'Bank Lines'!$J$5:$J$1640,1,'Bank Lines'!$C$5:$C$1640,"&lt;="&amp;Cover!$C$15)</f>
        <v>1</v>
      </c>
      <c r="AB497">
        <f>COUNTIFS('Odoo Items'!$J$5:$J$4331,A497,'Odoo Items'!$C$5:$C$4331,"&lt;="&amp;Cover!$C$15)</f>
        <v>3</v>
      </c>
      <c r="AC497" t="str">
        <f>IF(AND(AA497=0,AB497=0),"",IF(AA497=0,"ODOO-ONLY",IF(AB497=0,"BANK-ONLY","BOTH")))</f>
        <v>BOTH</v>
      </c>
      <c r="AD497" s="9">
        <f>IF(AC497="BOTH",ROUND(Y497-Z497,2),0)</f>
        <v>0</v>
      </c>
    </row>
    <row r="498">
      <c r="A498" t="inlineStr">
        <is>
          <t>G00494</t>
        </is>
      </c>
      <c r="B498" t="inlineStr">
        <is>
          <t>OPS</t>
        </is>
      </c>
      <c r="C498" t="inlineStr">
        <is>
          <t>R03</t>
        </is>
      </c>
      <c r="D498" t="inlineStr">
        <is>
          <t>MATCH</t>
        </is>
      </c>
      <c r="E498" t="inlineStr">
        <is>
          <t>Acacia Plan Partners</t>
        </is>
      </c>
      <c r="F498" t="n">
        <v>1</v>
      </c>
      <c r="G498" t="inlineStr">
        <is>
          <t>4 invoices</t>
        </is>
      </c>
      <c r="H498">
        <f>COUNTIFS('Bank Lines'!$G$5:$G$1640,A498,'Bank Lines'!$J$5:$J$1640,1)</f>
        <v>1</v>
      </c>
      <c r="I498">
        <f>COUNTIFS('Odoo Items'!$J$5:$J$4331,A498)</f>
        <v>4</v>
      </c>
      <c r="J498" s="9">
        <f>ROUND(SUMIFS('Bank Lines'!$E$5:$E$1640,'Bank Lines'!$G$5:$G$1640,A498,'Bank Lines'!$J$5:$J$1640,1),2)</f>
        <v>1125.13</v>
      </c>
      <c r="K498" s="9">
        <f>ROUND(SUMIFS('Odoo Items'!$G$5:$G$4331,'Odoo Items'!$J$5:$J$4331,A498),2)</f>
        <v>1125.13</v>
      </c>
      <c r="L498" s="9">
        <f>ROUND(J498-K498,2)</f>
        <v>0</v>
      </c>
      <c r="M498" s="9">
        <f>ROUND(SUMIFS('Bank Lines'!$E$5:$E$1640,'Bank Lines'!$G$5:$G$1640,A498,'Bank Lines'!$J$5:$J$1640,1,'Bank Lines'!$C$5:$C$1640,"&lt;="&amp;Cover!$C$13),2)</f>
        <v>0</v>
      </c>
      <c r="N498" s="9">
        <f>ROUND(SUMIFS('Odoo Items'!$G$5:$G$4331,'Odoo Items'!$J$5:$J$4331,A498,'Odoo Items'!$C$5:$C$4331,"&lt;="&amp;Cover!$C$13),2)</f>
        <v>0</v>
      </c>
      <c r="O498">
        <f>COUNTIFS('Bank Lines'!$G$5:$G$1640,A498,'Bank Lines'!$J$5:$J$1640,1,'Bank Lines'!$C$5:$C$1640,"&lt;="&amp;Cover!$C$13)</f>
        <v>0</v>
      </c>
      <c r="P498">
        <f>COUNTIFS('Odoo Items'!$J$5:$J$4331,A498,'Odoo Items'!$C$5:$C$4331,"&lt;="&amp;Cover!$C$13)</f>
        <v>0</v>
      </c>
      <c r="Q498">
        <f>IF(AND(O498=0,P498=0),"",IF(O498=0,"ODOO-ONLY",IF(P498=0,"BANK-ONLY","BOTH")))</f>
      </c>
      <c r="R498" s="9">
        <f>IF(Q498="BOTH",ROUND(M498-N498,2),0)</f>
        <v>0</v>
      </c>
      <c r="S498" s="9">
        <f>ROUND(SUMIFS('Bank Lines'!$E$5:$E$1640,'Bank Lines'!$G$5:$G$1640,A498,'Bank Lines'!$J$5:$J$1640,1,'Bank Lines'!$C$5:$C$1640,"&lt;="&amp;Cover!$C$14),2)</f>
        <v>0</v>
      </c>
      <c r="T498" s="9">
        <f>ROUND(SUMIFS('Odoo Items'!$G$5:$G$4331,'Odoo Items'!$J$5:$J$4331,A498,'Odoo Items'!$C$5:$C$4331,"&lt;="&amp;Cover!$C$14),2)</f>
        <v>0</v>
      </c>
      <c r="U498">
        <f>COUNTIFS('Bank Lines'!$G$5:$G$1640,A498,'Bank Lines'!$J$5:$J$1640,1,'Bank Lines'!$C$5:$C$1640,"&lt;="&amp;Cover!$C$14)</f>
        <v>0</v>
      </c>
      <c r="V498">
        <f>COUNTIFS('Odoo Items'!$J$5:$J$4331,A498,'Odoo Items'!$C$5:$C$4331,"&lt;="&amp;Cover!$C$14)</f>
        <v>0</v>
      </c>
      <c r="W498">
        <f>IF(AND(U498=0,V498=0),"",IF(U498=0,"ODOO-ONLY",IF(V498=0,"BANK-ONLY","BOTH")))</f>
      </c>
      <c r="X498" s="9">
        <f>IF(W498="BOTH",ROUND(S498-T498,2),0)</f>
        <v>0</v>
      </c>
      <c r="Y498" s="9">
        <f>ROUND(SUMIFS('Bank Lines'!$E$5:$E$1640,'Bank Lines'!$G$5:$G$1640,A498,'Bank Lines'!$J$5:$J$1640,1,'Bank Lines'!$C$5:$C$1640,"&lt;="&amp;Cover!$C$15),2)</f>
        <v>1125.13</v>
      </c>
      <c r="Z498" s="9">
        <f>ROUND(SUMIFS('Odoo Items'!$G$5:$G$4331,'Odoo Items'!$J$5:$J$4331,A498,'Odoo Items'!$C$5:$C$4331,"&lt;="&amp;Cover!$C$15),2)</f>
        <v>1125.13</v>
      </c>
      <c r="AA498">
        <f>COUNTIFS('Bank Lines'!$G$5:$G$1640,A498,'Bank Lines'!$J$5:$J$1640,1,'Bank Lines'!$C$5:$C$1640,"&lt;="&amp;Cover!$C$15)</f>
        <v>1</v>
      </c>
      <c r="AB498">
        <f>COUNTIFS('Odoo Items'!$J$5:$J$4331,A498,'Odoo Items'!$C$5:$C$4331,"&lt;="&amp;Cover!$C$15)</f>
        <v>4</v>
      </c>
      <c r="AC498" t="str">
        <f>IF(AND(AA498=0,AB498=0),"",IF(AA498=0,"ODOO-ONLY",IF(AB498=0,"BANK-ONLY","BOTH")))</f>
        <v>BOTH</v>
      </c>
      <c r="AD498" s="9">
        <f>IF(AC498="BOTH",ROUND(Y498-Z498,2),0)</f>
        <v>0</v>
      </c>
    </row>
    <row r="499">
      <c r="A499" t="inlineStr">
        <is>
          <t>G00495</t>
        </is>
      </c>
      <c r="B499" t="inlineStr">
        <is>
          <t>OPS</t>
        </is>
      </c>
      <c r="C499" t="inlineStr">
        <is>
          <t>R03</t>
        </is>
      </c>
      <c r="D499" t="inlineStr">
        <is>
          <t>MATCH</t>
        </is>
      </c>
      <c r="E499" t="inlineStr">
        <is>
          <t>Riverbend Plan Partners</t>
        </is>
      </c>
      <c r="F499" t="n">
        <v>1</v>
      </c>
      <c r="G499" t="inlineStr">
        <is>
          <t>3 invoices</t>
        </is>
      </c>
      <c r="H499">
        <f>COUNTIFS('Bank Lines'!$G$5:$G$1640,A499,'Bank Lines'!$J$5:$J$1640,1)</f>
        <v>1</v>
      </c>
      <c r="I499">
        <f>COUNTIFS('Odoo Items'!$J$5:$J$4331,A499)</f>
        <v>3</v>
      </c>
      <c r="J499" s="9">
        <f>ROUND(SUMIFS('Bank Lines'!$E$5:$E$1640,'Bank Lines'!$G$5:$G$1640,A499,'Bank Lines'!$J$5:$J$1640,1),2)</f>
        <v>805.95</v>
      </c>
      <c r="K499" s="9">
        <f>ROUND(SUMIFS('Odoo Items'!$G$5:$G$4331,'Odoo Items'!$J$5:$J$4331,A499),2)</f>
        <v>805.95</v>
      </c>
      <c r="L499" s="9">
        <f>ROUND(J499-K499,2)</f>
        <v>0</v>
      </c>
      <c r="M499" s="9">
        <f>ROUND(SUMIFS('Bank Lines'!$E$5:$E$1640,'Bank Lines'!$G$5:$G$1640,A499,'Bank Lines'!$J$5:$J$1640,1,'Bank Lines'!$C$5:$C$1640,"&lt;="&amp;Cover!$C$13),2)</f>
        <v>0</v>
      </c>
      <c r="N499" s="9">
        <f>ROUND(SUMIFS('Odoo Items'!$G$5:$G$4331,'Odoo Items'!$J$5:$J$4331,A499,'Odoo Items'!$C$5:$C$4331,"&lt;="&amp;Cover!$C$13),2)</f>
        <v>0</v>
      </c>
      <c r="O499">
        <f>COUNTIFS('Bank Lines'!$G$5:$G$1640,A499,'Bank Lines'!$J$5:$J$1640,1,'Bank Lines'!$C$5:$C$1640,"&lt;="&amp;Cover!$C$13)</f>
        <v>0</v>
      </c>
      <c r="P499">
        <f>COUNTIFS('Odoo Items'!$J$5:$J$4331,A499,'Odoo Items'!$C$5:$C$4331,"&lt;="&amp;Cover!$C$13)</f>
        <v>0</v>
      </c>
      <c r="Q499">
        <f>IF(AND(O499=0,P499=0),"",IF(O499=0,"ODOO-ONLY",IF(P499=0,"BANK-ONLY","BOTH")))</f>
      </c>
      <c r="R499" s="9">
        <f>IF(Q499="BOTH",ROUND(M499-N499,2),0)</f>
        <v>0</v>
      </c>
      <c r="S499" s="9">
        <f>ROUND(SUMIFS('Bank Lines'!$E$5:$E$1640,'Bank Lines'!$G$5:$G$1640,A499,'Bank Lines'!$J$5:$J$1640,1,'Bank Lines'!$C$5:$C$1640,"&lt;="&amp;Cover!$C$14),2)</f>
        <v>0</v>
      </c>
      <c r="T499" s="9">
        <f>ROUND(SUMIFS('Odoo Items'!$G$5:$G$4331,'Odoo Items'!$J$5:$J$4331,A499,'Odoo Items'!$C$5:$C$4331,"&lt;="&amp;Cover!$C$14),2)</f>
        <v>0</v>
      </c>
      <c r="U499">
        <f>COUNTIFS('Bank Lines'!$G$5:$G$1640,A499,'Bank Lines'!$J$5:$J$1640,1,'Bank Lines'!$C$5:$C$1640,"&lt;="&amp;Cover!$C$14)</f>
        <v>0</v>
      </c>
      <c r="V499">
        <f>COUNTIFS('Odoo Items'!$J$5:$J$4331,A499,'Odoo Items'!$C$5:$C$4331,"&lt;="&amp;Cover!$C$14)</f>
        <v>0</v>
      </c>
      <c r="W499">
        <f>IF(AND(U499=0,V499=0),"",IF(U499=0,"ODOO-ONLY",IF(V499=0,"BANK-ONLY","BOTH")))</f>
      </c>
      <c r="X499" s="9">
        <f>IF(W499="BOTH",ROUND(S499-T499,2),0)</f>
        <v>0</v>
      </c>
      <c r="Y499" s="9">
        <f>ROUND(SUMIFS('Bank Lines'!$E$5:$E$1640,'Bank Lines'!$G$5:$G$1640,A499,'Bank Lines'!$J$5:$J$1640,1,'Bank Lines'!$C$5:$C$1640,"&lt;="&amp;Cover!$C$15),2)</f>
        <v>805.95</v>
      </c>
      <c r="Z499" s="9">
        <f>ROUND(SUMIFS('Odoo Items'!$G$5:$G$4331,'Odoo Items'!$J$5:$J$4331,A499,'Odoo Items'!$C$5:$C$4331,"&lt;="&amp;Cover!$C$15),2)</f>
        <v>805.95</v>
      </c>
      <c r="AA499">
        <f>COUNTIFS('Bank Lines'!$G$5:$G$1640,A499,'Bank Lines'!$J$5:$J$1640,1,'Bank Lines'!$C$5:$C$1640,"&lt;="&amp;Cover!$C$15)</f>
        <v>1</v>
      </c>
      <c r="AB499">
        <f>COUNTIFS('Odoo Items'!$J$5:$J$4331,A499,'Odoo Items'!$C$5:$C$4331,"&lt;="&amp;Cover!$C$15)</f>
        <v>3</v>
      </c>
      <c r="AC499" t="str">
        <f>IF(AND(AA499=0,AB499=0),"",IF(AA499=0,"ODOO-ONLY",IF(AB499=0,"BANK-ONLY","BOTH")))</f>
        <v>BOTH</v>
      </c>
      <c r="AD499" s="9">
        <f>IF(AC499="BOTH",ROUND(Y499-Z499,2),0)</f>
        <v>0</v>
      </c>
    </row>
    <row r="500">
      <c r="A500" t="inlineStr">
        <is>
          <t>G00496</t>
        </is>
      </c>
      <c r="B500" t="inlineStr">
        <is>
          <t>OPS</t>
        </is>
      </c>
      <c r="C500" t="inlineStr">
        <is>
          <t>R03</t>
        </is>
      </c>
      <c r="D500" t="inlineStr">
        <is>
          <t>MATCH</t>
        </is>
      </c>
      <c r="E500" t="inlineStr">
        <is>
          <t>Wattle Plan Services</t>
        </is>
      </c>
      <c r="F500" t="n">
        <v>1</v>
      </c>
      <c r="G500" t="inlineStr">
        <is>
          <t>5 invoices</t>
        </is>
      </c>
      <c r="H500">
        <f>COUNTIFS('Bank Lines'!$G$5:$G$1640,A500,'Bank Lines'!$J$5:$J$1640,1)</f>
        <v>1</v>
      </c>
      <c r="I500">
        <f>COUNTIFS('Odoo Items'!$J$5:$J$4331,A500)</f>
        <v>5</v>
      </c>
      <c r="J500" s="9">
        <f>ROUND(SUMIFS('Bank Lines'!$E$5:$E$1640,'Bank Lines'!$G$5:$G$1640,A500,'Bank Lines'!$J$5:$J$1640,1),2)</f>
        <v>989.34</v>
      </c>
      <c r="K500" s="9">
        <f>ROUND(SUMIFS('Odoo Items'!$G$5:$G$4331,'Odoo Items'!$J$5:$J$4331,A500),2)</f>
        <v>989.34</v>
      </c>
      <c r="L500" s="9">
        <f>ROUND(J500-K500,2)</f>
        <v>0</v>
      </c>
      <c r="M500" s="9">
        <f>ROUND(SUMIFS('Bank Lines'!$E$5:$E$1640,'Bank Lines'!$G$5:$G$1640,A500,'Bank Lines'!$J$5:$J$1640,1,'Bank Lines'!$C$5:$C$1640,"&lt;="&amp;Cover!$C$13),2)</f>
        <v>0</v>
      </c>
      <c r="N500" s="9">
        <f>ROUND(SUMIFS('Odoo Items'!$G$5:$G$4331,'Odoo Items'!$J$5:$J$4331,A500,'Odoo Items'!$C$5:$C$4331,"&lt;="&amp;Cover!$C$13),2)</f>
        <v>0</v>
      </c>
      <c r="O500">
        <f>COUNTIFS('Bank Lines'!$G$5:$G$1640,A500,'Bank Lines'!$J$5:$J$1640,1,'Bank Lines'!$C$5:$C$1640,"&lt;="&amp;Cover!$C$13)</f>
        <v>0</v>
      </c>
      <c r="P500">
        <f>COUNTIFS('Odoo Items'!$J$5:$J$4331,A500,'Odoo Items'!$C$5:$C$4331,"&lt;="&amp;Cover!$C$13)</f>
        <v>0</v>
      </c>
      <c r="Q500">
        <f>IF(AND(O500=0,P500=0),"",IF(O500=0,"ODOO-ONLY",IF(P500=0,"BANK-ONLY","BOTH")))</f>
      </c>
      <c r="R500" s="9">
        <f>IF(Q500="BOTH",ROUND(M500-N500,2),0)</f>
        <v>0</v>
      </c>
      <c r="S500" s="9">
        <f>ROUND(SUMIFS('Bank Lines'!$E$5:$E$1640,'Bank Lines'!$G$5:$G$1640,A500,'Bank Lines'!$J$5:$J$1640,1,'Bank Lines'!$C$5:$C$1640,"&lt;="&amp;Cover!$C$14),2)</f>
        <v>0</v>
      </c>
      <c r="T500" s="9">
        <f>ROUND(SUMIFS('Odoo Items'!$G$5:$G$4331,'Odoo Items'!$J$5:$J$4331,A500,'Odoo Items'!$C$5:$C$4331,"&lt;="&amp;Cover!$C$14),2)</f>
        <v>0</v>
      </c>
      <c r="U500">
        <f>COUNTIFS('Bank Lines'!$G$5:$G$1640,A500,'Bank Lines'!$J$5:$J$1640,1,'Bank Lines'!$C$5:$C$1640,"&lt;="&amp;Cover!$C$14)</f>
        <v>0</v>
      </c>
      <c r="V500">
        <f>COUNTIFS('Odoo Items'!$J$5:$J$4331,A500,'Odoo Items'!$C$5:$C$4331,"&lt;="&amp;Cover!$C$14)</f>
        <v>0</v>
      </c>
      <c r="W500">
        <f>IF(AND(U500=0,V500=0),"",IF(U500=0,"ODOO-ONLY",IF(V500=0,"BANK-ONLY","BOTH")))</f>
      </c>
      <c r="X500" s="9">
        <f>IF(W500="BOTH",ROUND(S500-T500,2),0)</f>
        <v>0</v>
      </c>
      <c r="Y500" s="9">
        <f>ROUND(SUMIFS('Bank Lines'!$E$5:$E$1640,'Bank Lines'!$G$5:$G$1640,A500,'Bank Lines'!$J$5:$J$1640,1,'Bank Lines'!$C$5:$C$1640,"&lt;="&amp;Cover!$C$15),2)</f>
        <v>989.34</v>
      </c>
      <c r="Z500" s="9">
        <f>ROUND(SUMIFS('Odoo Items'!$G$5:$G$4331,'Odoo Items'!$J$5:$J$4331,A500,'Odoo Items'!$C$5:$C$4331,"&lt;="&amp;Cover!$C$15),2)</f>
        <v>989.34</v>
      </c>
      <c r="AA500">
        <f>COUNTIFS('Bank Lines'!$G$5:$G$1640,A500,'Bank Lines'!$J$5:$J$1640,1,'Bank Lines'!$C$5:$C$1640,"&lt;="&amp;Cover!$C$15)</f>
        <v>1</v>
      </c>
      <c r="AB500">
        <f>COUNTIFS('Odoo Items'!$J$5:$J$4331,A500,'Odoo Items'!$C$5:$C$4331,"&lt;="&amp;Cover!$C$15)</f>
        <v>5</v>
      </c>
      <c r="AC500" t="str">
        <f>IF(AND(AA500=0,AB500=0),"",IF(AA500=0,"ODOO-ONLY",IF(AB500=0,"BANK-ONLY","BOTH")))</f>
        <v>BOTH</v>
      </c>
      <c r="AD500" s="9">
        <f>IF(AC500="BOTH",ROUND(Y500-Z500,2),0)</f>
        <v>0</v>
      </c>
    </row>
    <row r="501">
      <c r="A501" t="inlineStr">
        <is>
          <t>G00497</t>
        </is>
      </c>
      <c r="B501" t="inlineStr">
        <is>
          <t>OPS</t>
        </is>
      </c>
      <c r="C501" t="inlineStr">
        <is>
          <t>R03</t>
        </is>
      </c>
      <c r="D501" t="inlineStr">
        <is>
          <t>MATCH</t>
        </is>
      </c>
      <c r="E501" t="inlineStr">
        <is>
          <t>Lyrebird Plan Management</t>
        </is>
      </c>
      <c r="F501" t="n">
        <v>1</v>
      </c>
      <c r="G501" t="inlineStr">
        <is>
          <t>1 invoices</t>
        </is>
      </c>
      <c r="H501">
        <f>COUNTIFS('Bank Lines'!$G$5:$G$1640,A501,'Bank Lines'!$J$5:$J$1640,1)</f>
        <v>1</v>
      </c>
      <c r="I501">
        <f>COUNTIFS('Odoo Items'!$J$5:$J$4331,A501)</f>
        <v>1</v>
      </c>
      <c r="J501" s="9">
        <f>ROUND(SUMIFS('Bank Lines'!$E$5:$E$1640,'Bank Lines'!$G$5:$G$1640,A501,'Bank Lines'!$J$5:$J$1640,1),2)</f>
        <v>193.99</v>
      </c>
      <c r="K501" s="9">
        <f>ROUND(SUMIFS('Odoo Items'!$G$5:$G$4331,'Odoo Items'!$J$5:$J$4331,A501),2)</f>
        <v>193.99</v>
      </c>
      <c r="L501" s="9">
        <f>ROUND(J501-K501,2)</f>
        <v>0</v>
      </c>
      <c r="M501" s="9">
        <f>ROUND(SUMIFS('Bank Lines'!$E$5:$E$1640,'Bank Lines'!$G$5:$G$1640,A501,'Bank Lines'!$J$5:$J$1640,1,'Bank Lines'!$C$5:$C$1640,"&lt;="&amp;Cover!$C$13),2)</f>
        <v>0</v>
      </c>
      <c r="N501" s="9">
        <f>ROUND(SUMIFS('Odoo Items'!$G$5:$G$4331,'Odoo Items'!$J$5:$J$4331,A501,'Odoo Items'!$C$5:$C$4331,"&lt;="&amp;Cover!$C$13),2)</f>
        <v>0</v>
      </c>
      <c r="O501">
        <f>COUNTIFS('Bank Lines'!$G$5:$G$1640,A501,'Bank Lines'!$J$5:$J$1640,1,'Bank Lines'!$C$5:$C$1640,"&lt;="&amp;Cover!$C$13)</f>
        <v>0</v>
      </c>
      <c r="P501">
        <f>COUNTIFS('Odoo Items'!$J$5:$J$4331,A501,'Odoo Items'!$C$5:$C$4331,"&lt;="&amp;Cover!$C$13)</f>
        <v>0</v>
      </c>
      <c r="Q501">
        <f>IF(AND(O501=0,P501=0),"",IF(O501=0,"ODOO-ONLY",IF(P501=0,"BANK-ONLY","BOTH")))</f>
      </c>
      <c r="R501" s="9">
        <f>IF(Q501="BOTH",ROUND(M501-N501,2),0)</f>
        <v>0</v>
      </c>
      <c r="S501" s="9">
        <f>ROUND(SUMIFS('Bank Lines'!$E$5:$E$1640,'Bank Lines'!$G$5:$G$1640,A501,'Bank Lines'!$J$5:$J$1640,1,'Bank Lines'!$C$5:$C$1640,"&lt;="&amp;Cover!$C$14),2)</f>
        <v>0</v>
      </c>
      <c r="T501" s="9">
        <f>ROUND(SUMIFS('Odoo Items'!$G$5:$G$4331,'Odoo Items'!$J$5:$J$4331,A501,'Odoo Items'!$C$5:$C$4331,"&lt;="&amp;Cover!$C$14),2)</f>
        <v>0</v>
      </c>
      <c r="U501">
        <f>COUNTIFS('Bank Lines'!$G$5:$G$1640,A501,'Bank Lines'!$J$5:$J$1640,1,'Bank Lines'!$C$5:$C$1640,"&lt;="&amp;Cover!$C$14)</f>
        <v>0</v>
      </c>
      <c r="V501">
        <f>COUNTIFS('Odoo Items'!$J$5:$J$4331,A501,'Odoo Items'!$C$5:$C$4331,"&lt;="&amp;Cover!$C$14)</f>
        <v>0</v>
      </c>
      <c r="W501">
        <f>IF(AND(U501=0,V501=0),"",IF(U501=0,"ODOO-ONLY",IF(V501=0,"BANK-ONLY","BOTH")))</f>
      </c>
      <c r="X501" s="9">
        <f>IF(W501="BOTH",ROUND(S501-T501,2),0)</f>
        <v>0</v>
      </c>
      <c r="Y501" s="9">
        <f>ROUND(SUMIFS('Bank Lines'!$E$5:$E$1640,'Bank Lines'!$G$5:$G$1640,A501,'Bank Lines'!$J$5:$J$1640,1,'Bank Lines'!$C$5:$C$1640,"&lt;="&amp;Cover!$C$15),2)</f>
        <v>193.99</v>
      </c>
      <c r="Z501" s="9">
        <f>ROUND(SUMIFS('Odoo Items'!$G$5:$G$4331,'Odoo Items'!$J$5:$J$4331,A501,'Odoo Items'!$C$5:$C$4331,"&lt;="&amp;Cover!$C$15),2)</f>
        <v>193.99</v>
      </c>
      <c r="AA501">
        <f>COUNTIFS('Bank Lines'!$G$5:$G$1640,A501,'Bank Lines'!$J$5:$J$1640,1,'Bank Lines'!$C$5:$C$1640,"&lt;="&amp;Cover!$C$15)</f>
        <v>1</v>
      </c>
      <c r="AB501">
        <f>COUNTIFS('Odoo Items'!$J$5:$J$4331,A501,'Odoo Items'!$C$5:$C$4331,"&lt;="&amp;Cover!$C$15)</f>
        <v>1</v>
      </c>
      <c r="AC501" t="str">
        <f>IF(AND(AA501=0,AB501=0),"",IF(AA501=0,"ODOO-ONLY",IF(AB501=0,"BANK-ONLY","BOTH")))</f>
        <v>BOTH</v>
      </c>
      <c r="AD501" s="9">
        <f>IF(AC501="BOTH",ROUND(Y501-Z501,2),0)</f>
        <v>0</v>
      </c>
    </row>
    <row r="502">
      <c r="A502" t="inlineStr">
        <is>
          <t>G00498</t>
        </is>
      </c>
      <c r="B502" t="inlineStr">
        <is>
          <t>OPS</t>
        </is>
      </c>
      <c r="C502" t="inlineStr">
        <is>
          <t>R03</t>
        </is>
      </c>
      <c r="D502" t="inlineStr">
        <is>
          <t>MATCH</t>
        </is>
      </c>
      <c r="E502" t="inlineStr">
        <is>
          <t>Tallowwood Plans</t>
        </is>
      </c>
      <c r="F502" t="n">
        <v>1</v>
      </c>
      <c r="G502" t="inlineStr">
        <is>
          <t>3 invoices</t>
        </is>
      </c>
      <c r="H502">
        <f>COUNTIFS('Bank Lines'!$G$5:$G$1640,A502,'Bank Lines'!$J$5:$J$1640,1)</f>
        <v>1</v>
      </c>
      <c r="I502">
        <f>COUNTIFS('Odoo Items'!$J$5:$J$4331,A502)</f>
        <v>3</v>
      </c>
      <c r="J502" s="9">
        <f>ROUND(SUMIFS('Bank Lines'!$E$5:$E$1640,'Bank Lines'!$G$5:$G$1640,A502,'Bank Lines'!$J$5:$J$1640,1),2)</f>
        <v>630.46</v>
      </c>
      <c r="K502" s="9">
        <f>ROUND(SUMIFS('Odoo Items'!$G$5:$G$4331,'Odoo Items'!$J$5:$J$4331,A502),2)</f>
        <v>630.46</v>
      </c>
      <c r="L502" s="9">
        <f>ROUND(J502-K502,2)</f>
        <v>0</v>
      </c>
      <c r="M502" s="9">
        <f>ROUND(SUMIFS('Bank Lines'!$E$5:$E$1640,'Bank Lines'!$G$5:$G$1640,A502,'Bank Lines'!$J$5:$J$1640,1,'Bank Lines'!$C$5:$C$1640,"&lt;="&amp;Cover!$C$13),2)</f>
        <v>0</v>
      </c>
      <c r="N502" s="9">
        <f>ROUND(SUMIFS('Odoo Items'!$G$5:$G$4331,'Odoo Items'!$J$5:$J$4331,A502,'Odoo Items'!$C$5:$C$4331,"&lt;="&amp;Cover!$C$13),2)</f>
        <v>0</v>
      </c>
      <c r="O502">
        <f>COUNTIFS('Bank Lines'!$G$5:$G$1640,A502,'Bank Lines'!$J$5:$J$1640,1,'Bank Lines'!$C$5:$C$1640,"&lt;="&amp;Cover!$C$13)</f>
        <v>0</v>
      </c>
      <c r="P502">
        <f>COUNTIFS('Odoo Items'!$J$5:$J$4331,A502,'Odoo Items'!$C$5:$C$4331,"&lt;="&amp;Cover!$C$13)</f>
        <v>0</v>
      </c>
      <c r="Q502">
        <f>IF(AND(O502=0,P502=0),"",IF(O502=0,"ODOO-ONLY",IF(P502=0,"BANK-ONLY","BOTH")))</f>
      </c>
      <c r="R502" s="9">
        <f>IF(Q502="BOTH",ROUND(M502-N502,2),0)</f>
        <v>0</v>
      </c>
      <c r="S502" s="9">
        <f>ROUND(SUMIFS('Bank Lines'!$E$5:$E$1640,'Bank Lines'!$G$5:$G$1640,A502,'Bank Lines'!$J$5:$J$1640,1,'Bank Lines'!$C$5:$C$1640,"&lt;="&amp;Cover!$C$14),2)</f>
        <v>0</v>
      </c>
      <c r="T502" s="9">
        <f>ROUND(SUMIFS('Odoo Items'!$G$5:$G$4331,'Odoo Items'!$J$5:$J$4331,A502,'Odoo Items'!$C$5:$C$4331,"&lt;="&amp;Cover!$C$14),2)</f>
        <v>0</v>
      </c>
      <c r="U502">
        <f>COUNTIFS('Bank Lines'!$G$5:$G$1640,A502,'Bank Lines'!$J$5:$J$1640,1,'Bank Lines'!$C$5:$C$1640,"&lt;="&amp;Cover!$C$14)</f>
        <v>0</v>
      </c>
      <c r="V502">
        <f>COUNTIFS('Odoo Items'!$J$5:$J$4331,A502,'Odoo Items'!$C$5:$C$4331,"&lt;="&amp;Cover!$C$14)</f>
        <v>0</v>
      </c>
      <c r="W502">
        <f>IF(AND(U502=0,V502=0),"",IF(U502=0,"ODOO-ONLY",IF(V502=0,"BANK-ONLY","BOTH")))</f>
      </c>
      <c r="X502" s="9">
        <f>IF(W502="BOTH",ROUND(S502-T502,2),0)</f>
        <v>0</v>
      </c>
      <c r="Y502" s="9">
        <f>ROUND(SUMIFS('Bank Lines'!$E$5:$E$1640,'Bank Lines'!$G$5:$G$1640,A502,'Bank Lines'!$J$5:$J$1640,1,'Bank Lines'!$C$5:$C$1640,"&lt;="&amp;Cover!$C$15),2)</f>
        <v>630.46</v>
      </c>
      <c r="Z502" s="9">
        <f>ROUND(SUMIFS('Odoo Items'!$G$5:$G$4331,'Odoo Items'!$J$5:$J$4331,A502,'Odoo Items'!$C$5:$C$4331,"&lt;="&amp;Cover!$C$15),2)</f>
        <v>630.46</v>
      </c>
      <c r="AA502">
        <f>COUNTIFS('Bank Lines'!$G$5:$G$1640,A502,'Bank Lines'!$J$5:$J$1640,1,'Bank Lines'!$C$5:$C$1640,"&lt;="&amp;Cover!$C$15)</f>
        <v>1</v>
      </c>
      <c r="AB502">
        <f>COUNTIFS('Odoo Items'!$J$5:$J$4331,A502,'Odoo Items'!$C$5:$C$4331,"&lt;="&amp;Cover!$C$15)</f>
        <v>3</v>
      </c>
      <c r="AC502" t="str">
        <f>IF(AND(AA502=0,AB502=0),"",IF(AA502=0,"ODOO-ONLY",IF(AB502=0,"BANK-ONLY","BOTH")))</f>
        <v>BOTH</v>
      </c>
      <c r="AD502" s="9">
        <f>IF(AC502="BOTH",ROUND(Y502-Z502,2),0)</f>
        <v>0</v>
      </c>
    </row>
    <row r="503">
      <c r="A503" t="inlineStr">
        <is>
          <t>G00499</t>
        </is>
      </c>
      <c r="B503" t="inlineStr">
        <is>
          <t>OPS</t>
        </is>
      </c>
      <c r="C503" t="inlineStr">
        <is>
          <t>R03</t>
        </is>
      </c>
      <c r="D503" t="inlineStr">
        <is>
          <t>MATCH</t>
        </is>
      </c>
      <c r="E503" t="inlineStr">
        <is>
          <t>Bluegum Plan Management</t>
        </is>
      </c>
      <c r="F503" t="n">
        <v>0.9</v>
      </c>
      <c r="G503" t="inlineStr">
        <is>
          <t>3 invoices</t>
        </is>
      </c>
      <c r="H503">
        <f>COUNTIFS('Bank Lines'!$G$5:$G$1640,A503,'Bank Lines'!$J$5:$J$1640,1)</f>
        <v>1</v>
      </c>
      <c r="I503">
        <f>COUNTIFS('Odoo Items'!$J$5:$J$4331,A503)</f>
        <v>3</v>
      </c>
      <c r="J503" s="9">
        <f>ROUND(SUMIFS('Bank Lines'!$E$5:$E$1640,'Bank Lines'!$G$5:$G$1640,A503,'Bank Lines'!$J$5:$J$1640,1),2)</f>
        <v>660.46</v>
      </c>
      <c r="K503" s="9">
        <f>ROUND(SUMIFS('Odoo Items'!$G$5:$G$4331,'Odoo Items'!$J$5:$J$4331,A503),2)</f>
        <v>660.46</v>
      </c>
      <c r="L503" s="9">
        <f>ROUND(J503-K503,2)</f>
        <v>0</v>
      </c>
      <c r="M503" s="9">
        <f>ROUND(SUMIFS('Bank Lines'!$E$5:$E$1640,'Bank Lines'!$G$5:$G$1640,A503,'Bank Lines'!$J$5:$J$1640,1,'Bank Lines'!$C$5:$C$1640,"&lt;="&amp;Cover!$C$13),2)</f>
        <v>0</v>
      </c>
      <c r="N503" s="9">
        <f>ROUND(SUMIFS('Odoo Items'!$G$5:$G$4331,'Odoo Items'!$J$5:$J$4331,A503,'Odoo Items'!$C$5:$C$4331,"&lt;="&amp;Cover!$C$13),2)</f>
        <v>0</v>
      </c>
      <c r="O503">
        <f>COUNTIFS('Bank Lines'!$G$5:$G$1640,A503,'Bank Lines'!$J$5:$J$1640,1,'Bank Lines'!$C$5:$C$1640,"&lt;="&amp;Cover!$C$13)</f>
        <v>0</v>
      </c>
      <c r="P503">
        <f>COUNTIFS('Odoo Items'!$J$5:$J$4331,A503,'Odoo Items'!$C$5:$C$4331,"&lt;="&amp;Cover!$C$13)</f>
        <v>0</v>
      </c>
      <c r="Q503">
        <f>IF(AND(O503=0,P503=0),"",IF(O503=0,"ODOO-ONLY",IF(P503=0,"BANK-ONLY","BOTH")))</f>
      </c>
      <c r="R503" s="9">
        <f>IF(Q503="BOTH",ROUND(M503-N503,2),0)</f>
        <v>0</v>
      </c>
      <c r="S503" s="9">
        <f>ROUND(SUMIFS('Bank Lines'!$E$5:$E$1640,'Bank Lines'!$G$5:$G$1640,A503,'Bank Lines'!$J$5:$J$1640,1,'Bank Lines'!$C$5:$C$1640,"&lt;="&amp;Cover!$C$14),2)</f>
        <v>0</v>
      </c>
      <c r="T503" s="9">
        <f>ROUND(SUMIFS('Odoo Items'!$G$5:$G$4331,'Odoo Items'!$J$5:$J$4331,A503,'Odoo Items'!$C$5:$C$4331,"&lt;="&amp;Cover!$C$14),2)</f>
        <v>0</v>
      </c>
      <c r="U503">
        <f>COUNTIFS('Bank Lines'!$G$5:$G$1640,A503,'Bank Lines'!$J$5:$J$1640,1,'Bank Lines'!$C$5:$C$1640,"&lt;="&amp;Cover!$C$14)</f>
        <v>0</v>
      </c>
      <c r="V503">
        <f>COUNTIFS('Odoo Items'!$J$5:$J$4331,A503,'Odoo Items'!$C$5:$C$4331,"&lt;="&amp;Cover!$C$14)</f>
        <v>0</v>
      </c>
      <c r="W503">
        <f>IF(AND(U503=0,V503=0),"",IF(U503=0,"ODOO-ONLY",IF(V503=0,"BANK-ONLY","BOTH")))</f>
      </c>
      <c r="X503" s="9">
        <f>IF(W503="BOTH",ROUND(S503-T503,2),0)</f>
        <v>0</v>
      </c>
      <c r="Y503" s="9">
        <f>ROUND(SUMIFS('Bank Lines'!$E$5:$E$1640,'Bank Lines'!$G$5:$G$1640,A503,'Bank Lines'!$J$5:$J$1640,1,'Bank Lines'!$C$5:$C$1640,"&lt;="&amp;Cover!$C$15),2)</f>
        <v>660.46</v>
      </c>
      <c r="Z503" s="9">
        <f>ROUND(SUMIFS('Odoo Items'!$G$5:$G$4331,'Odoo Items'!$J$5:$J$4331,A503,'Odoo Items'!$C$5:$C$4331,"&lt;="&amp;Cover!$C$15),2)</f>
        <v>660.46</v>
      </c>
      <c r="AA503">
        <f>COUNTIFS('Bank Lines'!$G$5:$G$1640,A503,'Bank Lines'!$J$5:$J$1640,1,'Bank Lines'!$C$5:$C$1640,"&lt;="&amp;Cover!$C$15)</f>
        <v>1</v>
      </c>
      <c r="AB503">
        <f>COUNTIFS('Odoo Items'!$J$5:$J$4331,A503,'Odoo Items'!$C$5:$C$4331,"&lt;="&amp;Cover!$C$15)</f>
        <v>3</v>
      </c>
      <c r="AC503" t="str">
        <f>IF(AND(AA503=0,AB503=0),"",IF(AA503=0,"ODOO-ONLY",IF(AB503=0,"BANK-ONLY","BOTH")))</f>
        <v>BOTH</v>
      </c>
      <c r="AD503" s="9">
        <f>IF(AC503="BOTH",ROUND(Y503-Z503,2),0)</f>
        <v>0</v>
      </c>
    </row>
    <row r="504">
      <c r="A504" t="inlineStr">
        <is>
          <t>G00500</t>
        </is>
      </c>
      <c r="B504" t="inlineStr">
        <is>
          <t>OPS</t>
        </is>
      </c>
      <c r="C504" t="inlineStr">
        <is>
          <t>R03</t>
        </is>
      </c>
      <c r="D504" t="inlineStr">
        <is>
          <t>MATCH</t>
        </is>
      </c>
      <c r="E504" t="inlineStr">
        <is>
          <t>Southern Cross Plan Mgmt</t>
        </is>
      </c>
      <c r="F504" t="n">
        <v>1</v>
      </c>
      <c r="G504" t="inlineStr">
        <is>
          <t>1 invoices</t>
        </is>
      </c>
      <c r="H504">
        <f>COUNTIFS('Bank Lines'!$G$5:$G$1640,A504,'Bank Lines'!$J$5:$J$1640,1)</f>
        <v>1</v>
      </c>
      <c r="I504">
        <f>COUNTIFS('Odoo Items'!$J$5:$J$4331,A504)</f>
        <v>1</v>
      </c>
      <c r="J504" s="9">
        <f>ROUND(SUMIFS('Bank Lines'!$E$5:$E$1640,'Bank Lines'!$G$5:$G$1640,A504,'Bank Lines'!$J$5:$J$1640,1),2)</f>
        <v>242.49</v>
      </c>
      <c r="K504" s="9">
        <f>ROUND(SUMIFS('Odoo Items'!$G$5:$G$4331,'Odoo Items'!$J$5:$J$4331,A504),2)</f>
        <v>242.49</v>
      </c>
      <c r="L504" s="9">
        <f>ROUND(J504-K504,2)</f>
        <v>0</v>
      </c>
      <c r="M504" s="9">
        <f>ROUND(SUMIFS('Bank Lines'!$E$5:$E$1640,'Bank Lines'!$G$5:$G$1640,A504,'Bank Lines'!$J$5:$J$1640,1,'Bank Lines'!$C$5:$C$1640,"&lt;="&amp;Cover!$C$13),2)</f>
        <v>0</v>
      </c>
      <c r="N504" s="9">
        <f>ROUND(SUMIFS('Odoo Items'!$G$5:$G$4331,'Odoo Items'!$J$5:$J$4331,A504,'Odoo Items'!$C$5:$C$4331,"&lt;="&amp;Cover!$C$13),2)</f>
        <v>0</v>
      </c>
      <c r="O504">
        <f>COUNTIFS('Bank Lines'!$G$5:$G$1640,A504,'Bank Lines'!$J$5:$J$1640,1,'Bank Lines'!$C$5:$C$1640,"&lt;="&amp;Cover!$C$13)</f>
        <v>0</v>
      </c>
      <c r="P504">
        <f>COUNTIFS('Odoo Items'!$J$5:$J$4331,A504,'Odoo Items'!$C$5:$C$4331,"&lt;="&amp;Cover!$C$13)</f>
        <v>0</v>
      </c>
      <c r="Q504">
        <f>IF(AND(O504=0,P504=0),"",IF(O504=0,"ODOO-ONLY",IF(P504=0,"BANK-ONLY","BOTH")))</f>
      </c>
      <c r="R504" s="9">
        <f>IF(Q504="BOTH",ROUND(M504-N504,2),0)</f>
        <v>0</v>
      </c>
      <c r="S504" s="9">
        <f>ROUND(SUMIFS('Bank Lines'!$E$5:$E$1640,'Bank Lines'!$G$5:$G$1640,A504,'Bank Lines'!$J$5:$J$1640,1,'Bank Lines'!$C$5:$C$1640,"&lt;="&amp;Cover!$C$14),2)</f>
        <v>0</v>
      </c>
      <c r="T504" s="9">
        <f>ROUND(SUMIFS('Odoo Items'!$G$5:$G$4331,'Odoo Items'!$J$5:$J$4331,A504,'Odoo Items'!$C$5:$C$4331,"&lt;="&amp;Cover!$C$14),2)</f>
        <v>0</v>
      </c>
      <c r="U504">
        <f>COUNTIFS('Bank Lines'!$G$5:$G$1640,A504,'Bank Lines'!$J$5:$J$1640,1,'Bank Lines'!$C$5:$C$1640,"&lt;="&amp;Cover!$C$14)</f>
        <v>0</v>
      </c>
      <c r="V504">
        <f>COUNTIFS('Odoo Items'!$J$5:$J$4331,A504,'Odoo Items'!$C$5:$C$4331,"&lt;="&amp;Cover!$C$14)</f>
        <v>0</v>
      </c>
      <c r="W504">
        <f>IF(AND(U504=0,V504=0),"",IF(U504=0,"ODOO-ONLY",IF(V504=0,"BANK-ONLY","BOTH")))</f>
      </c>
      <c r="X504" s="9">
        <f>IF(W504="BOTH",ROUND(S504-T504,2),0)</f>
        <v>0</v>
      </c>
      <c r="Y504" s="9">
        <f>ROUND(SUMIFS('Bank Lines'!$E$5:$E$1640,'Bank Lines'!$G$5:$G$1640,A504,'Bank Lines'!$J$5:$J$1640,1,'Bank Lines'!$C$5:$C$1640,"&lt;="&amp;Cover!$C$15),2)</f>
        <v>242.49</v>
      </c>
      <c r="Z504" s="9">
        <f>ROUND(SUMIFS('Odoo Items'!$G$5:$G$4331,'Odoo Items'!$J$5:$J$4331,A504,'Odoo Items'!$C$5:$C$4331,"&lt;="&amp;Cover!$C$15),2)</f>
        <v>242.49</v>
      </c>
      <c r="AA504">
        <f>COUNTIFS('Bank Lines'!$G$5:$G$1640,A504,'Bank Lines'!$J$5:$J$1640,1,'Bank Lines'!$C$5:$C$1640,"&lt;="&amp;Cover!$C$15)</f>
        <v>1</v>
      </c>
      <c r="AB504">
        <f>COUNTIFS('Odoo Items'!$J$5:$J$4331,A504,'Odoo Items'!$C$5:$C$4331,"&lt;="&amp;Cover!$C$15)</f>
        <v>1</v>
      </c>
      <c r="AC504" t="str">
        <f>IF(AND(AA504=0,AB504=0),"",IF(AA504=0,"ODOO-ONLY",IF(AB504=0,"BANK-ONLY","BOTH")))</f>
        <v>BOTH</v>
      </c>
      <c r="AD504" s="9">
        <f>IF(AC504="BOTH",ROUND(Y504-Z504,2),0)</f>
        <v>0</v>
      </c>
    </row>
    <row r="505">
      <c r="A505" t="inlineStr">
        <is>
          <t>G00501</t>
        </is>
      </c>
      <c r="B505" t="inlineStr">
        <is>
          <t>OPS</t>
        </is>
      </c>
      <c r="C505" t="inlineStr">
        <is>
          <t>R03</t>
        </is>
      </c>
      <c r="D505" t="inlineStr">
        <is>
          <t>MATCH</t>
        </is>
      </c>
      <c r="E505" t="inlineStr">
        <is>
          <t>Acacia Plan Partners</t>
        </is>
      </c>
      <c r="F505" t="n">
        <v>1</v>
      </c>
      <c r="G505" t="inlineStr">
        <is>
          <t>2 invoices</t>
        </is>
      </c>
      <c r="H505">
        <f>COUNTIFS('Bank Lines'!$G$5:$G$1640,A505,'Bank Lines'!$J$5:$J$1640,1)</f>
        <v>1</v>
      </c>
      <c r="I505">
        <f>COUNTIFS('Odoo Items'!$J$5:$J$4331,A505)</f>
        <v>2</v>
      </c>
      <c r="J505" s="9">
        <f>ROUND(SUMIFS('Bank Lines'!$E$5:$E$1640,'Bank Lines'!$G$5:$G$1640,A505,'Bank Lines'!$J$5:$J$1640,1),2)</f>
        <v>397.68</v>
      </c>
      <c r="K505" s="9">
        <f>ROUND(SUMIFS('Odoo Items'!$G$5:$G$4331,'Odoo Items'!$J$5:$J$4331,A505),2)</f>
        <v>397.68</v>
      </c>
      <c r="L505" s="9">
        <f>ROUND(J505-K505,2)</f>
        <v>0</v>
      </c>
      <c r="M505" s="9">
        <f>ROUND(SUMIFS('Bank Lines'!$E$5:$E$1640,'Bank Lines'!$G$5:$G$1640,A505,'Bank Lines'!$J$5:$J$1640,1,'Bank Lines'!$C$5:$C$1640,"&lt;="&amp;Cover!$C$13),2)</f>
        <v>0</v>
      </c>
      <c r="N505" s="9">
        <f>ROUND(SUMIFS('Odoo Items'!$G$5:$G$4331,'Odoo Items'!$J$5:$J$4331,A505,'Odoo Items'!$C$5:$C$4331,"&lt;="&amp;Cover!$C$13),2)</f>
        <v>0</v>
      </c>
      <c r="O505">
        <f>COUNTIFS('Bank Lines'!$G$5:$G$1640,A505,'Bank Lines'!$J$5:$J$1640,1,'Bank Lines'!$C$5:$C$1640,"&lt;="&amp;Cover!$C$13)</f>
        <v>0</v>
      </c>
      <c r="P505">
        <f>COUNTIFS('Odoo Items'!$J$5:$J$4331,A505,'Odoo Items'!$C$5:$C$4331,"&lt;="&amp;Cover!$C$13)</f>
        <v>0</v>
      </c>
      <c r="Q505">
        <f>IF(AND(O505=0,P505=0),"",IF(O505=0,"ODOO-ONLY",IF(P505=0,"BANK-ONLY","BOTH")))</f>
      </c>
      <c r="R505" s="9">
        <f>IF(Q505="BOTH",ROUND(M505-N505,2),0)</f>
        <v>0</v>
      </c>
      <c r="S505" s="9">
        <f>ROUND(SUMIFS('Bank Lines'!$E$5:$E$1640,'Bank Lines'!$G$5:$G$1640,A505,'Bank Lines'!$J$5:$J$1640,1,'Bank Lines'!$C$5:$C$1640,"&lt;="&amp;Cover!$C$14),2)</f>
        <v>0</v>
      </c>
      <c r="T505" s="9">
        <f>ROUND(SUMIFS('Odoo Items'!$G$5:$G$4331,'Odoo Items'!$J$5:$J$4331,A505,'Odoo Items'!$C$5:$C$4331,"&lt;="&amp;Cover!$C$14),2)</f>
        <v>0</v>
      </c>
      <c r="U505">
        <f>COUNTIFS('Bank Lines'!$G$5:$G$1640,A505,'Bank Lines'!$J$5:$J$1640,1,'Bank Lines'!$C$5:$C$1640,"&lt;="&amp;Cover!$C$14)</f>
        <v>0</v>
      </c>
      <c r="V505">
        <f>COUNTIFS('Odoo Items'!$J$5:$J$4331,A505,'Odoo Items'!$C$5:$C$4331,"&lt;="&amp;Cover!$C$14)</f>
        <v>0</v>
      </c>
      <c r="W505">
        <f>IF(AND(U505=0,V505=0),"",IF(U505=0,"ODOO-ONLY",IF(V505=0,"BANK-ONLY","BOTH")))</f>
      </c>
      <c r="X505" s="9">
        <f>IF(W505="BOTH",ROUND(S505-T505,2),0)</f>
        <v>0</v>
      </c>
      <c r="Y505" s="9">
        <f>ROUND(SUMIFS('Bank Lines'!$E$5:$E$1640,'Bank Lines'!$G$5:$G$1640,A505,'Bank Lines'!$J$5:$J$1640,1,'Bank Lines'!$C$5:$C$1640,"&lt;="&amp;Cover!$C$15),2)</f>
        <v>397.68</v>
      </c>
      <c r="Z505" s="9">
        <f>ROUND(SUMIFS('Odoo Items'!$G$5:$G$4331,'Odoo Items'!$J$5:$J$4331,A505,'Odoo Items'!$C$5:$C$4331,"&lt;="&amp;Cover!$C$15),2)</f>
        <v>397.68</v>
      </c>
      <c r="AA505">
        <f>COUNTIFS('Bank Lines'!$G$5:$G$1640,A505,'Bank Lines'!$J$5:$J$1640,1,'Bank Lines'!$C$5:$C$1640,"&lt;="&amp;Cover!$C$15)</f>
        <v>1</v>
      </c>
      <c r="AB505">
        <f>COUNTIFS('Odoo Items'!$J$5:$J$4331,A505,'Odoo Items'!$C$5:$C$4331,"&lt;="&amp;Cover!$C$15)</f>
        <v>2</v>
      </c>
      <c r="AC505" t="str">
        <f>IF(AND(AA505=0,AB505=0),"",IF(AA505=0,"ODOO-ONLY",IF(AB505=0,"BANK-ONLY","BOTH")))</f>
        <v>BOTH</v>
      </c>
      <c r="AD505" s="9">
        <f>IF(AC505="BOTH",ROUND(Y505-Z505,2),0)</f>
        <v>0</v>
      </c>
    </row>
    <row r="506">
      <c r="A506" t="inlineStr">
        <is>
          <t>G00502</t>
        </is>
      </c>
      <c r="B506" t="inlineStr">
        <is>
          <t>OPS</t>
        </is>
      </c>
      <c r="C506" t="inlineStr">
        <is>
          <t>R06</t>
        </is>
      </c>
      <c r="D506" t="inlineStr">
        <is>
          <t>MATCH</t>
        </is>
      </c>
      <c r="E506" t="inlineStr"/>
      <c r="G506" t="inlineStr">
        <is>
          <t>13 vendor payments in batch</t>
        </is>
      </c>
      <c r="H506">
        <f>COUNTIFS('Bank Lines'!$G$5:$G$1640,A506,'Bank Lines'!$J$5:$J$1640,1)</f>
        <v>1</v>
      </c>
      <c r="I506">
        <f>COUNTIFS('Odoo Items'!$J$5:$J$4331,A506)</f>
        <v>13</v>
      </c>
      <c r="J506" s="9">
        <f>ROUND(SUMIFS('Bank Lines'!$E$5:$E$1640,'Bank Lines'!$G$5:$G$1640,A506,'Bank Lines'!$J$5:$J$1640,1),2)</f>
        <v>-16258</v>
      </c>
      <c r="K506" s="9">
        <f>ROUND(SUMIFS('Odoo Items'!$G$5:$G$4331,'Odoo Items'!$J$5:$J$4331,A506),2)</f>
        <v>-16258</v>
      </c>
      <c r="L506" s="9">
        <f>ROUND(J506-K506,2)</f>
        <v>0</v>
      </c>
      <c r="M506" s="9">
        <f>ROUND(SUMIFS('Bank Lines'!$E$5:$E$1640,'Bank Lines'!$G$5:$G$1640,A506,'Bank Lines'!$J$5:$J$1640,1,'Bank Lines'!$C$5:$C$1640,"&lt;="&amp;Cover!$C$13),2)</f>
        <v>-16258</v>
      </c>
      <c r="N506" s="9">
        <f>ROUND(SUMIFS('Odoo Items'!$G$5:$G$4331,'Odoo Items'!$J$5:$J$4331,A506,'Odoo Items'!$C$5:$C$4331,"&lt;="&amp;Cover!$C$13),2)</f>
        <v>-16258</v>
      </c>
      <c r="O506">
        <f>COUNTIFS('Bank Lines'!$G$5:$G$1640,A506,'Bank Lines'!$J$5:$J$1640,1,'Bank Lines'!$C$5:$C$1640,"&lt;="&amp;Cover!$C$13)</f>
        <v>1</v>
      </c>
      <c r="P506">
        <f>COUNTIFS('Odoo Items'!$J$5:$J$4331,A506,'Odoo Items'!$C$5:$C$4331,"&lt;="&amp;Cover!$C$13)</f>
        <v>13</v>
      </c>
      <c r="Q506" t="str">
        <f>IF(AND(O506=0,P506=0),"",IF(O506=0,"ODOO-ONLY",IF(P506=0,"BANK-ONLY","BOTH")))</f>
        <v>BOTH</v>
      </c>
      <c r="R506" s="9">
        <f>IF(Q506="BOTH",ROUND(M506-N506,2),0)</f>
        <v>0</v>
      </c>
      <c r="S506" s="9">
        <f>ROUND(SUMIFS('Bank Lines'!$E$5:$E$1640,'Bank Lines'!$G$5:$G$1640,A506,'Bank Lines'!$J$5:$J$1640,1,'Bank Lines'!$C$5:$C$1640,"&lt;="&amp;Cover!$C$14),2)</f>
        <v>-16258</v>
      </c>
      <c r="T506" s="9">
        <f>ROUND(SUMIFS('Odoo Items'!$G$5:$G$4331,'Odoo Items'!$J$5:$J$4331,A506,'Odoo Items'!$C$5:$C$4331,"&lt;="&amp;Cover!$C$14),2)</f>
        <v>-16258</v>
      </c>
      <c r="U506">
        <f>COUNTIFS('Bank Lines'!$G$5:$G$1640,A506,'Bank Lines'!$J$5:$J$1640,1,'Bank Lines'!$C$5:$C$1640,"&lt;="&amp;Cover!$C$14)</f>
        <v>1</v>
      </c>
      <c r="V506">
        <f>COUNTIFS('Odoo Items'!$J$5:$J$4331,A506,'Odoo Items'!$C$5:$C$4331,"&lt;="&amp;Cover!$C$14)</f>
        <v>13</v>
      </c>
      <c r="W506" t="str">
        <f>IF(AND(U506=0,V506=0),"",IF(U506=0,"ODOO-ONLY",IF(V506=0,"BANK-ONLY","BOTH")))</f>
        <v>BOTH</v>
      </c>
      <c r="X506" s="9">
        <f>IF(W506="BOTH",ROUND(S506-T506,2),0)</f>
        <v>0</v>
      </c>
      <c r="Y506" s="9">
        <f>ROUND(SUMIFS('Bank Lines'!$E$5:$E$1640,'Bank Lines'!$G$5:$G$1640,A506,'Bank Lines'!$J$5:$J$1640,1,'Bank Lines'!$C$5:$C$1640,"&lt;="&amp;Cover!$C$15),2)</f>
        <v>-16258</v>
      </c>
      <c r="Z506" s="9">
        <f>ROUND(SUMIFS('Odoo Items'!$G$5:$G$4331,'Odoo Items'!$J$5:$J$4331,A506,'Odoo Items'!$C$5:$C$4331,"&lt;="&amp;Cover!$C$15),2)</f>
        <v>-16258</v>
      </c>
      <c r="AA506">
        <f>COUNTIFS('Bank Lines'!$G$5:$G$1640,A506,'Bank Lines'!$J$5:$J$1640,1,'Bank Lines'!$C$5:$C$1640,"&lt;="&amp;Cover!$C$15)</f>
        <v>1</v>
      </c>
      <c r="AB506">
        <f>COUNTIFS('Odoo Items'!$J$5:$J$4331,A506,'Odoo Items'!$C$5:$C$4331,"&lt;="&amp;Cover!$C$15)</f>
        <v>13</v>
      </c>
      <c r="AC506" t="str">
        <f>IF(AND(AA506=0,AB506=0),"",IF(AA506=0,"ODOO-ONLY",IF(AB506=0,"BANK-ONLY","BOTH")))</f>
        <v>BOTH</v>
      </c>
      <c r="AD506" s="9">
        <f>IF(AC506="BOTH",ROUND(Y506-Z506,2),0)</f>
        <v>0</v>
      </c>
    </row>
    <row r="507">
      <c r="A507" t="inlineStr">
        <is>
          <t>G00503</t>
        </is>
      </c>
      <c r="B507" t="inlineStr">
        <is>
          <t>OPS</t>
        </is>
      </c>
      <c r="C507" t="inlineStr">
        <is>
          <t>R04</t>
        </is>
      </c>
      <c r="D507" t="inlineStr">
        <is>
          <t>MATCH</t>
        </is>
      </c>
      <c r="E507" t="inlineStr"/>
      <c r="G507" t="inlineStr">
        <is>
          <t>Reference PR260702</t>
        </is>
      </c>
      <c r="H507">
        <f>COUNTIFS('Bank Lines'!$G$5:$G$1640,A507,'Bank Lines'!$J$5:$J$1640,1)</f>
        <v>1</v>
      </c>
      <c r="I507">
        <f>COUNTIFS('Odoo Items'!$J$5:$J$4331,A507)</f>
        <v>1</v>
      </c>
      <c r="J507" s="9">
        <f>ROUND(SUMIFS('Bank Lines'!$E$5:$E$1640,'Bank Lines'!$G$5:$G$1640,A507,'Bank Lines'!$J$5:$J$1640,1),2)</f>
        <v>-167671.63</v>
      </c>
      <c r="K507" s="9">
        <f>ROUND(SUMIFS('Odoo Items'!$G$5:$G$4331,'Odoo Items'!$J$5:$J$4331,A507),2)</f>
        <v>-167671.63</v>
      </c>
      <c r="L507" s="9">
        <f>ROUND(J507-K507,2)</f>
        <v>0</v>
      </c>
      <c r="M507" s="9">
        <f>ROUND(SUMIFS('Bank Lines'!$E$5:$E$1640,'Bank Lines'!$G$5:$G$1640,A507,'Bank Lines'!$J$5:$J$1640,1,'Bank Lines'!$C$5:$C$1640,"&lt;="&amp;Cover!$C$13),2)</f>
        <v>-167671.63</v>
      </c>
      <c r="N507" s="9">
        <f>ROUND(SUMIFS('Odoo Items'!$G$5:$G$4331,'Odoo Items'!$J$5:$J$4331,A507,'Odoo Items'!$C$5:$C$4331,"&lt;="&amp;Cover!$C$13),2)</f>
        <v>-167671.63</v>
      </c>
      <c r="O507">
        <f>COUNTIFS('Bank Lines'!$G$5:$G$1640,A507,'Bank Lines'!$J$5:$J$1640,1,'Bank Lines'!$C$5:$C$1640,"&lt;="&amp;Cover!$C$13)</f>
        <v>1</v>
      </c>
      <c r="P507">
        <f>COUNTIFS('Odoo Items'!$J$5:$J$4331,A507,'Odoo Items'!$C$5:$C$4331,"&lt;="&amp;Cover!$C$13)</f>
        <v>1</v>
      </c>
      <c r="Q507" t="str">
        <f>IF(AND(O507=0,P507=0),"",IF(O507=0,"ODOO-ONLY",IF(P507=0,"BANK-ONLY","BOTH")))</f>
        <v>BOTH</v>
      </c>
      <c r="R507" s="9">
        <f>IF(Q507="BOTH",ROUND(M507-N507,2),0)</f>
        <v>0</v>
      </c>
      <c r="S507" s="9">
        <f>ROUND(SUMIFS('Bank Lines'!$E$5:$E$1640,'Bank Lines'!$G$5:$G$1640,A507,'Bank Lines'!$J$5:$J$1640,1,'Bank Lines'!$C$5:$C$1640,"&lt;="&amp;Cover!$C$14),2)</f>
        <v>-167671.63</v>
      </c>
      <c r="T507" s="9">
        <f>ROUND(SUMIFS('Odoo Items'!$G$5:$G$4331,'Odoo Items'!$J$5:$J$4331,A507,'Odoo Items'!$C$5:$C$4331,"&lt;="&amp;Cover!$C$14),2)</f>
        <v>-167671.63</v>
      </c>
      <c r="U507">
        <f>COUNTIFS('Bank Lines'!$G$5:$G$1640,A507,'Bank Lines'!$J$5:$J$1640,1,'Bank Lines'!$C$5:$C$1640,"&lt;="&amp;Cover!$C$14)</f>
        <v>1</v>
      </c>
      <c r="V507">
        <f>COUNTIFS('Odoo Items'!$J$5:$J$4331,A507,'Odoo Items'!$C$5:$C$4331,"&lt;="&amp;Cover!$C$14)</f>
        <v>1</v>
      </c>
      <c r="W507" t="str">
        <f>IF(AND(U507=0,V507=0),"",IF(U507=0,"ODOO-ONLY",IF(V507=0,"BANK-ONLY","BOTH")))</f>
        <v>BOTH</v>
      </c>
      <c r="X507" s="9">
        <f>IF(W507="BOTH",ROUND(S507-T507,2),0)</f>
        <v>0</v>
      </c>
      <c r="Y507" s="9">
        <f>ROUND(SUMIFS('Bank Lines'!$E$5:$E$1640,'Bank Lines'!$G$5:$G$1640,A507,'Bank Lines'!$J$5:$J$1640,1,'Bank Lines'!$C$5:$C$1640,"&lt;="&amp;Cover!$C$15),2)</f>
        <v>-167671.63</v>
      </c>
      <c r="Z507" s="9">
        <f>ROUND(SUMIFS('Odoo Items'!$G$5:$G$4331,'Odoo Items'!$J$5:$J$4331,A507,'Odoo Items'!$C$5:$C$4331,"&lt;="&amp;Cover!$C$15),2)</f>
        <v>-167671.63</v>
      </c>
      <c r="AA507">
        <f>COUNTIFS('Bank Lines'!$G$5:$G$1640,A507,'Bank Lines'!$J$5:$J$1640,1,'Bank Lines'!$C$5:$C$1640,"&lt;="&amp;Cover!$C$15)</f>
        <v>1</v>
      </c>
      <c r="AB507">
        <f>COUNTIFS('Odoo Items'!$J$5:$J$4331,A507,'Odoo Items'!$C$5:$C$4331,"&lt;="&amp;Cover!$C$15)</f>
        <v>1</v>
      </c>
      <c r="AC507" t="str">
        <f>IF(AND(AA507=0,AB507=0),"",IF(AA507=0,"ODOO-ONLY",IF(AB507=0,"BANK-ONLY","BOTH")))</f>
        <v>BOTH</v>
      </c>
      <c r="AD507" s="9">
        <f>IF(AC507="BOTH",ROUND(Y507-Z507,2),0)</f>
        <v>0</v>
      </c>
    </row>
    <row r="508">
      <c r="A508" t="inlineStr">
        <is>
          <t>G00504</t>
        </is>
      </c>
      <c r="B508" t="inlineStr">
        <is>
          <t>OPS</t>
        </is>
      </c>
      <c r="C508" t="inlineStr">
        <is>
          <t>R07</t>
        </is>
      </c>
      <c r="D508" t="inlineStr">
        <is>
          <t>MATCH</t>
        </is>
      </c>
      <c r="E508" t="inlineStr"/>
      <c r="G508" t="inlineStr">
        <is>
          <t>Cheque 000398</t>
        </is>
      </c>
      <c r="H508">
        <f>COUNTIFS('Bank Lines'!$G$5:$G$1640,A508,'Bank Lines'!$J$5:$J$1640,1)</f>
        <v>1</v>
      </c>
      <c r="I508">
        <f>COUNTIFS('Odoo Items'!$J$5:$J$4331,A508)</f>
        <v>1</v>
      </c>
      <c r="J508" s="9">
        <f>ROUND(SUMIFS('Bank Lines'!$E$5:$E$1640,'Bank Lines'!$G$5:$G$1640,A508,'Bank Lines'!$J$5:$J$1640,1),2)</f>
        <v>-418</v>
      </c>
      <c r="K508" s="9">
        <f>ROUND(SUMIFS('Odoo Items'!$G$5:$G$4331,'Odoo Items'!$J$5:$J$4331,A508),2)</f>
        <v>-418</v>
      </c>
      <c r="L508" s="9">
        <f>ROUND(J508-K508,2)</f>
        <v>0</v>
      </c>
      <c r="M508" s="9">
        <f>ROUND(SUMIFS('Bank Lines'!$E$5:$E$1640,'Bank Lines'!$G$5:$G$1640,A508,'Bank Lines'!$J$5:$J$1640,1,'Bank Lines'!$C$5:$C$1640,"&lt;="&amp;Cover!$C$13),2)</f>
        <v>-418</v>
      </c>
      <c r="N508" s="9">
        <f>ROUND(SUMIFS('Odoo Items'!$G$5:$G$4331,'Odoo Items'!$J$5:$J$4331,A508,'Odoo Items'!$C$5:$C$4331,"&lt;="&amp;Cover!$C$13),2)</f>
        <v>-418</v>
      </c>
      <c r="O508">
        <f>COUNTIFS('Bank Lines'!$G$5:$G$1640,A508,'Bank Lines'!$J$5:$J$1640,1,'Bank Lines'!$C$5:$C$1640,"&lt;="&amp;Cover!$C$13)</f>
        <v>1</v>
      </c>
      <c r="P508">
        <f>COUNTIFS('Odoo Items'!$J$5:$J$4331,A508,'Odoo Items'!$C$5:$C$4331,"&lt;="&amp;Cover!$C$13)</f>
        <v>1</v>
      </c>
      <c r="Q508" t="str">
        <f>IF(AND(O508=0,P508=0),"",IF(O508=0,"ODOO-ONLY",IF(P508=0,"BANK-ONLY","BOTH")))</f>
        <v>BOTH</v>
      </c>
      <c r="R508" s="9">
        <f>IF(Q508="BOTH",ROUND(M508-N508,2),0)</f>
        <v>0</v>
      </c>
      <c r="S508" s="9">
        <f>ROUND(SUMIFS('Bank Lines'!$E$5:$E$1640,'Bank Lines'!$G$5:$G$1640,A508,'Bank Lines'!$J$5:$J$1640,1,'Bank Lines'!$C$5:$C$1640,"&lt;="&amp;Cover!$C$14),2)</f>
        <v>-418</v>
      </c>
      <c r="T508" s="9">
        <f>ROUND(SUMIFS('Odoo Items'!$G$5:$G$4331,'Odoo Items'!$J$5:$J$4331,A508,'Odoo Items'!$C$5:$C$4331,"&lt;="&amp;Cover!$C$14),2)</f>
        <v>-418</v>
      </c>
      <c r="U508">
        <f>COUNTIFS('Bank Lines'!$G$5:$G$1640,A508,'Bank Lines'!$J$5:$J$1640,1,'Bank Lines'!$C$5:$C$1640,"&lt;="&amp;Cover!$C$14)</f>
        <v>1</v>
      </c>
      <c r="V508">
        <f>COUNTIFS('Odoo Items'!$J$5:$J$4331,A508,'Odoo Items'!$C$5:$C$4331,"&lt;="&amp;Cover!$C$14)</f>
        <v>1</v>
      </c>
      <c r="W508" t="str">
        <f>IF(AND(U508=0,V508=0),"",IF(U508=0,"ODOO-ONLY",IF(V508=0,"BANK-ONLY","BOTH")))</f>
        <v>BOTH</v>
      </c>
      <c r="X508" s="9">
        <f>IF(W508="BOTH",ROUND(S508-T508,2),0)</f>
        <v>0</v>
      </c>
      <c r="Y508" s="9">
        <f>ROUND(SUMIFS('Bank Lines'!$E$5:$E$1640,'Bank Lines'!$G$5:$G$1640,A508,'Bank Lines'!$J$5:$J$1640,1,'Bank Lines'!$C$5:$C$1640,"&lt;="&amp;Cover!$C$15),2)</f>
        <v>-418</v>
      </c>
      <c r="Z508" s="9">
        <f>ROUND(SUMIFS('Odoo Items'!$G$5:$G$4331,'Odoo Items'!$J$5:$J$4331,A508,'Odoo Items'!$C$5:$C$4331,"&lt;="&amp;Cover!$C$15),2)</f>
        <v>-418</v>
      </c>
      <c r="AA508">
        <f>COUNTIFS('Bank Lines'!$G$5:$G$1640,A508,'Bank Lines'!$J$5:$J$1640,1,'Bank Lines'!$C$5:$C$1640,"&lt;="&amp;Cover!$C$15)</f>
        <v>1</v>
      </c>
      <c r="AB508">
        <f>COUNTIFS('Odoo Items'!$J$5:$J$4331,A508,'Odoo Items'!$C$5:$C$4331,"&lt;="&amp;Cover!$C$15)</f>
        <v>1</v>
      </c>
      <c r="AC508" t="str">
        <f>IF(AND(AA508=0,AB508=0),"",IF(AA508=0,"ODOO-ONLY",IF(AB508=0,"BANK-ONLY","BOTH")))</f>
        <v>BOTH</v>
      </c>
      <c r="AD508" s="9">
        <f>IF(AC508="BOTH",ROUND(Y508-Z508,2),0)</f>
        <v>0</v>
      </c>
    </row>
    <row r="509">
      <c r="A509" t="inlineStr">
        <is>
          <t>G00505</t>
        </is>
      </c>
      <c r="B509" t="inlineStr">
        <is>
          <t>OPS</t>
        </is>
      </c>
      <c r="C509" t="inlineStr">
        <is>
          <t>R04</t>
        </is>
      </c>
      <c r="D509" t="inlineStr">
        <is>
          <t>MATCH</t>
        </is>
      </c>
      <c r="E509" t="inlineStr"/>
      <c r="G509" t="inlineStr">
        <is>
          <t>Sweep, same amount</t>
        </is>
      </c>
      <c r="H509">
        <f>COUNTIFS('Bank Lines'!$G$5:$G$1640,A509,'Bank Lines'!$J$5:$J$1640,1)</f>
        <v>1</v>
      </c>
      <c r="I509">
        <f>COUNTIFS('Odoo Items'!$J$5:$J$4331,A509)</f>
        <v>1</v>
      </c>
      <c r="J509" s="9">
        <f>ROUND(SUMIFS('Bank Lines'!$E$5:$E$1640,'Bank Lines'!$G$5:$G$1640,A509,'Bank Lines'!$J$5:$J$1640,1),2)</f>
        <v>22000</v>
      </c>
      <c r="K509" s="9">
        <f>ROUND(SUMIFS('Odoo Items'!$G$5:$G$4331,'Odoo Items'!$J$5:$J$4331,A509),2)</f>
        <v>22000</v>
      </c>
      <c r="L509" s="9">
        <f>ROUND(J509-K509,2)</f>
        <v>0</v>
      </c>
      <c r="M509" s="9">
        <f>ROUND(SUMIFS('Bank Lines'!$E$5:$E$1640,'Bank Lines'!$G$5:$G$1640,A509,'Bank Lines'!$J$5:$J$1640,1,'Bank Lines'!$C$5:$C$1640,"&lt;="&amp;Cover!$C$13),2)</f>
        <v>22000</v>
      </c>
      <c r="N509" s="9">
        <f>ROUND(SUMIFS('Odoo Items'!$G$5:$G$4331,'Odoo Items'!$J$5:$J$4331,A509,'Odoo Items'!$C$5:$C$4331,"&lt;="&amp;Cover!$C$13),2)</f>
        <v>22000</v>
      </c>
      <c r="O509">
        <f>COUNTIFS('Bank Lines'!$G$5:$G$1640,A509,'Bank Lines'!$J$5:$J$1640,1,'Bank Lines'!$C$5:$C$1640,"&lt;="&amp;Cover!$C$13)</f>
        <v>1</v>
      </c>
      <c r="P509">
        <f>COUNTIFS('Odoo Items'!$J$5:$J$4331,A509,'Odoo Items'!$C$5:$C$4331,"&lt;="&amp;Cover!$C$13)</f>
        <v>1</v>
      </c>
      <c r="Q509" t="str">
        <f>IF(AND(O509=0,P509=0),"",IF(O509=0,"ODOO-ONLY",IF(P509=0,"BANK-ONLY","BOTH")))</f>
        <v>BOTH</v>
      </c>
      <c r="R509" s="9">
        <f>IF(Q509="BOTH",ROUND(M509-N509,2),0)</f>
        <v>0</v>
      </c>
      <c r="S509" s="9">
        <f>ROUND(SUMIFS('Bank Lines'!$E$5:$E$1640,'Bank Lines'!$G$5:$G$1640,A509,'Bank Lines'!$J$5:$J$1640,1,'Bank Lines'!$C$5:$C$1640,"&lt;="&amp;Cover!$C$14),2)</f>
        <v>22000</v>
      </c>
      <c r="T509" s="9">
        <f>ROUND(SUMIFS('Odoo Items'!$G$5:$G$4331,'Odoo Items'!$J$5:$J$4331,A509,'Odoo Items'!$C$5:$C$4331,"&lt;="&amp;Cover!$C$14),2)</f>
        <v>22000</v>
      </c>
      <c r="U509">
        <f>COUNTIFS('Bank Lines'!$G$5:$G$1640,A509,'Bank Lines'!$J$5:$J$1640,1,'Bank Lines'!$C$5:$C$1640,"&lt;="&amp;Cover!$C$14)</f>
        <v>1</v>
      </c>
      <c r="V509">
        <f>COUNTIFS('Odoo Items'!$J$5:$J$4331,A509,'Odoo Items'!$C$5:$C$4331,"&lt;="&amp;Cover!$C$14)</f>
        <v>1</v>
      </c>
      <c r="W509" t="str">
        <f>IF(AND(U509=0,V509=0),"",IF(U509=0,"ODOO-ONLY",IF(V509=0,"BANK-ONLY","BOTH")))</f>
        <v>BOTH</v>
      </c>
      <c r="X509" s="9">
        <f>IF(W509="BOTH",ROUND(S509-T509,2),0)</f>
        <v>0</v>
      </c>
      <c r="Y509" s="9">
        <f>ROUND(SUMIFS('Bank Lines'!$E$5:$E$1640,'Bank Lines'!$G$5:$G$1640,A509,'Bank Lines'!$J$5:$J$1640,1,'Bank Lines'!$C$5:$C$1640,"&lt;="&amp;Cover!$C$15),2)</f>
        <v>22000</v>
      </c>
      <c r="Z509" s="9">
        <f>ROUND(SUMIFS('Odoo Items'!$G$5:$G$4331,'Odoo Items'!$J$5:$J$4331,A509,'Odoo Items'!$C$5:$C$4331,"&lt;="&amp;Cover!$C$15),2)</f>
        <v>22000</v>
      </c>
      <c r="AA509">
        <f>COUNTIFS('Bank Lines'!$G$5:$G$1640,A509,'Bank Lines'!$J$5:$J$1640,1,'Bank Lines'!$C$5:$C$1640,"&lt;="&amp;Cover!$C$15)</f>
        <v>1</v>
      </c>
      <c r="AB509">
        <f>COUNTIFS('Odoo Items'!$J$5:$J$4331,A509,'Odoo Items'!$C$5:$C$4331,"&lt;="&amp;Cover!$C$15)</f>
        <v>1</v>
      </c>
      <c r="AC509" t="str">
        <f>IF(AND(AA509=0,AB509=0),"",IF(AA509=0,"ODOO-ONLY",IF(AB509=0,"BANK-ONLY","BOTH")))</f>
        <v>BOTH</v>
      </c>
      <c r="AD509" s="9">
        <f>IF(AC509="BOTH",ROUND(Y509-Z509,2),0)</f>
        <v>0</v>
      </c>
    </row>
    <row r="510">
      <c r="A510" t="inlineStr">
        <is>
          <t>G00506</t>
        </is>
      </c>
      <c r="B510" t="inlineStr">
        <is>
          <t>OPS</t>
        </is>
      </c>
      <c r="C510" t="inlineStr">
        <is>
          <t>R06</t>
        </is>
      </c>
      <c r="D510" t="inlineStr">
        <is>
          <t>MATCH</t>
        </is>
      </c>
      <c r="E510" t="inlineStr"/>
      <c r="G510" t="inlineStr">
        <is>
          <t>22 vendor payments in batch</t>
        </is>
      </c>
      <c r="H510">
        <f>COUNTIFS('Bank Lines'!$G$5:$G$1640,A510,'Bank Lines'!$J$5:$J$1640,1)</f>
        <v>1</v>
      </c>
      <c r="I510">
        <f>COUNTIFS('Odoo Items'!$J$5:$J$4331,A510)</f>
        <v>22</v>
      </c>
      <c r="J510" s="9">
        <f>ROUND(SUMIFS('Bank Lines'!$E$5:$E$1640,'Bank Lines'!$G$5:$G$1640,A510,'Bank Lines'!$J$5:$J$1640,1),2)</f>
        <v>-41995.8</v>
      </c>
      <c r="K510" s="9">
        <f>ROUND(SUMIFS('Odoo Items'!$G$5:$G$4331,'Odoo Items'!$J$5:$J$4331,A510),2)</f>
        <v>-41995.8</v>
      </c>
      <c r="L510" s="9">
        <f>ROUND(J510-K510,2)</f>
        <v>0</v>
      </c>
      <c r="M510" s="9">
        <f>ROUND(SUMIFS('Bank Lines'!$E$5:$E$1640,'Bank Lines'!$G$5:$G$1640,A510,'Bank Lines'!$J$5:$J$1640,1,'Bank Lines'!$C$5:$C$1640,"&lt;="&amp;Cover!$C$13),2)</f>
        <v>-41995.8</v>
      </c>
      <c r="N510" s="9">
        <f>ROUND(SUMIFS('Odoo Items'!$G$5:$G$4331,'Odoo Items'!$J$5:$J$4331,A510,'Odoo Items'!$C$5:$C$4331,"&lt;="&amp;Cover!$C$13),2)</f>
        <v>-41995.8</v>
      </c>
      <c r="O510">
        <f>COUNTIFS('Bank Lines'!$G$5:$G$1640,A510,'Bank Lines'!$J$5:$J$1640,1,'Bank Lines'!$C$5:$C$1640,"&lt;="&amp;Cover!$C$13)</f>
        <v>1</v>
      </c>
      <c r="P510">
        <f>COUNTIFS('Odoo Items'!$J$5:$J$4331,A510,'Odoo Items'!$C$5:$C$4331,"&lt;="&amp;Cover!$C$13)</f>
        <v>22</v>
      </c>
      <c r="Q510" t="str">
        <f>IF(AND(O510=0,P510=0),"",IF(O510=0,"ODOO-ONLY",IF(P510=0,"BANK-ONLY","BOTH")))</f>
        <v>BOTH</v>
      </c>
      <c r="R510" s="9">
        <f>IF(Q510="BOTH",ROUND(M510-N510,2),0)</f>
        <v>0</v>
      </c>
      <c r="S510" s="9">
        <f>ROUND(SUMIFS('Bank Lines'!$E$5:$E$1640,'Bank Lines'!$G$5:$G$1640,A510,'Bank Lines'!$J$5:$J$1640,1,'Bank Lines'!$C$5:$C$1640,"&lt;="&amp;Cover!$C$14),2)</f>
        <v>-41995.8</v>
      </c>
      <c r="T510" s="9">
        <f>ROUND(SUMIFS('Odoo Items'!$G$5:$G$4331,'Odoo Items'!$J$5:$J$4331,A510,'Odoo Items'!$C$5:$C$4331,"&lt;="&amp;Cover!$C$14),2)</f>
        <v>-41995.8</v>
      </c>
      <c r="U510">
        <f>COUNTIFS('Bank Lines'!$G$5:$G$1640,A510,'Bank Lines'!$J$5:$J$1640,1,'Bank Lines'!$C$5:$C$1640,"&lt;="&amp;Cover!$C$14)</f>
        <v>1</v>
      </c>
      <c r="V510">
        <f>COUNTIFS('Odoo Items'!$J$5:$J$4331,A510,'Odoo Items'!$C$5:$C$4331,"&lt;="&amp;Cover!$C$14)</f>
        <v>22</v>
      </c>
      <c r="W510" t="str">
        <f>IF(AND(U510=0,V510=0),"",IF(U510=0,"ODOO-ONLY",IF(V510=0,"BANK-ONLY","BOTH")))</f>
        <v>BOTH</v>
      </c>
      <c r="X510" s="9">
        <f>IF(W510="BOTH",ROUND(S510-T510,2),0)</f>
        <v>0</v>
      </c>
      <c r="Y510" s="9">
        <f>ROUND(SUMIFS('Bank Lines'!$E$5:$E$1640,'Bank Lines'!$G$5:$G$1640,A510,'Bank Lines'!$J$5:$J$1640,1,'Bank Lines'!$C$5:$C$1640,"&lt;="&amp;Cover!$C$15),2)</f>
        <v>-41995.8</v>
      </c>
      <c r="Z510" s="9">
        <f>ROUND(SUMIFS('Odoo Items'!$G$5:$G$4331,'Odoo Items'!$J$5:$J$4331,A510,'Odoo Items'!$C$5:$C$4331,"&lt;="&amp;Cover!$C$15),2)</f>
        <v>-41995.8</v>
      </c>
      <c r="AA510">
        <f>COUNTIFS('Bank Lines'!$G$5:$G$1640,A510,'Bank Lines'!$J$5:$J$1640,1,'Bank Lines'!$C$5:$C$1640,"&lt;="&amp;Cover!$C$15)</f>
        <v>1</v>
      </c>
      <c r="AB510">
        <f>COUNTIFS('Odoo Items'!$J$5:$J$4331,A510,'Odoo Items'!$C$5:$C$4331,"&lt;="&amp;Cover!$C$15)</f>
        <v>22</v>
      </c>
      <c r="AC510" t="str">
        <f>IF(AND(AA510=0,AB510=0),"",IF(AA510=0,"ODOO-ONLY",IF(AB510=0,"BANK-ONLY","BOTH")))</f>
        <v>BOTH</v>
      </c>
      <c r="AD510" s="9">
        <f>IF(AC510="BOTH",ROUND(Y510-Z510,2),0)</f>
        <v>0</v>
      </c>
    </row>
    <row r="511">
      <c r="A511" t="inlineStr">
        <is>
          <t>G00507</t>
        </is>
      </c>
      <c r="B511" t="inlineStr">
        <is>
          <t>OPS</t>
        </is>
      </c>
      <c r="C511" t="inlineStr">
        <is>
          <t>R07</t>
        </is>
      </c>
      <c r="D511" t="inlineStr">
        <is>
          <t>MATCH</t>
        </is>
      </c>
      <c r="E511" t="inlineStr"/>
      <c r="G511" t="inlineStr">
        <is>
          <t>Cheque 000402</t>
        </is>
      </c>
      <c r="H511">
        <f>COUNTIFS('Bank Lines'!$G$5:$G$1640,A511,'Bank Lines'!$J$5:$J$1640,1)</f>
        <v>1</v>
      </c>
      <c r="I511">
        <f>COUNTIFS('Odoo Items'!$J$5:$J$4331,A511)</f>
        <v>1</v>
      </c>
      <c r="J511" s="9">
        <f>ROUND(SUMIFS('Bank Lines'!$E$5:$E$1640,'Bank Lines'!$G$5:$G$1640,A511,'Bank Lines'!$J$5:$J$1640,1),2)</f>
        <v>-165</v>
      </c>
      <c r="K511" s="9">
        <f>ROUND(SUMIFS('Odoo Items'!$G$5:$G$4331,'Odoo Items'!$J$5:$J$4331,A511),2)</f>
        <v>-165</v>
      </c>
      <c r="L511" s="9">
        <f>ROUND(J511-K511,2)</f>
        <v>0</v>
      </c>
      <c r="M511" s="9">
        <f>ROUND(SUMIFS('Bank Lines'!$E$5:$E$1640,'Bank Lines'!$G$5:$G$1640,A511,'Bank Lines'!$J$5:$J$1640,1,'Bank Lines'!$C$5:$C$1640,"&lt;="&amp;Cover!$C$13),2)</f>
        <v>-165</v>
      </c>
      <c r="N511" s="9">
        <f>ROUND(SUMIFS('Odoo Items'!$G$5:$G$4331,'Odoo Items'!$J$5:$J$4331,A511,'Odoo Items'!$C$5:$C$4331,"&lt;="&amp;Cover!$C$13),2)</f>
        <v>-165</v>
      </c>
      <c r="O511">
        <f>COUNTIFS('Bank Lines'!$G$5:$G$1640,A511,'Bank Lines'!$J$5:$J$1640,1,'Bank Lines'!$C$5:$C$1640,"&lt;="&amp;Cover!$C$13)</f>
        <v>1</v>
      </c>
      <c r="P511">
        <f>COUNTIFS('Odoo Items'!$J$5:$J$4331,A511,'Odoo Items'!$C$5:$C$4331,"&lt;="&amp;Cover!$C$13)</f>
        <v>1</v>
      </c>
      <c r="Q511" t="str">
        <f>IF(AND(O511=0,P511=0),"",IF(O511=0,"ODOO-ONLY",IF(P511=0,"BANK-ONLY","BOTH")))</f>
        <v>BOTH</v>
      </c>
      <c r="R511" s="9">
        <f>IF(Q511="BOTH",ROUND(M511-N511,2),0)</f>
        <v>0</v>
      </c>
      <c r="S511" s="9">
        <f>ROUND(SUMIFS('Bank Lines'!$E$5:$E$1640,'Bank Lines'!$G$5:$G$1640,A511,'Bank Lines'!$J$5:$J$1640,1,'Bank Lines'!$C$5:$C$1640,"&lt;="&amp;Cover!$C$14),2)</f>
        <v>-165</v>
      </c>
      <c r="T511" s="9">
        <f>ROUND(SUMIFS('Odoo Items'!$G$5:$G$4331,'Odoo Items'!$J$5:$J$4331,A511,'Odoo Items'!$C$5:$C$4331,"&lt;="&amp;Cover!$C$14),2)</f>
        <v>-165</v>
      </c>
      <c r="U511">
        <f>COUNTIFS('Bank Lines'!$G$5:$G$1640,A511,'Bank Lines'!$J$5:$J$1640,1,'Bank Lines'!$C$5:$C$1640,"&lt;="&amp;Cover!$C$14)</f>
        <v>1</v>
      </c>
      <c r="V511">
        <f>COUNTIFS('Odoo Items'!$J$5:$J$4331,A511,'Odoo Items'!$C$5:$C$4331,"&lt;="&amp;Cover!$C$14)</f>
        <v>1</v>
      </c>
      <c r="W511" t="str">
        <f>IF(AND(U511=0,V511=0),"",IF(U511=0,"ODOO-ONLY",IF(V511=0,"BANK-ONLY","BOTH")))</f>
        <v>BOTH</v>
      </c>
      <c r="X511" s="9">
        <f>IF(W511="BOTH",ROUND(S511-T511,2),0)</f>
        <v>0</v>
      </c>
      <c r="Y511" s="9">
        <f>ROUND(SUMIFS('Bank Lines'!$E$5:$E$1640,'Bank Lines'!$G$5:$G$1640,A511,'Bank Lines'!$J$5:$J$1640,1,'Bank Lines'!$C$5:$C$1640,"&lt;="&amp;Cover!$C$15),2)</f>
        <v>-165</v>
      </c>
      <c r="Z511" s="9">
        <f>ROUND(SUMIFS('Odoo Items'!$G$5:$G$4331,'Odoo Items'!$J$5:$J$4331,A511,'Odoo Items'!$C$5:$C$4331,"&lt;="&amp;Cover!$C$15),2)</f>
        <v>-165</v>
      </c>
      <c r="AA511">
        <f>COUNTIFS('Bank Lines'!$G$5:$G$1640,A511,'Bank Lines'!$J$5:$J$1640,1,'Bank Lines'!$C$5:$C$1640,"&lt;="&amp;Cover!$C$15)</f>
        <v>1</v>
      </c>
      <c r="AB511">
        <f>COUNTIFS('Odoo Items'!$J$5:$J$4331,A511,'Odoo Items'!$C$5:$C$4331,"&lt;="&amp;Cover!$C$15)</f>
        <v>1</v>
      </c>
      <c r="AC511" t="str">
        <f>IF(AND(AA511=0,AB511=0),"",IF(AA511=0,"ODOO-ONLY",IF(AB511=0,"BANK-ONLY","BOTH")))</f>
        <v>BOTH</v>
      </c>
      <c r="AD511" s="9">
        <f>IF(AC511="BOTH",ROUND(Y511-Z511,2),0)</f>
        <v>0</v>
      </c>
    </row>
    <row r="512">
      <c r="A512" t="inlineStr">
        <is>
          <t>G00508</t>
        </is>
      </c>
      <c r="B512" t="inlineStr">
        <is>
          <t>OPS</t>
        </is>
      </c>
      <c r="C512" t="inlineStr">
        <is>
          <t>R07</t>
        </is>
      </c>
      <c r="D512" t="inlineStr">
        <is>
          <t>MATCH</t>
        </is>
      </c>
      <c r="E512" t="inlineStr"/>
      <c r="G512" t="inlineStr">
        <is>
          <t>Cheque 000403</t>
        </is>
      </c>
      <c r="H512">
        <f>COUNTIFS('Bank Lines'!$G$5:$G$1640,A512,'Bank Lines'!$J$5:$J$1640,1)</f>
        <v>1</v>
      </c>
      <c r="I512">
        <f>COUNTIFS('Odoo Items'!$J$5:$J$4331,A512)</f>
        <v>1</v>
      </c>
      <c r="J512" s="9">
        <f>ROUND(SUMIFS('Bank Lines'!$E$5:$E$1640,'Bank Lines'!$G$5:$G$1640,A512,'Bank Lines'!$J$5:$J$1640,1),2)</f>
        <v>-418</v>
      </c>
      <c r="K512" s="9">
        <f>ROUND(SUMIFS('Odoo Items'!$G$5:$G$4331,'Odoo Items'!$J$5:$J$4331,A512),2)</f>
        <v>-418</v>
      </c>
      <c r="L512" s="9">
        <f>ROUND(J512-K512,2)</f>
        <v>0</v>
      </c>
      <c r="M512" s="9">
        <f>ROUND(SUMIFS('Bank Lines'!$E$5:$E$1640,'Bank Lines'!$G$5:$G$1640,A512,'Bank Lines'!$J$5:$J$1640,1,'Bank Lines'!$C$5:$C$1640,"&lt;="&amp;Cover!$C$13),2)</f>
        <v>-418</v>
      </c>
      <c r="N512" s="9">
        <f>ROUND(SUMIFS('Odoo Items'!$G$5:$G$4331,'Odoo Items'!$J$5:$J$4331,A512,'Odoo Items'!$C$5:$C$4331,"&lt;="&amp;Cover!$C$13),2)</f>
        <v>-418</v>
      </c>
      <c r="O512">
        <f>COUNTIFS('Bank Lines'!$G$5:$G$1640,A512,'Bank Lines'!$J$5:$J$1640,1,'Bank Lines'!$C$5:$C$1640,"&lt;="&amp;Cover!$C$13)</f>
        <v>1</v>
      </c>
      <c r="P512">
        <f>COUNTIFS('Odoo Items'!$J$5:$J$4331,A512,'Odoo Items'!$C$5:$C$4331,"&lt;="&amp;Cover!$C$13)</f>
        <v>1</v>
      </c>
      <c r="Q512" t="str">
        <f>IF(AND(O512=0,P512=0),"",IF(O512=0,"ODOO-ONLY",IF(P512=0,"BANK-ONLY","BOTH")))</f>
        <v>BOTH</v>
      </c>
      <c r="R512" s="9">
        <f>IF(Q512="BOTH",ROUND(M512-N512,2),0)</f>
        <v>0</v>
      </c>
      <c r="S512" s="9">
        <f>ROUND(SUMIFS('Bank Lines'!$E$5:$E$1640,'Bank Lines'!$G$5:$G$1640,A512,'Bank Lines'!$J$5:$J$1640,1,'Bank Lines'!$C$5:$C$1640,"&lt;="&amp;Cover!$C$14),2)</f>
        <v>-418</v>
      </c>
      <c r="T512" s="9">
        <f>ROUND(SUMIFS('Odoo Items'!$G$5:$G$4331,'Odoo Items'!$J$5:$J$4331,A512,'Odoo Items'!$C$5:$C$4331,"&lt;="&amp;Cover!$C$14),2)</f>
        <v>-418</v>
      </c>
      <c r="U512">
        <f>COUNTIFS('Bank Lines'!$G$5:$G$1640,A512,'Bank Lines'!$J$5:$J$1640,1,'Bank Lines'!$C$5:$C$1640,"&lt;="&amp;Cover!$C$14)</f>
        <v>1</v>
      </c>
      <c r="V512">
        <f>COUNTIFS('Odoo Items'!$J$5:$J$4331,A512,'Odoo Items'!$C$5:$C$4331,"&lt;="&amp;Cover!$C$14)</f>
        <v>1</v>
      </c>
      <c r="W512" t="str">
        <f>IF(AND(U512=0,V512=0),"",IF(U512=0,"ODOO-ONLY",IF(V512=0,"BANK-ONLY","BOTH")))</f>
        <v>BOTH</v>
      </c>
      <c r="X512" s="9">
        <f>IF(W512="BOTH",ROUND(S512-T512,2),0)</f>
        <v>0</v>
      </c>
      <c r="Y512" s="9">
        <f>ROUND(SUMIFS('Bank Lines'!$E$5:$E$1640,'Bank Lines'!$G$5:$G$1640,A512,'Bank Lines'!$J$5:$J$1640,1,'Bank Lines'!$C$5:$C$1640,"&lt;="&amp;Cover!$C$15),2)</f>
        <v>-418</v>
      </c>
      <c r="Z512" s="9">
        <f>ROUND(SUMIFS('Odoo Items'!$G$5:$G$4331,'Odoo Items'!$J$5:$J$4331,A512,'Odoo Items'!$C$5:$C$4331,"&lt;="&amp;Cover!$C$15),2)</f>
        <v>-418</v>
      </c>
      <c r="AA512">
        <f>COUNTIFS('Bank Lines'!$G$5:$G$1640,A512,'Bank Lines'!$J$5:$J$1640,1,'Bank Lines'!$C$5:$C$1640,"&lt;="&amp;Cover!$C$15)</f>
        <v>1</v>
      </c>
      <c r="AB512">
        <f>COUNTIFS('Odoo Items'!$J$5:$J$4331,A512,'Odoo Items'!$C$5:$C$4331,"&lt;="&amp;Cover!$C$15)</f>
        <v>1</v>
      </c>
      <c r="AC512" t="str">
        <f>IF(AND(AA512=0,AB512=0),"",IF(AA512=0,"ODOO-ONLY",IF(AB512=0,"BANK-ONLY","BOTH")))</f>
        <v>BOTH</v>
      </c>
      <c r="AD512" s="9">
        <f>IF(AC512="BOTH",ROUND(Y512-Z512,2),0)</f>
        <v>0</v>
      </c>
    </row>
    <row r="513">
      <c r="A513" t="inlineStr">
        <is>
          <t>G00509</t>
        </is>
      </c>
      <c r="B513" t="inlineStr">
        <is>
          <t>OPS</t>
        </is>
      </c>
      <c r="C513" t="inlineStr">
        <is>
          <t>R04</t>
        </is>
      </c>
      <c r="D513" t="inlineStr">
        <is>
          <t>FXR</t>
        </is>
      </c>
      <c r="E513" t="inlineStr"/>
      <c r="G513" t="inlineStr">
        <is>
          <t>FX conversion FX0710: bank rate vs Odoo rate, difference -14.55</t>
        </is>
      </c>
      <c r="H513">
        <f>COUNTIFS('Bank Lines'!$G$5:$G$1640,A513,'Bank Lines'!$J$5:$J$1640,1)</f>
        <v>1</v>
      </c>
      <c r="I513">
        <f>COUNTIFS('Odoo Items'!$J$5:$J$4331,A513)</f>
        <v>1</v>
      </c>
      <c r="J513" s="9">
        <f>ROUND(SUMIFS('Bank Lines'!$E$5:$E$1640,'Bank Lines'!$G$5:$G$1640,A513,'Bank Lines'!$J$5:$J$1640,1),2)</f>
        <v>-13684.05</v>
      </c>
      <c r="K513" s="9">
        <f>ROUND(SUMIFS('Odoo Items'!$G$5:$G$4331,'Odoo Items'!$J$5:$J$4331,A513),2)</f>
        <v>-13669.5</v>
      </c>
      <c r="L513" s="9">
        <f>ROUND(J513-K513,2)</f>
        <v>-14.55</v>
      </c>
      <c r="M513" s="9">
        <f>ROUND(SUMIFS('Bank Lines'!$E$5:$E$1640,'Bank Lines'!$G$5:$G$1640,A513,'Bank Lines'!$J$5:$J$1640,1,'Bank Lines'!$C$5:$C$1640,"&lt;="&amp;Cover!$C$13),2)</f>
        <v>-13684.05</v>
      </c>
      <c r="N513" s="9">
        <f>ROUND(SUMIFS('Odoo Items'!$G$5:$G$4331,'Odoo Items'!$J$5:$J$4331,A513,'Odoo Items'!$C$5:$C$4331,"&lt;="&amp;Cover!$C$13),2)</f>
        <v>-13669.5</v>
      </c>
      <c r="O513">
        <f>COUNTIFS('Bank Lines'!$G$5:$G$1640,A513,'Bank Lines'!$J$5:$J$1640,1,'Bank Lines'!$C$5:$C$1640,"&lt;="&amp;Cover!$C$13)</f>
        <v>1</v>
      </c>
      <c r="P513">
        <f>COUNTIFS('Odoo Items'!$J$5:$J$4331,A513,'Odoo Items'!$C$5:$C$4331,"&lt;="&amp;Cover!$C$13)</f>
        <v>1</v>
      </c>
      <c r="Q513" t="str">
        <f>IF(AND(O513=0,P513=0),"",IF(O513=0,"ODOO-ONLY",IF(P513=0,"BANK-ONLY","BOTH")))</f>
        <v>BOTH</v>
      </c>
      <c r="R513" s="9">
        <f>IF(Q513="BOTH",ROUND(M513-N513,2),0)</f>
        <v>-14.55</v>
      </c>
      <c r="S513" s="9">
        <f>ROUND(SUMIFS('Bank Lines'!$E$5:$E$1640,'Bank Lines'!$G$5:$G$1640,A513,'Bank Lines'!$J$5:$J$1640,1,'Bank Lines'!$C$5:$C$1640,"&lt;="&amp;Cover!$C$14),2)</f>
        <v>-13684.05</v>
      </c>
      <c r="T513" s="9">
        <f>ROUND(SUMIFS('Odoo Items'!$G$5:$G$4331,'Odoo Items'!$J$5:$J$4331,A513,'Odoo Items'!$C$5:$C$4331,"&lt;="&amp;Cover!$C$14),2)</f>
        <v>-13669.5</v>
      </c>
      <c r="U513">
        <f>COUNTIFS('Bank Lines'!$G$5:$G$1640,A513,'Bank Lines'!$J$5:$J$1640,1,'Bank Lines'!$C$5:$C$1640,"&lt;="&amp;Cover!$C$14)</f>
        <v>1</v>
      </c>
      <c r="V513">
        <f>COUNTIFS('Odoo Items'!$J$5:$J$4331,A513,'Odoo Items'!$C$5:$C$4331,"&lt;="&amp;Cover!$C$14)</f>
        <v>1</v>
      </c>
      <c r="W513" t="str">
        <f>IF(AND(U513=0,V513=0),"",IF(U513=0,"ODOO-ONLY",IF(V513=0,"BANK-ONLY","BOTH")))</f>
        <v>BOTH</v>
      </c>
      <c r="X513" s="9">
        <f>IF(W513="BOTH",ROUND(S513-T513,2),0)</f>
        <v>-14.55</v>
      </c>
      <c r="Y513" s="9">
        <f>ROUND(SUMIFS('Bank Lines'!$E$5:$E$1640,'Bank Lines'!$G$5:$G$1640,A513,'Bank Lines'!$J$5:$J$1640,1,'Bank Lines'!$C$5:$C$1640,"&lt;="&amp;Cover!$C$15),2)</f>
        <v>-13684.05</v>
      </c>
      <c r="Z513" s="9">
        <f>ROUND(SUMIFS('Odoo Items'!$G$5:$G$4331,'Odoo Items'!$J$5:$J$4331,A513,'Odoo Items'!$C$5:$C$4331,"&lt;="&amp;Cover!$C$15),2)</f>
        <v>-13669.5</v>
      </c>
      <c r="AA513">
        <f>COUNTIFS('Bank Lines'!$G$5:$G$1640,A513,'Bank Lines'!$J$5:$J$1640,1,'Bank Lines'!$C$5:$C$1640,"&lt;="&amp;Cover!$C$15)</f>
        <v>1</v>
      </c>
      <c r="AB513">
        <f>COUNTIFS('Odoo Items'!$J$5:$J$4331,A513,'Odoo Items'!$C$5:$C$4331,"&lt;="&amp;Cover!$C$15)</f>
        <v>1</v>
      </c>
      <c r="AC513" t="str">
        <f>IF(AND(AA513=0,AB513=0),"",IF(AA513=0,"ODOO-ONLY",IF(AB513=0,"BANK-ONLY","BOTH")))</f>
        <v>BOTH</v>
      </c>
      <c r="AD513" s="9">
        <f>IF(AC513="BOTH",ROUND(Y513-Z513,2),0)</f>
        <v>-14.55</v>
      </c>
    </row>
    <row r="514">
      <c r="A514" t="inlineStr">
        <is>
          <t>G00510</t>
        </is>
      </c>
      <c r="B514" t="inlineStr">
        <is>
          <t>OPS</t>
        </is>
      </c>
      <c r="C514" t="inlineStr">
        <is>
          <t>R04</t>
        </is>
      </c>
      <c r="D514" t="inlineStr">
        <is>
          <t>MATCH</t>
        </is>
      </c>
      <c r="E514" t="inlineStr"/>
      <c r="G514" t="inlineStr">
        <is>
          <t>Sweep, same amount</t>
        </is>
      </c>
      <c r="H514">
        <f>COUNTIFS('Bank Lines'!$G$5:$G$1640,A514,'Bank Lines'!$J$5:$J$1640,1)</f>
        <v>1</v>
      </c>
      <c r="I514">
        <f>COUNTIFS('Odoo Items'!$J$5:$J$4331,A514)</f>
        <v>1</v>
      </c>
      <c r="J514" s="9">
        <f>ROUND(SUMIFS('Bank Lines'!$E$5:$E$1640,'Bank Lines'!$G$5:$G$1640,A514,'Bank Lines'!$J$5:$J$1640,1),2)</f>
        <v>34000</v>
      </c>
      <c r="K514" s="9">
        <f>ROUND(SUMIFS('Odoo Items'!$G$5:$G$4331,'Odoo Items'!$J$5:$J$4331,A514),2)</f>
        <v>34000</v>
      </c>
      <c r="L514" s="9">
        <f>ROUND(J514-K514,2)</f>
        <v>0</v>
      </c>
      <c r="M514" s="9">
        <f>ROUND(SUMIFS('Bank Lines'!$E$5:$E$1640,'Bank Lines'!$G$5:$G$1640,A514,'Bank Lines'!$J$5:$J$1640,1,'Bank Lines'!$C$5:$C$1640,"&lt;="&amp;Cover!$C$13),2)</f>
        <v>34000</v>
      </c>
      <c r="N514" s="9">
        <f>ROUND(SUMIFS('Odoo Items'!$G$5:$G$4331,'Odoo Items'!$J$5:$J$4331,A514,'Odoo Items'!$C$5:$C$4331,"&lt;="&amp;Cover!$C$13),2)</f>
        <v>34000</v>
      </c>
      <c r="O514">
        <f>COUNTIFS('Bank Lines'!$G$5:$G$1640,A514,'Bank Lines'!$J$5:$J$1640,1,'Bank Lines'!$C$5:$C$1640,"&lt;="&amp;Cover!$C$13)</f>
        <v>1</v>
      </c>
      <c r="P514">
        <f>COUNTIFS('Odoo Items'!$J$5:$J$4331,A514,'Odoo Items'!$C$5:$C$4331,"&lt;="&amp;Cover!$C$13)</f>
        <v>1</v>
      </c>
      <c r="Q514" t="str">
        <f>IF(AND(O514=0,P514=0),"",IF(O514=0,"ODOO-ONLY",IF(P514=0,"BANK-ONLY","BOTH")))</f>
        <v>BOTH</v>
      </c>
      <c r="R514" s="9">
        <f>IF(Q514="BOTH",ROUND(M514-N514,2),0)</f>
        <v>0</v>
      </c>
      <c r="S514" s="9">
        <f>ROUND(SUMIFS('Bank Lines'!$E$5:$E$1640,'Bank Lines'!$G$5:$G$1640,A514,'Bank Lines'!$J$5:$J$1640,1,'Bank Lines'!$C$5:$C$1640,"&lt;="&amp;Cover!$C$14),2)</f>
        <v>34000</v>
      </c>
      <c r="T514" s="9">
        <f>ROUND(SUMIFS('Odoo Items'!$G$5:$G$4331,'Odoo Items'!$J$5:$J$4331,A514,'Odoo Items'!$C$5:$C$4331,"&lt;="&amp;Cover!$C$14),2)</f>
        <v>34000</v>
      </c>
      <c r="U514">
        <f>COUNTIFS('Bank Lines'!$G$5:$G$1640,A514,'Bank Lines'!$J$5:$J$1640,1,'Bank Lines'!$C$5:$C$1640,"&lt;="&amp;Cover!$C$14)</f>
        <v>1</v>
      </c>
      <c r="V514">
        <f>COUNTIFS('Odoo Items'!$J$5:$J$4331,A514,'Odoo Items'!$C$5:$C$4331,"&lt;="&amp;Cover!$C$14)</f>
        <v>1</v>
      </c>
      <c r="W514" t="str">
        <f>IF(AND(U514=0,V514=0),"",IF(U514=0,"ODOO-ONLY",IF(V514=0,"BANK-ONLY","BOTH")))</f>
        <v>BOTH</v>
      </c>
      <c r="X514" s="9">
        <f>IF(W514="BOTH",ROUND(S514-T514,2),0)</f>
        <v>0</v>
      </c>
      <c r="Y514" s="9">
        <f>ROUND(SUMIFS('Bank Lines'!$E$5:$E$1640,'Bank Lines'!$G$5:$G$1640,A514,'Bank Lines'!$J$5:$J$1640,1,'Bank Lines'!$C$5:$C$1640,"&lt;="&amp;Cover!$C$15),2)</f>
        <v>34000</v>
      </c>
      <c r="Z514" s="9">
        <f>ROUND(SUMIFS('Odoo Items'!$G$5:$G$4331,'Odoo Items'!$J$5:$J$4331,A514,'Odoo Items'!$C$5:$C$4331,"&lt;="&amp;Cover!$C$15),2)</f>
        <v>34000</v>
      </c>
      <c r="AA514">
        <f>COUNTIFS('Bank Lines'!$G$5:$G$1640,A514,'Bank Lines'!$J$5:$J$1640,1,'Bank Lines'!$C$5:$C$1640,"&lt;="&amp;Cover!$C$15)</f>
        <v>1</v>
      </c>
      <c r="AB514">
        <f>COUNTIFS('Odoo Items'!$J$5:$J$4331,A514,'Odoo Items'!$C$5:$C$4331,"&lt;="&amp;Cover!$C$15)</f>
        <v>1</v>
      </c>
      <c r="AC514" t="str">
        <f>IF(AND(AA514=0,AB514=0),"",IF(AA514=0,"ODOO-ONLY",IF(AB514=0,"BANK-ONLY","BOTH")))</f>
        <v>BOTH</v>
      </c>
      <c r="AD514" s="9">
        <f>IF(AC514="BOTH",ROUND(Y514-Z514,2),0)</f>
        <v>0</v>
      </c>
    </row>
    <row r="515">
      <c r="A515" t="inlineStr">
        <is>
          <t>G00511</t>
        </is>
      </c>
      <c r="B515" t="inlineStr">
        <is>
          <t>OPS</t>
        </is>
      </c>
      <c r="C515" t="inlineStr">
        <is>
          <t>R06</t>
        </is>
      </c>
      <c r="D515" t="inlineStr">
        <is>
          <t>MATCH</t>
        </is>
      </c>
      <c r="E515" t="inlineStr"/>
      <c r="G515" t="inlineStr">
        <is>
          <t>21 vendor payments in batch</t>
        </is>
      </c>
      <c r="H515">
        <f>COUNTIFS('Bank Lines'!$G$5:$G$1640,A515,'Bank Lines'!$J$5:$J$1640,1)</f>
        <v>1</v>
      </c>
      <c r="I515">
        <f>COUNTIFS('Odoo Items'!$J$5:$J$4331,A515)</f>
        <v>21</v>
      </c>
      <c r="J515" s="9">
        <f>ROUND(SUMIFS('Bank Lines'!$E$5:$E$1640,'Bank Lines'!$G$5:$G$1640,A515,'Bank Lines'!$J$5:$J$1640,1),2)</f>
        <v>-30745</v>
      </c>
      <c r="K515" s="9">
        <f>ROUND(SUMIFS('Odoo Items'!$G$5:$G$4331,'Odoo Items'!$J$5:$J$4331,A515),2)</f>
        <v>-30745</v>
      </c>
      <c r="L515" s="9">
        <f>ROUND(J515-K515,2)</f>
        <v>0</v>
      </c>
      <c r="M515" s="9">
        <f>ROUND(SUMIFS('Bank Lines'!$E$5:$E$1640,'Bank Lines'!$G$5:$G$1640,A515,'Bank Lines'!$J$5:$J$1640,1,'Bank Lines'!$C$5:$C$1640,"&lt;="&amp;Cover!$C$13),2)</f>
        <v>-30745</v>
      </c>
      <c r="N515" s="9">
        <f>ROUND(SUMIFS('Odoo Items'!$G$5:$G$4331,'Odoo Items'!$J$5:$J$4331,A515,'Odoo Items'!$C$5:$C$4331,"&lt;="&amp;Cover!$C$13),2)</f>
        <v>-30745</v>
      </c>
      <c r="O515">
        <f>COUNTIFS('Bank Lines'!$G$5:$G$1640,A515,'Bank Lines'!$J$5:$J$1640,1,'Bank Lines'!$C$5:$C$1640,"&lt;="&amp;Cover!$C$13)</f>
        <v>1</v>
      </c>
      <c r="P515">
        <f>COUNTIFS('Odoo Items'!$J$5:$J$4331,A515,'Odoo Items'!$C$5:$C$4331,"&lt;="&amp;Cover!$C$13)</f>
        <v>21</v>
      </c>
      <c r="Q515" t="str">
        <f>IF(AND(O515=0,P515=0),"",IF(O515=0,"ODOO-ONLY",IF(P515=0,"BANK-ONLY","BOTH")))</f>
        <v>BOTH</v>
      </c>
      <c r="R515" s="9">
        <f>IF(Q515="BOTH",ROUND(M515-N515,2),0)</f>
        <v>0</v>
      </c>
      <c r="S515" s="9">
        <f>ROUND(SUMIFS('Bank Lines'!$E$5:$E$1640,'Bank Lines'!$G$5:$G$1640,A515,'Bank Lines'!$J$5:$J$1640,1,'Bank Lines'!$C$5:$C$1640,"&lt;="&amp;Cover!$C$14),2)</f>
        <v>-30745</v>
      </c>
      <c r="T515" s="9">
        <f>ROUND(SUMIFS('Odoo Items'!$G$5:$G$4331,'Odoo Items'!$J$5:$J$4331,A515,'Odoo Items'!$C$5:$C$4331,"&lt;="&amp;Cover!$C$14),2)</f>
        <v>-30745</v>
      </c>
      <c r="U515">
        <f>COUNTIFS('Bank Lines'!$G$5:$G$1640,A515,'Bank Lines'!$J$5:$J$1640,1,'Bank Lines'!$C$5:$C$1640,"&lt;="&amp;Cover!$C$14)</f>
        <v>1</v>
      </c>
      <c r="V515">
        <f>COUNTIFS('Odoo Items'!$J$5:$J$4331,A515,'Odoo Items'!$C$5:$C$4331,"&lt;="&amp;Cover!$C$14)</f>
        <v>21</v>
      </c>
      <c r="W515" t="str">
        <f>IF(AND(U515=0,V515=0),"",IF(U515=0,"ODOO-ONLY",IF(V515=0,"BANK-ONLY","BOTH")))</f>
        <v>BOTH</v>
      </c>
      <c r="X515" s="9">
        <f>IF(W515="BOTH",ROUND(S515-T515,2),0)</f>
        <v>0</v>
      </c>
      <c r="Y515" s="9">
        <f>ROUND(SUMIFS('Bank Lines'!$E$5:$E$1640,'Bank Lines'!$G$5:$G$1640,A515,'Bank Lines'!$J$5:$J$1640,1,'Bank Lines'!$C$5:$C$1640,"&lt;="&amp;Cover!$C$15),2)</f>
        <v>-30745</v>
      </c>
      <c r="Z515" s="9">
        <f>ROUND(SUMIFS('Odoo Items'!$G$5:$G$4331,'Odoo Items'!$J$5:$J$4331,A515,'Odoo Items'!$C$5:$C$4331,"&lt;="&amp;Cover!$C$15),2)</f>
        <v>-30745</v>
      </c>
      <c r="AA515">
        <f>COUNTIFS('Bank Lines'!$G$5:$G$1640,A515,'Bank Lines'!$J$5:$J$1640,1,'Bank Lines'!$C$5:$C$1640,"&lt;="&amp;Cover!$C$15)</f>
        <v>1</v>
      </c>
      <c r="AB515">
        <f>COUNTIFS('Odoo Items'!$J$5:$J$4331,A515,'Odoo Items'!$C$5:$C$4331,"&lt;="&amp;Cover!$C$15)</f>
        <v>21</v>
      </c>
      <c r="AC515" t="str">
        <f>IF(AND(AA515=0,AB515=0),"",IF(AA515=0,"ODOO-ONLY",IF(AB515=0,"BANK-ONLY","BOTH")))</f>
        <v>BOTH</v>
      </c>
      <c r="AD515" s="9">
        <f>IF(AC515="BOTH",ROUND(Y515-Z515,2),0)</f>
        <v>0</v>
      </c>
    </row>
    <row r="516">
      <c r="A516" t="inlineStr">
        <is>
          <t>G00512</t>
        </is>
      </c>
      <c r="B516" t="inlineStr">
        <is>
          <t>OPS</t>
        </is>
      </c>
      <c r="C516" t="inlineStr">
        <is>
          <t>R04</t>
        </is>
      </c>
      <c r="D516" t="inlineStr">
        <is>
          <t>MATCH</t>
        </is>
      </c>
      <c r="E516" t="inlineStr"/>
      <c r="G516" t="inlineStr">
        <is>
          <t>Reference PR260716</t>
        </is>
      </c>
      <c r="H516">
        <f>COUNTIFS('Bank Lines'!$G$5:$G$1640,A516,'Bank Lines'!$J$5:$J$1640,1)</f>
        <v>1</v>
      </c>
      <c r="I516">
        <f>COUNTIFS('Odoo Items'!$J$5:$J$4331,A516)</f>
        <v>1</v>
      </c>
      <c r="J516" s="9">
        <f>ROUND(SUMIFS('Bank Lines'!$E$5:$E$1640,'Bank Lines'!$G$5:$G$1640,A516,'Bank Lines'!$J$5:$J$1640,1),2)</f>
        <v>-203128.08</v>
      </c>
      <c r="K516" s="9">
        <f>ROUND(SUMIFS('Odoo Items'!$G$5:$G$4331,'Odoo Items'!$J$5:$J$4331,A516),2)</f>
        <v>-203128.08</v>
      </c>
      <c r="L516" s="9">
        <f>ROUND(J516-K516,2)</f>
        <v>0</v>
      </c>
      <c r="M516" s="9">
        <f>ROUND(SUMIFS('Bank Lines'!$E$5:$E$1640,'Bank Lines'!$G$5:$G$1640,A516,'Bank Lines'!$J$5:$J$1640,1,'Bank Lines'!$C$5:$C$1640,"&lt;="&amp;Cover!$C$13),2)</f>
        <v>-203128.08</v>
      </c>
      <c r="N516" s="9">
        <f>ROUND(SUMIFS('Odoo Items'!$G$5:$G$4331,'Odoo Items'!$J$5:$J$4331,A516,'Odoo Items'!$C$5:$C$4331,"&lt;="&amp;Cover!$C$13),2)</f>
        <v>-203128.08</v>
      </c>
      <c r="O516">
        <f>COUNTIFS('Bank Lines'!$G$5:$G$1640,A516,'Bank Lines'!$J$5:$J$1640,1,'Bank Lines'!$C$5:$C$1640,"&lt;="&amp;Cover!$C$13)</f>
        <v>1</v>
      </c>
      <c r="P516">
        <f>COUNTIFS('Odoo Items'!$J$5:$J$4331,A516,'Odoo Items'!$C$5:$C$4331,"&lt;="&amp;Cover!$C$13)</f>
        <v>1</v>
      </c>
      <c r="Q516" t="str">
        <f>IF(AND(O516=0,P516=0),"",IF(O516=0,"ODOO-ONLY",IF(P516=0,"BANK-ONLY","BOTH")))</f>
        <v>BOTH</v>
      </c>
      <c r="R516" s="9">
        <f>IF(Q516="BOTH",ROUND(M516-N516,2),0)</f>
        <v>0</v>
      </c>
      <c r="S516" s="9">
        <f>ROUND(SUMIFS('Bank Lines'!$E$5:$E$1640,'Bank Lines'!$G$5:$G$1640,A516,'Bank Lines'!$J$5:$J$1640,1,'Bank Lines'!$C$5:$C$1640,"&lt;="&amp;Cover!$C$14),2)</f>
        <v>-203128.08</v>
      </c>
      <c r="T516" s="9">
        <f>ROUND(SUMIFS('Odoo Items'!$G$5:$G$4331,'Odoo Items'!$J$5:$J$4331,A516,'Odoo Items'!$C$5:$C$4331,"&lt;="&amp;Cover!$C$14),2)</f>
        <v>-203128.08</v>
      </c>
      <c r="U516">
        <f>COUNTIFS('Bank Lines'!$G$5:$G$1640,A516,'Bank Lines'!$J$5:$J$1640,1,'Bank Lines'!$C$5:$C$1640,"&lt;="&amp;Cover!$C$14)</f>
        <v>1</v>
      </c>
      <c r="V516">
        <f>COUNTIFS('Odoo Items'!$J$5:$J$4331,A516,'Odoo Items'!$C$5:$C$4331,"&lt;="&amp;Cover!$C$14)</f>
        <v>1</v>
      </c>
      <c r="W516" t="str">
        <f>IF(AND(U516=0,V516=0),"",IF(U516=0,"ODOO-ONLY",IF(V516=0,"BANK-ONLY","BOTH")))</f>
        <v>BOTH</v>
      </c>
      <c r="X516" s="9">
        <f>IF(W516="BOTH",ROUND(S516-T516,2),0)</f>
        <v>0</v>
      </c>
      <c r="Y516" s="9">
        <f>ROUND(SUMIFS('Bank Lines'!$E$5:$E$1640,'Bank Lines'!$G$5:$G$1640,A516,'Bank Lines'!$J$5:$J$1640,1,'Bank Lines'!$C$5:$C$1640,"&lt;="&amp;Cover!$C$15),2)</f>
        <v>-203128.08</v>
      </c>
      <c r="Z516" s="9">
        <f>ROUND(SUMIFS('Odoo Items'!$G$5:$G$4331,'Odoo Items'!$J$5:$J$4331,A516,'Odoo Items'!$C$5:$C$4331,"&lt;="&amp;Cover!$C$15),2)</f>
        <v>-203128.08</v>
      </c>
      <c r="AA516">
        <f>COUNTIFS('Bank Lines'!$G$5:$G$1640,A516,'Bank Lines'!$J$5:$J$1640,1,'Bank Lines'!$C$5:$C$1640,"&lt;="&amp;Cover!$C$15)</f>
        <v>1</v>
      </c>
      <c r="AB516">
        <f>COUNTIFS('Odoo Items'!$J$5:$J$4331,A516,'Odoo Items'!$C$5:$C$4331,"&lt;="&amp;Cover!$C$15)</f>
        <v>1</v>
      </c>
      <c r="AC516" t="str">
        <f>IF(AND(AA516=0,AB516=0),"",IF(AA516=0,"ODOO-ONLY",IF(AB516=0,"BANK-ONLY","BOTH")))</f>
        <v>BOTH</v>
      </c>
      <c r="AD516" s="9">
        <f>IF(AC516="BOTH",ROUND(Y516-Z516,2),0)</f>
        <v>0</v>
      </c>
    </row>
    <row r="517">
      <c r="A517" t="inlineStr">
        <is>
          <t>G00513</t>
        </is>
      </c>
      <c r="B517" t="inlineStr">
        <is>
          <t>OPS</t>
        </is>
      </c>
      <c r="C517" t="inlineStr">
        <is>
          <t>R04</t>
        </is>
      </c>
      <c r="D517" t="inlineStr">
        <is>
          <t>MATCH</t>
        </is>
      </c>
      <c r="E517" t="inlineStr"/>
      <c r="G517" t="inlineStr">
        <is>
          <t>Sweep, same amount</t>
        </is>
      </c>
      <c r="H517">
        <f>COUNTIFS('Bank Lines'!$G$5:$G$1640,A517,'Bank Lines'!$J$5:$J$1640,1)</f>
        <v>1</v>
      </c>
      <c r="I517">
        <f>COUNTIFS('Odoo Items'!$J$5:$J$4331,A517)</f>
        <v>1</v>
      </c>
      <c r="J517" s="9">
        <f>ROUND(SUMIFS('Bank Lines'!$E$5:$E$1640,'Bank Lines'!$G$5:$G$1640,A517,'Bank Lines'!$J$5:$J$1640,1),2)</f>
        <v>22000</v>
      </c>
      <c r="K517" s="9">
        <f>ROUND(SUMIFS('Odoo Items'!$G$5:$G$4331,'Odoo Items'!$J$5:$J$4331,A517),2)</f>
        <v>22000</v>
      </c>
      <c r="L517" s="9">
        <f>ROUND(J517-K517,2)</f>
        <v>0</v>
      </c>
      <c r="M517" s="9">
        <f>ROUND(SUMIFS('Bank Lines'!$E$5:$E$1640,'Bank Lines'!$G$5:$G$1640,A517,'Bank Lines'!$J$5:$J$1640,1,'Bank Lines'!$C$5:$C$1640,"&lt;="&amp;Cover!$C$13),2)</f>
        <v>22000</v>
      </c>
      <c r="N517" s="9">
        <f>ROUND(SUMIFS('Odoo Items'!$G$5:$G$4331,'Odoo Items'!$J$5:$J$4331,A517,'Odoo Items'!$C$5:$C$4331,"&lt;="&amp;Cover!$C$13),2)</f>
        <v>22000</v>
      </c>
      <c r="O517">
        <f>COUNTIFS('Bank Lines'!$G$5:$G$1640,A517,'Bank Lines'!$J$5:$J$1640,1,'Bank Lines'!$C$5:$C$1640,"&lt;="&amp;Cover!$C$13)</f>
        <v>1</v>
      </c>
      <c r="P517">
        <f>COUNTIFS('Odoo Items'!$J$5:$J$4331,A517,'Odoo Items'!$C$5:$C$4331,"&lt;="&amp;Cover!$C$13)</f>
        <v>1</v>
      </c>
      <c r="Q517" t="str">
        <f>IF(AND(O517=0,P517=0),"",IF(O517=0,"ODOO-ONLY",IF(P517=0,"BANK-ONLY","BOTH")))</f>
        <v>BOTH</v>
      </c>
      <c r="R517" s="9">
        <f>IF(Q517="BOTH",ROUND(M517-N517,2),0)</f>
        <v>0</v>
      </c>
      <c r="S517" s="9">
        <f>ROUND(SUMIFS('Bank Lines'!$E$5:$E$1640,'Bank Lines'!$G$5:$G$1640,A517,'Bank Lines'!$J$5:$J$1640,1,'Bank Lines'!$C$5:$C$1640,"&lt;="&amp;Cover!$C$14),2)</f>
        <v>22000</v>
      </c>
      <c r="T517" s="9">
        <f>ROUND(SUMIFS('Odoo Items'!$G$5:$G$4331,'Odoo Items'!$J$5:$J$4331,A517,'Odoo Items'!$C$5:$C$4331,"&lt;="&amp;Cover!$C$14),2)</f>
        <v>22000</v>
      </c>
      <c r="U517">
        <f>COUNTIFS('Bank Lines'!$G$5:$G$1640,A517,'Bank Lines'!$J$5:$J$1640,1,'Bank Lines'!$C$5:$C$1640,"&lt;="&amp;Cover!$C$14)</f>
        <v>1</v>
      </c>
      <c r="V517">
        <f>COUNTIFS('Odoo Items'!$J$5:$J$4331,A517,'Odoo Items'!$C$5:$C$4331,"&lt;="&amp;Cover!$C$14)</f>
        <v>1</v>
      </c>
      <c r="W517" t="str">
        <f>IF(AND(U517=0,V517=0),"",IF(U517=0,"ODOO-ONLY",IF(V517=0,"BANK-ONLY","BOTH")))</f>
        <v>BOTH</v>
      </c>
      <c r="X517" s="9">
        <f>IF(W517="BOTH",ROUND(S517-T517,2),0)</f>
        <v>0</v>
      </c>
      <c r="Y517" s="9">
        <f>ROUND(SUMIFS('Bank Lines'!$E$5:$E$1640,'Bank Lines'!$G$5:$G$1640,A517,'Bank Lines'!$J$5:$J$1640,1,'Bank Lines'!$C$5:$C$1640,"&lt;="&amp;Cover!$C$15),2)</f>
        <v>22000</v>
      </c>
      <c r="Z517" s="9">
        <f>ROUND(SUMIFS('Odoo Items'!$G$5:$G$4331,'Odoo Items'!$J$5:$J$4331,A517,'Odoo Items'!$C$5:$C$4331,"&lt;="&amp;Cover!$C$15),2)</f>
        <v>22000</v>
      </c>
      <c r="AA517">
        <f>COUNTIFS('Bank Lines'!$G$5:$G$1640,A517,'Bank Lines'!$J$5:$J$1640,1,'Bank Lines'!$C$5:$C$1640,"&lt;="&amp;Cover!$C$15)</f>
        <v>1</v>
      </c>
      <c r="AB517">
        <f>COUNTIFS('Odoo Items'!$J$5:$J$4331,A517,'Odoo Items'!$C$5:$C$4331,"&lt;="&amp;Cover!$C$15)</f>
        <v>1</v>
      </c>
      <c r="AC517" t="str">
        <f>IF(AND(AA517=0,AB517=0),"",IF(AA517=0,"ODOO-ONLY",IF(AB517=0,"BANK-ONLY","BOTH")))</f>
        <v>BOTH</v>
      </c>
      <c r="AD517" s="9">
        <f>IF(AC517="BOTH",ROUND(Y517-Z517,2),0)</f>
        <v>0</v>
      </c>
    </row>
    <row r="518">
      <c r="A518" t="inlineStr">
        <is>
          <t>G00514</t>
        </is>
      </c>
      <c r="B518" t="inlineStr">
        <is>
          <t>OPS</t>
        </is>
      </c>
      <c r="C518" t="inlineStr">
        <is>
          <t>R06</t>
        </is>
      </c>
      <c r="D518" t="inlineStr">
        <is>
          <t>MATCH</t>
        </is>
      </c>
      <c r="E518" t="inlineStr"/>
      <c r="G518" t="inlineStr">
        <is>
          <t>16 vendor payments in batch</t>
        </is>
      </c>
      <c r="H518">
        <f>COUNTIFS('Bank Lines'!$G$5:$G$1640,A518,'Bank Lines'!$J$5:$J$1640,1)</f>
        <v>1</v>
      </c>
      <c r="I518">
        <f>COUNTIFS('Odoo Items'!$J$5:$J$4331,A518)</f>
        <v>16</v>
      </c>
      <c r="J518" s="9">
        <f>ROUND(SUMIFS('Bank Lines'!$E$5:$E$1640,'Bank Lines'!$G$5:$G$1640,A518,'Bank Lines'!$J$5:$J$1640,1),2)</f>
        <v>-29819.9</v>
      </c>
      <c r="K518" s="9">
        <f>ROUND(SUMIFS('Odoo Items'!$G$5:$G$4331,'Odoo Items'!$J$5:$J$4331,A518),2)</f>
        <v>-29819.9</v>
      </c>
      <c r="L518" s="9">
        <f>ROUND(J518-K518,2)</f>
        <v>0</v>
      </c>
      <c r="M518" s="9">
        <f>ROUND(SUMIFS('Bank Lines'!$E$5:$E$1640,'Bank Lines'!$G$5:$G$1640,A518,'Bank Lines'!$J$5:$J$1640,1,'Bank Lines'!$C$5:$C$1640,"&lt;="&amp;Cover!$C$13),2)</f>
        <v>-29819.9</v>
      </c>
      <c r="N518" s="9">
        <f>ROUND(SUMIFS('Odoo Items'!$G$5:$G$4331,'Odoo Items'!$J$5:$J$4331,A518,'Odoo Items'!$C$5:$C$4331,"&lt;="&amp;Cover!$C$13),2)</f>
        <v>-29819.9</v>
      </c>
      <c r="O518">
        <f>COUNTIFS('Bank Lines'!$G$5:$G$1640,A518,'Bank Lines'!$J$5:$J$1640,1,'Bank Lines'!$C$5:$C$1640,"&lt;="&amp;Cover!$C$13)</f>
        <v>1</v>
      </c>
      <c r="P518">
        <f>COUNTIFS('Odoo Items'!$J$5:$J$4331,A518,'Odoo Items'!$C$5:$C$4331,"&lt;="&amp;Cover!$C$13)</f>
        <v>16</v>
      </c>
      <c r="Q518" t="str">
        <f>IF(AND(O518=0,P518=0),"",IF(O518=0,"ODOO-ONLY",IF(P518=0,"BANK-ONLY","BOTH")))</f>
        <v>BOTH</v>
      </c>
      <c r="R518" s="9">
        <f>IF(Q518="BOTH",ROUND(M518-N518,2),0)</f>
        <v>0</v>
      </c>
      <c r="S518" s="9">
        <f>ROUND(SUMIFS('Bank Lines'!$E$5:$E$1640,'Bank Lines'!$G$5:$G$1640,A518,'Bank Lines'!$J$5:$J$1640,1,'Bank Lines'!$C$5:$C$1640,"&lt;="&amp;Cover!$C$14),2)</f>
        <v>-29819.9</v>
      </c>
      <c r="T518" s="9">
        <f>ROUND(SUMIFS('Odoo Items'!$G$5:$G$4331,'Odoo Items'!$J$5:$J$4331,A518,'Odoo Items'!$C$5:$C$4331,"&lt;="&amp;Cover!$C$14),2)</f>
        <v>-29819.9</v>
      </c>
      <c r="U518">
        <f>COUNTIFS('Bank Lines'!$G$5:$G$1640,A518,'Bank Lines'!$J$5:$J$1640,1,'Bank Lines'!$C$5:$C$1640,"&lt;="&amp;Cover!$C$14)</f>
        <v>1</v>
      </c>
      <c r="V518">
        <f>COUNTIFS('Odoo Items'!$J$5:$J$4331,A518,'Odoo Items'!$C$5:$C$4331,"&lt;="&amp;Cover!$C$14)</f>
        <v>16</v>
      </c>
      <c r="W518" t="str">
        <f>IF(AND(U518=0,V518=0),"",IF(U518=0,"ODOO-ONLY",IF(V518=0,"BANK-ONLY","BOTH")))</f>
        <v>BOTH</v>
      </c>
      <c r="X518" s="9">
        <f>IF(W518="BOTH",ROUND(S518-T518,2),0)</f>
        <v>0</v>
      </c>
      <c r="Y518" s="9">
        <f>ROUND(SUMIFS('Bank Lines'!$E$5:$E$1640,'Bank Lines'!$G$5:$G$1640,A518,'Bank Lines'!$J$5:$J$1640,1,'Bank Lines'!$C$5:$C$1640,"&lt;="&amp;Cover!$C$15),2)</f>
        <v>-29819.9</v>
      </c>
      <c r="Z518" s="9">
        <f>ROUND(SUMIFS('Odoo Items'!$G$5:$G$4331,'Odoo Items'!$J$5:$J$4331,A518,'Odoo Items'!$C$5:$C$4331,"&lt;="&amp;Cover!$C$15),2)</f>
        <v>-29819.9</v>
      </c>
      <c r="AA518">
        <f>COUNTIFS('Bank Lines'!$G$5:$G$1640,A518,'Bank Lines'!$J$5:$J$1640,1,'Bank Lines'!$C$5:$C$1640,"&lt;="&amp;Cover!$C$15)</f>
        <v>1</v>
      </c>
      <c r="AB518">
        <f>COUNTIFS('Odoo Items'!$J$5:$J$4331,A518,'Odoo Items'!$C$5:$C$4331,"&lt;="&amp;Cover!$C$15)</f>
        <v>16</v>
      </c>
      <c r="AC518" t="str">
        <f>IF(AND(AA518=0,AB518=0),"",IF(AA518=0,"ODOO-ONLY",IF(AB518=0,"BANK-ONLY","BOTH")))</f>
        <v>BOTH</v>
      </c>
      <c r="AD518" s="9">
        <f>IF(AC518="BOTH",ROUND(Y518-Z518,2),0)</f>
        <v>0</v>
      </c>
    </row>
    <row r="519">
      <c r="A519" t="inlineStr">
        <is>
          <t>G00515</t>
        </is>
      </c>
      <c r="B519" t="inlineStr">
        <is>
          <t>OPS</t>
        </is>
      </c>
      <c r="C519" t="inlineStr">
        <is>
          <t>R04</t>
        </is>
      </c>
      <c r="D519" t="inlineStr">
        <is>
          <t>MATCH</t>
        </is>
      </c>
      <c r="E519" t="inlineStr"/>
      <c r="G519" t="inlineStr">
        <is>
          <t>Sweep, same amount</t>
        </is>
      </c>
      <c r="H519">
        <f>COUNTIFS('Bank Lines'!$G$5:$G$1640,A519,'Bank Lines'!$J$5:$J$1640,1)</f>
        <v>1</v>
      </c>
      <c r="I519">
        <f>COUNTIFS('Odoo Items'!$J$5:$J$4331,A519)</f>
        <v>1</v>
      </c>
      <c r="J519" s="9">
        <f>ROUND(SUMIFS('Bank Lines'!$E$5:$E$1640,'Bank Lines'!$G$5:$G$1640,A519,'Bank Lines'!$J$5:$J$1640,1),2)</f>
        <v>34000</v>
      </c>
      <c r="K519" s="9">
        <f>ROUND(SUMIFS('Odoo Items'!$G$5:$G$4331,'Odoo Items'!$J$5:$J$4331,A519),2)</f>
        <v>34000</v>
      </c>
      <c r="L519" s="9">
        <f>ROUND(J519-K519,2)</f>
        <v>0</v>
      </c>
      <c r="M519" s="9">
        <f>ROUND(SUMIFS('Bank Lines'!$E$5:$E$1640,'Bank Lines'!$G$5:$G$1640,A519,'Bank Lines'!$J$5:$J$1640,1,'Bank Lines'!$C$5:$C$1640,"&lt;="&amp;Cover!$C$13),2)</f>
        <v>34000</v>
      </c>
      <c r="N519" s="9">
        <f>ROUND(SUMIFS('Odoo Items'!$G$5:$G$4331,'Odoo Items'!$J$5:$J$4331,A519,'Odoo Items'!$C$5:$C$4331,"&lt;="&amp;Cover!$C$13),2)</f>
        <v>34000</v>
      </c>
      <c r="O519">
        <f>COUNTIFS('Bank Lines'!$G$5:$G$1640,A519,'Bank Lines'!$J$5:$J$1640,1,'Bank Lines'!$C$5:$C$1640,"&lt;="&amp;Cover!$C$13)</f>
        <v>1</v>
      </c>
      <c r="P519">
        <f>COUNTIFS('Odoo Items'!$J$5:$J$4331,A519,'Odoo Items'!$C$5:$C$4331,"&lt;="&amp;Cover!$C$13)</f>
        <v>1</v>
      </c>
      <c r="Q519" t="str">
        <f>IF(AND(O519=0,P519=0),"",IF(O519=0,"ODOO-ONLY",IF(P519=0,"BANK-ONLY","BOTH")))</f>
        <v>BOTH</v>
      </c>
      <c r="R519" s="9">
        <f>IF(Q519="BOTH",ROUND(M519-N519,2),0)</f>
        <v>0</v>
      </c>
      <c r="S519" s="9">
        <f>ROUND(SUMIFS('Bank Lines'!$E$5:$E$1640,'Bank Lines'!$G$5:$G$1640,A519,'Bank Lines'!$J$5:$J$1640,1,'Bank Lines'!$C$5:$C$1640,"&lt;="&amp;Cover!$C$14),2)</f>
        <v>34000</v>
      </c>
      <c r="T519" s="9">
        <f>ROUND(SUMIFS('Odoo Items'!$G$5:$G$4331,'Odoo Items'!$J$5:$J$4331,A519,'Odoo Items'!$C$5:$C$4331,"&lt;="&amp;Cover!$C$14),2)</f>
        <v>34000</v>
      </c>
      <c r="U519">
        <f>COUNTIFS('Bank Lines'!$G$5:$G$1640,A519,'Bank Lines'!$J$5:$J$1640,1,'Bank Lines'!$C$5:$C$1640,"&lt;="&amp;Cover!$C$14)</f>
        <v>1</v>
      </c>
      <c r="V519">
        <f>COUNTIFS('Odoo Items'!$J$5:$J$4331,A519,'Odoo Items'!$C$5:$C$4331,"&lt;="&amp;Cover!$C$14)</f>
        <v>1</v>
      </c>
      <c r="W519" t="str">
        <f>IF(AND(U519=0,V519=0),"",IF(U519=0,"ODOO-ONLY",IF(V519=0,"BANK-ONLY","BOTH")))</f>
        <v>BOTH</v>
      </c>
      <c r="X519" s="9">
        <f>IF(W519="BOTH",ROUND(S519-T519,2),0)</f>
        <v>0</v>
      </c>
      <c r="Y519" s="9">
        <f>ROUND(SUMIFS('Bank Lines'!$E$5:$E$1640,'Bank Lines'!$G$5:$G$1640,A519,'Bank Lines'!$J$5:$J$1640,1,'Bank Lines'!$C$5:$C$1640,"&lt;="&amp;Cover!$C$15),2)</f>
        <v>34000</v>
      </c>
      <c r="Z519" s="9">
        <f>ROUND(SUMIFS('Odoo Items'!$G$5:$G$4331,'Odoo Items'!$J$5:$J$4331,A519,'Odoo Items'!$C$5:$C$4331,"&lt;="&amp;Cover!$C$15),2)</f>
        <v>34000</v>
      </c>
      <c r="AA519">
        <f>COUNTIFS('Bank Lines'!$G$5:$G$1640,A519,'Bank Lines'!$J$5:$J$1640,1,'Bank Lines'!$C$5:$C$1640,"&lt;="&amp;Cover!$C$15)</f>
        <v>1</v>
      </c>
      <c r="AB519">
        <f>COUNTIFS('Odoo Items'!$J$5:$J$4331,A519,'Odoo Items'!$C$5:$C$4331,"&lt;="&amp;Cover!$C$15)</f>
        <v>1</v>
      </c>
      <c r="AC519" t="str">
        <f>IF(AND(AA519=0,AB519=0),"",IF(AA519=0,"ODOO-ONLY",IF(AB519=0,"BANK-ONLY","BOTH")))</f>
        <v>BOTH</v>
      </c>
      <c r="AD519" s="9">
        <f>IF(AC519="BOTH",ROUND(Y519-Z519,2),0)</f>
        <v>0</v>
      </c>
    </row>
    <row r="520">
      <c r="A520" t="inlineStr">
        <is>
          <t>G00516</t>
        </is>
      </c>
      <c r="B520" t="inlineStr">
        <is>
          <t>OPS</t>
        </is>
      </c>
      <c r="C520" t="inlineStr">
        <is>
          <t>R06</t>
        </is>
      </c>
      <c r="D520" t="inlineStr">
        <is>
          <t>MATCH</t>
        </is>
      </c>
      <c r="E520" t="inlineStr"/>
      <c r="G520" t="inlineStr">
        <is>
          <t>11 vendor payments in batch</t>
        </is>
      </c>
      <c r="H520">
        <f>COUNTIFS('Bank Lines'!$G$5:$G$1640,A520,'Bank Lines'!$J$5:$J$1640,1)</f>
        <v>1</v>
      </c>
      <c r="I520">
        <f>COUNTIFS('Odoo Items'!$J$5:$J$4331,A520)</f>
        <v>11</v>
      </c>
      <c r="J520" s="9">
        <f>ROUND(SUMIFS('Bank Lines'!$E$5:$E$1640,'Bank Lines'!$G$5:$G$1640,A520,'Bank Lines'!$J$5:$J$1640,1),2)</f>
        <v>-15720.1</v>
      </c>
      <c r="K520" s="9">
        <f>ROUND(SUMIFS('Odoo Items'!$G$5:$G$4331,'Odoo Items'!$J$5:$J$4331,A520),2)</f>
        <v>-15720.1</v>
      </c>
      <c r="L520" s="9">
        <f>ROUND(J520-K520,2)</f>
        <v>0</v>
      </c>
      <c r="M520" s="9">
        <f>ROUND(SUMIFS('Bank Lines'!$E$5:$E$1640,'Bank Lines'!$G$5:$G$1640,A520,'Bank Lines'!$J$5:$J$1640,1,'Bank Lines'!$C$5:$C$1640,"&lt;="&amp;Cover!$C$13),2)</f>
        <v>-15720.1</v>
      </c>
      <c r="N520" s="9">
        <f>ROUND(SUMIFS('Odoo Items'!$G$5:$G$4331,'Odoo Items'!$J$5:$J$4331,A520,'Odoo Items'!$C$5:$C$4331,"&lt;="&amp;Cover!$C$13),2)</f>
        <v>-15720.1</v>
      </c>
      <c r="O520">
        <f>COUNTIFS('Bank Lines'!$G$5:$G$1640,A520,'Bank Lines'!$J$5:$J$1640,1,'Bank Lines'!$C$5:$C$1640,"&lt;="&amp;Cover!$C$13)</f>
        <v>1</v>
      </c>
      <c r="P520">
        <f>COUNTIFS('Odoo Items'!$J$5:$J$4331,A520,'Odoo Items'!$C$5:$C$4331,"&lt;="&amp;Cover!$C$13)</f>
        <v>11</v>
      </c>
      <c r="Q520" t="str">
        <f>IF(AND(O520=0,P520=0),"",IF(O520=0,"ODOO-ONLY",IF(P520=0,"BANK-ONLY","BOTH")))</f>
        <v>BOTH</v>
      </c>
      <c r="R520" s="9">
        <f>IF(Q520="BOTH",ROUND(M520-N520,2),0)</f>
        <v>0</v>
      </c>
      <c r="S520" s="9">
        <f>ROUND(SUMIFS('Bank Lines'!$E$5:$E$1640,'Bank Lines'!$G$5:$G$1640,A520,'Bank Lines'!$J$5:$J$1640,1,'Bank Lines'!$C$5:$C$1640,"&lt;="&amp;Cover!$C$14),2)</f>
        <v>-15720.1</v>
      </c>
      <c r="T520" s="9">
        <f>ROUND(SUMIFS('Odoo Items'!$G$5:$G$4331,'Odoo Items'!$J$5:$J$4331,A520,'Odoo Items'!$C$5:$C$4331,"&lt;="&amp;Cover!$C$14),2)</f>
        <v>-15720.1</v>
      </c>
      <c r="U520">
        <f>COUNTIFS('Bank Lines'!$G$5:$G$1640,A520,'Bank Lines'!$J$5:$J$1640,1,'Bank Lines'!$C$5:$C$1640,"&lt;="&amp;Cover!$C$14)</f>
        <v>1</v>
      </c>
      <c r="V520">
        <f>COUNTIFS('Odoo Items'!$J$5:$J$4331,A520,'Odoo Items'!$C$5:$C$4331,"&lt;="&amp;Cover!$C$14)</f>
        <v>11</v>
      </c>
      <c r="W520" t="str">
        <f>IF(AND(U520=0,V520=0),"",IF(U520=0,"ODOO-ONLY",IF(V520=0,"BANK-ONLY","BOTH")))</f>
        <v>BOTH</v>
      </c>
      <c r="X520" s="9">
        <f>IF(W520="BOTH",ROUND(S520-T520,2),0)</f>
        <v>0</v>
      </c>
      <c r="Y520" s="9">
        <f>ROUND(SUMIFS('Bank Lines'!$E$5:$E$1640,'Bank Lines'!$G$5:$G$1640,A520,'Bank Lines'!$J$5:$J$1640,1,'Bank Lines'!$C$5:$C$1640,"&lt;="&amp;Cover!$C$15),2)</f>
        <v>-15720.1</v>
      </c>
      <c r="Z520" s="9">
        <f>ROUND(SUMIFS('Odoo Items'!$G$5:$G$4331,'Odoo Items'!$J$5:$J$4331,A520,'Odoo Items'!$C$5:$C$4331,"&lt;="&amp;Cover!$C$15),2)</f>
        <v>-15720.1</v>
      </c>
      <c r="AA520">
        <f>COUNTIFS('Bank Lines'!$G$5:$G$1640,A520,'Bank Lines'!$J$5:$J$1640,1,'Bank Lines'!$C$5:$C$1640,"&lt;="&amp;Cover!$C$15)</f>
        <v>1</v>
      </c>
      <c r="AB520">
        <f>COUNTIFS('Odoo Items'!$J$5:$J$4331,A520,'Odoo Items'!$C$5:$C$4331,"&lt;="&amp;Cover!$C$15)</f>
        <v>11</v>
      </c>
      <c r="AC520" t="str">
        <f>IF(AND(AA520=0,AB520=0),"",IF(AA520=0,"ODOO-ONLY",IF(AB520=0,"BANK-ONLY","BOTH")))</f>
        <v>BOTH</v>
      </c>
      <c r="AD520" s="9">
        <f>IF(AC520="BOTH",ROUND(Y520-Z520,2),0)</f>
        <v>0</v>
      </c>
    </row>
    <row r="521">
      <c r="A521" t="inlineStr">
        <is>
          <t>G00517</t>
        </is>
      </c>
      <c r="B521" t="inlineStr">
        <is>
          <t>OPS</t>
        </is>
      </c>
      <c r="C521" t="inlineStr">
        <is>
          <t>R04</t>
        </is>
      </c>
      <c r="D521" t="inlineStr">
        <is>
          <t>MATCH</t>
        </is>
      </c>
      <c r="E521" t="inlineStr"/>
      <c r="G521" t="inlineStr">
        <is>
          <t>Reference PR260730</t>
        </is>
      </c>
      <c r="H521">
        <f>COUNTIFS('Bank Lines'!$G$5:$G$1640,A521,'Bank Lines'!$J$5:$J$1640,1)</f>
        <v>1</v>
      </c>
      <c r="I521">
        <f>COUNTIFS('Odoo Items'!$J$5:$J$4331,A521)</f>
        <v>1</v>
      </c>
      <c r="J521" s="9">
        <f>ROUND(SUMIFS('Bank Lines'!$E$5:$E$1640,'Bank Lines'!$G$5:$G$1640,A521,'Bank Lines'!$J$5:$J$1640,1),2)</f>
        <v>-166344.16</v>
      </c>
      <c r="K521" s="9">
        <f>ROUND(SUMIFS('Odoo Items'!$G$5:$G$4331,'Odoo Items'!$J$5:$J$4331,A521),2)</f>
        <v>-166344.16</v>
      </c>
      <c r="L521" s="9">
        <f>ROUND(J521-K521,2)</f>
        <v>0</v>
      </c>
      <c r="M521" s="9">
        <f>ROUND(SUMIFS('Bank Lines'!$E$5:$E$1640,'Bank Lines'!$G$5:$G$1640,A521,'Bank Lines'!$J$5:$J$1640,1,'Bank Lines'!$C$5:$C$1640,"&lt;="&amp;Cover!$C$13),2)</f>
        <v>-166344.16</v>
      </c>
      <c r="N521" s="9">
        <f>ROUND(SUMIFS('Odoo Items'!$G$5:$G$4331,'Odoo Items'!$J$5:$J$4331,A521,'Odoo Items'!$C$5:$C$4331,"&lt;="&amp;Cover!$C$13),2)</f>
        <v>-166344.16</v>
      </c>
      <c r="O521">
        <f>COUNTIFS('Bank Lines'!$G$5:$G$1640,A521,'Bank Lines'!$J$5:$J$1640,1,'Bank Lines'!$C$5:$C$1640,"&lt;="&amp;Cover!$C$13)</f>
        <v>1</v>
      </c>
      <c r="P521">
        <f>COUNTIFS('Odoo Items'!$J$5:$J$4331,A521,'Odoo Items'!$C$5:$C$4331,"&lt;="&amp;Cover!$C$13)</f>
        <v>1</v>
      </c>
      <c r="Q521" t="str">
        <f>IF(AND(O521=0,P521=0),"",IF(O521=0,"ODOO-ONLY",IF(P521=0,"BANK-ONLY","BOTH")))</f>
        <v>BOTH</v>
      </c>
      <c r="R521" s="9">
        <f>IF(Q521="BOTH",ROUND(M521-N521,2),0)</f>
        <v>0</v>
      </c>
      <c r="S521" s="9">
        <f>ROUND(SUMIFS('Bank Lines'!$E$5:$E$1640,'Bank Lines'!$G$5:$G$1640,A521,'Bank Lines'!$J$5:$J$1640,1,'Bank Lines'!$C$5:$C$1640,"&lt;="&amp;Cover!$C$14),2)</f>
        <v>-166344.16</v>
      </c>
      <c r="T521" s="9">
        <f>ROUND(SUMIFS('Odoo Items'!$G$5:$G$4331,'Odoo Items'!$J$5:$J$4331,A521,'Odoo Items'!$C$5:$C$4331,"&lt;="&amp;Cover!$C$14),2)</f>
        <v>-166344.16</v>
      </c>
      <c r="U521">
        <f>COUNTIFS('Bank Lines'!$G$5:$G$1640,A521,'Bank Lines'!$J$5:$J$1640,1,'Bank Lines'!$C$5:$C$1640,"&lt;="&amp;Cover!$C$14)</f>
        <v>1</v>
      </c>
      <c r="V521">
        <f>COUNTIFS('Odoo Items'!$J$5:$J$4331,A521,'Odoo Items'!$C$5:$C$4331,"&lt;="&amp;Cover!$C$14)</f>
        <v>1</v>
      </c>
      <c r="W521" t="str">
        <f>IF(AND(U521=0,V521=0),"",IF(U521=0,"ODOO-ONLY",IF(V521=0,"BANK-ONLY","BOTH")))</f>
        <v>BOTH</v>
      </c>
      <c r="X521" s="9">
        <f>IF(W521="BOTH",ROUND(S521-T521,2),0)</f>
        <v>0</v>
      </c>
      <c r="Y521" s="9">
        <f>ROUND(SUMIFS('Bank Lines'!$E$5:$E$1640,'Bank Lines'!$G$5:$G$1640,A521,'Bank Lines'!$J$5:$J$1640,1,'Bank Lines'!$C$5:$C$1640,"&lt;="&amp;Cover!$C$15),2)</f>
        <v>-166344.16</v>
      </c>
      <c r="Z521" s="9">
        <f>ROUND(SUMIFS('Odoo Items'!$G$5:$G$4331,'Odoo Items'!$J$5:$J$4331,A521,'Odoo Items'!$C$5:$C$4331,"&lt;="&amp;Cover!$C$15),2)</f>
        <v>-166344.16</v>
      </c>
      <c r="AA521">
        <f>COUNTIFS('Bank Lines'!$G$5:$G$1640,A521,'Bank Lines'!$J$5:$J$1640,1,'Bank Lines'!$C$5:$C$1640,"&lt;="&amp;Cover!$C$15)</f>
        <v>1</v>
      </c>
      <c r="AB521">
        <f>COUNTIFS('Odoo Items'!$J$5:$J$4331,A521,'Odoo Items'!$C$5:$C$4331,"&lt;="&amp;Cover!$C$15)</f>
        <v>1</v>
      </c>
      <c r="AC521" t="str">
        <f>IF(AND(AA521=0,AB521=0),"",IF(AA521=0,"ODOO-ONLY",IF(AB521=0,"BANK-ONLY","BOTH")))</f>
        <v>BOTH</v>
      </c>
      <c r="AD521" s="9">
        <f>IF(AC521="BOTH",ROUND(Y521-Z521,2),0)</f>
        <v>0</v>
      </c>
    </row>
    <row r="522">
      <c r="A522" t="inlineStr">
        <is>
          <t>G00518</t>
        </is>
      </c>
      <c r="B522" t="inlineStr">
        <is>
          <t>OPS</t>
        </is>
      </c>
      <c r="C522" t="inlineStr">
        <is>
          <t>R04</t>
        </is>
      </c>
      <c r="D522" t="inlineStr">
        <is>
          <t>MATCH</t>
        </is>
      </c>
      <c r="E522" t="inlineStr"/>
      <c r="G522" t="inlineStr">
        <is>
          <t>Sweep, same amount</t>
        </is>
      </c>
      <c r="H522">
        <f>COUNTIFS('Bank Lines'!$G$5:$G$1640,A522,'Bank Lines'!$J$5:$J$1640,1)</f>
        <v>1</v>
      </c>
      <c r="I522">
        <f>COUNTIFS('Odoo Items'!$J$5:$J$4331,A522)</f>
        <v>1</v>
      </c>
      <c r="J522" s="9">
        <f>ROUND(SUMIFS('Bank Lines'!$E$5:$E$1640,'Bank Lines'!$G$5:$G$1640,A522,'Bank Lines'!$J$5:$J$1640,1),2)</f>
        <v>22000</v>
      </c>
      <c r="K522" s="9">
        <f>ROUND(SUMIFS('Odoo Items'!$G$5:$G$4331,'Odoo Items'!$J$5:$J$4331,A522),2)</f>
        <v>22000</v>
      </c>
      <c r="L522" s="9">
        <f>ROUND(J522-K522,2)</f>
        <v>0</v>
      </c>
      <c r="M522" s="9">
        <f>ROUND(SUMIFS('Bank Lines'!$E$5:$E$1640,'Bank Lines'!$G$5:$G$1640,A522,'Bank Lines'!$J$5:$J$1640,1,'Bank Lines'!$C$5:$C$1640,"&lt;="&amp;Cover!$C$13),2)</f>
        <v>0</v>
      </c>
      <c r="N522" s="9">
        <f>ROUND(SUMIFS('Odoo Items'!$G$5:$G$4331,'Odoo Items'!$J$5:$J$4331,A522,'Odoo Items'!$C$5:$C$4331,"&lt;="&amp;Cover!$C$13),2)</f>
        <v>0</v>
      </c>
      <c r="O522">
        <f>COUNTIFS('Bank Lines'!$G$5:$G$1640,A522,'Bank Lines'!$J$5:$J$1640,1,'Bank Lines'!$C$5:$C$1640,"&lt;="&amp;Cover!$C$13)</f>
        <v>0</v>
      </c>
      <c r="P522">
        <f>COUNTIFS('Odoo Items'!$J$5:$J$4331,A522,'Odoo Items'!$C$5:$C$4331,"&lt;="&amp;Cover!$C$13)</f>
        <v>0</v>
      </c>
      <c r="Q522">
        <f>IF(AND(O522=0,P522=0),"",IF(O522=0,"ODOO-ONLY",IF(P522=0,"BANK-ONLY","BOTH")))</f>
      </c>
      <c r="R522" s="9">
        <f>IF(Q522="BOTH",ROUND(M522-N522,2),0)</f>
        <v>0</v>
      </c>
      <c r="S522" s="9">
        <f>ROUND(SUMIFS('Bank Lines'!$E$5:$E$1640,'Bank Lines'!$G$5:$G$1640,A522,'Bank Lines'!$J$5:$J$1640,1,'Bank Lines'!$C$5:$C$1640,"&lt;="&amp;Cover!$C$14),2)</f>
        <v>22000</v>
      </c>
      <c r="T522" s="9">
        <f>ROUND(SUMIFS('Odoo Items'!$G$5:$G$4331,'Odoo Items'!$J$5:$J$4331,A522,'Odoo Items'!$C$5:$C$4331,"&lt;="&amp;Cover!$C$14),2)</f>
        <v>22000</v>
      </c>
      <c r="U522">
        <f>COUNTIFS('Bank Lines'!$G$5:$G$1640,A522,'Bank Lines'!$J$5:$J$1640,1,'Bank Lines'!$C$5:$C$1640,"&lt;="&amp;Cover!$C$14)</f>
        <v>1</v>
      </c>
      <c r="V522">
        <f>COUNTIFS('Odoo Items'!$J$5:$J$4331,A522,'Odoo Items'!$C$5:$C$4331,"&lt;="&amp;Cover!$C$14)</f>
        <v>1</v>
      </c>
      <c r="W522" t="str">
        <f>IF(AND(U522=0,V522=0),"",IF(U522=0,"ODOO-ONLY",IF(V522=0,"BANK-ONLY","BOTH")))</f>
        <v>BOTH</v>
      </c>
      <c r="X522" s="9">
        <f>IF(W522="BOTH",ROUND(S522-T522,2),0)</f>
        <v>0</v>
      </c>
      <c r="Y522" s="9">
        <f>ROUND(SUMIFS('Bank Lines'!$E$5:$E$1640,'Bank Lines'!$G$5:$G$1640,A522,'Bank Lines'!$J$5:$J$1640,1,'Bank Lines'!$C$5:$C$1640,"&lt;="&amp;Cover!$C$15),2)</f>
        <v>22000</v>
      </c>
      <c r="Z522" s="9">
        <f>ROUND(SUMIFS('Odoo Items'!$G$5:$G$4331,'Odoo Items'!$J$5:$J$4331,A522,'Odoo Items'!$C$5:$C$4331,"&lt;="&amp;Cover!$C$15),2)</f>
        <v>22000</v>
      </c>
      <c r="AA522">
        <f>COUNTIFS('Bank Lines'!$G$5:$G$1640,A522,'Bank Lines'!$J$5:$J$1640,1,'Bank Lines'!$C$5:$C$1640,"&lt;="&amp;Cover!$C$15)</f>
        <v>1</v>
      </c>
      <c r="AB522">
        <f>COUNTIFS('Odoo Items'!$J$5:$J$4331,A522,'Odoo Items'!$C$5:$C$4331,"&lt;="&amp;Cover!$C$15)</f>
        <v>1</v>
      </c>
      <c r="AC522" t="str">
        <f>IF(AND(AA522=0,AB522=0),"",IF(AA522=0,"ODOO-ONLY",IF(AB522=0,"BANK-ONLY","BOTH")))</f>
        <v>BOTH</v>
      </c>
      <c r="AD522" s="9">
        <f>IF(AC522="BOTH",ROUND(Y522-Z522,2),0)</f>
        <v>0</v>
      </c>
    </row>
    <row r="523">
      <c r="A523" t="inlineStr">
        <is>
          <t>G00519</t>
        </is>
      </c>
      <c r="B523" t="inlineStr">
        <is>
          <t>OPS</t>
        </is>
      </c>
      <c r="C523" t="inlineStr">
        <is>
          <t>R06</t>
        </is>
      </c>
      <c r="D523" t="inlineStr">
        <is>
          <t>MATCH</t>
        </is>
      </c>
      <c r="E523" t="inlineStr"/>
      <c r="G523" t="inlineStr">
        <is>
          <t>14 vendor payments in batch</t>
        </is>
      </c>
      <c r="H523">
        <f>COUNTIFS('Bank Lines'!$G$5:$G$1640,A523,'Bank Lines'!$J$5:$J$1640,1)</f>
        <v>1</v>
      </c>
      <c r="I523">
        <f>COUNTIFS('Odoo Items'!$J$5:$J$4331,A523)</f>
        <v>14</v>
      </c>
      <c r="J523" s="9">
        <f>ROUND(SUMIFS('Bank Lines'!$E$5:$E$1640,'Bank Lines'!$G$5:$G$1640,A523,'Bank Lines'!$J$5:$J$1640,1),2)</f>
        <v>-36478.2</v>
      </c>
      <c r="K523" s="9">
        <f>ROUND(SUMIFS('Odoo Items'!$G$5:$G$4331,'Odoo Items'!$J$5:$J$4331,A523),2)</f>
        <v>-36478.2</v>
      </c>
      <c r="L523" s="9">
        <f>ROUND(J523-K523,2)</f>
        <v>0</v>
      </c>
      <c r="M523" s="9">
        <f>ROUND(SUMIFS('Bank Lines'!$E$5:$E$1640,'Bank Lines'!$G$5:$G$1640,A523,'Bank Lines'!$J$5:$J$1640,1,'Bank Lines'!$C$5:$C$1640,"&lt;="&amp;Cover!$C$13),2)</f>
        <v>0</v>
      </c>
      <c r="N523" s="9">
        <f>ROUND(SUMIFS('Odoo Items'!$G$5:$G$4331,'Odoo Items'!$J$5:$J$4331,A523,'Odoo Items'!$C$5:$C$4331,"&lt;="&amp;Cover!$C$13),2)</f>
        <v>0</v>
      </c>
      <c r="O523">
        <f>COUNTIFS('Bank Lines'!$G$5:$G$1640,A523,'Bank Lines'!$J$5:$J$1640,1,'Bank Lines'!$C$5:$C$1640,"&lt;="&amp;Cover!$C$13)</f>
        <v>0</v>
      </c>
      <c r="P523">
        <f>COUNTIFS('Odoo Items'!$J$5:$J$4331,A523,'Odoo Items'!$C$5:$C$4331,"&lt;="&amp;Cover!$C$13)</f>
        <v>0</v>
      </c>
      <c r="Q523">
        <f>IF(AND(O523=0,P523=0),"",IF(O523=0,"ODOO-ONLY",IF(P523=0,"BANK-ONLY","BOTH")))</f>
      </c>
      <c r="R523" s="9">
        <f>IF(Q523="BOTH",ROUND(M523-N523,2),0)</f>
        <v>0</v>
      </c>
      <c r="S523" s="9">
        <f>ROUND(SUMIFS('Bank Lines'!$E$5:$E$1640,'Bank Lines'!$G$5:$G$1640,A523,'Bank Lines'!$J$5:$J$1640,1,'Bank Lines'!$C$5:$C$1640,"&lt;="&amp;Cover!$C$14),2)</f>
        <v>-36478.2</v>
      </c>
      <c r="T523" s="9">
        <f>ROUND(SUMIFS('Odoo Items'!$G$5:$G$4331,'Odoo Items'!$J$5:$J$4331,A523,'Odoo Items'!$C$5:$C$4331,"&lt;="&amp;Cover!$C$14),2)</f>
        <v>-36478.2</v>
      </c>
      <c r="U523">
        <f>COUNTIFS('Bank Lines'!$G$5:$G$1640,A523,'Bank Lines'!$J$5:$J$1640,1,'Bank Lines'!$C$5:$C$1640,"&lt;="&amp;Cover!$C$14)</f>
        <v>1</v>
      </c>
      <c r="V523">
        <f>COUNTIFS('Odoo Items'!$J$5:$J$4331,A523,'Odoo Items'!$C$5:$C$4331,"&lt;="&amp;Cover!$C$14)</f>
        <v>14</v>
      </c>
      <c r="W523" t="str">
        <f>IF(AND(U523=0,V523=0),"",IF(U523=0,"ODOO-ONLY",IF(V523=0,"BANK-ONLY","BOTH")))</f>
        <v>BOTH</v>
      </c>
      <c r="X523" s="9">
        <f>IF(W523="BOTH",ROUND(S523-T523,2),0)</f>
        <v>0</v>
      </c>
      <c r="Y523" s="9">
        <f>ROUND(SUMIFS('Bank Lines'!$E$5:$E$1640,'Bank Lines'!$G$5:$G$1640,A523,'Bank Lines'!$J$5:$J$1640,1,'Bank Lines'!$C$5:$C$1640,"&lt;="&amp;Cover!$C$15),2)</f>
        <v>-36478.2</v>
      </c>
      <c r="Z523" s="9">
        <f>ROUND(SUMIFS('Odoo Items'!$G$5:$G$4331,'Odoo Items'!$J$5:$J$4331,A523,'Odoo Items'!$C$5:$C$4331,"&lt;="&amp;Cover!$C$15),2)</f>
        <v>-36478.2</v>
      </c>
      <c r="AA523">
        <f>COUNTIFS('Bank Lines'!$G$5:$G$1640,A523,'Bank Lines'!$J$5:$J$1640,1,'Bank Lines'!$C$5:$C$1640,"&lt;="&amp;Cover!$C$15)</f>
        <v>1</v>
      </c>
      <c r="AB523">
        <f>COUNTIFS('Odoo Items'!$J$5:$J$4331,A523,'Odoo Items'!$C$5:$C$4331,"&lt;="&amp;Cover!$C$15)</f>
        <v>14</v>
      </c>
      <c r="AC523" t="str">
        <f>IF(AND(AA523=0,AB523=0),"",IF(AA523=0,"ODOO-ONLY",IF(AB523=0,"BANK-ONLY","BOTH")))</f>
        <v>BOTH</v>
      </c>
      <c r="AD523" s="9">
        <f>IF(AC523="BOTH",ROUND(Y523-Z523,2),0)</f>
        <v>0</v>
      </c>
    </row>
    <row r="524">
      <c r="A524" t="inlineStr">
        <is>
          <t>G00520</t>
        </is>
      </c>
      <c r="B524" t="inlineStr">
        <is>
          <t>OPS</t>
        </is>
      </c>
      <c r="C524" t="inlineStr">
        <is>
          <t>R04</t>
        </is>
      </c>
      <c r="D524" t="inlineStr">
        <is>
          <t>MATCH</t>
        </is>
      </c>
      <c r="E524" t="inlineStr"/>
      <c r="G524" t="inlineStr">
        <is>
          <t>Sweep, same amount</t>
        </is>
      </c>
      <c r="H524">
        <f>COUNTIFS('Bank Lines'!$G$5:$G$1640,A524,'Bank Lines'!$J$5:$J$1640,1)</f>
        <v>1</v>
      </c>
      <c r="I524">
        <f>COUNTIFS('Odoo Items'!$J$5:$J$4331,A524)</f>
        <v>1</v>
      </c>
      <c r="J524" s="9">
        <f>ROUND(SUMIFS('Bank Lines'!$E$5:$E$1640,'Bank Lines'!$G$5:$G$1640,A524,'Bank Lines'!$J$5:$J$1640,1),2)</f>
        <v>22000</v>
      </c>
      <c r="K524" s="9">
        <f>ROUND(SUMIFS('Odoo Items'!$G$5:$G$4331,'Odoo Items'!$J$5:$J$4331,A524),2)</f>
        <v>22000</v>
      </c>
      <c r="L524" s="9">
        <f>ROUND(J524-K524,2)</f>
        <v>0</v>
      </c>
      <c r="M524" s="9">
        <f>ROUND(SUMIFS('Bank Lines'!$E$5:$E$1640,'Bank Lines'!$G$5:$G$1640,A524,'Bank Lines'!$J$5:$J$1640,1,'Bank Lines'!$C$5:$C$1640,"&lt;="&amp;Cover!$C$13),2)</f>
        <v>0</v>
      </c>
      <c r="N524" s="9">
        <f>ROUND(SUMIFS('Odoo Items'!$G$5:$G$4331,'Odoo Items'!$J$5:$J$4331,A524,'Odoo Items'!$C$5:$C$4331,"&lt;="&amp;Cover!$C$13),2)</f>
        <v>0</v>
      </c>
      <c r="O524">
        <f>COUNTIFS('Bank Lines'!$G$5:$G$1640,A524,'Bank Lines'!$J$5:$J$1640,1,'Bank Lines'!$C$5:$C$1640,"&lt;="&amp;Cover!$C$13)</f>
        <v>0</v>
      </c>
      <c r="P524">
        <f>COUNTIFS('Odoo Items'!$J$5:$J$4331,A524,'Odoo Items'!$C$5:$C$4331,"&lt;="&amp;Cover!$C$13)</f>
        <v>0</v>
      </c>
      <c r="Q524">
        <f>IF(AND(O524=0,P524=0),"",IF(O524=0,"ODOO-ONLY",IF(P524=0,"BANK-ONLY","BOTH")))</f>
      </c>
      <c r="R524" s="9">
        <f>IF(Q524="BOTH",ROUND(M524-N524,2),0)</f>
        <v>0</v>
      </c>
      <c r="S524" s="9">
        <f>ROUND(SUMIFS('Bank Lines'!$E$5:$E$1640,'Bank Lines'!$G$5:$G$1640,A524,'Bank Lines'!$J$5:$J$1640,1,'Bank Lines'!$C$5:$C$1640,"&lt;="&amp;Cover!$C$14),2)</f>
        <v>22000</v>
      </c>
      <c r="T524" s="9">
        <f>ROUND(SUMIFS('Odoo Items'!$G$5:$G$4331,'Odoo Items'!$J$5:$J$4331,A524,'Odoo Items'!$C$5:$C$4331,"&lt;="&amp;Cover!$C$14),2)</f>
        <v>22000</v>
      </c>
      <c r="U524">
        <f>COUNTIFS('Bank Lines'!$G$5:$G$1640,A524,'Bank Lines'!$J$5:$J$1640,1,'Bank Lines'!$C$5:$C$1640,"&lt;="&amp;Cover!$C$14)</f>
        <v>1</v>
      </c>
      <c r="V524">
        <f>COUNTIFS('Odoo Items'!$J$5:$J$4331,A524,'Odoo Items'!$C$5:$C$4331,"&lt;="&amp;Cover!$C$14)</f>
        <v>1</v>
      </c>
      <c r="W524" t="str">
        <f>IF(AND(U524=0,V524=0),"",IF(U524=0,"ODOO-ONLY",IF(V524=0,"BANK-ONLY","BOTH")))</f>
        <v>BOTH</v>
      </c>
      <c r="X524" s="9">
        <f>IF(W524="BOTH",ROUND(S524-T524,2),0)</f>
        <v>0</v>
      </c>
      <c r="Y524" s="9">
        <f>ROUND(SUMIFS('Bank Lines'!$E$5:$E$1640,'Bank Lines'!$G$5:$G$1640,A524,'Bank Lines'!$J$5:$J$1640,1,'Bank Lines'!$C$5:$C$1640,"&lt;="&amp;Cover!$C$15),2)</f>
        <v>22000</v>
      </c>
      <c r="Z524" s="9">
        <f>ROUND(SUMIFS('Odoo Items'!$G$5:$G$4331,'Odoo Items'!$J$5:$J$4331,A524,'Odoo Items'!$C$5:$C$4331,"&lt;="&amp;Cover!$C$15),2)</f>
        <v>22000</v>
      </c>
      <c r="AA524">
        <f>COUNTIFS('Bank Lines'!$G$5:$G$1640,A524,'Bank Lines'!$J$5:$J$1640,1,'Bank Lines'!$C$5:$C$1640,"&lt;="&amp;Cover!$C$15)</f>
        <v>1</v>
      </c>
      <c r="AB524">
        <f>COUNTIFS('Odoo Items'!$J$5:$J$4331,A524,'Odoo Items'!$C$5:$C$4331,"&lt;="&amp;Cover!$C$15)</f>
        <v>1</v>
      </c>
      <c r="AC524" t="str">
        <f>IF(AND(AA524=0,AB524=0),"",IF(AA524=0,"ODOO-ONLY",IF(AB524=0,"BANK-ONLY","BOTH")))</f>
        <v>BOTH</v>
      </c>
      <c r="AD524" s="9">
        <f>IF(AC524="BOTH",ROUND(Y524-Z524,2),0)</f>
        <v>0</v>
      </c>
    </row>
    <row r="525">
      <c r="A525" t="inlineStr">
        <is>
          <t>G00521</t>
        </is>
      </c>
      <c r="B525" t="inlineStr">
        <is>
          <t>OPS</t>
        </is>
      </c>
      <c r="C525" t="inlineStr">
        <is>
          <t>R04</t>
        </is>
      </c>
      <c r="D525" t="inlineStr">
        <is>
          <t>FXR</t>
        </is>
      </c>
      <c r="E525" t="inlineStr"/>
      <c r="G525" t="inlineStr">
        <is>
          <t>FX conversion FX0810: bank rate vs Odoo rate, difference -14.79</t>
        </is>
      </c>
      <c r="H525">
        <f>COUNTIFS('Bank Lines'!$G$5:$G$1640,A525,'Bank Lines'!$J$5:$J$1640,1)</f>
        <v>1</v>
      </c>
      <c r="I525">
        <f>COUNTIFS('Odoo Items'!$J$5:$J$4331,A525)</f>
        <v>1</v>
      </c>
      <c r="J525" s="9">
        <f>ROUND(SUMIFS('Bank Lines'!$E$5:$E$1640,'Bank Lines'!$G$5:$G$1640,A525,'Bank Lines'!$J$5:$J$1640,1),2)</f>
        <v>-13795.22</v>
      </c>
      <c r="K525" s="9">
        <f>ROUND(SUMIFS('Odoo Items'!$G$5:$G$4331,'Odoo Items'!$J$5:$J$4331,A525),2)</f>
        <v>-13780.43</v>
      </c>
      <c r="L525" s="9">
        <f>ROUND(J525-K525,2)</f>
        <v>-14.79</v>
      </c>
      <c r="M525" s="9">
        <f>ROUND(SUMIFS('Bank Lines'!$E$5:$E$1640,'Bank Lines'!$G$5:$G$1640,A525,'Bank Lines'!$J$5:$J$1640,1,'Bank Lines'!$C$5:$C$1640,"&lt;="&amp;Cover!$C$13),2)</f>
        <v>0</v>
      </c>
      <c r="N525" s="9">
        <f>ROUND(SUMIFS('Odoo Items'!$G$5:$G$4331,'Odoo Items'!$J$5:$J$4331,A525,'Odoo Items'!$C$5:$C$4331,"&lt;="&amp;Cover!$C$13),2)</f>
        <v>0</v>
      </c>
      <c r="O525">
        <f>COUNTIFS('Bank Lines'!$G$5:$G$1640,A525,'Bank Lines'!$J$5:$J$1640,1,'Bank Lines'!$C$5:$C$1640,"&lt;="&amp;Cover!$C$13)</f>
        <v>0</v>
      </c>
      <c r="P525">
        <f>COUNTIFS('Odoo Items'!$J$5:$J$4331,A525,'Odoo Items'!$C$5:$C$4331,"&lt;="&amp;Cover!$C$13)</f>
        <v>0</v>
      </c>
      <c r="Q525">
        <f>IF(AND(O525=0,P525=0),"",IF(O525=0,"ODOO-ONLY",IF(P525=0,"BANK-ONLY","BOTH")))</f>
      </c>
      <c r="R525" s="9">
        <f>IF(Q525="BOTH",ROUND(M525-N525,2),0)</f>
        <v>0</v>
      </c>
      <c r="S525" s="9">
        <f>ROUND(SUMIFS('Bank Lines'!$E$5:$E$1640,'Bank Lines'!$G$5:$G$1640,A525,'Bank Lines'!$J$5:$J$1640,1,'Bank Lines'!$C$5:$C$1640,"&lt;="&amp;Cover!$C$14),2)</f>
        <v>-13795.22</v>
      </c>
      <c r="T525" s="9">
        <f>ROUND(SUMIFS('Odoo Items'!$G$5:$G$4331,'Odoo Items'!$J$5:$J$4331,A525,'Odoo Items'!$C$5:$C$4331,"&lt;="&amp;Cover!$C$14),2)</f>
        <v>-13780.43</v>
      </c>
      <c r="U525">
        <f>COUNTIFS('Bank Lines'!$G$5:$G$1640,A525,'Bank Lines'!$J$5:$J$1640,1,'Bank Lines'!$C$5:$C$1640,"&lt;="&amp;Cover!$C$14)</f>
        <v>1</v>
      </c>
      <c r="V525">
        <f>COUNTIFS('Odoo Items'!$J$5:$J$4331,A525,'Odoo Items'!$C$5:$C$4331,"&lt;="&amp;Cover!$C$14)</f>
        <v>1</v>
      </c>
      <c r="W525" t="str">
        <f>IF(AND(U525=0,V525=0),"",IF(U525=0,"ODOO-ONLY",IF(V525=0,"BANK-ONLY","BOTH")))</f>
        <v>BOTH</v>
      </c>
      <c r="X525" s="9">
        <f>IF(W525="BOTH",ROUND(S525-T525,2),0)</f>
        <v>-14.79</v>
      </c>
      <c r="Y525" s="9">
        <f>ROUND(SUMIFS('Bank Lines'!$E$5:$E$1640,'Bank Lines'!$G$5:$G$1640,A525,'Bank Lines'!$J$5:$J$1640,1,'Bank Lines'!$C$5:$C$1640,"&lt;="&amp;Cover!$C$15),2)</f>
        <v>-13795.22</v>
      </c>
      <c r="Z525" s="9">
        <f>ROUND(SUMIFS('Odoo Items'!$G$5:$G$4331,'Odoo Items'!$J$5:$J$4331,A525,'Odoo Items'!$C$5:$C$4331,"&lt;="&amp;Cover!$C$15),2)</f>
        <v>-13780.43</v>
      </c>
      <c r="AA525">
        <f>COUNTIFS('Bank Lines'!$G$5:$G$1640,A525,'Bank Lines'!$J$5:$J$1640,1,'Bank Lines'!$C$5:$C$1640,"&lt;="&amp;Cover!$C$15)</f>
        <v>1</v>
      </c>
      <c r="AB525">
        <f>COUNTIFS('Odoo Items'!$J$5:$J$4331,A525,'Odoo Items'!$C$5:$C$4331,"&lt;="&amp;Cover!$C$15)</f>
        <v>1</v>
      </c>
      <c r="AC525" t="str">
        <f>IF(AND(AA525=0,AB525=0),"",IF(AA525=0,"ODOO-ONLY",IF(AB525=0,"BANK-ONLY","BOTH")))</f>
        <v>BOTH</v>
      </c>
      <c r="AD525" s="9">
        <f>IF(AC525="BOTH",ROUND(Y525-Z525,2),0)</f>
        <v>-14.79</v>
      </c>
    </row>
    <row r="526">
      <c r="A526" t="inlineStr">
        <is>
          <t>G00522</t>
        </is>
      </c>
      <c r="B526" t="inlineStr">
        <is>
          <t>OPS</t>
        </is>
      </c>
      <c r="C526" t="inlineStr">
        <is>
          <t>R07</t>
        </is>
      </c>
      <c r="D526" t="inlineStr">
        <is>
          <t>MATCH</t>
        </is>
      </c>
      <c r="E526" t="inlineStr"/>
      <c r="G526" t="inlineStr">
        <is>
          <t>Cheque 000404</t>
        </is>
      </c>
      <c r="H526">
        <f>COUNTIFS('Bank Lines'!$G$5:$G$1640,A526,'Bank Lines'!$J$5:$J$1640,1)</f>
        <v>1</v>
      </c>
      <c r="I526">
        <f>COUNTIFS('Odoo Items'!$J$5:$J$4331,A526)</f>
        <v>1</v>
      </c>
      <c r="J526" s="9">
        <f>ROUND(SUMIFS('Bank Lines'!$E$5:$E$1640,'Bank Lines'!$G$5:$G$1640,A526,'Bank Lines'!$J$5:$J$1640,1),2)</f>
        <v>-924</v>
      </c>
      <c r="K526" s="9">
        <f>ROUND(SUMIFS('Odoo Items'!$G$5:$G$4331,'Odoo Items'!$J$5:$J$4331,A526),2)</f>
        <v>-924</v>
      </c>
      <c r="L526" s="9">
        <f>ROUND(J526-K526,2)</f>
        <v>0</v>
      </c>
      <c r="M526" s="9">
        <f>ROUND(SUMIFS('Bank Lines'!$E$5:$E$1640,'Bank Lines'!$G$5:$G$1640,A526,'Bank Lines'!$J$5:$J$1640,1,'Bank Lines'!$C$5:$C$1640,"&lt;="&amp;Cover!$C$13),2)</f>
        <v>0</v>
      </c>
      <c r="N526" s="9">
        <f>ROUND(SUMIFS('Odoo Items'!$G$5:$G$4331,'Odoo Items'!$J$5:$J$4331,A526,'Odoo Items'!$C$5:$C$4331,"&lt;="&amp;Cover!$C$13),2)</f>
        <v>-924</v>
      </c>
      <c r="O526">
        <f>COUNTIFS('Bank Lines'!$G$5:$G$1640,A526,'Bank Lines'!$J$5:$J$1640,1,'Bank Lines'!$C$5:$C$1640,"&lt;="&amp;Cover!$C$13)</f>
        <v>0</v>
      </c>
      <c r="P526">
        <f>COUNTIFS('Odoo Items'!$J$5:$J$4331,A526,'Odoo Items'!$C$5:$C$4331,"&lt;="&amp;Cover!$C$13)</f>
        <v>1</v>
      </c>
      <c r="Q526" t="str">
        <f>IF(AND(O526=0,P526=0),"",IF(O526=0,"ODOO-ONLY",IF(P526=0,"BANK-ONLY","BOTH")))</f>
        <v>ODOO-ONLY</v>
      </c>
      <c r="R526" s="9">
        <f>IF(Q526="BOTH",ROUND(M526-N526,2),0)</f>
        <v>0</v>
      </c>
      <c r="S526" s="9">
        <f>ROUND(SUMIFS('Bank Lines'!$E$5:$E$1640,'Bank Lines'!$G$5:$G$1640,A526,'Bank Lines'!$J$5:$J$1640,1,'Bank Lines'!$C$5:$C$1640,"&lt;="&amp;Cover!$C$14),2)</f>
        <v>-924</v>
      </c>
      <c r="T526" s="9">
        <f>ROUND(SUMIFS('Odoo Items'!$G$5:$G$4331,'Odoo Items'!$J$5:$J$4331,A526,'Odoo Items'!$C$5:$C$4331,"&lt;="&amp;Cover!$C$14),2)</f>
        <v>-924</v>
      </c>
      <c r="U526">
        <f>COUNTIFS('Bank Lines'!$G$5:$G$1640,A526,'Bank Lines'!$J$5:$J$1640,1,'Bank Lines'!$C$5:$C$1640,"&lt;="&amp;Cover!$C$14)</f>
        <v>1</v>
      </c>
      <c r="V526">
        <f>COUNTIFS('Odoo Items'!$J$5:$J$4331,A526,'Odoo Items'!$C$5:$C$4331,"&lt;="&amp;Cover!$C$14)</f>
        <v>1</v>
      </c>
      <c r="W526" t="str">
        <f>IF(AND(U526=0,V526=0),"",IF(U526=0,"ODOO-ONLY",IF(V526=0,"BANK-ONLY","BOTH")))</f>
        <v>BOTH</v>
      </c>
      <c r="X526" s="9">
        <f>IF(W526="BOTH",ROUND(S526-T526,2),0)</f>
        <v>0</v>
      </c>
      <c r="Y526" s="9">
        <f>ROUND(SUMIFS('Bank Lines'!$E$5:$E$1640,'Bank Lines'!$G$5:$G$1640,A526,'Bank Lines'!$J$5:$J$1640,1,'Bank Lines'!$C$5:$C$1640,"&lt;="&amp;Cover!$C$15),2)</f>
        <v>-924</v>
      </c>
      <c r="Z526" s="9">
        <f>ROUND(SUMIFS('Odoo Items'!$G$5:$G$4331,'Odoo Items'!$J$5:$J$4331,A526,'Odoo Items'!$C$5:$C$4331,"&lt;="&amp;Cover!$C$15),2)</f>
        <v>-924</v>
      </c>
      <c r="AA526">
        <f>COUNTIFS('Bank Lines'!$G$5:$G$1640,A526,'Bank Lines'!$J$5:$J$1640,1,'Bank Lines'!$C$5:$C$1640,"&lt;="&amp;Cover!$C$15)</f>
        <v>1</v>
      </c>
      <c r="AB526">
        <f>COUNTIFS('Odoo Items'!$J$5:$J$4331,A526,'Odoo Items'!$C$5:$C$4331,"&lt;="&amp;Cover!$C$15)</f>
        <v>1</v>
      </c>
      <c r="AC526" t="str">
        <f>IF(AND(AA526=0,AB526=0),"",IF(AA526=0,"ODOO-ONLY",IF(AB526=0,"BANK-ONLY","BOTH")))</f>
        <v>BOTH</v>
      </c>
      <c r="AD526" s="9">
        <f>IF(AC526="BOTH",ROUND(Y526-Z526,2),0)</f>
        <v>0</v>
      </c>
    </row>
    <row r="527">
      <c r="A527" t="inlineStr">
        <is>
          <t>G00523</t>
        </is>
      </c>
      <c r="B527" t="inlineStr">
        <is>
          <t>OPS</t>
        </is>
      </c>
      <c r="C527" t="inlineStr">
        <is>
          <t>R06</t>
        </is>
      </c>
      <c r="D527" t="inlineStr">
        <is>
          <t>MATCH</t>
        </is>
      </c>
      <c r="E527" t="inlineStr"/>
      <c r="G527" t="inlineStr">
        <is>
          <t>11 vendor payments in batch</t>
        </is>
      </c>
      <c r="H527">
        <f>COUNTIFS('Bank Lines'!$G$5:$G$1640,A527,'Bank Lines'!$J$5:$J$1640,1)</f>
        <v>1</v>
      </c>
      <c r="I527">
        <f>COUNTIFS('Odoo Items'!$J$5:$J$4331,A527)</f>
        <v>11</v>
      </c>
      <c r="J527" s="9">
        <f>ROUND(SUMIFS('Bank Lines'!$E$5:$E$1640,'Bank Lines'!$G$5:$G$1640,A527,'Bank Lines'!$J$5:$J$1640,1),2)</f>
        <v>-14548.6</v>
      </c>
      <c r="K527" s="9">
        <f>ROUND(SUMIFS('Odoo Items'!$G$5:$G$4331,'Odoo Items'!$J$5:$J$4331,A527),2)</f>
        <v>-14548.6</v>
      </c>
      <c r="L527" s="9">
        <f>ROUND(J527-K527,2)</f>
        <v>0</v>
      </c>
      <c r="M527" s="9">
        <f>ROUND(SUMIFS('Bank Lines'!$E$5:$E$1640,'Bank Lines'!$G$5:$G$1640,A527,'Bank Lines'!$J$5:$J$1640,1,'Bank Lines'!$C$5:$C$1640,"&lt;="&amp;Cover!$C$13),2)</f>
        <v>0</v>
      </c>
      <c r="N527" s="9">
        <f>ROUND(SUMIFS('Odoo Items'!$G$5:$G$4331,'Odoo Items'!$J$5:$J$4331,A527,'Odoo Items'!$C$5:$C$4331,"&lt;="&amp;Cover!$C$13),2)</f>
        <v>0</v>
      </c>
      <c r="O527">
        <f>COUNTIFS('Bank Lines'!$G$5:$G$1640,A527,'Bank Lines'!$J$5:$J$1640,1,'Bank Lines'!$C$5:$C$1640,"&lt;="&amp;Cover!$C$13)</f>
        <v>0</v>
      </c>
      <c r="P527">
        <f>COUNTIFS('Odoo Items'!$J$5:$J$4331,A527,'Odoo Items'!$C$5:$C$4331,"&lt;="&amp;Cover!$C$13)</f>
        <v>0</v>
      </c>
      <c r="Q527">
        <f>IF(AND(O527=0,P527=0),"",IF(O527=0,"ODOO-ONLY",IF(P527=0,"BANK-ONLY","BOTH")))</f>
      </c>
      <c r="R527" s="9">
        <f>IF(Q527="BOTH",ROUND(M527-N527,2),0)</f>
        <v>0</v>
      </c>
      <c r="S527" s="9">
        <f>ROUND(SUMIFS('Bank Lines'!$E$5:$E$1640,'Bank Lines'!$G$5:$G$1640,A527,'Bank Lines'!$J$5:$J$1640,1,'Bank Lines'!$C$5:$C$1640,"&lt;="&amp;Cover!$C$14),2)</f>
        <v>-14548.6</v>
      </c>
      <c r="T527" s="9">
        <f>ROUND(SUMIFS('Odoo Items'!$G$5:$G$4331,'Odoo Items'!$J$5:$J$4331,A527,'Odoo Items'!$C$5:$C$4331,"&lt;="&amp;Cover!$C$14),2)</f>
        <v>-14548.6</v>
      </c>
      <c r="U527">
        <f>COUNTIFS('Bank Lines'!$G$5:$G$1640,A527,'Bank Lines'!$J$5:$J$1640,1,'Bank Lines'!$C$5:$C$1640,"&lt;="&amp;Cover!$C$14)</f>
        <v>1</v>
      </c>
      <c r="V527">
        <f>COUNTIFS('Odoo Items'!$J$5:$J$4331,A527,'Odoo Items'!$C$5:$C$4331,"&lt;="&amp;Cover!$C$14)</f>
        <v>11</v>
      </c>
      <c r="W527" t="str">
        <f>IF(AND(U527=0,V527=0),"",IF(U527=0,"ODOO-ONLY",IF(V527=0,"BANK-ONLY","BOTH")))</f>
        <v>BOTH</v>
      </c>
      <c r="X527" s="9">
        <f>IF(W527="BOTH",ROUND(S527-T527,2),0)</f>
        <v>0</v>
      </c>
      <c r="Y527" s="9">
        <f>ROUND(SUMIFS('Bank Lines'!$E$5:$E$1640,'Bank Lines'!$G$5:$G$1640,A527,'Bank Lines'!$J$5:$J$1640,1,'Bank Lines'!$C$5:$C$1640,"&lt;="&amp;Cover!$C$15),2)</f>
        <v>-14548.6</v>
      </c>
      <c r="Z527" s="9">
        <f>ROUND(SUMIFS('Odoo Items'!$G$5:$G$4331,'Odoo Items'!$J$5:$J$4331,A527,'Odoo Items'!$C$5:$C$4331,"&lt;="&amp;Cover!$C$15),2)</f>
        <v>-14548.6</v>
      </c>
      <c r="AA527">
        <f>COUNTIFS('Bank Lines'!$G$5:$G$1640,A527,'Bank Lines'!$J$5:$J$1640,1,'Bank Lines'!$C$5:$C$1640,"&lt;="&amp;Cover!$C$15)</f>
        <v>1</v>
      </c>
      <c r="AB527">
        <f>COUNTIFS('Odoo Items'!$J$5:$J$4331,A527,'Odoo Items'!$C$5:$C$4331,"&lt;="&amp;Cover!$C$15)</f>
        <v>11</v>
      </c>
      <c r="AC527" t="str">
        <f>IF(AND(AA527=0,AB527=0),"",IF(AA527=0,"ODOO-ONLY",IF(AB527=0,"BANK-ONLY","BOTH")))</f>
        <v>BOTH</v>
      </c>
      <c r="AD527" s="9">
        <f>IF(AC527="BOTH",ROUND(Y527-Z527,2),0)</f>
        <v>0</v>
      </c>
    </row>
    <row r="528">
      <c r="A528" t="inlineStr">
        <is>
          <t>G00524</t>
        </is>
      </c>
      <c r="B528" t="inlineStr">
        <is>
          <t>OPS</t>
        </is>
      </c>
      <c r="C528" t="inlineStr">
        <is>
          <t>R04</t>
        </is>
      </c>
      <c r="D528" t="inlineStr">
        <is>
          <t>MATCH</t>
        </is>
      </c>
      <c r="E528" t="inlineStr"/>
      <c r="G528" t="inlineStr">
        <is>
          <t>Reference PR260813</t>
        </is>
      </c>
      <c r="H528">
        <f>COUNTIFS('Bank Lines'!$G$5:$G$1640,A528,'Bank Lines'!$J$5:$J$1640,1)</f>
        <v>1</v>
      </c>
      <c r="I528">
        <f>COUNTIFS('Odoo Items'!$J$5:$J$4331,A528)</f>
        <v>1</v>
      </c>
      <c r="J528" s="9">
        <f>ROUND(SUMIFS('Bank Lines'!$E$5:$E$1640,'Bank Lines'!$G$5:$G$1640,A528,'Bank Lines'!$J$5:$J$1640,1),2)</f>
        <v>-201473.62</v>
      </c>
      <c r="K528" s="9">
        <f>ROUND(SUMIFS('Odoo Items'!$G$5:$G$4331,'Odoo Items'!$J$5:$J$4331,A528),2)</f>
        <v>-201473.62</v>
      </c>
      <c r="L528" s="9">
        <f>ROUND(J528-K528,2)</f>
        <v>0</v>
      </c>
      <c r="M528" s="9">
        <f>ROUND(SUMIFS('Bank Lines'!$E$5:$E$1640,'Bank Lines'!$G$5:$G$1640,A528,'Bank Lines'!$J$5:$J$1640,1,'Bank Lines'!$C$5:$C$1640,"&lt;="&amp;Cover!$C$13),2)</f>
        <v>0</v>
      </c>
      <c r="N528" s="9">
        <f>ROUND(SUMIFS('Odoo Items'!$G$5:$G$4331,'Odoo Items'!$J$5:$J$4331,A528,'Odoo Items'!$C$5:$C$4331,"&lt;="&amp;Cover!$C$13),2)</f>
        <v>0</v>
      </c>
      <c r="O528">
        <f>COUNTIFS('Bank Lines'!$G$5:$G$1640,A528,'Bank Lines'!$J$5:$J$1640,1,'Bank Lines'!$C$5:$C$1640,"&lt;="&amp;Cover!$C$13)</f>
        <v>0</v>
      </c>
      <c r="P528">
        <f>COUNTIFS('Odoo Items'!$J$5:$J$4331,A528,'Odoo Items'!$C$5:$C$4331,"&lt;="&amp;Cover!$C$13)</f>
        <v>0</v>
      </c>
      <c r="Q528">
        <f>IF(AND(O528=0,P528=0),"",IF(O528=0,"ODOO-ONLY",IF(P528=0,"BANK-ONLY","BOTH")))</f>
      </c>
      <c r="R528" s="9">
        <f>IF(Q528="BOTH",ROUND(M528-N528,2),0)</f>
        <v>0</v>
      </c>
      <c r="S528" s="9">
        <f>ROUND(SUMIFS('Bank Lines'!$E$5:$E$1640,'Bank Lines'!$G$5:$G$1640,A528,'Bank Lines'!$J$5:$J$1640,1,'Bank Lines'!$C$5:$C$1640,"&lt;="&amp;Cover!$C$14),2)</f>
        <v>-201473.62</v>
      </c>
      <c r="T528" s="9">
        <f>ROUND(SUMIFS('Odoo Items'!$G$5:$G$4331,'Odoo Items'!$J$5:$J$4331,A528,'Odoo Items'!$C$5:$C$4331,"&lt;="&amp;Cover!$C$14),2)</f>
        <v>-201473.62</v>
      </c>
      <c r="U528">
        <f>COUNTIFS('Bank Lines'!$G$5:$G$1640,A528,'Bank Lines'!$J$5:$J$1640,1,'Bank Lines'!$C$5:$C$1640,"&lt;="&amp;Cover!$C$14)</f>
        <v>1</v>
      </c>
      <c r="V528">
        <f>COUNTIFS('Odoo Items'!$J$5:$J$4331,A528,'Odoo Items'!$C$5:$C$4331,"&lt;="&amp;Cover!$C$14)</f>
        <v>1</v>
      </c>
      <c r="W528" t="str">
        <f>IF(AND(U528=0,V528=0),"",IF(U528=0,"ODOO-ONLY",IF(V528=0,"BANK-ONLY","BOTH")))</f>
        <v>BOTH</v>
      </c>
      <c r="X528" s="9">
        <f>IF(W528="BOTH",ROUND(S528-T528,2),0)</f>
        <v>0</v>
      </c>
      <c r="Y528" s="9">
        <f>ROUND(SUMIFS('Bank Lines'!$E$5:$E$1640,'Bank Lines'!$G$5:$G$1640,A528,'Bank Lines'!$J$5:$J$1640,1,'Bank Lines'!$C$5:$C$1640,"&lt;="&amp;Cover!$C$15),2)</f>
        <v>-201473.62</v>
      </c>
      <c r="Z528" s="9">
        <f>ROUND(SUMIFS('Odoo Items'!$G$5:$G$4331,'Odoo Items'!$J$5:$J$4331,A528,'Odoo Items'!$C$5:$C$4331,"&lt;="&amp;Cover!$C$15),2)</f>
        <v>-201473.62</v>
      </c>
      <c r="AA528">
        <f>COUNTIFS('Bank Lines'!$G$5:$G$1640,A528,'Bank Lines'!$J$5:$J$1640,1,'Bank Lines'!$C$5:$C$1640,"&lt;="&amp;Cover!$C$15)</f>
        <v>1</v>
      </c>
      <c r="AB528">
        <f>COUNTIFS('Odoo Items'!$J$5:$J$4331,A528,'Odoo Items'!$C$5:$C$4331,"&lt;="&amp;Cover!$C$15)</f>
        <v>1</v>
      </c>
      <c r="AC528" t="str">
        <f>IF(AND(AA528=0,AB528=0),"",IF(AA528=0,"ODOO-ONLY",IF(AB528=0,"BANK-ONLY","BOTH")))</f>
        <v>BOTH</v>
      </c>
      <c r="AD528" s="9">
        <f>IF(AC528="BOTH",ROUND(Y528-Z528,2),0)</f>
        <v>0</v>
      </c>
    </row>
    <row r="529">
      <c r="A529" t="inlineStr">
        <is>
          <t>G00525</t>
        </is>
      </c>
      <c r="B529" t="inlineStr">
        <is>
          <t>OPS</t>
        </is>
      </c>
      <c r="C529" t="inlineStr">
        <is>
          <t>R07</t>
        </is>
      </c>
      <c r="D529" t="inlineStr">
        <is>
          <t>MATCH</t>
        </is>
      </c>
      <c r="E529" t="inlineStr"/>
      <c r="G529" t="inlineStr">
        <is>
          <t>Cheque 000405</t>
        </is>
      </c>
      <c r="H529">
        <f>COUNTIFS('Bank Lines'!$G$5:$G$1640,A529,'Bank Lines'!$J$5:$J$1640,1)</f>
        <v>1</v>
      </c>
      <c r="I529">
        <f>COUNTIFS('Odoo Items'!$J$5:$J$4331,A529)</f>
        <v>1</v>
      </c>
      <c r="J529" s="9">
        <f>ROUND(SUMIFS('Bank Lines'!$E$5:$E$1640,'Bank Lines'!$G$5:$G$1640,A529,'Bank Lines'!$J$5:$J$1640,1),2)</f>
        <v>-132</v>
      </c>
      <c r="K529" s="9">
        <f>ROUND(SUMIFS('Odoo Items'!$G$5:$G$4331,'Odoo Items'!$J$5:$J$4331,A529),2)</f>
        <v>-132</v>
      </c>
      <c r="L529" s="9">
        <f>ROUND(J529-K529,2)</f>
        <v>0</v>
      </c>
      <c r="M529" s="9">
        <f>ROUND(SUMIFS('Bank Lines'!$E$5:$E$1640,'Bank Lines'!$G$5:$G$1640,A529,'Bank Lines'!$J$5:$J$1640,1,'Bank Lines'!$C$5:$C$1640,"&lt;="&amp;Cover!$C$13),2)</f>
        <v>0</v>
      </c>
      <c r="N529" s="9">
        <f>ROUND(SUMIFS('Odoo Items'!$G$5:$G$4331,'Odoo Items'!$J$5:$J$4331,A529,'Odoo Items'!$C$5:$C$4331,"&lt;="&amp;Cover!$C$13),2)</f>
        <v>-132</v>
      </c>
      <c r="O529">
        <f>COUNTIFS('Bank Lines'!$G$5:$G$1640,A529,'Bank Lines'!$J$5:$J$1640,1,'Bank Lines'!$C$5:$C$1640,"&lt;="&amp;Cover!$C$13)</f>
        <v>0</v>
      </c>
      <c r="P529">
        <f>COUNTIFS('Odoo Items'!$J$5:$J$4331,A529,'Odoo Items'!$C$5:$C$4331,"&lt;="&amp;Cover!$C$13)</f>
        <v>1</v>
      </c>
      <c r="Q529" t="str">
        <f>IF(AND(O529=0,P529=0),"",IF(O529=0,"ODOO-ONLY",IF(P529=0,"BANK-ONLY","BOTH")))</f>
        <v>ODOO-ONLY</v>
      </c>
      <c r="R529" s="9">
        <f>IF(Q529="BOTH",ROUND(M529-N529,2),0)</f>
        <v>0</v>
      </c>
      <c r="S529" s="9">
        <f>ROUND(SUMIFS('Bank Lines'!$E$5:$E$1640,'Bank Lines'!$G$5:$G$1640,A529,'Bank Lines'!$J$5:$J$1640,1,'Bank Lines'!$C$5:$C$1640,"&lt;="&amp;Cover!$C$14),2)</f>
        <v>-132</v>
      </c>
      <c r="T529" s="9">
        <f>ROUND(SUMIFS('Odoo Items'!$G$5:$G$4331,'Odoo Items'!$J$5:$J$4331,A529,'Odoo Items'!$C$5:$C$4331,"&lt;="&amp;Cover!$C$14),2)</f>
        <v>-132</v>
      </c>
      <c r="U529">
        <f>COUNTIFS('Bank Lines'!$G$5:$G$1640,A529,'Bank Lines'!$J$5:$J$1640,1,'Bank Lines'!$C$5:$C$1640,"&lt;="&amp;Cover!$C$14)</f>
        <v>1</v>
      </c>
      <c r="V529">
        <f>COUNTIFS('Odoo Items'!$J$5:$J$4331,A529,'Odoo Items'!$C$5:$C$4331,"&lt;="&amp;Cover!$C$14)</f>
        <v>1</v>
      </c>
      <c r="W529" t="str">
        <f>IF(AND(U529=0,V529=0),"",IF(U529=0,"ODOO-ONLY",IF(V529=0,"BANK-ONLY","BOTH")))</f>
        <v>BOTH</v>
      </c>
      <c r="X529" s="9">
        <f>IF(W529="BOTH",ROUND(S529-T529,2),0)</f>
        <v>0</v>
      </c>
      <c r="Y529" s="9">
        <f>ROUND(SUMIFS('Bank Lines'!$E$5:$E$1640,'Bank Lines'!$G$5:$G$1640,A529,'Bank Lines'!$J$5:$J$1640,1,'Bank Lines'!$C$5:$C$1640,"&lt;="&amp;Cover!$C$15),2)</f>
        <v>-132</v>
      </c>
      <c r="Z529" s="9">
        <f>ROUND(SUMIFS('Odoo Items'!$G$5:$G$4331,'Odoo Items'!$J$5:$J$4331,A529,'Odoo Items'!$C$5:$C$4331,"&lt;="&amp;Cover!$C$15),2)</f>
        <v>-132</v>
      </c>
      <c r="AA529">
        <f>COUNTIFS('Bank Lines'!$G$5:$G$1640,A529,'Bank Lines'!$J$5:$J$1640,1,'Bank Lines'!$C$5:$C$1640,"&lt;="&amp;Cover!$C$15)</f>
        <v>1</v>
      </c>
      <c r="AB529">
        <f>COUNTIFS('Odoo Items'!$J$5:$J$4331,A529,'Odoo Items'!$C$5:$C$4331,"&lt;="&amp;Cover!$C$15)</f>
        <v>1</v>
      </c>
      <c r="AC529" t="str">
        <f>IF(AND(AA529=0,AB529=0),"",IF(AA529=0,"ODOO-ONLY",IF(AB529=0,"BANK-ONLY","BOTH")))</f>
        <v>BOTH</v>
      </c>
      <c r="AD529" s="9">
        <f>IF(AC529="BOTH",ROUND(Y529-Z529,2),0)</f>
        <v>0</v>
      </c>
    </row>
    <row r="530">
      <c r="A530" t="inlineStr">
        <is>
          <t>G00526</t>
        </is>
      </c>
      <c r="B530" t="inlineStr">
        <is>
          <t>OPS</t>
        </is>
      </c>
      <c r="C530" t="inlineStr">
        <is>
          <t>R07</t>
        </is>
      </c>
      <c r="D530" t="inlineStr">
        <is>
          <t>MATCH</t>
        </is>
      </c>
      <c r="E530" t="inlineStr"/>
      <c r="G530" t="inlineStr">
        <is>
          <t>Cheque 000406</t>
        </is>
      </c>
      <c r="H530">
        <f>COUNTIFS('Bank Lines'!$G$5:$G$1640,A530,'Bank Lines'!$J$5:$J$1640,1)</f>
        <v>1</v>
      </c>
      <c r="I530">
        <f>COUNTIFS('Odoo Items'!$J$5:$J$4331,A530)</f>
        <v>1</v>
      </c>
      <c r="J530" s="9">
        <f>ROUND(SUMIFS('Bank Lines'!$E$5:$E$1640,'Bank Lines'!$G$5:$G$1640,A530,'Bank Lines'!$J$5:$J$1640,1),2)</f>
        <v>-132</v>
      </c>
      <c r="K530" s="9">
        <f>ROUND(SUMIFS('Odoo Items'!$G$5:$G$4331,'Odoo Items'!$J$5:$J$4331,A530),2)</f>
        <v>-132</v>
      </c>
      <c r="L530" s="9">
        <f>ROUND(J530-K530,2)</f>
        <v>0</v>
      </c>
      <c r="M530" s="9">
        <f>ROUND(SUMIFS('Bank Lines'!$E$5:$E$1640,'Bank Lines'!$G$5:$G$1640,A530,'Bank Lines'!$J$5:$J$1640,1,'Bank Lines'!$C$5:$C$1640,"&lt;="&amp;Cover!$C$13),2)</f>
        <v>0</v>
      </c>
      <c r="N530" s="9">
        <f>ROUND(SUMIFS('Odoo Items'!$G$5:$G$4331,'Odoo Items'!$J$5:$J$4331,A530,'Odoo Items'!$C$5:$C$4331,"&lt;="&amp;Cover!$C$13),2)</f>
        <v>0</v>
      </c>
      <c r="O530">
        <f>COUNTIFS('Bank Lines'!$G$5:$G$1640,A530,'Bank Lines'!$J$5:$J$1640,1,'Bank Lines'!$C$5:$C$1640,"&lt;="&amp;Cover!$C$13)</f>
        <v>0</v>
      </c>
      <c r="P530">
        <f>COUNTIFS('Odoo Items'!$J$5:$J$4331,A530,'Odoo Items'!$C$5:$C$4331,"&lt;="&amp;Cover!$C$13)</f>
        <v>0</v>
      </c>
      <c r="Q530">
        <f>IF(AND(O530=0,P530=0),"",IF(O530=0,"ODOO-ONLY",IF(P530=0,"BANK-ONLY","BOTH")))</f>
      </c>
      <c r="R530" s="9">
        <f>IF(Q530="BOTH",ROUND(M530-N530,2),0)</f>
        <v>0</v>
      </c>
      <c r="S530" s="9">
        <f>ROUND(SUMIFS('Bank Lines'!$E$5:$E$1640,'Bank Lines'!$G$5:$G$1640,A530,'Bank Lines'!$J$5:$J$1640,1,'Bank Lines'!$C$5:$C$1640,"&lt;="&amp;Cover!$C$14),2)</f>
        <v>-132</v>
      </c>
      <c r="T530" s="9">
        <f>ROUND(SUMIFS('Odoo Items'!$G$5:$G$4331,'Odoo Items'!$J$5:$J$4331,A530,'Odoo Items'!$C$5:$C$4331,"&lt;="&amp;Cover!$C$14),2)</f>
        <v>-132</v>
      </c>
      <c r="U530">
        <f>COUNTIFS('Bank Lines'!$G$5:$G$1640,A530,'Bank Lines'!$J$5:$J$1640,1,'Bank Lines'!$C$5:$C$1640,"&lt;="&amp;Cover!$C$14)</f>
        <v>1</v>
      </c>
      <c r="V530">
        <f>COUNTIFS('Odoo Items'!$J$5:$J$4331,A530,'Odoo Items'!$C$5:$C$4331,"&lt;="&amp;Cover!$C$14)</f>
        <v>1</v>
      </c>
      <c r="W530" t="str">
        <f>IF(AND(U530=0,V530=0),"",IF(U530=0,"ODOO-ONLY",IF(V530=0,"BANK-ONLY","BOTH")))</f>
        <v>BOTH</v>
      </c>
      <c r="X530" s="9">
        <f>IF(W530="BOTH",ROUND(S530-T530,2),0)</f>
        <v>0</v>
      </c>
      <c r="Y530" s="9">
        <f>ROUND(SUMIFS('Bank Lines'!$E$5:$E$1640,'Bank Lines'!$G$5:$G$1640,A530,'Bank Lines'!$J$5:$J$1640,1,'Bank Lines'!$C$5:$C$1640,"&lt;="&amp;Cover!$C$15),2)</f>
        <v>-132</v>
      </c>
      <c r="Z530" s="9">
        <f>ROUND(SUMIFS('Odoo Items'!$G$5:$G$4331,'Odoo Items'!$J$5:$J$4331,A530,'Odoo Items'!$C$5:$C$4331,"&lt;="&amp;Cover!$C$15),2)</f>
        <v>-132</v>
      </c>
      <c r="AA530">
        <f>COUNTIFS('Bank Lines'!$G$5:$G$1640,A530,'Bank Lines'!$J$5:$J$1640,1,'Bank Lines'!$C$5:$C$1640,"&lt;="&amp;Cover!$C$15)</f>
        <v>1</v>
      </c>
      <c r="AB530">
        <f>COUNTIFS('Odoo Items'!$J$5:$J$4331,A530,'Odoo Items'!$C$5:$C$4331,"&lt;="&amp;Cover!$C$15)</f>
        <v>1</v>
      </c>
      <c r="AC530" t="str">
        <f>IF(AND(AA530=0,AB530=0),"",IF(AA530=0,"ODOO-ONLY",IF(AB530=0,"BANK-ONLY","BOTH")))</f>
        <v>BOTH</v>
      </c>
      <c r="AD530" s="9">
        <f>IF(AC530="BOTH",ROUND(Y530-Z530,2),0)</f>
        <v>0</v>
      </c>
    </row>
    <row r="531">
      <c r="A531" t="inlineStr">
        <is>
          <t>G00527</t>
        </is>
      </c>
      <c r="B531" t="inlineStr">
        <is>
          <t>OPS</t>
        </is>
      </c>
      <c r="C531" t="inlineStr">
        <is>
          <t>R07</t>
        </is>
      </c>
      <c r="D531" t="inlineStr">
        <is>
          <t>MATCH</t>
        </is>
      </c>
      <c r="E531" t="inlineStr"/>
      <c r="G531" t="inlineStr">
        <is>
          <t>Cheque 000407</t>
        </is>
      </c>
      <c r="H531">
        <f>COUNTIFS('Bank Lines'!$G$5:$G$1640,A531,'Bank Lines'!$J$5:$J$1640,1)</f>
        <v>1</v>
      </c>
      <c r="I531">
        <f>COUNTIFS('Odoo Items'!$J$5:$J$4331,A531)</f>
        <v>1</v>
      </c>
      <c r="J531" s="9">
        <f>ROUND(SUMIFS('Bank Lines'!$E$5:$E$1640,'Bank Lines'!$G$5:$G$1640,A531,'Bank Lines'!$J$5:$J$1640,1),2)</f>
        <v>-924</v>
      </c>
      <c r="K531" s="9">
        <f>ROUND(SUMIFS('Odoo Items'!$G$5:$G$4331,'Odoo Items'!$J$5:$J$4331,A531),2)</f>
        <v>-924</v>
      </c>
      <c r="L531" s="9">
        <f>ROUND(J531-K531,2)</f>
        <v>0</v>
      </c>
      <c r="M531" s="9">
        <f>ROUND(SUMIFS('Bank Lines'!$E$5:$E$1640,'Bank Lines'!$G$5:$G$1640,A531,'Bank Lines'!$J$5:$J$1640,1,'Bank Lines'!$C$5:$C$1640,"&lt;="&amp;Cover!$C$13),2)</f>
        <v>0</v>
      </c>
      <c r="N531" s="9">
        <f>ROUND(SUMIFS('Odoo Items'!$G$5:$G$4331,'Odoo Items'!$J$5:$J$4331,A531,'Odoo Items'!$C$5:$C$4331,"&lt;="&amp;Cover!$C$13),2)</f>
        <v>0</v>
      </c>
      <c r="O531">
        <f>COUNTIFS('Bank Lines'!$G$5:$G$1640,A531,'Bank Lines'!$J$5:$J$1640,1,'Bank Lines'!$C$5:$C$1640,"&lt;="&amp;Cover!$C$13)</f>
        <v>0</v>
      </c>
      <c r="P531">
        <f>COUNTIFS('Odoo Items'!$J$5:$J$4331,A531,'Odoo Items'!$C$5:$C$4331,"&lt;="&amp;Cover!$C$13)</f>
        <v>0</v>
      </c>
      <c r="Q531">
        <f>IF(AND(O531=0,P531=0),"",IF(O531=0,"ODOO-ONLY",IF(P531=0,"BANK-ONLY","BOTH")))</f>
      </c>
      <c r="R531" s="9">
        <f>IF(Q531="BOTH",ROUND(M531-N531,2),0)</f>
        <v>0</v>
      </c>
      <c r="S531" s="9">
        <f>ROUND(SUMIFS('Bank Lines'!$E$5:$E$1640,'Bank Lines'!$G$5:$G$1640,A531,'Bank Lines'!$J$5:$J$1640,1,'Bank Lines'!$C$5:$C$1640,"&lt;="&amp;Cover!$C$14),2)</f>
        <v>-924</v>
      </c>
      <c r="T531" s="9">
        <f>ROUND(SUMIFS('Odoo Items'!$G$5:$G$4331,'Odoo Items'!$J$5:$J$4331,A531,'Odoo Items'!$C$5:$C$4331,"&lt;="&amp;Cover!$C$14),2)</f>
        <v>-924</v>
      </c>
      <c r="U531">
        <f>COUNTIFS('Bank Lines'!$G$5:$G$1640,A531,'Bank Lines'!$J$5:$J$1640,1,'Bank Lines'!$C$5:$C$1640,"&lt;="&amp;Cover!$C$14)</f>
        <v>1</v>
      </c>
      <c r="V531">
        <f>COUNTIFS('Odoo Items'!$J$5:$J$4331,A531,'Odoo Items'!$C$5:$C$4331,"&lt;="&amp;Cover!$C$14)</f>
        <v>1</v>
      </c>
      <c r="W531" t="str">
        <f>IF(AND(U531=0,V531=0),"",IF(U531=0,"ODOO-ONLY",IF(V531=0,"BANK-ONLY","BOTH")))</f>
        <v>BOTH</v>
      </c>
      <c r="X531" s="9">
        <f>IF(W531="BOTH",ROUND(S531-T531,2),0)</f>
        <v>0</v>
      </c>
      <c r="Y531" s="9">
        <f>ROUND(SUMIFS('Bank Lines'!$E$5:$E$1640,'Bank Lines'!$G$5:$G$1640,A531,'Bank Lines'!$J$5:$J$1640,1,'Bank Lines'!$C$5:$C$1640,"&lt;="&amp;Cover!$C$15),2)</f>
        <v>-924</v>
      </c>
      <c r="Z531" s="9">
        <f>ROUND(SUMIFS('Odoo Items'!$G$5:$G$4331,'Odoo Items'!$J$5:$J$4331,A531,'Odoo Items'!$C$5:$C$4331,"&lt;="&amp;Cover!$C$15),2)</f>
        <v>-924</v>
      </c>
      <c r="AA531">
        <f>COUNTIFS('Bank Lines'!$G$5:$G$1640,A531,'Bank Lines'!$J$5:$J$1640,1,'Bank Lines'!$C$5:$C$1640,"&lt;="&amp;Cover!$C$15)</f>
        <v>1</v>
      </c>
      <c r="AB531">
        <f>COUNTIFS('Odoo Items'!$J$5:$J$4331,A531,'Odoo Items'!$C$5:$C$4331,"&lt;="&amp;Cover!$C$15)</f>
        <v>1</v>
      </c>
      <c r="AC531" t="str">
        <f>IF(AND(AA531=0,AB531=0),"",IF(AA531=0,"ODOO-ONLY",IF(AB531=0,"BANK-ONLY","BOTH")))</f>
        <v>BOTH</v>
      </c>
      <c r="AD531" s="9">
        <f>IF(AC531="BOTH",ROUND(Y531-Z531,2),0)</f>
        <v>0</v>
      </c>
    </row>
    <row r="532">
      <c r="A532" t="inlineStr">
        <is>
          <t>G00528</t>
        </is>
      </c>
      <c r="B532" t="inlineStr">
        <is>
          <t>OPS</t>
        </is>
      </c>
      <c r="C532" t="inlineStr">
        <is>
          <t>R04</t>
        </is>
      </c>
      <c r="D532" t="inlineStr">
        <is>
          <t>MATCH</t>
        </is>
      </c>
      <c r="E532" t="inlineStr"/>
      <c r="G532" t="inlineStr">
        <is>
          <t>Sweep, same amount</t>
        </is>
      </c>
      <c r="H532">
        <f>COUNTIFS('Bank Lines'!$G$5:$G$1640,A532,'Bank Lines'!$J$5:$J$1640,1)</f>
        <v>1</v>
      </c>
      <c r="I532">
        <f>COUNTIFS('Odoo Items'!$J$5:$J$4331,A532)</f>
        <v>1</v>
      </c>
      <c r="J532" s="9">
        <f>ROUND(SUMIFS('Bank Lines'!$E$5:$E$1640,'Bank Lines'!$G$5:$G$1640,A532,'Bank Lines'!$J$5:$J$1640,1),2)</f>
        <v>30000</v>
      </c>
      <c r="K532" s="9">
        <f>ROUND(SUMIFS('Odoo Items'!$G$5:$G$4331,'Odoo Items'!$J$5:$J$4331,A532),2)</f>
        <v>30000</v>
      </c>
      <c r="L532" s="9">
        <f>ROUND(J532-K532,2)</f>
        <v>0</v>
      </c>
      <c r="M532" s="9">
        <f>ROUND(SUMIFS('Bank Lines'!$E$5:$E$1640,'Bank Lines'!$G$5:$G$1640,A532,'Bank Lines'!$J$5:$J$1640,1,'Bank Lines'!$C$5:$C$1640,"&lt;="&amp;Cover!$C$13),2)</f>
        <v>0</v>
      </c>
      <c r="N532" s="9">
        <f>ROUND(SUMIFS('Odoo Items'!$G$5:$G$4331,'Odoo Items'!$J$5:$J$4331,A532,'Odoo Items'!$C$5:$C$4331,"&lt;="&amp;Cover!$C$13),2)</f>
        <v>0</v>
      </c>
      <c r="O532">
        <f>COUNTIFS('Bank Lines'!$G$5:$G$1640,A532,'Bank Lines'!$J$5:$J$1640,1,'Bank Lines'!$C$5:$C$1640,"&lt;="&amp;Cover!$C$13)</f>
        <v>0</v>
      </c>
      <c r="P532">
        <f>COUNTIFS('Odoo Items'!$J$5:$J$4331,A532,'Odoo Items'!$C$5:$C$4331,"&lt;="&amp;Cover!$C$13)</f>
        <v>0</v>
      </c>
      <c r="Q532">
        <f>IF(AND(O532=0,P532=0),"",IF(O532=0,"ODOO-ONLY",IF(P532=0,"BANK-ONLY","BOTH")))</f>
      </c>
      <c r="R532" s="9">
        <f>IF(Q532="BOTH",ROUND(M532-N532,2),0)</f>
        <v>0</v>
      </c>
      <c r="S532" s="9">
        <f>ROUND(SUMIFS('Bank Lines'!$E$5:$E$1640,'Bank Lines'!$G$5:$G$1640,A532,'Bank Lines'!$J$5:$J$1640,1,'Bank Lines'!$C$5:$C$1640,"&lt;="&amp;Cover!$C$14),2)</f>
        <v>30000</v>
      </c>
      <c r="T532" s="9">
        <f>ROUND(SUMIFS('Odoo Items'!$G$5:$G$4331,'Odoo Items'!$J$5:$J$4331,A532,'Odoo Items'!$C$5:$C$4331,"&lt;="&amp;Cover!$C$14),2)</f>
        <v>30000</v>
      </c>
      <c r="U532">
        <f>COUNTIFS('Bank Lines'!$G$5:$G$1640,A532,'Bank Lines'!$J$5:$J$1640,1,'Bank Lines'!$C$5:$C$1640,"&lt;="&amp;Cover!$C$14)</f>
        <v>1</v>
      </c>
      <c r="V532">
        <f>COUNTIFS('Odoo Items'!$J$5:$J$4331,A532,'Odoo Items'!$C$5:$C$4331,"&lt;="&amp;Cover!$C$14)</f>
        <v>1</v>
      </c>
      <c r="W532" t="str">
        <f>IF(AND(U532=0,V532=0),"",IF(U532=0,"ODOO-ONLY",IF(V532=0,"BANK-ONLY","BOTH")))</f>
        <v>BOTH</v>
      </c>
      <c r="X532" s="9">
        <f>IF(W532="BOTH",ROUND(S532-T532,2),0)</f>
        <v>0</v>
      </c>
      <c r="Y532" s="9">
        <f>ROUND(SUMIFS('Bank Lines'!$E$5:$E$1640,'Bank Lines'!$G$5:$G$1640,A532,'Bank Lines'!$J$5:$J$1640,1,'Bank Lines'!$C$5:$C$1640,"&lt;="&amp;Cover!$C$15),2)</f>
        <v>30000</v>
      </c>
      <c r="Z532" s="9">
        <f>ROUND(SUMIFS('Odoo Items'!$G$5:$G$4331,'Odoo Items'!$J$5:$J$4331,A532,'Odoo Items'!$C$5:$C$4331,"&lt;="&amp;Cover!$C$15),2)</f>
        <v>30000</v>
      </c>
      <c r="AA532">
        <f>COUNTIFS('Bank Lines'!$G$5:$G$1640,A532,'Bank Lines'!$J$5:$J$1640,1,'Bank Lines'!$C$5:$C$1640,"&lt;="&amp;Cover!$C$15)</f>
        <v>1</v>
      </c>
      <c r="AB532">
        <f>COUNTIFS('Odoo Items'!$J$5:$J$4331,A532,'Odoo Items'!$C$5:$C$4331,"&lt;="&amp;Cover!$C$15)</f>
        <v>1</v>
      </c>
      <c r="AC532" t="str">
        <f>IF(AND(AA532=0,AB532=0),"",IF(AA532=0,"ODOO-ONLY",IF(AB532=0,"BANK-ONLY","BOTH")))</f>
        <v>BOTH</v>
      </c>
      <c r="AD532" s="9">
        <f>IF(AC532="BOTH",ROUND(Y532-Z532,2),0)</f>
        <v>0</v>
      </c>
    </row>
    <row r="533">
      <c r="A533" t="inlineStr">
        <is>
          <t>G00529</t>
        </is>
      </c>
      <c r="B533" t="inlineStr">
        <is>
          <t>OPS</t>
        </is>
      </c>
      <c r="C533" t="inlineStr">
        <is>
          <t>R06</t>
        </is>
      </c>
      <c r="D533" t="inlineStr">
        <is>
          <t>MATCH</t>
        </is>
      </c>
      <c r="E533" t="inlineStr"/>
      <c r="G533" t="inlineStr">
        <is>
          <t>10 vendor payments in batch</t>
        </is>
      </c>
      <c r="H533">
        <f>COUNTIFS('Bank Lines'!$G$5:$G$1640,A533,'Bank Lines'!$J$5:$J$1640,1)</f>
        <v>1</v>
      </c>
      <c r="I533">
        <f>COUNTIFS('Odoo Items'!$J$5:$J$4331,A533)</f>
        <v>10</v>
      </c>
      <c r="J533" s="9">
        <f>ROUND(SUMIFS('Bank Lines'!$E$5:$E$1640,'Bank Lines'!$G$5:$G$1640,A533,'Bank Lines'!$J$5:$J$1640,1),2)</f>
        <v>-8526.1</v>
      </c>
      <c r="K533" s="9">
        <f>ROUND(SUMIFS('Odoo Items'!$G$5:$G$4331,'Odoo Items'!$J$5:$J$4331,A533),2)</f>
        <v>-8526.1</v>
      </c>
      <c r="L533" s="9">
        <f>ROUND(J533-K533,2)</f>
        <v>0</v>
      </c>
      <c r="M533" s="9">
        <f>ROUND(SUMIFS('Bank Lines'!$E$5:$E$1640,'Bank Lines'!$G$5:$G$1640,A533,'Bank Lines'!$J$5:$J$1640,1,'Bank Lines'!$C$5:$C$1640,"&lt;="&amp;Cover!$C$13),2)</f>
        <v>0</v>
      </c>
      <c r="N533" s="9">
        <f>ROUND(SUMIFS('Odoo Items'!$G$5:$G$4331,'Odoo Items'!$J$5:$J$4331,A533,'Odoo Items'!$C$5:$C$4331,"&lt;="&amp;Cover!$C$13),2)</f>
        <v>0</v>
      </c>
      <c r="O533">
        <f>COUNTIFS('Bank Lines'!$G$5:$G$1640,A533,'Bank Lines'!$J$5:$J$1640,1,'Bank Lines'!$C$5:$C$1640,"&lt;="&amp;Cover!$C$13)</f>
        <v>0</v>
      </c>
      <c r="P533">
        <f>COUNTIFS('Odoo Items'!$J$5:$J$4331,A533,'Odoo Items'!$C$5:$C$4331,"&lt;="&amp;Cover!$C$13)</f>
        <v>0</v>
      </c>
      <c r="Q533">
        <f>IF(AND(O533=0,P533=0),"",IF(O533=0,"ODOO-ONLY",IF(P533=0,"BANK-ONLY","BOTH")))</f>
      </c>
      <c r="R533" s="9">
        <f>IF(Q533="BOTH",ROUND(M533-N533,2),0)</f>
        <v>0</v>
      </c>
      <c r="S533" s="9">
        <f>ROUND(SUMIFS('Bank Lines'!$E$5:$E$1640,'Bank Lines'!$G$5:$G$1640,A533,'Bank Lines'!$J$5:$J$1640,1,'Bank Lines'!$C$5:$C$1640,"&lt;="&amp;Cover!$C$14),2)</f>
        <v>-8526.1</v>
      </c>
      <c r="T533" s="9">
        <f>ROUND(SUMIFS('Odoo Items'!$G$5:$G$4331,'Odoo Items'!$J$5:$J$4331,A533,'Odoo Items'!$C$5:$C$4331,"&lt;="&amp;Cover!$C$14),2)</f>
        <v>-8526.1</v>
      </c>
      <c r="U533">
        <f>COUNTIFS('Bank Lines'!$G$5:$G$1640,A533,'Bank Lines'!$J$5:$J$1640,1,'Bank Lines'!$C$5:$C$1640,"&lt;="&amp;Cover!$C$14)</f>
        <v>1</v>
      </c>
      <c r="V533">
        <f>COUNTIFS('Odoo Items'!$J$5:$J$4331,A533,'Odoo Items'!$C$5:$C$4331,"&lt;="&amp;Cover!$C$14)</f>
        <v>10</v>
      </c>
      <c r="W533" t="str">
        <f>IF(AND(U533=0,V533=0),"",IF(U533=0,"ODOO-ONLY",IF(V533=0,"BANK-ONLY","BOTH")))</f>
        <v>BOTH</v>
      </c>
      <c r="X533" s="9">
        <f>IF(W533="BOTH",ROUND(S533-T533,2),0)</f>
        <v>0</v>
      </c>
      <c r="Y533" s="9">
        <f>ROUND(SUMIFS('Bank Lines'!$E$5:$E$1640,'Bank Lines'!$G$5:$G$1640,A533,'Bank Lines'!$J$5:$J$1640,1,'Bank Lines'!$C$5:$C$1640,"&lt;="&amp;Cover!$C$15),2)</f>
        <v>-8526.1</v>
      </c>
      <c r="Z533" s="9">
        <f>ROUND(SUMIFS('Odoo Items'!$G$5:$G$4331,'Odoo Items'!$J$5:$J$4331,A533,'Odoo Items'!$C$5:$C$4331,"&lt;="&amp;Cover!$C$15),2)</f>
        <v>-8526.1</v>
      </c>
      <c r="AA533">
        <f>COUNTIFS('Bank Lines'!$G$5:$G$1640,A533,'Bank Lines'!$J$5:$J$1640,1,'Bank Lines'!$C$5:$C$1640,"&lt;="&amp;Cover!$C$15)</f>
        <v>1</v>
      </c>
      <c r="AB533">
        <f>COUNTIFS('Odoo Items'!$J$5:$J$4331,A533,'Odoo Items'!$C$5:$C$4331,"&lt;="&amp;Cover!$C$15)</f>
        <v>10</v>
      </c>
      <c r="AC533" t="str">
        <f>IF(AND(AA533=0,AB533=0),"",IF(AA533=0,"ODOO-ONLY",IF(AB533=0,"BANK-ONLY","BOTH")))</f>
        <v>BOTH</v>
      </c>
      <c r="AD533" s="9">
        <f>IF(AC533="BOTH",ROUND(Y533-Z533,2),0)</f>
        <v>0</v>
      </c>
    </row>
    <row r="534">
      <c r="A534" t="inlineStr">
        <is>
          <t>G00530</t>
        </is>
      </c>
      <c r="B534" t="inlineStr">
        <is>
          <t>OPS</t>
        </is>
      </c>
      <c r="C534" t="inlineStr">
        <is>
          <t>R04</t>
        </is>
      </c>
      <c r="D534" t="inlineStr">
        <is>
          <t>MATCH</t>
        </is>
      </c>
      <c r="E534" t="inlineStr"/>
      <c r="G534" t="inlineStr">
        <is>
          <t>Sweep, same amount</t>
        </is>
      </c>
      <c r="H534">
        <f>COUNTIFS('Bank Lines'!$G$5:$G$1640,A534,'Bank Lines'!$J$5:$J$1640,1)</f>
        <v>1</v>
      </c>
      <c r="I534">
        <f>COUNTIFS('Odoo Items'!$J$5:$J$4331,A534)</f>
        <v>1</v>
      </c>
      <c r="J534" s="9">
        <f>ROUND(SUMIFS('Bank Lines'!$E$5:$E$1640,'Bank Lines'!$G$5:$G$1640,A534,'Bank Lines'!$J$5:$J$1640,1),2)</f>
        <v>34000</v>
      </c>
      <c r="K534" s="9">
        <f>ROUND(SUMIFS('Odoo Items'!$G$5:$G$4331,'Odoo Items'!$J$5:$J$4331,A534),2)</f>
        <v>34000</v>
      </c>
      <c r="L534" s="9">
        <f>ROUND(J534-K534,2)</f>
        <v>0</v>
      </c>
      <c r="M534" s="9">
        <f>ROUND(SUMIFS('Bank Lines'!$E$5:$E$1640,'Bank Lines'!$G$5:$G$1640,A534,'Bank Lines'!$J$5:$J$1640,1,'Bank Lines'!$C$5:$C$1640,"&lt;="&amp;Cover!$C$13),2)</f>
        <v>0</v>
      </c>
      <c r="N534" s="9">
        <f>ROUND(SUMIFS('Odoo Items'!$G$5:$G$4331,'Odoo Items'!$J$5:$J$4331,A534,'Odoo Items'!$C$5:$C$4331,"&lt;="&amp;Cover!$C$13),2)</f>
        <v>0</v>
      </c>
      <c r="O534">
        <f>COUNTIFS('Bank Lines'!$G$5:$G$1640,A534,'Bank Lines'!$J$5:$J$1640,1,'Bank Lines'!$C$5:$C$1640,"&lt;="&amp;Cover!$C$13)</f>
        <v>0</v>
      </c>
      <c r="P534">
        <f>COUNTIFS('Odoo Items'!$J$5:$J$4331,A534,'Odoo Items'!$C$5:$C$4331,"&lt;="&amp;Cover!$C$13)</f>
        <v>0</v>
      </c>
      <c r="Q534">
        <f>IF(AND(O534=0,P534=0),"",IF(O534=0,"ODOO-ONLY",IF(P534=0,"BANK-ONLY","BOTH")))</f>
      </c>
      <c r="R534" s="9">
        <f>IF(Q534="BOTH",ROUND(M534-N534,2),0)</f>
        <v>0</v>
      </c>
      <c r="S534" s="9">
        <f>ROUND(SUMIFS('Bank Lines'!$E$5:$E$1640,'Bank Lines'!$G$5:$G$1640,A534,'Bank Lines'!$J$5:$J$1640,1,'Bank Lines'!$C$5:$C$1640,"&lt;="&amp;Cover!$C$14),2)</f>
        <v>34000</v>
      </c>
      <c r="T534" s="9">
        <f>ROUND(SUMIFS('Odoo Items'!$G$5:$G$4331,'Odoo Items'!$J$5:$J$4331,A534,'Odoo Items'!$C$5:$C$4331,"&lt;="&amp;Cover!$C$14),2)</f>
        <v>34000</v>
      </c>
      <c r="U534">
        <f>COUNTIFS('Bank Lines'!$G$5:$G$1640,A534,'Bank Lines'!$J$5:$J$1640,1,'Bank Lines'!$C$5:$C$1640,"&lt;="&amp;Cover!$C$14)</f>
        <v>1</v>
      </c>
      <c r="V534">
        <f>COUNTIFS('Odoo Items'!$J$5:$J$4331,A534,'Odoo Items'!$C$5:$C$4331,"&lt;="&amp;Cover!$C$14)</f>
        <v>1</v>
      </c>
      <c r="W534" t="str">
        <f>IF(AND(U534=0,V534=0),"",IF(U534=0,"ODOO-ONLY",IF(V534=0,"BANK-ONLY","BOTH")))</f>
        <v>BOTH</v>
      </c>
      <c r="X534" s="9">
        <f>IF(W534="BOTH",ROUND(S534-T534,2),0)</f>
        <v>0</v>
      </c>
      <c r="Y534" s="9">
        <f>ROUND(SUMIFS('Bank Lines'!$E$5:$E$1640,'Bank Lines'!$G$5:$G$1640,A534,'Bank Lines'!$J$5:$J$1640,1,'Bank Lines'!$C$5:$C$1640,"&lt;="&amp;Cover!$C$15),2)</f>
        <v>34000</v>
      </c>
      <c r="Z534" s="9">
        <f>ROUND(SUMIFS('Odoo Items'!$G$5:$G$4331,'Odoo Items'!$J$5:$J$4331,A534,'Odoo Items'!$C$5:$C$4331,"&lt;="&amp;Cover!$C$15),2)</f>
        <v>34000</v>
      </c>
      <c r="AA534">
        <f>COUNTIFS('Bank Lines'!$G$5:$G$1640,A534,'Bank Lines'!$J$5:$J$1640,1,'Bank Lines'!$C$5:$C$1640,"&lt;="&amp;Cover!$C$15)</f>
        <v>1</v>
      </c>
      <c r="AB534">
        <f>COUNTIFS('Odoo Items'!$J$5:$J$4331,A534,'Odoo Items'!$C$5:$C$4331,"&lt;="&amp;Cover!$C$15)</f>
        <v>1</v>
      </c>
      <c r="AC534" t="str">
        <f>IF(AND(AA534=0,AB534=0),"",IF(AA534=0,"ODOO-ONLY",IF(AB534=0,"BANK-ONLY","BOTH")))</f>
        <v>BOTH</v>
      </c>
      <c r="AD534" s="9">
        <f>IF(AC534="BOTH",ROUND(Y534-Z534,2),0)</f>
        <v>0</v>
      </c>
    </row>
    <row r="535">
      <c r="A535" t="inlineStr">
        <is>
          <t>G00531</t>
        </is>
      </c>
      <c r="B535" t="inlineStr">
        <is>
          <t>OPS</t>
        </is>
      </c>
      <c r="C535" t="inlineStr">
        <is>
          <t>R06</t>
        </is>
      </c>
      <c r="D535" t="inlineStr">
        <is>
          <t>MATCH</t>
        </is>
      </c>
      <c r="E535" t="inlineStr"/>
      <c r="G535" t="inlineStr">
        <is>
          <t>12 vendor payments in batch</t>
        </is>
      </c>
      <c r="H535">
        <f>COUNTIFS('Bank Lines'!$G$5:$G$1640,A535,'Bank Lines'!$J$5:$J$1640,1)</f>
        <v>1</v>
      </c>
      <c r="I535">
        <f>COUNTIFS('Odoo Items'!$J$5:$J$4331,A535)</f>
        <v>12</v>
      </c>
      <c r="J535" s="9">
        <f>ROUND(SUMIFS('Bank Lines'!$E$5:$E$1640,'Bank Lines'!$G$5:$G$1640,A535,'Bank Lines'!$J$5:$J$1640,1),2)</f>
        <v>-26011.7</v>
      </c>
      <c r="K535" s="9">
        <f>ROUND(SUMIFS('Odoo Items'!$G$5:$G$4331,'Odoo Items'!$J$5:$J$4331,A535),2)</f>
        <v>-26011.7</v>
      </c>
      <c r="L535" s="9">
        <f>ROUND(J535-K535,2)</f>
        <v>0</v>
      </c>
      <c r="M535" s="9">
        <f>ROUND(SUMIFS('Bank Lines'!$E$5:$E$1640,'Bank Lines'!$G$5:$G$1640,A535,'Bank Lines'!$J$5:$J$1640,1,'Bank Lines'!$C$5:$C$1640,"&lt;="&amp;Cover!$C$13),2)</f>
        <v>0</v>
      </c>
      <c r="N535" s="9">
        <f>ROUND(SUMIFS('Odoo Items'!$G$5:$G$4331,'Odoo Items'!$J$5:$J$4331,A535,'Odoo Items'!$C$5:$C$4331,"&lt;="&amp;Cover!$C$13),2)</f>
        <v>0</v>
      </c>
      <c r="O535">
        <f>COUNTIFS('Bank Lines'!$G$5:$G$1640,A535,'Bank Lines'!$J$5:$J$1640,1,'Bank Lines'!$C$5:$C$1640,"&lt;="&amp;Cover!$C$13)</f>
        <v>0</v>
      </c>
      <c r="P535">
        <f>COUNTIFS('Odoo Items'!$J$5:$J$4331,A535,'Odoo Items'!$C$5:$C$4331,"&lt;="&amp;Cover!$C$13)</f>
        <v>0</v>
      </c>
      <c r="Q535">
        <f>IF(AND(O535=0,P535=0),"",IF(O535=0,"ODOO-ONLY",IF(P535=0,"BANK-ONLY","BOTH")))</f>
      </c>
      <c r="R535" s="9">
        <f>IF(Q535="BOTH",ROUND(M535-N535,2),0)</f>
        <v>0</v>
      </c>
      <c r="S535" s="9">
        <f>ROUND(SUMIFS('Bank Lines'!$E$5:$E$1640,'Bank Lines'!$G$5:$G$1640,A535,'Bank Lines'!$J$5:$J$1640,1,'Bank Lines'!$C$5:$C$1640,"&lt;="&amp;Cover!$C$14),2)</f>
        <v>-26011.7</v>
      </c>
      <c r="T535" s="9">
        <f>ROUND(SUMIFS('Odoo Items'!$G$5:$G$4331,'Odoo Items'!$J$5:$J$4331,A535,'Odoo Items'!$C$5:$C$4331,"&lt;="&amp;Cover!$C$14),2)</f>
        <v>-26011.7</v>
      </c>
      <c r="U535">
        <f>COUNTIFS('Bank Lines'!$G$5:$G$1640,A535,'Bank Lines'!$J$5:$J$1640,1,'Bank Lines'!$C$5:$C$1640,"&lt;="&amp;Cover!$C$14)</f>
        <v>1</v>
      </c>
      <c r="V535">
        <f>COUNTIFS('Odoo Items'!$J$5:$J$4331,A535,'Odoo Items'!$C$5:$C$4331,"&lt;="&amp;Cover!$C$14)</f>
        <v>12</v>
      </c>
      <c r="W535" t="str">
        <f>IF(AND(U535=0,V535=0),"",IF(U535=0,"ODOO-ONLY",IF(V535=0,"BANK-ONLY","BOTH")))</f>
        <v>BOTH</v>
      </c>
      <c r="X535" s="9">
        <f>IF(W535="BOTH",ROUND(S535-T535,2),0)</f>
        <v>0</v>
      </c>
      <c r="Y535" s="9">
        <f>ROUND(SUMIFS('Bank Lines'!$E$5:$E$1640,'Bank Lines'!$G$5:$G$1640,A535,'Bank Lines'!$J$5:$J$1640,1,'Bank Lines'!$C$5:$C$1640,"&lt;="&amp;Cover!$C$15),2)</f>
        <v>-26011.7</v>
      </c>
      <c r="Z535" s="9">
        <f>ROUND(SUMIFS('Odoo Items'!$G$5:$G$4331,'Odoo Items'!$J$5:$J$4331,A535,'Odoo Items'!$C$5:$C$4331,"&lt;="&amp;Cover!$C$15),2)</f>
        <v>-26011.7</v>
      </c>
      <c r="AA535">
        <f>COUNTIFS('Bank Lines'!$G$5:$G$1640,A535,'Bank Lines'!$J$5:$J$1640,1,'Bank Lines'!$C$5:$C$1640,"&lt;="&amp;Cover!$C$15)</f>
        <v>1</v>
      </c>
      <c r="AB535">
        <f>COUNTIFS('Odoo Items'!$J$5:$J$4331,A535,'Odoo Items'!$C$5:$C$4331,"&lt;="&amp;Cover!$C$15)</f>
        <v>12</v>
      </c>
      <c r="AC535" t="str">
        <f>IF(AND(AA535=0,AB535=0),"",IF(AA535=0,"ODOO-ONLY",IF(AB535=0,"BANK-ONLY","BOTH")))</f>
        <v>BOTH</v>
      </c>
      <c r="AD535" s="9">
        <f>IF(AC535="BOTH",ROUND(Y535-Z535,2),0)</f>
        <v>0</v>
      </c>
    </row>
    <row r="536">
      <c r="A536" t="inlineStr">
        <is>
          <t>G00532</t>
        </is>
      </c>
      <c r="B536" t="inlineStr">
        <is>
          <t>OPS</t>
        </is>
      </c>
      <c r="C536" t="inlineStr">
        <is>
          <t>R04</t>
        </is>
      </c>
      <c r="D536" t="inlineStr">
        <is>
          <t>MATCH</t>
        </is>
      </c>
      <c r="E536" t="inlineStr"/>
      <c r="G536" t="inlineStr">
        <is>
          <t>Reference PR260827</t>
        </is>
      </c>
      <c r="H536">
        <f>COUNTIFS('Bank Lines'!$G$5:$G$1640,A536,'Bank Lines'!$J$5:$J$1640,1)</f>
        <v>1</v>
      </c>
      <c r="I536">
        <f>COUNTIFS('Odoo Items'!$J$5:$J$4331,A536)</f>
        <v>1</v>
      </c>
      <c r="J536" s="9">
        <f>ROUND(SUMIFS('Bank Lines'!$E$5:$E$1640,'Bank Lines'!$G$5:$G$1640,A536,'Bank Lines'!$J$5:$J$1640,1),2)</f>
        <v>-166350.27</v>
      </c>
      <c r="K536" s="9">
        <f>ROUND(SUMIFS('Odoo Items'!$G$5:$G$4331,'Odoo Items'!$J$5:$J$4331,A536),2)</f>
        <v>-166350.27</v>
      </c>
      <c r="L536" s="9">
        <f>ROUND(J536-K536,2)</f>
        <v>0</v>
      </c>
      <c r="M536" s="9">
        <f>ROUND(SUMIFS('Bank Lines'!$E$5:$E$1640,'Bank Lines'!$G$5:$G$1640,A536,'Bank Lines'!$J$5:$J$1640,1,'Bank Lines'!$C$5:$C$1640,"&lt;="&amp;Cover!$C$13),2)</f>
        <v>0</v>
      </c>
      <c r="N536" s="9">
        <f>ROUND(SUMIFS('Odoo Items'!$G$5:$G$4331,'Odoo Items'!$J$5:$J$4331,A536,'Odoo Items'!$C$5:$C$4331,"&lt;="&amp;Cover!$C$13),2)</f>
        <v>0</v>
      </c>
      <c r="O536">
        <f>COUNTIFS('Bank Lines'!$G$5:$G$1640,A536,'Bank Lines'!$J$5:$J$1640,1,'Bank Lines'!$C$5:$C$1640,"&lt;="&amp;Cover!$C$13)</f>
        <v>0</v>
      </c>
      <c r="P536">
        <f>COUNTIFS('Odoo Items'!$J$5:$J$4331,A536,'Odoo Items'!$C$5:$C$4331,"&lt;="&amp;Cover!$C$13)</f>
        <v>0</v>
      </c>
      <c r="Q536">
        <f>IF(AND(O536=0,P536=0),"",IF(O536=0,"ODOO-ONLY",IF(P536=0,"BANK-ONLY","BOTH")))</f>
      </c>
      <c r="R536" s="9">
        <f>IF(Q536="BOTH",ROUND(M536-N536,2),0)</f>
        <v>0</v>
      </c>
      <c r="S536" s="9">
        <f>ROUND(SUMIFS('Bank Lines'!$E$5:$E$1640,'Bank Lines'!$G$5:$G$1640,A536,'Bank Lines'!$J$5:$J$1640,1,'Bank Lines'!$C$5:$C$1640,"&lt;="&amp;Cover!$C$14),2)</f>
        <v>-166350.27</v>
      </c>
      <c r="T536" s="9">
        <f>ROUND(SUMIFS('Odoo Items'!$G$5:$G$4331,'Odoo Items'!$J$5:$J$4331,A536,'Odoo Items'!$C$5:$C$4331,"&lt;="&amp;Cover!$C$14),2)</f>
        <v>-166350.27</v>
      </c>
      <c r="U536">
        <f>COUNTIFS('Bank Lines'!$G$5:$G$1640,A536,'Bank Lines'!$J$5:$J$1640,1,'Bank Lines'!$C$5:$C$1640,"&lt;="&amp;Cover!$C$14)</f>
        <v>1</v>
      </c>
      <c r="V536">
        <f>COUNTIFS('Odoo Items'!$J$5:$J$4331,A536,'Odoo Items'!$C$5:$C$4331,"&lt;="&amp;Cover!$C$14)</f>
        <v>1</v>
      </c>
      <c r="W536" t="str">
        <f>IF(AND(U536=0,V536=0),"",IF(U536=0,"ODOO-ONLY",IF(V536=0,"BANK-ONLY","BOTH")))</f>
        <v>BOTH</v>
      </c>
      <c r="X536" s="9">
        <f>IF(W536="BOTH",ROUND(S536-T536,2),0)</f>
        <v>0</v>
      </c>
      <c r="Y536" s="9">
        <f>ROUND(SUMIFS('Bank Lines'!$E$5:$E$1640,'Bank Lines'!$G$5:$G$1640,A536,'Bank Lines'!$J$5:$J$1640,1,'Bank Lines'!$C$5:$C$1640,"&lt;="&amp;Cover!$C$15),2)</f>
        <v>-166350.27</v>
      </c>
      <c r="Z536" s="9">
        <f>ROUND(SUMIFS('Odoo Items'!$G$5:$G$4331,'Odoo Items'!$J$5:$J$4331,A536,'Odoo Items'!$C$5:$C$4331,"&lt;="&amp;Cover!$C$15),2)</f>
        <v>-166350.27</v>
      </c>
      <c r="AA536">
        <f>COUNTIFS('Bank Lines'!$G$5:$G$1640,A536,'Bank Lines'!$J$5:$J$1640,1,'Bank Lines'!$C$5:$C$1640,"&lt;="&amp;Cover!$C$15)</f>
        <v>1</v>
      </c>
      <c r="AB536">
        <f>COUNTIFS('Odoo Items'!$J$5:$J$4331,A536,'Odoo Items'!$C$5:$C$4331,"&lt;="&amp;Cover!$C$15)</f>
        <v>1</v>
      </c>
      <c r="AC536" t="str">
        <f>IF(AND(AA536=0,AB536=0),"",IF(AA536=0,"ODOO-ONLY",IF(AB536=0,"BANK-ONLY","BOTH")))</f>
        <v>BOTH</v>
      </c>
      <c r="AD536" s="9">
        <f>IF(AC536="BOTH",ROUND(Y536-Z536,2),0)</f>
        <v>0</v>
      </c>
    </row>
    <row r="537">
      <c r="A537" t="inlineStr">
        <is>
          <t>G00533</t>
        </is>
      </c>
      <c r="B537" t="inlineStr">
        <is>
          <t>OPS</t>
        </is>
      </c>
      <c r="C537" t="inlineStr">
        <is>
          <t>R04</t>
        </is>
      </c>
      <c r="D537" t="inlineStr">
        <is>
          <t>MATCH</t>
        </is>
      </c>
      <c r="E537" t="inlineStr"/>
      <c r="G537" t="inlineStr">
        <is>
          <t>Sweep, same amount</t>
        </is>
      </c>
      <c r="H537">
        <f>COUNTIFS('Bank Lines'!$G$5:$G$1640,A537,'Bank Lines'!$J$5:$J$1640,1)</f>
        <v>1</v>
      </c>
      <c r="I537">
        <f>COUNTIFS('Odoo Items'!$J$5:$J$4331,A537)</f>
        <v>1</v>
      </c>
      <c r="J537" s="9">
        <f>ROUND(SUMIFS('Bank Lines'!$E$5:$E$1640,'Bank Lines'!$G$5:$G$1640,A537,'Bank Lines'!$J$5:$J$1640,1),2)</f>
        <v>34000</v>
      </c>
      <c r="K537" s="9">
        <f>ROUND(SUMIFS('Odoo Items'!$G$5:$G$4331,'Odoo Items'!$J$5:$J$4331,A537),2)</f>
        <v>34000</v>
      </c>
      <c r="L537" s="9">
        <f>ROUND(J537-K537,2)</f>
        <v>0</v>
      </c>
      <c r="M537" s="9">
        <f>ROUND(SUMIFS('Bank Lines'!$E$5:$E$1640,'Bank Lines'!$G$5:$G$1640,A537,'Bank Lines'!$J$5:$J$1640,1,'Bank Lines'!$C$5:$C$1640,"&lt;="&amp;Cover!$C$13),2)</f>
        <v>0</v>
      </c>
      <c r="N537" s="9">
        <f>ROUND(SUMIFS('Odoo Items'!$G$5:$G$4331,'Odoo Items'!$J$5:$J$4331,A537,'Odoo Items'!$C$5:$C$4331,"&lt;="&amp;Cover!$C$13),2)</f>
        <v>0</v>
      </c>
      <c r="O537">
        <f>COUNTIFS('Bank Lines'!$G$5:$G$1640,A537,'Bank Lines'!$J$5:$J$1640,1,'Bank Lines'!$C$5:$C$1640,"&lt;="&amp;Cover!$C$13)</f>
        <v>0</v>
      </c>
      <c r="P537">
        <f>COUNTIFS('Odoo Items'!$J$5:$J$4331,A537,'Odoo Items'!$C$5:$C$4331,"&lt;="&amp;Cover!$C$13)</f>
        <v>0</v>
      </c>
      <c r="Q537">
        <f>IF(AND(O537=0,P537=0),"",IF(O537=0,"ODOO-ONLY",IF(P537=0,"BANK-ONLY","BOTH")))</f>
      </c>
      <c r="R537" s="9">
        <f>IF(Q537="BOTH",ROUND(M537-N537,2),0)</f>
        <v>0</v>
      </c>
      <c r="S537" s="9">
        <f>ROUND(SUMIFS('Bank Lines'!$E$5:$E$1640,'Bank Lines'!$G$5:$G$1640,A537,'Bank Lines'!$J$5:$J$1640,1,'Bank Lines'!$C$5:$C$1640,"&lt;="&amp;Cover!$C$14),2)</f>
        <v>34000</v>
      </c>
      <c r="T537" s="9">
        <f>ROUND(SUMIFS('Odoo Items'!$G$5:$G$4331,'Odoo Items'!$J$5:$J$4331,A537,'Odoo Items'!$C$5:$C$4331,"&lt;="&amp;Cover!$C$14),2)</f>
        <v>0</v>
      </c>
      <c r="U537">
        <f>COUNTIFS('Bank Lines'!$G$5:$G$1640,A537,'Bank Lines'!$J$5:$J$1640,1,'Bank Lines'!$C$5:$C$1640,"&lt;="&amp;Cover!$C$14)</f>
        <v>1</v>
      </c>
      <c r="V537">
        <f>COUNTIFS('Odoo Items'!$J$5:$J$4331,A537,'Odoo Items'!$C$5:$C$4331,"&lt;="&amp;Cover!$C$14)</f>
        <v>0</v>
      </c>
      <c r="W537" t="str">
        <f>IF(AND(U537=0,V537=0),"",IF(U537=0,"ODOO-ONLY",IF(V537=0,"BANK-ONLY","BOTH")))</f>
        <v>BANK-ONLY</v>
      </c>
      <c r="X537" s="9">
        <f>IF(W537="BOTH",ROUND(S537-T537,2),0)</f>
        <v>0</v>
      </c>
      <c r="Y537" s="9">
        <f>ROUND(SUMIFS('Bank Lines'!$E$5:$E$1640,'Bank Lines'!$G$5:$G$1640,A537,'Bank Lines'!$J$5:$J$1640,1,'Bank Lines'!$C$5:$C$1640,"&lt;="&amp;Cover!$C$15),2)</f>
        <v>34000</v>
      </c>
      <c r="Z537" s="9">
        <f>ROUND(SUMIFS('Odoo Items'!$G$5:$G$4331,'Odoo Items'!$J$5:$J$4331,A537,'Odoo Items'!$C$5:$C$4331,"&lt;="&amp;Cover!$C$15),2)</f>
        <v>34000</v>
      </c>
      <c r="AA537">
        <f>COUNTIFS('Bank Lines'!$G$5:$G$1640,A537,'Bank Lines'!$J$5:$J$1640,1,'Bank Lines'!$C$5:$C$1640,"&lt;="&amp;Cover!$C$15)</f>
        <v>1</v>
      </c>
      <c r="AB537">
        <f>COUNTIFS('Odoo Items'!$J$5:$J$4331,A537,'Odoo Items'!$C$5:$C$4331,"&lt;="&amp;Cover!$C$15)</f>
        <v>1</v>
      </c>
      <c r="AC537" t="str">
        <f>IF(AND(AA537=0,AB537=0),"",IF(AA537=0,"ODOO-ONLY",IF(AB537=0,"BANK-ONLY","BOTH")))</f>
        <v>BOTH</v>
      </c>
      <c r="AD537" s="9">
        <f>IF(AC537="BOTH",ROUND(Y537-Z537,2),0)</f>
        <v>0</v>
      </c>
    </row>
    <row r="538">
      <c r="A538" t="inlineStr">
        <is>
          <t>G00534</t>
        </is>
      </c>
      <c r="B538" t="inlineStr">
        <is>
          <t>OPS</t>
        </is>
      </c>
      <c r="C538" t="inlineStr">
        <is>
          <t>R06</t>
        </is>
      </c>
      <c r="D538" t="inlineStr">
        <is>
          <t>MATCH</t>
        </is>
      </c>
      <c r="E538" t="inlineStr"/>
      <c r="G538" t="inlineStr">
        <is>
          <t>11 vendor payments in batch</t>
        </is>
      </c>
      <c r="H538">
        <f>COUNTIFS('Bank Lines'!$G$5:$G$1640,A538,'Bank Lines'!$J$5:$J$1640,1)</f>
        <v>1</v>
      </c>
      <c r="I538">
        <f>COUNTIFS('Odoo Items'!$J$5:$J$4331,A538)</f>
        <v>11</v>
      </c>
      <c r="J538" s="9">
        <f>ROUND(SUMIFS('Bank Lines'!$E$5:$E$1640,'Bank Lines'!$G$5:$G$1640,A538,'Bank Lines'!$J$5:$J$1640,1),2)</f>
        <v>-15257</v>
      </c>
      <c r="K538" s="9">
        <f>ROUND(SUMIFS('Odoo Items'!$G$5:$G$4331,'Odoo Items'!$J$5:$J$4331,A538),2)</f>
        <v>-15257</v>
      </c>
      <c r="L538" s="9">
        <f>ROUND(J538-K538,2)</f>
        <v>0</v>
      </c>
      <c r="M538" s="9">
        <f>ROUND(SUMIFS('Bank Lines'!$E$5:$E$1640,'Bank Lines'!$G$5:$G$1640,A538,'Bank Lines'!$J$5:$J$1640,1,'Bank Lines'!$C$5:$C$1640,"&lt;="&amp;Cover!$C$13),2)</f>
        <v>0</v>
      </c>
      <c r="N538" s="9">
        <f>ROUND(SUMIFS('Odoo Items'!$G$5:$G$4331,'Odoo Items'!$J$5:$J$4331,A538,'Odoo Items'!$C$5:$C$4331,"&lt;="&amp;Cover!$C$13),2)</f>
        <v>0</v>
      </c>
      <c r="O538">
        <f>COUNTIFS('Bank Lines'!$G$5:$G$1640,A538,'Bank Lines'!$J$5:$J$1640,1,'Bank Lines'!$C$5:$C$1640,"&lt;="&amp;Cover!$C$13)</f>
        <v>0</v>
      </c>
      <c r="P538">
        <f>COUNTIFS('Odoo Items'!$J$5:$J$4331,A538,'Odoo Items'!$C$5:$C$4331,"&lt;="&amp;Cover!$C$13)</f>
        <v>0</v>
      </c>
      <c r="Q538">
        <f>IF(AND(O538=0,P538=0),"",IF(O538=0,"ODOO-ONLY",IF(P538=0,"BANK-ONLY","BOTH")))</f>
      </c>
      <c r="R538" s="9">
        <f>IF(Q538="BOTH",ROUND(M538-N538,2),0)</f>
        <v>0</v>
      </c>
      <c r="S538" s="9">
        <f>ROUND(SUMIFS('Bank Lines'!$E$5:$E$1640,'Bank Lines'!$G$5:$G$1640,A538,'Bank Lines'!$J$5:$J$1640,1,'Bank Lines'!$C$5:$C$1640,"&lt;="&amp;Cover!$C$14),2)</f>
        <v>0</v>
      </c>
      <c r="T538" s="9">
        <f>ROUND(SUMIFS('Odoo Items'!$G$5:$G$4331,'Odoo Items'!$J$5:$J$4331,A538,'Odoo Items'!$C$5:$C$4331,"&lt;="&amp;Cover!$C$14),2)</f>
        <v>0</v>
      </c>
      <c r="U538">
        <f>COUNTIFS('Bank Lines'!$G$5:$G$1640,A538,'Bank Lines'!$J$5:$J$1640,1,'Bank Lines'!$C$5:$C$1640,"&lt;="&amp;Cover!$C$14)</f>
        <v>0</v>
      </c>
      <c r="V538">
        <f>COUNTIFS('Odoo Items'!$J$5:$J$4331,A538,'Odoo Items'!$C$5:$C$4331,"&lt;="&amp;Cover!$C$14)</f>
        <v>0</v>
      </c>
      <c r="W538">
        <f>IF(AND(U538=0,V538=0),"",IF(U538=0,"ODOO-ONLY",IF(V538=0,"BANK-ONLY","BOTH")))</f>
      </c>
      <c r="X538" s="9">
        <f>IF(W538="BOTH",ROUND(S538-T538,2),0)</f>
        <v>0</v>
      </c>
      <c r="Y538" s="9">
        <f>ROUND(SUMIFS('Bank Lines'!$E$5:$E$1640,'Bank Lines'!$G$5:$G$1640,A538,'Bank Lines'!$J$5:$J$1640,1,'Bank Lines'!$C$5:$C$1640,"&lt;="&amp;Cover!$C$15),2)</f>
        <v>-15257</v>
      </c>
      <c r="Z538" s="9">
        <f>ROUND(SUMIFS('Odoo Items'!$G$5:$G$4331,'Odoo Items'!$J$5:$J$4331,A538,'Odoo Items'!$C$5:$C$4331,"&lt;="&amp;Cover!$C$15),2)</f>
        <v>-15257</v>
      </c>
      <c r="AA538">
        <f>COUNTIFS('Bank Lines'!$G$5:$G$1640,A538,'Bank Lines'!$J$5:$J$1640,1,'Bank Lines'!$C$5:$C$1640,"&lt;="&amp;Cover!$C$15)</f>
        <v>1</v>
      </c>
      <c r="AB538">
        <f>COUNTIFS('Odoo Items'!$J$5:$J$4331,A538,'Odoo Items'!$C$5:$C$4331,"&lt;="&amp;Cover!$C$15)</f>
        <v>11</v>
      </c>
      <c r="AC538" t="str">
        <f>IF(AND(AA538=0,AB538=0),"",IF(AA538=0,"ODOO-ONLY",IF(AB538=0,"BANK-ONLY","BOTH")))</f>
        <v>BOTH</v>
      </c>
      <c r="AD538" s="9">
        <f>IF(AC538="BOTH",ROUND(Y538-Z538,2),0)</f>
        <v>0</v>
      </c>
    </row>
    <row r="539">
      <c r="A539" t="inlineStr">
        <is>
          <t>G00535</t>
        </is>
      </c>
      <c r="B539" t="inlineStr">
        <is>
          <t>OPS</t>
        </is>
      </c>
      <c r="C539" t="inlineStr">
        <is>
          <t>R07</t>
        </is>
      </c>
      <c r="D539" t="inlineStr">
        <is>
          <t>MATCH</t>
        </is>
      </c>
      <c r="E539" t="inlineStr"/>
      <c r="G539" t="inlineStr">
        <is>
          <t>Cheque 000408</t>
        </is>
      </c>
      <c r="H539">
        <f>COUNTIFS('Bank Lines'!$G$5:$G$1640,A539,'Bank Lines'!$J$5:$J$1640,1)</f>
        <v>1</v>
      </c>
      <c r="I539">
        <f>COUNTIFS('Odoo Items'!$J$5:$J$4331,A539)</f>
        <v>1</v>
      </c>
      <c r="J539" s="9">
        <f>ROUND(SUMIFS('Bank Lines'!$E$5:$E$1640,'Bank Lines'!$G$5:$G$1640,A539,'Bank Lines'!$J$5:$J$1640,1),2)</f>
        <v>-132</v>
      </c>
      <c r="K539" s="9">
        <f>ROUND(SUMIFS('Odoo Items'!$G$5:$G$4331,'Odoo Items'!$J$5:$J$4331,A539),2)</f>
        <v>-132</v>
      </c>
      <c r="L539" s="9">
        <f>ROUND(J539-K539,2)</f>
        <v>0</v>
      </c>
      <c r="M539" s="9">
        <f>ROUND(SUMIFS('Bank Lines'!$E$5:$E$1640,'Bank Lines'!$G$5:$G$1640,A539,'Bank Lines'!$J$5:$J$1640,1,'Bank Lines'!$C$5:$C$1640,"&lt;="&amp;Cover!$C$13),2)</f>
        <v>0</v>
      </c>
      <c r="N539" s="9">
        <f>ROUND(SUMIFS('Odoo Items'!$G$5:$G$4331,'Odoo Items'!$J$5:$J$4331,A539,'Odoo Items'!$C$5:$C$4331,"&lt;="&amp;Cover!$C$13),2)</f>
        <v>0</v>
      </c>
      <c r="O539">
        <f>COUNTIFS('Bank Lines'!$G$5:$G$1640,A539,'Bank Lines'!$J$5:$J$1640,1,'Bank Lines'!$C$5:$C$1640,"&lt;="&amp;Cover!$C$13)</f>
        <v>0</v>
      </c>
      <c r="P539">
        <f>COUNTIFS('Odoo Items'!$J$5:$J$4331,A539,'Odoo Items'!$C$5:$C$4331,"&lt;="&amp;Cover!$C$13)</f>
        <v>0</v>
      </c>
      <c r="Q539">
        <f>IF(AND(O539=0,P539=0),"",IF(O539=0,"ODOO-ONLY",IF(P539=0,"BANK-ONLY","BOTH")))</f>
      </c>
      <c r="R539" s="9">
        <f>IF(Q539="BOTH",ROUND(M539-N539,2),0)</f>
        <v>0</v>
      </c>
      <c r="S539" s="9">
        <f>ROUND(SUMIFS('Bank Lines'!$E$5:$E$1640,'Bank Lines'!$G$5:$G$1640,A539,'Bank Lines'!$J$5:$J$1640,1,'Bank Lines'!$C$5:$C$1640,"&lt;="&amp;Cover!$C$14),2)</f>
        <v>0</v>
      </c>
      <c r="T539" s="9">
        <f>ROUND(SUMIFS('Odoo Items'!$G$5:$G$4331,'Odoo Items'!$J$5:$J$4331,A539,'Odoo Items'!$C$5:$C$4331,"&lt;="&amp;Cover!$C$14),2)</f>
        <v>-132</v>
      </c>
      <c r="U539">
        <f>COUNTIFS('Bank Lines'!$G$5:$G$1640,A539,'Bank Lines'!$J$5:$J$1640,1,'Bank Lines'!$C$5:$C$1640,"&lt;="&amp;Cover!$C$14)</f>
        <v>0</v>
      </c>
      <c r="V539">
        <f>COUNTIFS('Odoo Items'!$J$5:$J$4331,A539,'Odoo Items'!$C$5:$C$4331,"&lt;="&amp;Cover!$C$14)</f>
        <v>1</v>
      </c>
      <c r="W539" t="str">
        <f>IF(AND(U539=0,V539=0),"",IF(U539=0,"ODOO-ONLY",IF(V539=0,"BANK-ONLY","BOTH")))</f>
        <v>ODOO-ONLY</v>
      </c>
      <c r="X539" s="9">
        <f>IF(W539="BOTH",ROUND(S539-T539,2),0)</f>
        <v>0</v>
      </c>
      <c r="Y539" s="9">
        <f>ROUND(SUMIFS('Bank Lines'!$E$5:$E$1640,'Bank Lines'!$G$5:$G$1640,A539,'Bank Lines'!$J$5:$J$1640,1,'Bank Lines'!$C$5:$C$1640,"&lt;="&amp;Cover!$C$15),2)</f>
        <v>-132</v>
      </c>
      <c r="Z539" s="9">
        <f>ROUND(SUMIFS('Odoo Items'!$G$5:$G$4331,'Odoo Items'!$J$5:$J$4331,A539,'Odoo Items'!$C$5:$C$4331,"&lt;="&amp;Cover!$C$15),2)</f>
        <v>-132</v>
      </c>
      <c r="AA539">
        <f>COUNTIFS('Bank Lines'!$G$5:$G$1640,A539,'Bank Lines'!$J$5:$J$1640,1,'Bank Lines'!$C$5:$C$1640,"&lt;="&amp;Cover!$C$15)</f>
        <v>1</v>
      </c>
      <c r="AB539">
        <f>COUNTIFS('Odoo Items'!$J$5:$J$4331,A539,'Odoo Items'!$C$5:$C$4331,"&lt;="&amp;Cover!$C$15)</f>
        <v>1</v>
      </c>
      <c r="AC539" t="str">
        <f>IF(AND(AA539=0,AB539=0),"",IF(AA539=0,"ODOO-ONLY",IF(AB539=0,"BANK-ONLY","BOTH")))</f>
        <v>BOTH</v>
      </c>
      <c r="AD539" s="9">
        <f>IF(AC539="BOTH",ROUND(Y539-Z539,2),0)</f>
        <v>0</v>
      </c>
    </row>
    <row r="540">
      <c r="A540" t="inlineStr">
        <is>
          <t>G00536</t>
        </is>
      </c>
      <c r="B540" t="inlineStr">
        <is>
          <t>OPS</t>
        </is>
      </c>
      <c r="C540" t="inlineStr">
        <is>
          <t>R04</t>
        </is>
      </c>
      <c r="D540" t="inlineStr">
        <is>
          <t>MATCH</t>
        </is>
      </c>
      <c r="E540" t="inlineStr"/>
      <c r="G540" t="inlineStr">
        <is>
          <t>Sweep, same amount</t>
        </is>
      </c>
      <c r="H540">
        <f>COUNTIFS('Bank Lines'!$G$5:$G$1640,A540,'Bank Lines'!$J$5:$J$1640,1)</f>
        <v>1</v>
      </c>
      <c r="I540">
        <f>COUNTIFS('Odoo Items'!$J$5:$J$4331,A540)</f>
        <v>1</v>
      </c>
      <c r="J540" s="9">
        <f>ROUND(SUMIFS('Bank Lines'!$E$5:$E$1640,'Bank Lines'!$G$5:$G$1640,A540,'Bank Lines'!$J$5:$J$1640,1),2)</f>
        <v>22000</v>
      </c>
      <c r="K540" s="9">
        <f>ROUND(SUMIFS('Odoo Items'!$G$5:$G$4331,'Odoo Items'!$J$5:$J$4331,A540),2)</f>
        <v>22000</v>
      </c>
      <c r="L540" s="9">
        <f>ROUND(J540-K540,2)</f>
        <v>0</v>
      </c>
      <c r="M540" s="9">
        <f>ROUND(SUMIFS('Bank Lines'!$E$5:$E$1640,'Bank Lines'!$G$5:$G$1640,A540,'Bank Lines'!$J$5:$J$1640,1,'Bank Lines'!$C$5:$C$1640,"&lt;="&amp;Cover!$C$13),2)</f>
        <v>0</v>
      </c>
      <c r="N540" s="9">
        <f>ROUND(SUMIFS('Odoo Items'!$G$5:$G$4331,'Odoo Items'!$J$5:$J$4331,A540,'Odoo Items'!$C$5:$C$4331,"&lt;="&amp;Cover!$C$13),2)</f>
        <v>0</v>
      </c>
      <c r="O540">
        <f>COUNTIFS('Bank Lines'!$G$5:$G$1640,A540,'Bank Lines'!$J$5:$J$1640,1,'Bank Lines'!$C$5:$C$1640,"&lt;="&amp;Cover!$C$13)</f>
        <v>0</v>
      </c>
      <c r="P540">
        <f>COUNTIFS('Odoo Items'!$J$5:$J$4331,A540,'Odoo Items'!$C$5:$C$4331,"&lt;="&amp;Cover!$C$13)</f>
        <v>0</v>
      </c>
      <c r="Q540">
        <f>IF(AND(O540=0,P540=0),"",IF(O540=0,"ODOO-ONLY",IF(P540=0,"BANK-ONLY","BOTH")))</f>
      </c>
      <c r="R540" s="9">
        <f>IF(Q540="BOTH",ROUND(M540-N540,2),0)</f>
        <v>0</v>
      </c>
      <c r="S540" s="9">
        <f>ROUND(SUMIFS('Bank Lines'!$E$5:$E$1640,'Bank Lines'!$G$5:$G$1640,A540,'Bank Lines'!$J$5:$J$1640,1,'Bank Lines'!$C$5:$C$1640,"&lt;="&amp;Cover!$C$14),2)</f>
        <v>0</v>
      </c>
      <c r="T540" s="9">
        <f>ROUND(SUMIFS('Odoo Items'!$G$5:$G$4331,'Odoo Items'!$J$5:$J$4331,A540,'Odoo Items'!$C$5:$C$4331,"&lt;="&amp;Cover!$C$14),2)</f>
        <v>0</v>
      </c>
      <c r="U540">
        <f>COUNTIFS('Bank Lines'!$G$5:$G$1640,A540,'Bank Lines'!$J$5:$J$1640,1,'Bank Lines'!$C$5:$C$1640,"&lt;="&amp;Cover!$C$14)</f>
        <v>0</v>
      </c>
      <c r="V540">
        <f>COUNTIFS('Odoo Items'!$J$5:$J$4331,A540,'Odoo Items'!$C$5:$C$4331,"&lt;="&amp;Cover!$C$14)</f>
        <v>0</v>
      </c>
      <c r="W540">
        <f>IF(AND(U540=0,V540=0),"",IF(U540=0,"ODOO-ONLY",IF(V540=0,"BANK-ONLY","BOTH")))</f>
      </c>
      <c r="X540" s="9">
        <f>IF(W540="BOTH",ROUND(S540-T540,2),0)</f>
        <v>0</v>
      </c>
      <c r="Y540" s="9">
        <f>ROUND(SUMIFS('Bank Lines'!$E$5:$E$1640,'Bank Lines'!$G$5:$G$1640,A540,'Bank Lines'!$J$5:$J$1640,1,'Bank Lines'!$C$5:$C$1640,"&lt;="&amp;Cover!$C$15),2)</f>
        <v>22000</v>
      </c>
      <c r="Z540" s="9">
        <f>ROUND(SUMIFS('Odoo Items'!$G$5:$G$4331,'Odoo Items'!$J$5:$J$4331,A540,'Odoo Items'!$C$5:$C$4331,"&lt;="&amp;Cover!$C$15),2)</f>
        <v>22000</v>
      </c>
      <c r="AA540">
        <f>COUNTIFS('Bank Lines'!$G$5:$G$1640,A540,'Bank Lines'!$J$5:$J$1640,1,'Bank Lines'!$C$5:$C$1640,"&lt;="&amp;Cover!$C$15)</f>
        <v>1</v>
      </c>
      <c r="AB540">
        <f>COUNTIFS('Odoo Items'!$J$5:$J$4331,A540,'Odoo Items'!$C$5:$C$4331,"&lt;="&amp;Cover!$C$15)</f>
        <v>1</v>
      </c>
      <c r="AC540" t="str">
        <f>IF(AND(AA540=0,AB540=0),"",IF(AA540=0,"ODOO-ONLY",IF(AB540=0,"BANK-ONLY","BOTH")))</f>
        <v>BOTH</v>
      </c>
      <c r="AD540" s="9">
        <f>IF(AC540="BOTH",ROUND(Y540-Z540,2),0)</f>
        <v>0</v>
      </c>
    </row>
    <row r="541">
      <c r="A541" t="inlineStr">
        <is>
          <t>G00537</t>
        </is>
      </c>
      <c r="B541" t="inlineStr">
        <is>
          <t>OPS</t>
        </is>
      </c>
      <c r="C541" t="inlineStr">
        <is>
          <t>R06</t>
        </is>
      </c>
      <c r="D541" t="inlineStr">
        <is>
          <t>MATCH</t>
        </is>
      </c>
      <c r="E541" t="inlineStr"/>
      <c r="G541" t="inlineStr">
        <is>
          <t>13 vendor payments in batch</t>
        </is>
      </c>
      <c r="H541">
        <f>COUNTIFS('Bank Lines'!$G$5:$G$1640,A541,'Bank Lines'!$J$5:$J$1640,1)</f>
        <v>1</v>
      </c>
      <c r="I541">
        <f>COUNTIFS('Odoo Items'!$J$5:$J$4331,A541)</f>
        <v>13</v>
      </c>
      <c r="J541" s="9">
        <f>ROUND(SUMIFS('Bank Lines'!$E$5:$E$1640,'Bank Lines'!$G$5:$G$1640,A541,'Bank Lines'!$J$5:$J$1640,1),2)</f>
        <v>-22088</v>
      </c>
      <c r="K541" s="9">
        <f>ROUND(SUMIFS('Odoo Items'!$G$5:$G$4331,'Odoo Items'!$J$5:$J$4331,A541),2)</f>
        <v>-22088</v>
      </c>
      <c r="L541" s="9">
        <f>ROUND(J541-K541,2)</f>
        <v>0</v>
      </c>
      <c r="M541" s="9">
        <f>ROUND(SUMIFS('Bank Lines'!$E$5:$E$1640,'Bank Lines'!$G$5:$G$1640,A541,'Bank Lines'!$J$5:$J$1640,1,'Bank Lines'!$C$5:$C$1640,"&lt;="&amp;Cover!$C$13),2)</f>
        <v>0</v>
      </c>
      <c r="N541" s="9">
        <f>ROUND(SUMIFS('Odoo Items'!$G$5:$G$4331,'Odoo Items'!$J$5:$J$4331,A541,'Odoo Items'!$C$5:$C$4331,"&lt;="&amp;Cover!$C$13),2)</f>
        <v>0</v>
      </c>
      <c r="O541">
        <f>COUNTIFS('Bank Lines'!$G$5:$G$1640,A541,'Bank Lines'!$J$5:$J$1640,1,'Bank Lines'!$C$5:$C$1640,"&lt;="&amp;Cover!$C$13)</f>
        <v>0</v>
      </c>
      <c r="P541">
        <f>COUNTIFS('Odoo Items'!$J$5:$J$4331,A541,'Odoo Items'!$C$5:$C$4331,"&lt;="&amp;Cover!$C$13)</f>
        <v>0</v>
      </c>
      <c r="Q541">
        <f>IF(AND(O541=0,P541=0),"",IF(O541=0,"ODOO-ONLY",IF(P541=0,"BANK-ONLY","BOTH")))</f>
      </c>
      <c r="R541" s="9">
        <f>IF(Q541="BOTH",ROUND(M541-N541,2),0)</f>
        <v>0</v>
      </c>
      <c r="S541" s="9">
        <f>ROUND(SUMIFS('Bank Lines'!$E$5:$E$1640,'Bank Lines'!$G$5:$G$1640,A541,'Bank Lines'!$J$5:$J$1640,1,'Bank Lines'!$C$5:$C$1640,"&lt;="&amp;Cover!$C$14),2)</f>
        <v>0</v>
      </c>
      <c r="T541" s="9">
        <f>ROUND(SUMIFS('Odoo Items'!$G$5:$G$4331,'Odoo Items'!$J$5:$J$4331,A541,'Odoo Items'!$C$5:$C$4331,"&lt;="&amp;Cover!$C$14),2)</f>
        <v>0</v>
      </c>
      <c r="U541">
        <f>COUNTIFS('Bank Lines'!$G$5:$G$1640,A541,'Bank Lines'!$J$5:$J$1640,1,'Bank Lines'!$C$5:$C$1640,"&lt;="&amp;Cover!$C$14)</f>
        <v>0</v>
      </c>
      <c r="V541">
        <f>COUNTIFS('Odoo Items'!$J$5:$J$4331,A541,'Odoo Items'!$C$5:$C$4331,"&lt;="&amp;Cover!$C$14)</f>
        <v>0</v>
      </c>
      <c r="W541">
        <f>IF(AND(U541=0,V541=0),"",IF(U541=0,"ODOO-ONLY",IF(V541=0,"BANK-ONLY","BOTH")))</f>
      </c>
      <c r="X541" s="9">
        <f>IF(W541="BOTH",ROUND(S541-T541,2),0)</f>
        <v>0</v>
      </c>
      <c r="Y541" s="9">
        <f>ROUND(SUMIFS('Bank Lines'!$E$5:$E$1640,'Bank Lines'!$G$5:$G$1640,A541,'Bank Lines'!$J$5:$J$1640,1,'Bank Lines'!$C$5:$C$1640,"&lt;="&amp;Cover!$C$15),2)</f>
        <v>-22088</v>
      </c>
      <c r="Z541" s="9">
        <f>ROUND(SUMIFS('Odoo Items'!$G$5:$G$4331,'Odoo Items'!$J$5:$J$4331,A541,'Odoo Items'!$C$5:$C$4331,"&lt;="&amp;Cover!$C$15),2)</f>
        <v>-22088</v>
      </c>
      <c r="AA541">
        <f>COUNTIFS('Bank Lines'!$G$5:$G$1640,A541,'Bank Lines'!$J$5:$J$1640,1,'Bank Lines'!$C$5:$C$1640,"&lt;="&amp;Cover!$C$15)</f>
        <v>1</v>
      </c>
      <c r="AB541">
        <f>COUNTIFS('Odoo Items'!$J$5:$J$4331,A541,'Odoo Items'!$C$5:$C$4331,"&lt;="&amp;Cover!$C$15)</f>
        <v>13</v>
      </c>
      <c r="AC541" t="str">
        <f>IF(AND(AA541=0,AB541=0),"",IF(AA541=0,"ODOO-ONLY",IF(AB541=0,"BANK-ONLY","BOTH")))</f>
        <v>BOTH</v>
      </c>
      <c r="AD541" s="9">
        <f>IF(AC541="BOTH",ROUND(Y541-Z541,2),0)</f>
        <v>0</v>
      </c>
    </row>
    <row r="542">
      <c r="A542" t="inlineStr">
        <is>
          <t>G00538</t>
        </is>
      </c>
      <c r="B542" t="inlineStr">
        <is>
          <t>OPS</t>
        </is>
      </c>
      <c r="C542" t="inlineStr">
        <is>
          <t>R04</t>
        </is>
      </c>
      <c r="D542" t="inlineStr">
        <is>
          <t>MATCH</t>
        </is>
      </c>
      <c r="E542" t="inlineStr"/>
      <c r="G542" t="inlineStr">
        <is>
          <t>Reference PR260910</t>
        </is>
      </c>
      <c r="H542">
        <f>COUNTIFS('Bank Lines'!$G$5:$G$1640,A542,'Bank Lines'!$J$5:$J$1640,1)</f>
        <v>1</v>
      </c>
      <c r="I542">
        <f>COUNTIFS('Odoo Items'!$J$5:$J$4331,A542)</f>
        <v>1</v>
      </c>
      <c r="J542" s="9">
        <f>ROUND(SUMIFS('Bank Lines'!$E$5:$E$1640,'Bank Lines'!$G$5:$G$1640,A542,'Bank Lines'!$J$5:$J$1640,1),2)</f>
        <v>-205404.05</v>
      </c>
      <c r="K542" s="9">
        <f>ROUND(SUMIFS('Odoo Items'!$G$5:$G$4331,'Odoo Items'!$J$5:$J$4331,A542),2)</f>
        <v>-205404.05</v>
      </c>
      <c r="L542" s="9">
        <f>ROUND(J542-K542,2)</f>
        <v>0</v>
      </c>
      <c r="M542" s="9">
        <f>ROUND(SUMIFS('Bank Lines'!$E$5:$E$1640,'Bank Lines'!$G$5:$G$1640,A542,'Bank Lines'!$J$5:$J$1640,1,'Bank Lines'!$C$5:$C$1640,"&lt;="&amp;Cover!$C$13),2)</f>
        <v>0</v>
      </c>
      <c r="N542" s="9">
        <f>ROUND(SUMIFS('Odoo Items'!$G$5:$G$4331,'Odoo Items'!$J$5:$J$4331,A542,'Odoo Items'!$C$5:$C$4331,"&lt;="&amp;Cover!$C$13),2)</f>
        <v>0</v>
      </c>
      <c r="O542">
        <f>COUNTIFS('Bank Lines'!$G$5:$G$1640,A542,'Bank Lines'!$J$5:$J$1640,1,'Bank Lines'!$C$5:$C$1640,"&lt;="&amp;Cover!$C$13)</f>
        <v>0</v>
      </c>
      <c r="P542">
        <f>COUNTIFS('Odoo Items'!$J$5:$J$4331,A542,'Odoo Items'!$C$5:$C$4331,"&lt;="&amp;Cover!$C$13)</f>
        <v>0</v>
      </c>
      <c r="Q542">
        <f>IF(AND(O542=0,P542=0),"",IF(O542=0,"ODOO-ONLY",IF(P542=0,"BANK-ONLY","BOTH")))</f>
      </c>
      <c r="R542" s="9">
        <f>IF(Q542="BOTH",ROUND(M542-N542,2),0)</f>
        <v>0</v>
      </c>
      <c r="S542" s="9">
        <f>ROUND(SUMIFS('Bank Lines'!$E$5:$E$1640,'Bank Lines'!$G$5:$G$1640,A542,'Bank Lines'!$J$5:$J$1640,1,'Bank Lines'!$C$5:$C$1640,"&lt;="&amp;Cover!$C$14),2)</f>
        <v>0</v>
      </c>
      <c r="T542" s="9">
        <f>ROUND(SUMIFS('Odoo Items'!$G$5:$G$4331,'Odoo Items'!$J$5:$J$4331,A542,'Odoo Items'!$C$5:$C$4331,"&lt;="&amp;Cover!$C$14),2)</f>
        <v>0</v>
      </c>
      <c r="U542">
        <f>COUNTIFS('Bank Lines'!$G$5:$G$1640,A542,'Bank Lines'!$J$5:$J$1640,1,'Bank Lines'!$C$5:$C$1640,"&lt;="&amp;Cover!$C$14)</f>
        <v>0</v>
      </c>
      <c r="V542">
        <f>COUNTIFS('Odoo Items'!$J$5:$J$4331,A542,'Odoo Items'!$C$5:$C$4331,"&lt;="&amp;Cover!$C$14)</f>
        <v>0</v>
      </c>
      <c r="W542">
        <f>IF(AND(U542=0,V542=0),"",IF(U542=0,"ODOO-ONLY",IF(V542=0,"BANK-ONLY","BOTH")))</f>
      </c>
      <c r="X542" s="9">
        <f>IF(W542="BOTH",ROUND(S542-T542,2),0)</f>
        <v>0</v>
      </c>
      <c r="Y542" s="9">
        <f>ROUND(SUMIFS('Bank Lines'!$E$5:$E$1640,'Bank Lines'!$G$5:$G$1640,A542,'Bank Lines'!$J$5:$J$1640,1,'Bank Lines'!$C$5:$C$1640,"&lt;="&amp;Cover!$C$15),2)</f>
        <v>-205404.05</v>
      </c>
      <c r="Z542" s="9">
        <f>ROUND(SUMIFS('Odoo Items'!$G$5:$G$4331,'Odoo Items'!$J$5:$J$4331,A542,'Odoo Items'!$C$5:$C$4331,"&lt;="&amp;Cover!$C$15),2)</f>
        <v>-205404.05</v>
      </c>
      <c r="AA542">
        <f>COUNTIFS('Bank Lines'!$G$5:$G$1640,A542,'Bank Lines'!$J$5:$J$1640,1,'Bank Lines'!$C$5:$C$1640,"&lt;="&amp;Cover!$C$15)</f>
        <v>1</v>
      </c>
      <c r="AB542">
        <f>COUNTIFS('Odoo Items'!$J$5:$J$4331,A542,'Odoo Items'!$C$5:$C$4331,"&lt;="&amp;Cover!$C$15)</f>
        <v>1</v>
      </c>
      <c r="AC542" t="str">
        <f>IF(AND(AA542=0,AB542=0),"",IF(AA542=0,"ODOO-ONLY",IF(AB542=0,"BANK-ONLY","BOTH")))</f>
        <v>BOTH</v>
      </c>
      <c r="AD542" s="9">
        <f>IF(AC542="BOTH",ROUND(Y542-Z542,2),0)</f>
        <v>0</v>
      </c>
    </row>
    <row r="543">
      <c r="A543" t="inlineStr">
        <is>
          <t>G00539</t>
        </is>
      </c>
      <c r="B543" t="inlineStr">
        <is>
          <t>OPS</t>
        </is>
      </c>
      <c r="C543" t="inlineStr">
        <is>
          <t>R04</t>
        </is>
      </c>
      <c r="D543" t="inlineStr">
        <is>
          <t>FXR</t>
        </is>
      </c>
      <c r="E543" t="inlineStr"/>
      <c r="G543" t="inlineStr">
        <is>
          <t>FX conversion FX0910: bank rate vs Odoo rate, difference -14.42</t>
        </is>
      </c>
      <c r="H543">
        <f>COUNTIFS('Bank Lines'!$G$5:$G$1640,A543,'Bank Lines'!$J$5:$J$1640,1)</f>
        <v>1</v>
      </c>
      <c r="I543">
        <f>COUNTIFS('Odoo Items'!$J$5:$J$4331,A543)</f>
        <v>1</v>
      </c>
      <c r="J543" s="9">
        <f>ROUND(SUMIFS('Bank Lines'!$E$5:$E$1640,'Bank Lines'!$G$5:$G$1640,A543,'Bank Lines'!$J$5:$J$1640,1),2)</f>
        <v>-13626.04</v>
      </c>
      <c r="K543" s="9">
        <f>ROUND(SUMIFS('Odoo Items'!$G$5:$G$4331,'Odoo Items'!$J$5:$J$4331,A543),2)</f>
        <v>-13611.62</v>
      </c>
      <c r="L543" s="9">
        <f>ROUND(J543-K543,2)</f>
        <v>-14.42</v>
      </c>
      <c r="M543" s="9">
        <f>ROUND(SUMIFS('Bank Lines'!$E$5:$E$1640,'Bank Lines'!$G$5:$G$1640,A543,'Bank Lines'!$J$5:$J$1640,1,'Bank Lines'!$C$5:$C$1640,"&lt;="&amp;Cover!$C$13),2)</f>
        <v>0</v>
      </c>
      <c r="N543" s="9">
        <f>ROUND(SUMIFS('Odoo Items'!$G$5:$G$4331,'Odoo Items'!$J$5:$J$4331,A543,'Odoo Items'!$C$5:$C$4331,"&lt;="&amp;Cover!$C$13),2)</f>
        <v>0</v>
      </c>
      <c r="O543">
        <f>COUNTIFS('Bank Lines'!$G$5:$G$1640,A543,'Bank Lines'!$J$5:$J$1640,1,'Bank Lines'!$C$5:$C$1640,"&lt;="&amp;Cover!$C$13)</f>
        <v>0</v>
      </c>
      <c r="P543">
        <f>COUNTIFS('Odoo Items'!$J$5:$J$4331,A543,'Odoo Items'!$C$5:$C$4331,"&lt;="&amp;Cover!$C$13)</f>
        <v>0</v>
      </c>
      <c r="Q543">
        <f>IF(AND(O543=0,P543=0),"",IF(O543=0,"ODOO-ONLY",IF(P543=0,"BANK-ONLY","BOTH")))</f>
      </c>
      <c r="R543" s="9">
        <f>IF(Q543="BOTH",ROUND(M543-N543,2),0)</f>
        <v>0</v>
      </c>
      <c r="S543" s="9">
        <f>ROUND(SUMIFS('Bank Lines'!$E$5:$E$1640,'Bank Lines'!$G$5:$G$1640,A543,'Bank Lines'!$J$5:$J$1640,1,'Bank Lines'!$C$5:$C$1640,"&lt;="&amp;Cover!$C$14),2)</f>
        <v>0</v>
      </c>
      <c r="T543" s="9">
        <f>ROUND(SUMIFS('Odoo Items'!$G$5:$G$4331,'Odoo Items'!$J$5:$J$4331,A543,'Odoo Items'!$C$5:$C$4331,"&lt;="&amp;Cover!$C$14),2)</f>
        <v>0</v>
      </c>
      <c r="U543">
        <f>COUNTIFS('Bank Lines'!$G$5:$G$1640,A543,'Bank Lines'!$J$5:$J$1640,1,'Bank Lines'!$C$5:$C$1640,"&lt;="&amp;Cover!$C$14)</f>
        <v>0</v>
      </c>
      <c r="V543">
        <f>COUNTIFS('Odoo Items'!$J$5:$J$4331,A543,'Odoo Items'!$C$5:$C$4331,"&lt;="&amp;Cover!$C$14)</f>
        <v>0</v>
      </c>
      <c r="W543">
        <f>IF(AND(U543=0,V543=0),"",IF(U543=0,"ODOO-ONLY",IF(V543=0,"BANK-ONLY","BOTH")))</f>
      </c>
      <c r="X543" s="9">
        <f>IF(W543="BOTH",ROUND(S543-T543,2),0)</f>
        <v>0</v>
      </c>
      <c r="Y543" s="9">
        <f>ROUND(SUMIFS('Bank Lines'!$E$5:$E$1640,'Bank Lines'!$G$5:$G$1640,A543,'Bank Lines'!$J$5:$J$1640,1,'Bank Lines'!$C$5:$C$1640,"&lt;="&amp;Cover!$C$15),2)</f>
        <v>-13626.04</v>
      </c>
      <c r="Z543" s="9">
        <f>ROUND(SUMIFS('Odoo Items'!$G$5:$G$4331,'Odoo Items'!$J$5:$J$4331,A543,'Odoo Items'!$C$5:$C$4331,"&lt;="&amp;Cover!$C$15),2)</f>
        <v>-13611.62</v>
      </c>
      <c r="AA543">
        <f>COUNTIFS('Bank Lines'!$G$5:$G$1640,A543,'Bank Lines'!$J$5:$J$1640,1,'Bank Lines'!$C$5:$C$1640,"&lt;="&amp;Cover!$C$15)</f>
        <v>1</v>
      </c>
      <c r="AB543">
        <f>COUNTIFS('Odoo Items'!$J$5:$J$4331,A543,'Odoo Items'!$C$5:$C$4331,"&lt;="&amp;Cover!$C$15)</f>
        <v>1</v>
      </c>
      <c r="AC543" t="str">
        <f>IF(AND(AA543=0,AB543=0),"",IF(AA543=0,"ODOO-ONLY",IF(AB543=0,"BANK-ONLY","BOTH")))</f>
        <v>BOTH</v>
      </c>
      <c r="AD543" s="9">
        <f>IF(AC543="BOTH",ROUND(Y543-Z543,2),0)</f>
        <v>-14.42</v>
      </c>
    </row>
    <row r="544">
      <c r="A544" t="inlineStr">
        <is>
          <t>G00540</t>
        </is>
      </c>
      <c r="B544" t="inlineStr">
        <is>
          <t>OPS</t>
        </is>
      </c>
      <c r="C544" t="inlineStr">
        <is>
          <t>R04</t>
        </is>
      </c>
      <c r="D544" t="inlineStr">
        <is>
          <t>MATCH</t>
        </is>
      </c>
      <c r="E544" t="inlineStr"/>
      <c r="G544" t="inlineStr">
        <is>
          <t>Sweep, same amount</t>
        </is>
      </c>
      <c r="H544">
        <f>COUNTIFS('Bank Lines'!$G$5:$G$1640,A544,'Bank Lines'!$J$5:$J$1640,1)</f>
        <v>1</v>
      </c>
      <c r="I544">
        <f>COUNTIFS('Odoo Items'!$J$5:$J$4331,A544)</f>
        <v>1</v>
      </c>
      <c r="J544" s="9">
        <f>ROUND(SUMIFS('Bank Lines'!$E$5:$E$1640,'Bank Lines'!$G$5:$G$1640,A544,'Bank Lines'!$J$5:$J$1640,1),2)</f>
        <v>22000</v>
      </c>
      <c r="K544" s="9">
        <f>ROUND(SUMIFS('Odoo Items'!$G$5:$G$4331,'Odoo Items'!$J$5:$J$4331,A544),2)</f>
        <v>22000</v>
      </c>
      <c r="L544" s="9">
        <f>ROUND(J544-K544,2)</f>
        <v>0</v>
      </c>
      <c r="M544" s="9">
        <f>ROUND(SUMIFS('Bank Lines'!$E$5:$E$1640,'Bank Lines'!$G$5:$G$1640,A544,'Bank Lines'!$J$5:$J$1640,1,'Bank Lines'!$C$5:$C$1640,"&lt;="&amp;Cover!$C$13),2)</f>
        <v>0</v>
      </c>
      <c r="N544" s="9">
        <f>ROUND(SUMIFS('Odoo Items'!$G$5:$G$4331,'Odoo Items'!$J$5:$J$4331,A544,'Odoo Items'!$C$5:$C$4331,"&lt;="&amp;Cover!$C$13),2)</f>
        <v>0</v>
      </c>
      <c r="O544">
        <f>COUNTIFS('Bank Lines'!$G$5:$G$1640,A544,'Bank Lines'!$J$5:$J$1640,1,'Bank Lines'!$C$5:$C$1640,"&lt;="&amp;Cover!$C$13)</f>
        <v>0</v>
      </c>
      <c r="P544">
        <f>COUNTIFS('Odoo Items'!$J$5:$J$4331,A544,'Odoo Items'!$C$5:$C$4331,"&lt;="&amp;Cover!$C$13)</f>
        <v>0</v>
      </c>
      <c r="Q544">
        <f>IF(AND(O544=0,P544=0),"",IF(O544=0,"ODOO-ONLY",IF(P544=0,"BANK-ONLY","BOTH")))</f>
      </c>
      <c r="R544" s="9">
        <f>IF(Q544="BOTH",ROUND(M544-N544,2),0)</f>
        <v>0</v>
      </c>
      <c r="S544" s="9">
        <f>ROUND(SUMIFS('Bank Lines'!$E$5:$E$1640,'Bank Lines'!$G$5:$G$1640,A544,'Bank Lines'!$J$5:$J$1640,1,'Bank Lines'!$C$5:$C$1640,"&lt;="&amp;Cover!$C$14),2)</f>
        <v>0</v>
      </c>
      <c r="T544" s="9">
        <f>ROUND(SUMIFS('Odoo Items'!$G$5:$G$4331,'Odoo Items'!$J$5:$J$4331,A544,'Odoo Items'!$C$5:$C$4331,"&lt;="&amp;Cover!$C$14),2)</f>
        <v>0</v>
      </c>
      <c r="U544">
        <f>COUNTIFS('Bank Lines'!$G$5:$G$1640,A544,'Bank Lines'!$J$5:$J$1640,1,'Bank Lines'!$C$5:$C$1640,"&lt;="&amp;Cover!$C$14)</f>
        <v>0</v>
      </c>
      <c r="V544">
        <f>COUNTIFS('Odoo Items'!$J$5:$J$4331,A544,'Odoo Items'!$C$5:$C$4331,"&lt;="&amp;Cover!$C$14)</f>
        <v>0</v>
      </c>
      <c r="W544">
        <f>IF(AND(U544=0,V544=0),"",IF(U544=0,"ODOO-ONLY",IF(V544=0,"BANK-ONLY","BOTH")))</f>
      </c>
      <c r="X544" s="9">
        <f>IF(W544="BOTH",ROUND(S544-T544,2),0)</f>
        <v>0</v>
      </c>
      <c r="Y544" s="9">
        <f>ROUND(SUMIFS('Bank Lines'!$E$5:$E$1640,'Bank Lines'!$G$5:$G$1640,A544,'Bank Lines'!$J$5:$J$1640,1,'Bank Lines'!$C$5:$C$1640,"&lt;="&amp;Cover!$C$15),2)</f>
        <v>22000</v>
      </c>
      <c r="Z544" s="9">
        <f>ROUND(SUMIFS('Odoo Items'!$G$5:$G$4331,'Odoo Items'!$J$5:$J$4331,A544,'Odoo Items'!$C$5:$C$4331,"&lt;="&amp;Cover!$C$15),2)</f>
        <v>22000</v>
      </c>
      <c r="AA544">
        <f>COUNTIFS('Bank Lines'!$G$5:$G$1640,A544,'Bank Lines'!$J$5:$J$1640,1,'Bank Lines'!$C$5:$C$1640,"&lt;="&amp;Cover!$C$15)</f>
        <v>1</v>
      </c>
      <c r="AB544">
        <f>COUNTIFS('Odoo Items'!$J$5:$J$4331,A544,'Odoo Items'!$C$5:$C$4331,"&lt;="&amp;Cover!$C$15)</f>
        <v>1</v>
      </c>
      <c r="AC544" t="str">
        <f>IF(AND(AA544=0,AB544=0),"",IF(AA544=0,"ODOO-ONLY",IF(AB544=0,"BANK-ONLY","BOTH")))</f>
        <v>BOTH</v>
      </c>
      <c r="AD544" s="9">
        <f>IF(AC544="BOTH",ROUND(Y544-Z544,2),0)</f>
        <v>0</v>
      </c>
    </row>
    <row r="545">
      <c r="A545" t="inlineStr">
        <is>
          <t>G00541</t>
        </is>
      </c>
      <c r="B545" t="inlineStr">
        <is>
          <t>OPS</t>
        </is>
      </c>
      <c r="C545" t="inlineStr">
        <is>
          <t>R06</t>
        </is>
      </c>
      <c r="D545" t="inlineStr">
        <is>
          <t>MATCH</t>
        </is>
      </c>
      <c r="E545" t="inlineStr"/>
      <c r="G545" t="inlineStr">
        <is>
          <t>12 vendor payments in batch</t>
        </is>
      </c>
      <c r="H545">
        <f>COUNTIFS('Bank Lines'!$G$5:$G$1640,A545,'Bank Lines'!$J$5:$J$1640,1)</f>
        <v>1</v>
      </c>
      <c r="I545">
        <f>COUNTIFS('Odoo Items'!$J$5:$J$4331,A545)</f>
        <v>12</v>
      </c>
      <c r="J545" s="9">
        <f>ROUND(SUMIFS('Bank Lines'!$E$5:$E$1640,'Bank Lines'!$G$5:$G$1640,A545,'Bank Lines'!$J$5:$J$1640,1),2)</f>
        <v>-17470.2</v>
      </c>
      <c r="K545" s="9">
        <f>ROUND(SUMIFS('Odoo Items'!$G$5:$G$4331,'Odoo Items'!$J$5:$J$4331,A545),2)</f>
        <v>-17470.2</v>
      </c>
      <c r="L545" s="9">
        <f>ROUND(J545-K545,2)</f>
        <v>0</v>
      </c>
      <c r="M545" s="9">
        <f>ROUND(SUMIFS('Bank Lines'!$E$5:$E$1640,'Bank Lines'!$G$5:$G$1640,A545,'Bank Lines'!$J$5:$J$1640,1,'Bank Lines'!$C$5:$C$1640,"&lt;="&amp;Cover!$C$13),2)</f>
        <v>0</v>
      </c>
      <c r="N545" s="9">
        <f>ROUND(SUMIFS('Odoo Items'!$G$5:$G$4331,'Odoo Items'!$J$5:$J$4331,A545,'Odoo Items'!$C$5:$C$4331,"&lt;="&amp;Cover!$C$13),2)</f>
        <v>0</v>
      </c>
      <c r="O545">
        <f>COUNTIFS('Bank Lines'!$G$5:$G$1640,A545,'Bank Lines'!$J$5:$J$1640,1,'Bank Lines'!$C$5:$C$1640,"&lt;="&amp;Cover!$C$13)</f>
        <v>0</v>
      </c>
      <c r="P545">
        <f>COUNTIFS('Odoo Items'!$J$5:$J$4331,A545,'Odoo Items'!$C$5:$C$4331,"&lt;="&amp;Cover!$C$13)</f>
        <v>0</v>
      </c>
      <c r="Q545">
        <f>IF(AND(O545=0,P545=0),"",IF(O545=0,"ODOO-ONLY",IF(P545=0,"BANK-ONLY","BOTH")))</f>
      </c>
      <c r="R545" s="9">
        <f>IF(Q545="BOTH",ROUND(M545-N545,2),0)</f>
        <v>0</v>
      </c>
      <c r="S545" s="9">
        <f>ROUND(SUMIFS('Bank Lines'!$E$5:$E$1640,'Bank Lines'!$G$5:$G$1640,A545,'Bank Lines'!$J$5:$J$1640,1,'Bank Lines'!$C$5:$C$1640,"&lt;="&amp;Cover!$C$14),2)</f>
        <v>0</v>
      </c>
      <c r="T545" s="9">
        <f>ROUND(SUMIFS('Odoo Items'!$G$5:$G$4331,'Odoo Items'!$J$5:$J$4331,A545,'Odoo Items'!$C$5:$C$4331,"&lt;="&amp;Cover!$C$14),2)</f>
        <v>0</v>
      </c>
      <c r="U545">
        <f>COUNTIFS('Bank Lines'!$G$5:$G$1640,A545,'Bank Lines'!$J$5:$J$1640,1,'Bank Lines'!$C$5:$C$1640,"&lt;="&amp;Cover!$C$14)</f>
        <v>0</v>
      </c>
      <c r="V545">
        <f>COUNTIFS('Odoo Items'!$J$5:$J$4331,A545,'Odoo Items'!$C$5:$C$4331,"&lt;="&amp;Cover!$C$14)</f>
        <v>0</v>
      </c>
      <c r="W545">
        <f>IF(AND(U545=0,V545=0),"",IF(U545=0,"ODOO-ONLY",IF(V545=0,"BANK-ONLY","BOTH")))</f>
      </c>
      <c r="X545" s="9">
        <f>IF(W545="BOTH",ROUND(S545-T545,2),0)</f>
        <v>0</v>
      </c>
      <c r="Y545" s="9">
        <f>ROUND(SUMIFS('Bank Lines'!$E$5:$E$1640,'Bank Lines'!$G$5:$G$1640,A545,'Bank Lines'!$J$5:$J$1640,1,'Bank Lines'!$C$5:$C$1640,"&lt;="&amp;Cover!$C$15),2)</f>
        <v>-17470.2</v>
      </c>
      <c r="Z545" s="9">
        <f>ROUND(SUMIFS('Odoo Items'!$G$5:$G$4331,'Odoo Items'!$J$5:$J$4331,A545,'Odoo Items'!$C$5:$C$4331,"&lt;="&amp;Cover!$C$15),2)</f>
        <v>-17470.2</v>
      </c>
      <c r="AA545">
        <f>COUNTIFS('Bank Lines'!$G$5:$G$1640,A545,'Bank Lines'!$J$5:$J$1640,1,'Bank Lines'!$C$5:$C$1640,"&lt;="&amp;Cover!$C$15)</f>
        <v>1</v>
      </c>
      <c r="AB545">
        <f>COUNTIFS('Odoo Items'!$J$5:$J$4331,A545,'Odoo Items'!$C$5:$C$4331,"&lt;="&amp;Cover!$C$15)</f>
        <v>12</v>
      </c>
      <c r="AC545" t="str">
        <f>IF(AND(AA545=0,AB545=0),"",IF(AA545=0,"ODOO-ONLY",IF(AB545=0,"BANK-ONLY","BOTH")))</f>
        <v>BOTH</v>
      </c>
      <c r="AD545" s="9">
        <f>IF(AC545="BOTH",ROUND(Y545-Z545,2),0)</f>
        <v>0</v>
      </c>
    </row>
    <row r="546">
      <c r="A546" t="inlineStr">
        <is>
          <t>G00542</t>
        </is>
      </c>
      <c r="B546" t="inlineStr">
        <is>
          <t>OPS</t>
        </is>
      </c>
      <c r="C546" t="inlineStr">
        <is>
          <t>R07</t>
        </is>
      </c>
      <c r="D546" t="inlineStr">
        <is>
          <t>MATCH</t>
        </is>
      </c>
      <c r="E546" t="inlineStr"/>
      <c r="G546" t="inlineStr">
        <is>
          <t>Cheque 000411</t>
        </is>
      </c>
      <c r="H546">
        <f>COUNTIFS('Bank Lines'!$G$5:$G$1640,A546,'Bank Lines'!$J$5:$J$1640,1)</f>
        <v>1</v>
      </c>
      <c r="I546">
        <f>COUNTIFS('Odoo Items'!$J$5:$J$4331,A546)</f>
        <v>1</v>
      </c>
      <c r="J546" s="9">
        <f>ROUND(SUMIFS('Bank Lines'!$E$5:$E$1640,'Bank Lines'!$G$5:$G$1640,A546,'Bank Lines'!$J$5:$J$1640,1),2)</f>
        <v>-924</v>
      </c>
      <c r="K546" s="9">
        <f>ROUND(SUMIFS('Odoo Items'!$G$5:$G$4331,'Odoo Items'!$J$5:$J$4331,A546),2)</f>
        <v>-924</v>
      </c>
      <c r="L546" s="9">
        <f>ROUND(J546-K546,2)</f>
        <v>0</v>
      </c>
      <c r="M546" s="9">
        <f>ROUND(SUMIFS('Bank Lines'!$E$5:$E$1640,'Bank Lines'!$G$5:$G$1640,A546,'Bank Lines'!$J$5:$J$1640,1,'Bank Lines'!$C$5:$C$1640,"&lt;="&amp;Cover!$C$13),2)</f>
        <v>0</v>
      </c>
      <c r="N546" s="9">
        <f>ROUND(SUMIFS('Odoo Items'!$G$5:$G$4331,'Odoo Items'!$J$5:$J$4331,A546,'Odoo Items'!$C$5:$C$4331,"&lt;="&amp;Cover!$C$13),2)</f>
        <v>0</v>
      </c>
      <c r="O546">
        <f>COUNTIFS('Bank Lines'!$G$5:$G$1640,A546,'Bank Lines'!$J$5:$J$1640,1,'Bank Lines'!$C$5:$C$1640,"&lt;="&amp;Cover!$C$13)</f>
        <v>0</v>
      </c>
      <c r="P546">
        <f>COUNTIFS('Odoo Items'!$J$5:$J$4331,A546,'Odoo Items'!$C$5:$C$4331,"&lt;="&amp;Cover!$C$13)</f>
        <v>0</v>
      </c>
      <c r="Q546">
        <f>IF(AND(O546=0,P546=0),"",IF(O546=0,"ODOO-ONLY",IF(P546=0,"BANK-ONLY","BOTH")))</f>
      </c>
      <c r="R546" s="9">
        <f>IF(Q546="BOTH",ROUND(M546-N546,2),0)</f>
        <v>0</v>
      </c>
      <c r="S546" s="9">
        <f>ROUND(SUMIFS('Bank Lines'!$E$5:$E$1640,'Bank Lines'!$G$5:$G$1640,A546,'Bank Lines'!$J$5:$J$1640,1,'Bank Lines'!$C$5:$C$1640,"&lt;="&amp;Cover!$C$14),2)</f>
        <v>0</v>
      </c>
      <c r="T546" s="9">
        <f>ROUND(SUMIFS('Odoo Items'!$G$5:$G$4331,'Odoo Items'!$J$5:$J$4331,A546,'Odoo Items'!$C$5:$C$4331,"&lt;="&amp;Cover!$C$14),2)</f>
        <v>0</v>
      </c>
      <c r="U546">
        <f>COUNTIFS('Bank Lines'!$G$5:$G$1640,A546,'Bank Lines'!$J$5:$J$1640,1,'Bank Lines'!$C$5:$C$1640,"&lt;="&amp;Cover!$C$14)</f>
        <v>0</v>
      </c>
      <c r="V546">
        <f>COUNTIFS('Odoo Items'!$J$5:$J$4331,A546,'Odoo Items'!$C$5:$C$4331,"&lt;="&amp;Cover!$C$14)</f>
        <v>0</v>
      </c>
      <c r="W546">
        <f>IF(AND(U546=0,V546=0),"",IF(U546=0,"ODOO-ONLY",IF(V546=0,"BANK-ONLY","BOTH")))</f>
      </c>
      <c r="X546" s="9">
        <f>IF(W546="BOTH",ROUND(S546-T546,2),0)</f>
        <v>0</v>
      </c>
      <c r="Y546" s="9">
        <f>ROUND(SUMIFS('Bank Lines'!$E$5:$E$1640,'Bank Lines'!$G$5:$G$1640,A546,'Bank Lines'!$J$5:$J$1640,1,'Bank Lines'!$C$5:$C$1640,"&lt;="&amp;Cover!$C$15),2)</f>
        <v>-924</v>
      </c>
      <c r="Z546" s="9">
        <f>ROUND(SUMIFS('Odoo Items'!$G$5:$G$4331,'Odoo Items'!$J$5:$J$4331,A546,'Odoo Items'!$C$5:$C$4331,"&lt;="&amp;Cover!$C$15),2)</f>
        <v>-924</v>
      </c>
      <c r="AA546">
        <f>COUNTIFS('Bank Lines'!$G$5:$G$1640,A546,'Bank Lines'!$J$5:$J$1640,1,'Bank Lines'!$C$5:$C$1640,"&lt;="&amp;Cover!$C$15)</f>
        <v>1</v>
      </c>
      <c r="AB546">
        <f>COUNTIFS('Odoo Items'!$J$5:$J$4331,A546,'Odoo Items'!$C$5:$C$4331,"&lt;="&amp;Cover!$C$15)</f>
        <v>1</v>
      </c>
      <c r="AC546" t="str">
        <f>IF(AND(AA546=0,AB546=0),"",IF(AA546=0,"ODOO-ONLY",IF(AB546=0,"BANK-ONLY","BOTH")))</f>
        <v>BOTH</v>
      </c>
      <c r="AD546" s="9">
        <f>IF(AC546="BOTH",ROUND(Y546-Z546,2),0)</f>
        <v>0</v>
      </c>
    </row>
    <row r="547">
      <c r="A547" t="inlineStr">
        <is>
          <t>G00543</t>
        </is>
      </c>
      <c r="B547" t="inlineStr">
        <is>
          <t>OPS</t>
        </is>
      </c>
      <c r="C547" t="inlineStr">
        <is>
          <t>R04</t>
        </is>
      </c>
      <c r="D547" t="inlineStr">
        <is>
          <t>MATCH</t>
        </is>
      </c>
      <c r="E547" t="inlineStr"/>
      <c r="G547" t="inlineStr">
        <is>
          <t>Sweep, same amount</t>
        </is>
      </c>
      <c r="H547">
        <f>COUNTIFS('Bank Lines'!$G$5:$G$1640,A547,'Bank Lines'!$J$5:$J$1640,1)</f>
        <v>1</v>
      </c>
      <c r="I547">
        <f>COUNTIFS('Odoo Items'!$J$5:$J$4331,A547)</f>
        <v>1</v>
      </c>
      <c r="J547" s="9">
        <f>ROUND(SUMIFS('Bank Lines'!$E$5:$E$1640,'Bank Lines'!$G$5:$G$1640,A547,'Bank Lines'!$J$5:$J$1640,1),2)</f>
        <v>22000</v>
      </c>
      <c r="K547" s="9">
        <f>ROUND(SUMIFS('Odoo Items'!$G$5:$G$4331,'Odoo Items'!$J$5:$J$4331,A547),2)</f>
        <v>22000</v>
      </c>
      <c r="L547" s="9">
        <f>ROUND(J547-K547,2)</f>
        <v>0</v>
      </c>
      <c r="M547" s="9">
        <f>ROUND(SUMIFS('Bank Lines'!$E$5:$E$1640,'Bank Lines'!$G$5:$G$1640,A547,'Bank Lines'!$J$5:$J$1640,1,'Bank Lines'!$C$5:$C$1640,"&lt;="&amp;Cover!$C$13),2)</f>
        <v>0</v>
      </c>
      <c r="N547" s="9">
        <f>ROUND(SUMIFS('Odoo Items'!$G$5:$G$4331,'Odoo Items'!$J$5:$J$4331,A547,'Odoo Items'!$C$5:$C$4331,"&lt;="&amp;Cover!$C$13),2)</f>
        <v>0</v>
      </c>
      <c r="O547">
        <f>COUNTIFS('Bank Lines'!$G$5:$G$1640,A547,'Bank Lines'!$J$5:$J$1640,1,'Bank Lines'!$C$5:$C$1640,"&lt;="&amp;Cover!$C$13)</f>
        <v>0</v>
      </c>
      <c r="P547">
        <f>COUNTIFS('Odoo Items'!$J$5:$J$4331,A547,'Odoo Items'!$C$5:$C$4331,"&lt;="&amp;Cover!$C$13)</f>
        <v>0</v>
      </c>
      <c r="Q547">
        <f>IF(AND(O547=0,P547=0),"",IF(O547=0,"ODOO-ONLY",IF(P547=0,"BANK-ONLY","BOTH")))</f>
      </c>
      <c r="R547" s="9">
        <f>IF(Q547="BOTH",ROUND(M547-N547,2),0)</f>
        <v>0</v>
      </c>
      <c r="S547" s="9">
        <f>ROUND(SUMIFS('Bank Lines'!$E$5:$E$1640,'Bank Lines'!$G$5:$G$1640,A547,'Bank Lines'!$J$5:$J$1640,1,'Bank Lines'!$C$5:$C$1640,"&lt;="&amp;Cover!$C$14),2)</f>
        <v>0</v>
      </c>
      <c r="T547" s="9">
        <f>ROUND(SUMIFS('Odoo Items'!$G$5:$G$4331,'Odoo Items'!$J$5:$J$4331,A547,'Odoo Items'!$C$5:$C$4331,"&lt;="&amp;Cover!$C$14),2)</f>
        <v>0</v>
      </c>
      <c r="U547">
        <f>COUNTIFS('Bank Lines'!$G$5:$G$1640,A547,'Bank Lines'!$J$5:$J$1640,1,'Bank Lines'!$C$5:$C$1640,"&lt;="&amp;Cover!$C$14)</f>
        <v>0</v>
      </c>
      <c r="V547">
        <f>COUNTIFS('Odoo Items'!$J$5:$J$4331,A547,'Odoo Items'!$C$5:$C$4331,"&lt;="&amp;Cover!$C$14)</f>
        <v>0</v>
      </c>
      <c r="W547">
        <f>IF(AND(U547=0,V547=0),"",IF(U547=0,"ODOO-ONLY",IF(V547=0,"BANK-ONLY","BOTH")))</f>
      </c>
      <c r="X547" s="9">
        <f>IF(W547="BOTH",ROUND(S547-T547,2),0)</f>
        <v>0</v>
      </c>
      <c r="Y547" s="9">
        <f>ROUND(SUMIFS('Bank Lines'!$E$5:$E$1640,'Bank Lines'!$G$5:$G$1640,A547,'Bank Lines'!$J$5:$J$1640,1,'Bank Lines'!$C$5:$C$1640,"&lt;="&amp;Cover!$C$15),2)</f>
        <v>22000</v>
      </c>
      <c r="Z547" s="9">
        <f>ROUND(SUMIFS('Odoo Items'!$G$5:$G$4331,'Odoo Items'!$J$5:$J$4331,A547,'Odoo Items'!$C$5:$C$4331,"&lt;="&amp;Cover!$C$15),2)</f>
        <v>22000</v>
      </c>
      <c r="AA547">
        <f>COUNTIFS('Bank Lines'!$G$5:$G$1640,A547,'Bank Lines'!$J$5:$J$1640,1,'Bank Lines'!$C$5:$C$1640,"&lt;="&amp;Cover!$C$15)</f>
        <v>1</v>
      </c>
      <c r="AB547">
        <f>COUNTIFS('Odoo Items'!$J$5:$J$4331,A547,'Odoo Items'!$C$5:$C$4331,"&lt;="&amp;Cover!$C$15)</f>
        <v>1</v>
      </c>
      <c r="AC547" t="str">
        <f>IF(AND(AA547=0,AB547=0),"",IF(AA547=0,"ODOO-ONLY",IF(AB547=0,"BANK-ONLY","BOTH")))</f>
        <v>BOTH</v>
      </c>
      <c r="AD547" s="9">
        <f>IF(AC547="BOTH",ROUND(Y547-Z547,2),0)</f>
        <v>0</v>
      </c>
    </row>
    <row r="548">
      <c r="A548" t="inlineStr">
        <is>
          <t>G00544</t>
        </is>
      </c>
      <c r="B548" t="inlineStr">
        <is>
          <t>OPS</t>
        </is>
      </c>
      <c r="C548" t="inlineStr">
        <is>
          <t>R07</t>
        </is>
      </c>
      <c r="D548" t="inlineStr">
        <is>
          <t>MATCH</t>
        </is>
      </c>
      <c r="E548" t="inlineStr"/>
      <c r="G548" t="inlineStr">
        <is>
          <t>Cheque 000410</t>
        </is>
      </c>
      <c r="H548">
        <f>COUNTIFS('Bank Lines'!$G$5:$G$1640,A548,'Bank Lines'!$J$5:$J$1640,1)</f>
        <v>1</v>
      </c>
      <c r="I548">
        <f>COUNTIFS('Odoo Items'!$J$5:$J$4331,A548)</f>
        <v>1</v>
      </c>
      <c r="J548" s="9">
        <f>ROUND(SUMIFS('Bank Lines'!$E$5:$E$1640,'Bank Lines'!$G$5:$G$1640,A548,'Bank Lines'!$J$5:$J$1640,1),2)</f>
        <v>-550</v>
      </c>
      <c r="K548" s="9">
        <f>ROUND(SUMIFS('Odoo Items'!$G$5:$G$4331,'Odoo Items'!$J$5:$J$4331,A548),2)</f>
        <v>-550</v>
      </c>
      <c r="L548" s="9">
        <f>ROUND(J548-K548,2)</f>
        <v>0</v>
      </c>
      <c r="M548" s="9">
        <f>ROUND(SUMIFS('Bank Lines'!$E$5:$E$1640,'Bank Lines'!$G$5:$G$1640,A548,'Bank Lines'!$J$5:$J$1640,1,'Bank Lines'!$C$5:$C$1640,"&lt;="&amp;Cover!$C$13),2)</f>
        <v>0</v>
      </c>
      <c r="N548" s="9">
        <f>ROUND(SUMIFS('Odoo Items'!$G$5:$G$4331,'Odoo Items'!$J$5:$J$4331,A548,'Odoo Items'!$C$5:$C$4331,"&lt;="&amp;Cover!$C$13),2)</f>
        <v>0</v>
      </c>
      <c r="O548">
        <f>COUNTIFS('Bank Lines'!$G$5:$G$1640,A548,'Bank Lines'!$J$5:$J$1640,1,'Bank Lines'!$C$5:$C$1640,"&lt;="&amp;Cover!$C$13)</f>
        <v>0</v>
      </c>
      <c r="P548">
        <f>COUNTIFS('Odoo Items'!$J$5:$J$4331,A548,'Odoo Items'!$C$5:$C$4331,"&lt;="&amp;Cover!$C$13)</f>
        <v>0</v>
      </c>
      <c r="Q548">
        <f>IF(AND(O548=0,P548=0),"",IF(O548=0,"ODOO-ONLY",IF(P548=0,"BANK-ONLY","BOTH")))</f>
      </c>
      <c r="R548" s="9">
        <f>IF(Q548="BOTH",ROUND(M548-N548,2),0)</f>
        <v>0</v>
      </c>
      <c r="S548" s="9">
        <f>ROUND(SUMIFS('Bank Lines'!$E$5:$E$1640,'Bank Lines'!$G$5:$G$1640,A548,'Bank Lines'!$J$5:$J$1640,1,'Bank Lines'!$C$5:$C$1640,"&lt;="&amp;Cover!$C$14),2)</f>
        <v>0</v>
      </c>
      <c r="T548" s="9">
        <f>ROUND(SUMIFS('Odoo Items'!$G$5:$G$4331,'Odoo Items'!$J$5:$J$4331,A548,'Odoo Items'!$C$5:$C$4331,"&lt;="&amp;Cover!$C$14),2)</f>
        <v>0</v>
      </c>
      <c r="U548">
        <f>COUNTIFS('Bank Lines'!$G$5:$G$1640,A548,'Bank Lines'!$J$5:$J$1640,1,'Bank Lines'!$C$5:$C$1640,"&lt;="&amp;Cover!$C$14)</f>
        <v>0</v>
      </c>
      <c r="V548">
        <f>COUNTIFS('Odoo Items'!$J$5:$J$4331,A548,'Odoo Items'!$C$5:$C$4331,"&lt;="&amp;Cover!$C$14)</f>
        <v>0</v>
      </c>
      <c r="W548">
        <f>IF(AND(U548=0,V548=0),"",IF(U548=0,"ODOO-ONLY",IF(V548=0,"BANK-ONLY","BOTH")))</f>
      </c>
      <c r="X548" s="9">
        <f>IF(W548="BOTH",ROUND(S548-T548,2),0)</f>
        <v>0</v>
      </c>
      <c r="Y548" s="9">
        <f>ROUND(SUMIFS('Bank Lines'!$E$5:$E$1640,'Bank Lines'!$G$5:$G$1640,A548,'Bank Lines'!$J$5:$J$1640,1,'Bank Lines'!$C$5:$C$1640,"&lt;="&amp;Cover!$C$15),2)</f>
        <v>-550</v>
      </c>
      <c r="Z548" s="9">
        <f>ROUND(SUMIFS('Odoo Items'!$G$5:$G$4331,'Odoo Items'!$J$5:$J$4331,A548,'Odoo Items'!$C$5:$C$4331,"&lt;="&amp;Cover!$C$15),2)</f>
        <v>-550</v>
      </c>
      <c r="AA548">
        <f>COUNTIFS('Bank Lines'!$G$5:$G$1640,A548,'Bank Lines'!$J$5:$J$1640,1,'Bank Lines'!$C$5:$C$1640,"&lt;="&amp;Cover!$C$15)</f>
        <v>1</v>
      </c>
      <c r="AB548">
        <f>COUNTIFS('Odoo Items'!$J$5:$J$4331,A548,'Odoo Items'!$C$5:$C$4331,"&lt;="&amp;Cover!$C$15)</f>
        <v>1</v>
      </c>
      <c r="AC548" t="str">
        <f>IF(AND(AA548=0,AB548=0),"",IF(AA548=0,"ODOO-ONLY",IF(AB548=0,"BANK-ONLY","BOTH")))</f>
        <v>BOTH</v>
      </c>
      <c r="AD548" s="9">
        <f>IF(AC548="BOTH",ROUND(Y548-Z548,2),0)</f>
        <v>0</v>
      </c>
    </row>
    <row r="549">
      <c r="A549" t="inlineStr">
        <is>
          <t>G00545</t>
        </is>
      </c>
      <c r="B549" t="inlineStr">
        <is>
          <t>OPS</t>
        </is>
      </c>
      <c r="C549" t="inlineStr">
        <is>
          <t>R06</t>
        </is>
      </c>
      <c r="D549" t="inlineStr">
        <is>
          <t>MATCH</t>
        </is>
      </c>
      <c r="E549" t="inlineStr"/>
      <c r="G549" t="inlineStr">
        <is>
          <t>10 vendor payments in batch</t>
        </is>
      </c>
      <c r="H549">
        <f>COUNTIFS('Bank Lines'!$G$5:$G$1640,A549,'Bank Lines'!$J$5:$J$1640,1)</f>
        <v>1</v>
      </c>
      <c r="I549">
        <f>COUNTIFS('Odoo Items'!$J$5:$J$4331,A549)</f>
        <v>10</v>
      </c>
      <c r="J549" s="9">
        <f>ROUND(SUMIFS('Bank Lines'!$E$5:$E$1640,'Bank Lines'!$G$5:$G$1640,A549,'Bank Lines'!$J$5:$J$1640,1),2)</f>
        <v>-12487.2</v>
      </c>
      <c r="K549" s="9">
        <f>ROUND(SUMIFS('Odoo Items'!$G$5:$G$4331,'Odoo Items'!$J$5:$J$4331,A549),2)</f>
        <v>-12487.2</v>
      </c>
      <c r="L549" s="9">
        <f>ROUND(J549-K549,2)</f>
        <v>0</v>
      </c>
      <c r="M549" s="9">
        <f>ROUND(SUMIFS('Bank Lines'!$E$5:$E$1640,'Bank Lines'!$G$5:$G$1640,A549,'Bank Lines'!$J$5:$J$1640,1,'Bank Lines'!$C$5:$C$1640,"&lt;="&amp;Cover!$C$13),2)</f>
        <v>0</v>
      </c>
      <c r="N549" s="9">
        <f>ROUND(SUMIFS('Odoo Items'!$G$5:$G$4331,'Odoo Items'!$J$5:$J$4331,A549,'Odoo Items'!$C$5:$C$4331,"&lt;="&amp;Cover!$C$13),2)</f>
        <v>0</v>
      </c>
      <c r="O549">
        <f>COUNTIFS('Bank Lines'!$G$5:$G$1640,A549,'Bank Lines'!$J$5:$J$1640,1,'Bank Lines'!$C$5:$C$1640,"&lt;="&amp;Cover!$C$13)</f>
        <v>0</v>
      </c>
      <c r="P549">
        <f>COUNTIFS('Odoo Items'!$J$5:$J$4331,A549,'Odoo Items'!$C$5:$C$4331,"&lt;="&amp;Cover!$C$13)</f>
        <v>0</v>
      </c>
      <c r="Q549">
        <f>IF(AND(O549=0,P549=0),"",IF(O549=0,"ODOO-ONLY",IF(P549=0,"BANK-ONLY","BOTH")))</f>
      </c>
      <c r="R549" s="9">
        <f>IF(Q549="BOTH",ROUND(M549-N549,2),0)</f>
        <v>0</v>
      </c>
      <c r="S549" s="9">
        <f>ROUND(SUMIFS('Bank Lines'!$E$5:$E$1640,'Bank Lines'!$G$5:$G$1640,A549,'Bank Lines'!$J$5:$J$1640,1,'Bank Lines'!$C$5:$C$1640,"&lt;="&amp;Cover!$C$14),2)</f>
        <v>0</v>
      </c>
      <c r="T549" s="9">
        <f>ROUND(SUMIFS('Odoo Items'!$G$5:$G$4331,'Odoo Items'!$J$5:$J$4331,A549,'Odoo Items'!$C$5:$C$4331,"&lt;="&amp;Cover!$C$14),2)</f>
        <v>0</v>
      </c>
      <c r="U549">
        <f>COUNTIFS('Bank Lines'!$G$5:$G$1640,A549,'Bank Lines'!$J$5:$J$1640,1,'Bank Lines'!$C$5:$C$1640,"&lt;="&amp;Cover!$C$14)</f>
        <v>0</v>
      </c>
      <c r="V549">
        <f>COUNTIFS('Odoo Items'!$J$5:$J$4331,A549,'Odoo Items'!$C$5:$C$4331,"&lt;="&amp;Cover!$C$14)</f>
        <v>0</v>
      </c>
      <c r="W549">
        <f>IF(AND(U549=0,V549=0),"",IF(U549=0,"ODOO-ONLY",IF(V549=0,"BANK-ONLY","BOTH")))</f>
      </c>
      <c r="X549" s="9">
        <f>IF(W549="BOTH",ROUND(S549-T549,2),0)</f>
        <v>0</v>
      </c>
      <c r="Y549" s="9">
        <f>ROUND(SUMIFS('Bank Lines'!$E$5:$E$1640,'Bank Lines'!$G$5:$G$1640,A549,'Bank Lines'!$J$5:$J$1640,1,'Bank Lines'!$C$5:$C$1640,"&lt;="&amp;Cover!$C$15),2)</f>
        <v>-12487.2</v>
      </c>
      <c r="Z549" s="9">
        <f>ROUND(SUMIFS('Odoo Items'!$G$5:$G$4331,'Odoo Items'!$J$5:$J$4331,A549,'Odoo Items'!$C$5:$C$4331,"&lt;="&amp;Cover!$C$15),2)</f>
        <v>-12487.2</v>
      </c>
      <c r="AA549">
        <f>COUNTIFS('Bank Lines'!$G$5:$G$1640,A549,'Bank Lines'!$J$5:$J$1640,1,'Bank Lines'!$C$5:$C$1640,"&lt;="&amp;Cover!$C$15)</f>
        <v>1</v>
      </c>
      <c r="AB549">
        <f>COUNTIFS('Odoo Items'!$J$5:$J$4331,A549,'Odoo Items'!$C$5:$C$4331,"&lt;="&amp;Cover!$C$15)</f>
        <v>10</v>
      </c>
      <c r="AC549" t="str">
        <f>IF(AND(AA549=0,AB549=0),"",IF(AA549=0,"ODOO-ONLY",IF(AB549=0,"BANK-ONLY","BOTH")))</f>
        <v>BOTH</v>
      </c>
      <c r="AD549" s="9">
        <f>IF(AC549="BOTH",ROUND(Y549-Z549,2),0)</f>
        <v>0</v>
      </c>
    </row>
    <row r="550">
      <c r="A550" t="inlineStr">
        <is>
          <t>G00546</t>
        </is>
      </c>
      <c r="B550" t="inlineStr">
        <is>
          <t>OPS</t>
        </is>
      </c>
      <c r="C550" t="inlineStr">
        <is>
          <t>R04</t>
        </is>
      </c>
      <c r="D550" t="inlineStr">
        <is>
          <t>MATCH</t>
        </is>
      </c>
      <c r="E550" t="inlineStr"/>
      <c r="G550" t="inlineStr">
        <is>
          <t>Reference PR260924</t>
        </is>
      </c>
      <c r="H550">
        <f>COUNTIFS('Bank Lines'!$G$5:$G$1640,A550,'Bank Lines'!$J$5:$J$1640,1)</f>
        <v>1</v>
      </c>
      <c r="I550">
        <f>COUNTIFS('Odoo Items'!$J$5:$J$4331,A550)</f>
        <v>1</v>
      </c>
      <c r="J550" s="9">
        <f>ROUND(SUMIFS('Bank Lines'!$E$5:$E$1640,'Bank Lines'!$G$5:$G$1640,A550,'Bank Lines'!$J$5:$J$1640,1),2)</f>
        <v>-167264.9</v>
      </c>
      <c r="K550" s="9">
        <f>ROUND(SUMIFS('Odoo Items'!$G$5:$G$4331,'Odoo Items'!$J$5:$J$4331,A550),2)</f>
        <v>-167264.9</v>
      </c>
      <c r="L550" s="9">
        <f>ROUND(J550-K550,2)</f>
        <v>0</v>
      </c>
      <c r="M550" s="9">
        <f>ROUND(SUMIFS('Bank Lines'!$E$5:$E$1640,'Bank Lines'!$G$5:$G$1640,A550,'Bank Lines'!$J$5:$J$1640,1,'Bank Lines'!$C$5:$C$1640,"&lt;="&amp;Cover!$C$13),2)</f>
        <v>0</v>
      </c>
      <c r="N550" s="9">
        <f>ROUND(SUMIFS('Odoo Items'!$G$5:$G$4331,'Odoo Items'!$J$5:$J$4331,A550,'Odoo Items'!$C$5:$C$4331,"&lt;="&amp;Cover!$C$13),2)</f>
        <v>0</v>
      </c>
      <c r="O550">
        <f>COUNTIFS('Bank Lines'!$G$5:$G$1640,A550,'Bank Lines'!$J$5:$J$1640,1,'Bank Lines'!$C$5:$C$1640,"&lt;="&amp;Cover!$C$13)</f>
        <v>0</v>
      </c>
      <c r="P550">
        <f>COUNTIFS('Odoo Items'!$J$5:$J$4331,A550,'Odoo Items'!$C$5:$C$4331,"&lt;="&amp;Cover!$C$13)</f>
        <v>0</v>
      </c>
      <c r="Q550">
        <f>IF(AND(O550=0,P550=0),"",IF(O550=0,"ODOO-ONLY",IF(P550=0,"BANK-ONLY","BOTH")))</f>
      </c>
      <c r="R550" s="9">
        <f>IF(Q550="BOTH",ROUND(M550-N550,2),0)</f>
        <v>0</v>
      </c>
      <c r="S550" s="9">
        <f>ROUND(SUMIFS('Bank Lines'!$E$5:$E$1640,'Bank Lines'!$G$5:$G$1640,A550,'Bank Lines'!$J$5:$J$1640,1,'Bank Lines'!$C$5:$C$1640,"&lt;="&amp;Cover!$C$14),2)</f>
        <v>0</v>
      </c>
      <c r="T550" s="9">
        <f>ROUND(SUMIFS('Odoo Items'!$G$5:$G$4331,'Odoo Items'!$J$5:$J$4331,A550,'Odoo Items'!$C$5:$C$4331,"&lt;="&amp;Cover!$C$14),2)</f>
        <v>0</v>
      </c>
      <c r="U550">
        <f>COUNTIFS('Bank Lines'!$G$5:$G$1640,A550,'Bank Lines'!$J$5:$J$1640,1,'Bank Lines'!$C$5:$C$1640,"&lt;="&amp;Cover!$C$14)</f>
        <v>0</v>
      </c>
      <c r="V550">
        <f>COUNTIFS('Odoo Items'!$J$5:$J$4331,A550,'Odoo Items'!$C$5:$C$4331,"&lt;="&amp;Cover!$C$14)</f>
        <v>0</v>
      </c>
      <c r="W550">
        <f>IF(AND(U550=0,V550=0),"",IF(U550=0,"ODOO-ONLY",IF(V550=0,"BANK-ONLY","BOTH")))</f>
      </c>
      <c r="X550" s="9">
        <f>IF(W550="BOTH",ROUND(S550-T550,2),0)</f>
        <v>0</v>
      </c>
      <c r="Y550" s="9">
        <f>ROUND(SUMIFS('Bank Lines'!$E$5:$E$1640,'Bank Lines'!$G$5:$G$1640,A550,'Bank Lines'!$J$5:$J$1640,1,'Bank Lines'!$C$5:$C$1640,"&lt;="&amp;Cover!$C$15),2)</f>
        <v>-167264.9</v>
      </c>
      <c r="Z550" s="9">
        <f>ROUND(SUMIFS('Odoo Items'!$G$5:$G$4331,'Odoo Items'!$J$5:$J$4331,A550,'Odoo Items'!$C$5:$C$4331,"&lt;="&amp;Cover!$C$15),2)</f>
        <v>-167264.9</v>
      </c>
      <c r="AA550">
        <f>COUNTIFS('Bank Lines'!$G$5:$G$1640,A550,'Bank Lines'!$J$5:$J$1640,1,'Bank Lines'!$C$5:$C$1640,"&lt;="&amp;Cover!$C$15)</f>
        <v>1</v>
      </c>
      <c r="AB550">
        <f>COUNTIFS('Odoo Items'!$J$5:$J$4331,A550,'Odoo Items'!$C$5:$C$4331,"&lt;="&amp;Cover!$C$15)</f>
        <v>1</v>
      </c>
      <c r="AC550" t="str">
        <f>IF(AND(AA550=0,AB550=0),"",IF(AA550=0,"ODOO-ONLY",IF(AB550=0,"BANK-ONLY","BOTH")))</f>
        <v>BOTH</v>
      </c>
      <c r="AD550" s="9">
        <f>IF(AC550="BOTH",ROUND(Y550-Z550,2),0)</f>
        <v>0</v>
      </c>
    </row>
    <row r="551">
      <c r="A551" t="inlineStr">
        <is>
          <t>G00547</t>
        </is>
      </c>
      <c r="B551" t="inlineStr">
        <is>
          <t>OPS</t>
        </is>
      </c>
      <c r="C551" t="inlineStr">
        <is>
          <t>R04</t>
        </is>
      </c>
      <c r="D551" t="inlineStr">
        <is>
          <t>MATCH</t>
        </is>
      </c>
      <c r="E551" t="inlineStr"/>
      <c r="G551" t="inlineStr">
        <is>
          <t>Sweep, same amount</t>
        </is>
      </c>
      <c r="H551">
        <f>COUNTIFS('Bank Lines'!$G$5:$G$1640,A551,'Bank Lines'!$J$5:$J$1640,1)</f>
        <v>1</v>
      </c>
      <c r="I551">
        <f>COUNTIFS('Odoo Items'!$J$5:$J$4331,A551)</f>
        <v>1</v>
      </c>
      <c r="J551" s="9">
        <f>ROUND(SUMIFS('Bank Lines'!$E$5:$E$1640,'Bank Lines'!$G$5:$G$1640,A551,'Bank Lines'!$J$5:$J$1640,1),2)</f>
        <v>34000</v>
      </c>
      <c r="K551" s="9">
        <f>ROUND(SUMIFS('Odoo Items'!$G$5:$G$4331,'Odoo Items'!$J$5:$J$4331,A551),2)</f>
        <v>34000</v>
      </c>
      <c r="L551" s="9">
        <f>ROUND(J551-K551,2)</f>
        <v>0</v>
      </c>
      <c r="M551" s="9">
        <f>ROUND(SUMIFS('Bank Lines'!$E$5:$E$1640,'Bank Lines'!$G$5:$G$1640,A551,'Bank Lines'!$J$5:$J$1640,1,'Bank Lines'!$C$5:$C$1640,"&lt;="&amp;Cover!$C$13),2)</f>
        <v>0</v>
      </c>
      <c r="N551" s="9">
        <f>ROUND(SUMIFS('Odoo Items'!$G$5:$G$4331,'Odoo Items'!$J$5:$J$4331,A551,'Odoo Items'!$C$5:$C$4331,"&lt;="&amp;Cover!$C$13),2)</f>
        <v>0</v>
      </c>
      <c r="O551">
        <f>COUNTIFS('Bank Lines'!$G$5:$G$1640,A551,'Bank Lines'!$J$5:$J$1640,1,'Bank Lines'!$C$5:$C$1640,"&lt;="&amp;Cover!$C$13)</f>
        <v>0</v>
      </c>
      <c r="P551">
        <f>COUNTIFS('Odoo Items'!$J$5:$J$4331,A551,'Odoo Items'!$C$5:$C$4331,"&lt;="&amp;Cover!$C$13)</f>
        <v>0</v>
      </c>
      <c r="Q551">
        <f>IF(AND(O551=0,P551=0),"",IF(O551=0,"ODOO-ONLY",IF(P551=0,"BANK-ONLY","BOTH")))</f>
      </c>
      <c r="R551" s="9">
        <f>IF(Q551="BOTH",ROUND(M551-N551,2),0)</f>
        <v>0</v>
      </c>
      <c r="S551" s="9">
        <f>ROUND(SUMIFS('Bank Lines'!$E$5:$E$1640,'Bank Lines'!$G$5:$G$1640,A551,'Bank Lines'!$J$5:$J$1640,1,'Bank Lines'!$C$5:$C$1640,"&lt;="&amp;Cover!$C$14),2)</f>
        <v>0</v>
      </c>
      <c r="T551" s="9">
        <f>ROUND(SUMIFS('Odoo Items'!$G$5:$G$4331,'Odoo Items'!$J$5:$J$4331,A551,'Odoo Items'!$C$5:$C$4331,"&lt;="&amp;Cover!$C$14),2)</f>
        <v>0</v>
      </c>
      <c r="U551">
        <f>COUNTIFS('Bank Lines'!$G$5:$G$1640,A551,'Bank Lines'!$J$5:$J$1640,1,'Bank Lines'!$C$5:$C$1640,"&lt;="&amp;Cover!$C$14)</f>
        <v>0</v>
      </c>
      <c r="V551">
        <f>COUNTIFS('Odoo Items'!$J$5:$J$4331,A551,'Odoo Items'!$C$5:$C$4331,"&lt;="&amp;Cover!$C$14)</f>
        <v>0</v>
      </c>
      <c r="W551">
        <f>IF(AND(U551=0,V551=0),"",IF(U551=0,"ODOO-ONLY",IF(V551=0,"BANK-ONLY","BOTH")))</f>
      </c>
      <c r="X551" s="9">
        <f>IF(W551="BOTH",ROUND(S551-T551,2),0)</f>
        <v>0</v>
      </c>
      <c r="Y551" s="9">
        <f>ROUND(SUMIFS('Bank Lines'!$E$5:$E$1640,'Bank Lines'!$G$5:$G$1640,A551,'Bank Lines'!$J$5:$J$1640,1,'Bank Lines'!$C$5:$C$1640,"&lt;="&amp;Cover!$C$15),2)</f>
        <v>34000</v>
      </c>
      <c r="Z551" s="9">
        <f>ROUND(SUMIFS('Odoo Items'!$G$5:$G$4331,'Odoo Items'!$J$5:$J$4331,A551,'Odoo Items'!$C$5:$C$4331,"&lt;="&amp;Cover!$C$15),2)</f>
        <v>34000</v>
      </c>
      <c r="AA551">
        <f>COUNTIFS('Bank Lines'!$G$5:$G$1640,A551,'Bank Lines'!$J$5:$J$1640,1,'Bank Lines'!$C$5:$C$1640,"&lt;="&amp;Cover!$C$15)</f>
        <v>1</v>
      </c>
      <c r="AB551">
        <f>COUNTIFS('Odoo Items'!$J$5:$J$4331,A551,'Odoo Items'!$C$5:$C$4331,"&lt;="&amp;Cover!$C$15)</f>
        <v>1</v>
      </c>
      <c r="AC551" t="str">
        <f>IF(AND(AA551=0,AB551=0),"",IF(AA551=0,"ODOO-ONLY",IF(AB551=0,"BANK-ONLY","BOTH")))</f>
        <v>BOTH</v>
      </c>
      <c r="AD551" s="9">
        <f>IF(AC551="BOTH",ROUND(Y551-Z551,2),0)</f>
        <v>0</v>
      </c>
    </row>
    <row r="552">
      <c r="A552" t="inlineStr">
        <is>
          <t>G00548</t>
        </is>
      </c>
      <c r="B552" t="inlineStr">
        <is>
          <t>OPS</t>
        </is>
      </c>
      <c r="C552" t="inlineStr">
        <is>
          <t>R07</t>
        </is>
      </c>
      <c r="D552" t="inlineStr">
        <is>
          <t>MATCH</t>
        </is>
      </c>
      <c r="E552" t="inlineStr"/>
      <c r="G552" t="inlineStr">
        <is>
          <t>Cheque 000409</t>
        </is>
      </c>
      <c r="H552">
        <f>COUNTIFS('Bank Lines'!$G$5:$G$1640,A552,'Bank Lines'!$J$5:$J$1640,1)</f>
        <v>1</v>
      </c>
      <c r="I552">
        <f>COUNTIFS('Odoo Items'!$J$5:$J$4331,A552)</f>
        <v>1</v>
      </c>
      <c r="J552" s="9">
        <f>ROUND(SUMIFS('Bank Lines'!$E$5:$E$1640,'Bank Lines'!$G$5:$G$1640,A552,'Bank Lines'!$J$5:$J$1640,1),2)</f>
        <v>-550</v>
      </c>
      <c r="K552" s="9">
        <f>ROUND(SUMIFS('Odoo Items'!$G$5:$G$4331,'Odoo Items'!$J$5:$J$4331,A552),2)</f>
        <v>-550</v>
      </c>
      <c r="L552" s="9">
        <f>ROUND(J552-K552,2)</f>
        <v>0</v>
      </c>
      <c r="M552" s="9">
        <f>ROUND(SUMIFS('Bank Lines'!$E$5:$E$1640,'Bank Lines'!$G$5:$G$1640,A552,'Bank Lines'!$J$5:$J$1640,1,'Bank Lines'!$C$5:$C$1640,"&lt;="&amp;Cover!$C$13),2)</f>
        <v>0</v>
      </c>
      <c r="N552" s="9">
        <f>ROUND(SUMIFS('Odoo Items'!$G$5:$G$4331,'Odoo Items'!$J$5:$J$4331,A552,'Odoo Items'!$C$5:$C$4331,"&lt;="&amp;Cover!$C$13),2)</f>
        <v>0</v>
      </c>
      <c r="O552">
        <f>COUNTIFS('Bank Lines'!$G$5:$G$1640,A552,'Bank Lines'!$J$5:$J$1640,1,'Bank Lines'!$C$5:$C$1640,"&lt;="&amp;Cover!$C$13)</f>
        <v>0</v>
      </c>
      <c r="P552">
        <f>COUNTIFS('Odoo Items'!$J$5:$J$4331,A552,'Odoo Items'!$C$5:$C$4331,"&lt;="&amp;Cover!$C$13)</f>
        <v>0</v>
      </c>
      <c r="Q552">
        <f>IF(AND(O552=0,P552=0),"",IF(O552=0,"ODOO-ONLY",IF(P552=0,"BANK-ONLY","BOTH")))</f>
      </c>
      <c r="R552" s="9">
        <f>IF(Q552="BOTH",ROUND(M552-N552,2),0)</f>
        <v>0</v>
      </c>
      <c r="S552" s="9">
        <f>ROUND(SUMIFS('Bank Lines'!$E$5:$E$1640,'Bank Lines'!$G$5:$G$1640,A552,'Bank Lines'!$J$5:$J$1640,1,'Bank Lines'!$C$5:$C$1640,"&lt;="&amp;Cover!$C$14),2)</f>
        <v>0</v>
      </c>
      <c r="T552" s="9">
        <f>ROUND(SUMIFS('Odoo Items'!$G$5:$G$4331,'Odoo Items'!$J$5:$J$4331,A552,'Odoo Items'!$C$5:$C$4331,"&lt;="&amp;Cover!$C$14),2)</f>
        <v>0</v>
      </c>
      <c r="U552">
        <f>COUNTIFS('Bank Lines'!$G$5:$G$1640,A552,'Bank Lines'!$J$5:$J$1640,1,'Bank Lines'!$C$5:$C$1640,"&lt;="&amp;Cover!$C$14)</f>
        <v>0</v>
      </c>
      <c r="V552">
        <f>COUNTIFS('Odoo Items'!$J$5:$J$4331,A552,'Odoo Items'!$C$5:$C$4331,"&lt;="&amp;Cover!$C$14)</f>
        <v>0</v>
      </c>
      <c r="W552">
        <f>IF(AND(U552=0,V552=0),"",IF(U552=0,"ODOO-ONLY",IF(V552=0,"BANK-ONLY","BOTH")))</f>
      </c>
      <c r="X552" s="9">
        <f>IF(W552="BOTH",ROUND(S552-T552,2),0)</f>
        <v>0</v>
      </c>
      <c r="Y552" s="9">
        <f>ROUND(SUMIFS('Bank Lines'!$E$5:$E$1640,'Bank Lines'!$G$5:$G$1640,A552,'Bank Lines'!$J$5:$J$1640,1,'Bank Lines'!$C$5:$C$1640,"&lt;="&amp;Cover!$C$15),2)</f>
        <v>-550</v>
      </c>
      <c r="Z552" s="9">
        <f>ROUND(SUMIFS('Odoo Items'!$G$5:$G$4331,'Odoo Items'!$J$5:$J$4331,A552,'Odoo Items'!$C$5:$C$4331,"&lt;="&amp;Cover!$C$15),2)</f>
        <v>-550</v>
      </c>
      <c r="AA552">
        <f>COUNTIFS('Bank Lines'!$G$5:$G$1640,A552,'Bank Lines'!$J$5:$J$1640,1,'Bank Lines'!$C$5:$C$1640,"&lt;="&amp;Cover!$C$15)</f>
        <v>1</v>
      </c>
      <c r="AB552">
        <f>COUNTIFS('Odoo Items'!$J$5:$J$4331,A552,'Odoo Items'!$C$5:$C$4331,"&lt;="&amp;Cover!$C$15)</f>
        <v>1</v>
      </c>
      <c r="AC552" t="str">
        <f>IF(AND(AA552=0,AB552=0),"",IF(AA552=0,"ODOO-ONLY",IF(AB552=0,"BANK-ONLY","BOTH")))</f>
        <v>BOTH</v>
      </c>
      <c r="AD552" s="9">
        <f>IF(AC552="BOTH",ROUND(Y552-Z552,2),0)</f>
        <v>0</v>
      </c>
    </row>
    <row r="553">
      <c r="A553" t="inlineStr">
        <is>
          <t>G00549</t>
        </is>
      </c>
      <c r="B553" t="inlineStr">
        <is>
          <t>OPS</t>
        </is>
      </c>
      <c r="C553" t="inlineStr">
        <is>
          <t>R06</t>
        </is>
      </c>
      <c r="D553" t="inlineStr">
        <is>
          <t>MATCH</t>
        </is>
      </c>
      <c r="E553" t="inlineStr"/>
      <c r="G553" t="inlineStr">
        <is>
          <t>10 vendor payments in batch</t>
        </is>
      </c>
      <c r="H553">
        <f>COUNTIFS('Bank Lines'!$G$5:$G$1640,A553,'Bank Lines'!$J$5:$J$1640,1)</f>
        <v>1</v>
      </c>
      <c r="I553">
        <f>COUNTIFS('Odoo Items'!$J$5:$J$4331,A553)</f>
        <v>10</v>
      </c>
      <c r="J553" s="9">
        <f>ROUND(SUMIFS('Bank Lines'!$E$5:$E$1640,'Bank Lines'!$G$5:$G$1640,A553,'Bank Lines'!$J$5:$J$1640,1),2)</f>
        <v>-7717.6</v>
      </c>
      <c r="K553" s="9">
        <f>ROUND(SUMIFS('Odoo Items'!$G$5:$G$4331,'Odoo Items'!$J$5:$J$4331,A553),2)</f>
        <v>-7717.6</v>
      </c>
      <c r="L553" s="9">
        <f>ROUND(J553-K553,2)</f>
        <v>0</v>
      </c>
      <c r="M553" s="9">
        <f>ROUND(SUMIFS('Bank Lines'!$E$5:$E$1640,'Bank Lines'!$G$5:$G$1640,A553,'Bank Lines'!$J$5:$J$1640,1,'Bank Lines'!$C$5:$C$1640,"&lt;="&amp;Cover!$C$13),2)</f>
        <v>0</v>
      </c>
      <c r="N553" s="9">
        <f>ROUND(SUMIFS('Odoo Items'!$G$5:$G$4331,'Odoo Items'!$J$5:$J$4331,A553,'Odoo Items'!$C$5:$C$4331,"&lt;="&amp;Cover!$C$13),2)</f>
        <v>0</v>
      </c>
      <c r="O553">
        <f>COUNTIFS('Bank Lines'!$G$5:$G$1640,A553,'Bank Lines'!$J$5:$J$1640,1,'Bank Lines'!$C$5:$C$1640,"&lt;="&amp;Cover!$C$13)</f>
        <v>0</v>
      </c>
      <c r="P553">
        <f>COUNTIFS('Odoo Items'!$J$5:$J$4331,A553,'Odoo Items'!$C$5:$C$4331,"&lt;="&amp;Cover!$C$13)</f>
        <v>0</v>
      </c>
      <c r="Q553">
        <f>IF(AND(O553=0,P553=0),"",IF(O553=0,"ODOO-ONLY",IF(P553=0,"BANK-ONLY","BOTH")))</f>
      </c>
      <c r="R553" s="9">
        <f>IF(Q553="BOTH",ROUND(M553-N553,2),0)</f>
        <v>0</v>
      </c>
      <c r="S553" s="9">
        <f>ROUND(SUMIFS('Bank Lines'!$E$5:$E$1640,'Bank Lines'!$G$5:$G$1640,A553,'Bank Lines'!$J$5:$J$1640,1,'Bank Lines'!$C$5:$C$1640,"&lt;="&amp;Cover!$C$14),2)</f>
        <v>0</v>
      </c>
      <c r="T553" s="9">
        <f>ROUND(SUMIFS('Odoo Items'!$G$5:$G$4331,'Odoo Items'!$J$5:$J$4331,A553,'Odoo Items'!$C$5:$C$4331,"&lt;="&amp;Cover!$C$14),2)</f>
        <v>0</v>
      </c>
      <c r="U553">
        <f>COUNTIFS('Bank Lines'!$G$5:$G$1640,A553,'Bank Lines'!$J$5:$J$1640,1,'Bank Lines'!$C$5:$C$1640,"&lt;="&amp;Cover!$C$14)</f>
        <v>0</v>
      </c>
      <c r="V553">
        <f>COUNTIFS('Odoo Items'!$J$5:$J$4331,A553,'Odoo Items'!$C$5:$C$4331,"&lt;="&amp;Cover!$C$14)</f>
        <v>0</v>
      </c>
      <c r="W553">
        <f>IF(AND(U553=0,V553=0),"",IF(U553=0,"ODOO-ONLY",IF(V553=0,"BANK-ONLY","BOTH")))</f>
      </c>
      <c r="X553" s="9">
        <f>IF(W553="BOTH",ROUND(S553-T553,2),0)</f>
        <v>0</v>
      </c>
      <c r="Y553" s="9">
        <f>ROUND(SUMIFS('Bank Lines'!$E$5:$E$1640,'Bank Lines'!$G$5:$G$1640,A553,'Bank Lines'!$J$5:$J$1640,1,'Bank Lines'!$C$5:$C$1640,"&lt;="&amp;Cover!$C$15),2)</f>
        <v>-7717.6</v>
      </c>
      <c r="Z553" s="9">
        <f>ROUND(SUMIFS('Odoo Items'!$G$5:$G$4331,'Odoo Items'!$J$5:$J$4331,A553,'Odoo Items'!$C$5:$C$4331,"&lt;="&amp;Cover!$C$15),2)</f>
        <v>-7717.6</v>
      </c>
      <c r="AA553">
        <f>COUNTIFS('Bank Lines'!$G$5:$G$1640,A553,'Bank Lines'!$J$5:$J$1640,1,'Bank Lines'!$C$5:$C$1640,"&lt;="&amp;Cover!$C$15)</f>
        <v>1</v>
      </c>
      <c r="AB553">
        <f>COUNTIFS('Odoo Items'!$J$5:$J$4331,A553,'Odoo Items'!$C$5:$C$4331,"&lt;="&amp;Cover!$C$15)</f>
        <v>10</v>
      </c>
      <c r="AC553" t="str">
        <f>IF(AND(AA553=0,AB553=0),"",IF(AA553=0,"ODOO-ONLY",IF(AB553=0,"BANK-ONLY","BOTH")))</f>
        <v>BOTH</v>
      </c>
      <c r="AD553" s="9">
        <f>IF(AC553="BOTH",ROUND(Y553-Z553,2),0)</f>
        <v>0</v>
      </c>
    </row>
    <row r="554">
      <c r="A554" t="inlineStr">
        <is>
          <t>G00550</t>
        </is>
      </c>
      <c r="B554" t="inlineStr">
        <is>
          <t>OPS</t>
        </is>
      </c>
      <c r="C554" t="inlineStr">
        <is>
          <t>R04</t>
        </is>
      </c>
      <c r="D554" t="inlineStr">
        <is>
          <t>MATCH</t>
        </is>
      </c>
      <c r="E554" t="inlineStr"/>
      <c r="G554" t="inlineStr">
        <is>
          <t>Reference FX0930</t>
        </is>
      </c>
      <c r="H554">
        <f>COUNTIFS('Bank Lines'!$G$5:$G$1640,A554,'Bank Lines'!$J$5:$J$1640,1)</f>
        <v>1</v>
      </c>
      <c r="I554">
        <f>COUNTIFS('Odoo Items'!$J$5:$J$4331,A554)</f>
        <v>1</v>
      </c>
      <c r="J554" s="9">
        <f>ROUND(SUMIFS('Bank Lines'!$E$5:$E$1640,'Bank Lines'!$G$5:$G$1640,A554,'Bank Lines'!$J$5:$J$1640,1),2)</f>
        <v>-7562.01</v>
      </c>
      <c r="K554" s="9">
        <f>ROUND(SUMIFS('Odoo Items'!$G$5:$G$4331,'Odoo Items'!$J$5:$J$4331,A554),2)</f>
        <v>-7562.01</v>
      </c>
      <c r="L554" s="9">
        <f>ROUND(J554-K554,2)</f>
        <v>0</v>
      </c>
      <c r="M554" s="9">
        <f>ROUND(SUMIFS('Bank Lines'!$E$5:$E$1640,'Bank Lines'!$G$5:$G$1640,A554,'Bank Lines'!$J$5:$J$1640,1,'Bank Lines'!$C$5:$C$1640,"&lt;="&amp;Cover!$C$13),2)</f>
        <v>0</v>
      </c>
      <c r="N554" s="9">
        <f>ROUND(SUMIFS('Odoo Items'!$G$5:$G$4331,'Odoo Items'!$J$5:$J$4331,A554,'Odoo Items'!$C$5:$C$4331,"&lt;="&amp;Cover!$C$13),2)</f>
        <v>0</v>
      </c>
      <c r="O554">
        <f>COUNTIFS('Bank Lines'!$G$5:$G$1640,A554,'Bank Lines'!$J$5:$J$1640,1,'Bank Lines'!$C$5:$C$1640,"&lt;="&amp;Cover!$C$13)</f>
        <v>0</v>
      </c>
      <c r="P554">
        <f>COUNTIFS('Odoo Items'!$J$5:$J$4331,A554,'Odoo Items'!$C$5:$C$4331,"&lt;="&amp;Cover!$C$13)</f>
        <v>0</v>
      </c>
      <c r="Q554">
        <f>IF(AND(O554=0,P554=0),"",IF(O554=0,"ODOO-ONLY",IF(P554=0,"BANK-ONLY","BOTH")))</f>
      </c>
      <c r="R554" s="9">
        <f>IF(Q554="BOTH",ROUND(M554-N554,2),0)</f>
        <v>0</v>
      </c>
      <c r="S554" s="9">
        <f>ROUND(SUMIFS('Bank Lines'!$E$5:$E$1640,'Bank Lines'!$G$5:$G$1640,A554,'Bank Lines'!$J$5:$J$1640,1,'Bank Lines'!$C$5:$C$1640,"&lt;="&amp;Cover!$C$14),2)</f>
        <v>0</v>
      </c>
      <c r="T554" s="9">
        <f>ROUND(SUMIFS('Odoo Items'!$G$5:$G$4331,'Odoo Items'!$J$5:$J$4331,A554,'Odoo Items'!$C$5:$C$4331,"&lt;="&amp;Cover!$C$14),2)</f>
        <v>0</v>
      </c>
      <c r="U554">
        <f>COUNTIFS('Bank Lines'!$G$5:$G$1640,A554,'Bank Lines'!$J$5:$J$1640,1,'Bank Lines'!$C$5:$C$1640,"&lt;="&amp;Cover!$C$14)</f>
        <v>0</v>
      </c>
      <c r="V554">
        <f>COUNTIFS('Odoo Items'!$J$5:$J$4331,A554,'Odoo Items'!$C$5:$C$4331,"&lt;="&amp;Cover!$C$14)</f>
        <v>0</v>
      </c>
      <c r="W554">
        <f>IF(AND(U554=0,V554=0),"",IF(U554=0,"ODOO-ONLY",IF(V554=0,"BANK-ONLY","BOTH")))</f>
      </c>
      <c r="X554" s="9">
        <f>IF(W554="BOTH",ROUND(S554-T554,2),0)</f>
        <v>0</v>
      </c>
      <c r="Y554" s="9">
        <f>ROUND(SUMIFS('Bank Lines'!$E$5:$E$1640,'Bank Lines'!$G$5:$G$1640,A554,'Bank Lines'!$J$5:$J$1640,1,'Bank Lines'!$C$5:$C$1640,"&lt;="&amp;Cover!$C$15),2)</f>
        <v>-7562.01</v>
      </c>
      <c r="Z554" s="9">
        <f>ROUND(SUMIFS('Odoo Items'!$G$5:$G$4331,'Odoo Items'!$J$5:$J$4331,A554,'Odoo Items'!$C$5:$C$4331,"&lt;="&amp;Cover!$C$15),2)</f>
        <v>-7562.01</v>
      </c>
      <c r="AA554">
        <f>COUNTIFS('Bank Lines'!$G$5:$G$1640,A554,'Bank Lines'!$J$5:$J$1640,1,'Bank Lines'!$C$5:$C$1640,"&lt;="&amp;Cover!$C$15)</f>
        <v>1</v>
      </c>
      <c r="AB554">
        <f>COUNTIFS('Odoo Items'!$J$5:$J$4331,A554,'Odoo Items'!$C$5:$C$4331,"&lt;="&amp;Cover!$C$15)</f>
        <v>1</v>
      </c>
      <c r="AC554" t="str">
        <f>IF(AND(AA554=0,AB554=0),"",IF(AA554=0,"ODOO-ONLY",IF(AB554=0,"BANK-ONLY","BOTH")))</f>
        <v>BOTH</v>
      </c>
      <c r="AD554" s="9">
        <f>IF(AC554="BOTH",ROUND(Y554-Z554,2),0)</f>
        <v>0</v>
      </c>
    </row>
    <row r="555">
      <c r="A555" t="inlineStr">
        <is>
          <t>G00551</t>
        </is>
      </c>
      <c r="B555" t="inlineStr">
        <is>
          <t>PAY</t>
        </is>
      </c>
      <c r="C555" t="inlineStr">
        <is>
          <t>R05</t>
        </is>
      </c>
      <c r="D555" t="inlineStr">
        <is>
          <t>MATCH</t>
        </is>
      </c>
      <c r="E555" t="inlineStr"/>
      <c r="G555" t="inlineStr">
        <is>
          <t>56 salary lines</t>
        </is>
      </c>
      <c r="H555">
        <f>COUNTIFS('Bank Lines'!$G$5:$G$1640,A555,'Bank Lines'!$J$5:$J$1640,1)</f>
        <v>56</v>
      </c>
      <c r="I555">
        <f>COUNTIFS('Odoo Items'!$J$5:$J$4331,A555)</f>
        <v>1</v>
      </c>
      <c r="J555" s="9">
        <f>ROUND(SUMIFS('Bank Lines'!$E$5:$E$1640,'Bank Lines'!$G$5:$G$1640,A555,'Bank Lines'!$J$5:$J$1640,1),2)</f>
        <v>-147080.38</v>
      </c>
      <c r="K555" s="9">
        <f>ROUND(SUMIFS('Odoo Items'!$G$5:$G$4331,'Odoo Items'!$J$5:$J$4331,A555),2)</f>
        <v>-147080.38</v>
      </c>
      <c r="L555" s="9">
        <f>ROUND(J555-K555,2)</f>
        <v>0</v>
      </c>
      <c r="M555" s="9">
        <f>ROUND(SUMIFS('Bank Lines'!$E$5:$E$1640,'Bank Lines'!$G$5:$G$1640,A555,'Bank Lines'!$J$5:$J$1640,1,'Bank Lines'!$C$5:$C$1640,"&lt;="&amp;Cover!$C$13),2)</f>
        <v>-147080.38</v>
      </c>
      <c r="N555" s="9">
        <f>ROUND(SUMIFS('Odoo Items'!$G$5:$G$4331,'Odoo Items'!$J$5:$J$4331,A555,'Odoo Items'!$C$5:$C$4331,"&lt;="&amp;Cover!$C$13),2)</f>
        <v>-147080.38</v>
      </c>
      <c r="O555">
        <f>COUNTIFS('Bank Lines'!$G$5:$G$1640,A555,'Bank Lines'!$J$5:$J$1640,1,'Bank Lines'!$C$5:$C$1640,"&lt;="&amp;Cover!$C$13)</f>
        <v>56</v>
      </c>
      <c r="P555">
        <f>COUNTIFS('Odoo Items'!$J$5:$J$4331,A555,'Odoo Items'!$C$5:$C$4331,"&lt;="&amp;Cover!$C$13)</f>
        <v>1</v>
      </c>
      <c r="Q555" t="str">
        <f>IF(AND(O555=0,P555=0),"",IF(O555=0,"ODOO-ONLY",IF(P555=0,"BANK-ONLY","BOTH")))</f>
        <v>BOTH</v>
      </c>
      <c r="R555" s="9">
        <f>IF(Q555="BOTH",ROUND(M555-N555,2),0)</f>
        <v>0</v>
      </c>
      <c r="S555" s="9">
        <f>ROUND(SUMIFS('Bank Lines'!$E$5:$E$1640,'Bank Lines'!$G$5:$G$1640,A555,'Bank Lines'!$J$5:$J$1640,1,'Bank Lines'!$C$5:$C$1640,"&lt;="&amp;Cover!$C$14),2)</f>
        <v>-147080.38</v>
      </c>
      <c r="T555" s="9">
        <f>ROUND(SUMIFS('Odoo Items'!$G$5:$G$4331,'Odoo Items'!$J$5:$J$4331,A555,'Odoo Items'!$C$5:$C$4331,"&lt;="&amp;Cover!$C$14),2)</f>
        <v>-147080.38</v>
      </c>
      <c r="U555">
        <f>COUNTIFS('Bank Lines'!$G$5:$G$1640,A555,'Bank Lines'!$J$5:$J$1640,1,'Bank Lines'!$C$5:$C$1640,"&lt;="&amp;Cover!$C$14)</f>
        <v>56</v>
      </c>
      <c r="V555">
        <f>COUNTIFS('Odoo Items'!$J$5:$J$4331,A555,'Odoo Items'!$C$5:$C$4331,"&lt;="&amp;Cover!$C$14)</f>
        <v>1</v>
      </c>
      <c r="W555" t="str">
        <f>IF(AND(U555=0,V555=0),"",IF(U555=0,"ODOO-ONLY",IF(V555=0,"BANK-ONLY","BOTH")))</f>
        <v>BOTH</v>
      </c>
      <c r="X555" s="9">
        <f>IF(W555="BOTH",ROUND(S555-T555,2),0)</f>
        <v>0</v>
      </c>
      <c r="Y555" s="9">
        <f>ROUND(SUMIFS('Bank Lines'!$E$5:$E$1640,'Bank Lines'!$G$5:$G$1640,A555,'Bank Lines'!$J$5:$J$1640,1,'Bank Lines'!$C$5:$C$1640,"&lt;="&amp;Cover!$C$15),2)</f>
        <v>-147080.38</v>
      </c>
      <c r="Z555" s="9">
        <f>ROUND(SUMIFS('Odoo Items'!$G$5:$G$4331,'Odoo Items'!$J$5:$J$4331,A555,'Odoo Items'!$C$5:$C$4331,"&lt;="&amp;Cover!$C$15),2)</f>
        <v>-147080.38</v>
      </c>
      <c r="AA555">
        <f>COUNTIFS('Bank Lines'!$G$5:$G$1640,A555,'Bank Lines'!$J$5:$J$1640,1,'Bank Lines'!$C$5:$C$1640,"&lt;="&amp;Cover!$C$15)</f>
        <v>56</v>
      </c>
      <c r="AB555">
        <f>COUNTIFS('Odoo Items'!$J$5:$J$4331,A555,'Odoo Items'!$C$5:$C$4331,"&lt;="&amp;Cover!$C$15)</f>
        <v>1</v>
      </c>
      <c r="AC555" t="str">
        <f>IF(AND(AA555=0,AB555=0),"",IF(AA555=0,"ODOO-ONLY",IF(AB555=0,"BANK-ONLY","BOTH")))</f>
        <v>BOTH</v>
      </c>
      <c r="AD555" s="9">
        <f>IF(AC555="BOTH",ROUND(Y555-Z555,2),0)</f>
        <v>0</v>
      </c>
    </row>
    <row r="556">
      <c r="A556" t="inlineStr">
        <is>
          <t>G00552</t>
        </is>
      </c>
      <c r="B556" t="inlineStr">
        <is>
          <t>PAY</t>
        </is>
      </c>
      <c r="C556" t="inlineStr">
        <is>
          <t>R05</t>
        </is>
      </c>
      <c r="D556" t="inlineStr">
        <is>
          <t>MATCH</t>
        </is>
      </c>
      <c r="E556" t="inlineStr"/>
      <c r="G556" t="inlineStr">
        <is>
          <t>56 salary lines</t>
        </is>
      </c>
      <c r="H556">
        <f>COUNTIFS('Bank Lines'!$G$5:$G$1640,A556,'Bank Lines'!$J$5:$J$1640,1)</f>
        <v>56</v>
      </c>
      <c r="I556">
        <f>COUNTIFS('Odoo Items'!$J$5:$J$4331,A556)</f>
        <v>1</v>
      </c>
      <c r="J556" s="9">
        <f>ROUND(SUMIFS('Bank Lines'!$E$5:$E$1640,'Bank Lines'!$G$5:$G$1640,A556,'Bank Lines'!$J$5:$J$1640,1),2)</f>
        <v>-147194.26</v>
      </c>
      <c r="K556" s="9">
        <f>ROUND(SUMIFS('Odoo Items'!$G$5:$G$4331,'Odoo Items'!$J$5:$J$4331,A556),2)</f>
        <v>-147194.26</v>
      </c>
      <c r="L556" s="9">
        <f>ROUND(J556-K556,2)</f>
        <v>0</v>
      </c>
      <c r="M556" s="9">
        <f>ROUND(SUMIFS('Bank Lines'!$E$5:$E$1640,'Bank Lines'!$G$5:$G$1640,A556,'Bank Lines'!$J$5:$J$1640,1,'Bank Lines'!$C$5:$C$1640,"&lt;="&amp;Cover!$C$13),2)</f>
        <v>-147194.26</v>
      </c>
      <c r="N556" s="9">
        <f>ROUND(SUMIFS('Odoo Items'!$G$5:$G$4331,'Odoo Items'!$J$5:$J$4331,A556,'Odoo Items'!$C$5:$C$4331,"&lt;="&amp;Cover!$C$13),2)</f>
        <v>-147194.26</v>
      </c>
      <c r="O556">
        <f>COUNTIFS('Bank Lines'!$G$5:$G$1640,A556,'Bank Lines'!$J$5:$J$1640,1,'Bank Lines'!$C$5:$C$1640,"&lt;="&amp;Cover!$C$13)</f>
        <v>56</v>
      </c>
      <c r="P556">
        <f>COUNTIFS('Odoo Items'!$J$5:$J$4331,A556,'Odoo Items'!$C$5:$C$4331,"&lt;="&amp;Cover!$C$13)</f>
        <v>1</v>
      </c>
      <c r="Q556" t="str">
        <f>IF(AND(O556=0,P556=0),"",IF(O556=0,"ODOO-ONLY",IF(P556=0,"BANK-ONLY","BOTH")))</f>
        <v>BOTH</v>
      </c>
      <c r="R556" s="9">
        <f>IF(Q556="BOTH",ROUND(M556-N556,2),0)</f>
        <v>0</v>
      </c>
      <c r="S556" s="9">
        <f>ROUND(SUMIFS('Bank Lines'!$E$5:$E$1640,'Bank Lines'!$G$5:$G$1640,A556,'Bank Lines'!$J$5:$J$1640,1,'Bank Lines'!$C$5:$C$1640,"&lt;="&amp;Cover!$C$14),2)</f>
        <v>-147194.26</v>
      </c>
      <c r="T556" s="9">
        <f>ROUND(SUMIFS('Odoo Items'!$G$5:$G$4331,'Odoo Items'!$J$5:$J$4331,A556,'Odoo Items'!$C$5:$C$4331,"&lt;="&amp;Cover!$C$14),2)</f>
        <v>-147194.26</v>
      </c>
      <c r="U556">
        <f>COUNTIFS('Bank Lines'!$G$5:$G$1640,A556,'Bank Lines'!$J$5:$J$1640,1,'Bank Lines'!$C$5:$C$1640,"&lt;="&amp;Cover!$C$14)</f>
        <v>56</v>
      </c>
      <c r="V556">
        <f>COUNTIFS('Odoo Items'!$J$5:$J$4331,A556,'Odoo Items'!$C$5:$C$4331,"&lt;="&amp;Cover!$C$14)</f>
        <v>1</v>
      </c>
      <c r="W556" t="str">
        <f>IF(AND(U556=0,V556=0),"",IF(U556=0,"ODOO-ONLY",IF(V556=0,"BANK-ONLY","BOTH")))</f>
        <v>BOTH</v>
      </c>
      <c r="X556" s="9">
        <f>IF(W556="BOTH",ROUND(S556-T556,2),0)</f>
        <v>0</v>
      </c>
      <c r="Y556" s="9">
        <f>ROUND(SUMIFS('Bank Lines'!$E$5:$E$1640,'Bank Lines'!$G$5:$G$1640,A556,'Bank Lines'!$J$5:$J$1640,1,'Bank Lines'!$C$5:$C$1640,"&lt;="&amp;Cover!$C$15),2)</f>
        <v>-147194.26</v>
      </c>
      <c r="Z556" s="9">
        <f>ROUND(SUMIFS('Odoo Items'!$G$5:$G$4331,'Odoo Items'!$J$5:$J$4331,A556,'Odoo Items'!$C$5:$C$4331,"&lt;="&amp;Cover!$C$15),2)</f>
        <v>-147194.26</v>
      </c>
      <c r="AA556">
        <f>COUNTIFS('Bank Lines'!$G$5:$G$1640,A556,'Bank Lines'!$J$5:$J$1640,1,'Bank Lines'!$C$5:$C$1640,"&lt;="&amp;Cover!$C$15)</f>
        <v>56</v>
      </c>
      <c r="AB556">
        <f>COUNTIFS('Odoo Items'!$J$5:$J$4331,A556,'Odoo Items'!$C$5:$C$4331,"&lt;="&amp;Cover!$C$15)</f>
        <v>1</v>
      </c>
      <c r="AC556" t="str">
        <f>IF(AND(AA556=0,AB556=0),"",IF(AA556=0,"ODOO-ONLY",IF(AB556=0,"BANK-ONLY","BOTH")))</f>
        <v>BOTH</v>
      </c>
      <c r="AD556" s="9">
        <f>IF(AC556="BOTH",ROUND(Y556-Z556,2),0)</f>
        <v>0</v>
      </c>
    </row>
    <row r="557">
      <c r="A557" t="inlineStr">
        <is>
          <t>G00553</t>
        </is>
      </c>
      <c r="B557" t="inlineStr">
        <is>
          <t>PAY</t>
        </is>
      </c>
      <c r="C557" t="inlineStr">
        <is>
          <t>R05</t>
        </is>
      </c>
      <c r="D557" t="inlineStr">
        <is>
          <t>MATCH</t>
        </is>
      </c>
      <c r="E557" t="inlineStr"/>
      <c r="G557" t="inlineStr">
        <is>
          <t>56 salary lines</t>
        </is>
      </c>
      <c r="H557">
        <f>COUNTIFS('Bank Lines'!$G$5:$G$1640,A557,'Bank Lines'!$J$5:$J$1640,1)</f>
        <v>56</v>
      </c>
      <c r="I557">
        <f>COUNTIFS('Odoo Items'!$J$5:$J$4331,A557)</f>
        <v>1</v>
      </c>
      <c r="J557" s="9">
        <f>ROUND(SUMIFS('Bank Lines'!$E$5:$E$1640,'Bank Lines'!$G$5:$G$1640,A557,'Bank Lines'!$J$5:$J$1640,1),2)</f>
        <v>-145915.93</v>
      </c>
      <c r="K557" s="9">
        <f>ROUND(SUMIFS('Odoo Items'!$G$5:$G$4331,'Odoo Items'!$J$5:$J$4331,A557),2)</f>
        <v>-145915.93</v>
      </c>
      <c r="L557" s="9">
        <f>ROUND(J557-K557,2)</f>
        <v>0</v>
      </c>
      <c r="M557" s="9">
        <f>ROUND(SUMIFS('Bank Lines'!$E$5:$E$1640,'Bank Lines'!$G$5:$G$1640,A557,'Bank Lines'!$J$5:$J$1640,1,'Bank Lines'!$C$5:$C$1640,"&lt;="&amp;Cover!$C$13),2)</f>
        <v>-145915.93</v>
      </c>
      <c r="N557" s="9">
        <f>ROUND(SUMIFS('Odoo Items'!$G$5:$G$4331,'Odoo Items'!$J$5:$J$4331,A557,'Odoo Items'!$C$5:$C$4331,"&lt;="&amp;Cover!$C$13),2)</f>
        <v>-145915.93</v>
      </c>
      <c r="O557">
        <f>COUNTIFS('Bank Lines'!$G$5:$G$1640,A557,'Bank Lines'!$J$5:$J$1640,1,'Bank Lines'!$C$5:$C$1640,"&lt;="&amp;Cover!$C$13)</f>
        <v>56</v>
      </c>
      <c r="P557">
        <f>COUNTIFS('Odoo Items'!$J$5:$J$4331,A557,'Odoo Items'!$C$5:$C$4331,"&lt;="&amp;Cover!$C$13)</f>
        <v>1</v>
      </c>
      <c r="Q557" t="str">
        <f>IF(AND(O557=0,P557=0),"",IF(O557=0,"ODOO-ONLY",IF(P557=0,"BANK-ONLY","BOTH")))</f>
        <v>BOTH</v>
      </c>
      <c r="R557" s="9">
        <f>IF(Q557="BOTH",ROUND(M557-N557,2),0)</f>
        <v>0</v>
      </c>
      <c r="S557" s="9">
        <f>ROUND(SUMIFS('Bank Lines'!$E$5:$E$1640,'Bank Lines'!$G$5:$G$1640,A557,'Bank Lines'!$J$5:$J$1640,1,'Bank Lines'!$C$5:$C$1640,"&lt;="&amp;Cover!$C$14),2)</f>
        <v>-145915.93</v>
      </c>
      <c r="T557" s="9">
        <f>ROUND(SUMIFS('Odoo Items'!$G$5:$G$4331,'Odoo Items'!$J$5:$J$4331,A557,'Odoo Items'!$C$5:$C$4331,"&lt;="&amp;Cover!$C$14),2)</f>
        <v>-145915.93</v>
      </c>
      <c r="U557">
        <f>COUNTIFS('Bank Lines'!$G$5:$G$1640,A557,'Bank Lines'!$J$5:$J$1640,1,'Bank Lines'!$C$5:$C$1640,"&lt;="&amp;Cover!$C$14)</f>
        <v>56</v>
      </c>
      <c r="V557">
        <f>COUNTIFS('Odoo Items'!$J$5:$J$4331,A557,'Odoo Items'!$C$5:$C$4331,"&lt;="&amp;Cover!$C$14)</f>
        <v>1</v>
      </c>
      <c r="W557" t="str">
        <f>IF(AND(U557=0,V557=0),"",IF(U557=0,"ODOO-ONLY",IF(V557=0,"BANK-ONLY","BOTH")))</f>
        <v>BOTH</v>
      </c>
      <c r="X557" s="9">
        <f>IF(W557="BOTH",ROUND(S557-T557,2),0)</f>
        <v>0</v>
      </c>
      <c r="Y557" s="9">
        <f>ROUND(SUMIFS('Bank Lines'!$E$5:$E$1640,'Bank Lines'!$G$5:$G$1640,A557,'Bank Lines'!$J$5:$J$1640,1,'Bank Lines'!$C$5:$C$1640,"&lt;="&amp;Cover!$C$15),2)</f>
        <v>-145915.93</v>
      </c>
      <c r="Z557" s="9">
        <f>ROUND(SUMIFS('Odoo Items'!$G$5:$G$4331,'Odoo Items'!$J$5:$J$4331,A557,'Odoo Items'!$C$5:$C$4331,"&lt;="&amp;Cover!$C$15),2)</f>
        <v>-145915.93</v>
      </c>
      <c r="AA557">
        <f>COUNTIFS('Bank Lines'!$G$5:$G$1640,A557,'Bank Lines'!$J$5:$J$1640,1,'Bank Lines'!$C$5:$C$1640,"&lt;="&amp;Cover!$C$15)</f>
        <v>56</v>
      </c>
      <c r="AB557">
        <f>COUNTIFS('Odoo Items'!$J$5:$J$4331,A557,'Odoo Items'!$C$5:$C$4331,"&lt;="&amp;Cover!$C$15)</f>
        <v>1</v>
      </c>
      <c r="AC557" t="str">
        <f>IF(AND(AA557=0,AB557=0),"",IF(AA557=0,"ODOO-ONLY",IF(AB557=0,"BANK-ONLY","BOTH")))</f>
        <v>BOTH</v>
      </c>
      <c r="AD557" s="9">
        <f>IF(AC557="BOTH",ROUND(Y557-Z557,2),0)</f>
        <v>0</v>
      </c>
    </row>
    <row r="558">
      <c r="A558" t="inlineStr">
        <is>
          <t>G00554</t>
        </is>
      </c>
      <c r="B558" t="inlineStr">
        <is>
          <t>PAY</t>
        </is>
      </c>
      <c r="C558" t="inlineStr">
        <is>
          <t>R05</t>
        </is>
      </c>
      <c r="D558" t="inlineStr">
        <is>
          <t>MATCH</t>
        </is>
      </c>
      <c r="E558" t="inlineStr"/>
      <c r="G558" t="inlineStr">
        <is>
          <t>56 salary lines</t>
        </is>
      </c>
      <c r="H558">
        <f>COUNTIFS('Bank Lines'!$G$5:$G$1640,A558,'Bank Lines'!$J$5:$J$1640,1)</f>
        <v>56</v>
      </c>
      <c r="I558">
        <f>COUNTIFS('Odoo Items'!$J$5:$J$4331,A558)</f>
        <v>1</v>
      </c>
      <c r="J558" s="9">
        <f>ROUND(SUMIFS('Bank Lines'!$E$5:$E$1640,'Bank Lines'!$G$5:$G$1640,A558,'Bank Lines'!$J$5:$J$1640,1),2)</f>
        <v>-145995.38</v>
      </c>
      <c r="K558" s="9">
        <f>ROUND(SUMIFS('Odoo Items'!$G$5:$G$4331,'Odoo Items'!$J$5:$J$4331,A558),2)</f>
        <v>-145995.38</v>
      </c>
      <c r="L558" s="9">
        <f>ROUND(J558-K558,2)</f>
        <v>0</v>
      </c>
      <c r="M558" s="9">
        <f>ROUND(SUMIFS('Bank Lines'!$E$5:$E$1640,'Bank Lines'!$G$5:$G$1640,A558,'Bank Lines'!$J$5:$J$1640,1,'Bank Lines'!$C$5:$C$1640,"&lt;="&amp;Cover!$C$13),2)</f>
        <v>0</v>
      </c>
      <c r="N558" s="9">
        <f>ROUND(SUMIFS('Odoo Items'!$G$5:$G$4331,'Odoo Items'!$J$5:$J$4331,A558,'Odoo Items'!$C$5:$C$4331,"&lt;="&amp;Cover!$C$13),2)</f>
        <v>0</v>
      </c>
      <c r="O558">
        <f>COUNTIFS('Bank Lines'!$G$5:$G$1640,A558,'Bank Lines'!$J$5:$J$1640,1,'Bank Lines'!$C$5:$C$1640,"&lt;="&amp;Cover!$C$13)</f>
        <v>0</v>
      </c>
      <c r="P558">
        <f>COUNTIFS('Odoo Items'!$J$5:$J$4331,A558,'Odoo Items'!$C$5:$C$4331,"&lt;="&amp;Cover!$C$13)</f>
        <v>0</v>
      </c>
      <c r="Q558">
        <f>IF(AND(O558=0,P558=0),"",IF(O558=0,"ODOO-ONLY",IF(P558=0,"BANK-ONLY","BOTH")))</f>
      </c>
      <c r="R558" s="9">
        <f>IF(Q558="BOTH",ROUND(M558-N558,2),0)</f>
        <v>0</v>
      </c>
      <c r="S558" s="9">
        <f>ROUND(SUMIFS('Bank Lines'!$E$5:$E$1640,'Bank Lines'!$G$5:$G$1640,A558,'Bank Lines'!$J$5:$J$1640,1,'Bank Lines'!$C$5:$C$1640,"&lt;="&amp;Cover!$C$14),2)</f>
        <v>-145995.38</v>
      </c>
      <c r="T558" s="9">
        <f>ROUND(SUMIFS('Odoo Items'!$G$5:$G$4331,'Odoo Items'!$J$5:$J$4331,A558,'Odoo Items'!$C$5:$C$4331,"&lt;="&amp;Cover!$C$14),2)</f>
        <v>-145995.38</v>
      </c>
      <c r="U558">
        <f>COUNTIFS('Bank Lines'!$G$5:$G$1640,A558,'Bank Lines'!$J$5:$J$1640,1,'Bank Lines'!$C$5:$C$1640,"&lt;="&amp;Cover!$C$14)</f>
        <v>56</v>
      </c>
      <c r="V558">
        <f>COUNTIFS('Odoo Items'!$J$5:$J$4331,A558,'Odoo Items'!$C$5:$C$4331,"&lt;="&amp;Cover!$C$14)</f>
        <v>1</v>
      </c>
      <c r="W558" t="str">
        <f>IF(AND(U558=0,V558=0),"",IF(U558=0,"ODOO-ONLY",IF(V558=0,"BANK-ONLY","BOTH")))</f>
        <v>BOTH</v>
      </c>
      <c r="X558" s="9">
        <f>IF(W558="BOTH",ROUND(S558-T558,2),0)</f>
        <v>0</v>
      </c>
      <c r="Y558" s="9">
        <f>ROUND(SUMIFS('Bank Lines'!$E$5:$E$1640,'Bank Lines'!$G$5:$G$1640,A558,'Bank Lines'!$J$5:$J$1640,1,'Bank Lines'!$C$5:$C$1640,"&lt;="&amp;Cover!$C$15),2)</f>
        <v>-145995.38</v>
      </c>
      <c r="Z558" s="9">
        <f>ROUND(SUMIFS('Odoo Items'!$G$5:$G$4331,'Odoo Items'!$J$5:$J$4331,A558,'Odoo Items'!$C$5:$C$4331,"&lt;="&amp;Cover!$C$15),2)</f>
        <v>-145995.38</v>
      </c>
      <c r="AA558">
        <f>COUNTIFS('Bank Lines'!$G$5:$G$1640,A558,'Bank Lines'!$J$5:$J$1640,1,'Bank Lines'!$C$5:$C$1640,"&lt;="&amp;Cover!$C$15)</f>
        <v>56</v>
      </c>
      <c r="AB558">
        <f>COUNTIFS('Odoo Items'!$J$5:$J$4331,A558,'Odoo Items'!$C$5:$C$4331,"&lt;="&amp;Cover!$C$15)</f>
        <v>1</v>
      </c>
      <c r="AC558" t="str">
        <f>IF(AND(AA558=0,AB558=0),"",IF(AA558=0,"ODOO-ONLY",IF(AB558=0,"BANK-ONLY","BOTH")))</f>
        <v>BOTH</v>
      </c>
      <c r="AD558" s="9">
        <f>IF(AC558="BOTH",ROUND(Y558-Z558,2),0)</f>
        <v>0</v>
      </c>
    </row>
    <row r="559">
      <c r="A559" t="inlineStr">
        <is>
          <t>G00555</t>
        </is>
      </c>
      <c r="B559" t="inlineStr">
        <is>
          <t>PAY</t>
        </is>
      </c>
      <c r="C559" t="inlineStr">
        <is>
          <t>R05</t>
        </is>
      </c>
      <c r="D559" t="inlineStr">
        <is>
          <t>MATCH</t>
        </is>
      </c>
      <c r="E559" t="inlineStr"/>
      <c r="G559" t="inlineStr">
        <is>
          <t>56 salary lines</t>
        </is>
      </c>
      <c r="H559">
        <f>COUNTIFS('Bank Lines'!$G$5:$G$1640,A559,'Bank Lines'!$J$5:$J$1640,1)</f>
        <v>56</v>
      </c>
      <c r="I559">
        <f>COUNTIFS('Odoo Items'!$J$5:$J$4331,A559)</f>
        <v>1</v>
      </c>
      <c r="J559" s="9">
        <f>ROUND(SUMIFS('Bank Lines'!$E$5:$E$1640,'Bank Lines'!$G$5:$G$1640,A559,'Bank Lines'!$J$5:$J$1640,1),2)</f>
        <v>-145921.29</v>
      </c>
      <c r="K559" s="9">
        <f>ROUND(SUMIFS('Odoo Items'!$G$5:$G$4331,'Odoo Items'!$J$5:$J$4331,A559),2)</f>
        <v>-145921.29</v>
      </c>
      <c r="L559" s="9">
        <f>ROUND(J559-K559,2)</f>
        <v>0</v>
      </c>
      <c r="M559" s="9">
        <f>ROUND(SUMIFS('Bank Lines'!$E$5:$E$1640,'Bank Lines'!$G$5:$G$1640,A559,'Bank Lines'!$J$5:$J$1640,1,'Bank Lines'!$C$5:$C$1640,"&lt;="&amp;Cover!$C$13),2)</f>
        <v>0</v>
      </c>
      <c r="N559" s="9">
        <f>ROUND(SUMIFS('Odoo Items'!$G$5:$G$4331,'Odoo Items'!$J$5:$J$4331,A559,'Odoo Items'!$C$5:$C$4331,"&lt;="&amp;Cover!$C$13),2)</f>
        <v>0</v>
      </c>
      <c r="O559">
        <f>COUNTIFS('Bank Lines'!$G$5:$G$1640,A559,'Bank Lines'!$J$5:$J$1640,1,'Bank Lines'!$C$5:$C$1640,"&lt;="&amp;Cover!$C$13)</f>
        <v>0</v>
      </c>
      <c r="P559">
        <f>COUNTIFS('Odoo Items'!$J$5:$J$4331,A559,'Odoo Items'!$C$5:$C$4331,"&lt;="&amp;Cover!$C$13)</f>
        <v>0</v>
      </c>
      <c r="Q559">
        <f>IF(AND(O559=0,P559=0),"",IF(O559=0,"ODOO-ONLY",IF(P559=0,"BANK-ONLY","BOTH")))</f>
      </c>
      <c r="R559" s="9">
        <f>IF(Q559="BOTH",ROUND(M559-N559,2),0)</f>
        <v>0</v>
      </c>
      <c r="S559" s="9">
        <f>ROUND(SUMIFS('Bank Lines'!$E$5:$E$1640,'Bank Lines'!$G$5:$G$1640,A559,'Bank Lines'!$J$5:$J$1640,1,'Bank Lines'!$C$5:$C$1640,"&lt;="&amp;Cover!$C$14),2)</f>
        <v>-145921.29</v>
      </c>
      <c r="T559" s="9">
        <f>ROUND(SUMIFS('Odoo Items'!$G$5:$G$4331,'Odoo Items'!$J$5:$J$4331,A559,'Odoo Items'!$C$5:$C$4331,"&lt;="&amp;Cover!$C$14),2)</f>
        <v>-145921.29</v>
      </c>
      <c r="U559">
        <f>COUNTIFS('Bank Lines'!$G$5:$G$1640,A559,'Bank Lines'!$J$5:$J$1640,1,'Bank Lines'!$C$5:$C$1640,"&lt;="&amp;Cover!$C$14)</f>
        <v>56</v>
      </c>
      <c r="V559">
        <f>COUNTIFS('Odoo Items'!$J$5:$J$4331,A559,'Odoo Items'!$C$5:$C$4331,"&lt;="&amp;Cover!$C$14)</f>
        <v>1</v>
      </c>
      <c r="W559" t="str">
        <f>IF(AND(U559=0,V559=0),"",IF(U559=0,"ODOO-ONLY",IF(V559=0,"BANK-ONLY","BOTH")))</f>
        <v>BOTH</v>
      </c>
      <c r="X559" s="9">
        <f>IF(W559="BOTH",ROUND(S559-T559,2),0)</f>
        <v>0</v>
      </c>
      <c r="Y559" s="9">
        <f>ROUND(SUMIFS('Bank Lines'!$E$5:$E$1640,'Bank Lines'!$G$5:$G$1640,A559,'Bank Lines'!$J$5:$J$1640,1,'Bank Lines'!$C$5:$C$1640,"&lt;="&amp;Cover!$C$15),2)</f>
        <v>-145921.29</v>
      </c>
      <c r="Z559" s="9">
        <f>ROUND(SUMIFS('Odoo Items'!$G$5:$G$4331,'Odoo Items'!$J$5:$J$4331,A559,'Odoo Items'!$C$5:$C$4331,"&lt;="&amp;Cover!$C$15),2)</f>
        <v>-145921.29</v>
      </c>
      <c r="AA559">
        <f>COUNTIFS('Bank Lines'!$G$5:$G$1640,A559,'Bank Lines'!$J$5:$J$1640,1,'Bank Lines'!$C$5:$C$1640,"&lt;="&amp;Cover!$C$15)</f>
        <v>56</v>
      </c>
      <c r="AB559">
        <f>COUNTIFS('Odoo Items'!$J$5:$J$4331,A559,'Odoo Items'!$C$5:$C$4331,"&lt;="&amp;Cover!$C$15)</f>
        <v>1</v>
      </c>
      <c r="AC559" t="str">
        <f>IF(AND(AA559=0,AB559=0),"",IF(AA559=0,"ODOO-ONLY",IF(AB559=0,"BANK-ONLY","BOTH")))</f>
        <v>BOTH</v>
      </c>
      <c r="AD559" s="9">
        <f>IF(AC559="BOTH",ROUND(Y559-Z559,2),0)</f>
        <v>0</v>
      </c>
    </row>
    <row r="560">
      <c r="A560" t="inlineStr">
        <is>
          <t>G00556</t>
        </is>
      </c>
      <c r="B560" t="inlineStr">
        <is>
          <t>PAY</t>
        </is>
      </c>
      <c r="C560" t="inlineStr">
        <is>
          <t>R05</t>
        </is>
      </c>
      <c r="D560" t="inlineStr">
        <is>
          <t>MATCH</t>
        </is>
      </c>
      <c r="E560" t="inlineStr"/>
      <c r="G560" t="inlineStr">
        <is>
          <t>56 salary lines</t>
        </is>
      </c>
      <c r="H560">
        <f>COUNTIFS('Bank Lines'!$G$5:$G$1640,A560,'Bank Lines'!$J$5:$J$1640,1)</f>
        <v>56</v>
      </c>
      <c r="I560">
        <f>COUNTIFS('Odoo Items'!$J$5:$J$4331,A560)</f>
        <v>1</v>
      </c>
      <c r="J560" s="9">
        <f>ROUND(SUMIFS('Bank Lines'!$E$5:$E$1640,'Bank Lines'!$G$5:$G$1640,A560,'Bank Lines'!$J$5:$J$1640,1),2)</f>
        <v>-148843.52</v>
      </c>
      <c r="K560" s="9">
        <f>ROUND(SUMIFS('Odoo Items'!$G$5:$G$4331,'Odoo Items'!$J$5:$J$4331,A560),2)</f>
        <v>-148843.52</v>
      </c>
      <c r="L560" s="9">
        <f>ROUND(J560-K560,2)</f>
        <v>0</v>
      </c>
      <c r="M560" s="9">
        <f>ROUND(SUMIFS('Bank Lines'!$E$5:$E$1640,'Bank Lines'!$G$5:$G$1640,A560,'Bank Lines'!$J$5:$J$1640,1,'Bank Lines'!$C$5:$C$1640,"&lt;="&amp;Cover!$C$13),2)</f>
        <v>0</v>
      </c>
      <c r="N560" s="9">
        <f>ROUND(SUMIFS('Odoo Items'!$G$5:$G$4331,'Odoo Items'!$J$5:$J$4331,A560,'Odoo Items'!$C$5:$C$4331,"&lt;="&amp;Cover!$C$13),2)</f>
        <v>0</v>
      </c>
      <c r="O560">
        <f>COUNTIFS('Bank Lines'!$G$5:$G$1640,A560,'Bank Lines'!$J$5:$J$1640,1,'Bank Lines'!$C$5:$C$1640,"&lt;="&amp;Cover!$C$13)</f>
        <v>0</v>
      </c>
      <c r="P560">
        <f>COUNTIFS('Odoo Items'!$J$5:$J$4331,A560,'Odoo Items'!$C$5:$C$4331,"&lt;="&amp;Cover!$C$13)</f>
        <v>0</v>
      </c>
      <c r="Q560">
        <f>IF(AND(O560=0,P560=0),"",IF(O560=0,"ODOO-ONLY",IF(P560=0,"BANK-ONLY","BOTH")))</f>
      </c>
      <c r="R560" s="9">
        <f>IF(Q560="BOTH",ROUND(M560-N560,2),0)</f>
        <v>0</v>
      </c>
      <c r="S560" s="9">
        <f>ROUND(SUMIFS('Bank Lines'!$E$5:$E$1640,'Bank Lines'!$G$5:$G$1640,A560,'Bank Lines'!$J$5:$J$1640,1,'Bank Lines'!$C$5:$C$1640,"&lt;="&amp;Cover!$C$14),2)</f>
        <v>0</v>
      </c>
      <c r="T560" s="9">
        <f>ROUND(SUMIFS('Odoo Items'!$G$5:$G$4331,'Odoo Items'!$J$5:$J$4331,A560,'Odoo Items'!$C$5:$C$4331,"&lt;="&amp;Cover!$C$14),2)</f>
        <v>0</v>
      </c>
      <c r="U560">
        <f>COUNTIFS('Bank Lines'!$G$5:$G$1640,A560,'Bank Lines'!$J$5:$J$1640,1,'Bank Lines'!$C$5:$C$1640,"&lt;="&amp;Cover!$C$14)</f>
        <v>0</v>
      </c>
      <c r="V560">
        <f>COUNTIFS('Odoo Items'!$J$5:$J$4331,A560,'Odoo Items'!$C$5:$C$4331,"&lt;="&amp;Cover!$C$14)</f>
        <v>0</v>
      </c>
      <c r="W560">
        <f>IF(AND(U560=0,V560=0),"",IF(U560=0,"ODOO-ONLY",IF(V560=0,"BANK-ONLY","BOTH")))</f>
      </c>
      <c r="X560" s="9">
        <f>IF(W560="BOTH",ROUND(S560-T560,2),0)</f>
        <v>0</v>
      </c>
      <c r="Y560" s="9">
        <f>ROUND(SUMIFS('Bank Lines'!$E$5:$E$1640,'Bank Lines'!$G$5:$G$1640,A560,'Bank Lines'!$J$5:$J$1640,1,'Bank Lines'!$C$5:$C$1640,"&lt;="&amp;Cover!$C$15),2)</f>
        <v>-148843.52</v>
      </c>
      <c r="Z560" s="9">
        <f>ROUND(SUMIFS('Odoo Items'!$G$5:$G$4331,'Odoo Items'!$J$5:$J$4331,A560,'Odoo Items'!$C$5:$C$4331,"&lt;="&amp;Cover!$C$15),2)</f>
        <v>-148843.52</v>
      </c>
      <c r="AA560">
        <f>COUNTIFS('Bank Lines'!$G$5:$G$1640,A560,'Bank Lines'!$J$5:$J$1640,1,'Bank Lines'!$C$5:$C$1640,"&lt;="&amp;Cover!$C$15)</f>
        <v>56</v>
      </c>
      <c r="AB560">
        <f>COUNTIFS('Odoo Items'!$J$5:$J$4331,A560,'Odoo Items'!$C$5:$C$4331,"&lt;="&amp;Cover!$C$15)</f>
        <v>1</v>
      </c>
      <c r="AC560" t="str">
        <f>IF(AND(AA560=0,AB560=0),"",IF(AA560=0,"ODOO-ONLY",IF(AB560=0,"BANK-ONLY","BOTH")))</f>
        <v>BOTH</v>
      </c>
      <c r="AD560" s="9">
        <f>IF(AC560="BOTH",ROUND(Y560-Z560,2),0)</f>
        <v>0</v>
      </c>
    </row>
    <row r="561">
      <c r="A561" t="inlineStr">
        <is>
          <t>G00557</t>
        </is>
      </c>
      <c r="B561" t="inlineStr">
        <is>
          <t>PAY</t>
        </is>
      </c>
      <c r="C561" t="inlineStr">
        <is>
          <t>R05</t>
        </is>
      </c>
      <c r="D561" t="inlineStr">
        <is>
          <t>MATCH</t>
        </is>
      </c>
      <c r="E561" t="inlineStr"/>
      <c r="G561" t="inlineStr">
        <is>
          <t>56 salary lines</t>
        </is>
      </c>
      <c r="H561">
        <f>COUNTIFS('Bank Lines'!$G$5:$G$1640,A561,'Bank Lines'!$J$5:$J$1640,1)</f>
        <v>56</v>
      </c>
      <c r="I561">
        <f>COUNTIFS('Odoo Items'!$J$5:$J$4331,A561)</f>
        <v>1</v>
      </c>
      <c r="J561" s="9">
        <f>ROUND(SUMIFS('Bank Lines'!$E$5:$E$1640,'Bank Lines'!$G$5:$G$1640,A561,'Bank Lines'!$J$5:$J$1640,1),2)</f>
        <v>-146723.6</v>
      </c>
      <c r="K561" s="9">
        <f>ROUND(SUMIFS('Odoo Items'!$G$5:$G$4331,'Odoo Items'!$J$5:$J$4331,A561),2)</f>
        <v>-146723.6</v>
      </c>
      <c r="L561" s="9">
        <f>ROUND(J561-K561,2)</f>
        <v>0</v>
      </c>
      <c r="M561" s="9">
        <f>ROUND(SUMIFS('Bank Lines'!$E$5:$E$1640,'Bank Lines'!$G$5:$G$1640,A561,'Bank Lines'!$J$5:$J$1640,1,'Bank Lines'!$C$5:$C$1640,"&lt;="&amp;Cover!$C$13),2)</f>
        <v>0</v>
      </c>
      <c r="N561" s="9">
        <f>ROUND(SUMIFS('Odoo Items'!$G$5:$G$4331,'Odoo Items'!$J$5:$J$4331,A561,'Odoo Items'!$C$5:$C$4331,"&lt;="&amp;Cover!$C$13),2)</f>
        <v>0</v>
      </c>
      <c r="O561">
        <f>COUNTIFS('Bank Lines'!$G$5:$G$1640,A561,'Bank Lines'!$J$5:$J$1640,1,'Bank Lines'!$C$5:$C$1640,"&lt;="&amp;Cover!$C$13)</f>
        <v>0</v>
      </c>
      <c r="P561">
        <f>COUNTIFS('Odoo Items'!$J$5:$J$4331,A561,'Odoo Items'!$C$5:$C$4331,"&lt;="&amp;Cover!$C$13)</f>
        <v>0</v>
      </c>
      <c r="Q561">
        <f>IF(AND(O561=0,P561=0),"",IF(O561=0,"ODOO-ONLY",IF(P561=0,"BANK-ONLY","BOTH")))</f>
      </c>
      <c r="R561" s="9">
        <f>IF(Q561="BOTH",ROUND(M561-N561,2),0)</f>
        <v>0</v>
      </c>
      <c r="S561" s="9">
        <f>ROUND(SUMIFS('Bank Lines'!$E$5:$E$1640,'Bank Lines'!$G$5:$G$1640,A561,'Bank Lines'!$J$5:$J$1640,1,'Bank Lines'!$C$5:$C$1640,"&lt;="&amp;Cover!$C$14),2)</f>
        <v>0</v>
      </c>
      <c r="T561" s="9">
        <f>ROUND(SUMIFS('Odoo Items'!$G$5:$G$4331,'Odoo Items'!$J$5:$J$4331,A561,'Odoo Items'!$C$5:$C$4331,"&lt;="&amp;Cover!$C$14),2)</f>
        <v>0</v>
      </c>
      <c r="U561">
        <f>COUNTIFS('Bank Lines'!$G$5:$G$1640,A561,'Bank Lines'!$J$5:$J$1640,1,'Bank Lines'!$C$5:$C$1640,"&lt;="&amp;Cover!$C$14)</f>
        <v>0</v>
      </c>
      <c r="V561">
        <f>COUNTIFS('Odoo Items'!$J$5:$J$4331,A561,'Odoo Items'!$C$5:$C$4331,"&lt;="&amp;Cover!$C$14)</f>
        <v>0</v>
      </c>
      <c r="W561">
        <f>IF(AND(U561=0,V561=0),"",IF(U561=0,"ODOO-ONLY",IF(V561=0,"BANK-ONLY","BOTH")))</f>
      </c>
      <c r="X561" s="9">
        <f>IF(W561="BOTH",ROUND(S561-T561,2),0)</f>
        <v>0</v>
      </c>
      <c r="Y561" s="9">
        <f>ROUND(SUMIFS('Bank Lines'!$E$5:$E$1640,'Bank Lines'!$G$5:$G$1640,A561,'Bank Lines'!$J$5:$J$1640,1,'Bank Lines'!$C$5:$C$1640,"&lt;="&amp;Cover!$C$15),2)</f>
        <v>-146723.6</v>
      </c>
      <c r="Z561" s="9">
        <f>ROUND(SUMIFS('Odoo Items'!$G$5:$G$4331,'Odoo Items'!$J$5:$J$4331,A561,'Odoo Items'!$C$5:$C$4331,"&lt;="&amp;Cover!$C$15),2)</f>
        <v>-146723.6</v>
      </c>
      <c r="AA561">
        <f>COUNTIFS('Bank Lines'!$G$5:$G$1640,A561,'Bank Lines'!$J$5:$J$1640,1,'Bank Lines'!$C$5:$C$1640,"&lt;="&amp;Cover!$C$15)</f>
        <v>56</v>
      </c>
      <c r="AB561">
        <f>COUNTIFS('Odoo Items'!$J$5:$J$4331,A561,'Odoo Items'!$C$5:$C$4331,"&lt;="&amp;Cover!$C$15)</f>
        <v>1</v>
      </c>
      <c r="AC561" t="str">
        <f>IF(AND(AA561=0,AB561=0),"",IF(AA561=0,"ODOO-ONLY",IF(AB561=0,"BANK-ONLY","BOTH")))</f>
        <v>BOTH</v>
      </c>
      <c r="AD561" s="9">
        <f>IF(AC561="BOTH",ROUND(Y561-Z561,2),0)</f>
        <v>0</v>
      </c>
    </row>
    <row r="562">
      <c r="A562" t="inlineStr">
        <is>
          <t>G00558</t>
        </is>
      </c>
      <c r="B562" t="inlineStr">
        <is>
          <t>PAY</t>
        </is>
      </c>
      <c r="C562" t="inlineStr">
        <is>
          <t>R04</t>
        </is>
      </c>
      <c r="D562" t="inlineStr">
        <is>
          <t>MATCH</t>
        </is>
      </c>
      <c r="E562" t="inlineStr"/>
      <c r="G562" t="inlineStr">
        <is>
          <t>Reference PR260702</t>
        </is>
      </c>
      <c r="H562">
        <f>COUNTIFS('Bank Lines'!$G$5:$G$1640,A562,'Bank Lines'!$J$5:$J$1640,1)</f>
        <v>1</v>
      </c>
      <c r="I562">
        <f>COUNTIFS('Odoo Items'!$J$5:$J$4331,A562)</f>
        <v>1</v>
      </c>
      <c r="J562" s="9">
        <f>ROUND(SUMIFS('Bank Lines'!$E$5:$E$1640,'Bank Lines'!$G$5:$G$1640,A562,'Bank Lines'!$J$5:$J$1640,1),2)</f>
        <v>167671.63</v>
      </c>
      <c r="K562" s="9">
        <f>ROUND(SUMIFS('Odoo Items'!$G$5:$G$4331,'Odoo Items'!$J$5:$J$4331,A562),2)</f>
        <v>167671.63</v>
      </c>
      <c r="L562" s="9">
        <f>ROUND(J562-K562,2)</f>
        <v>0</v>
      </c>
      <c r="M562" s="9">
        <f>ROUND(SUMIFS('Bank Lines'!$E$5:$E$1640,'Bank Lines'!$G$5:$G$1640,A562,'Bank Lines'!$J$5:$J$1640,1,'Bank Lines'!$C$5:$C$1640,"&lt;="&amp;Cover!$C$13),2)</f>
        <v>167671.63</v>
      </c>
      <c r="N562" s="9">
        <f>ROUND(SUMIFS('Odoo Items'!$G$5:$G$4331,'Odoo Items'!$J$5:$J$4331,A562,'Odoo Items'!$C$5:$C$4331,"&lt;="&amp;Cover!$C$13),2)</f>
        <v>167671.63</v>
      </c>
      <c r="O562">
        <f>COUNTIFS('Bank Lines'!$G$5:$G$1640,A562,'Bank Lines'!$J$5:$J$1640,1,'Bank Lines'!$C$5:$C$1640,"&lt;="&amp;Cover!$C$13)</f>
        <v>1</v>
      </c>
      <c r="P562">
        <f>COUNTIFS('Odoo Items'!$J$5:$J$4331,A562,'Odoo Items'!$C$5:$C$4331,"&lt;="&amp;Cover!$C$13)</f>
        <v>1</v>
      </c>
      <c r="Q562" t="str">
        <f>IF(AND(O562=0,P562=0),"",IF(O562=0,"ODOO-ONLY",IF(P562=0,"BANK-ONLY","BOTH")))</f>
        <v>BOTH</v>
      </c>
      <c r="R562" s="9">
        <f>IF(Q562="BOTH",ROUND(M562-N562,2),0)</f>
        <v>0</v>
      </c>
      <c r="S562" s="9">
        <f>ROUND(SUMIFS('Bank Lines'!$E$5:$E$1640,'Bank Lines'!$G$5:$G$1640,A562,'Bank Lines'!$J$5:$J$1640,1,'Bank Lines'!$C$5:$C$1640,"&lt;="&amp;Cover!$C$14),2)</f>
        <v>167671.63</v>
      </c>
      <c r="T562" s="9">
        <f>ROUND(SUMIFS('Odoo Items'!$G$5:$G$4331,'Odoo Items'!$J$5:$J$4331,A562,'Odoo Items'!$C$5:$C$4331,"&lt;="&amp;Cover!$C$14),2)</f>
        <v>167671.63</v>
      </c>
      <c r="U562">
        <f>COUNTIFS('Bank Lines'!$G$5:$G$1640,A562,'Bank Lines'!$J$5:$J$1640,1,'Bank Lines'!$C$5:$C$1640,"&lt;="&amp;Cover!$C$14)</f>
        <v>1</v>
      </c>
      <c r="V562">
        <f>COUNTIFS('Odoo Items'!$J$5:$J$4331,A562,'Odoo Items'!$C$5:$C$4331,"&lt;="&amp;Cover!$C$14)</f>
        <v>1</v>
      </c>
      <c r="W562" t="str">
        <f>IF(AND(U562=0,V562=0),"",IF(U562=0,"ODOO-ONLY",IF(V562=0,"BANK-ONLY","BOTH")))</f>
        <v>BOTH</v>
      </c>
      <c r="X562" s="9">
        <f>IF(W562="BOTH",ROUND(S562-T562,2),0)</f>
        <v>0</v>
      </c>
      <c r="Y562" s="9">
        <f>ROUND(SUMIFS('Bank Lines'!$E$5:$E$1640,'Bank Lines'!$G$5:$G$1640,A562,'Bank Lines'!$J$5:$J$1640,1,'Bank Lines'!$C$5:$C$1640,"&lt;="&amp;Cover!$C$15),2)</f>
        <v>167671.63</v>
      </c>
      <c r="Z562" s="9">
        <f>ROUND(SUMIFS('Odoo Items'!$G$5:$G$4331,'Odoo Items'!$J$5:$J$4331,A562,'Odoo Items'!$C$5:$C$4331,"&lt;="&amp;Cover!$C$15),2)</f>
        <v>167671.63</v>
      </c>
      <c r="AA562">
        <f>COUNTIFS('Bank Lines'!$G$5:$G$1640,A562,'Bank Lines'!$J$5:$J$1640,1,'Bank Lines'!$C$5:$C$1640,"&lt;="&amp;Cover!$C$15)</f>
        <v>1</v>
      </c>
      <c r="AB562">
        <f>COUNTIFS('Odoo Items'!$J$5:$J$4331,A562,'Odoo Items'!$C$5:$C$4331,"&lt;="&amp;Cover!$C$15)</f>
        <v>1</v>
      </c>
      <c r="AC562" t="str">
        <f>IF(AND(AA562=0,AB562=0),"",IF(AA562=0,"ODOO-ONLY",IF(AB562=0,"BANK-ONLY","BOTH")))</f>
        <v>BOTH</v>
      </c>
      <c r="AD562" s="9">
        <f>IF(AC562="BOTH",ROUND(Y562-Z562,2),0)</f>
        <v>0</v>
      </c>
    </row>
    <row r="563">
      <c r="A563" t="inlineStr">
        <is>
          <t>G00559</t>
        </is>
      </c>
      <c r="B563" t="inlineStr">
        <is>
          <t>PAY</t>
        </is>
      </c>
      <c r="C563" t="inlineStr">
        <is>
          <t>R04</t>
        </is>
      </c>
      <c r="D563" t="inlineStr">
        <is>
          <t>MATCH</t>
        </is>
      </c>
      <c r="E563" t="inlineStr"/>
      <c r="G563" t="inlineStr">
        <is>
          <t>Reference PR260702</t>
        </is>
      </c>
      <c r="H563">
        <f>COUNTIFS('Bank Lines'!$G$5:$G$1640,A563,'Bank Lines'!$J$5:$J$1640,1)</f>
        <v>1</v>
      </c>
      <c r="I563">
        <f>COUNTIFS('Odoo Items'!$J$5:$J$4331,A563)</f>
        <v>1</v>
      </c>
      <c r="J563" s="9">
        <f>ROUND(SUMIFS('Bank Lines'!$E$5:$E$1640,'Bank Lines'!$G$5:$G$1640,A563,'Bank Lines'!$J$5:$J$1640,1),2)</f>
        <v>-20591.25</v>
      </c>
      <c r="K563" s="9">
        <f>ROUND(SUMIFS('Odoo Items'!$G$5:$G$4331,'Odoo Items'!$J$5:$J$4331,A563),2)</f>
        <v>-20591.25</v>
      </c>
      <c r="L563" s="9">
        <f>ROUND(J563-K563,2)</f>
        <v>0</v>
      </c>
      <c r="M563" s="9">
        <f>ROUND(SUMIFS('Bank Lines'!$E$5:$E$1640,'Bank Lines'!$G$5:$G$1640,A563,'Bank Lines'!$J$5:$J$1640,1,'Bank Lines'!$C$5:$C$1640,"&lt;="&amp;Cover!$C$13),2)</f>
        <v>-20591.25</v>
      </c>
      <c r="N563" s="9">
        <f>ROUND(SUMIFS('Odoo Items'!$G$5:$G$4331,'Odoo Items'!$J$5:$J$4331,A563,'Odoo Items'!$C$5:$C$4331,"&lt;="&amp;Cover!$C$13),2)</f>
        <v>-20591.25</v>
      </c>
      <c r="O563">
        <f>COUNTIFS('Bank Lines'!$G$5:$G$1640,A563,'Bank Lines'!$J$5:$J$1640,1,'Bank Lines'!$C$5:$C$1640,"&lt;="&amp;Cover!$C$13)</f>
        <v>1</v>
      </c>
      <c r="P563">
        <f>COUNTIFS('Odoo Items'!$J$5:$J$4331,A563,'Odoo Items'!$C$5:$C$4331,"&lt;="&amp;Cover!$C$13)</f>
        <v>1</v>
      </c>
      <c r="Q563" t="str">
        <f>IF(AND(O563=0,P563=0),"",IF(O563=0,"ODOO-ONLY",IF(P563=0,"BANK-ONLY","BOTH")))</f>
        <v>BOTH</v>
      </c>
      <c r="R563" s="9">
        <f>IF(Q563="BOTH",ROUND(M563-N563,2),0)</f>
        <v>0</v>
      </c>
      <c r="S563" s="9">
        <f>ROUND(SUMIFS('Bank Lines'!$E$5:$E$1640,'Bank Lines'!$G$5:$G$1640,A563,'Bank Lines'!$J$5:$J$1640,1,'Bank Lines'!$C$5:$C$1640,"&lt;="&amp;Cover!$C$14),2)</f>
        <v>-20591.25</v>
      </c>
      <c r="T563" s="9">
        <f>ROUND(SUMIFS('Odoo Items'!$G$5:$G$4331,'Odoo Items'!$J$5:$J$4331,A563,'Odoo Items'!$C$5:$C$4331,"&lt;="&amp;Cover!$C$14),2)</f>
        <v>-20591.25</v>
      </c>
      <c r="U563">
        <f>COUNTIFS('Bank Lines'!$G$5:$G$1640,A563,'Bank Lines'!$J$5:$J$1640,1,'Bank Lines'!$C$5:$C$1640,"&lt;="&amp;Cover!$C$14)</f>
        <v>1</v>
      </c>
      <c r="V563">
        <f>COUNTIFS('Odoo Items'!$J$5:$J$4331,A563,'Odoo Items'!$C$5:$C$4331,"&lt;="&amp;Cover!$C$14)</f>
        <v>1</v>
      </c>
      <c r="W563" t="str">
        <f>IF(AND(U563=0,V563=0),"",IF(U563=0,"ODOO-ONLY",IF(V563=0,"BANK-ONLY","BOTH")))</f>
        <v>BOTH</v>
      </c>
      <c r="X563" s="9">
        <f>IF(W563="BOTH",ROUND(S563-T563,2),0)</f>
        <v>0</v>
      </c>
      <c r="Y563" s="9">
        <f>ROUND(SUMIFS('Bank Lines'!$E$5:$E$1640,'Bank Lines'!$G$5:$G$1640,A563,'Bank Lines'!$J$5:$J$1640,1,'Bank Lines'!$C$5:$C$1640,"&lt;="&amp;Cover!$C$15),2)</f>
        <v>-20591.25</v>
      </c>
      <c r="Z563" s="9">
        <f>ROUND(SUMIFS('Odoo Items'!$G$5:$G$4331,'Odoo Items'!$J$5:$J$4331,A563,'Odoo Items'!$C$5:$C$4331,"&lt;="&amp;Cover!$C$15),2)</f>
        <v>-20591.25</v>
      </c>
      <c r="AA563">
        <f>COUNTIFS('Bank Lines'!$G$5:$G$1640,A563,'Bank Lines'!$J$5:$J$1640,1,'Bank Lines'!$C$5:$C$1640,"&lt;="&amp;Cover!$C$15)</f>
        <v>1</v>
      </c>
      <c r="AB563">
        <f>COUNTIFS('Odoo Items'!$J$5:$J$4331,A563,'Odoo Items'!$C$5:$C$4331,"&lt;="&amp;Cover!$C$15)</f>
        <v>1</v>
      </c>
      <c r="AC563" t="str">
        <f>IF(AND(AA563=0,AB563=0),"",IF(AA563=0,"ODOO-ONLY",IF(AB563=0,"BANK-ONLY","BOTH")))</f>
        <v>BOTH</v>
      </c>
      <c r="AD563" s="9">
        <f>IF(AC563="BOTH",ROUND(Y563-Z563,2),0)</f>
        <v>0</v>
      </c>
    </row>
    <row r="564">
      <c r="A564" t="inlineStr">
        <is>
          <t>G00560</t>
        </is>
      </c>
      <c r="B564" t="inlineStr">
        <is>
          <t>PAY</t>
        </is>
      </c>
      <c r="C564" t="inlineStr">
        <is>
          <t>R04</t>
        </is>
      </c>
      <c r="D564" t="inlineStr">
        <is>
          <t>MATCH</t>
        </is>
      </c>
      <c r="E564" t="inlineStr"/>
      <c r="G564" t="inlineStr">
        <is>
          <t>Reference PR260716</t>
        </is>
      </c>
      <c r="H564">
        <f>COUNTIFS('Bank Lines'!$G$5:$G$1640,A564,'Bank Lines'!$J$5:$J$1640,1)</f>
        <v>1</v>
      </c>
      <c r="I564">
        <f>COUNTIFS('Odoo Items'!$J$5:$J$4331,A564)</f>
        <v>1</v>
      </c>
      <c r="J564" s="9">
        <f>ROUND(SUMIFS('Bank Lines'!$E$5:$E$1640,'Bank Lines'!$G$5:$G$1640,A564,'Bank Lines'!$J$5:$J$1640,1),2)</f>
        <v>203128.08</v>
      </c>
      <c r="K564" s="9">
        <f>ROUND(SUMIFS('Odoo Items'!$G$5:$G$4331,'Odoo Items'!$J$5:$J$4331,A564),2)</f>
        <v>203128.08</v>
      </c>
      <c r="L564" s="9">
        <f>ROUND(J564-K564,2)</f>
        <v>0</v>
      </c>
      <c r="M564" s="9">
        <f>ROUND(SUMIFS('Bank Lines'!$E$5:$E$1640,'Bank Lines'!$G$5:$G$1640,A564,'Bank Lines'!$J$5:$J$1640,1,'Bank Lines'!$C$5:$C$1640,"&lt;="&amp;Cover!$C$13),2)</f>
        <v>203128.08</v>
      </c>
      <c r="N564" s="9">
        <f>ROUND(SUMIFS('Odoo Items'!$G$5:$G$4331,'Odoo Items'!$J$5:$J$4331,A564,'Odoo Items'!$C$5:$C$4331,"&lt;="&amp;Cover!$C$13),2)</f>
        <v>203128.08</v>
      </c>
      <c r="O564">
        <f>COUNTIFS('Bank Lines'!$G$5:$G$1640,A564,'Bank Lines'!$J$5:$J$1640,1,'Bank Lines'!$C$5:$C$1640,"&lt;="&amp;Cover!$C$13)</f>
        <v>1</v>
      </c>
      <c r="P564">
        <f>COUNTIFS('Odoo Items'!$J$5:$J$4331,A564,'Odoo Items'!$C$5:$C$4331,"&lt;="&amp;Cover!$C$13)</f>
        <v>1</v>
      </c>
      <c r="Q564" t="str">
        <f>IF(AND(O564=0,P564=0),"",IF(O564=0,"ODOO-ONLY",IF(P564=0,"BANK-ONLY","BOTH")))</f>
        <v>BOTH</v>
      </c>
      <c r="R564" s="9">
        <f>IF(Q564="BOTH",ROUND(M564-N564,2),0)</f>
        <v>0</v>
      </c>
      <c r="S564" s="9">
        <f>ROUND(SUMIFS('Bank Lines'!$E$5:$E$1640,'Bank Lines'!$G$5:$G$1640,A564,'Bank Lines'!$J$5:$J$1640,1,'Bank Lines'!$C$5:$C$1640,"&lt;="&amp;Cover!$C$14),2)</f>
        <v>203128.08</v>
      </c>
      <c r="T564" s="9">
        <f>ROUND(SUMIFS('Odoo Items'!$G$5:$G$4331,'Odoo Items'!$J$5:$J$4331,A564,'Odoo Items'!$C$5:$C$4331,"&lt;="&amp;Cover!$C$14),2)</f>
        <v>203128.08</v>
      </c>
      <c r="U564">
        <f>COUNTIFS('Bank Lines'!$G$5:$G$1640,A564,'Bank Lines'!$J$5:$J$1640,1,'Bank Lines'!$C$5:$C$1640,"&lt;="&amp;Cover!$C$14)</f>
        <v>1</v>
      </c>
      <c r="V564">
        <f>COUNTIFS('Odoo Items'!$J$5:$J$4331,A564,'Odoo Items'!$C$5:$C$4331,"&lt;="&amp;Cover!$C$14)</f>
        <v>1</v>
      </c>
      <c r="W564" t="str">
        <f>IF(AND(U564=0,V564=0),"",IF(U564=0,"ODOO-ONLY",IF(V564=0,"BANK-ONLY","BOTH")))</f>
        <v>BOTH</v>
      </c>
      <c r="X564" s="9">
        <f>IF(W564="BOTH",ROUND(S564-T564,2),0)</f>
        <v>0</v>
      </c>
      <c r="Y564" s="9">
        <f>ROUND(SUMIFS('Bank Lines'!$E$5:$E$1640,'Bank Lines'!$G$5:$G$1640,A564,'Bank Lines'!$J$5:$J$1640,1,'Bank Lines'!$C$5:$C$1640,"&lt;="&amp;Cover!$C$15),2)</f>
        <v>203128.08</v>
      </c>
      <c r="Z564" s="9">
        <f>ROUND(SUMIFS('Odoo Items'!$G$5:$G$4331,'Odoo Items'!$J$5:$J$4331,A564,'Odoo Items'!$C$5:$C$4331,"&lt;="&amp;Cover!$C$15),2)</f>
        <v>203128.08</v>
      </c>
      <c r="AA564">
        <f>COUNTIFS('Bank Lines'!$G$5:$G$1640,A564,'Bank Lines'!$J$5:$J$1640,1,'Bank Lines'!$C$5:$C$1640,"&lt;="&amp;Cover!$C$15)</f>
        <v>1</v>
      </c>
      <c r="AB564">
        <f>COUNTIFS('Odoo Items'!$J$5:$J$4331,A564,'Odoo Items'!$C$5:$C$4331,"&lt;="&amp;Cover!$C$15)</f>
        <v>1</v>
      </c>
      <c r="AC564" t="str">
        <f>IF(AND(AA564=0,AB564=0),"",IF(AA564=0,"ODOO-ONLY",IF(AB564=0,"BANK-ONLY","BOTH")))</f>
        <v>BOTH</v>
      </c>
      <c r="AD564" s="9">
        <f>IF(AC564="BOTH",ROUND(Y564-Z564,2),0)</f>
        <v>0</v>
      </c>
    </row>
    <row r="565">
      <c r="A565" t="inlineStr">
        <is>
          <t>G00561</t>
        </is>
      </c>
      <c r="B565" t="inlineStr">
        <is>
          <t>PAY</t>
        </is>
      </c>
      <c r="C565" t="inlineStr">
        <is>
          <t>R04</t>
        </is>
      </c>
      <c r="D565" t="inlineStr">
        <is>
          <t>MATCH</t>
        </is>
      </c>
      <c r="E565" t="inlineStr"/>
      <c r="G565" t="inlineStr">
        <is>
          <t>Reference PR260730</t>
        </is>
      </c>
      <c r="H565">
        <f>COUNTIFS('Bank Lines'!$G$5:$G$1640,A565,'Bank Lines'!$J$5:$J$1640,1)</f>
        <v>1</v>
      </c>
      <c r="I565">
        <f>COUNTIFS('Odoo Items'!$J$5:$J$4331,A565)</f>
        <v>1</v>
      </c>
      <c r="J565" s="9">
        <f>ROUND(SUMIFS('Bank Lines'!$E$5:$E$1640,'Bank Lines'!$G$5:$G$1640,A565,'Bank Lines'!$J$5:$J$1640,1),2)</f>
        <v>166344.16</v>
      </c>
      <c r="K565" s="9">
        <f>ROUND(SUMIFS('Odoo Items'!$G$5:$G$4331,'Odoo Items'!$J$5:$J$4331,A565),2)</f>
        <v>166344.16</v>
      </c>
      <c r="L565" s="9">
        <f>ROUND(J565-K565,2)</f>
        <v>0</v>
      </c>
      <c r="M565" s="9">
        <f>ROUND(SUMIFS('Bank Lines'!$E$5:$E$1640,'Bank Lines'!$G$5:$G$1640,A565,'Bank Lines'!$J$5:$J$1640,1,'Bank Lines'!$C$5:$C$1640,"&lt;="&amp;Cover!$C$13),2)</f>
        <v>166344.16</v>
      </c>
      <c r="N565" s="9">
        <f>ROUND(SUMIFS('Odoo Items'!$G$5:$G$4331,'Odoo Items'!$J$5:$J$4331,A565,'Odoo Items'!$C$5:$C$4331,"&lt;="&amp;Cover!$C$13),2)</f>
        <v>166344.16</v>
      </c>
      <c r="O565">
        <f>COUNTIFS('Bank Lines'!$G$5:$G$1640,A565,'Bank Lines'!$J$5:$J$1640,1,'Bank Lines'!$C$5:$C$1640,"&lt;="&amp;Cover!$C$13)</f>
        <v>1</v>
      </c>
      <c r="P565">
        <f>COUNTIFS('Odoo Items'!$J$5:$J$4331,A565,'Odoo Items'!$C$5:$C$4331,"&lt;="&amp;Cover!$C$13)</f>
        <v>1</v>
      </c>
      <c r="Q565" t="str">
        <f>IF(AND(O565=0,P565=0),"",IF(O565=0,"ODOO-ONLY",IF(P565=0,"BANK-ONLY","BOTH")))</f>
        <v>BOTH</v>
      </c>
      <c r="R565" s="9">
        <f>IF(Q565="BOTH",ROUND(M565-N565,2),0)</f>
        <v>0</v>
      </c>
      <c r="S565" s="9">
        <f>ROUND(SUMIFS('Bank Lines'!$E$5:$E$1640,'Bank Lines'!$G$5:$G$1640,A565,'Bank Lines'!$J$5:$J$1640,1,'Bank Lines'!$C$5:$C$1640,"&lt;="&amp;Cover!$C$14),2)</f>
        <v>166344.16</v>
      </c>
      <c r="T565" s="9">
        <f>ROUND(SUMIFS('Odoo Items'!$G$5:$G$4331,'Odoo Items'!$J$5:$J$4331,A565,'Odoo Items'!$C$5:$C$4331,"&lt;="&amp;Cover!$C$14),2)</f>
        <v>166344.16</v>
      </c>
      <c r="U565">
        <f>COUNTIFS('Bank Lines'!$G$5:$G$1640,A565,'Bank Lines'!$J$5:$J$1640,1,'Bank Lines'!$C$5:$C$1640,"&lt;="&amp;Cover!$C$14)</f>
        <v>1</v>
      </c>
      <c r="V565">
        <f>COUNTIFS('Odoo Items'!$J$5:$J$4331,A565,'Odoo Items'!$C$5:$C$4331,"&lt;="&amp;Cover!$C$14)</f>
        <v>1</v>
      </c>
      <c r="W565" t="str">
        <f>IF(AND(U565=0,V565=0),"",IF(U565=0,"ODOO-ONLY",IF(V565=0,"BANK-ONLY","BOTH")))</f>
        <v>BOTH</v>
      </c>
      <c r="X565" s="9">
        <f>IF(W565="BOTH",ROUND(S565-T565,2),0)</f>
        <v>0</v>
      </c>
      <c r="Y565" s="9">
        <f>ROUND(SUMIFS('Bank Lines'!$E$5:$E$1640,'Bank Lines'!$G$5:$G$1640,A565,'Bank Lines'!$J$5:$J$1640,1,'Bank Lines'!$C$5:$C$1640,"&lt;="&amp;Cover!$C$15),2)</f>
        <v>166344.16</v>
      </c>
      <c r="Z565" s="9">
        <f>ROUND(SUMIFS('Odoo Items'!$G$5:$G$4331,'Odoo Items'!$J$5:$J$4331,A565,'Odoo Items'!$C$5:$C$4331,"&lt;="&amp;Cover!$C$15),2)</f>
        <v>166344.16</v>
      </c>
      <c r="AA565">
        <f>COUNTIFS('Bank Lines'!$G$5:$G$1640,A565,'Bank Lines'!$J$5:$J$1640,1,'Bank Lines'!$C$5:$C$1640,"&lt;="&amp;Cover!$C$15)</f>
        <v>1</v>
      </c>
      <c r="AB565">
        <f>COUNTIFS('Odoo Items'!$J$5:$J$4331,A565,'Odoo Items'!$C$5:$C$4331,"&lt;="&amp;Cover!$C$15)</f>
        <v>1</v>
      </c>
      <c r="AC565" t="str">
        <f>IF(AND(AA565=0,AB565=0),"",IF(AA565=0,"ODOO-ONLY",IF(AB565=0,"BANK-ONLY","BOTH")))</f>
        <v>BOTH</v>
      </c>
      <c r="AD565" s="9">
        <f>IF(AC565="BOTH",ROUND(Y565-Z565,2),0)</f>
        <v>0</v>
      </c>
    </row>
    <row r="566">
      <c r="A566" t="inlineStr">
        <is>
          <t>G00562</t>
        </is>
      </c>
      <c r="B566" t="inlineStr">
        <is>
          <t>PAY</t>
        </is>
      </c>
      <c r="C566" t="inlineStr">
        <is>
          <t>R04</t>
        </is>
      </c>
      <c r="D566" t="inlineStr">
        <is>
          <t>MATCH</t>
        </is>
      </c>
      <c r="E566" t="inlineStr"/>
      <c r="G566" t="inlineStr">
        <is>
          <t>Reference PR260730</t>
        </is>
      </c>
      <c r="H566">
        <f>COUNTIFS('Bank Lines'!$G$5:$G$1640,A566,'Bank Lines'!$J$5:$J$1640,1)</f>
        <v>1</v>
      </c>
      <c r="I566">
        <f>COUNTIFS('Odoo Items'!$J$5:$J$4331,A566)</f>
        <v>1</v>
      </c>
      <c r="J566" s="9">
        <f>ROUND(SUMIFS('Bank Lines'!$E$5:$E$1640,'Bank Lines'!$G$5:$G$1640,A566,'Bank Lines'!$J$5:$J$1640,1),2)</f>
        <v>-20428.23</v>
      </c>
      <c r="K566" s="9">
        <f>ROUND(SUMIFS('Odoo Items'!$G$5:$G$4331,'Odoo Items'!$J$5:$J$4331,A566),2)</f>
        <v>-20428.23</v>
      </c>
      <c r="L566" s="9">
        <f>ROUND(J566-K566,2)</f>
        <v>0</v>
      </c>
      <c r="M566" s="9">
        <f>ROUND(SUMIFS('Bank Lines'!$E$5:$E$1640,'Bank Lines'!$G$5:$G$1640,A566,'Bank Lines'!$J$5:$J$1640,1,'Bank Lines'!$C$5:$C$1640,"&lt;="&amp;Cover!$C$13),2)</f>
        <v>0</v>
      </c>
      <c r="N566" s="9">
        <f>ROUND(SUMIFS('Odoo Items'!$G$5:$G$4331,'Odoo Items'!$J$5:$J$4331,A566,'Odoo Items'!$C$5:$C$4331,"&lt;="&amp;Cover!$C$13),2)</f>
        <v>0</v>
      </c>
      <c r="O566">
        <f>COUNTIFS('Bank Lines'!$G$5:$G$1640,A566,'Bank Lines'!$J$5:$J$1640,1,'Bank Lines'!$C$5:$C$1640,"&lt;="&amp;Cover!$C$13)</f>
        <v>0</v>
      </c>
      <c r="P566">
        <f>COUNTIFS('Odoo Items'!$J$5:$J$4331,A566,'Odoo Items'!$C$5:$C$4331,"&lt;="&amp;Cover!$C$13)</f>
        <v>0</v>
      </c>
      <c r="Q566">
        <f>IF(AND(O566=0,P566=0),"",IF(O566=0,"ODOO-ONLY",IF(P566=0,"BANK-ONLY","BOTH")))</f>
      </c>
      <c r="R566" s="9">
        <f>IF(Q566="BOTH",ROUND(M566-N566,2),0)</f>
        <v>0</v>
      </c>
      <c r="S566" s="9">
        <f>ROUND(SUMIFS('Bank Lines'!$E$5:$E$1640,'Bank Lines'!$G$5:$G$1640,A566,'Bank Lines'!$J$5:$J$1640,1,'Bank Lines'!$C$5:$C$1640,"&lt;="&amp;Cover!$C$14),2)</f>
        <v>-20428.23</v>
      </c>
      <c r="T566" s="9">
        <f>ROUND(SUMIFS('Odoo Items'!$G$5:$G$4331,'Odoo Items'!$J$5:$J$4331,A566,'Odoo Items'!$C$5:$C$4331,"&lt;="&amp;Cover!$C$14),2)</f>
        <v>-20428.23</v>
      </c>
      <c r="U566">
        <f>COUNTIFS('Bank Lines'!$G$5:$G$1640,A566,'Bank Lines'!$J$5:$J$1640,1,'Bank Lines'!$C$5:$C$1640,"&lt;="&amp;Cover!$C$14)</f>
        <v>1</v>
      </c>
      <c r="V566">
        <f>COUNTIFS('Odoo Items'!$J$5:$J$4331,A566,'Odoo Items'!$C$5:$C$4331,"&lt;="&amp;Cover!$C$14)</f>
        <v>1</v>
      </c>
      <c r="W566" t="str">
        <f>IF(AND(U566=0,V566=0),"",IF(U566=0,"ODOO-ONLY",IF(V566=0,"BANK-ONLY","BOTH")))</f>
        <v>BOTH</v>
      </c>
      <c r="X566" s="9">
        <f>IF(W566="BOTH",ROUND(S566-T566,2),0)</f>
        <v>0</v>
      </c>
      <c r="Y566" s="9">
        <f>ROUND(SUMIFS('Bank Lines'!$E$5:$E$1640,'Bank Lines'!$G$5:$G$1640,A566,'Bank Lines'!$J$5:$J$1640,1,'Bank Lines'!$C$5:$C$1640,"&lt;="&amp;Cover!$C$15),2)</f>
        <v>-20428.23</v>
      </c>
      <c r="Z566" s="9">
        <f>ROUND(SUMIFS('Odoo Items'!$G$5:$G$4331,'Odoo Items'!$J$5:$J$4331,A566,'Odoo Items'!$C$5:$C$4331,"&lt;="&amp;Cover!$C$15),2)</f>
        <v>-20428.23</v>
      </c>
      <c r="AA566">
        <f>COUNTIFS('Bank Lines'!$G$5:$G$1640,A566,'Bank Lines'!$J$5:$J$1640,1,'Bank Lines'!$C$5:$C$1640,"&lt;="&amp;Cover!$C$15)</f>
        <v>1</v>
      </c>
      <c r="AB566">
        <f>COUNTIFS('Odoo Items'!$J$5:$J$4331,A566,'Odoo Items'!$C$5:$C$4331,"&lt;="&amp;Cover!$C$15)</f>
        <v>1</v>
      </c>
      <c r="AC566" t="str">
        <f>IF(AND(AA566=0,AB566=0),"",IF(AA566=0,"ODOO-ONLY",IF(AB566=0,"BANK-ONLY","BOTH")))</f>
        <v>BOTH</v>
      </c>
      <c r="AD566" s="9">
        <f>IF(AC566="BOTH",ROUND(Y566-Z566,2),0)</f>
        <v>0</v>
      </c>
    </row>
    <row r="567">
      <c r="A567" t="inlineStr">
        <is>
          <t>G00563</t>
        </is>
      </c>
      <c r="B567" t="inlineStr">
        <is>
          <t>PAY</t>
        </is>
      </c>
      <c r="C567" t="inlineStr">
        <is>
          <t>R04</t>
        </is>
      </c>
      <c r="D567" t="inlineStr">
        <is>
          <t>MATCH</t>
        </is>
      </c>
      <c r="E567" t="inlineStr"/>
      <c r="G567" t="inlineStr">
        <is>
          <t>Reference PR260813</t>
        </is>
      </c>
      <c r="H567">
        <f>COUNTIFS('Bank Lines'!$G$5:$G$1640,A567,'Bank Lines'!$J$5:$J$1640,1)</f>
        <v>1</v>
      </c>
      <c r="I567">
        <f>COUNTIFS('Odoo Items'!$J$5:$J$4331,A567)</f>
        <v>1</v>
      </c>
      <c r="J567" s="9">
        <f>ROUND(SUMIFS('Bank Lines'!$E$5:$E$1640,'Bank Lines'!$G$5:$G$1640,A567,'Bank Lines'!$J$5:$J$1640,1),2)</f>
        <v>201473.62</v>
      </c>
      <c r="K567" s="9">
        <f>ROUND(SUMIFS('Odoo Items'!$G$5:$G$4331,'Odoo Items'!$J$5:$J$4331,A567),2)</f>
        <v>201473.62</v>
      </c>
      <c r="L567" s="9">
        <f>ROUND(J567-K567,2)</f>
        <v>0</v>
      </c>
      <c r="M567" s="9">
        <f>ROUND(SUMIFS('Bank Lines'!$E$5:$E$1640,'Bank Lines'!$G$5:$G$1640,A567,'Bank Lines'!$J$5:$J$1640,1,'Bank Lines'!$C$5:$C$1640,"&lt;="&amp;Cover!$C$13),2)</f>
        <v>0</v>
      </c>
      <c r="N567" s="9">
        <f>ROUND(SUMIFS('Odoo Items'!$G$5:$G$4331,'Odoo Items'!$J$5:$J$4331,A567,'Odoo Items'!$C$5:$C$4331,"&lt;="&amp;Cover!$C$13),2)</f>
        <v>0</v>
      </c>
      <c r="O567">
        <f>COUNTIFS('Bank Lines'!$G$5:$G$1640,A567,'Bank Lines'!$J$5:$J$1640,1,'Bank Lines'!$C$5:$C$1640,"&lt;="&amp;Cover!$C$13)</f>
        <v>0</v>
      </c>
      <c r="P567">
        <f>COUNTIFS('Odoo Items'!$J$5:$J$4331,A567,'Odoo Items'!$C$5:$C$4331,"&lt;="&amp;Cover!$C$13)</f>
        <v>0</v>
      </c>
      <c r="Q567">
        <f>IF(AND(O567=0,P567=0),"",IF(O567=0,"ODOO-ONLY",IF(P567=0,"BANK-ONLY","BOTH")))</f>
      </c>
      <c r="R567" s="9">
        <f>IF(Q567="BOTH",ROUND(M567-N567,2),0)</f>
        <v>0</v>
      </c>
      <c r="S567" s="9">
        <f>ROUND(SUMIFS('Bank Lines'!$E$5:$E$1640,'Bank Lines'!$G$5:$G$1640,A567,'Bank Lines'!$J$5:$J$1640,1,'Bank Lines'!$C$5:$C$1640,"&lt;="&amp;Cover!$C$14),2)</f>
        <v>201473.62</v>
      </c>
      <c r="T567" s="9">
        <f>ROUND(SUMIFS('Odoo Items'!$G$5:$G$4331,'Odoo Items'!$J$5:$J$4331,A567,'Odoo Items'!$C$5:$C$4331,"&lt;="&amp;Cover!$C$14),2)</f>
        <v>201473.62</v>
      </c>
      <c r="U567">
        <f>COUNTIFS('Bank Lines'!$G$5:$G$1640,A567,'Bank Lines'!$J$5:$J$1640,1,'Bank Lines'!$C$5:$C$1640,"&lt;="&amp;Cover!$C$14)</f>
        <v>1</v>
      </c>
      <c r="V567">
        <f>COUNTIFS('Odoo Items'!$J$5:$J$4331,A567,'Odoo Items'!$C$5:$C$4331,"&lt;="&amp;Cover!$C$14)</f>
        <v>1</v>
      </c>
      <c r="W567" t="str">
        <f>IF(AND(U567=0,V567=0),"",IF(U567=0,"ODOO-ONLY",IF(V567=0,"BANK-ONLY","BOTH")))</f>
        <v>BOTH</v>
      </c>
      <c r="X567" s="9">
        <f>IF(W567="BOTH",ROUND(S567-T567,2),0)</f>
        <v>0</v>
      </c>
      <c r="Y567" s="9">
        <f>ROUND(SUMIFS('Bank Lines'!$E$5:$E$1640,'Bank Lines'!$G$5:$G$1640,A567,'Bank Lines'!$J$5:$J$1640,1,'Bank Lines'!$C$5:$C$1640,"&lt;="&amp;Cover!$C$15),2)</f>
        <v>201473.62</v>
      </c>
      <c r="Z567" s="9">
        <f>ROUND(SUMIFS('Odoo Items'!$G$5:$G$4331,'Odoo Items'!$J$5:$J$4331,A567,'Odoo Items'!$C$5:$C$4331,"&lt;="&amp;Cover!$C$15),2)</f>
        <v>201473.62</v>
      </c>
      <c r="AA567">
        <f>COUNTIFS('Bank Lines'!$G$5:$G$1640,A567,'Bank Lines'!$J$5:$J$1640,1,'Bank Lines'!$C$5:$C$1640,"&lt;="&amp;Cover!$C$15)</f>
        <v>1</v>
      </c>
      <c r="AB567">
        <f>COUNTIFS('Odoo Items'!$J$5:$J$4331,A567,'Odoo Items'!$C$5:$C$4331,"&lt;="&amp;Cover!$C$15)</f>
        <v>1</v>
      </c>
      <c r="AC567" t="str">
        <f>IF(AND(AA567=0,AB567=0),"",IF(AA567=0,"ODOO-ONLY",IF(AB567=0,"BANK-ONLY","BOTH")))</f>
        <v>BOTH</v>
      </c>
      <c r="AD567" s="9">
        <f>IF(AC567="BOTH",ROUND(Y567-Z567,2),0)</f>
        <v>0</v>
      </c>
    </row>
    <row r="568">
      <c r="A568" t="inlineStr">
        <is>
          <t>G00564</t>
        </is>
      </c>
      <c r="B568" t="inlineStr">
        <is>
          <t>PAY</t>
        </is>
      </c>
      <c r="C568" t="inlineStr">
        <is>
          <t>R04</t>
        </is>
      </c>
      <c r="D568" t="inlineStr">
        <is>
          <t>MATCH</t>
        </is>
      </c>
      <c r="E568" t="inlineStr"/>
      <c r="G568" t="inlineStr">
        <is>
          <t>Reference PR260827</t>
        </is>
      </c>
      <c r="H568">
        <f>COUNTIFS('Bank Lines'!$G$5:$G$1640,A568,'Bank Lines'!$J$5:$J$1640,1)</f>
        <v>1</v>
      </c>
      <c r="I568">
        <f>COUNTIFS('Odoo Items'!$J$5:$J$4331,A568)</f>
        <v>1</v>
      </c>
      <c r="J568" s="9">
        <f>ROUND(SUMIFS('Bank Lines'!$E$5:$E$1640,'Bank Lines'!$G$5:$G$1640,A568,'Bank Lines'!$J$5:$J$1640,1),2)</f>
        <v>166350.27</v>
      </c>
      <c r="K568" s="9">
        <f>ROUND(SUMIFS('Odoo Items'!$G$5:$G$4331,'Odoo Items'!$J$5:$J$4331,A568),2)</f>
        <v>166350.27</v>
      </c>
      <c r="L568" s="9">
        <f>ROUND(J568-K568,2)</f>
        <v>0</v>
      </c>
      <c r="M568" s="9">
        <f>ROUND(SUMIFS('Bank Lines'!$E$5:$E$1640,'Bank Lines'!$G$5:$G$1640,A568,'Bank Lines'!$J$5:$J$1640,1,'Bank Lines'!$C$5:$C$1640,"&lt;="&amp;Cover!$C$13),2)</f>
        <v>0</v>
      </c>
      <c r="N568" s="9">
        <f>ROUND(SUMIFS('Odoo Items'!$G$5:$G$4331,'Odoo Items'!$J$5:$J$4331,A568,'Odoo Items'!$C$5:$C$4331,"&lt;="&amp;Cover!$C$13),2)</f>
        <v>0</v>
      </c>
      <c r="O568">
        <f>COUNTIFS('Bank Lines'!$G$5:$G$1640,A568,'Bank Lines'!$J$5:$J$1640,1,'Bank Lines'!$C$5:$C$1640,"&lt;="&amp;Cover!$C$13)</f>
        <v>0</v>
      </c>
      <c r="P568">
        <f>COUNTIFS('Odoo Items'!$J$5:$J$4331,A568,'Odoo Items'!$C$5:$C$4331,"&lt;="&amp;Cover!$C$13)</f>
        <v>0</v>
      </c>
      <c r="Q568">
        <f>IF(AND(O568=0,P568=0),"",IF(O568=0,"ODOO-ONLY",IF(P568=0,"BANK-ONLY","BOTH")))</f>
      </c>
      <c r="R568" s="9">
        <f>IF(Q568="BOTH",ROUND(M568-N568,2),0)</f>
        <v>0</v>
      </c>
      <c r="S568" s="9">
        <f>ROUND(SUMIFS('Bank Lines'!$E$5:$E$1640,'Bank Lines'!$G$5:$G$1640,A568,'Bank Lines'!$J$5:$J$1640,1,'Bank Lines'!$C$5:$C$1640,"&lt;="&amp;Cover!$C$14),2)</f>
        <v>166350.27</v>
      </c>
      <c r="T568" s="9">
        <f>ROUND(SUMIFS('Odoo Items'!$G$5:$G$4331,'Odoo Items'!$J$5:$J$4331,A568,'Odoo Items'!$C$5:$C$4331,"&lt;="&amp;Cover!$C$14),2)</f>
        <v>166350.27</v>
      </c>
      <c r="U568">
        <f>COUNTIFS('Bank Lines'!$G$5:$G$1640,A568,'Bank Lines'!$J$5:$J$1640,1,'Bank Lines'!$C$5:$C$1640,"&lt;="&amp;Cover!$C$14)</f>
        <v>1</v>
      </c>
      <c r="V568">
        <f>COUNTIFS('Odoo Items'!$J$5:$J$4331,A568,'Odoo Items'!$C$5:$C$4331,"&lt;="&amp;Cover!$C$14)</f>
        <v>1</v>
      </c>
      <c r="W568" t="str">
        <f>IF(AND(U568=0,V568=0),"",IF(U568=0,"ODOO-ONLY",IF(V568=0,"BANK-ONLY","BOTH")))</f>
        <v>BOTH</v>
      </c>
      <c r="X568" s="9">
        <f>IF(W568="BOTH",ROUND(S568-T568,2),0)</f>
        <v>0</v>
      </c>
      <c r="Y568" s="9">
        <f>ROUND(SUMIFS('Bank Lines'!$E$5:$E$1640,'Bank Lines'!$G$5:$G$1640,A568,'Bank Lines'!$J$5:$J$1640,1,'Bank Lines'!$C$5:$C$1640,"&lt;="&amp;Cover!$C$15),2)</f>
        <v>166350.27</v>
      </c>
      <c r="Z568" s="9">
        <f>ROUND(SUMIFS('Odoo Items'!$G$5:$G$4331,'Odoo Items'!$J$5:$J$4331,A568,'Odoo Items'!$C$5:$C$4331,"&lt;="&amp;Cover!$C$15),2)</f>
        <v>166350.27</v>
      </c>
      <c r="AA568">
        <f>COUNTIFS('Bank Lines'!$G$5:$G$1640,A568,'Bank Lines'!$J$5:$J$1640,1,'Bank Lines'!$C$5:$C$1640,"&lt;="&amp;Cover!$C$15)</f>
        <v>1</v>
      </c>
      <c r="AB568">
        <f>COUNTIFS('Odoo Items'!$J$5:$J$4331,A568,'Odoo Items'!$C$5:$C$4331,"&lt;="&amp;Cover!$C$15)</f>
        <v>1</v>
      </c>
      <c r="AC568" t="str">
        <f>IF(AND(AA568=0,AB568=0),"",IF(AA568=0,"ODOO-ONLY",IF(AB568=0,"BANK-ONLY","BOTH")))</f>
        <v>BOTH</v>
      </c>
      <c r="AD568" s="9">
        <f>IF(AC568="BOTH",ROUND(Y568-Z568,2),0)</f>
        <v>0</v>
      </c>
    </row>
    <row r="569">
      <c r="A569" t="inlineStr">
        <is>
          <t>G00565</t>
        </is>
      </c>
      <c r="B569" t="inlineStr">
        <is>
          <t>PAY</t>
        </is>
      </c>
      <c r="C569" t="inlineStr">
        <is>
          <t>R04</t>
        </is>
      </c>
      <c r="D569" t="inlineStr">
        <is>
          <t>MATCH</t>
        </is>
      </c>
      <c r="E569" t="inlineStr"/>
      <c r="G569" t="inlineStr">
        <is>
          <t>Reference PR260827</t>
        </is>
      </c>
      <c r="H569">
        <f>COUNTIFS('Bank Lines'!$G$5:$G$1640,A569,'Bank Lines'!$J$5:$J$1640,1)</f>
        <v>1</v>
      </c>
      <c r="I569">
        <f>COUNTIFS('Odoo Items'!$J$5:$J$4331,A569)</f>
        <v>1</v>
      </c>
      <c r="J569" s="9">
        <f>ROUND(SUMIFS('Bank Lines'!$E$5:$E$1640,'Bank Lines'!$G$5:$G$1640,A569,'Bank Lines'!$J$5:$J$1640,1),2)</f>
        <v>-20428.98</v>
      </c>
      <c r="K569" s="9">
        <f>ROUND(SUMIFS('Odoo Items'!$G$5:$G$4331,'Odoo Items'!$J$5:$J$4331,A569),2)</f>
        <v>-20428.98</v>
      </c>
      <c r="L569" s="9">
        <f>ROUND(J569-K569,2)</f>
        <v>0</v>
      </c>
      <c r="M569" s="9">
        <f>ROUND(SUMIFS('Bank Lines'!$E$5:$E$1640,'Bank Lines'!$G$5:$G$1640,A569,'Bank Lines'!$J$5:$J$1640,1,'Bank Lines'!$C$5:$C$1640,"&lt;="&amp;Cover!$C$13),2)</f>
        <v>0</v>
      </c>
      <c r="N569" s="9">
        <f>ROUND(SUMIFS('Odoo Items'!$G$5:$G$4331,'Odoo Items'!$J$5:$J$4331,A569,'Odoo Items'!$C$5:$C$4331,"&lt;="&amp;Cover!$C$13),2)</f>
        <v>0</v>
      </c>
      <c r="O569">
        <f>COUNTIFS('Bank Lines'!$G$5:$G$1640,A569,'Bank Lines'!$J$5:$J$1640,1,'Bank Lines'!$C$5:$C$1640,"&lt;="&amp;Cover!$C$13)</f>
        <v>0</v>
      </c>
      <c r="P569">
        <f>COUNTIFS('Odoo Items'!$J$5:$J$4331,A569,'Odoo Items'!$C$5:$C$4331,"&lt;="&amp;Cover!$C$13)</f>
        <v>0</v>
      </c>
      <c r="Q569">
        <f>IF(AND(O569=0,P569=0),"",IF(O569=0,"ODOO-ONLY",IF(P569=0,"BANK-ONLY","BOTH")))</f>
      </c>
      <c r="R569" s="9">
        <f>IF(Q569="BOTH",ROUND(M569-N569,2),0)</f>
        <v>0</v>
      </c>
      <c r="S569" s="9">
        <f>ROUND(SUMIFS('Bank Lines'!$E$5:$E$1640,'Bank Lines'!$G$5:$G$1640,A569,'Bank Lines'!$J$5:$J$1640,1,'Bank Lines'!$C$5:$C$1640,"&lt;="&amp;Cover!$C$14),2)</f>
        <v>-20428.98</v>
      </c>
      <c r="T569" s="9">
        <f>ROUND(SUMIFS('Odoo Items'!$G$5:$G$4331,'Odoo Items'!$J$5:$J$4331,A569,'Odoo Items'!$C$5:$C$4331,"&lt;="&amp;Cover!$C$14),2)</f>
        <v>-20428.98</v>
      </c>
      <c r="U569">
        <f>COUNTIFS('Bank Lines'!$G$5:$G$1640,A569,'Bank Lines'!$J$5:$J$1640,1,'Bank Lines'!$C$5:$C$1640,"&lt;="&amp;Cover!$C$14)</f>
        <v>1</v>
      </c>
      <c r="V569">
        <f>COUNTIFS('Odoo Items'!$J$5:$J$4331,A569,'Odoo Items'!$C$5:$C$4331,"&lt;="&amp;Cover!$C$14)</f>
        <v>1</v>
      </c>
      <c r="W569" t="str">
        <f>IF(AND(U569=0,V569=0),"",IF(U569=0,"ODOO-ONLY",IF(V569=0,"BANK-ONLY","BOTH")))</f>
        <v>BOTH</v>
      </c>
      <c r="X569" s="9">
        <f>IF(W569="BOTH",ROUND(S569-T569,2),0)</f>
        <v>0</v>
      </c>
      <c r="Y569" s="9">
        <f>ROUND(SUMIFS('Bank Lines'!$E$5:$E$1640,'Bank Lines'!$G$5:$G$1640,A569,'Bank Lines'!$J$5:$J$1640,1,'Bank Lines'!$C$5:$C$1640,"&lt;="&amp;Cover!$C$15),2)</f>
        <v>-20428.98</v>
      </c>
      <c r="Z569" s="9">
        <f>ROUND(SUMIFS('Odoo Items'!$G$5:$G$4331,'Odoo Items'!$J$5:$J$4331,A569,'Odoo Items'!$C$5:$C$4331,"&lt;="&amp;Cover!$C$15),2)</f>
        <v>-20428.98</v>
      </c>
      <c r="AA569">
        <f>COUNTIFS('Bank Lines'!$G$5:$G$1640,A569,'Bank Lines'!$J$5:$J$1640,1,'Bank Lines'!$C$5:$C$1640,"&lt;="&amp;Cover!$C$15)</f>
        <v>1</v>
      </c>
      <c r="AB569">
        <f>COUNTIFS('Odoo Items'!$J$5:$J$4331,A569,'Odoo Items'!$C$5:$C$4331,"&lt;="&amp;Cover!$C$15)</f>
        <v>1</v>
      </c>
      <c r="AC569" t="str">
        <f>IF(AND(AA569=0,AB569=0),"",IF(AA569=0,"ODOO-ONLY",IF(AB569=0,"BANK-ONLY","BOTH")))</f>
        <v>BOTH</v>
      </c>
      <c r="AD569" s="9">
        <f>IF(AC569="BOTH",ROUND(Y569-Z569,2),0)</f>
        <v>0</v>
      </c>
    </row>
    <row r="570">
      <c r="A570" t="inlineStr">
        <is>
          <t>G00566</t>
        </is>
      </c>
      <c r="B570" t="inlineStr">
        <is>
          <t>PAY</t>
        </is>
      </c>
      <c r="C570" t="inlineStr">
        <is>
          <t>R04</t>
        </is>
      </c>
      <c r="D570" t="inlineStr">
        <is>
          <t>MATCH</t>
        </is>
      </c>
      <c r="E570" t="inlineStr"/>
      <c r="G570" t="inlineStr">
        <is>
          <t>Reference PR260910</t>
        </is>
      </c>
      <c r="H570">
        <f>COUNTIFS('Bank Lines'!$G$5:$G$1640,A570,'Bank Lines'!$J$5:$J$1640,1)</f>
        <v>1</v>
      </c>
      <c r="I570">
        <f>COUNTIFS('Odoo Items'!$J$5:$J$4331,A570)</f>
        <v>1</v>
      </c>
      <c r="J570" s="9">
        <f>ROUND(SUMIFS('Bank Lines'!$E$5:$E$1640,'Bank Lines'!$G$5:$G$1640,A570,'Bank Lines'!$J$5:$J$1640,1),2)</f>
        <v>205404.05</v>
      </c>
      <c r="K570" s="9">
        <f>ROUND(SUMIFS('Odoo Items'!$G$5:$G$4331,'Odoo Items'!$J$5:$J$4331,A570),2)</f>
        <v>205404.05</v>
      </c>
      <c r="L570" s="9">
        <f>ROUND(J570-K570,2)</f>
        <v>0</v>
      </c>
      <c r="M570" s="9">
        <f>ROUND(SUMIFS('Bank Lines'!$E$5:$E$1640,'Bank Lines'!$G$5:$G$1640,A570,'Bank Lines'!$J$5:$J$1640,1,'Bank Lines'!$C$5:$C$1640,"&lt;="&amp;Cover!$C$13),2)</f>
        <v>0</v>
      </c>
      <c r="N570" s="9">
        <f>ROUND(SUMIFS('Odoo Items'!$G$5:$G$4331,'Odoo Items'!$J$5:$J$4331,A570,'Odoo Items'!$C$5:$C$4331,"&lt;="&amp;Cover!$C$13),2)</f>
        <v>0</v>
      </c>
      <c r="O570">
        <f>COUNTIFS('Bank Lines'!$G$5:$G$1640,A570,'Bank Lines'!$J$5:$J$1640,1,'Bank Lines'!$C$5:$C$1640,"&lt;="&amp;Cover!$C$13)</f>
        <v>0</v>
      </c>
      <c r="P570">
        <f>COUNTIFS('Odoo Items'!$J$5:$J$4331,A570,'Odoo Items'!$C$5:$C$4331,"&lt;="&amp;Cover!$C$13)</f>
        <v>0</v>
      </c>
      <c r="Q570">
        <f>IF(AND(O570=0,P570=0),"",IF(O570=0,"ODOO-ONLY",IF(P570=0,"BANK-ONLY","BOTH")))</f>
      </c>
      <c r="R570" s="9">
        <f>IF(Q570="BOTH",ROUND(M570-N570,2),0)</f>
        <v>0</v>
      </c>
      <c r="S570" s="9">
        <f>ROUND(SUMIFS('Bank Lines'!$E$5:$E$1640,'Bank Lines'!$G$5:$G$1640,A570,'Bank Lines'!$J$5:$J$1640,1,'Bank Lines'!$C$5:$C$1640,"&lt;="&amp;Cover!$C$14),2)</f>
        <v>0</v>
      </c>
      <c r="T570" s="9">
        <f>ROUND(SUMIFS('Odoo Items'!$G$5:$G$4331,'Odoo Items'!$J$5:$J$4331,A570,'Odoo Items'!$C$5:$C$4331,"&lt;="&amp;Cover!$C$14),2)</f>
        <v>0</v>
      </c>
      <c r="U570">
        <f>COUNTIFS('Bank Lines'!$G$5:$G$1640,A570,'Bank Lines'!$J$5:$J$1640,1,'Bank Lines'!$C$5:$C$1640,"&lt;="&amp;Cover!$C$14)</f>
        <v>0</v>
      </c>
      <c r="V570">
        <f>COUNTIFS('Odoo Items'!$J$5:$J$4331,A570,'Odoo Items'!$C$5:$C$4331,"&lt;="&amp;Cover!$C$14)</f>
        <v>0</v>
      </c>
      <c r="W570">
        <f>IF(AND(U570=0,V570=0),"",IF(U570=0,"ODOO-ONLY",IF(V570=0,"BANK-ONLY","BOTH")))</f>
      </c>
      <c r="X570" s="9">
        <f>IF(W570="BOTH",ROUND(S570-T570,2),0)</f>
        <v>0</v>
      </c>
      <c r="Y570" s="9">
        <f>ROUND(SUMIFS('Bank Lines'!$E$5:$E$1640,'Bank Lines'!$G$5:$G$1640,A570,'Bank Lines'!$J$5:$J$1640,1,'Bank Lines'!$C$5:$C$1640,"&lt;="&amp;Cover!$C$15),2)</f>
        <v>205404.05</v>
      </c>
      <c r="Z570" s="9">
        <f>ROUND(SUMIFS('Odoo Items'!$G$5:$G$4331,'Odoo Items'!$J$5:$J$4331,A570,'Odoo Items'!$C$5:$C$4331,"&lt;="&amp;Cover!$C$15),2)</f>
        <v>205404.05</v>
      </c>
      <c r="AA570">
        <f>COUNTIFS('Bank Lines'!$G$5:$G$1640,A570,'Bank Lines'!$J$5:$J$1640,1,'Bank Lines'!$C$5:$C$1640,"&lt;="&amp;Cover!$C$15)</f>
        <v>1</v>
      </c>
      <c r="AB570">
        <f>COUNTIFS('Odoo Items'!$J$5:$J$4331,A570,'Odoo Items'!$C$5:$C$4331,"&lt;="&amp;Cover!$C$15)</f>
        <v>1</v>
      </c>
      <c r="AC570" t="str">
        <f>IF(AND(AA570=0,AB570=0),"",IF(AA570=0,"ODOO-ONLY",IF(AB570=0,"BANK-ONLY","BOTH")))</f>
        <v>BOTH</v>
      </c>
      <c r="AD570" s="9">
        <f>IF(AC570="BOTH",ROUND(Y570-Z570,2),0)</f>
        <v>0</v>
      </c>
    </row>
    <row r="571">
      <c r="A571" t="inlineStr">
        <is>
          <t>G00567</t>
        </is>
      </c>
      <c r="B571" t="inlineStr">
        <is>
          <t>PAY</t>
        </is>
      </c>
      <c r="C571" t="inlineStr">
        <is>
          <t>R04</t>
        </is>
      </c>
      <c r="D571" t="inlineStr">
        <is>
          <t>MATCH</t>
        </is>
      </c>
      <c r="E571" t="inlineStr"/>
      <c r="G571" t="inlineStr">
        <is>
          <t>Reference PR260924</t>
        </is>
      </c>
      <c r="H571">
        <f>COUNTIFS('Bank Lines'!$G$5:$G$1640,A571,'Bank Lines'!$J$5:$J$1640,1)</f>
        <v>1</v>
      </c>
      <c r="I571">
        <f>COUNTIFS('Odoo Items'!$J$5:$J$4331,A571)</f>
        <v>1</v>
      </c>
      <c r="J571" s="9">
        <f>ROUND(SUMIFS('Bank Lines'!$E$5:$E$1640,'Bank Lines'!$G$5:$G$1640,A571,'Bank Lines'!$J$5:$J$1640,1),2)</f>
        <v>167264.9</v>
      </c>
      <c r="K571" s="9">
        <f>ROUND(SUMIFS('Odoo Items'!$G$5:$G$4331,'Odoo Items'!$J$5:$J$4331,A571),2)</f>
        <v>167264.9</v>
      </c>
      <c r="L571" s="9">
        <f>ROUND(J571-K571,2)</f>
        <v>0</v>
      </c>
      <c r="M571" s="9">
        <f>ROUND(SUMIFS('Bank Lines'!$E$5:$E$1640,'Bank Lines'!$G$5:$G$1640,A571,'Bank Lines'!$J$5:$J$1640,1,'Bank Lines'!$C$5:$C$1640,"&lt;="&amp;Cover!$C$13),2)</f>
        <v>0</v>
      </c>
      <c r="N571" s="9">
        <f>ROUND(SUMIFS('Odoo Items'!$G$5:$G$4331,'Odoo Items'!$J$5:$J$4331,A571,'Odoo Items'!$C$5:$C$4331,"&lt;="&amp;Cover!$C$13),2)</f>
        <v>0</v>
      </c>
      <c r="O571">
        <f>COUNTIFS('Bank Lines'!$G$5:$G$1640,A571,'Bank Lines'!$J$5:$J$1640,1,'Bank Lines'!$C$5:$C$1640,"&lt;="&amp;Cover!$C$13)</f>
        <v>0</v>
      </c>
      <c r="P571">
        <f>COUNTIFS('Odoo Items'!$J$5:$J$4331,A571,'Odoo Items'!$C$5:$C$4331,"&lt;="&amp;Cover!$C$13)</f>
        <v>0</v>
      </c>
      <c r="Q571">
        <f>IF(AND(O571=0,P571=0),"",IF(O571=0,"ODOO-ONLY",IF(P571=0,"BANK-ONLY","BOTH")))</f>
      </c>
      <c r="R571" s="9">
        <f>IF(Q571="BOTH",ROUND(M571-N571,2),0)</f>
        <v>0</v>
      </c>
      <c r="S571" s="9">
        <f>ROUND(SUMIFS('Bank Lines'!$E$5:$E$1640,'Bank Lines'!$G$5:$G$1640,A571,'Bank Lines'!$J$5:$J$1640,1,'Bank Lines'!$C$5:$C$1640,"&lt;="&amp;Cover!$C$14),2)</f>
        <v>0</v>
      </c>
      <c r="T571" s="9">
        <f>ROUND(SUMIFS('Odoo Items'!$G$5:$G$4331,'Odoo Items'!$J$5:$J$4331,A571,'Odoo Items'!$C$5:$C$4331,"&lt;="&amp;Cover!$C$14),2)</f>
        <v>0</v>
      </c>
      <c r="U571">
        <f>COUNTIFS('Bank Lines'!$G$5:$G$1640,A571,'Bank Lines'!$J$5:$J$1640,1,'Bank Lines'!$C$5:$C$1640,"&lt;="&amp;Cover!$C$14)</f>
        <v>0</v>
      </c>
      <c r="V571">
        <f>COUNTIFS('Odoo Items'!$J$5:$J$4331,A571,'Odoo Items'!$C$5:$C$4331,"&lt;="&amp;Cover!$C$14)</f>
        <v>0</v>
      </c>
      <c r="W571">
        <f>IF(AND(U571=0,V571=0),"",IF(U571=0,"ODOO-ONLY",IF(V571=0,"BANK-ONLY","BOTH")))</f>
      </c>
      <c r="X571" s="9">
        <f>IF(W571="BOTH",ROUND(S571-T571,2),0)</f>
        <v>0</v>
      </c>
      <c r="Y571" s="9">
        <f>ROUND(SUMIFS('Bank Lines'!$E$5:$E$1640,'Bank Lines'!$G$5:$G$1640,A571,'Bank Lines'!$J$5:$J$1640,1,'Bank Lines'!$C$5:$C$1640,"&lt;="&amp;Cover!$C$15),2)</f>
        <v>167264.9</v>
      </c>
      <c r="Z571" s="9">
        <f>ROUND(SUMIFS('Odoo Items'!$G$5:$G$4331,'Odoo Items'!$J$5:$J$4331,A571,'Odoo Items'!$C$5:$C$4331,"&lt;="&amp;Cover!$C$15),2)</f>
        <v>167264.9</v>
      </c>
      <c r="AA571">
        <f>COUNTIFS('Bank Lines'!$G$5:$G$1640,A571,'Bank Lines'!$J$5:$J$1640,1,'Bank Lines'!$C$5:$C$1640,"&lt;="&amp;Cover!$C$15)</f>
        <v>1</v>
      </c>
      <c r="AB571">
        <f>COUNTIFS('Odoo Items'!$J$5:$J$4331,A571,'Odoo Items'!$C$5:$C$4331,"&lt;="&amp;Cover!$C$15)</f>
        <v>1</v>
      </c>
      <c r="AC571" t="str">
        <f>IF(AND(AA571=0,AB571=0),"",IF(AA571=0,"ODOO-ONLY",IF(AB571=0,"BANK-ONLY","BOTH")))</f>
        <v>BOTH</v>
      </c>
      <c r="AD571" s="9">
        <f>IF(AC571="BOTH",ROUND(Y571-Z571,2),0)</f>
        <v>0</v>
      </c>
    </row>
    <row r="572">
      <c r="A572" t="inlineStr">
        <is>
          <t>G00568</t>
        </is>
      </c>
      <c r="B572" t="inlineStr">
        <is>
          <t>MER</t>
        </is>
      </c>
      <c r="C572" t="inlineStr">
        <is>
          <t>R08</t>
        </is>
      </c>
      <c r="D572" t="inlineStr">
        <is>
          <t>MATCH</t>
        </is>
      </c>
      <c r="E572" t="inlineStr"/>
      <c r="G572" t="inlineStr"/>
      <c r="H572">
        <f>COUNTIFS('Bank Lines'!$G$5:$G$1640,A572,'Bank Lines'!$J$5:$J$1640,1)</f>
        <v>1</v>
      </c>
      <c r="I572">
        <f>COUNTIFS('Odoo Items'!$J$5:$J$4331,A572)</f>
        <v>1</v>
      </c>
      <c r="J572" s="9">
        <f>ROUND(SUMIFS('Bank Lines'!$E$5:$E$1640,'Bank Lines'!$G$5:$G$1640,A572,'Bank Lines'!$J$5:$J$1640,1),2)</f>
        <v>2248.03</v>
      </c>
      <c r="K572" s="9">
        <f>ROUND(SUMIFS('Odoo Items'!$G$5:$G$4331,'Odoo Items'!$J$5:$J$4331,A572),2)</f>
        <v>2248.03</v>
      </c>
      <c r="L572" s="9">
        <f>ROUND(J572-K572,2)</f>
        <v>0</v>
      </c>
      <c r="M572" s="9">
        <f>ROUND(SUMIFS('Bank Lines'!$E$5:$E$1640,'Bank Lines'!$G$5:$G$1640,A572,'Bank Lines'!$J$5:$J$1640,1,'Bank Lines'!$C$5:$C$1640,"&lt;="&amp;Cover!$C$13),2)</f>
        <v>2248.03</v>
      </c>
      <c r="N572" s="9">
        <f>ROUND(SUMIFS('Odoo Items'!$G$5:$G$4331,'Odoo Items'!$J$5:$J$4331,A572,'Odoo Items'!$C$5:$C$4331,"&lt;="&amp;Cover!$C$13),2)</f>
        <v>2248.03</v>
      </c>
      <c r="O572">
        <f>COUNTIFS('Bank Lines'!$G$5:$G$1640,A572,'Bank Lines'!$J$5:$J$1640,1,'Bank Lines'!$C$5:$C$1640,"&lt;="&amp;Cover!$C$13)</f>
        <v>1</v>
      </c>
      <c r="P572">
        <f>COUNTIFS('Odoo Items'!$J$5:$J$4331,A572,'Odoo Items'!$C$5:$C$4331,"&lt;="&amp;Cover!$C$13)</f>
        <v>1</v>
      </c>
      <c r="Q572" t="str">
        <f>IF(AND(O572=0,P572=0),"",IF(O572=0,"ODOO-ONLY",IF(P572=0,"BANK-ONLY","BOTH")))</f>
        <v>BOTH</v>
      </c>
      <c r="R572" s="9">
        <f>IF(Q572="BOTH",ROUND(M572-N572,2),0)</f>
        <v>0</v>
      </c>
      <c r="S572" s="9">
        <f>ROUND(SUMIFS('Bank Lines'!$E$5:$E$1640,'Bank Lines'!$G$5:$G$1640,A572,'Bank Lines'!$J$5:$J$1640,1,'Bank Lines'!$C$5:$C$1640,"&lt;="&amp;Cover!$C$14),2)</f>
        <v>2248.03</v>
      </c>
      <c r="T572" s="9">
        <f>ROUND(SUMIFS('Odoo Items'!$G$5:$G$4331,'Odoo Items'!$J$5:$J$4331,A572,'Odoo Items'!$C$5:$C$4331,"&lt;="&amp;Cover!$C$14),2)</f>
        <v>2248.03</v>
      </c>
      <c r="U572">
        <f>COUNTIFS('Bank Lines'!$G$5:$G$1640,A572,'Bank Lines'!$J$5:$J$1640,1,'Bank Lines'!$C$5:$C$1640,"&lt;="&amp;Cover!$C$14)</f>
        <v>1</v>
      </c>
      <c r="V572">
        <f>COUNTIFS('Odoo Items'!$J$5:$J$4331,A572,'Odoo Items'!$C$5:$C$4331,"&lt;="&amp;Cover!$C$14)</f>
        <v>1</v>
      </c>
      <c r="W572" t="str">
        <f>IF(AND(U572=0,V572=0),"",IF(U572=0,"ODOO-ONLY",IF(V572=0,"BANK-ONLY","BOTH")))</f>
        <v>BOTH</v>
      </c>
      <c r="X572" s="9">
        <f>IF(W572="BOTH",ROUND(S572-T572,2),0)</f>
        <v>0</v>
      </c>
      <c r="Y572" s="9">
        <f>ROUND(SUMIFS('Bank Lines'!$E$5:$E$1640,'Bank Lines'!$G$5:$G$1640,A572,'Bank Lines'!$J$5:$J$1640,1,'Bank Lines'!$C$5:$C$1640,"&lt;="&amp;Cover!$C$15),2)</f>
        <v>2248.03</v>
      </c>
      <c r="Z572" s="9">
        <f>ROUND(SUMIFS('Odoo Items'!$G$5:$G$4331,'Odoo Items'!$J$5:$J$4331,A572,'Odoo Items'!$C$5:$C$4331,"&lt;="&amp;Cover!$C$15),2)</f>
        <v>2248.03</v>
      </c>
      <c r="AA572">
        <f>COUNTIFS('Bank Lines'!$G$5:$G$1640,A572,'Bank Lines'!$J$5:$J$1640,1,'Bank Lines'!$C$5:$C$1640,"&lt;="&amp;Cover!$C$15)</f>
        <v>1</v>
      </c>
      <c r="AB572">
        <f>COUNTIFS('Odoo Items'!$J$5:$J$4331,A572,'Odoo Items'!$C$5:$C$4331,"&lt;="&amp;Cover!$C$15)</f>
        <v>1</v>
      </c>
      <c r="AC572" t="str">
        <f>IF(AND(AA572=0,AB572=0),"",IF(AA572=0,"ODOO-ONLY",IF(AB572=0,"BANK-ONLY","BOTH")))</f>
        <v>BOTH</v>
      </c>
      <c r="AD572" s="9">
        <f>IF(AC572="BOTH",ROUND(Y572-Z572,2),0)</f>
        <v>0</v>
      </c>
    </row>
    <row r="573">
      <c r="A573" t="inlineStr">
        <is>
          <t>G00569</t>
        </is>
      </c>
      <c r="B573" t="inlineStr">
        <is>
          <t>MER</t>
        </is>
      </c>
      <c r="C573" t="inlineStr">
        <is>
          <t>R08</t>
        </is>
      </c>
      <c r="D573" t="inlineStr">
        <is>
          <t>MATCH</t>
        </is>
      </c>
      <c r="E573" t="inlineStr"/>
      <c r="G573" t="inlineStr"/>
      <c r="H573">
        <f>COUNTIFS('Bank Lines'!$G$5:$G$1640,A573,'Bank Lines'!$J$5:$J$1640,1)</f>
        <v>1</v>
      </c>
      <c r="I573">
        <f>COUNTIFS('Odoo Items'!$J$5:$J$4331,A573)</f>
        <v>1</v>
      </c>
      <c r="J573" s="9">
        <f>ROUND(SUMIFS('Bank Lines'!$E$5:$E$1640,'Bank Lines'!$G$5:$G$1640,A573,'Bank Lines'!$J$5:$J$1640,1),2)</f>
        <v>1591.18</v>
      </c>
      <c r="K573" s="9">
        <f>ROUND(SUMIFS('Odoo Items'!$G$5:$G$4331,'Odoo Items'!$J$5:$J$4331,A573),2)</f>
        <v>1591.18</v>
      </c>
      <c r="L573" s="9">
        <f>ROUND(J573-K573,2)</f>
        <v>0</v>
      </c>
      <c r="M573" s="9">
        <f>ROUND(SUMIFS('Bank Lines'!$E$5:$E$1640,'Bank Lines'!$G$5:$G$1640,A573,'Bank Lines'!$J$5:$J$1640,1,'Bank Lines'!$C$5:$C$1640,"&lt;="&amp;Cover!$C$13),2)</f>
        <v>1591.18</v>
      </c>
      <c r="N573" s="9">
        <f>ROUND(SUMIFS('Odoo Items'!$G$5:$G$4331,'Odoo Items'!$J$5:$J$4331,A573,'Odoo Items'!$C$5:$C$4331,"&lt;="&amp;Cover!$C$13),2)</f>
        <v>1591.18</v>
      </c>
      <c r="O573">
        <f>COUNTIFS('Bank Lines'!$G$5:$G$1640,A573,'Bank Lines'!$J$5:$J$1640,1,'Bank Lines'!$C$5:$C$1640,"&lt;="&amp;Cover!$C$13)</f>
        <v>1</v>
      </c>
      <c r="P573">
        <f>COUNTIFS('Odoo Items'!$J$5:$J$4331,A573,'Odoo Items'!$C$5:$C$4331,"&lt;="&amp;Cover!$C$13)</f>
        <v>1</v>
      </c>
      <c r="Q573" t="str">
        <f>IF(AND(O573=0,P573=0),"",IF(O573=0,"ODOO-ONLY",IF(P573=0,"BANK-ONLY","BOTH")))</f>
        <v>BOTH</v>
      </c>
      <c r="R573" s="9">
        <f>IF(Q573="BOTH",ROUND(M573-N573,2),0)</f>
        <v>0</v>
      </c>
      <c r="S573" s="9">
        <f>ROUND(SUMIFS('Bank Lines'!$E$5:$E$1640,'Bank Lines'!$G$5:$G$1640,A573,'Bank Lines'!$J$5:$J$1640,1,'Bank Lines'!$C$5:$C$1640,"&lt;="&amp;Cover!$C$14),2)</f>
        <v>1591.18</v>
      </c>
      <c r="T573" s="9">
        <f>ROUND(SUMIFS('Odoo Items'!$G$5:$G$4331,'Odoo Items'!$J$5:$J$4331,A573,'Odoo Items'!$C$5:$C$4331,"&lt;="&amp;Cover!$C$14),2)</f>
        <v>1591.18</v>
      </c>
      <c r="U573">
        <f>COUNTIFS('Bank Lines'!$G$5:$G$1640,A573,'Bank Lines'!$J$5:$J$1640,1,'Bank Lines'!$C$5:$C$1640,"&lt;="&amp;Cover!$C$14)</f>
        <v>1</v>
      </c>
      <c r="V573">
        <f>COUNTIFS('Odoo Items'!$J$5:$J$4331,A573,'Odoo Items'!$C$5:$C$4331,"&lt;="&amp;Cover!$C$14)</f>
        <v>1</v>
      </c>
      <c r="W573" t="str">
        <f>IF(AND(U573=0,V573=0),"",IF(U573=0,"ODOO-ONLY",IF(V573=0,"BANK-ONLY","BOTH")))</f>
        <v>BOTH</v>
      </c>
      <c r="X573" s="9">
        <f>IF(W573="BOTH",ROUND(S573-T573,2),0)</f>
        <v>0</v>
      </c>
      <c r="Y573" s="9">
        <f>ROUND(SUMIFS('Bank Lines'!$E$5:$E$1640,'Bank Lines'!$G$5:$G$1640,A573,'Bank Lines'!$J$5:$J$1640,1,'Bank Lines'!$C$5:$C$1640,"&lt;="&amp;Cover!$C$15),2)</f>
        <v>1591.18</v>
      </c>
      <c r="Z573" s="9">
        <f>ROUND(SUMIFS('Odoo Items'!$G$5:$G$4331,'Odoo Items'!$J$5:$J$4331,A573,'Odoo Items'!$C$5:$C$4331,"&lt;="&amp;Cover!$C$15),2)</f>
        <v>1591.18</v>
      </c>
      <c r="AA573">
        <f>COUNTIFS('Bank Lines'!$G$5:$G$1640,A573,'Bank Lines'!$J$5:$J$1640,1,'Bank Lines'!$C$5:$C$1640,"&lt;="&amp;Cover!$C$15)</f>
        <v>1</v>
      </c>
      <c r="AB573">
        <f>COUNTIFS('Odoo Items'!$J$5:$J$4331,A573,'Odoo Items'!$C$5:$C$4331,"&lt;="&amp;Cover!$C$15)</f>
        <v>1</v>
      </c>
      <c r="AC573" t="str">
        <f>IF(AND(AA573=0,AB573=0),"",IF(AA573=0,"ODOO-ONLY",IF(AB573=0,"BANK-ONLY","BOTH")))</f>
        <v>BOTH</v>
      </c>
      <c r="AD573" s="9">
        <f>IF(AC573="BOTH",ROUND(Y573-Z573,2),0)</f>
        <v>0</v>
      </c>
    </row>
    <row r="574">
      <c r="A574" t="inlineStr">
        <is>
          <t>G00570</t>
        </is>
      </c>
      <c r="B574" t="inlineStr">
        <is>
          <t>MER</t>
        </is>
      </c>
      <c r="C574" t="inlineStr">
        <is>
          <t>R08</t>
        </is>
      </c>
      <c r="D574" t="inlineStr">
        <is>
          <t>MATCH</t>
        </is>
      </c>
      <c r="E574" t="inlineStr"/>
      <c r="G574" t="inlineStr"/>
      <c r="H574">
        <f>COUNTIFS('Bank Lines'!$G$5:$G$1640,A574,'Bank Lines'!$J$5:$J$1640,1)</f>
        <v>1</v>
      </c>
      <c r="I574">
        <f>COUNTIFS('Odoo Items'!$J$5:$J$4331,A574)</f>
        <v>1</v>
      </c>
      <c r="J574" s="9">
        <f>ROUND(SUMIFS('Bank Lines'!$E$5:$E$1640,'Bank Lines'!$G$5:$G$1640,A574,'Bank Lines'!$J$5:$J$1640,1),2)</f>
        <v>2084.73</v>
      </c>
      <c r="K574" s="9">
        <f>ROUND(SUMIFS('Odoo Items'!$G$5:$G$4331,'Odoo Items'!$J$5:$J$4331,A574),2)</f>
        <v>2084.73</v>
      </c>
      <c r="L574" s="9">
        <f>ROUND(J574-K574,2)</f>
        <v>0</v>
      </c>
      <c r="M574" s="9">
        <f>ROUND(SUMIFS('Bank Lines'!$E$5:$E$1640,'Bank Lines'!$G$5:$G$1640,A574,'Bank Lines'!$J$5:$J$1640,1,'Bank Lines'!$C$5:$C$1640,"&lt;="&amp;Cover!$C$13),2)</f>
        <v>2084.73</v>
      </c>
      <c r="N574" s="9">
        <f>ROUND(SUMIFS('Odoo Items'!$G$5:$G$4331,'Odoo Items'!$J$5:$J$4331,A574,'Odoo Items'!$C$5:$C$4331,"&lt;="&amp;Cover!$C$13),2)</f>
        <v>2084.73</v>
      </c>
      <c r="O574">
        <f>COUNTIFS('Bank Lines'!$G$5:$G$1640,A574,'Bank Lines'!$J$5:$J$1640,1,'Bank Lines'!$C$5:$C$1640,"&lt;="&amp;Cover!$C$13)</f>
        <v>1</v>
      </c>
      <c r="P574">
        <f>COUNTIFS('Odoo Items'!$J$5:$J$4331,A574,'Odoo Items'!$C$5:$C$4331,"&lt;="&amp;Cover!$C$13)</f>
        <v>1</v>
      </c>
      <c r="Q574" t="str">
        <f>IF(AND(O574=0,P574=0),"",IF(O574=0,"ODOO-ONLY",IF(P574=0,"BANK-ONLY","BOTH")))</f>
        <v>BOTH</v>
      </c>
      <c r="R574" s="9">
        <f>IF(Q574="BOTH",ROUND(M574-N574,2),0)</f>
        <v>0</v>
      </c>
      <c r="S574" s="9">
        <f>ROUND(SUMIFS('Bank Lines'!$E$5:$E$1640,'Bank Lines'!$G$5:$G$1640,A574,'Bank Lines'!$J$5:$J$1640,1,'Bank Lines'!$C$5:$C$1640,"&lt;="&amp;Cover!$C$14),2)</f>
        <v>2084.73</v>
      </c>
      <c r="T574" s="9">
        <f>ROUND(SUMIFS('Odoo Items'!$G$5:$G$4331,'Odoo Items'!$J$5:$J$4331,A574,'Odoo Items'!$C$5:$C$4331,"&lt;="&amp;Cover!$C$14),2)</f>
        <v>2084.73</v>
      </c>
      <c r="U574">
        <f>COUNTIFS('Bank Lines'!$G$5:$G$1640,A574,'Bank Lines'!$J$5:$J$1640,1,'Bank Lines'!$C$5:$C$1640,"&lt;="&amp;Cover!$C$14)</f>
        <v>1</v>
      </c>
      <c r="V574">
        <f>COUNTIFS('Odoo Items'!$J$5:$J$4331,A574,'Odoo Items'!$C$5:$C$4331,"&lt;="&amp;Cover!$C$14)</f>
        <v>1</v>
      </c>
      <c r="W574" t="str">
        <f>IF(AND(U574=0,V574=0),"",IF(U574=0,"ODOO-ONLY",IF(V574=0,"BANK-ONLY","BOTH")))</f>
        <v>BOTH</v>
      </c>
      <c r="X574" s="9">
        <f>IF(W574="BOTH",ROUND(S574-T574,2),0)</f>
        <v>0</v>
      </c>
      <c r="Y574" s="9">
        <f>ROUND(SUMIFS('Bank Lines'!$E$5:$E$1640,'Bank Lines'!$G$5:$G$1640,A574,'Bank Lines'!$J$5:$J$1640,1,'Bank Lines'!$C$5:$C$1640,"&lt;="&amp;Cover!$C$15),2)</f>
        <v>2084.73</v>
      </c>
      <c r="Z574" s="9">
        <f>ROUND(SUMIFS('Odoo Items'!$G$5:$G$4331,'Odoo Items'!$J$5:$J$4331,A574,'Odoo Items'!$C$5:$C$4331,"&lt;="&amp;Cover!$C$15),2)</f>
        <v>2084.73</v>
      </c>
      <c r="AA574">
        <f>COUNTIFS('Bank Lines'!$G$5:$G$1640,A574,'Bank Lines'!$J$5:$J$1640,1,'Bank Lines'!$C$5:$C$1640,"&lt;="&amp;Cover!$C$15)</f>
        <v>1</v>
      </c>
      <c r="AB574">
        <f>COUNTIFS('Odoo Items'!$J$5:$J$4331,A574,'Odoo Items'!$C$5:$C$4331,"&lt;="&amp;Cover!$C$15)</f>
        <v>1</v>
      </c>
      <c r="AC574" t="str">
        <f>IF(AND(AA574=0,AB574=0),"",IF(AA574=0,"ODOO-ONLY",IF(AB574=0,"BANK-ONLY","BOTH")))</f>
        <v>BOTH</v>
      </c>
      <c r="AD574" s="9">
        <f>IF(AC574="BOTH",ROUND(Y574-Z574,2),0)</f>
        <v>0</v>
      </c>
    </row>
    <row r="575">
      <c r="A575" t="inlineStr">
        <is>
          <t>G00571</t>
        </is>
      </c>
      <c r="B575" t="inlineStr">
        <is>
          <t>MER</t>
        </is>
      </c>
      <c r="C575" t="inlineStr">
        <is>
          <t>R08</t>
        </is>
      </c>
      <c r="D575" t="inlineStr">
        <is>
          <t>MATCH</t>
        </is>
      </c>
      <c r="E575" t="inlineStr"/>
      <c r="G575" t="inlineStr"/>
      <c r="H575">
        <f>COUNTIFS('Bank Lines'!$G$5:$G$1640,A575,'Bank Lines'!$J$5:$J$1640,1)</f>
        <v>1</v>
      </c>
      <c r="I575">
        <f>COUNTIFS('Odoo Items'!$J$5:$J$4331,A575)</f>
        <v>1</v>
      </c>
      <c r="J575" s="9">
        <f>ROUND(SUMIFS('Bank Lines'!$E$5:$E$1640,'Bank Lines'!$G$5:$G$1640,A575,'Bank Lines'!$J$5:$J$1640,1),2)</f>
        <v>1193.87</v>
      </c>
      <c r="K575" s="9">
        <f>ROUND(SUMIFS('Odoo Items'!$G$5:$G$4331,'Odoo Items'!$J$5:$J$4331,A575),2)</f>
        <v>1193.87</v>
      </c>
      <c r="L575" s="9">
        <f>ROUND(J575-K575,2)</f>
        <v>0</v>
      </c>
      <c r="M575" s="9">
        <f>ROUND(SUMIFS('Bank Lines'!$E$5:$E$1640,'Bank Lines'!$G$5:$G$1640,A575,'Bank Lines'!$J$5:$J$1640,1,'Bank Lines'!$C$5:$C$1640,"&lt;="&amp;Cover!$C$13),2)</f>
        <v>1193.87</v>
      </c>
      <c r="N575" s="9">
        <f>ROUND(SUMIFS('Odoo Items'!$G$5:$G$4331,'Odoo Items'!$J$5:$J$4331,A575,'Odoo Items'!$C$5:$C$4331,"&lt;="&amp;Cover!$C$13),2)</f>
        <v>1193.87</v>
      </c>
      <c r="O575">
        <f>COUNTIFS('Bank Lines'!$G$5:$G$1640,A575,'Bank Lines'!$J$5:$J$1640,1,'Bank Lines'!$C$5:$C$1640,"&lt;="&amp;Cover!$C$13)</f>
        <v>1</v>
      </c>
      <c r="P575">
        <f>COUNTIFS('Odoo Items'!$J$5:$J$4331,A575,'Odoo Items'!$C$5:$C$4331,"&lt;="&amp;Cover!$C$13)</f>
        <v>1</v>
      </c>
      <c r="Q575" t="str">
        <f>IF(AND(O575=0,P575=0),"",IF(O575=0,"ODOO-ONLY",IF(P575=0,"BANK-ONLY","BOTH")))</f>
        <v>BOTH</v>
      </c>
      <c r="R575" s="9">
        <f>IF(Q575="BOTH",ROUND(M575-N575,2),0)</f>
        <v>0</v>
      </c>
      <c r="S575" s="9">
        <f>ROUND(SUMIFS('Bank Lines'!$E$5:$E$1640,'Bank Lines'!$G$5:$G$1640,A575,'Bank Lines'!$J$5:$J$1640,1,'Bank Lines'!$C$5:$C$1640,"&lt;="&amp;Cover!$C$14),2)</f>
        <v>1193.87</v>
      </c>
      <c r="T575" s="9">
        <f>ROUND(SUMIFS('Odoo Items'!$G$5:$G$4331,'Odoo Items'!$J$5:$J$4331,A575,'Odoo Items'!$C$5:$C$4331,"&lt;="&amp;Cover!$C$14),2)</f>
        <v>1193.87</v>
      </c>
      <c r="U575">
        <f>COUNTIFS('Bank Lines'!$G$5:$G$1640,A575,'Bank Lines'!$J$5:$J$1640,1,'Bank Lines'!$C$5:$C$1640,"&lt;="&amp;Cover!$C$14)</f>
        <v>1</v>
      </c>
      <c r="V575">
        <f>COUNTIFS('Odoo Items'!$J$5:$J$4331,A575,'Odoo Items'!$C$5:$C$4331,"&lt;="&amp;Cover!$C$14)</f>
        <v>1</v>
      </c>
      <c r="W575" t="str">
        <f>IF(AND(U575=0,V575=0),"",IF(U575=0,"ODOO-ONLY",IF(V575=0,"BANK-ONLY","BOTH")))</f>
        <v>BOTH</v>
      </c>
      <c r="X575" s="9">
        <f>IF(W575="BOTH",ROUND(S575-T575,2),0)</f>
        <v>0</v>
      </c>
      <c r="Y575" s="9">
        <f>ROUND(SUMIFS('Bank Lines'!$E$5:$E$1640,'Bank Lines'!$G$5:$G$1640,A575,'Bank Lines'!$J$5:$J$1640,1,'Bank Lines'!$C$5:$C$1640,"&lt;="&amp;Cover!$C$15),2)</f>
        <v>1193.87</v>
      </c>
      <c r="Z575" s="9">
        <f>ROUND(SUMIFS('Odoo Items'!$G$5:$G$4331,'Odoo Items'!$J$5:$J$4331,A575,'Odoo Items'!$C$5:$C$4331,"&lt;="&amp;Cover!$C$15),2)</f>
        <v>1193.87</v>
      </c>
      <c r="AA575">
        <f>COUNTIFS('Bank Lines'!$G$5:$G$1640,A575,'Bank Lines'!$J$5:$J$1640,1,'Bank Lines'!$C$5:$C$1640,"&lt;="&amp;Cover!$C$15)</f>
        <v>1</v>
      </c>
      <c r="AB575">
        <f>COUNTIFS('Odoo Items'!$J$5:$J$4331,A575,'Odoo Items'!$C$5:$C$4331,"&lt;="&amp;Cover!$C$15)</f>
        <v>1</v>
      </c>
      <c r="AC575" t="str">
        <f>IF(AND(AA575=0,AB575=0),"",IF(AA575=0,"ODOO-ONLY",IF(AB575=0,"BANK-ONLY","BOTH")))</f>
        <v>BOTH</v>
      </c>
      <c r="AD575" s="9">
        <f>IF(AC575="BOTH",ROUND(Y575-Z575,2),0)</f>
        <v>0</v>
      </c>
    </row>
    <row r="576">
      <c r="A576" t="inlineStr">
        <is>
          <t>G00572</t>
        </is>
      </c>
      <c r="B576" t="inlineStr">
        <is>
          <t>MER</t>
        </is>
      </c>
      <c r="C576" t="inlineStr">
        <is>
          <t>R08</t>
        </is>
      </c>
      <c r="D576" t="inlineStr">
        <is>
          <t>MATCH</t>
        </is>
      </c>
      <c r="E576" t="inlineStr"/>
      <c r="G576" t="inlineStr"/>
      <c r="H576">
        <f>COUNTIFS('Bank Lines'!$G$5:$G$1640,A576,'Bank Lines'!$J$5:$J$1640,1)</f>
        <v>1</v>
      </c>
      <c r="I576">
        <f>COUNTIFS('Odoo Items'!$J$5:$J$4331,A576)</f>
        <v>1</v>
      </c>
      <c r="J576" s="9">
        <f>ROUND(SUMIFS('Bank Lines'!$E$5:$E$1640,'Bank Lines'!$G$5:$G$1640,A576,'Bank Lines'!$J$5:$J$1640,1),2)</f>
        <v>3559.89</v>
      </c>
      <c r="K576" s="9">
        <f>ROUND(SUMIFS('Odoo Items'!$G$5:$G$4331,'Odoo Items'!$J$5:$J$4331,A576),2)</f>
        <v>3559.89</v>
      </c>
      <c r="L576" s="9">
        <f>ROUND(J576-K576,2)</f>
        <v>0</v>
      </c>
      <c r="M576" s="9">
        <f>ROUND(SUMIFS('Bank Lines'!$E$5:$E$1640,'Bank Lines'!$G$5:$G$1640,A576,'Bank Lines'!$J$5:$J$1640,1,'Bank Lines'!$C$5:$C$1640,"&lt;="&amp;Cover!$C$13),2)</f>
        <v>3559.89</v>
      </c>
      <c r="N576" s="9">
        <f>ROUND(SUMIFS('Odoo Items'!$G$5:$G$4331,'Odoo Items'!$J$5:$J$4331,A576,'Odoo Items'!$C$5:$C$4331,"&lt;="&amp;Cover!$C$13),2)</f>
        <v>3559.89</v>
      </c>
      <c r="O576">
        <f>COUNTIFS('Bank Lines'!$G$5:$G$1640,A576,'Bank Lines'!$J$5:$J$1640,1,'Bank Lines'!$C$5:$C$1640,"&lt;="&amp;Cover!$C$13)</f>
        <v>1</v>
      </c>
      <c r="P576">
        <f>COUNTIFS('Odoo Items'!$J$5:$J$4331,A576,'Odoo Items'!$C$5:$C$4331,"&lt;="&amp;Cover!$C$13)</f>
        <v>1</v>
      </c>
      <c r="Q576" t="str">
        <f>IF(AND(O576=0,P576=0),"",IF(O576=0,"ODOO-ONLY",IF(P576=0,"BANK-ONLY","BOTH")))</f>
        <v>BOTH</v>
      </c>
      <c r="R576" s="9">
        <f>IF(Q576="BOTH",ROUND(M576-N576,2),0)</f>
        <v>0</v>
      </c>
      <c r="S576" s="9">
        <f>ROUND(SUMIFS('Bank Lines'!$E$5:$E$1640,'Bank Lines'!$G$5:$G$1640,A576,'Bank Lines'!$J$5:$J$1640,1,'Bank Lines'!$C$5:$C$1640,"&lt;="&amp;Cover!$C$14),2)</f>
        <v>3559.89</v>
      </c>
      <c r="T576" s="9">
        <f>ROUND(SUMIFS('Odoo Items'!$G$5:$G$4331,'Odoo Items'!$J$5:$J$4331,A576,'Odoo Items'!$C$5:$C$4331,"&lt;="&amp;Cover!$C$14),2)</f>
        <v>3559.89</v>
      </c>
      <c r="U576">
        <f>COUNTIFS('Bank Lines'!$G$5:$G$1640,A576,'Bank Lines'!$J$5:$J$1640,1,'Bank Lines'!$C$5:$C$1640,"&lt;="&amp;Cover!$C$14)</f>
        <v>1</v>
      </c>
      <c r="V576">
        <f>COUNTIFS('Odoo Items'!$J$5:$J$4331,A576,'Odoo Items'!$C$5:$C$4331,"&lt;="&amp;Cover!$C$14)</f>
        <v>1</v>
      </c>
      <c r="W576" t="str">
        <f>IF(AND(U576=0,V576=0),"",IF(U576=0,"ODOO-ONLY",IF(V576=0,"BANK-ONLY","BOTH")))</f>
        <v>BOTH</v>
      </c>
      <c r="X576" s="9">
        <f>IF(W576="BOTH",ROUND(S576-T576,2),0)</f>
        <v>0</v>
      </c>
      <c r="Y576" s="9">
        <f>ROUND(SUMIFS('Bank Lines'!$E$5:$E$1640,'Bank Lines'!$G$5:$G$1640,A576,'Bank Lines'!$J$5:$J$1640,1,'Bank Lines'!$C$5:$C$1640,"&lt;="&amp;Cover!$C$15),2)</f>
        <v>3559.89</v>
      </c>
      <c r="Z576" s="9">
        <f>ROUND(SUMIFS('Odoo Items'!$G$5:$G$4331,'Odoo Items'!$J$5:$J$4331,A576,'Odoo Items'!$C$5:$C$4331,"&lt;="&amp;Cover!$C$15),2)</f>
        <v>3559.89</v>
      </c>
      <c r="AA576">
        <f>COUNTIFS('Bank Lines'!$G$5:$G$1640,A576,'Bank Lines'!$J$5:$J$1640,1,'Bank Lines'!$C$5:$C$1640,"&lt;="&amp;Cover!$C$15)</f>
        <v>1</v>
      </c>
      <c r="AB576">
        <f>COUNTIFS('Odoo Items'!$J$5:$J$4331,A576,'Odoo Items'!$C$5:$C$4331,"&lt;="&amp;Cover!$C$15)</f>
        <v>1</v>
      </c>
      <c r="AC576" t="str">
        <f>IF(AND(AA576=0,AB576=0),"",IF(AA576=0,"ODOO-ONLY",IF(AB576=0,"BANK-ONLY","BOTH")))</f>
        <v>BOTH</v>
      </c>
      <c r="AD576" s="9">
        <f>IF(AC576="BOTH",ROUND(Y576-Z576,2),0)</f>
        <v>0</v>
      </c>
    </row>
    <row r="577">
      <c r="A577" t="inlineStr">
        <is>
          <t>G00573</t>
        </is>
      </c>
      <c r="B577" t="inlineStr">
        <is>
          <t>MER</t>
        </is>
      </c>
      <c r="C577" t="inlineStr">
        <is>
          <t>R08</t>
        </is>
      </c>
      <c r="D577" t="inlineStr">
        <is>
          <t>MATCH</t>
        </is>
      </c>
      <c r="E577" t="inlineStr"/>
      <c r="G577" t="inlineStr"/>
      <c r="H577">
        <f>COUNTIFS('Bank Lines'!$G$5:$G$1640,A577,'Bank Lines'!$J$5:$J$1640,1)</f>
        <v>1</v>
      </c>
      <c r="I577">
        <f>COUNTIFS('Odoo Items'!$J$5:$J$4331,A577)</f>
        <v>1</v>
      </c>
      <c r="J577" s="9">
        <f>ROUND(SUMIFS('Bank Lines'!$E$5:$E$1640,'Bank Lines'!$G$5:$G$1640,A577,'Bank Lines'!$J$5:$J$1640,1),2)</f>
        <v>2655.07</v>
      </c>
      <c r="K577" s="9">
        <f>ROUND(SUMIFS('Odoo Items'!$G$5:$G$4331,'Odoo Items'!$J$5:$J$4331,A577),2)</f>
        <v>2655.07</v>
      </c>
      <c r="L577" s="9">
        <f>ROUND(J577-K577,2)</f>
        <v>0</v>
      </c>
      <c r="M577" s="9">
        <f>ROUND(SUMIFS('Bank Lines'!$E$5:$E$1640,'Bank Lines'!$G$5:$G$1640,A577,'Bank Lines'!$J$5:$J$1640,1,'Bank Lines'!$C$5:$C$1640,"&lt;="&amp;Cover!$C$13),2)</f>
        <v>2655.07</v>
      </c>
      <c r="N577" s="9">
        <f>ROUND(SUMIFS('Odoo Items'!$G$5:$G$4331,'Odoo Items'!$J$5:$J$4331,A577,'Odoo Items'!$C$5:$C$4331,"&lt;="&amp;Cover!$C$13),2)</f>
        <v>2655.07</v>
      </c>
      <c r="O577">
        <f>COUNTIFS('Bank Lines'!$G$5:$G$1640,A577,'Bank Lines'!$J$5:$J$1640,1,'Bank Lines'!$C$5:$C$1640,"&lt;="&amp;Cover!$C$13)</f>
        <v>1</v>
      </c>
      <c r="P577">
        <f>COUNTIFS('Odoo Items'!$J$5:$J$4331,A577,'Odoo Items'!$C$5:$C$4331,"&lt;="&amp;Cover!$C$13)</f>
        <v>1</v>
      </c>
      <c r="Q577" t="str">
        <f>IF(AND(O577=0,P577=0),"",IF(O577=0,"ODOO-ONLY",IF(P577=0,"BANK-ONLY","BOTH")))</f>
        <v>BOTH</v>
      </c>
      <c r="R577" s="9">
        <f>IF(Q577="BOTH",ROUND(M577-N577,2),0)</f>
        <v>0</v>
      </c>
      <c r="S577" s="9">
        <f>ROUND(SUMIFS('Bank Lines'!$E$5:$E$1640,'Bank Lines'!$G$5:$G$1640,A577,'Bank Lines'!$J$5:$J$1640,1,'Bank Lines'!$C$5:$C$1640,"&lt;="&amp;Cover!$C$14),2)</f>
        <v>2655.07</v>
      </c>
      <c r="T577" s="9">
        <f>ROUND(SUMIFS('Odoo Items'!$G$5:$G$4331,'Odoo Items'!$J$5:$J$4331,A577,'Odoo Items'!$C$5:$C$4331,"&lt;="&amp;Cover!$C$14),2)</f>
        <v>2655.07</v>
      </c>
      <c r="U577">
        <f>COUNTIFS('Bank Lines'!$G$5:$G$1640,A577,'Bank Lines'!$J$5:$J$1640,1,'Bank Lines'!$C$5:$C$1640,"&lt;="&amp;Cover!$C$14)</f>
        <v>1</v>
      </c>
      <c r="V577">
        <f>COUNTIFS('Odoo Items'!$J$5:$J$4331,A577,'Odoo Items'!$C$5:$C$4331,"&lt;="&amp;Cover!$C$14)</f>
        <v>1</v>
      </c>
      <c r="W577" t="str">
        <f>IF(AND(U577=0,V577=0),"",IF(U577=0,"ODOO-ONLY",IF(V577=0,"BANK-ONLY","BOTH")))</f>
        <v>BOTH</v>
      </c>
      <c r="X577" s="9">
        <f>IF(W577="BOTH",ROUND(S577-T577,2),0)</f>
        <v>0</v>
      </c>
      <c r="Y577" s="9">
        <f>ROUND(SUMIFS('Bank Lines'!$E$5:$E$1640,'Bank Lines'!$G$5:$G$1640,A577,'Bank Lines'!$J$5:$J$1640,1,'Bank Lines'!$C$5:$C$1640,"&lt;="&amp;Cover!$C$15),2)</f>
        <v>2655.07</v>
      </c>
      <c r="Z577" s="9">
        <f>ROUND(SUMIFS('Odoo Items'!$G$5:$G$4331,'Odoo Items'!$J$5:$J$4331,A577,'Odoo Items'!$C$5:$C$4331,"&lt;="&amp;Cover!$C$15),2)</f>
        <v>2655.07</v>
      </c>
      <c r="AA577">
        <f>COUNTIFS('Bank Lines'!$G$5:$G$1640,A577,'Bank Lines'!$J$5:$J$1640,1,'Bank Lines'!$C$5:$C$1640,"&lt;="&amp;Cover!$C$15)</f>
        <v>1</v>
      </c>
      <c r="AB577">
        <f>COUNTIFS('Odoo Items'!$J$5:$J$4331,A577,'Odoo Items'!$C$5:$C$4331,"&lt;="&amp;Cover!$C$15)</f>
        <v>1</v>
      </c>
      <c r="AC577" t="str">
        <f>IF(AND(AA577=0,AB577=0),"",IF(AA577=0,"ODOO-ONLY",IF(AB577=0,"BANK-ONLY","BOTH")))</f>
        <v>BOTH</v>
      </c>
      <c r="AD577" s="9">
        <f>IF(AC577="BOTH",ROUND(Y577-Z577,2),0)</f>
        <v>0</v>
      </c>
    </row>
    <row r="578">
      <c r="A578" t="inlineStr">
        <is>
          <t>G00574</t>
        </is>
      </c>
      <c r="B578" t="inlineStr">
        <is>
          <t>MER</t>
        </is>
      </c>
      <c r="C578" t="inlineStr">
        <is>
          <t>R08</t>
        </is>
      </c>
      <c r="D578" t="inlineStr">
        <is>
          <t>MATCH</t>
        </is>
      </c>
      <c r="E578" t="inlineStr"/>
      <c r="G578" t="inlineStr"/>
      <c r="H578">
        <f>COUNTIFS('Bank Lines'!$G$5:$G$1640,A578,'Bank Lines'!$J$5:$J$1640,1)</f>
        <v>1</v>
      </c>
      <c r="I578">
        <f>COUNTIFS('Odoo Items'!$J$5:$J$4331,A578)</f>
        <v>1</v>
      </c>
      <c r="J578" s="9">
        <f>ROUND(SUMIFS('Bank Lines'!$E$5:$E$1640,'Bank Lines'!$G$5:$G$1640,A578,'Bank Lines'!$J$5:$J$1640,1),2)</f>
        <v>2587.21</v>
      </c>
      <c r="K578" s="9">
        <f>ROUND(SUMIFS('Odoo Items'!$G$5:$G$4331,'Odoo Items'!$J$5:$J$4331,A578),2)</f>
        <v>2587.21</v>
      </c>
      <c r="L578" s="9">
        <f>ROUND(J578-K578,2)</f>
        <v>0</v>
      </c>
      <c r="M578" s="9">
        <f>ROUND(SUMIFS('Bank Lines'!$E$5:$E$1640,'Bank Lines'!$G$5:$G$1640,A578,'Bank Lines'!$J$5:$J$1640,1,'Bank Lines'!$C$5:$C$1640,"&lt;="&amp;Cover!$C$13),2)</f>
        <v>2587.21</v>
      </c>
      <c r="N578" s="9">
        <f>ROUND(SUMIFS('Odoo Items'!$G$5:$G$4331,'Odoo Items'!$J$5:$J$4331,A578,'Odoo Items'!$C$5:$C$4331,"&lt;="&amp;Cover!$C$13),2)</f>
        <v>2587.21</v>
      </c>
      <c r="O578">
        <f>COUNTIFS('Bank Lines'!$G$5:$G$1640,A578,'Bank Lines'!$J$5:$J$1640,1,'Bank Lines'!$C$5:$C$1640,"&lt;="&amp;Cover!$C$13)</f>
        <v>1</v>
      </c>
      <c r="P578">
        <f>COUNTIFS('Odoo Items'!$J$5:$J$4331,A578,'Odoo Items'!$C$5:$C$4331,"&lt;="&amp;Cover!$C$13)</f>
        <v>1</v>
      </c>
      <c r="Q578" t="str">
        <f>IF(AND(O578=0,P578=0),"",IF(O578=0,"ODOO-ONLY",IF(P578=0,"BANK-ONLY","BOTH")))</f>
        <v>BOTH</v>
      </c>
      <c r="R578" s="9">
        <f>IF(Q578="BOTH",ROUND(M578-N578,2),0)</f>
        <v>0</v>
      </c>
      <c r="S578" s="9">
        <f>ROUND(SUMIFS('Bank Lines'!$E$5:$E$1640,'Bank Lines'!$G$5:$G$1640,A578,'Bank Lines'!$J$5:$J$1640,1,'Bank Lines'!$C$5:$C$1640,"&lt;="&amp;Cover!$C$14),2)</f>
        <v>2587.21</v>
      </c>
      <c r="T578" s="9">
        <f>ROUND(SUMIFS('Odoo Items'!$G$5:$G$4331,'Odoo Items'!$J$5:$J$4331,A578,'Odoo Items'!$C$5:$C$4331,"&lt;="&amp;Cover!$C$14),2)</f>
        <v>2587.21</v>
      </c>
      <c r="U578">
        <f>COUNTIFS('Bank Lines'!$G$5:$G$1640,A578,'Bank Lines'!$J$5:$J$1640,1,'Bank Lines'!$C$5:$C$1640,"&lt;="&amp;Cover!$C$14)</f>
        <v>1</v>
      </c>
      <c r="V578">
        <f>COUNTIFS('Odoo Items'!$J$5:$J$4331,A578,'Odoo Items'!$C$5:$C$4331,"&lt;="&amp;Cover!$C$14)</f>
        <v>1</v>
      </c>
      <c r="W578" t="str">
        <f>IF(AND(U578=0,V578=0),"",IF(U578=0,"ODOO-ONLY",IF(V578=0,"BANK-ONLY","BOTH")))</f>
        <v>BOTH</v>
      </c>
      <c r="X578" s="9">
        <f>IF(W578="BOTH",ROUND(S578-T578,2),0)</f>
        <v>0</v>
      </c>
      <c r="Y578" s="9">
        <f>ROUND(SUMIFS('Bank Lines'!$E$5:$E$1640,'Bank Lines'!$G$5:$G$1640,A578,'Bank Lines'!$J$5:$J$1640,1,'Bank Lines'!$C$5:$C$1640,"&lt;="&amp;Cover!$C$15),2)</f>
        <v>2587.21</v>
      </c>
      <c r="Z578" s="9">
        <f>ROUND(SUMIFS('Odoo Items'!$G$5:$G$4331,'Odoo Items'!$J$5:$J$4331,A578,'Odoo Items'!$C$5:$C$4331,"&lt;="&amp;Cover!$C$15),2)</f>
        <v>2587.21</v>
      </c>
      <c r="AA578">
        <f>COUNTIFS('Bank Lines'!$G$5:$G$1640,A578,'Bank Lines'!$J$5:$J$1640,1,'Bank Lines'!$C$5:$C$1640,"&lt;="&amp;Cover!$C$15)</f>
        <v>1</v>
      </c>
      <c r="AB578">
        <f>COUNTIFS('Odoo Items'!$J$5:$J$4331,A578,'Odoo Items'!$C$5:$C$4331,"&lt;="&amp;Cover!$C$15)</f>
        <v>1</v>
      </c>
      <c r="AC578" t="str">
        <f>IF(AND(AA578=0,AB578=0),"",IF(AA578=0,"ODOO-ONLY",IF(AB578=0,"BANK-ONLY","BOTH")))</f>
        <v>BOTH</v>
      </c>
      <c r="AD578" s="9">
        <f>IF(AC578="BOTH",ROUND(Y578-Z578,2),0)</f>
        <v>0</v>
      </c>
    </row>
    <row r="579">
      <c r="A579" t="inlineStr">
        <is>
          <t>G00575</t>
        </is>
      </c>
      <c r="B579" t="inlineStr">
        <is>
          <t>MER</t>
        </is>
      </c>
      <c r="C579" t="inlineStr">
        <is>
          <t>R08</t>
        </is>
      </c>
      <c r="D579" t="inlineStr">
        <is>
          <t>MATCH</t>
        </is>
      </c>
      <c r="E579" t="inlineStr"/>
      <c r="G579" t="inlineStr"/>
      <c r="H579">
        <f>COUNTIFS('Bank Lines'!$G$5:$G$1640,A579,'Bank Lines'!$J$5:$J$1640,1)</f>
        <v>1</v>
      </c>
      <c r="I579">
        <f>COUNTIFS('Odoo Items'!$J$5:$J$4331,A579)</f>
        <v>1</v>
      </c>
      <c r="J579" s="9">
        <f>ROUND(SUMIFS('Bank Lines'!$E$5:$E$1640,'Bank Lines'!$G$5:$G$1640,A579,'Bank Lines'!$J$5:$J$1640,1),2)</f>
        <v>3585.6</v>
      </c>
      <c r="K579" s="9">
        <f>ROUND(SUMIFS('Odoo Items'!$G$5:$G$4331,'Odoo Items'!$J$5:$J$4331,A579),2)</f>
        <v>3585.6</v>
      </c>
      <c r="L579" s="9">
        <f>ROUND(J579-K579,2)</f>
        <v>0</v>
      </c>
      <c r="M579" s="9">
        <f>ROUND(SUMIFS('Bank Lines'!$E$5:$E$1640,'Bank Lines'!$G$5:$G$1640,A579,'Bank Lines'!$J$5:$J$1640,1,'Bank Lines'!$C$5:$C$1640,"&lt;="&amp;Cover!$C$13),2)</f>
        <v>3585.6</v>
      </c>
      <c r="N579" s="9">
        <f>ROUND(SUMIFS('Odoo Items'!$G$5:$G$4331,'Odoo Items'!$J$5:$J$4331,A579,'Odoo Items'!$C$5:$C$4331,"&lt;="&amp;Cover!$C$13),2)</f>
        <v>3585.6</v>
      </c>
      <c r="O579">
        <f>COUNTIFS('Bank Lines'!$G$5:$G$1640,A579,'Bank Lines'!$J$5:$J$1640,1,'Bank Lines'!$C$5:$C$1640,"&lt;="&amp;Cover!$C$13)</f>
        <v>1</v>
      </c>
      <c r="P579">
        <f>COUNTIFS('Odoo Items'!$J$5:$J$4331,A579,'Odoo Items'!$C$5:$C$4331,"&lt;="&amp;Cover!$C$13)</f>
        <v>1</v>
      </c>
      <c r="Q579" t="str">
        <f>IF(AND(O579=0,P579=0),"",IF(O579=0,"ODOO-ONLY",IF(P579=0,"BANK-ONLY","BOTH")))</f>
        <v>BOTH</v>
      </c>
      <c r="R579" s="9">
        <f>IF(Q579="BOTH",ROUND(M579-N579,2),0)</f>
        <v>0</v>
      </c>
      <c r="S579" s="9">
        <f>ROUND(SUMIFS('Bank Lines'!$E$5:$E$1640,'Bank Lines'!$G$5:$G$1640,A579,'Bank Lines'!$J$5:$J$1640,1,'Bank Lines'!$C$5:$C$1640,"&lt;="&amp;Cover!$C$14),2)</f>
        <v>3585.6</v>
      </c>
      <c r="T579" s="9">
        <f>ROUND(SUMIFS('Odoo Items'!$G$5:$G$4331,'Odoo Items'!$J$5:$J$4331,A579,'Odoo Items'!$C$5:$C$4331,"&lt;="&amp;Cover!$C$14),2)</f>
        <v>3585.6</v>
      </c>
      <c r="U579">
        <f>COUNTIFS('Bank Lines'!$G$5:$G$1640,A579,'Bank Lines'!$J$5:$J$1640,1,'Bank Lines'!$C$5:$C$1640,"&lt;="&amp;Cover!$C$14)</f>
        <v>1</v>
      </c>
      <c r="V579">
        <f>COUNTIFS('Odoo Items'!$J$5:$J$4331,A579,'Odoo Items'!$C$5:$C$4331,"&lt;="&amp;Cover!$C$14)</f>
        <v>1</v>
      </c>
      <c r="W579" t="str">
        <f>IF(AND(U579=0,V579=0),"",IF(U579=0,"ODOO-ONLY",IF(V579=0,"BANK-ONLY","BOTH")))</f>
        <v>BOTH</v>
      </c>
      <c r="X579" s="9">
        <f>IF(W579="BOTH",ROUND(S579-T579,2),0)</f>
        <v>0</v>
      </c>
      <c r="Y579" s="9">
        <f>ROUND(SUMIFS('Bank Lines'!$E$5:$E$1640,'Bank Lines'!$G$5:$G$1640,A579,'Bank Lines'!$J$5:$J$1640,1,'Bank Lines'!$C$5:$C$1640,"&lt;="&amp;Cover!$C$15),2)</f>
        <v>3585.6</v>
      </c>
      <c r="Z579" s="9">
        <f>ROUND(SUMIFS('Odoo Items'!$G$5:$G$4331,'Odoo Items'!$J$5:$J$4331,A579,'Odoo Items'!$C$5:$C$4331,"&lt;="&amp;Cover!$C$15),2)</f>
        <v>3585.6</v>
      </c>
      <c r="AA579">
        <f>COUNTIFS('Bank Lines'!$G$5:$G$1640,A579,'Bank Lines'!$J$5:$J$1640,1,'Bank Lines'!$C$5:$C$1640,"&lt;="&amp;Cover!$C$15)</f>
        <v>1</v>
      </c>
      <c r="AB579">
        <f>COUNTIFS('Odoo Items'!$J$5:$J$4331,A579,'Odoo Items'!$C$5:$C$4331,"&lt;="&amp;Cover!$C$15)</f>
        <v>1</v>
      </c>
      <c r="AC579" t="str">
        <f>IF(AND(AA579=0,AB579=0),"",IF(AA579=0,"ODOO-ONLY",IF(AB579=0,"BANK-ONLY","BOTH")))</f>
        <v>BOTH</v>
      </c>
      <c r="AD579" s="9">
        <f>IF(AC579="BOTH",ROUND(Y579-Z579,2),0)</f>
        <v>0</v>
      </c>
    </row>
    <row r="580">
      <c r="A580" t="inlineStr">
        <is>
          <t>G00576</t>
        </is>
      </c>
      <c r="B580" t="inlineStr">
        <is>
          <t>MER</t>
        </is>
      </c>
      <c r="C580" t="inlineStr">
        <is>
          <t>R08</t>
        </is>
      </c>
      <c r="D580" t="inlineStr">
        <is>
          <t>MATCH</t>
        </is>
      </c>
      <c r="E580" t="inlineStr"/>
      <c r="G580" t="inlineStr"/>
      <c r="H580">
        <f>COUNTIFS('Bank Lines'!$G$5:$G$1640,A580,'Bank Lines'!$J$5:$J$1640,1)</f>
        <v>1</v>
      </c>
      <c r="I580">
        <f>COUNTIFS('Odoo Items'!$J$5:$J$4331,A580)</f>
        <v>1</v>
      </c>
      <c r="J580" s="9">
        <f>ROUND(SUMIFS('Bank Lines'!$E$5:$E$1640,'Bank Lines'!$G$5:$G$1640,A580,'Bank Lines'!$J$5:$J$1640,1),2)</f>
        <v>1862.65</v>
      </c>
      <c r="K580" s="9">
        <f>ROUND(SUMIFS('Odoo Items'!$G$5:$G$4331,'Odoo Items'!$J$5:$J$4331,A580),2)</f>
        <v>1862.65</v>
      </c>
      <c r="L580" s="9">
        <f>ROUND(J580-K580,2)</f>
        <v>0</v>
      </c>
      <c r="M580" s="9">
        <f>ROUND(SUMIFS('Bank Lines'!$E$5:$E$1640,'Bank Lines'!$G$5:$G$1640,A580,'Bank Lines'!$J$5:$J$1640,1,'Bank Lines'!$C$5:$C$1640,"&lt;="&amp;Cover!$C$13),2)</f>
        <v>1862.65</v>
      </c>
      <c r="N580" s="9">
        <f>ROUND(SUMIFS('Odoo Items'!$G$5:$G$4331,'Odoo Items'!$J$5:$J$4331,A580,'Odoo Items'!$C$5:$C$4331,"&lt;="&amp;Cover!$C$13),2)</f>
        <v>1862.65</v>
      </c>
      <c r="O580">
        <f>COUNTIFS('Bank Lines'!$G$5:$G$1640,A580,'Bank Lines'!$J$5:$J$1640,1,'Bank Lines'!$C$5:$C$1640,"&lt;="&amp;Cover!$C$13)</f>
        <v>1</v>
      </c>
      <c r="P580">
        <f>COUNTIFS('Odoo Items'!$J$5:$J$4331,A580,'Odoo Items'!$C$5:$C$4331,"&lt;="&amp;Cover!$C$13)</f>
        <v>1</v>
      </c>
      <c r="Q580" t="str">
        <f>IF(AND(O580=0,P580=0),"",IF(O580=0,"ODOO-ONLY",IF(P580=0,"BANK-ONLY","BOTH")))</f>
        <v>BOTH</v>
      </c>
      <c r="R580" s="9">
        <f>IF(Q580="BOTH",ROUND(M580-N580,2),0)</f>
        <v>0</v>
      </c>
      <c r="S580" s="9">
        <f>ROUND(SUMIFS('Bank Lines'!$E$5:$E$1640,'Bank Lines'!$G$5:$G$1640,A580,'Bank Lines'!$J$5:$J$1640,1,'Bank Lines'!$C$5:$C$1640,"&lt;="&amp;Cover!$C$14),2)</f>
        <v>1862.65</v>
      </c>
      <c r="T580" s="9">
        <f>ROUND(SUMIFS('Odoo Items'!$G$5:$G$4331,'Odoo Items'!$J$5:$J$4331,A580,'Odoo Items'!$C$5:$C$4331,"&lt;="&amp;Cover!$C$14),2)</f>
        <v>1862.65</v>
      </c>
      <c r="U580">
        <f>COUNTIFS('Bank Lines'!$G$5:$G$1640,A580,'Bank Lines'!$J$5:$J$1640,1,'Bank Lines'!$C$5:$C$1640,"&lt;="&amp;Cover!$C$14)</f>
        <v>1</v>
      </c>
      <c r="V580">
        <f>COUNTIFS('Odoo Items'!$J$5:$J$4331,A580,'Odoo Items'!$C$5:$C$4331,"&lt;="&amp;Cover!$C$14)</f>
        <v>1</v>
      </c>
      <c r="W580" t="str">
        <f>IF(AND(U580=0,V580=0),"",IF(U580=0,"ODOO-ONLY",IF(V580=0,"BANK-ONLY","BOTH")))</f>
        <v>BOTH</v>
      </c>
      <c r="X580" s="9">
        <f>IF(W580="BOTH",ROUND(S580-T580,2),0)</f>
        <v>0</v>
      </c>
      <c r="Y580" s="9">
        <f>ROUND(SUMIFS('Bank Lines'!$E$5:$E$1640,'Bank Lines'!$G$5:$G$1640,A580,'Bank Lines'!$J$5:$J$1640,1,'Bank Lines'!$C$5:$C$1640,"&lt;="&amp;Cover!$C$15),2)</f>
        <v>1862.65</v>
      </c>
      <c r="Z580" s="9">
        <f>ROUND(SUMIFS('Odoo Items'!$G$5:$G$4331,'Odoo Items'!$J$5:$J$4331,A580,'Odoo Items'!$C$5:$C$4331,"&lt;="&amp;Cover!$C$15),2)</f>
        <v>1862.65</v>
      </c>
      <c r="AA580">
        <f>COUNTIFS('Bank Lines'!$G$5:$G$1640,A580,'Bank Lines'!$J$5:$J$1640,1,'Bank Lines'!$C$5:$C$1640,"&lt;="&amp;Cover!$C$15)</f>
        <v>1</v>
      </c>
      <c r="AB580">
        <f>COUNTIFS('Odoo Items'!$J$5:$J$4331,A580,'Odoo Items'!$C$5:$C$4331,"&lt;="&amp;Cover!$C$15)</f>
        <v>1</v>
      </c>
      <c r="AC580" t="str">
        <f>IF(AND(AA580=0,AB580=0),"",IF(AA580=0,"ODOO-ONLY",IF(AB580=0,"BANK-ONLY","BOTH")))</f>
        <v>BOTH</v>
      </c>
      <c r="AD580" s="9">
        <f>IF(AC580="BOTH",ROUND(Y580-Z580,2),0)</f>
        <v>0</v>
      </c>
    </row>
    <row r="581">
      <c r="A581" t="inlineStr">
        <is>
          <t>G00577</t>
        </is>
      </c>
      <c r="B581" t="inlineStr">
        <is>
          <t>MER</t>
        </is>
      </c>
      <c r="C581" t="inlineStr">
        <is>
          <t>R08</t>
        </is>
      </c>
      <c r="D581" t="inlineStr">
        <is>
          <t>MATCH</t>
        </is>
      </c>
      <c r="E581" t="inlineStr"/>
      <c r="G581" t="inlineStr"/>
      <c r="H581">
        <f>COUNTIFS('Bank Lines'!$G$5:$G$1640,A581,'Bank Lines'!$J$5:$J$1640,1)</f>
        <v>1</v>
      </c>
      <c r="I581">
        <f>COUNTIFS('Odoo Items'!$J$5:$J$4331,A581)</f>
        <v>1</v>
      </c>
      <c r="J581" s="9">
        <f>ROUND(SUMIFS('Bank Lines'!$E$5:$E$1640,'Bank Lines'!$G$5:$G$1640,A581,'Bank Lines'!$J$5:$J$1640,1),2)</f>
        <v>2135.57</v>
      </c>
      <c r="K581" s="9">
        <f>ROUND(SUMIFS('Odoo Items'!$G$5:$G$4331,'Odoo Items'!$J$5:$J$4331,A581),2)</f>
        <v>2135.57</v>
      </c>
      <c r="L581" s="9">
        <f>ROUND(J581-K581,2)</f>
        <v>0</v>
      </c>
      <c r="M581" s="9">
        <f>ROUND(SUMIFS('Bank Lines'!$E$5:$E$1640,'Bank Lines'!$G$5:$G$1640,A581,'Bank Lines'!$J$5:$J$1640,1,'Bank Lines'!$C$5:$C$1640,"&lt;="&amp;Cover!$C$13),2)</f>
        <v>2135.57</v>
      </c>
      <c r="N581" s="9">
        <f>ROUND(SUMIFS('Odoo Items'!$G$5:$G$4331,'Odoo Items'!$J$5:$J$4331,A581,'Odoo Items'!$C$5:$C$4331,"&lt;="&amp;Cover!$C$13),2)</f>
        <v>2135.57</v>
      </c>
      <c r="O581">
        <f>COUNTIFS('Bank Lines'!$G$5:$G$1640,A581,'Bank Lines'!$J$5:$J$1640,1,'Bank Lines'!$C$5:$C$1640,"&lt;="&amp;Cover!$C$13)</f>
        <v>1</v>
      </c>
      <c r="P581">
        <f>COUNTIFS('Odoo Items'!$J$5:$J$4331,A581,'Odoo Items'!$C$5:$C$4331,"&lt;="&amp;Cover!$C$13)</f>
        <v>1</v>
      </c>
      <c r="Q581" t="str">
        <f>IF(AND(O581=0,P581=0),"",IF(O581=0,"ODOO-ONLY",IF(P581=0,"BANK-ONLY","BOTH")))</f>
        <v>BOTH</v>
      </c>
      <c r="R581" s="9">
        <f>IF(Q581="BOTH",ROUND(M581-N581,2),0)</f>
        <v>0</v>
      </c>
      <c r="S581" s="9">
        <f>ROUND(SUMIFS('Bank Lines'!$E$5:$E$1640,'Bank Lines'!$G$5:$G$1640,A581,'Bank Lines'!$J$5:$J$1640,1,'Bank Lines'!$C$5:$C$1640,"&lt;="&amp;Cover!$C$14),2)</f>
        <v>2135.57</v>
      </c>
      <c r="T581" s="9">
        <f>ROUND(SUMIFS('Odoo Items'!$G$5:$G$4331,'Odoo Items'!$J$5:$J$4331,A581,'Odoo Items'!$C$5:$C$4331,"&lt;="&amp;Cover!$C$14),2)</f>
        <v>2135.57</v>
      </c>
      <c r="U581">
        <f>COUNTIFS('Bank Lines'!$G$5:$G$1640,A581,'Bank Lines'!$J$5:$J$1640,1,'Bank Lines'!$C$5:$C$1640,"&lt;="&amp;Cover!$C$14)</f>
        <v>1</v>
      </c>
      <c r="V581">
        <f>COUNTIFS('Odoo Items'!$J$5:$J$4331,A581,'Odoo Items'!$C$5:$C$4331,"&lt;="&amp;Cover!$C$14)</f>
        <v>1</v>
      </c>
      <c r="W581" t="str">
        <f>IF(AND(U581=0,V581=0),"",IF(U581=0,"ODOO-ONLY",IF(V581=0,"BANK-ONLY","BOTH")))</f>
        <v>BOTH</v>
      </c>
      <c r="X581" s="9">
        <f>IF(W581="BOTH",ROUND(S581-T581,2),0)</f>
        <v>0</v>
      </c>
      <c r="Y581" s="9">
        <f>ROUND(SUMIFS('Bank Lines'!$E$5:$E$1640,'Bank Lines'!$G$5:$G$1640,A581,'Bank Lines'!$J$5:$J$1640,1,'Bank Lines'!$C$5:$C$1640,"&lt;="&amp;Cover!$C$15),2)</f>
        <v>2135.57</v>
      </c>
      <c r="Z581" s="9">
        <f>ROUND(SUMIFS('Odoo Items'!$G$5:$G$4331,'Odoo Items'!$J$5:$J$4331,A581,'Odoo Items'!$C$5:$C$4331,"&lt;="&amp;Cover!$C$15),2)</f>
        <v>2135.57</v>
      </c>
      <c r="AA581">
        <f>COUNTIFS('Bank Lines'!$G$5:$G$1640,A581,'Bank Lines'!$J$5:$J$1640,1,'Bank Lines'!$C$5:$C$1640,"&lt;="&amp;Cover!$C$15)</f>
        <v>1</v>
      </c>
      <c r="AB581">
        <f>COUNTIFS('Odoo Items'!$J$5:$J$4331,A581,'Odoo Items'!$C$5:$C$4331,"&lt;="&amp;Cover!$C$15)</f>
        <v>1</v>
      </c>
      <c r="AC581" t="str">
        <f>IF(AND(AA581=0,AB581=0),"",IF(AA581=0,"ODOO-ONLY",IF(AB581=0,"BANK-ONLY","BOTH")))</f>
        <v>BOTH</v>
      </c>
      <c r="AD581" s="9">
        <f>IF(AC581="BOTH",ROUND(Y581-Z581,2),0)</f>
        <v>0</v>
      </c>
    </row>
    <row r="582">
      <c r="A582" t="inlineStr">
        <is>
          <t>G00578</t>
        </is>
      </c>
      <c r="B582" t="inlineStr">
        <is>
          <t>MER</t>
        </is>
      </c>
      <c r="C582" t="inlineStr">
        <is>
          <t>R08</t>
        </is>
      </c>
      <c r="D582" t="inlineStr">
        <is>
          <t>MATCH</t>
        </is>
      </c>
      <c r="E582" t="inlineStr"/>
      <c r="G582" t="inlineStr"/>
      <c r="H582">
        <f>COUNTIFS('Bank Lines'!$G$5:$G$1640,A582,'Bank Lines'!$J$5:$J$1640,1)</f>
        <v>1</v>
      </c>
      <c r="I582">
        <f>COUNTIFS('Odoo Items'!$J$5:$J$4331,A582)</f>
        <v>1</v>
      </c>
      <c r="J582" s="9">
        <f>ROUND(SUMIFS('Bank Lines'!$E$5:$E$1640,'Bank Lines'!$G$5:$G$1640,A582,'Bank Lines'!$J$5:$J$1640,1),2)</f>
        <v>2873.86</v>
      </c>
      <c r="K582" s="9">
        <f>ROUND(SUMIFS('Odoo Items'!$G$5:$G$4331,'Odoo Items'!$J$5:$J$4331,A582),2)</f>
        <v>2873.86</v>
      </c>
      <c r="L582" s="9">
        <f>ROUND(J582-K582,2)</f>
        <v>0</v>
      </c>
      <c r="M582" s="9">
        <f>ROUND(SUMIFS('Bank Lines'!$E$5:$E$1640,'Bank Lines'!$G$5:$G$1640,A582,'Bank Lines'!$J$5:$J$1640,1,'Bank Lines'!$C$5:$C$1640,"&lt;="&amp;Cover!$C$13),2)</f>
        <v>2873.86</v>
      </c>
      <c r="N582" s="9">
        <f>ROUND(SUMIFS('Odoo Items'!$G$5:$G$4331,'Odoo Items'!$J$5:$J$4331,A582,'Odoo Items'!$C$5:$C$4331,"&lt;="&amp;Cover!$C$13),2)</f>
        <v>2873.86</v>
      </c>
      <c r="O582">
        <f>COUNTIFS('Bank Lines'!$G$5:$G$1640,A582,'Bank Lines'!$J$5:$J$1640,1,'Bank Lines'!$C$5:$C$1640,"&lt;="&amp;Cover!$C$13)</f>
        <v>1</v>
      </c>
      <c r="P582">
        <f>COUNTIFS('Odoo Items'!$J$5:$J$4331,A582,'Odoo Items'!$C$5:$C$4331,"&lt;="&amp;Cover!$C$13)</f>
        <v>1</v>
      </c>
      <c r="Q582" t="str">
        <f>IF(AND(O582=0,P582=0),"",IF(O582=0,"ODOO-ONLY",IF(P582=0,"BANK-ONLY","BOTH")))</f>
        <v>BOTH</v>
      </c>
      <c r="R582" s="9">
        <f>IF(Q582="BOTH",ROUND(M582-N582,2),0)</f>
        <v>0</v>
      </c>
      <c r="S582" s="9">
        <f>ROUND(SUMIFS('Bank Lines'!$E$5:$E$1640,'Bank Lines'!$G$5:$G$1640,A582,'Bank Lines'!$J$5:$J$1640,1,'Bank Lines'!$C$5:$C$1640,"&lt;="&amp;Cover!$C$14),2)</f>
        <v>2873.86</v>
      </c>
      <c r="T582" s="9">
        <f>ROUND(SUMIFS('Odoo Items'!$G$5:$G$4331,'Odoo Items'!$J$5:$J$4331,A582,'Odoo Items'!$C$5:$C$4331,"&lt;="&amp;Cover!$C$14),2)</f>
        <v>2873.86</v>
      </c>
      <c r="U582">
        <f>COUNTIFS('Bank Lines'!$G$5:$G$1640,A582,'Bank Lines'!$J$5:$J$1640,1,'Bank Lines'!$C$5:$C$1640,"&lt;="&amp;Cover!$C$14)</f>
        <v>1</v>
      </c>
      <c r="V582">
        <f>COUNTIFS('Odoo Items'!$J$5:$J$4331,A582,'Odoo Items'!$C$5:$C$4331,"&lt;="&amp;Cover!$C$14)</f>
        <v>1</v>
      </c>
      <c r="W582" t="str">
        <f>IF(AND(U582=0,V582=0),"",IF(U582=0,"ODOO-ONLY",IF(V582=0,"BANK-ONLY","BOTH")))</f>
        <v>BOTH</v>
      </c>
      <c r="X582" s="9">
        <f>IF(W582="BOTH",ROUND(S582-T582,2),0)</f>
        <v>0</v>
      </c>
      <c r="Y582" s="9">
        <f>ROUND(SUMIFS('Bank Lines'!$E$5:$E$1640,'Bank Lines'!$G$5:$G$1640,A582,'Bank Lines'!$J$5:$J$1640,1,'Bank Lines'!$C$5:$C$1640,"&lt;="&amp;Cover!$C$15),2)</f>
        <v>2873.86</v>
      </c>
      <c r="Z582" s="9">
        <f>ROUND(SUMIFS('Odoo Items'!$G$5:$G$4331,'Odoo Items'!$J$5:$J$4331,A582,'Odoo Items'!$C$5:$C$4331,"&lt;="&amp;Cover!$C$15),2)</f>
        <v>2873.86</v>
      </c>
      <c r="AA582">
        <f>COUNTIFS('Bank Lines'!$G$5:$G$1640,A582,'Bank Lines'!$J$5:$J$1640,1,'Bank Lines'!$C$5:$C$1640,"&lt;="&amp;Cover!$C$15)</f>
        <v>1</v>
      </c>
      <c r="AB582">
        <f>COUNTIFS('Odoo Items'!$J$5:$J$4331,A582,'Odoo Items'!$C$5:$C$4331,"&lt;="&amp;Cover!$C$15)</f>
        <v>1</v>
      </c>
      <c r="AC582" t="str">
        <f>IF(AND(AA582=0,AB582=0),"",IF(AA582=0,"ODOO-ONLY",IF(AB582=0,"BANK-ONLY","BOTH")))</f>
        <v>BOTH</v>
      </c>
      <c r="AD582" s="9">
        <f>IF(AC582="BOTH",ROUND(Y582-Z582,2),0)</f>
        <v>0</v>
      </c>
    </row>
    <row r="583">
      <c r="A583" t="inlineStr">
        <is>
          <t>G00579</t>
        </is>
      </c>
      <c r="B583" t="inlineStr">
        <is>
          <t>MER</t>
        </is>
      </c>
      <c r="C583" t="inlineStr">
        <is>
          <t>R08</t>
        </is>
      </c>
      <c r="D583" t="inlineStr">
        <is>
          <t>MATCH</t>
        </is>
      </c>
      <c r="E583" t="inlineStr"/>
      <c r="G583" t="inlineStr"/>
      <c r="H583">
        <f>COUNTIFS('Bank Lines'!$G$5:$G$1640,A583,'Bank Lines'!$J$5:$J$1640,1)</f>
        <v>1</v>
      </c>
      <c r="I583">
        <f>COUNTIFS('Odoo Items'!$J$5:$J$4331,A583)</f>
        <v>1</v>
      </c>
      <c r="J583" s="9">
        <f>ROUND(SUMIFS('Bank Lines'!$E$5:$E$1640,'Bank Lines'!$G$5:$G$1640,A583,'Bank Lines'!$J$5:$J$1640,1),2)</f>
        <v>1010.7</v>
      </c>
      <c r="K583" s="9">
        <f>ROUND(SUMIFS('Odoo Items'!$G$5:$G$4331,'Odoo Items'!$J$5:$J$4331,A583),2)</f>
        <v>1010.7</v>
      </c>
      <c r="L583" s="9">
        <f>ROUND(J583-K583,2)</f>
        <v>0</v>
      </c>
      <c r="M583" s="9">
        <f>ROUND(SUMIFS('Bank Lines'!$E$5:$E$1640,'Bank Lines'!$G$5:$G$1640,A583,'Bank Lines'!$J$5:$J$1640,1,'Bank Lines'!$C$5:$C$1640,"&lt;="&amp;Cover!$C$13),2)</f>
        <v>1010.7</v>
      </c>
      <c r="N583" s="9">
        <f>ROUND(SUMIFS('Odoo Items'!$G$5:$G$4331,'Odoo Items'!$J$5:$J$4331,A583,'Odoo Items'!$C$5:$C$4331,"&lt;="&amp;Cover!$C$13),2)</f>
        <v>1010.7</v>
      </c>
      <c r="O583">
        <f>COUNTIFS('Bank Lines'!$G$5:$G$1640,A583,'Bank Lines'!$J$5:$J$1640,1,'Bank Lines'!$C$5:$C$1640,"&lt;="&amp;Cover!$C$13)</f>
        <v>1</v>
      </c>
      <c r="P583">
        <f>COUNTIFS('Odoo Items'!$J$5:$J$4331,A583,'Odoo Items'!$C$5:$C$4331,"&lt;="&amp;Cover!$C$13)</f>
        <v>1</v>
      </c>
      <c r="Q583" t="str">
        <f>IF(AND(O583=0,P583=0),"",IF(O583=0,"ODOO-ONLY",IF(P583=0,"BANK-ONLY","BOTH")))</f>
        <v>BOTH</v>
      </c>
      <c r="R583" s="9">
        <f>IF(Q583="BOTH",ROUND(M583-N583,2),0)</f>
        <v>0</v>
      </c>
      <c r="S583" s="9">
        <f>ROUND(SUMIFS('Bank Lines'!$E$5:$E$1640,'Bank Lines'!$G$5:$G$1640,A583,'Bank Lines'!$J$5:$J$1640,1,'Bank Lines'!$C$5:$C$1640,"&lt;="&amp;Cover!$C$14),2)</f>
        <v>1010.7</v>
      </c>
      <c r="T583" s="9">
        <f>ROUND(SUMIFS('Odoo Items'!$G$5:$G$4331,'Odoo Items'!$J$5:$J$4331,A583,'Odoo Items'!$C$5:$C$4331,"&lt;="&amp;Cover!$C$14),2)</f>
        <v>1010.7</v>
      </c>
      <c r="U583">
        <f>COUNTIFS('Bank Lines'!$G$5:$G$1640,A583,'Bank Lines'!$J$5:$J$1640,1,'Bank Lines'!$C$5:$C$1640,"&lt;="&amp;Cover!$C$14)</f>
        <v>1</v>
      </c>
      <c r="V583">
        <f>COUNTIFS('Odoo Items'!$J$5:$J$4331,A583,'Odoo Items'!$C$5:$C$4331,"&lt;="&amp;Cover!$C$14)</f>
        <v>1</v>
      </c>
      <c r="W583" t="str">
        <f>IF(AND(U583=0,V583=0),"",IF(U583=0,"ODOO-ONLY",IF(V583=0,"BANK-ONLY","BOTH")))</f>
        <v>BOTH</v>
      </c>
      <c r="X583" s="9">
        <f>IF(W583="BOTH",ROUND(S583-T583,2),0)</f>
        <v>0</v>
      </c>
      <c r="Y583" s="9">
        <f>ROUND(SUMIFS('Bank Lines'!$E$5:$E$1640,'Bank Lines'!$G$5:$G$1640,A583,'Bank Lines'!$J$5:$J$1640,1,'Bank Lines'!$C$5:$C$1640,"&lt;="&amp;Cover!$C$15),2)</f>
        <v>1010.7</v>
      </c>
      <c r="Z583" s="9">
        <f>ROUND(SUMIFS('Odoo Items'!$G$5:$G$4331,'Odoo Items'!$J$5:$J$4331,A583,'Odoo Items'!$C$5:$C$4331,"&lt;="&amp;Cover!$C$15),2)</f>
        <v>1010.7</v>
      </c>
      <c r="AA583">
        <f>COUNTIFS('Bank Lines'!$G$5:$G$1640,A583,'Bank Lines'!$J$5:$J$1640,1,'Bank Lines'!$C$5:$C$1640,"&lt;="&amp;Cover!$C$15)</f>
        <v>1</v>
      </c>
      <c r="AB583">
        <f>COUNTIFS('Odoo Items'!$J$5:$J$4331,A583,'Odoo Items'!$C$5:$C$4331,"&lt;="&amp;Cover!$C$15)</f>
        <v>1</v>
      </c>
      <c r="AC583" t="str">
        <f>IF(AND(AA583=0,AB583=0),"",IF(AA583=0,"ODOO-ONLY",IF(AB583=0,"BANK-ONLY","BOTH")))</f>
        <v>BOTH</v>
      </c>
      <c r="AD583" s="9">
        <f>IF(AC583="BOTH",ROUND(Y583-Z583,2),0)</f>
        <v>0</v>
      </c>
    </row>
    <row r="584">
      <c r="A584" t="inlineStr">
        <is>
          <t>G00580</t>
        </is>
      </c>
      <c r="B584" t="inlineStr">
        <is>
          <t>MER</t>
        </is>
      </c>
      <c r="C584" t="inlineStr">
        <is>
          <t>R08</t>
        </is>
      </c>
      <c r="D584" t="inlineStr">
        <is>
          <t>MATCH</t>
        </is>
      </c>
      <c r="E584" t="inlineStr"/>
      <c r="G584" t="inlineStr"/>
      <c r="H584">
        <f>COUNTIFS('Bank Lines'!$G$5:$G$1640,A584,'Bank Lines'!$J$5:$J$1640,1)</f>
        <v>1</v>
      </c>
      <c r="I584">
        <f>COUNTIFS('Odoo Items'!$J$5:$J$4331,A584)</f>
        <v>1</v>
      </c>
      <c r="J584" s="9">
        <f>ROUND(SUMIFS('Bank Lines'!$E$5:$E$1640,'Bank Lines'!$G$5:$G$1640,A584,'Bank Lines'!$J$5:$J$1640,1),2)</f>
        <v>3366.94</v>
      </c>
      <c r="K584" s="9">
        <f>ROUND(SUMIFS('Odoo Items'!$G$5:$G$4331,'Odoo Items'!$J$5:$J$4331,A584),2)</f>
        <v>3366.94</v>
      </c>
      <c r="L584" s="9">
        <f>ROUND(J584-K584,2)</f>
        <v>0</v>
      </c>
      <c r="M584" s="9">
        <f>ROUND(SUMIFS('Bank Lines'!$E$5:$E$1640,'Bank Lines'!$G$5:$G$1640,A584,'Bank Lines'!$J$5:$J$1640,1,'Bank Lines'!$C$5:$C$1640,"&lt;="&amp;Cover!$C$13),2)</f>
        <v>3366.94</v>
      </c>
      <c r="N584" s="9">
        <f>ROUND(SUMIFS('Odoo Items'!$G$5:$G$4331,'Odoo Items'!$J$5:$J$4331,A584,'Odoo Items'!$C$5:$C$4331,"&lt;="&amp;Cover!$C$13),2)</f>
        <v>3366.94</v>
      </c>
      <c r="O584">
        <f>COUNTIFS('Bank Lines'!$G$5:$G$1640,A584,'Bank Lines'!$J$5:$J$1640,1,'Bank Lines'!$C$5:$C$1640,"&lt;="&amp;Cover!$C$13)</f>
        <v>1</v>
      </c>
      <c r="P584">
        <f>COUNTIFS('Odoo Items'!$J$5:$J$4331,A584,'Odoo Items'!$C$5:$C$4331,"&lt;="&amp;Cover!$C$13)</f>
        <v>1</v>
      </c>
      <c r="Q584" t="str">
        <f>IF(AND(O584=0,P584=0),"",IF(O584=0,"ODOO-ONLY",IF(P584=0,"BANK-ONLY","BOTH")))</f>
        <v>BOTH</v>
      </c>
      <c r="R584" s="9">
        <f>IF(Q584="BOTH",ROUND(M584-N584,2),0)</f>
        <v>0</v>
      </c>
      <c r="S584" s="9">
        <f>ROUND(SUMIFS('Bank Lines'!$E$5:$E$1640,'Bank Lines'!$G$5:$G$1640,A584,'Bank Lines'!$J$5:$J$1640,1,'Bank Lines'!$C$5:$C$1640,"&lt;="&amp;Cover!$C$14),2)</f>
        <v>3366.94</v>
      </c>
      <c r="T584" s="9">
        <f>ROUND(SUMIFS('Odoo Items'!$G$5:$G$4331,'Odoo Items'!$J$5:$J$4331,A584,'Odoo Items'!$C$5:$C$4331,"&lt;="&amp;Cover!$C$14),2)</f>
        <v>3366.94</v>
      </c>
      <c r="U584">
        <f>COUNTIFS('Bank Lines'!$G$5:$G$1640,A584,'Bank Lines'!$J$5:$J$1640,1,'Bank Lines'!$C$5:$C$1640,"&lt;="&amp;Cover!$C$14)</f>
        <v>1</v>
      </c>
      <c r="V584">
        <f>COUNTIFS('Odoo Items'!$J$5:$J$4331,A584,'Odoo Items'!$C$5:$C$4331,"&lt;="&amp;Cover!$C$14)</f>
        <v>1</v>
      </c>
      <c r="W584" t="str">
        <f>IF(AND(U584=0,V584=0),"",IF(U584=0,"ODOO-ONLY",IF(V584=0,"BANK-ONLY","BOTH")))</f>
        <v>BOTH</v>
      </c>
      <c r="X584" s="9">
        <f>IF(W584="BOTH",ROUND(S584-T584,2),0)</f>
        <v>0</v>
      </c>
      <c r="Y584" s="9">
        <f>ROUND(SUMIFS('Bank Lines'!$E$5:$E$1640,'Bank Lines'!$G$5:$G$1640,A584,'Bank Lines'!$J$5:$J$1640,1,'Bank Lines'!$C$5:$C$1640,"&lt;="&amp;Cover!$C$15),2)</f>
        <v>3366.94</v>
      </c>
      <c r="Z584" s="9">
        <f>ROUND(SUMIFS('Odoo Items'!$G$5:$G$4331,'Odoo Items'!$J$5:$J$4331,A584,'Odoo Items'!$C$5:$C$4331,"&lt;="&amp;Cover!$C$15),2)</f>
        <v>3366.94</v>
      </c>
      <c r="AA584">
        <f>COUNTIFS('Bank Lines'!$G$5:$G$1640,A584,'Bank Lines'!$J$5:$J$1640,1,'Bank Lines'!$C$5:$C$1640,"&lt;="&amp;Cover!$C$15)</f>
        <v>1</v>
      </c>
      <c r="AB584">
        <f>COUNTIFS('Odoo Items'!$J$5:$J$4331,A584,'Odoo Items'!$C$5:$C$4331,"&lt;="&amp;Cover!$C$15)</f>
        <v>1</v>
      </c>
      <c r="AC584" t="str">
        <f>IF(AND(AA584=0,AB584=0),"",IF(AA584=0,"ODOO-ONLY",IF(AB584=0,"BANK-ONLY","BOTH")))</f>
        <v>BOTH</v>
      </c>
      <c r="AD584" s="9">
        <f>IF(AC584="BOTH",ROUND(Y584-Z584,2),0)</f>
        <v>0</v>
      </c>
    </row>
    <row r="585">
      <c r="A585" t="inlineStr">
        <is>
          <t>G00581</t>
        </is>
      </c>
      <c r="B585" t="inlineStr">
        <is>
          <t>MER</t>
        </is>
      </c>
      <c r="C585" t="inlineStr">
        <is>
          <t>R08</t>
        </is>
      </c>
      <c r="D585" t="inlineStr">
        <is>
          <t>MATCH</t>
        </is>
      </c>
      <c r="E585" t="inlineStr"/>
      <c r="G585" t="inlineStr"/>
      <c r="H585">
        <f>COUNTIFS('Bank Lines'!$G$5:$G$1640,A585,'Bank Lines'!$J$5:$J$1640,1)</f>
        <v>1</v>
      </c>
      <c r="I585">
        <f>COUNTIFS('Odoo Items'!$J$5:$J$4331,A585)</f>
        <v>1</v>
      </c>
      <c r="J585" s="9">
        <f>ROUND(SUMIFS('Bank Lines'!$E$5:$E$1640,'Bank Lines'!$G$5:$G$1640,A585,'Bank Lines'!$J$5:$J$1640,1),2)</f>
        <v>1587.65</v>
      </c>
      <c r="K585" s="9">
        <f>ROUND(SUMIFS('Odoo Items'!$G$5:$G$4331,'Odoo Items'!$J$5:$J$4331,A585),2)</f>
        <v>1587.65</v>
      </c>
      <c r="L585" s="9">
        <f>ROUND(J585-K585,2)</f>
        <v>0</v>
      </c>
      <c r="M585" s="9">
        <f>ROUND(SUMIFS('Bank Lines'!$E$5:$E$1640,'Bank Lines'!$G$5:$G$1640,A585,'Bank Lines'!$J$5:$J$1640,1,'Bank Lines'!$C$5:$C$1640,"&lt;="&amp;Cover!$C$13),2)</f>
        <v>1587.65</v>
      </c>
      <c r="N585" s="9">
        <f>ROUND(SUMIFS('Odoo Items'!$G$5:$G$4331,'Odoo Items'!$J$5:$J$4331,A585,'Odoo Items'!$C$5:$C$4331,"&lt;="&amp;Cover!$C$13),2)</f>
        <v>1587.65</v>
      </c>
      <c r="O585">
        <f>COUNTIFS('Bank Lines'!$G$5:$G$1640,A585,'Bank Lines'!$J$5:$J$1640,1,'Bank Lines'!$C$5:$C$1640,"&lt;="&amp;Cover!$C$13)</f>
        <v>1</v>
      </c>
      <c r="P585">
        <f>COUNTIFS('Odoo Items'!$J$5:$J$4331,A585,'Odoo Items'!$C$5:$C$4331,"&lt;="&amp;Cover!$C$13)</f>
        <v>1</v>
      </c>
      <c r="Q585" t="str">
        <f>IF(AND(O585=0,P585=0),"",IF(O585=0,"ODOO-ONLY",IF(P585=0,"BANK-ONLY","BOTH")))</f>
        <v>BOTH</v>
      </c>
      <c r="R585" s="9">
        <f>IF(Q585="BOTH",ROUND(M585-N585,2),0)</f>
        <v>0</v>
      </c>
      <c r="S585" s="9">
        <f>ROUND(SUMIFS('Bank Lines'!$E$5:$E$1640,'Bank Lines'!$G$5:$G$1640,A585,'Bank Lines'!$J$5:$J$1640,1,'Bank Lines'!$C$5:$C$1640,"&lt;="&amp;Cover!$C$14),2)</f>
        <v>1587.65</v>
      </c>
      <c r="T585" s="9">
        <f>ROUND(SUMIFS('Odoo Items'!$G$5:$G$4331,'Odoo Items'!$J$5:$J$4331,A585,'Odoo Items'!$C$5:$C$4331,"&lt;="&amp;Cover!$C$14),2)</f>
        <v>1587.65</v>
      </c>
      <c r="U585">
        <f>COUNTIFS('Bank Lines'!$G$5:$G$1640,A585,'Bank Lines'!$J$5:$J$1640,1,'Bank Lines'!$C$5:$C$1640,"&lt;="&amp;Cover!$C$14)</f>
        <v>1</v>
      </c>
      <c r="V585">
        <f>COUNTIFS('Odoo Items'!$J$5:$J$4331,A585,'Odoo Items'!$C$5:$C$4331,"&lt;="&amp;Cover!$C$14)</f>
        <v>1</v>
      </c>
      <c r="W585" t="str">
        <f>IF(AND(U585=0,V585=0),"",IF(U585=0,"ODOO-ONLY",IF(V585=0,"BANK-ONLY","BOTH")))</f>
        <v>BOTH</v>
      </c>
      <c r="X585" s="9">
        <f>IF(W585="BOTH",ROUND(S585-T585,2),0)</f>
        <v>0</v>
      </c>
      <c r="Y585" s="9">
        <f>ROUND(SUMIFS('Bank Lines'!$E$5:$E$1640,'Bank Lines'!$G$5:$G$1640,A585,'Bank Lines'!$J$5:$J$1640,1,'Bank Lines'!$C$5:$C$1640,"&lt;="&amp;Cover!$C$15),2)</f>
        <v>1587.65</v>
      </c>
      <c r="Z585" s="9">
        <f>ROUND(SUMIFS('Odoo Items'!$G$5:$G$4331,'Odoo Items'!$J$5:$J$4331,A585,'Odoo Items'!$C$5:$C$4331,"&lt;="&amp;Cover!$C$15),2)</f>
        <v>1587.65</v>
      </c>
      <c r="AA585">
        <f>COUNTIFS('Bank Lines'!$G$5:$G$1640,A585,'Bank Lines'!$J$5:$J$1640,1,'Bank Lines'!$C$5:$C$1640,"&lt;="&amp;Cover!$C$15)</f>
        <v>1</v>
      </c>
      <c r="AB585">
        <f>COUNTIFS('Odoo Items'!$J$5:$J$4331,A585,'Odoo Items'!$C$5:$C$4331,"&lt;="&amp;Cover!$C$15)</f>
        <v>1</v>
      </c>
      <c r="AC585" t="str">
        <f>IF(AND(AA585=0,AB585=0),"",IF(AA585=0,"ODOO-ONLY",IF(AB585=0,"BANK-ONLY","BOTH")))</f>
        <v>BOTH</v>
      </c>
      <c r="AD585" s="9">
        <f>IF(AC585="BOTH",ROUND(Y585-Z585,2),0)</f>
        <v>0</v>
      </c>
    </row>
    <row r="586">
      <c r="A586" t="inlineStr">
        <is>
          <t>G00582</t>
        </is>
      </c>
      <c r="B586" t="inlineStr">
        <is>
          <t>MER</t>
        </is>
      </c>
      <c r="C586" t="inlineStr">
        <is>
          <t>R08</t>
        </is>
      </c>
      <c r="D586" t="inlineStr">
        <is>
          <t>MATCH</t>
        </is>
      </c>
      <c r="E586" t="inlineStr"/>
      <c r="G586" t="inlineStr"/>
      <c r="H586">
        <f>COUNTIFS('Bank Lines'!$G$5:$G$1640,A586,'Bank Lines'!$J$5:$J$1640,1)</f>
        <v>1</v>
      </c>
      <c r="I586">
        <f>COUNTIFS('Odoo Items'!$J$5:$J$4331,A586)</f>
        <v>1</v>
      </c>
      <c r="J586" s="9">
        <f>ROUND(SUMIFS('Bank Lines'!$E$5:$E$1640,'Bank Lines'!$G$5:$G$1640,A586,'Bank Lines'!$J$5:$J$1640,1),2)</f>
        <v>1960.84</v>
      </c>
      <c r="K586" s="9">
        <f>ROUND(SUMIFS('Odoo Items'!$G$5:$G$4331,'Odoo Items'!$J$5:$J$4331,A586),2)</f>
        <v>1960.84</v>
      </c>
      <c r="L586" s="9">
        <f>ROUND(J586-K586,2)</f>
        <v>0</v>
      </c>
      <c r="M586" s="9">
        <f>ROUND(SUMIFS('Bank Lines'!$E$5:$E$1640,'Bank Lines'!$G$5:$G$1640,A586,'Bank Lines'!$J$5:$J$1640,1,'Bank Lines'!$C$5:$C$1640,"&lt;="&amp;Cover!$C$13),2)</f>
        <v>1960.84</v>
      </c>
      <c r="N586" s="9">
        <f>ROUND(SUMIFS('Odoo Items'!$G$5:$G$4331,'Odoo Items'!$J$5:$J$4331,A586,'Odoo Items'!$C$5:$C$4331,"&lt;="&amp;Cover!$C$13),2)</f>
        <v>1960.84</v>
      </c>
      <c r="O586">
        <f>COUNTIFS('Bank Lines'!$G$5:$G$1640,A586,'Bank Lines'!$J$5:$J$1640,1,'Bank Lines'!$C$5:$C$1640,"&lt;="&amp;Cover!$C$13)</f>
        <v>1</v>
      </c>
      <c r="P586">
        <f>COUNTIFS('Odoo Items'!$J$5:$J$4331,A586,'Odoo Items'!$C$5:$C$4331,"&lt;="&amp;Cover!$C$13)</f>
        <v>1</v>
      </c>
      <c r="Q586" t="str">
        <f>IF(AND(O586=0,P586=0),"",IF(O586=0,"ODOO-ONLY",IF(P586=0,"BANK-ONLY","BOTH")))</f>
        <v>BOTH</v>
      </c>
      <c r="R586" s="9">
        <f>IF(Q586="BOTH",ROUND(M586-N586,2),0)</f>
        <v>0</v>
      </c>
      <c r="S586" s="9">
        <f>ROUND(SUMIFS('Bank Lines'!$E$5:$E$1640,'Bank Lines'!$G$5:$G$1640,A586,'Bank Lines'!$J$5:$J$1640,1,'Bank Lines'!$C$5:$C$1640,"&lt;="&amp;Cover!$C$14),2)</f>
        <v>1960.84</v>
      </c>
      <c r="T586" s="9">
        <f>ROUND(SUMIFS('Odoo Items'!$G$5:$G$4331,'Odoo Items'!$J$5:$J$4331,A586,'Odoo Items'!$C$5:$C$4331,"&lt;="&amp;Cover!$C$14),2)</f>
        <v>1960.84</v>
      </c>
      <c r="U586">
        <f>COUNTIFS('Bank Lines'!$G$5:$G$1640,A586,'Bank Lines'!$J$5:$J$1640,1,'Bank Lines'!$C$5:$C$1640,"&lt;="&amp;Cover!$C$14)</f>
        <v>1</v>
      </c>
      <c r="V586">
        <f>COUNTIFS('Odoo Items'!$J$5:$J$4331,A586,'Odoo Items'!$C$5:$C$4331,"&lt;="&amp;Cover!$C$14)</f>
        <v>1</v>
      </c>
      <c r="W586" t="str">
        <f>IF(AND(U586=0,V586=0),"",IF(U586=0,"ODOO-ONLY",IF(V586=0,"BANK-ONLY","BOTH")))</f>
        <v>BOTH</v>
      </c>
      <c r="X586" s="9">
        <f>IF(W586="BOTH",ROUND(S586-T586,2),0)</f>
        <v>0</v>
      </c>
      <c r="Y586" s="9">
        <f>ROUND(SUMIFS('Bank Lines'!$E$5:$E$1640,'Bank Lines'!$G$5:$G$1640,A586,'Bank Lines'!$J$5:$J$1640,1,'Bank Lines'!$C$5:$C$1640,"&lt;="&amp;Cover!$C$15),2)</f>
        <v>1960.84</v>
      </c>
      <c r="Z586" s="9">
        <f>ROUND(SUMIFS('Odoo Items'!$G$5:$G$4331,'Odoo Items'!$J$5:$J$4331,A586,'Odoo Items'!$C$5:$C$4331,"&lt;="&amp;Cover!$C$15),2)</f>
        <v>1960.84</v>
      </c>
      <c r="AA586">
        <f>COUNTIFS('Bank Lines'!$G$5:$G$1640,A586,'Bank Lines'!$J$5:$J$1640,1,'Bank Lines'!$C$5:$C$1640,"&lt;="&amp;Cover!$C$15)</f>
        <v>1</v>
      </c>
      <c r="AB586">
        <f>COUNTIFS('Odoo Items'!$J$5:$J$4331,A586,'Odoo Items'!$C$5:$C$4331,"&lt;="&amp;Cover!$C$15)</f>
        <v>1</v>
      </c>
      <c r="AC586" t="str">
        <f>IF(AND(AA586=0,AB586=0),"",IF(AA586=0,"ODOO-ONLY",IF(AB586=0,"BANK-ONLY","BOTH")))</f>
        <v>BOTH</v>
      </c>
      <c r="AD586" s="9">
        <f>IF(AC586="BOTH",ROUND(Y586-Z586,2),0)</f>
        <v>0</v>
      </c>
    </row>
    <row r="587">
      <c r="A587" t="inlineStr">
        <is>
          <t>G00583</t>
        </is>
      </c>
      <c r="B587" t="inlineStr">
        <is>
          <t>MER</t>
        </is>
      </c>
      <c r="C587" t="inlineStr">
        <is>
          <t>R08</t>
        </is>
      </c>
      <c r="D587" t="inlineStr">
        <is>
          <t>MATCH</t>
        </is>
      </c>
      <c r="E587" t="inlineStr"/>
      <c r="G587" t="inlineStr"/>
      <c r="H587">
        <f>COUNTIFS('Bank Lines'!$G$5:$G$1640,A587,'Bank Lines'!$J$5:$J$1640,1)</f>
        <v>1</v>
      </c>
      <c r="I587">
        <f>COUNTIFS('Odoo Items'!$J$5:$J$4331,A587)</f>
        <v>1</v>
      </c>
      <c r="J587" s="9">
        <f>ROUND(SUMIFS('Bank Lines'!$E$5:$E$1640,'Bank Lines'!$G$5:$G$1640,A587,'Bank Lines'!$J$5:$J$1640,1),2)</f>
        <v>1348.62</v>
      </c>
      <c r="K587" s="9">
        <f>ROUND(SUMIFS('Odoo Items'!$G$5:$G$4331,'Odoo Items'!$J$5:$J$4331,A587),2)</f>
        <v>1348.62</v>
      </c>
      <c r="L587" s="9">
        <f>ROUND(J587-K587,2)</f>
        <v>0</v>
      </c>
      <c r="M587" s="9">
        <f>ROUND(SUMIFS('Bank Lines'!$E$5:$E$1640,'Bank Lines'!$G$5:$G$1640,A587,'Bank Lines'!$J$5:$J$1640,1,'Bank Lines'!$C$5:$C$1640,"&lt;="&amp;Cover!$C$13),2)</f>
        <v>1348.62</v>
      </c>
      <c r="N587" s="9">
        <f>ROUND(SUMIFS('Odoo Items'!$G$5:$G$4331,'Odoo Items'!$J$5:$J$4331,A587,'Odoo Items'!$C$5:$C$4331,"&lt;="&amp;Cover!$C$13),2)</f>
        <v>1348.62</v>
      </c>
      <c r="O587">
        <f>COUNTIFS('Bank Lines'!$G$5:$G$1640,A587,'Bank Lines'!$J$5:$J$1640,1,'Bank Lines'!$C$5:$C$1640,"&lt;="&amp;Cover!$C$13)</f>
        <v>1</v>
      </c>
      <c r="P587">
        <f>COUNTIFS('Odoo Items'!$J$5:$J$4331,A587,'Odoo Items'!$C$5:$C$4331,"&lt;="&amp;Cover!$C$13)</f>
        <v>1</v>
      </c>
      <c r="Q587" t="str">
        <f>IF(AND(O587=0,P587=0),"",IF(O587=0,"ODOO-ONLY",IF(P587=0,"BANK-ONLY","BOTH")))</f>
        <v>BOTH</v>
      </c>
      <c r="R587" s="9">
        <f>IF(Q587="BOTH",ROUND(M587-N587,2),0)</f>
        <v>0</v>
      </c>
      <c r="S587" s="9">
        <f>ROUND(SUMIFS('Bank Lines'!$E$5:$E$1640,'Bank Lines'!$G$5:$G$1640,A587,'Bank Lines'!$J$5:$J$1640,1,'Bank Lines'!$C$5:$C$1640,"&lt;="&amp;Cover!$C$14),2)</f>
        <v>1348.62</v>
      </c>
      <c r="T587" s="9">
        <f>ROUND(SUMIFS('Odoo Items'!$G$5:$G$4331,'Odoo Items'!$J$5:$J$4331,A587,'Odoo Items'!$C$5:$C$4331,"&lt;="&amp;Cover!$C$14),2)</f>
        <v>1348.62</v>
      </c>
      <c r="U587">
        <f>COUNTIFS('Bank Lines'!$G$5:$G$1640,A587,'Bank Lines'!$J$5:$J$1640,1,'Bank Lines'!$C$5:$C$1640,"&lt;="&amp;Cover!$C$14)</f>
        <v>1</v>
      </c>
      <c r="V587">
        <f>COUNTIFS('Odoo Items'!$J$5:$J$4331,A587,'Odoo Items'!$C$5:$C$4331,"&lt;="&amp;Cover!$C$14)</f>
        <v>1</v>
      </c>
      <c r="W587" t="str">
        <f>IF(AND(U587=0,V587=0),"",IF(U587=0,"ODOO-ONLY",IF(V587=0,"BANK-ONLY","BOTH")))</f>
        <v>BOTH</v>
      </c>
      <c r="X587" s="9">
        <f>IF(W587="BOTH",ROUND(S587-T587,2),0)</f>
        <v>0</v>
      </c>
      <c r="Y587" s="9">
        <f>ROUND(SUMIFS('Bank Lines'!$E$5:$E$1640,'Bank Lines'!$G$5:$G$1640,A587,'Bank Lines'!$J$5:$J$1640,1,'Bank Lines'!$C$5:$C$1640,"&lt;="&amp;Cover!$C$15),2)</f>
        <v>1348.62</v>
      </c>
      <c r="Z587" s="9">
        <f>ROUND(SUMIFS('Odoo Items'!$G$5:$G$4331,'Odoo Items'!$J$5:$J$4331,A587,'Odoo Items'!$C$5:$C$4331,"&lt;="&amp;Cover!$C$15),2)</f>
        <v>1348.62</v>
      </c>
      <c r="AA587">
        <f>COUNTIFS('Bank Lines'!$G$5:$G$1640,A587,'Bank Lines'!$J$5:$J$1640,1,'Bank Lines'!$C$5:$C$1640,"&lt;="&amp;Cover!$C$15)</f>
        <v>1</v>
      </c>
      <c r="AB587">
        <f>COUNTIFS('Odoo Items'!$J$5:$J$4331,A587,'Odoo Items'!$C$5:$C$4331,"&lt;="&amp;Cover!$C$15)</f>
        <v>1</v>
      </c>
      <c r="AC587" t="str">
        <f>IF(AND(AA587=0,AB587=0),"",IF(AA587=0,"ODOO-ONLY",IF(AB587=0,"BANK-ONLY","BOTH")))</f>
        <v>BOTH</v>
      </c>
      <c r="AD587" s="9">
        <f>IF(AC587="BOTH",ROUND(Y587-Z587,2),0)</f>
        <v>0</v>
      </c>
    </row>
    <row r="588">
      <c r="A588" t="inlineStr">
        <is>
          <t>G00584</t>
        </is>
      </c>
      <c r="B588" t="inlineStr">
        <is>
          <t>MER</t>
        </is>
      </c>
      <c r="C588" t="inlineStr">
        <is>
          <t>R08</t>
        </is>
      </c>
      <c r="D588" t="inlineStr">
        <is>
          <t>MATCH</t>
        </is>
      </c>
      <c r="E588" t="inlineStr"/>
      <c r="G588" t="inlineStr"/>
      <c r="H588">
        <f>COUNTIFS('Bank Lines'!$G$5:$G$1640,A588,'Bank Lines'!$J$5:$J$1640,1)</f>
        <v>1</v>
      </c>
      <c r="I588">
        <f>COUNTIFS('Odoo Items'!$J$5:$J$4331,A588)</f>
        <v>1</v>
      </c>
      <c r="J588" s="9">
        <f>ROUND(SUMIFS('Bank Lines'!$E$5:$E$1640,'Bank Lines'!$G$5:$G$1640,A588,'Bank Lines'!$J$5:$J$1640,1),2)</f>
        <v>1004.06</v>
      </c>
      <c r="K588" s="9">
        <f>ROUND(SUMIFS('Odoo Items'!$G$5:$G$4331,'Odoo Items'!$J$5:$J$4331,A588),2)</f>
        <v>1004.06</v>
      </c>
      <c r="L588" s="9">
        <f>ROUND(J588-K588,2)</f>
        <v>0</v>
      </c>
      <c r="M588" s="9">
        <f>ROUND(SUMIFS('Bank Lines'!$E$5:$E$1640,'Bank Lines'!$G$5:$G$1640,A588,'Bank Lines'!$J$5:$J$1640,1,'Bank Lines'!$C$5:$C$1640,"&lt;="&amp;Cover!$C$13),2)</f>
        <v>1004.06</v>
      </c>
      <c r="N588" s="9">
        <f>ROUND(SUMIFS('Odoo Items'!$G$5:$G$4331,'Odoo Items'!$J$5:$J$4331,A588,'Odoo Items'!$C$5:$C$4331,"&lt;="&amp;Cover!$C$13),2)</f>
        <v>1004.06</v>
      </c>
      <c r="O588">
        <f>COUNTIFS('Bank Lines'!$G$5:$G$1640,A588,'Bank Lines'!$J$5:$J$1640,1,'Bank Lines'!$C$5:$C$1640,"&lt;="&amp;Cover!$C$13)</f>
        <v>1</v>
      </c>
      <c r="P588">
        <f>COUNTIFS('Odoo Items'!$J$5:$J$4331,A588,'Odoo Items'!$C$5:$C$4331,"&lt;="&amp;Cover!$C$13)</f>
        <v>1</v>
      </c>
      <c r="Q588" t="str">
        <f>IF(AND(O588=0,P588=0),"",IF(O588=0,"ODOO-ONLY",IF(P588=0,"BANK-ONLY","BOTH")))</f>
        <v>BOTH</v>
      </c>
      <c r="R588" s="9">
        <f>IF(Q588="BOTH",ROUND(M588-N588,2),0)</f>
        <v>0</v>
      </c>
      <c r="S588" s="9">
        <f>ROUND(SUMIFS('Bank Lines'!$E$5:$E$1640,'Bank Lines'!$G$5:$G$1640,A588,'Bank Lines'!$J$5:$J$1640,1,'Bank Lines'!$C$5:$C$1640,"&lt;="&amp;Cover!$C$14),2)</f>
        <v>1004.06</v>
      </c>
      <c r="T588" s="9">
        <f>ROUND(SUMIFS('Odoo Items'!$G$5:$G$4331,'Odoo Items'!$J$5:$J$4331,A588,'Odoo Items'!$C$5:$C$4331,"&lt;="&amp;Cover!$C$14),2)</f>
        <v>1004.06</v>
      </c>
      <c r="U588">
        <f>COUNTIFS('Bank Lines'!$G$5:$G$1640,A588,'Bank Lines'!$J$5:$J$1640,1,'Bank Lines'!$C$5:$C$1640,"&lt;="&amp;Cover!$C$14)</f>
        <v>1</v>
      </c>
      <c r="V588">
        <f>COUNTIFS('Odoo Items'!$J$5:$J$4331,A588,'Odoo Items'!$C$5:$C$4331,"&lt;="&amp;Cover!$C$14)</f>
        <v>1</v>
      </c>
      <c r="W588" t="str">
        <f>IF(AND(U588=0,V588=0),"",IF(U588=0,"ODOO-ONLY",IF(V588=0,"BANK-ONLY","BOTH")))</f>
        <v>BOTH</v>
      </c>
      <c r="X588" s="9">
        <f>IF(W588="BOTH",ROUND(S588-T588,2),0)</f>
        <v>0</v>
      </c>
      <c r="Y588" s="9">
        <f>ROUND(SUMIFS('Bank Lines'!$E$5:$E$1640,'Bank Lines'!$G$5:$G$1640,A588,'Bank Lines'!$J$5:$J$1640,1,'Bank Lines'!$C$5:$C$1640,"&lt;="&amp;Cover!$C$15),2)</f>
        <v>1004.06</v>
      </c>
      <c r="Z588" s="9">
        <f>ROUND(SUMIFS('Odoo Items'!$G$5:$G$4331,'Odoo Items'!$J$5:$J$4331,A588,'Odoo Items'!$C$5:$C$4331,"&lt;="&amp;Cover!$C$15),2)</f>
        <v>1004.06</v>
      </c>
      <c r="AA588">
        <f>COUNTIFS('Bank Lines'!$G$5:$G$1640,A588,'Bank Lines'!$J$5:$J$1640,1,'Bank Lines'!$C$5:$C$1640,"&lt;="&amp;Cover!$C$15)</f>
        <v>1</v>
      </c>
      <c r="AB588">
        <f>COUNTIFS('Odoo Items'!$J$5:$J$4331,A588,'Odoo Items'!$C$5:$C$4331,"&lt;="&amp;Cover!$C$15)</f>
        <v>1</v>
      </c>
      <c r="AC588" t="str">
        <f>IF(AND(AA588=0,AB588=0),"",IF(AA588=0,"ODOO-ONLY",IF(AB588=0,"BANK-ONLY","BOTH")))</f>
        <v>BOTH</v>
      </c>
      <c r="AD588" s="9">
        <f>IF(AC588="BOTH",ROUND(Y588-Z588,2),0)</f>
        <v>0</v>
      </c>
    </row>
    <row r="589">
      <c r="A589" t="inlineStr">
        <is>
          <t>G00585</t>
        </is>
      </c>
      <c r="B589" t="inlineStr">
        <is>
          <t>MER</t>
        </is>
      </c>
      <c r="C589" t="inlineStr">
        <is>
          <t>R08</t>
        </is>
      </c>
      <c r="D589" t="inlineStr">
        <is>
          <t>MATCH</t>
        </is>
      </c>
      <c r="E589" t="inlineStr"/>
      <c r="G589" t="inlineStr"/>
      <c r="H589">
        <f>COUNTIFS('Bank Lines'!$G$5:$G$1640,A589,'Bank Lines'!$J$5:$J$1640,1)</f>
        <v>1</v>
      </c>
      <c r="I589">
        <f>COUNTIFS('Odoo Items'!$J$5:$J$4331,A589)</f>
        <v>1</v>
      </c>
      <c r="J589" s="9">
        <f>ROUND(SUMIFS('Bank Lines'!$E$5:$E$1640,'Bank Lines'!$G$5:$G$1640,A589,'Bank Lines'!$J$5:$J$1640,1),2)</f>
        <v>720.09</v>
      </c>
      <c r="K589" s="9">
        <f>ROUND(SUMIFS('Odoo Items'!$G$5:$G$4331,'Odoo Items'!$J$5:$J$4331,A589),2)</f>
        <v>720.09</v>
      </c>
      <c r="L589" s="9">
        <f>ROUND(J589-K589,2)</f>
        <v>0</v>
      </c>
      <c r="M589" s="9">
        <f>ROUND(SUMIFS('Bank Lines'!$E$5:$E$1640,'Bank Lines'!$G$5:$G$1640,A589,'Bank Lines'!$J$5:$J$1640,1,'Bank Lines'!$C$5:$C$1640,"&lt;="&amp;Cover!$C$13),2)</f>
        <v>720.09</v>
      </c>
      <c r="N589" s="9">
        <f>ROUND(SUMIFS('Odoo Items'!$G$5:$G$4331,'Odoo Items'!$J$5:$J$4331,A589,'Odoo Items'!$C$5:$C$4331,"&lt;="&amp;Cover!$C$13),2)</f>
        <v>720.09</v>
      </c>
      <c r="O589">
        <f>COUNTIFS('Bank Lines'!$G$5:$G$1640,A589,'Bank Lines'!$J$5:$J$1640,1,'Bank Lines'!$C$5:$C$1640,"&lt;="&amp;Cover!$C$13)</f>
        <v>1</v>
      </c>
      <c r="P589">
        <f>COUNTIFS('Odoo Items'!$J$5:$J$4331,A589,'Odoo Items'!$C$5:$C$4331,"&lt;="&amp;Cover!$C$13)</f>
        <v>1</v>
      </c>
      <c r="Q589" t="str">
        <f>IF(AND(O589=0,P589=0),"",IF(O589=0,"ODOO-ONLY",IF(P589=0,"BANK-ONLY","BOTH")))</f>
        <v>BOTH</v>
      </c>
      <c r="R589" s="9">
        <f>IF(Q589="BOTH",ROUND(M589-N589,2),0)</f>
        <v>0</v>
      </c>
      <c r="S589" s="9">
        <f>ROUND(SUMIFS('Bank Lines'!$E$5:$E$1640,'Bank Lines'!$G$5:$G$1640,A589,'Bank Lines'!$J$5:$J$1640,1,'Bank Lines'!$C$5:$C$1640,"&lt;="&amp;Cover!$C$14),2)</f>
        <v>720.09</v>
      </c>
      <c r="T589" s="9">
        <f>ROUND(SUMIFS('Odoo Items'!$G$5:$G$4331,'Odoo Items'!$J$5:$J$4331,A589,'Odoo Items'!$C$5:$C$4331,"&lt;="&amp;Cover!$C$14),2)</f>
        <v>720.09</v>
      </c>
      <c r="U589">
        <f>COUNTIFS('Bank Lines'!$G$5:$G$1640,A589,'Bank Lines'!$J$5:$J$1640,1,'Bank Lines'!$C$5:$C$1640,"&lt;="&amp;Cover!$C$14)</f>
        <v>1</v>
      </c>
      <c r="V589">
        <f>COUNTIFS('Odoo Items'!$J$5:$J$4331,A589,'Odoo Items'!$C$5:$C$4331,"&lt;="&amp;Cover!$C$14)</f>
        <v>1</v>
      </c>
      <c r="W589" t="str">
        <f>IF(AND(U589=0,V589=0),"",IF(U589=0,"ODOO-ONLY",IF(V589=0,"BANK-ONLY","BOTH")))</f>
        <v>BOTH</v>
      </c>
      <c r="X589" s="9">
        <f>IF(W589="BOTH",ROUND(S589-T589,2),0)</f>
        <v>0</v>
      </c>
      <c r="Y589" s="9">
        <f>ROUND(SUMIFS('Bank Lines'!$E$5:$E$1640,'Bank Lines'!$G$5:$G$1640,A589,'Bank Lines'!$J$5:$J$1640,1,'Bank Lines'!$C$5:$C$1640,"&lt;="&amp;Cover!$C$15),2)</f>
        <v>720.09</v>
      </c>
      <c r="Z589" s="9">
        <f>ROUND(SUMIFS('Odoo Items'!$G$5:$G$4331,'Odoo Items'!$J$5:$J$4331,A589,'Odoo Items'!$C$5:$C$4331,"&lt;="&amp;Cover!$C$15),2)</f>
        <v>720.09</v>
      </c>
      <c r="AA589">
        <f>COUNTIFS('Bank Lines'!$G$5:$G$1640,A589,'Bank Lines'!$J$5:$J$1640,1,'Bank Lines'!$C$5:$C$1640,"&lt;="&amp;Cover!$C$15)</f>
        <v>1</v>
      </c>
      <c r="AB589">
        <f>COUNTIFS('Odoo Items'!$J$5:$J$4331,A589,'Odoo Items'!$C$5:$C$4331,"&lt;="&amp;Cover!$C$15)</f>
        <v>1</v>
      </c>
      <c r="AC589" t="str">
        <f>IF(AND(AA589=0,AB589=0),"",IF(AA589=0,"ODOO-ONLY",IF(AB589=0,"BANK-ONLY","BOTH")))</f>
        <v>BOTH</v>
      </c>
      <c r="AD589" s="9">
        <f>IF(AC589="BOTH",ROUND(Y589-Z589,2),0)</f>
        <v>0</v>
      </c>
    </row>
    <row r="590">
      <c r="A590" t="inlineStr">
        <is>
          <t>G00586</t>
        </is>
      </c>
      <c r="B590" t="inlineStr">
        <is>
          <t>MER</t>
        </is>
      </c>
      <c r="C590" t="inlineStr">
        <is>
          <t>R08</t>
        </is>
      </c>
      <c r="D590" t="inlineStr">
        <is>
          <t>MATCH</t>
        </is>
      </c>
      <c r="E590" t="inlineStr"/>
      <c r="G590" t="inlineStr"/>
      <c r="H590">
        <f>COUNTIFS('Bank Lines'!$G$5:$G$1640,A590,'Bank Lines'!$J$5:$J$1640,1)</f>
        <v>1</v>
      </c>
      <c r="I590">
        <f>COUNTIFS('Odoo Items'!$J$5:$J$4331,A590)</f>
        <v>1</v>
      </c>
      <c r="J590" s="9">
        <f>ROUND(SUMIFS('Bank Lines'!$E$5:$E$1640,'Bank Lines'!$G$5:$G$1640,A590,'Bank Lines'!$J$5:$J$1640,1),2)</f>
        <v>1220.49</v>
      </c>
      <c r="K590" s="9">
        <f>ROUND(SUMIFS('Odoo Items'!$G$5:$G$4331,'Odoo Items'!$J$5:$J$4331,A590),2)</f>
        <v>1220.49</v>
      </c>
      <c r="L590" s="9">
        <f>ROUND(J590-K590,2)</f>
        <v>0</v>
      </c>
      <c r="M590" s="9">
        <f>ROUND(SUMIFS('Bank Lines'!$E$5:$E$1640,'Bank Lines'!$G$5:$G$1640,A590,'Bank Lines'!$J$5:$J$1640,1,'Bank Lines'!$C$5:$C$1640,"&lt;="&amp;Cover!$C$13),2)</f>
        <v>1220.49</v>
      </c>
      <c r="N590" s="9">
        <f>ROUND(SUMIFS('Odoo Items'!$G$5:$G$4331,'Odoo Items'!$J$5:$J$4331,A590,'Odoo Items'!$C$5:$C$4331,"&lt;="&amp;Cover!$C$13),2)</f>
        <v>1220.49</v>
      </c>
      <c r="O590">
        <f>COUNTIFS('Bank Lines'!$G$5:$G$1640,A590,'Bank Lines'!$J$5:$J$1640,1,'Bank Lines'!$C$5:$C$1640,"&lt;="&amp;Cover!$C$13)</f>
        <v>1</v>
      </c>
      <c r="P590">
        <f>COUNTIFS('Odoo Items'!$J$5:$J$4331,A590,'Odoo Items'!$C$5:$C$4331,"&lt;="&amp;Cover!$C$13)</f>
        <v>1</v>
      </c>
      <c r="Q590" t="str">
        <f>IF(AND(O590=0,P590=0),"",IF(O590=0,"ODOO-ONLY",IF(P590=0,"BANK-ONLY","BOTH")))</f>
        <v>BOTH</v>
      </c>
      <c r="R590" s="9">
        <f>IF(Q590="BOTH",ROUND(M590-N590,2),0)</f>
        <v>0</v>
      </c>
      <c r="S590" s="9">
        <f>ROUND(SUMIFS('Bank Lines'!$E$5:$E$1640,'Bank Lines'!$G$5:$G$1640,A590,'Bank Lines'!$J$5:$J$1640,1,'Bank Lines'!$C$5:$C$1640,"&lt;="&amp;Cover!$C$14),2)</f>
        <v>1220.49</v>
      </c>
      <c r="T590" s="9">
        <f>ROUND(SUMIFS('Odoo Items'!$G$5:$G$4331,'Odoo Items'!$J$5:$J$4331,A590,'Odoo Items'!$C$5:$C$4331,"&lt;="&amp;Cover!$C$14),2)</f>
        <v>1220.49</v>
      </c>
      <c r="U590">
        <f>COUNTIFS('Bank Lines'!$G$5:$G$1640,A590,'Bank Lines'!$J$5:$J$1640,1,'Bank Lines'!$C$5:$C$1640,"&lt;="&amp;Cover!$C$14)</f>
        <v>1</v>
      </c>
      <c r="V590">
        <f>COUNTIFS('Odoo Items'!$J$5:$J$4331,A590,'Odoo Items'!$C$5:$C$4331,"&lt;="&amp;Cover!$C$14)</f>
        <v>1</v>
      </c>
      <c r="W590" t="str">
        <f>IF(AND(U590=0,V590=0),"",IF(U590=0,"ODOO-ONLY",IF(V590=0,"BANK-ONLY","BOTH")))</f>
        <v>BOTH</v>
      </c>
      <c r="X590" s="9">
        <f>IF(W590="BOTH",ROUND(S590-T590,2),0)</f>
        <v>0</v>
      </c>
      <c r="Y590" s="9">
        <f>ROUND(SUMIFS('Bank Lines'!$E$5:$E$1640,'Bank Lines'!$G$5:$G$1640,A590,'Bank Lines'!$J$5:$J$1640,1,'Bank Lines'!$C$5:$C$1640,"&lt;="&amp;Cover!$C$15),2)</f>
        <v>1220.49</v>
      </c>
      <c r="Z590" s="9">
        <f>ROUND(SUMIFS('Odoo Items'!$G$5:$G$4331,'Odoo Items'!$J$5:$J$4331,A590,'Odoo Items'!$C$5:$C$4331,"&lt;="&amp;Cover!$C$15),2)</f>
        <v>1220.49</v>
      </c>
      <c r="AA590">
        <f>COUNTIFS('Bank Lines'!$G$5:$G$1640,A590,'Bank Lines'!$J$5:$J$1640,1,'Bank Lines'!$C$5:$C$1640,"&lt;="&amp;Cover!$C$15)</f>
        <v>1</v>
      </c>
      <c r="AB590">
        <f>COUNTIFS('Odoo Items'!$J$5:$J$4331,A590,'Odoo Items'!$C$5:$C$4331,"&lt;="&amp;Cover!$C$15)</f>
        <v>1</v>
      </c>
      <c r="AC590" t="str">
        <f>IF(AND(AA590=0,AB590=0),"",IF(AA590=0,"ODOO-ONLY",IF(AB590=0,"BANK-ONLY","BOTH")))</f>
        <v>BOTH</v>
      </c>
      <c r="AD590" s="9">
        <f>IF(AC590="BOTH",ROUND(Y590-Z590,2),0)</f>
        <v>0</v>
      </c>
    </row>
    <row r="591">
      <c r="A591" t="inlineStr">
        <is>
          <t>G00587</t>
        </is>
      </c>
      <c r="B591" t="inlineStr">
        <is>
          <t>MER</t>
        </is>
      </c>
      <c r="C591" t="inlineStr">
        <is>
          <t>R08</t>
        </is>
      </c>
      <c r="D591" t="inlineStr">
        <is>
          <t>MATCH</t>
        </is>
      </c>
      <c r="E591" t="inlineStr"/>
      <c r="G591" t="inlineStr"/>
      <c r="H591">
        <f>COUNTIFS('Bank Lines'!$G$5:$G$1640,A591,'Bank Lines'!$J$5:$J$1640,1)</f>
        <v>1</v>
      </c>
      <c r="I591">
        <f>COUNTIFS('Odoo Items'!$J$5:$J$4331,A591)</f>
        <v>1</v>
      </c>
      <c r="J591" s="9">
        <f>ROUND(SUMIFS('Bank Lines'!$E$5:$E$1640,'Bank Lines'!$G$5:$G$1640,A591,'Bank Lines'!$J$5:$J$1640,1),2)</f>
        <v>1295.82</v>
      </c>
      <c r="K591" s="9">
        <f>ROUND(SUMIFS('Odoo Items'!$G$5:$G$4331,'Odoo Items'!$J$5:$J$4331,A591),2)</f>
        <v>1295.82</v>
      </c>
      <c r="L591" s="9">
        <f>ROUND(J591-K591,2)</f>
        <v>0</v>
      </c>
      <c r="M591" s="9">
        <f>ROUND(SUMIFS('Bank Lines'!$E$5:$E$1640,'Bank Lines'!$G$5:$G$1640,A591,'Bank Lines'!$J$5:$J$1640,1,'Bank Lines'!$C$5:$C$1640,"&lt;="&amp;Cover!$C$13),2)</f>
        <v>1295.82</v>
      </c>
      <c r="N591" s="9">
        <f>ROUND(SUMIFS('Odoo Items'!$G$5:$G$4331,'Odoo Items'!$J$5:$J$4331,A591,'Odoo Items'!$C$5:$C$4331,"&lt;="&amp;Cover!$C$13),2)</f>
        <v>1295.82</v>
      </c>
      <c r="O591">
        <f>COUNTIFS('Bank Lines'!$G$5:$G$1640,A591,'Bank Lines'!$J$5:$J$1640,1,'Bank Lines'!$C$5:$C$1640,"&lt;="&amp;Cover!$C$13)</f>
        <v>1</v>
      </c>
      <c r="P591">
        <f>COUNTIFS('Odoo Items'!$J$5:$J$4331,A591,'Odoo Items'!$C$5:$C$4331,"&lt;="&amp;Cover!$C$13)</f>
        <v>1</v>
      </c>
      <c r="Q591" t="str">
        <f>IF(AND(O591=0,P591=0),"",IF(O591=0,"ODOO-ONLY",IF(P591=0,"BANK-ONLY","BOTH")))</f>
        <v>BOTH</v>
      </c>
      <c r="R591" s="9">
        <f>IF(Q591="BOTH",ROUND(M591-N591,2),0)</f>
        <v>0</v>
      </c>
      <c r="S591" s="9">
        <f>ROUND(SUMIFS('Bank Lines'!$E$5:$E$1640,'Bank Lines'!$G$5:$G$1640,A591,'Bank Lines'!$J$5:$J$1640,1,'Bank Lines'!$C$5:$C$1640,"&lt;="&amp;Cover!$C$14),2)</f>
        <v>1295.82</v>
      </c>
      <c r="T591" s="9">
        <f>ROUND(SUMIFS('Odoo Items'!$G$5:$G$4331,'Odoo Items'!$J$5:$J$4331,A591,'Odoo Items'!$C$5:$C$4331,"&lt;="&amp;Cover!$C$14),2)</f>
        <v>1295.82</v>
      </c>
      <c r="U591">
        <f>COUNTIFS('Bank Lines'!$G$5:$G$1640,A591,'Bank Lines'!$J$5:$J$1640,1,'Bank Lines'!$C$5:$C$1640,"&lt;="&amp;Cover!$C$14)</f>
        <v>1</v>
      </c>
      <c r="V591">
        <f>COUNTIFS('Odoo Items'!$J$5:$J$4331,A591,'Odoo Items'!$C$5:$C$4331,"&lt;="&amp;Cover!$C$14)</f>
        <v>1</v>
      </c>
      <c r="W591" t="str">
        <f>IF(AND(U591=0,V591=0),"",IF(U591=0,"ODOO-ONLY",IF(V591=0,"BANK-ONLY","BOTH")))</f>
        <v>BOTH</v>
      </c>
      <c r="X591" s="9">
        <f>IF(W591="BOTH",ROUND(S591-T591,2),0)</f>
        <v>0</v>
      </c>
      <c r="Y591" s="9">
        <f>ROUND(SUMIFS('Bank Lines'!$E$5:$E$1640,'Bank Lines'!$G$5:$G$1640,A591,'Bank Lines'!$J$5:$J$1640,1,'Bank Lines'!$C$5:$C$1640,"&lt;="&amp;Cover!$C$15),2)</f>
        <v>1295.82</v>
      </c>
      <c r="Z591" s="9">
        <f>ROUND(SUMIFS('Odoo Items'!$G$5:$G$4331,'Odoo Items'!$J$5:$J$4331,A591,'Odoo Items'!$C$5:$C$4331,"&lt;="&amp;Cover!$C$15),2)</f>
        <v>1295.82</v>
      </c>
      <c r="AA591">
        <f>COUNTIFS('Bank Lines'!$G$5:$G$1640,A591,'Bank Lines'!$J$5:$J$1640,1,'Bank Lines'!$C$5:$C$1640,"&lt;="&amp;Cover!$C$15)</f>
        <v>1</v>
      </c>
      <c r="AB591">
        <f>COUNTIFS('Odoo Items'!$J$5:$J$4331,A591,'Odoo Items'!$C$5:$C$4331,"&lt;="&amp;Cover!$C$15)</f>
        <v>1</v>
      </c>
      <c r="AC591" t="str">
        <f>IF(AND(AA591=0,AB591=0),"",IF(AA591=0,"ODOO-ONLY",IF(AB591=0,"BANK-ONLY","BOTH")))</f>
        <v>BOTH</v>
      </c>
      <c r="AD591" s="9">
        <f>IF(AC591="BOTH",ROUND(Y591-Z591,2),0)</f>
        <v>0</v>
      </c>
    </row>
    <row r="592">
      <c r="A592" t="inlineStr">
        <is>
          <t>G00588</t>
        </is>
      </c>
      <c r="B592" t="inlineStr">
        <is>
          <t>MER</t>
        </is>
      </c>
      <c r="C592" t="inlineStr">
        <is>
          <t>R04</t>
        </is>
      </c>
      <c r="D592" t="inlineStr">
        <is>
          <t>MATCH</t>
        </is>
      </c>
      <c r="E592" t="inlineStr"/>
      <c r="G592" t="inlineStr">
        <is>
          <t>Sweep, same amount</t>
        </is>
      </c>
      <c r="H592">
        <f>COUNTIFS('Bank Lines'!$G$5:$G$1640,A592,'Bank Lines'!$J$5:$J$1640,1)</f>
        <v>1</v>
      </c>
      <c r="I592">
        <f>COUNTIFS('Odoo Items'!$J$5:$J$4331,A592)</f>
        <v>1</v>
      </c>
      <c r="J592" s="9">
        <f>ROUND(SUMIFS('Bank Lines'!$E$5:$E$1640,'Bank Lines'!$G$5:$G$1640,A592,'Bank Lines'!$J$5:$J$1640,1),2)</f>
        <v>-22000</v>
      </c>
      <c r="K592" s="9">
        <f>ROUND(SUMIFS('Odoo Items'!$G$5:$G$4331,'Odoo Items'!$J$5:$J$4331,A592),2)</f>
        <v>-22000</v>
      </c>
      <c r="L592" s="9">
        <f>ROUND(J592-K592,2)</f>
        <v>0</v>
      </c>
      <c r="M592" s="9">
        <f>ROUND(SUMIFS('Bank Lines'!$E$5:$E$1640,'Bank Lines'!$G$5:$G$1640,A592,'Bank Lines'!$J$5:$J$1640,1,'Bank Lines'!$C$5:$C$1640,"&lt;="&amp;Cover!$C$13),2)</f>
        <v>-22000</v>
      </c>
      <c r="N592" s="9">
        <f>ROUND(SUMIFS('Odoo Items'!$G$5:$G$4331,'Odoo Items'!$J$5:$J$4331,A592,'Odoo Items'!$C$5:$C$4331,"&lt;="&amp;Cover!$C$13),2)</f>
        <v>-22000</v>
      </c>
      <c r="O592">
        <f>COUNTIFS('Bank Lines'!$G$5:$G$1640,A592,'Bank Lines'!$J$5:$J$1640,1,'Bank Lines'!$C$5:$C$1640,"&lt;="&amp;Cover!$C$13)</f>
        <v>1</v>
      </c>
      <c r="P592">
        <f>COUNTIFS('Odoo Items'!$J$5:$J$4331,A592,'Odoo Items'!$C$5:$C$4331,"&lt;="&amp;Cover!$C$13)</f>
        <v>1</v>
      </c>
      <c r="Q592" t="str">
        <f>IF(AND(O592=0,P592=0),"",IF(O592=0,"ODOO-ONLY",IF(P592=0,"BANK-ONLY","BOTH")))</f>
        <v>BOTH</v>
      </c>
      <c r="R592" s="9">
        <f>IF(Q592="BOTH",ROUND(M592-N592,2),0)</f>
        <v>0</v>
      </c>
      <c r="S592" s="9">
        <f>ROUND(SUMIFS('Bank Lines'!$E$5:$E$1640,'Bank Lines'!$G$5:$G$1640,A592,'Bank Lines'!$J$5:$J$1640,1,'Bank Lines'!$C$5:$C$1640,"&lt;="&amp;Cover!$C$14),2)</f>
        <v>-22000</v>
      </c>
      <c r="T592" s="9">
        <f>ROUND(SUMIFS('Odoo Items'!$G$5:$G$4331,'Odoo Items'!$J$5:$J$4331,A592,'Odoo Items'!$C$5:$C$4331,"&lt;="&amp;Cover!$C$14),2)</f>
        <v>-22000</v>
      </c>
      <c r="U592">
        <f>COUNTIFS('Bank Lines'!$G$5:$G$1640,A592,'Bank Lines'!$J$5:$J$1640,1,'Bank Lines'!$C$5:$C$1640,"&lt;="&amp;Cover!$C$14)</f>
        <v>1</v>
      </c>
      <c r="V592">
        <f>COUNTIFS('Odoo Items'!$J$5:$J$4331,A592,'Odoo Items'!$C$5:$C$4331,"&lt;="&amp;Cover!$C$14)</f>
        <v>1</v>
      </c>
      <c r="W592" t="str">
        <f>IF(AND(U592=0,V592=0),"",IF(U592=0,"ODOO-ONLY",IF(V592=0,"BANK-ONLY","BOTH")))</f>
        <v>BOTH</v>
      </c>
      <c r="X592" s="9">
        <f>IF(W592="BOTH",ROUND(S592-T592,2),0)</f>
        <v>0</v>
      </c>
      <c r="Y592" s="9">
        <f>ROUND(SUMIFS('Bank Lines'!$E$5:$E$1640,'Bank Lines'!$G$5:$G$1640,A592,'Bank Lines'!$J$5:$J$1640,1,'Bank Lines'!$C$5:$C$1640,"&lt;="&amp;Cover!$C$15),2)</f>
        <v>-22000</v>
      </c>
      <c r="Z592" s="9">
        <f>ROUND(SUMIFS('Odoo Items'!$G$5:$G$4331,'Odoo Items'!$J$5:$J$4331,A592,'Odoo Items'!$C$5:$C$4331,"&lt;="&amp;Cover!$C$15),2)</f>
        <v>-22000</v>
      </c>
      <c r="AA592">
        <f>COUNTIFS('Bank Lines'!$G$5:$G$1640,A592,'Bank Lines'!$J$5:$J$1640,1,'Bank Lines'!$C$5:$C$1640,"&lt;="&amp;Cover!$C$15)</f>
        <v>1</v>
      </c>
      <c r="AB592">
        <f>COUNTIFS('Odoo Items'!$J$5:$J$4331,A592,'Odoo Items'!$C$5:$C$4331,"&lt;="&amp;Cover!$C$15)</f>
        <v>1</v>
      </c>
      <c r="AC592" t="str">
        <f>IF(AND(AA592=0,AB592=0),"",IF(AA592=0,"ODOO-ONLY",IF(AB592=0,"BANK-ONLY","BOTH")))</f>
        <v>BOTH</v>
      </c>
      <c r="AD592" s="9">
        <f>IF(AC592="BOTH",ROUND(Y592-Z592,2),0)</f>
        <v>0</v>
      </c>
    </row>
    <row r="593">
      <c r="A593" t="inlineStr">
        <is>
          <t>G00589</t>
        </is>
      </c>
      <c r="B593" t="inlineStr">
        <is>
          <t>MER</t>
        </is>
      </c>
      <c r="C593" t="inlineStr">
        <is>
          <t>R08</t>
        </is>
      </c>
      <c r="D593" t="inlineStr">
        <is>
          <t>MATCH</t>
        </is>
      </c>
      <c r="E593" t="inlineStr"/>
      <c r="G593" t="inlineStr"/>
      <c r="H593">
        <f>COUNTIFS('Bank Lines'!$G$5:$G$1640,A593,'Bank Lines'!$J$5:$J$1640,1)</f>
        <v>1</v>
      </c>
      <c r="I593">
        <f>COUNTIFS('Odoo Items'!$J$5:$J$4331,A593)</f>
        <v>1</v>
      </c>
      <c r="J593" s="9">
        <f>ROUND(SUMIFS('Bank Lines'!$E$5:$E$1640,'Bank Lines'!$G$5:$G$1640,A593,'Bank Lines'!$J$5:$J$1640,1),2)</f>
        <v>3599.12</v>
      </c>
      <c r="K593" s="9">
        <f>ROUND(SUMIFS('Odoo Items'!$G$5:$G$4331,'Odoo Items'!$J$5:$J$4331,A593),2)</f>
        <v>3599.12</v>
      </c>
      <c r="L593" s="9">
        <f>ROUND(J593-K593,2)</f>
        <v>0</v>
      </c>
      <c r="M593" s="9">
        <f>ROUND(SUMIFS('Bank Lines'!$E$5:$E$1640,'Bank Lines'!$G$5:$G$1640,A593,'Bank Lines'!$J$5:$J$1640,1,'Bank Lines'!$C$5:$C$1640,"&lt;="&amp;Cover!$C$13),2)</f>
        <v>3599.12</v>
      </c>
      <c r="N593" s="9">
        <f>ROUND(SUMIFS('Odoo Items'!$G$5:$G$4331,'Odoo Items'!$J$5:$J$4331,A593,'Odoo Items'!$C$5:$C$4331,"&lt;="&amp;Cover!$C$13),2)</f>
        <v>3599.12</v>
      </c>
      <c r="O593">
        <f>COUNTIFS('Bank Lines'!$G$5:$G$1640,A593,'Bank Lines'!$J$5:$J$1640,1,'Bank Lines'!$C$5:$C$1640,"&lt;="&amp;Cover!$C$13)</f>
        <v>1</v>
      </c>
      <c r="P593">
        <f>COUNTIFS('Odoo Items'!$J$5:$J$4331,A593,'Odoo Items'!$C$5:$C$4331,"&lt;="&amp;Cover!$C$13)</f>
        <v>1</v>
      </c>
      <c r="Q593" t="str">
        <f>IF(AND(O593=0,P593=0),"",IF(O593=0,"ODOO-ONLY",IF(P593=0,"BANK-ONLY","BOTH")))</f>
        <v>BOTH</v>
      </c>
      <c r="R593" s="9">
        <f>IF(Q593="BOTH",ROUND(M593-N593,2),0)</f>
        <v>0</v>
      </c>
      <c r="S593" s="9">
        <f>ROUND(SUMIFS('Bank Lines'!$E$5:$E$1640,'Bank Lines'!$G$5:$G$1640,A593,'Bank Lines'!$J$5:$J$1640,1,'Bank Lines'!$C$5:$C$1640,"&lt;="&amp;Cover!$C$14),2)</f>
        <v>3599.12</v>
      </c>
      <c r="T593" s="9">
        <f>ROUND(SUMIFS('Odoo Items'!$G$5:$G$4331,'Odoo Items'!$J$5:$J$4331,A593,'Odoo Items'!$C$5:$C$4331,"&lt;="&amp;Cover!$C$14),2)</f>
        <v>3599.12</v>
      </c>
      <c r="U593">
        <f>COUNTIFS('Bank Lines'!$G$5:$G$1640,A593,'Bank Lines'!$J$5:$J$1640,1,'Bank Lines'!$C$5:$C$1640,"&lt;="&amp;Cover!$C$14)</f>
        <v>1</v>
      </c>
      <c r="V593">
        <f>COUNTIFS('Odoo Items'!$J$5:$J$4331,A593,'Odoo Items'!$C$5:$C$4331,"&lt;="&amp;Cover!$C$14)</f>
        <v>1</v>
      </c>
      <c r="W593" t="str">
        <f>IF(AND(U593=0,V593=0),"",IF(U593=0,"ODOO-ONLY",IF(V593=0,"BANK-ONLY","BOTH")))</f>
        <v>BOTH</v>
      </c>
      <c r="X593" s="9">
        <f>IF(W593="BOTH",ROUND(S593-T593,2),0)</f>
        <v>0</v>
      </c>
      <c r="Y593" s="9">
        <f>ROUND(SUMIFS('Bank Lines'!$E$5:$E$1640,'Bank Lines'!$G$5:$G$1640,A593,'Bank Lines'!$J$5:$J$1640,1,'Bank Lines'!$C$5:$C$1640,"&lt;="&amp;Cover!$C$15),2)</f>
        <v>3599.12</v>
      </c>
      <c r="Z593" s="9">
        <f>ROUND(SUMIFS('Odoo Items'!$G$5:$G$4331,'Odoo Items'!$J$5:$J$4331,A593,'Odoo Items'!$C$5:$C$4331,"&lt;="&amp;Cover!$C$15),2)</f>
        <v>3599.12</v>
      </c>
      <c r="AA593">
        <f>COUNTIFS('Bank Lines'!$G$5:$G$1640,A593,'Bank Lines'!$J$5:$J$1640,1,'Bank Lines'!$C$5:$C$1640,"&lt;="&amp;Cover!$C$15)</f>
        <v>1</v>
      </c>
      <c r="AB593">
        <f>COUNTIFS('Odoo Items'!$J$5:$J$4331,A593,'Odoo Items'!$C$5:$C$4331,"&lt;="&amp;Cover!$C$15)</f>
        <v>1</v>
      </c>
      <c r="AC593" t="str">
        <f>IF(AND(AA593=0,AB593=0),"",IF(AA593=0,"ODOO-ONLY",IF(AB593=0,"BANK-ONLY","BOTH")))</f>
        <v>BOTH</v>
      </c>
      <c r="AD593" s="9">
        <f>IF(AC593="BOTH",ROUND(Y593-Z593,2),0)</f>
        <v>0</v>
      </c>
    </row>
    <row r="594">
      <c r="A594" t="inlineStr">
        <is>
          <t>G00590</t>
        </is>
      </c>
      <c r="B594" t="inlineStr">
        <is>
          <t>MER</t>
        </is>
      </c>
      <c r="C594" t="inlineStr">
        <is>
          <t>R08</t>
        </is>
      </c>
      <c r="D594" t="inlineStr">
        <is>
          <t>MATCH</t>
        </is>
      </c>
      <c r="E594" t="inlineStr"/>
      <c r="G594" t="inlineStr"/>
      <c r="H594">
        <f>COUNTIFS('Bank Lines'!$G$5:$G$1640,A594,'Bank Lines'!$J$5:$J$1640,1)</f>
        <v>1</v>
      </c>
      <c r="I594">
        <f>COUNTIFS('Odoo Items'!$J$5:$J$4331,A594)</f>
        <v>1</v>
      </c>
      <c r="J594" s="9">
        <f>ROUND(SUMIFS('Bank Lines'!$E$5:$E$1640,'Bank Lines'!$G$5:$G$1640,A594,'Bank Lines'!$J$5:$J$1640,1),2)</f>
        <v>2932.56</v>
      </c>
      <c r="K594" s="9">
        <f>ROUND(SUMIFS('Odoo Items'!$G$5:$G$4331,'Odoo Items'!$J$5:$J$4331,A594),2)</f>
        <v>2932.56</v>
      </c>
      <c r="L594" s="9">
        <f>ROUND(J594-K594,2)</f>
        <v>0</v>
      </c>
      <c r="M594" s="9">
        <f>ROUND(SUMIFS('Bank Lines'!$E$5:$E$1640,'Bank Lines'!$G$5:$G$1640,A594,'Bank Lines'!$J$5:$J$1640,1,'Bank Lines'!$C$5:$C$1640,"&lt;="&amp;Cover!$C$13),2)</f>
        <v>2932.56</v>
      </c>
      <c r="N594" s="9">
        <f>ROUND(SUMIFS('Odoo Items'!$G$5:$G$4331,'Odoo Items'!$J$5:$J$4331,A594,'Odoo Items'!$C$5:$C$4331,"&lt;="&amp;Cover!$C$13),2)</f>
        <v>2932.56</v>
      </c>
      <c r="O594">
        <f>COUNTIFS('Bank Lines'!$G$5:$G$1640,A594,'Bank Lines'!$J$5:$J$1640,1,'Bank Lines'!$C$5:$C$1640,"&lt;="&amp;Cover!$C$13)</f>
        <v>1</v>
      </c>
      <c r="P594">
        <f>COUNTIFS('Odoo Items'!$J$5:$J$4331,A594,'Odoo Items'!$C$5:$C$4331,"&lt;="&amp;Cover!$C$13)</f>
        <v>1</v>
      </c>
      <c r="Q594" t="str">
        <f>IF(AND(O594=0,P594=0),"",IF(O594=0,"ODOO-ONLY",IF(P594=0,"BANK-ONLY","BOTH")))</f>
        <v>BOTH</v>
      </c>
      <c r="R594" s="9">
        <f>IF(Q594="BOTH",ROUND(M594-N594,2),0)</f>
        <v>0</v>
      </c>
      <c r="S594" s="9">
        <f>ROUND(SUMIFS('Bank Lines'!$E$5:$E$1640,'Bank Lines'!$G$5:$G$1640,A594,'Bank Lines'!$J$5:$J$1640,1,'Bank Lines'!$C$5:$C$1640,"&lt;="&amp;Cover!$C$14),2)</f>
        <v>2932.56</v>
      </c>
      <c r="T594" s="9">
        <f>ROUND(SUMIFS('Odoo Items'!$G$5:$G$4331,'Odoo Items'!$J$5:$J$4331,A594,'Odoo Items'!$C$5:$C$4331,"&lt;="&amp;Cover!$C$14),2)</f>
        <v>2932.56</v>
      </c>
      <c r="U594">
        <f>COUNTIFS('Bank Lines'!$G$5:$G$1640,A594,'Bank Lines'!$J$5:$J$1640,1,'Bank Lines'!$C$5:$C$1640,"&lt;="&amp;Cover!$C$14)</f>
        <v>1</v>
      </c>
      <c r="V594">
        <f>COUNTIFS('Odoo Items'!$J$5:$J$4331,A594,'Odoo Items'!$C$5:$C$4331,"&lt;="&amp;Cover!$C$14)</f>
        <v>1</v>
      </c>
      <c r="W594" t="str">
        <f>IF(AND(U594=0,V594=0),"",IF(U594=0,"ODOO-ONLY",IF(V594=0,"BANK-ONLY","BOTH")))</f>
        <v>BOTH</v>
      </c>
      <c r="X594" s="9">
        <f>IF(W594="BOTH",ROUND(S594-T594,2),0)</f>
        <v>0</v>
      </c>
      <c r="Y594" s="9">
        <f>ROUND(SUMIFS('Bank Lines'!$E$5:$E$1640,'Bank Lines'!$G$5:$G$1640,A594,'Bank Lines'!$J$5:$J$1640,1,'Bank Lines'!$C$5:$C$1640,"&lt;="&amp;Cover!$C$15),2)</f>
        <v>2932.56</v>
      </c>
      <c r="Z594" s="9">
        <f>ROUND(SUMIFS('Odoo Items'!$G$5:$G$4331,'Odoo Items'!$J$5:$J$4331,A594,'Odoo Items'!$C$5:$C$4331,"&lt;="&amp;Cover!$C$15),2)</f>
        <v>2932.56</v>
      </c>
      <c r="AA594">
        <f>COUNTIFS('Bank Lines'!$G$5:$G$1640,A594,'Bank Lines'!$J$5:$J$1640,1,'Bank Lines'!$C$5:$C$1640,"&lt;="&amp;Cover!$C$15)</f>
        <v>1</v>
      </c>
      <c r="AB594">
        <f>COUNTIFS('Odoo Items'!$J$5:$J$4331,A594,'Odoo Items'!$C$5:$C$4331,"&lt;="&amp;Cover!$C$15)</f>
        <v>1</v>
      </c>
      <c r="AC594" t="str">
        <f>IF(AND(AA594=0,AB594=0),"",IF(AA594=0,"ODOO-ONLY",IF(AB594=0,"BANK-ONLY","BOTH")))</f>
        <v>BOTH</v>
      </c>
      <c r="AD594" s="9">
        <f>IF(AC594="BOTH",ROUND(Y594-Z594,2),0)</f>
        <v>0</v>
      </c>
    </row>
    <row r="595">
      <c r="A595" t="inlineStr">
        <is>
          <t>G00591</t>
        </is>
      </c>
      <c r="B595" t="inlineStr">
        <is>
          <t>MER</t>
        </is>
      </c>
      <c r="C595" t="inlineStr">
        <is>
          <t>R08</t>
        </is>
      </c>
      <c r="D595" t="inlineStr">
        <is>
          <t>MATCH</t>
        </is>
      </c>
      <c r="E595" t="inlineStr"/>
      <c r="G595" t="inlineStr"/>
      <c r="H595">
        <f>COUNTIFS('Bank Lines'!$G$5:$G$1640,A595,'Bank Lines'!$J$5:$J$1640,1)</f>
        <v>1</v>
      </c>
      <c r="I595">
        <f>COUNTIFS('Odoo Items'!$J$5:$J$4331,A595)</f>
        <v>1</v>
      </c>
      <c r="J595" s="9">
        <f>ROUND(SUMIFS('Bank Lines'!$E$5:$E$1640,'Bank Lines'!$G$5:$G$1640,A595,'Bank Lines'!$J$5:$J$1640,1),2)</f>
        <v>1995.18</v>
      </c>
      <c r="K595" s="9">
        <f>ROUND(SUMIFS('Odoo Items'!$G$5:$G$4331,'Odoo Items'!$J$5:$J$4331,A595),2)</f>
        <v>1995.18</v>
      </c>
      <c r="L595" s="9">
        <f>ROUND(J595-K595,2)</f>
        <v>0</v>
      </c>
      <c r="M595" s="9">
        <f>ROUND(SUMIFS('Bank Lines'!$E$5:$E$1640,'Bank Lines'!$G$5:$G$1640,A595,'Bank Lines'!$J$5:$J$1640,1,'Bank Lines'!$C$5:$C$1640,"&lt;="&amp;Cover!$C$13),2)</f>
        <v>1995.18</v>
      </c>
      <c r="N595" s="9">
        <f>ROUND(SUMIFS('Odoo Items'!$G$5:$G$4331,'Odoo Items'!$J$5:$J$4331,A595,'Odoo Items'!$C$5:$C$4331,"&lt;="&amp;Cover!$C$13),2)</f>
        <v>1995.18</v>
      </c>
      <c r="O595">
        <f>COUNTIFS('Bank Lines'!$G$5:$G$1640,A595,'Bank Lines'!$J$5:$J$1640,1,'Bank Lines'!$C$5:$C$1640,"&lt;="&amp;Cover!$C$13)</f>
        <v>1</v>
      </c>
      <c r="P595">
        <f>COUNTIFS('Odoo Items'!$J$5:$J$4331,A595,'Odoo Items'!$C$5:$C$4331,"&lt;="&amp;Cover!$C$13)</f>
        <v>1</v>
      </c>
      <c r="Q595" t="str">
        <f>IF(AND(O595=0,P595=0),"",IF(O595=0,"ODOO-ONLY",IF(P595=0,"BANK-ONLY","BOTH")))</f>
        <v>BOTH</v>
      </c>
      <c r="R595" s="9">
        <f>IF(Q595="BOTH",ROUND(M595-N595,2),0)</f>
        <v>0</v>
      </c>
      <c r="S595" s="9">
        <f>ROUND(SUMIFS('Bank Lines'!$E$5:$E$1640,'Bank Lines'!$G$5:$G$1640,A595,'Bank Lines'!$J$5:$J$1640,1,'Bank Lines'!$C$5:$C$1640,"&lt;="&amp;Cover!$C$14),2)</f>
        <v>1995.18</v>
      </c>
      <c r="T595" s="9">
        <f>ROUND(SUMIFS('Odoo Items'!$G$5:$G$4331,'Odoo Items'!$J$5:$J$4331,A595,'Odoo Items'!$C$5:$C$4331,"&lt;="&amp;Cover!$C$14),2)</f>
        <v>1995.18</v>
      </c>
      <c r="U595">
        <f>COUNTIFS('Bank Lines'!$G$5:$G$1640,A595,'Bank Lines'!$J$5:$J$1640,1,'Bank Lines'!$C$5:$C$1640,"&lt;="&amp;Cover!$C$14)</f>
        <v>1</v>
      </c>
      <c r="V595">
        <f>COUNTIFS('Odoo Items'!$J$5:$J$4331,A595,'Odoo Items'!$C$5:$C$4331,"&lt;="&amp;Cover!$C$14)</f>
        <v>1</v>
      </c>
      <c r="W595" t="str">
        <f>IF(AND(U595=0,V595=0),"",IF(U595=0,"ODOO-ONLY",IF(V595=0,"BANK-ONLY","BOTH")))</f>
        <v>BOTH</v>
      </c>
      <c r="X595" s="9">
        <f>IF(W595="BOTH",ROUND(S595-T595,2),0)</f>
        <v>0</v>
      </c>
      <c r="Y595" s="9">
        <f>ROUND(SUMIFS('Bank Lines'!$E$5:$E$1640,'Bank Lines'!$G$5:$G$1640,A595,'Bank Lines'!$J$5:$J$1640,1,'Bank Lines'!$C$5:$C$1640,"&lt;="&amp;Cover!$C$15),2)</f>
        <v>1995.18</v>
      </c>
      <c r="Z595" s="9">
        <f>ROUND(SUMIFS('Odoo Items'!$G$5:$G$4331,'Odoo Items'!$J$5:$J$4331,A595,'Odoo Items'!$C$5:$C$4331,"&lt;="&amp;Cover!$C$15),2)</f>
        <v>1995.18</v>
      </c>
      <c r="AA595">
        <f>COUNTIFS('Bank Lines'!$G$5:$G$1640,A595,'Bank Lines'!$J$5:$J$1640,1,'Bank Lines'!$C$5:$C$1640,"&lt;="&amp;Cover!$C$15)</f>
        <v>1</v>
      </c>
      <c r="AB595">
        <f>COUNTIFS('Odoo Items'!$J$5:$J$4331,A595,'Odoo Items'!$C$5:$C$4331,"&lt;="&amp;Cover!$C$15)</f>
        <v>1</v>
      </c>
      <c r="AC595" t="str">
        <f>IF(AND(AA595=0,AB595=0),"",IF(AA595=0,"ODOO-ONLY",IF(AB595=0,"BANK-ONLY","BOTH")))</f>
        <v>BOTH</v>
      </c>
      <c r="AD595" s="9">
        <f>IF(AC595="BOTH",ROUND(Y595-Z595,2),0)</f>
        <v>0</v>
      </c>
    </row>
    <row r="596">
      <c r="A596" t="inlineStr">
        <is>
          <t>G00592</t>
        </is>
      </c>
      <c r="B596" t="inlineStr">
        <is>
          <t>MER</t>
        </is>
      </c>
      <c r="C596" t="inlineStr">
        <is>
          <t>R08</t>
        </is>
      </c>
      <c r="D596" t="inlineStr">
        <is>
          <t>MATCH</t>
        </is>
      </c>
      <c r="E596" t="inlineStr"/>
      <c r="G596" t="inlineStr"/>
      <c r="H596">
        <f>COUNTIFS('Bank Lines'!$G$5:$G$1640,A596,'Bank Lines'!$J$5:$J$1640,1)</f>
        <v>1</v>
      </c>
      <c r="I596">
        <f>COUNTIFS('Odoo Items'!$J$5:$J$4331,A596)</f>
        <v>1</v>
      </c>
      <c r="J596" s="9">
        <f>ROUND(SUMIFS('Bank Lines'!$E$5:$E$1640,'Bank Lines'!$G$5:$G$1640,A596,'Bank Lines'!$J$5:$J$1640,1),2)</f>
        <v>1286.69</v>
      </c>
      <c r="K596" s="9">
        <f>ROUND(SUMIFS('Odoo Items'!$G$5:$G$4331,'Odoo Items'!$J$5:$J$4331,A596),2)</f>
        <v>1286.69</v>
      </c>
      <c r="L596" s="9">
        <f>ROUND(J596-K596,2)</f>
        <v>0</v>
      </c>
      <c r="M596" s="9">
        <f>ROUND(SUMIFS('Bank Lines'!$E$5:$E$1640,'Bank Lines'!$G$5:$G$1640,A596,'Bank Lines'!$J$5:$J$1640,1,'Bank Lines'!$C$5:$C$1640,"&lt;="&amp;Cover!$C$13),2)</f>
        <v>1286.69</v>
      </c>
      <c r="N596" s="9">
        <f>ROUND(SUMIFS('Odoo Items'!$G$5:$G$4331,'Odoo Items'!$J$5:$J$4331,A596,'Odoo Items'!$C$5:$C$4331,"&lt;="&amp;Cover!$C$13),2)</f>
        <v>1286.69</v>
      </c>
      <c r="O596">
        <f>COUNTIFS('Bank Lines'!$G$5:$G$1640,A596,'Bank Lines'!$J$5:$J$1640,1,'Bank Lines'!$C$5:$C$1640,"&lt;="&amp;Cover!$C$13)</f>
        <v>1</v>
      </c>
      <c r="P596">
        <f>COUNTIFS('Odoo Items'!$J$5:$J$4331,A596,'Odoo Items'!$C$5:$C$4331,"&lt;="&amp;Cover!$C$13)</f>
        <v>1</v>
      </c>
      <c r="Q596" t="str">
        <f>IF(AND(O596=0,P596=0),"",IF(O596=0,"ODOO-ONLY",IF(P596=0,"BANK-ONLY","BOTH")))</f>
        <v>BOTH</v>
      </c>
      <c r="R596" s="9">
        <f>IF(Q596="BOTH",ROUND(M596-N596,2),0)</f>
        <v>0</v>
      </c>
      <c r="S596" s="9">
        <f>ROUND(SUMIFS('Bank Lines'!$E$5:$E$1640,'Bank Lines'!$G$5:$G$1640,A596,'Bank Lines'!$J$5:$J$1640,1,'Bank Lines'!$C$5:$C$1640,"&lt;="&amp;Cover!$C$14),2)</f>
        <v>1286.69</v>
      </c>
      <c r="T596" s="9">
        <f>ROUND(SUMIFS('Odoo Items'!$G$5:$G$4331,'Odoo Items'!$J$5:$J$4331,A596,'Odoo Items'!$C$5:$C$4331,"&lt;="&amp;Cover!$C$14),2)</f>
        <v>1286.69</v>
      </c>
      <c r="U596">
        <f>COUNTIFS('Bank Lines'!$G$5:$G$1640,A596,'Bank Lines'!$J$5:$J$1640,1,'Bank Lines'!$C$5:$C$1640,"&lt;="&amp;Cover!$C$14)</f>
        <v>1</v>
      </c>
      <c r="V596">
        <f>COUNTIFS('Odoo Items'!$J$5:$J$4331,A596,'Odoo Items'!$C$5:$C$4331,"&lt;="&amp;Cover!$C$14)</f>
        <v>1</v>
      </c>
      <c r="W596" t="str">
        <f>IF(AND(U596=0,V596=0),"",IF(U596=0,"ODOO-ONLY",IF(V596=0,"BANK-ONLY","BOTH")))</f>
        <v>BOTH</v>
      </c>
      <c r="X596" s="9">
        <f>IF(W596="BOTH",ROUND(S596-T596,2),0)</f>
        <v>0</v>
      </c>
      <c r="Y596" s="9">
        <f>ROUND(SUMIFS('Bank Lines'!$E$5:$E$1640,'Bank Lines'!$G$5:$G$1640,A596,'Bank Lines'!$J$5:$J$1640,1,'Bank Lines'!$C$5:$C$1640,"&lt;="&amp;Cover!$C$15),2)</f>
        <v>1286.69</v>
      </c>
      <c r="Z596" s="9">
        <f>ROUND(SUMIFS('Odoo Items'!$G$5:$G$4331,'Odoo Items'!$J$5:$J$4331,A596,'Odoo Items'!$C$5:$C$4331,"&lt;="&amp;Cover!$C$15),2)</f>
        <v>1286.69</v>
      </c>
      <c r="AA596">
        <f>COUNTIFS('Bank Lines'!$G$5:$G$1640,A596,'Bank Lines'!$J$5:$J$1640,1,'Bank Lines'!$C$5:$C$1640,"&lt;="&amp;Cover!$C$15)</f>
        <v>1</v>
      </c>
      <c r="AB596">
        <f>COUNTIFS('Odoo Items'!$J$5:$J$4331,A596,'Odoo Items'!$C$5:$C$4331,"&lt;="&amp;Cover!$C$15)</f>
        <v>1</v>
      </c>
      <c r="AC596" t="str">
        <f>IF(AND(AA596=0,AB596=0),"",IF(AA596=0,"ODOO-ONLY",IF(AB596=0,"BANK-ONLY","BOTH")))</f>
        <v>BOTH</v>
      </c>
      <c r="AD596" s="9">
        <f>IF(AC596="BOTH",ROUND(Y596-Z596,2),0)</f>
        <v>0</v>
      </c>
    </row>
    <row r="597">
      <c r="A597" t="inlineStr">
        <is>
          <t>G00593</t>
        </is>
      </c>
      <c r="B597" t="inlineStr">
        <is>
          <t>MER</t>
        </is>
      </c>
      <c r="C597" t="inlineStr">
        <is>
          <t>R08</t>
        </is>
      </c>
      <c r="D597" t="inlineStr">
        <is>
          <t>MATCH</t>
        </is>
      </c>
      <c r="E597" t="inlineStr"/>
      <c r="G597" t="inlineStr"/>
      <c r="H597">
        <f>COUNTIFS('Bank Lines'!$G$5:$G$1640,A597,'Bank Lines'!$J$5:$J$1640,1)</f>
        <v>1</v>
      </c>
      <c r="I597">
        <f>COUNTIFS('Odoo Items'!$J$5:$J$4331,A597)</f>
        <v>1</v>
      </c>
      <c r="J597" s="9">
        <f>ROUND(SUMIFS('Bank Lines'!$E$5:$E$1640,'Bank Lines'!$G$5:$G$1640,A597,'Bank Lines'!$J$5:$J$1640,1),2)</f>
        <v>2589.9</v>
      </c>
      <c r="K597" s="9">
        <f>ROUND(SUMIFS('Odoo Items'!$G$5:$G$4331,'Odoo Items'!$J$5:$J$4331,A597),2)</f>
        <v>2589.9</v>
      </c>
      <c r="L597" s="9">
        <f>ROUND(J597-K597,2)</f>
        <v>0</v>
      </c>
      <c r="M597" s="9">
        <f>ROUND(SUMIFS('Bank Lines'!$E$5:$E$1640,'Bank Lines'!$G$5:$G$1640,A597,'Bank Lines'!$J$5:$J$1640,1,'Bank Lines'!$C$5:$C$1640,"&lt;="&amp;Cover!$C$13),2)</f>
        <v>2589.9</v>
      </c>
      <c r="N597" s="9">
        <f>ROUND(SUMIFS('Odoo Items'!$G$5:$G$4331,'Odoo Items'!$J$5:$J$4331,A597,'Odoo Items'!$C$5:$C$4331,"&lt;="&amp;Cover!$C$13),2)</f>
        <v>2589.9</v>
      </c>
      <c r="O597">
        <f>COUNTIFS('Bank Lines'!$G$5:$G$1640,A597,'Bank Lines'!$J$5:$J$1640,1,'Bank Lines'!$C$5:$C$1640,"&lt;="&amp;Cover!$C$13)</f>
        <v>1</v>
      </c>
      <c r="P597">
        <f>COUNTIFS('Odoo Items'!$J$5:$J$4331,A597,'Odoo Items'!$C$5:$C$4331,"&lt;="&amp;Cover!$C$13)</f>
        <v>1</v>
      </c>
      <c r="Q597" t="str">
        <f>IF(AND(O597=0,P597=0),"",IF(O597=0,"ODOO-ONLY",IF(P597=0,"BANK-ONLY","BOTH")))</f>
        <v>BOTH</v>
      </c>
      <c r="R597" s="9">
        <f>IF(Q597="BOTH",ROUND(M597-N597,2),0)</f>
        <v>0</v>
      </c>
      <c r="S597" s="9">
        <f>ROUND(SUMIFS('Bank Lines'!$E$5:$E$1640,'Bank Lines'!$G$5:$G$1640,A597,'Bank Lines'!$J$5:$J$1640,1,'Bank Lines'!$C$5:$C$1640,"&lt;="&amp;Cover!$C$14),2)</f>
        <v>2589.9</v>
      </c>
      <c r="T597" s="9">
        <f>ROUND(SUMIFS('Odoo Items'!$G$5:$G$4331,'Odoo Items'!$J$5:$J$4331,A597,'Odoo Items'!$C$5:$C$4331,"&lt;="&amp;Cover!$C$14),2)</f>
        <v>2589.9</v>
      </c>
      <c r="U597">
        <f>COUNTIFS('Bank Lines'!$G$5:$G$1640,A597,'Bank Lines'!$J$5:$J$1640,1,'Bank Lines'!$C$5:$C$1640,"&lt;="&amp;Cover!$C$14)</f>
        <v>1</v>
      </c>
      <c r="V597">
        <f>COUNTIFS('Odoo Items'!$J$5:$J$4331,A597,'Odoo Items'!$C$5:$C$4331,"&lt;="&amp;Cover!$C$14)</f>
        <v>1</v>
      </c>
      <c r="W597" t="str">
        <f>IF(AND(U597=0,V597=0),"",IF(U597=0,"ODOO-ONLY",IF(V597=0,"BANK-ONLY","BOTH")))</f>
        <v>BOTH</v>
      </c>
      <c r="X597" s="9">
        <f>IF(W597="BOTH",ROUND(S597-T597,2),0)</f>
        <v>0</v>
      </c>
      <c r="Y597" s="9">
        <f>ROUND(SUMIFS('Bank Lines'!$E$5:$E$1640,'Bank Lines'!$G$5:$G$1640,A597,'Bank Lines'!$J$5:$J$1640,1,'Bank Lines'!$C$5:$C$1640,"&lt;="&amp;Cover!$C$15),2)</f>
        <v>2589.9</v>
      </c>
      <c r="Z597" s="9">
        <f>ROUND(SUMIFS('Odoo Items'!$G$5:$G$4331,'Odoo Items'!$J$5:$J$4331,A597,'Odoo Items'!$C$5:$C$4331,"&lt;="&amp;Cover!$C$15),2)</f>
        <v>2589.9</v>
      </c>
      <c r="AA597">
        <f>COUNTIFS('Bank Lines'!$G$5:$G$1640,A597,'Bank Lines'!$J$5:$J$1640,1,'Bank Lines'!$C$5:$C$1640,"&lt;="&amp;Cover!$C$15)</f>
        <v>1</v>
      </c>
      <c r="AB597">
        <f>COUNTIFS('Odoo Items'!$J$5:$J$4331,A597,'Odoo Items'!$C$5:$C$4331,"&lt;="&amp;Cover!$C$15)</f>
        <v>1</v>
      </c>
      <c r="AC597" t="str">
        <f>IF(AND(AA597=0,AB597=0),"",IF(AA597=0,"ODOO-ONLY",IF(AB597=0,"BANK-ONLY","BOTH")))</f>
        <v>BOTH</v>
      </c>
      <c r="AD597" s="9">
        <f>IF(AC597="BOTH",ROUND(Y597-Z597,2),0)</f>
        <v>0</v>
      </c>
    </row>
    <row r="598">
      <c r="A598" t="inlineStr">
        <is>
          <t>G00594</t>
        </is>
      </c>
      <c r="B598" t="inlineStr">
        <is>
          <t>MER</t>
        </is>
      </c>
      <c r="C598" t="inlineStr">
        <is>
          <t>R08</t>
        </is>
      </c>
      <c r="D598" t="inlineStr">
        <is>
          <t>MATCH</t>
        </is>
      </c>
      <c r="E598" t="inlineStr"/>
      <c r="G598" t="inlineStr"/>
      <c r="H598">
        <f>COUNTIFS('Bank Lines'!$G$5:$G$1640,A598,'Bank Lines'!$J$5:$J$1640,1)</f>
        <v>1</v>
      </c>
      <c r="I598">
        <f>COUNTIFS('Odoo Items'!$J$5:$J$4331,A598)</f>
        <v>1</v>
      </c>
      <c r="J598" s="9">
        <f>ROUND(SUMIFS('Bank Lines'!$E$5:$E$1640,'Bank Lines'!$G$5:$G$1640,A598,'Bank Lines'!$J$5:$J$1640,1),2)</f>
        <v>1249.37</v>
      </c>
      <c r="K598" s="9">
        <f>ROUND(SUMIFS('Odoo Items'!$G$5:$G$4331,'Odoo Items'!$J$5:$J$4331,A598),2)</f>
        <v>1249.37</v>
      </c>
      <c r="L598" s="9">
        <f>ROUND(J598-K598,2)</f>
        <v>0</v>
      </c>
      <c r="M598" s="9">
        <f>ROUND(SUMIFS('Bank Lines'!$E$5:$E$1640,'Bank Lines'!$G$5:$G$1640,A598,'Bank Lines'!$J$5:$J$1640,1,'Bank Lines'!$C$5:$C$1640,"&lt;="&amp;Cover!$C$13),2)</f>
        <v>1249.37</v>
      </c>
      <c r="N598" s="9">
        <f>ROUND(SUMIFS('Odoo Items'!$G$5:$G$4331,'Odoo Items'!$J$5:$J$4331,A598,'Odoo Items'!$C$5:$C$4331,"&lt;="&amp;Cover!$C$13),2)</f>
        <v>1249.37</v>
      </c>
      <c r="O598">
        <f>COUNTIFS('Bank Lines'!$G$5:$G$1640,A598,'Bank Lines'!$J$5:$J$1640,1,'Bank Lines'!$C$5:$C$1640,"&lt;="&amp;Cover!$C$13)</f>
        <v>1</v>
      </c>
      <c r="P598">
        <f>COUNTIFS('Odoo Items'!$J$5:$J$4331,A598,'Odoo Items'!$C$5:$C$4331,"&lt;="&amp;Cover!$C$13)</f>
        <v>1</v>
      </c>
      <c r="Q598" t="str">
        <f>IF(AND(O598=0,P598=0),"",IF(O598=0,"ODOO-ONLY",IF(P598=0,"BANK-ONLY","BOTH")))</f>
        <v>BOTH</v>
      </c>
      <c r="R598" s="9">
        <f>IF(Q598="BOTH",ROUND(M598-N598,2),0)</f>
        <v>0</v>
      </c>
      <c r="S598" s="9">
        <f>ROUND(SUMIFS('Bank Lines'!$E$5:$E$1640,'Bank Lines'!$G$5:$G$1640,A598,'Bank Lines'!$J$5:$J$1640,1,'Bank Lines'!$C$5:$C$1640,"&lt;="&amp;Cover!$C$14),2)</f>
        <v>1249.37</v>
      </c>
      <c r="T598" s="9">
        <f>ROUND(SUMIFS('Odoo Items'!$G$5:$G$4331,'Odoo Items'!$J$5:$J$4331,A598,'Odoo Items'!$C$5:$C$4331,"&lt;="&amp;Cover!$C$14),2)</f>
        <v>1249.37</v>
      </c>
      <c r="U598">
        <f>COUNTIFS('Bank Lines'!$G$5:$G$1640,A598,'Bank Lines'!$J$5:$J$1640,1,'Bank Lines'!$C$5:$C$1640,"&lt;="&amp;Cover!$C$14)</f>
        <v>1</v>
      </c>
      <c r="V598">
        <f>COUNTIFS('Odoo Items'!$J$5:$J$4331,A598,'Odoo Items'!$C$5:$C$4331,"&lt;="&amp;Cover!$C$14)</f>
        <v>1</v>
      </c>
      <c r="W598" t="str">
        <f>IF(AND(U598=0,V598=0),"",IF(U598=0,"ODOO-ONLY",IF(V598=0,"BANK-ONLY","BOTH")))</f>
        <v>BOTH</v>
      </c>
      <c r="X598" s="9">
        <f>IF(W598="BOTH",ROUND(S598-T598,2),0)</f>
        <v>0</v>
      </c>
      <c r="Y598" s="9">
        <f>ROUND(SUMIFS('Bank Lines'!$E$5:$E$1640,'Bank Lines'!$G$5:$G$1640,A598,'Bank Lines'!$J$5:$J$1640,1,'Bank Lines'!$C$5:$C$1640,"&lt;="&amp;Cover!$C$15),2)</f>
        <v>1249.37</v>
      </c>
      <c r="Z598" s="9">
        <f>ROUND(SUMIFS('Odoo Items'!$G$5:$G$4331,'Odoo Items'!$J$5:$J$4331,A598,'Odoo Items'!$C$5:$C$4331,"&lt;="&amp;Cover!$C$15),2)</f>
        <v>1249.37</v>
      </c>
      <c r="AA598">
        <f>COUNTIFS('Bank Lines'!$G$5:$G$1640,A598,'Bank Lines'!$J$5:$J$1640,1,'Bank Lines'!$C$5:$C$1640,"&lt;="&amp;Cover!$C$15)</f>
        <v>1</v>
      </c>
      <c r="AB598">
        <f>COUNTIFS('Odoo Items'!$J$5:$J$4331,A598,'Odoo Items'!$C$5:$C$4331,"&lt;="&amp;Cover!$C$15)</f>
        <v>1</v>
      </c>
      <c r="AC598" t="str">
        <f>IF(AND(AA598=0,AB598=0),"",IF(AA598=0,"ODOO-ONLY",IF(AB598=0,"BANK-ONLY","BOTH")))</f>
        <v>BOTH</v>
      </c>
      <c r="AD598" s="9">
        <f>IF(AC598="BOTH",ROUND(Y598-Z598,2),0)</f>
        <v>0</v>
      </c>
    </row>
    <row r="599">
      <c r="A599" t="inlineStr">
        <is>
          <t>G00595</t>
        </is>
      </c>
      <c r="B599" t="inlineStr">
        <is>
          <t>MER</t>
        </is>
      </c>
      <c r="C599" t="inlineStr">
        <is>
          <t>R08</t>
        </is>
      </c>
      <c r="D599" t="inlineStr">
        <is>
          <t>MATCH</t>
        </is>
      </c>
      <c r="E599" t="inlineStr"/>
      <c r="G599" t="inlineStr"/>
      <c r="H599">
        <f>COUNTIFS('Bank Lines'!$G$5:$G$1640,A599,'Bank Lines'!$J$5:$J$1640,1)</f>
        <v>1</v>
      </c>
      <c r="I599">
        <f>COUNTIFS('Odoo Items'!$J$5:$J$4331,A599)</f>
        <v>1</v>
      </c>
      <c r="J599" s="9">
        <f>ROUND(SUMIFS('Bank Lines'!$E$5:$E$1640,'Bank Lines'!$G$5:$G$1640,A599,'Bank Lines'!$J$5:$J$1640,1),2)</f>
        <v>2290.78</v>
      </c>
      <c r="K599" s="9">
        <f>ROUND(SUMIFS('Odoo Items'!$G$5:$G$4331,'Odoo Items'!$J$5:$J$4331,A599),2)</f>
        <v>2290.78</v>
      </c>
      <c r="L599" s="9">
        <f>ROUND(J599-K599,2)</f>
        <v>0</v>
      </c>
      <c r="M599" s="9">
        <f>ROUND(SUMIFS('Bank Lines'!$E$5:$E$1640,'Bank Lines'!$G$5:$G$1640,A599,'Bank Lines'!$J$5:$J$1640,1,'Bank Lines'!$C$5:$C$1640,"&lt;="&amp;Cover!$C$13),2)</f>
        <v>2290.78</v>
      </c>
      <c r="N599" s="9">
        <f>ROUND(SUMIFS('Odoo Items'!$G$5:$G$4331,'Odoo Items'!$J$5:$J$4331,A599,'Odoo Items'!$C$5:$C$4331,"&lt;="&amp;Cover!$C$13),2)</f>
        <v>2290.78</v>
      </c>
      <c r="O599">
        <f>COUNTIFS('Bank Lines'!$G$5:$G$1640,A599,'Bank Lines'!$J$5:$J$1640,1,'Bank Lines'!$C$5:$C$1640,"&lt;="&amp;Cover!$C$13)</f>
        <v>1</v>
      </c>
      <c r="P599">
        <f>COUNTIFS('Odoo Items'!$J$5:$J$4331,A599,'Odoo Items'!$C$5:$C$4331,"&lt;="&amp;Cover!$C$13)</f>
        <v>1</v>
      </c>
      <c r="Q599" t="str">
        <f>IF(AND(O599=0,P599=0),"",IF(O599=0,"ODOO-ONLY",IF(P599=0,"BANK-ONLY","BOTH")))</f>
        <v>BOTH</v>
      </c>
      <c r="R599" s="9">
        <f>IF(Q599="BOTH",ROUND(M599-N599,2),0)</f>
        <v>0</v>
      </c>
      <c r="S599" s="9">
        <f>ROUND(SUMIFS('Bank Lines'!$E$5:$E$1640,'Bank Lines'!$G$5:$G$1640,A599,'Bank Lines'!$J$5:$J$1640,1,'Bank Lines'!$C$5:$C$1640,"&lt;="&amp;Cover!$C$14),2)</f>
        <v>2290.78</v>
      </c>
      <c r="T599" s="9">
        <f>ROUND(SUMIFS('Odoo Items'!$G$5:$G$4331,'Odoo Items'!$J$5:$J$4331,A599,'Odoo Items'!$C$5:$C$4331,"&lt;="&amp;Cover!$C$14),2)</f>
        <v>2290.78</v>
      </c>
      <c r="U599">
        <f>COUNTIFS('Bank Lines'!$G$5:$G$1640,A599,'Bank Lines'!$J$5:$J$1640,1,'Bank Lines'!$C$5:$C$1640,"&lt;="&amp;Cover!$C$14)</f>
        <v>1</v>
      </c>
      <c r="V599">
        <f>COUNTIFS('Odoo Items'!$J$5:$J$4331,A599,'Odoo Items'!$C$5:$C$4331,"&lt;="&amp;Cover!$C$14)</f>
        <v>1</v>
      </c>
      <c r="W599" t="str">
        <f>IF(AND(U599=0,V599=0),"",IF(U599=0,"ODOO-ONLY",IF(V599=0,"BANK-ONLY","BOTH")))</f>
        <v>BOTH</v>
      </c>
      <c r="X599" s="9">
        <f>IF(W599="BOTH",ROUND(S599-T599,2),0)</f>
        <v>0</v>
      </c>
      <c r="Y599" s="9">
        <f>ROUND(SUMIFS('Bank Lines'!$E$5:$E$1640,'Bank Lines'!$G$5:$G$1640,A599,'Bank Lines'!$J$5:$J$1640,1,'Bank Lines'!$C$5:$C$1640,"&lt;="&amp;Cover!$C$15),2)</f>
        <v>2290.78</v>
      </c>
      <c r="Z599" s="9">
        <f>ROUND(SUMIFS('Odoo Items'!$G$5:$G$4331,'Odoo Items'!$J$5:$J$4331,A599,'Odoo Items'!$C$5:$C$4331,"&lt;="&amp;Cover!$C$15),2)</f>
        <v>2290.78</v>
      </c>
      <c r="AA599">
        <f>COUNTIFS('Bank Lines'!$G$5:$G$1640,A599,'Bank Lines'!$J$5:$J$1640,1,'Bank Lines'!$C$5:$C$1640,"&lt;="&amp;Cover!$C$15)</f>
        <v>1</v>
      </c>
      <c r="AB599">
        <f>COUNTIFS('Odoo Items'!$J$5:$J$4331,A599,'Odoo Items'!$C$5:$C$4331,"&lt;="&amp;Cover!$C$15)</f>
        <v>1</v>
      </c>
      <c r="AC599" t="str">
        <f>IF(AND(AA599=0,AB599=0),"",IF(AA599=0,"ODOO-ONLY",IF(AB599=0,"BANK-ONLY","BOTH")))</f>
        <v>BOTH</v>
      </c>
      <c r="AD599" s="9">
        <f>IF(AC599="BOTH",ROUND(Y599-Z599,2),0)</f>
        <v>0</v>
      </c>
    </row>
    <row r="600">
      <c r="A600" t="inlineStr">
        <is>
          <t>G00596</t>
        </is>
      </c>
      <c r="B600" t="inlineStr">
        <is>
          <t>MER</t>
        </is>
      </c>
      <c r="C600" t="inlineStr">
        <is>
          <t>R08</t>
        </is>
      </c>
      <c r="D600" t="inlineStr">
        <is>
          <t>MATCH</t>
        </is>
      </c>
      <c r="E600" t="inlineStr"/>
      <c r="G600" t="inlineStr"/>
      <c r="H600">
        <f>COUNTIFS('Bank Lines'!$G$5:$G$1640,A600,'Bank Lines'!$J$5:$J$1640,1)</f>
        <v>1</v>
      </c>
      <c r="I600">
        <f>COUNTIFS('Odoo Items'!$J$5:$J$4331,A600)</f>
        <v>1</v>
      </c>
      <c r="J600" s="9">
        <f>ROUND(SUMIFS('Bank Lines'!$E$5:$E$1640,'Bank Lines'!$G$5:$G$1640,A600,'Bank Lines'!$J$5:$J$1640,1),2)</f>
        <v>2382.13</v>
      </c>
      <c r="K600" s="9">
        <f>ROUND(SUMIFS('Odoo Items'!$G$5:$G$4331,'Odoo Items'!$J$5:$J$4331,A600),2)</f>
        <v>2382.13</v>
      </c>
      <c r="L600" s="9">
        <f>ROUND(J600-K600,2)</f>
        <v>0</v>
      </c>
      <c r="M600" s="9">
        <f>ROUND(SUMIFS('Bank Lines'!$E$5:$E$1640,'Bank Lines'!$G$5:$G$1640,A600,'Bank Lines'!$J$5:$J$1640,1,'Bank Lines'!$C$5:$C$1640,"&lt;="&amp;Cover!$C$13),2)</f>
        <v>2382.13</v>
      </c>
      <c r="N600" s="9">
        <f>ROUND(SUMIFS('Odoo Items'!$G$5:$G$4331,'Odoo Items'!$J$5:$J$4331,A600,'Odoo Items'!$C$5:$C$4331,"&lt;="&amp;Cover!$C$13),2)</f>
        <v>2382.13</v>
      </c>
      <c r="O600">
        <f>COUNTIFS('Bank Lines'!$G$5:$G$1640,A600,'Bank Lines'!$J$5:$J$1640,1,'Bank Lines'!$C$5:$C$1640,"&lt;="&amp;Cover!$C$13)</f>
        <v>1</v>
      </c>
      <c r="P600">
        <f>COUNTIFS('Odoo Items'!$J$5:$J$4331,A600,'Odoo Items'!$C$5:$C$4331,"&lt;="&amp;Cover!$C$13)</f>
        <v>1</v>
      </c>
      <c r="Q600" t="str">
        <f>IF(AND(O600=0,P600=0),"",IF(O600=0,"ODOO-ONLY",IF(P600=0,"BANK-ONLY","BOTH")))</f>
        <v>BOTH</v>
      </c>
      <c r="R600" s="9">
        <f>IF(Q600="BOTH",ROUND(M600-N600,2),0)</f>
        <v>0</v>
      </c>
      <c r="S600" s="9">
        <f>ROUND(SUMIFS('Bank Lines'!$E$5:$E$1640,'Bank Lines'!$G$5:$G$1640,A600,'Bank Lines'!$J$5:$J$1640,1,'Bank Lines'!$C$5:$C$1640,"&lt;="&amp;Cover!$C$14),2)</f>
        <v>2382.13</v>
      </c>
      <c r="T600" s="9">
        <f>ROUND(SUMIFS('Odoo Items'!$G$5:$G$4331,'Odoo Items'!$J$5:$J$4331,A600,'Odoo Items'!$C$5:$C$4331,"&lt;="&amp;Cover!$C$14),2)</f>
        <v>2382.13</v>
      </c>
      <c r="U600">
        <f>COUNTIFS('Bank Lines'!$G$5:$G$1640,A600,'Bank Lines'!$J$5:$J$1640,1,'Bank Lines'!$C$5:$C$1640,"&lt;="&amp;Cover!$C$14)</f>
        <v>1</v>
      </c>
      <c r="V600">
        <f>COUNTIFS('Odoo Items'!$J$5:$J$4331,A600,'Odoo Items'!$C$5:$C$4331,"&lt;="&amp;Cover!$C$14)</f>
        <v>1</v>
      </c>
      <c r="W600" t="str">
        <f>IF(AND(U600=0,V600=0),"",IF(U600=0,"ODOO-ONLY",IF(V600=0,"BANK-ONLY","BOTH")))</f>
        <v>BOTH</v>
      </c>
      <c r="X600" s="9">
        <f>IF(W600="BOTH",ROUND(S600-T600,2),0)</f>
        <v>0</v>
      </c>
      <c r="Y600" s="9">
        <f>ROUND(SUMIFS('Bank Lines'!$E$5:$E$1640,'Bank Lines'!$G$5:$G$1640,A600,'Bank Lines'!$J$5:$J$1640,1,'Bank Lines'!$C$5:$C$1640,"&lt;="&amp;Cover!$C$15),2)</f>
        <v>2382.13</v>
      </c>
      <c r="Z600" s="9">
        <f>ROUND(SUMIFS('Odoo Items'!$G$5:$G$4331,'Odoo Items'!$J$5:$J$4331,A600,'Odoo Items'!$C$5:$C$4331,"&lt;="&amp;Cover!$C$15),2)</f>
        <v>2382.13</v>
      </c>
      <c r="AA600">
        <f>COUNTIFS('Bank Lines'!$G$5:$G$1640,A600,'Bank Lines'!$J$5:$J$1640,1,'Bank Lines'!$C$5:$C$1640,"&lt;="&amp;Cover!$C$15)</f>
        <v>1</v>
      </c>
      <c r="AB600">
        <f>COUNTIFS('Odoo Items'!$J$5:$J$4331,A600,'Odoo Items'!$C$5:$C$4331,"&lt;="&amp;Cover!$C$15)</f>
        <v>1</v>
      </c>
      <c r="AC600" t="str">
        <f>IF(AND(AA600=0,AB600=0),"",IF(AA600=0,"ODOO-ONLY",IF(AB600=0,"BANK-ONLY","BOTH")))</f>
        <v>BOTH</v>
      </c>
      <c r="AD600" s="9">
        <f>IF(AC600="BOTH",ROUND(Y600-Z600,2),0)</f>
        <v>0</v>
      </c>
    </row>
    <row r="601">
      <c r="A601" t="inlineStr">
        <is>
          <t>G00597</t>
        </is>
      </c>
      <c r="B601" t="inlineStr">
        <is>
          <t>MER</t>
        </is>
      </c>
      <c r="C601" t="inlineStr">
        <is>
          <t>R08</t>
        </is>
      </c>
      <c r="D601" t="inlineStr">
        <is>
          <t>MATCH</t>
        </is>
      </c>
      <c r="E601" t="inlineStr"/>
      <c r="G601" t="inlineStr"/>
      <c r="H601">
        <f>COUNTIFS('Bank Lines'!$G$5:$G$1640,A601,'Bank Lines'!$J$5:$J$1640,1)</f>
        <v>1</v>
      </c>
      <c r="I601">
        <f>COUNTIFS('Odoo Items'!$J$5:$J$4331,A601)</f>
        <v>1</v>
      </c>
      <c r="J601" s="9">
        <f>ROUND(SUMIFS('Bank Lines'!$E$5:$E$1640,'Bank Lines'!$G$5:$G$1640,A601,'Bank Lines'!$J$5:$J$1640,1),2)</f>
        <v>1549.86</v>
      </c>
      <c r="K601" s="9">
        <f>ROUND(SUMIFS('Odoo Items'!$G$5:$G$4331,'Odoo Items'!$J$5:$J$4331,A601),2)</f>
        <v>1549.86</v>
      </c>
      <c r="L601" s="9">
        <f>ROUND(J601-K601,2)</f>
        <v>0</v>
      </c>
      <c r="M601" s="9">
        <f>ROUND(SUMIFS('Bank Lines'!$E$5:$E$1640,'Bank Lines'!$G$5:$G$1640,A601,'Bank Lines'!$J$5:$J$1640,1,'Bank Lines'!$C$5:$C$1640,"&lt;="&amp;Cover!$C$13),2)</f>
        <v>1549.86</v>
      </c>
      <c r="N601" s="9">
        <f>ROUND(SUMIFS('Odoo Items'!$G$5:$G$4331,'Odoo Items'!$J$5:$J$4331,A601,'Odoo Items'!$C$5:$C$4331,"&lt;="&amp;Cover!$C$13),2)</f>
        <v>1549.86</v>
      </c>
      <c r="O601">
        <f>COUNTIFS('Bank Lines'!$G$5:$G$1640,A601,'Bank Lines'!$J$5:$J$1640,1,'Bank Lines'!$C$5:$C$1640,"&lt;="&amp;Cover!$C$13)</f>
        <v>1</v>
      </c>
      <c r="P601">
        <f>COUNTIFS('Odoo Items'!$J$5:$J$4331,A601,'Odoo Items'!$C$5:$C$4331,"&lt;="&amp;Cover!$C$13)</f>
        <v>1</v>
      </c>
      <c r="Q601" t="str">
        <f>IF(AND(O601=0,P601=0),"",IF(O601=0,"ODOO-ONLY",IF(P601=0,"BANK-ONLY","BOTH")))</f>
        <v>BOTH</v>
      </c>
      <c r="R601" s="9">
        <f>IF(Q601="BOTH",ROUND(M601-N601,2),0)</f>
        <v>0</v>
      </c>
      <c r="S601" s="9">
        <f>ROUND(SUMIFS('Bank Lines'!$E$5:$E$1640,'Bank Lines'!$G$5:$G$1640,A601,'Bank Lines'!$J$5:$J$1640,1,'Bank Lines'!$C$5:$C$1640,"&lt;="&amp;Cover!$C$14),2)</f>
        <v>1549.86</v>
      </c>
      <c r="T601" s="9">
        <f>ROUND(SUMIFS('Odoo Items'!$G$5:$G$4331,'Odoo Items'!$J$5:$J$4331,A601,'Odoo Items'!$C$5:$C$4331,"&lt;="&amp;Cover!$C$14),2)</f>
        <v>1549.86</v>
      </c>
      <c r="U601">
        <f>COUNTIFS('Bank Lines'!$G$5:$G$1640,A601,'Bank Lines'!$J$5:$J$1640,1,'Bank Lines'!$C$5:$C$1640,"&lt;="&amp;Cover!$C$14)</f>
        <v>1</v>
      </c>
      <c r="V601">
        <f>COUNTIFS('Odoo Items'!$J$5:$J$4331,A601,'Odoo Items'!$C$5:$C$4331,"&lt;="&amp;Cover!$C$14)</f>
        <v>1</v>
      </c>
      <c r="W601" t="str">
        <f>IF(AND(U601=0,V601=0),"",IF(U601=0,"ODOO-ONLY",IF(V601=0,"BANK-ONLY","BOTH")))</f>
        <v>BOTH</v>
      </c>
      <c r="X601" s="9">
        <f>IF(W601="BOTH",ROUND(S601-T601,2),0)</f>
        <v>0</v>
      </c>
      <c r="Y601" s="9">
        <f>ROUND(SUMIFS('Bank Lines'!$E$5:$E$1640,'Bank Lines'!$G$5:$G$1640,A601,'Bank Lines'!$J$5:$J$1640,1,'Bank Lines'!$C$5:$C$1640,"&lt;="&amp;Cover!$C$15),2)</f>
        <v>1549.86</v>
      </c>
      <c r="Z601" s="9">
        <f>ROUND(SUMIFS('Odoo Items'!$G$5:$G$4331,'Odoo Items'!$J$5:$J$4331,A601,'Odoo Items'!$C$5:$C$4331,"&lt;="&amp;Cover!$C$15),2)</f>
        <v>1549.86</v>
      </c>
      <c r="AA601">
        <f>COUNTIFS('Bank Lines'!$G$5:$G$1640,A601,'Bank Lines'!$J$5:$J$1640,1,'Bank Lines'!$C$5:$C$1640,"&lt;="&amp;Cover!$C$15)</f>
        <v>1</v>
      </c>
      <c r="AB601">
        <f>COUNTIFS('Odoo Items'!$J$5:$J$4331,A601,'Odoo Items'!$C$5:$C$4331,"&lt;="&amp;Cover!$C$15)</f>
        <v>1</v>
      </c>
      <c r="AC601" t="str">
        <f>IF(AND(AA601=0,AB601=0),"",IF(AA601=0,"ODOO-ONLY",IF(AB601=0,"BANK-ONLY","BOTH")))</f>
        <v>BOTH</v>
      </c>
      <c r="AD601" s="9">
        <f>IF(AC601="BOTH",ROUND(Y601-Z601,2),0)</f>
        <v>0</v>
      </c>
    </row>
    <row r="602">
      <c r="A602" t="inlineStr">
        <is>
          <t>G00598</t>
        </is>
      </c>
      <c r="B602" t="inlineStr">
        <is>
          <t>MER</t>
        </is>
      </c>
      <c r="C602" t="inlineStr">
        <is>
          <t>R08</t>
        </is>
      </c>
      <c r="D602" t="inlineStr">
        <is>
          <t>MATCH</t>
        </is>
      </c>
      <c r="E602" t="inlineStr"/>
      <c r="G602" t="inlineStr"/>
      <c r="H602">
        <f>COUNTIFS('Bank Lines'!$G$5:$G$1640,A602,'Bank Lines'!$J$5:$J$1640,1)</f>
        <v>1</v>
      </c>
      <c r="I602">
        <f>COUNTIFS('Odoo Items'!$J$5:$J$4331,A602)</f>
        <v>1</v>
      </c>
      <c r="J602" s="9">
        <f>ROUND(SUMIFS('Bank Lines'!$E$5:$E$1640,'Bank Lines'!$G$5:$G$1640,A602,'Bank Lines'!$J$5:$J$1640,1),2)</f>
        <v>1808.04</v>
      </c>
      <c r="K602" s="9">
        <f>ROUND(SUMIFS('Odoo Items'!$G$5:$G$4331,'Odoo Items'!$J$5:$J$4331,A602),2)</f>
        <v>1808.04</v>
      </c>
      <c r="L602" s="9">
        <f>ROUND(J602-K602,2)</f>
        <v>0</v>
      </c>
      <c r="M602" s="9">
        <f>ROUND(SUMIFS('Bank Lines'!$E$5:$E$1640,'Bank Lines'!$G$5:$G$1640,A602,'Bank Lines'!$J$5:$J$1640,1,'Bank Lines'!$C$5:$C$1640,"&lt;="&amp;Cover!$C$13),2)</f>
        <v>1808.04</v>
      </c>
      <c r="N602" s="9">
        <f>ROUND(SUMIFS('Odoo Items'!$G$5:$G$4331,'Odoo Items'!$J$5:$J$4331,A602,'Odoo Items'!$C$5:$C$4331,"&lt;="&amp;Cover!$C$13),2)</f>
        <v>1808.04</v>
      </c>
      <c r="O602">
        <f>COUNTIFS('Bank Lines'!$G$5:$G$1640,A602,'Bank Lines'!$J$5:$J$1640,1,'Bank Lines'!$C$5:$C$1640,"&lt;="&amp;Cover!$C$13)</f>
        <v>1</v>
      </c>
      <c r="P602">
        <f>COUNTIFS('Odoo Items'!$J$5:$J$4331,A602,'Odoo Items'!$C$5:$C$4331,"&lt;="&amp;Cover!$C$13)</f>
        <v>1</v>
      </c>
      <c r="Q602" t="str">
        <f>IF(AND(O602=0,P602=0),"",IF(O602=0,"ODOO-ONLY",IF(P602=0,"BANK-ONLY","BOTH")))</f>
        <v>BOTH</v>
      </c>
      <c r="R602" s="9">
        <f>IF(Q602="BOTH",ROUND(M602-N602,2),0)</f>
        <v>0</v>
      </c>
      <c r="S602" s="9">
        <f>ROUND(SUMIFS('Bank Lines'!$E$5:$E$1640,'Bank Lines'!$G$5:$G$1640,A602,'Bank Lines'!$J$5:$J$1640,1,'Bank Lines'!$C$5:$C$1640,"&lt;="&amp;Cover!$C$14),2)</f>
        <v>1808.04</v>
      </c>
      <c r="T602" s="9">
        <f>ROUND(SUMIFS('Odoo Items'!$G$5:$G$4331,'Odoo Items'!$J$5:$J$4331,A602,'Odoo Items'!$C$5:$C$4331,"&lt;="&amp;Cover!$C$14),2)</f>
        <v>1808.04</v>
      </c>
      <c r="U602">
        <f>COUNTIFS('Bank Lines'!$G$5:$G$1640,A602,'Bank Lines'!$J$5:$J$1640,1,'Bank Lines'!$C$5:$C$1640,"&lt;="&amp;Cover!$C$14)</f>
        <v>1</v>
      </c>
      <c r="V602">
        <f>COUNTIFS('Odoo Items'!$J$5:$J$4331,A602,'Odoo Items'!$C$5:$C$4331,"&lt;="&amp;Cover!$C$14)</f>
        <v>1</v>
      </c>
      <c r="W602" t="str">
        <f>IF(AND(U602=0,V602=0),"",IF(U602=0,"ODOO-ONLY",IF(V602=0,"BANK-ONLY","BOTH")))</f>
        <v>BOTH</v>
      </c>
      <c r="X602" s="9">
        <f>IF(W602="BOTH",ROUND(S602-T602,2),0)</f>
        <v>0</v>
      </c>
      <c r="Y602" s="9">
        <f>ROUND(SUMIFS('Bank Lines'!$E$5:$E$1640,'Bank Lines'!$G$5:$G$1640,A602,'Bank Lines'!$J$5:$J$1640,1,'Bank Lines'!$C$5:$C$1640,"&lt;="&amp;Cover!$C$15),2)</f>
        <v>1808.04</v>
      </c>
      <c r="Z602" s="9">
        <f>ROUND(SUMIFS('Odoo Items'!$G$5:$G$4331,'Odoo Items'!$J$5:$J$4331,A602,'Odoo Items'!$C$5:$C$4331,"&lt;="&amp;Cover!$C$15),2)</f>
        <v>1808.04</v>
      </c>
      <c r="AA602">
        <f>COUNTIFS('Bank Lines'!$G$5:$G$1640,A602,'Bank Lines'!$J$5:$J$1640,1,'Bank Lines'!$C$5:$C$1640,"&lt;="&amp;Cover!$C$15)</f>
        <v>1</v>
      </c>
      <c r="AB602">
        <f>COUNTIFS('Odoo Items'!$J$5:$J$4331,A602,'Odoo Items'!$C$5:$C$4331,"&lt;="&amp;Cover!$C$15)</f>
        <v>1</v>
      </c>
      <c r="AC602" t="str">
        <f>IF(AND(AA602=0,AB602=0),"",IF(AA602=0,"ODOO-ONLY",IF(AB602=0,"BANK-ONLY","BOTH")))</f>
        <v>BOTH</v>
      </c>
      <c r="AD602" s="9">
        <f>IF(AC602="BOTH",ROUND(Y602-Z602,2),0)</f>
        <v>0</v>
      </c>
    </row>
    <row r="603">
      <c r="A603" t="inlineStr">
        <is>
          <t>G00599</t>
        </is>
      </c>
      <c r="B603" t="inlineStr">
        <is>
          <t>MER</t>
        </is>
      </c>
      <c r="C603" t="inlineStr">
        <is>
          <t>R08</t>
        </is>
      </c>
      <c r="D603" t="inlineStr">
        <is>
          <t>MATCH</t>
        </is>
      </c>
      <c r="E603" t="inlineStr"/>
      <c r="G603" t="inlineStr"/>
      <c r="H603">
        <f>COUNTIFS('Bank Lines'!$G$5:$G$1640,A603,'Bank Lines'!$J$5:$J$1640,1)</f>
        <v>1</v>
      </c>
      <c r="I603">
        <f>COUNTIFS('Odoo Items'!$J$5:$J$4331,A603)</f>
        <v>1</v>
      </c>
      <c r="J603" s="9">
        <f>ROUND(SUMIFS('Bank Lines'!$E$5:$E$1640,'Bank Lines'!$G$5:$G$1640,A603,'Bank Lines'!$J$5:$J$1640,1),2)</f>
        <v>2694.35</v>
      </c>
      <c r="K603" s="9">
        <f>ROUND(SUMIFS('Odoo Items'!$G$5:$G$4331,'Odoo Items'!$J$5:$J$4331,A603),2)</f>
        <v>2694.35</v>
      </c>
      <c r="L603" s="9">
        <f>ROUND(J603-K603,2)</f>
        <v>0</v>
      </c>
      <c r="M603" s="9">
        <f>ROUND(SUMIFS('Bank Lines'!$E$5:$E$1640,'Bank Lines'!$G$5:$G$1640,A603,'Bank Lines'!$J$5:$J$1640,1,'Bank Lines'!$C$5:$C$1640,"&lt;="&amp;Cover!$C$13),2)</f>
        <v>2694.35</v>
      </c>
      <c r="N603" s="9">
        <f>ROUND(SUMIFS('Odoo Items'!$G$5:$G$4331,'Odoo Items'!$J$5:$J$4331,A603,'Odoo Items'!$C$5:$C$4331,"&lt;="&amp;Cover!$C$13),2)</f>
        <v>2694.35</v>
      </c>
      <c r="O603">
        <f>COUNTIFS('Bank Lines'!$G$5:$G$1640,A603,'Bank Lines'!$J$5:$J$1640,1,'Bank Lines'!$C$5:$C$1640,"&lt;="&amp;Cover!$C$13)</f>
        <v>1</v>
      </c>
      <c r="P603">
        <f>COUNTIFS('Odoo Items'!$J$5:$J$4331,A603,'Odoo Items'!$C$5:$C$4331,"&lt;="&amp;Cover!$C$13)</f>
        <v>1</v>
      </c>
      <c r="Q603" t="str">
        <f>IF(AND(O603=0,P603=0),"",IF(O603=0,"ODOO-ONLY",IF(P603=0,"BANK-ONLY","BOTH")))</f>
        <v>BOTH</v>
      </c>
      <c r="R603" s="9">
        <f>IF(Q603="BOTH",ROUND(M603-N603,2),0)</f>
        <v>0</v>
      </c>
      <c r="S603" s="9">
        <f>ROUND(SUMIFS('Bank Lines'!$E$5:$E$1640,'Bank Lines'!$G$5:$G$1640,A603,'Bank Lines'!$J$5:$J$1640,1,'Bank Lines'!$C$5:$C$1640,"&lt;="&amp;Cover!$C$14),2)</f>
        <v>2694.35</v>
      </c>
      <c r="T603" s="9">
        <f>ROUND(SUMIFS('Odoo Items'!$G$5:$G$4331,'Odoo Items'!$J$5:$J$4331,A603,'Odoo Items'!$C$5:$C$4331,"&lt;="&amp;Cover!$C$14),2)</f>
        <v>2694.35</v>
      </c>
      <c r="U603">
        <f>COUNTIFS('Bank Lines'!$G$5:$G$1640,A603,'Bank Lines'!$J$5:$J$1640,1,'Bank Lines'!$C$5:$C$1640,"&lt;="&amp;Cover!$C$14)</f>
        <v>1</v>
      </c>
      <c r="V603">
        <f>COUNTIFS('Odoo Items'!$J$5:$J$4331,A603,'Odoo Items'!$C$5:$C$4331,"&lt;="&amp;Cover!$C$14)</f>
        <v>1</v>
      </c>
      <c r="W603" t="str">
        <f>IF(AND(U603=0,V603=0),"",IF(U603=0,"ODOO-ONLY",IF(V603=0,"BANK-ONLY","BOTH")))</f>
        <v>BOTH</v>
      </c>
      <c r="X603" s="9">
        <f>IF(W603="BOTH",ROUND(S603-T603,2),0)</f>
        <v>0</v>
      </c>
      <c r="Y603" s="9">
        <f>ROUND(SUMIFS('Bank Lines'!$E$5:$E$1640,'Bank Lines'!$G$5:$G$1640,A603,'Bank Lines'!$J$5:$J$1640,1,'Bank Lines'!$C$5:$C$1640,"&lt;="&amp;Cover!$C$15),2)</f>
        <v>2694.35</v>
      </c>
      <c r="Z603" s="9">
        <f>ROUND(SUMIFS('Odoo Items'!$G$5:$G$4331,'Odoo Items'!$J$5:$J$4331,A603,'Odoo Items'!$C$5:$C$4331,"&lt;="&amp;Cover!$C$15),2)</f>
        <v>2694.35</v>
      </c>
      <c r="AA603">
        <f>COUNTIFS('Bank Lines'!$G$5:$G$1640,A603,'Bank Lines'!$J$5:$J$1640,1,'Bank Lines'!$C$5:$C$1640,"&lt;="&amp;Cover!$C$15)</f>
        <v>1</v>
      </c>
      <c r="AB603">
        <f>COUNTIFS('Odoo Items'!$J$5:$J$4331,A603,'Odoo Items'!$C$5:$C$4331,"&lt;="&amp;Cover!$C$15)</f>
        <v>1</v>
      </c>
      <c r="AC603" t="str">
        <f>IF(AND(AA603=0,AB603=0),"",IF(AA603=0,"ODOO-ONLY",IF(AB603=0,"BANK-ONLY","BOTH")))</f>
        <v>BOTH</v>
      </c>
      <c r="AD603" s="9">
        <f>IF(AC603="BOTH",ROUND(Y603-Z603,2),0)</f>
        <v>0</v>
      </c>
    </row>
    <row r="604">
      <c r="A604" t="inlineStr">
        <is>
          <t>G00600</t>
        </is>
      </c>
      <c r="B604" t="inlineStr">
        <is>
          <t>MER</t>
        </is>
      </c>
      <c r="C604" t="inlineStr">
        <is>
          <t>R08</t>
        </is>
      </c>
      <c r="D604" t="inlineStr">
        <is>
          <t>MATCH</t>
        </is>
      </c>
      <c r="E604" t="inlineStr"/>
      <c r="G604" t="inlineStr"/>
      <c r="H604">
        <f>COUNTIFS('Bank Lines'!$G$5:$G$1640,A604,'Bank Lines'!$J$5:$J$1640,1)</f>
        <v>1</v>
      </c>
      <c r="I604">
        <f>COUNTIFS('Odoo Items'!$J$5:$J$4331,A604)</f>
        <v>1</v>
      </c>
      <c r="J604" s="9">
        <f>ROUND(SUMIFS('Bank Lines'!$E$5:$E$1640,'Bank Lines'!$G$5:$G$1640,A604,'Bank Lines'!$J$5:$J$1640,1),2)</f>
        <v>1471.53</v>
      </c>
      <c r="K604" s="9">
        <f>ROUND(SUMIFS('Odoo Items'!$G$5:$G$4331,'Odoo Items'!$J$5:$J$4331,A604),2)</f>
        <v>1471.53</v>
      </c>
      <c r="L604" s="9">
        <f>ROUND(J604-K604,2)</f>
        <v>0</v>
      </c>
      <c r="M604" s="9">
        <f>ROUND(SUMIFS('Bank Lines'!$E$5:$E$1640,'Bank Lines'!$G$5:$G$1640,A604,'Bank Lines'!$J$5:$J$1640,1,'Bank Lines'!$C$5:$C$1640,"&lt;="&amp;Cover!$C$13),2)</f>
        <v>1471.53</v>
      </c>
      <c r="N604" s="9">
        <f>ROUND(SUMIFS('Odoo Items'!$G$5:$G$4331,'Odoo Items'!$J$5:$J$4331,A604,'Odoo Items'!$C$5:$C$4331,"&lt;="&amp;Cover!$C$13),2)</f>
        <v>1471.53</v>
      </c>
      <c r="O604">
        <f>COUNTIFS('Bank Lines'!$G$5:$G$1640,A604,'Bank Lines'!$J$5:$J$1640,1,'Bank Lines'!$C$5:$C$1640,"&lt;="&amp;Cover!$C$13)</f>
        <v>1</v>
      </c>
      <c r="P604">
        <f>COUNTIFS('Odoo Items'!$J$5:$J$4331,A604,'Odoo Items'!$C$5:$C$4331,"&lt;="&amp;Cover!$C$13)</f>
        <v>1</v>
      </c>
      <c r="Q604" t="str">
        <f>IF(AND(O604=0,P604=0),"",IF(O604=0,"ODOO-ONLY",IF(P604=0,"BANK-ONLY","BOTH")))</f>
        <v>BOTH</v>
      </c>
      <c r="R604" s="9">
        <f>IF(Q604="BOTH",ROUND(M604-N604,2),0)</f>
        <v>0</v>
      </c>
      <c r="S604" s="9">
        <f>ROUND(SUMIFS('Bank Lines'!$E$5:$E$1640,'Bank Lines'!$G$5:$G$1640,A604,'Bank Lines'!$J$5:$J$1640,1,'Bank Lines'!$C$5:$C$1640,"&lt;="&amp;Cover!$C$14),2)</f>
        <v>1471.53</v>
      </c>
      <c r="T604" s="9">
        <f>ROUND(SUMIFS('Odoo Items'!$G$5:$G$4331,'Odoo Items'!$J$5:$J$4331,A604,'Odoo Items'!$C$5:$C$4331,"&lt;="&amp;Cover!$C$14),2)</f>
        <v>1471.53</v>
      </c>
      <c r="U604">
        <f>COUNTIFS('Bank Lines'!$G$5:$G$1640,A604,'Bank Lines'!$J$5:$J$1640,1,'Bank Lines'!$C$5:$C$1640,"&lt;="&amp;Cover!$C$14)</f>
        <v>1</v>
      </c>
      <c r="V604">
        <f>COUNTIFS('Odoo Items'!$J$5:$J$4331,A604,'Odoo Items'!$C$5:$C$4331,"&lt;="&amp;Cover!$C$14)</f>
        <v>1</v>
      </c>
      <c r="W604" t="str">
        <f>IF(AND(U604=0,V604=0),"",IF(U604=0,"ODOO-ONLY",IF(V604=0,"BANK-ONLY","BOTH")))</f>
        <v>BOTH</v>
      </c>
      <c r="X604" s="9">
        <f>IF(W604="BOTH",ROUND(S604-T604,2),0)</f>
        <v>0</v>
      </c>
      <c r="Y604" s="9">
        <f>ROUND(SUMIFS('Bank Lines'!$E$5:$E$1640,'Bank Lines'!$G$5:$G$1640,A604,'Bank Lines'!$J$5:$J$1640,1,'Bank Lines'!$C$5:$C$1640,"&lt;="&amp;Cover!$C$15),2)</f>
        <v>1471.53</v>
      </c>
      <c r="Z604" s="9">
        <f>ROUND(SUMIFS('Odoo Items'!$G$5:$G$4331,'Odoo Items'!$J$5:$J$4331,A604,'Odoo Items'!$C$5:$C$4331,"&lt;="&amp;Cover!$C$15),2)</f>
        <v>1471.53</v>
      </c>
      <c r="AA604">
        <f>COUNTIFS('Bank Lines'!$G$5:$G$1640,A604,'Bank Lines'!$J$5:$J$1640,1,'Bank Lines'!$C$5:$C$1640,"&lt;="&amp;Cover!$C$15)</f>
        <v>1</v>
      </c>
      <c r="AB604">
        <f>COUNTIFS('Odoo Items'!$J$5:$J$4331,A604,'Odoo Items'!$C$5:$C$4331,"&lt;="&amp;Cover!$C$15)</f>
        <v>1</v>
      </c>
      <c r="AC604" t="str">
        <f>IF(AND(AA604=0,AB604=0),"",IF(AA604=0,"ODOO-ONLY",IF(AB604=0,"BANK-ONLY","BOTH")))</f>
        <v>BOTH</v>
      </c>
      <c r="AD604" s="9">
        <f>IF(AC604="BOTH",ROUND(Y604-Z604,2),0)</f>
        <v>0</v>
      </c>
    </row>
    <row r="605">
      <c r="A605" t="inlineStr">
        <is>
          <t>G00601</t>
        </is>
      </c>
      <c r="B605" t="inlineStr">
        <is>
          <t>MER</t>
        </is>
      </c>
      <c r="C605" t="inlineStr">
        <is>
          <t>R08</t>
        </is>
      </c>
      <c r="D605" t="inlineStr">
        <is>
          <t>MATCH</t>
        </is>
      </c>
      <c r="E605" t="inlineStr"/>
      <c r="G605" t="inlineStr"/>
      <c r="H605">
        <f>COUNTIFS('Bank Lines'!$G$5:$G$1640,A605,'Bank Lines'!$J$5:$J$1640,1)</f>
        <v>1</v>
      </c>
      <c r="I605">
        <f>COUNTIFS('Odoo Items'!$J$5:$J$4331,A605)</f>
        <v>1</v>
      </c>
      <c r="J605" s="9">
        <f>ROUND(SUMIFS('Bank Lines'!$E$5:$E$1640,'Bank Lines'!$G$5:$G$1640,A605,'Bank Lines'!$J$5:$J$1640,1),2)</f>
        <v>1296.69</v>
      </c>
      <c r="K605" s="9">
        <f>ROUND(SUMIFS('Odoo Items'!$G$5:$G$4331,'Odoo Items'!$J$5:$J$4331,A605),2)</f>
        <v>1296.69</v>
      </c>
      <c r="L605" s="9">
        <f>ROUND(J605-K605,2)</f>
        <v>0</v>
      </c>
      <c r="M605" s="9">
        <f>ROUND(SUMIFS('Bank Lines'!$E$5:$E$1640,'Bank Lines'!$G$5:$G$1640,A605,'Bank Lines'!$J$5:$J$1640,1,'Bank Lines'!$C$5:$C$1640,"&lt;="&amp;Cover!$C$13),2)</f>
        <v>1296.69</v>
      </c>
      <c r="N605" s="9">
        <f>ROUND(SUMIFS('Odoo Items'!$G$5:$G$4331,'Odoo Items'!$J$5:$J$4331,A605,'Odoo Items'!$C$5:$C$4331,"&lt;="&amp;Cover!$C$13),2)</f>
        <v>1296.69</v>
      </c>
      <c r="O605">
        <f>COUNTIFS('Bank Lines'!$G$5:$G$1640,A605,'Bank Lines'!$J$5:$J$1640,1,'Bank Lines'!$C$5:$C$1640,"&lt;="&amp;Cover!$C$13)</f>
        <v>1</v>
      </c>
      <c r="P605">
        <f>COUNTIFS('Odoo Items'!$J$5:$J$4331,A605,'Odoo Items'!$C$5:$C$4331,"&lt;="&amp;Cover!$C$13)</f>
        <v>1</v>
      </c>
      <c r="Q605" t="str">
        <f>IF(AND(O605=0,P605=0),"",IF(O605=0,"ODOO-ONLY",IF(P605=0,"BANK-ONLY","BOTH")))</f>
        <v>BOTH</v>
      </c>
      <c r="R605" s="9">
        <f>IF(Q605="BOTH",ROUND(M605-N605,2),0)</f>
        <v>0</v>
      </c>
      <c r="S605" s="9">
        <f>ROUND(SUMIFS('Bank Lines'!$E$5:$E$1640,'Bank Lines'!$G$5:$G$1640,A605,'Bank Lines'!$J$5:$J$1640,1,'Bank Lines'!$C$5:$C$1640,"&lt;="&amp;Cover!$C$14),2)</f>
        <v>1296.69</v>
      </c>
      <c r="T605" s="9">
        <f>ROUND(SUMIFS('Odoo Items'!$G$5:$G$4331,'Odoo Items'!$J$5:$J$4331,A605,'Odoo Items'!$C$5:$C$4331,"&lt;="&amp;Cover!$C$14),2)</f>
        <v>1296.69</v>
      </c>
      <c r="U605">
        <f>COUNTIFS('Bank Lines'!$G$5:$G$1640,A605,'Bank Lines'!$J$5:$J$1640,1,'Bank Lines'!$C$5:$C$1640,"&lt;="&amp;Cover!$C$14)</f>
        <v>1</v>
      </c>
      <c r="V605">
        <f>COUNTIFS('Odoo Items'!$J$5:$J$4331,A605,'Odoo Items'!$C$5:$C$4331,"&lt;="&amp;Cover!$C$14)</f>
        <v>1</v>
      </c>
      <c r="W605" t="str">
        <f>IF(AND(U605=0,V605=0),"",IF(U605=0,"ODOO-ONLY",IF(V605=0,"BANK-ONLY","BOTH")))</f>
        <v>BOTH</v>
      </c>
      <c r="X605" s="9">
        <f>IF(W605="BOTH",ROUND(S605-T605,2),0)</f>
        <v>0</v>
      </c>
      <c r="Y605" s="9">
        <f>ROUND(SUMIFS('Bank Lines'!$E$5:$E$1640,'Bank Lines'!$G$5:$G$1640,A605,'Bank Lines'!$J$5:$J$1640,1,'Bank Lines'!$C$5:$C$1640,"&lt;="&amp;Cover!$C$15),2)</f>
        <v>1296.69</v>
      </c>
      <c r="Z605" s="9">
        <f>ROUND(SUMIFS('Odoo Items'!$G$5:$G$4331,'Odoo Items'!$J$5:$J$4331,A605,'Odoo Items'!$C$5:$C$4331,"&lt;="&amp;Cover!$C$15),2)</f>
        <v>1296.69</v>
      </c>
      <c r="AA605">
        <f>COUNTIFS('Bank Lines'!$G$5:$G$1640,A605,'Bank Lines'!$J$5:$J$1640,1,'Bank Lines'!$C$5:$C$1640,"&lt;="&amp;Cover!$C$15)</f>
        <v>1</v>
      </c>
      <c r="AB605">
        <f>COUNTIFS('Odoo Items'!$J$5:$J$4331,A605,'Odoo Items'!$C$5:$C$4331,"&lt;="&amp;Cover!$C$15)</f>
        <v>1</v>
      </c>
      <c r="AC605" t="str">
        <f>IF(AND(AA605=0,AB605=0),"",IF(AA605=0,"ODOO-ONLY",IF(AB605=0,"BANK-ONLY","BOTH")))</f>
        <v>BOTH</v>
      </c>
      <c r="AD605" s="9">
        <f>IF(AC605="BOTH",ROUND(Y605-Z605,2),0)</f>
        <v>0</v>
      </c>
    </row>
    <row r="606">
      <c r="A606" t="inlineStr">
        <is>
          <t>G00602</t>
        </is>
      </c>
      <c r="B606" t="inlineStr">
        <is>
          <t>MER</t>
        </is>
      </c>
      <c r="C606" t="inlineStr">
        <is>
          <t>R08</t>
        </is>
      </c>
      <c r="D606" t="inlineStr">
        <is>
          <t>MATCH</t>
        </is>
      </c>
      <c r="E606" t="inlineStr"/>
      <c r="G606" t="inlineStr"/>
      <c r="H606">
        <f>COUNTIFS('Bank Lines'!$G$5:$G$1640,A606,'Bank Lines'!$J$5:$J$1640,1)</f>
        <v>1</v>
      </c>
      <c r="I606">
        <f>COUNTIFS('Odoo Items'!$J$5:$J$4331,A606)</f>
        <v>1</v>
      </c>
      <c r="J606" s="9">
        <f>ROUND(SUMIFS('Bank Lines'!$E$5:$E$1640,'Bank Lines'!$G$5:$G$1640,A606,'Bank Lines'!$J$5:$J$1640,1),2)</f>
        <v>3331.23</v>
      </c>
      <c r="K606" s="9">
        <f>ROUND(SUMIFS('Odoo Items'!$G$5:$G$4331,'Odoo Items'!$J$5:$J$4331,A606),2)</f>
        <v>3331.23</v>
      </c>
      <c r="L606" s="9">
        <f>ROUND(J606-K606,2)</f>
        <v>0</v>
      </c>
      <c r="M606" s="9">
        <f>ROUND(SUMIFS('Bank Lines'!$E$5:$E$1640,'Bank Lines'!$G$5:$G$1640,A606,'Bank Lines'!$J$5:$J$1640,1,'Bank Lines'!$C$5:$C$1640,"&lt;="&amp;Cover!$C$13),2)</f>
        <v>3331.23</v>
      </c>
      <c r="N606" s="9">
        <f>ROUND(SUMIFS('Odoo Items'!$G$5:$G$4331,'Odoo Items'!$J$5:$J$4331,A606,'Odoo Items'!$C$5:$C$4331,"&lt;="&amp;Cover!$C$13),2)</f>
        <v>3331.23</v>
      </c>
      <c r="O606">
        <f>COUNTIFS('Bank Lines'!$G$5:$G$1640,A606,'Bank Lines'!$J$5:$J$1640,1,'Bank Lines'!$C$5:$C$1640,"&lt;="&amp;Cover!$C$13)</f>
        <v>1</v>
      </c>
      <c r="P606">
        <f>COUNTIFS('Odoo Items'!$J$5:$J$4331,A606,'Odoo Items'!$C$5:$C$4331,"&lt;="&amp;Cover!$C$13)</f>
        <v>1</v>
      </c>
      <c r="Q606" t="str">
        <f>IF(AND(O606=0,P606=0),"",IF(O606=0,"ODOO-ONLY",IF(P606=0,"BANK-ONLY","BOTH")))</f>
        <v>BOTH</v>
      </c>
      <c r="R606" s="9">
        <f>IF(Q606="BOTH",ROUND(M606-N606,2),0)</f>
        <v>0</v>
      </c>
      <c r="S606" s="9">
        <f>ROUND(SUMIFS('Bank Lines'!$E$5:$E$1640,'Bank Lines'!$G$5:$G$1640,A606,'Bank Lines'!$J$5:$J$1640,1,'Bank Lines'!$C$5:$C$1640,"&lt;="&amp;Cover!$C$14),2)</f>
        <v>3331.23</v>
      </c>
      <c r="T606" s="9">
        <f>ROUND(SUMIFS('Odoo Items'!$G$5:$G$4331,'Odoo Items'!$J$5:$J$4331,A606,'Odoo Items'!$C$5:$C$4331,"&lt;="&amp;Cover!$C$14),2)</f>
        <v>3331.23</v>
      </c>
      <c r="U606">
        <f>COUNTIFS('Bank Lines'!$G$5:$G$1640,A606,'Bank Lines'!$J$5:$J$1640,1,'Bank Lines'!$C$5:$C$1640,"&lt;="&amp;Cover!$C$14)</f>
        <v>1</v>
      </c>
      <c r="V606">
        <f>COUNTIFS('Odoo Items'!$J$5:$J$4331,A606,'Odoo Items'!$C$5:$C$4331,"&lt;="&amp;Cover!$C$14)</f>
        <v>1</v>
      </c>
      <c r="W606" t="str">
        <f>IF(AND(U606=0,V606=0),"",IF(U606=0,"ODOO-ONLY",IF(V606=0,"BANK-ONLY","BOTH")))</f>
        <v>BOTH</v>
      </c>
      <c r="X606" s="9">
        <f>IF(W606="BOTH",ROUND(S606-T606,2),0)</f>
        <v>0</v>
      </c>
      <c r="Y606" s="9">
        <f>ROUND(SUMIFS('Bank Lines'!$E$5:$E$1640,'Bank Lines'!$G$5:$G$1640,A606,'Bank Lines'!$J$5:$J$1640,1,'Bank Lines'!$C$5:$C$1640,"&lt;="&amp;Cover!$C$15),2)</f>
        <v>3331.23</v>
      </c>
      <c r="Z606" s="9">
        <f>ROUND(SUMIFS('Odoo Items'!$G$5:$G$4331,'Odoo Items'!$J$5:$J$4331,A606,'Odoo Items'!$C$5:$C$4331,"&lt;="&amp;Cover!$C$15),2)</f>
        <v>3331.23</v>
      </c>
      <c r="AA606">
        <f>COUNTIFS('Bank Lines'!$G$5:$G$1640,A606,'Bank Lines'!$J$5:$J$1640,1,'Bank Lines'!$C$5:$C$1640,"&lt;="&amp;Cover!$C$15)</f>
        <v>1</v>
      </c>
      <c r="AB606">
        <f>COUNTIFS('Odoo Items'!$J$5:$J$4331,A606,'Odoo Items'!$C$5:$C$4331,"&lt;="&amp;Cover!$C$15)</f>
        <v>1</v>
      </c>
      <c r="AC606" t="str">
        <f>IF(AND(AA606=0,AB606=0),"",IF(AA606=0,"ODOO-ONLY",IF(AB606=0,"BANK-ONLY","BOTH")))</f>
        <v>BOTH</v>
      </c>
      <c r="AD606" s="9">
        <f>IF(AC606="BOTH",ROUND(Y606-Z606,2),0)</f>
        <v>0</v>
      </c>
    </row>
    <row r="607">
      <c r="A607" t="inlineStr">
        <is>
          <t>G00603</t>
        </is>
      </c>
      <c r="B607" t="inlineStr">
        <is>
          <t>MER</t>
        </is>
      </c>
      <c r="C607" t="inlineStr">
        <is>
          <t>R08</t>
        </is>
      </c>
      <c r="D607" t="inlineStr">
        <is>
          <t>MATCH</t>
        </is>
      </c>
      <c r="E607" t="inlineStr"/>
      <c r="G607" t="inlineStr"/>
      <c r="H607">
        <f>COUNTIFS('Bank Lines'!$G$5:$G$1640,A607,'Bank Lines'!$J$5:$J$1640,1)</f>
        <v>1</v>
      </c>
      <c r="I607">
        <f>COUNTIFS('Odoo Items'!$J$5:$J$4331,A607)</f>
        <v>1</v>
      </c>
      <c r="J607" s="9">
        <f>ROUND(SUMIFS('Bank Lines'!$E$5:$E$1640,'Bank Lines'!$G$5:$G$1640,A607,'Bank Lines'!$J$5:$J$1640,1),2)</f>
        <v>2486.28</v>
      </c>
      <c r="K607" s="9">
        <f>ROUND(SUMIFS('Odoo Items'!$G$5:$G$4331,'Odoo Items'!$J$5:$J$4331,A607),2)</f>
        <v>2486.28</v>
      </c>
      <c r="L607" s="9">
        <f>ROUND(J607-K607,2)</f>
        <v>0</v>
      </c>
      <c r="M607" s="9">
        <f>ROUND(SUMIFS('Bank Lines'!$E$5:$E$1640,'Bank Lines'!$G$5:$G$1640,A607,'Bank Lines'!$J$5:$J$1640,1,'Bank Lines'!$C$5:$C$1640,"&lt;="&amp;Cover!$C$13),2)</f>
        <v>2486.28</v>
      </c>
      <c r="N607" s="9">
        <f>ROUND(SUMIFS('Odoo Items'!$G$5:$G$4331,'Odoo Items'!$J$5:$J$4331,A607,'Odoo Items'!$C$5:$C$4331,"&lt;="&amp;Cover!$C$13),2)</f>
        <v>2486.28</v>
      </c>
      <c r="O607">
        <f>COUNTIFS('Bank Lines'!$G$5:$G$1640,A607,'Bank Lines'!$J$5:$J$1640,1,'Bank Lines'!$C$5:$C$1640,"&lt;="&amp;Cover!$C$13)</f>
        <v>1</v>
      </c>
      <c r="P607">
        <f>COUNTIFS('Odoo Items'!$J$5:$J$4331,A607,'Odoo Items'!$C$5:$C$4331,"&lt;="&amp;Cover!$C$13)</f>
        <v>1</v>
      </c>
      <c r="Q607" t="str">
        <f>IF(AND(O607=0,P607=0),"",IF(O607=0,"ODOO-ONLY",IF(P607=0,"BANK-ONLY","BOTH")))</f>
        <v>BOTH</v>
      </c>
      <c r="R607" s="9">
        <f>IF(Q607="BOTH",ROUND(M607-N607,2),0)</f>
        <v>0</v>
      </c>
      <c r="S607" s="9">
        <f>ROUND(SUMIFS('Bank Lines'!$E$5:$E$1640,'Bank Lines'!$G$5:$G$1640,A607,'Bank Lines'!$J$5:$J$1640,1,'Bank Lines'!$C$5:$C$1640,"&lt;="&amp;Cover!$C$14),2)</f>
        <v>2486.28</v>
      </c>
      <c r="T607" s="9">
        <f>ROUND(SUMIFS('Odoo Items'!$G$5:$G$4331,'Odoo Items'!$J$5:$J$4331,A607,'Odoo Items'!$C$5:$C$4331,"&lt;="&amp;Cover!$C$14),2)</f>
        <v>2486.28</v>
      </c>
      <c r="U607">
        <f>COUNTIFS('Bank Lines'!$G$5:$G$1640,A607,'Bank Lines'!$J$5:$J$1640,1,'Bank Lines'!$C$5:$C$1640,"&lt;="&amp;Cover!$C$14)</f>
        <v>1</v>
      </c>
      <c r="V607">
        <f>COUNTIFS('Odoo Items'!$J$5:$J$4331,A607,'Odoo Items'!$C$5:$C$4331,"&lt;="&amp;Cover!$C$14)</f>
        <v>1</v>
      </c>
      <c r="W607" t="str">
        <f>IF(AND(U607=0,V607=0),"",IF(U607=0,"ODOO-ONLY",IF(V607=0,"BANK-ONLY","BOTH")))</f>
        <v>BOTH</v>
      </c>
      <c r="X607" s="9">
        <f>IF(W607="BOTH",ROUND(S607-T607,2),0)</f>
        <v>0</v>
      </c>
      <c r="Y607" s="9">
        <f>ROUND(SUMIFS('Bank Lines'!$E$5:$E$1640,'Bank Lines'!$G$5:$G$1640,A607,'Bank Lines'!$J$5:$J$1640,1,'Bank Lines'!$C$5:$C$1640,"&lt;="&amp;Cover!$C$15),2)</f>
        <v>2486.28</v>
      </c>
      <c r="Z607" s="9">
        <f>ROUND(SUMIFS('Odoo Items'!$G$5:$G$4331,'Odoo Items'!$J$5:$J$4331,A607,'Odoo Items'!$C$5:$C$4331,"&lt;="&amp;Cover!$C$15),2)</f>
        <v>2486.28</v>
      </c>
      <c r="AA607">
        <f>COUNTIFS('Bank Lines'!$G$5:$G$1640,A607,'Bank Lines'!$J$5:$J$1640,1,'Bank Lines'!$C$5:$C$1640,"&lt;="&amp;Cover!$C$15)</f>
        <v>1</v>
      </c>
      <c r="AB607">
        <f>COUNTIFS('Odoo Items'!$J$5:$J$4331,A607,'Odoo Items'!$C$5:$C$4331,"&lt;="&amp;Cover!$C$15)</f>
        <v>1</v>
      </c>
      <c r="AC607" t="str">
        <f>IF(AND(AA607=0,AB607=0),"",IF(AA607=0,"ODOO-ONLY",IF(AB607=0,"BANK-ONLY","BOTH")))</f>
        <v>BOTH</v>
      </c>
      <c r="AD607" s="9">
        <f>IF(AC607="BOTH",ROUND(Y607-Z607,2),0)</f>
        <v>0</v>
      </c>
    </row>
    <row r="608">
      <c r="A608" t="inlineStr">
        <is>
          <t>G00604</t>
        </is>
      </c>
      <c r="B608" t="inlineStr">
        <is>
          <t>MER</t>
        </is>
      </c>
      <c r="C608" t="inlineStr">
        <is>
          <t>R08</t>
        </is>
      </c>
      <c r="D608" t="inlineStr">
        <is>
          <t>MATCH</t>
        </is>
      </c>
      <c r="E608" t="inlineStr"/>
      <c r="G608" t="inlineStr"/>
      <c r="H608">
        <f>COUNTIFS('Bank Lines'!$G$5:$G$1640,A608,'Bank Lines'!$J$5:$J$1640,1)</f>
        <v>1</v>
      </c>
      <c r="I608">
        <f>COUNTIFS('Odoo Items'!$J$5:$J$4331,A608)</f>
        <v>1</v>
      </c>
      <c r="J608" s="9">
        <f>ROUND(SUMIFS('Bank Lines'!$E$5:$E$1640,'Bank Lines'!$G$5:$G$1640,A608,'Bank Lines'!$J$5:$J$1640,1),2)</f>
        <v>1391.59</v>
      </c>
      <c r="K608" s="9">
        <f>ROUND(SUMIFS('Odoo Items'!$G$5:$G$4331,'Odoo Items'!$J$5:$J$4331,A608),2)</f>
        <v>1391.59</v>
      </c>
      <c r="L608" s="9">
        <f>ROUND(J608-K608,2)</f>
        <v>0</v>
      </c>
      <c r="M608" s="9">
        <f>ROUND(SUMIFS('Bank Lines'!$E$5:$E$1640,'Bank Lines'!$G$5:$G$1640,A608,'Bank Lines'!$J$5:$J$1640,1,'Bank Lines'!$C$5:$C$1640,"&lt;="&amp;Cover!$C$13),2)</f>
        <v>1391.59</v>
      </c>
      <c r="N608" s="9">
        <f>ROUND(SUMIFS('Odoo Items'!$G$5:$G$4331,'Odoo Items'!$J$5:$J$4331,A608,'Odoo Items'!$C$5:$C$4331,"&lt;="&amp;Cover!$C$13),2)</f>
        <v>1391.59</v>
      </c>
      <c r="O608">
        <f>COUNTIFS('Bank Lines'!$G$5:$G$1640,A608,'Bank Lines'!$J$5:$J$1640,1,'Bank Lines'!$C$5:$C$1640,"&lt;="&amp;Cover!$C$13)</f>
        <v>1</v>
      </c>
      <c r="P608">
        <f>COUNTIFS('Odoo Items'!$J$5:$J$4331,A608,'Odoo Items'!$C$5:$C$4331,"&lt;="&amp;Cover!$C$13)</f>
        <v>1</v>
      </c>
      <c r="Q608" t="str">
        <f>IF(AND(O608=0,P608=0),"",IF(O608=0,"ODOO-ONLY",IF(P608=0,"BANK-ONLY","BOTH")))</f>
        <v>BOTH</v>
      </c>
      <c r="R608" s="9">
        <f>IF(Q608="BOTH",ROUND(M608-N608,2),0)</f>
        <v>0</v>
      </c>
      <c r="S608" s="9">
        <f>ROUND(SUMIFS('Bank Lines'!$E$5:$E$1640,'Bank Lines'!$G$5:$G$1640,A608,'Bank Lines'!$J$5:$J$1640,1,'Bank Lines'!$C$5:$C$1640,"&lt;="&amp;Cover!$C$14),2)</f>
        <v>1391.59</v>
      </c>
      <c r="T608" s="9">
        <f>ROUND(SUMIFS('Odoo Items'!$G$5:$G$4331,'Odoo Items'!$J$5:$J$4331,A608,'Odoo Items'!$C$5:$C$4331,"&lt;="&amp;Cover!$C$14),2)</f>
        <v>1391.59</v>
      </c>
      <c r="U608">
        <f>COUNTIFS('Bank Lines'!$G$5:$G$1640,A608,'Bank Lines'!$J$5:$J$1640,1,'Bank Lines'!$C$5:$C$1640,"&lt;="&amp;Cover!$C$14)</f>
        <v>1</v>
      </c>
      <c r="V608">
        <f>COUNTIFS('Odoo Items'!$J$5:$J$4331,A608,'Odoo Items'!$C$5:$C$4331,"&lt;="&amp;Cover!$C$14)</f>
        <v>1</v>
      </c>
      <c r="W608" t="str">
        <f>IF(AND(U608=0,V608=0),"",IF(U608=0,"ODOO-ONLY",IF(V608=0,"BANK-ONLY","BOTH")))</f>
        <v>BOTH</v>
      </c>
      <c r="X608" s="9">
        <f>IF(W608="BOTH",ROUND(S608-T608,2),0)</f>
        <v>0</v>
      </c>
      <c r="Y608" s="9">
        <f>ROUND(SUMIFS('Bank Lines'!$E$5:$E$1640,'Bank Lines'!$G$5:$G$1640,A608,'Bank Lines'!$J$5:$J$1640,1,'Bank Lines'!$C$5:$C$1640,"&lt;="&amp;Cover!$C$15),2)</f>
        <v>1391.59</v>
      </c>
      <c r="Z608" s="9">
        <f>ROUND(SUMIFS('Odoo Items'!$G$5:$G$4331,'Odoo Items'!$J$5:$J$4331,A608,'Odoo Items'!$C$5:$C$4331,"&lt;="&amp;Cover!$C$15),2)</f>
        <v>1391.59</v>
      </c>
      <c r="AA608">
        <f>COUNTIFS('Bank Lines'!$G$5:$G$1640,A608,'Bank Lines'!$J$5:$J$1640,1,'Bank Lines'!$C$5:$C$1640,"&lt;="&amp;Cover!$C$15)</f>
        <v>1</v>
      </c>
      <c r="AB608">
        <f>COUNTIFS('Odoo Items'!$J$5:$J$4331,A608,'Odoo Items'!$C$5:$C$4331,"&lt;="&amp;Cover!$C$15)</f>
        <v>1</v>
      </c>
      <c r="AC608" t="str">
        <f>IF(AND(AA608=0,AB608=0),"",IF(AA608=0,"ODOO-ONLY",IF(AB608=0,"BANK-ONLY","BOTH")))</f>
        <v>BOTH</v>
      </c>
      <c r="AD608" s="9">
        <f>IF(AC608="BOTH",ROUND(Y608-Z608,2),0)</f>
        <v>0</v>
      </c>
    </row>
    <row r="609">
      <c r="A609" t="inlineStr">
        <is>
          <t>G00605</t>
        </is>
      </c>
      <c r="B609" t="inlineStr">
        <is>
          <t>MER</t>
        </is>
      </c>
      <c r="C609" t="inlineStr">
        <is>
          <t>R08</t>
        </is>
      </c>
      <c r="D609" t="inlineStr">
        <is>
          <t>MATCH</t>
        </is>
      </c>
      <c r="E609" t="inlineStr"/>
      <c r="G609" t="inlineStr"/>
      <c r="H609">
        <f>COUNTIFS('Bank Lines'!$G$5:$G$1640,A609,'Bank Lines'!$J$5:$J$1640,1)</f>
        <v>1</v>
      </c>
      <c r="I609">
        <f>COUNTIFS('Odoo Items'!$J$5:$J$4331,A609)</f>
        <v>1</v>
      </c>
      <c r="J609" s="9">
        <f>ROUND(SUMIFS('Bank Lines'!$E$5:$E$1640,'Bank Lines'!$G$5:$G$1640,A609,'Bank Lines'!$J$5:$J$1640,1),2)</f>
        <v>2210.29</v>
      </c>
      <c r="K609" s="9">
        <f>ROUND(SUMIFS('Odoo Items'!$G$5:$G$4331,'Odoo Items'!$J$5:$J$4331,A609),2)</f>
        <v>2210.29</v>
      </c>
      <c r="L609" s="9">
        <f>ROUND(J609-K609,2)</f>
        <v>0</v>
      </c>
      <c r="M609" s="9">
        <f>ROUND(SUMIFS('Bank Lines'!$E$5:$E$1640,'Bank Lines'!$G$5:$G$1640,A609,'Bank Lines'!$J$5:$J$1640,1,'Bank Lines'!$C$5:$C$1640,"&lt;="&amp;Cover!$C$13),2)</f>
        <v>2210.29</v>
      </c>
      <c r="N609" s="9">
        <f>ROUND(SUMIFS('Odoo Items'!$G$5:$G$4331,'Odoo Items'!$J$5:$J$4331,A609,'Odoo Items'!$C$5:$C$4331,"&lt;="&amp;Cover!$C$13),2)</f>
        <v>2210.29</v>
      </c>
      <c r="O609">
        <f>COUNTIFS('Bank Lines'!$G$5:$G$1640,A609,'Bank Lines'!$J$5:$J$1640,1,'Bank Lines'!$C$5:$C$1640,"&lt;="&amp;Cover!$C$13)</f>
        <v>1</v>
      </c>
      <c r="P609">
        <f>COUNTIFS('Odoo Items'!$J$5:$J$4331,A609,'Odoo Items'!$C$5:$C$4331,"&lt;="&amp;Cover!$C$13)</f>
        <v>1</v>
      </c>
      <c r="Q609" t="str">
        <f>IF(AND(O609=0,P609=0),"",IF(O609=0,"ODOO-ONLY",IF(P609=0,"BANK-ONLY","BOTH")))</f>
        <v>BOTH</v>
      </c>
      <c r="R609" s="9">
        <f>IF(Q609="BOTH",ROUND(M609-N609,2),0)</f>
        <v>0</v>
      </c>
      <c r="S609" s="9">
        <f>ROUND(SUMIFS('Bank Lines'!$E$5:$E$1640,'Bank Lines'!$G$5:$G$1640,A609,'Bank Lines'!$J$5:$J$1640,1,'Bank Lines'!$C$5:$C$1640,"&lt;="&amp;Cover!$C$14),2)</f>
        <v>2210.29</v>
      </c>
      <c r="T609" s="9">
        <f>ROUND(SUMIFS('Odoo Items'!$G$5:$G$4331,'Odoo Items'!$J$5:$J$4331,A609,'Odoo Items'!$C$5:$C$4331,"&lt;="&amp;Cover!$C$14),2)</f>
        <v>2210.29</v>
      </c>
      <c r="U609">
        <f>COUNTIFS('Bank Lines'!$G$5:$G$1640,A609,'Bank Lines'!$J$5:$J$1640,1,'Bank Lines'!$C$5:$C$1640,"&lt;="&amp;Cover!$C$14)</f>
        <v>1</v>
      </c>
      <c r="V609">
        <f>COUNTIFS('Odoo Items'!$J$5:$J$4331,A609,'Odoo Items'!$C$5:$C$4331,"&lt;="&amp;Cover!$C$14)</f>
        <v>1</v>
      </c>
      <c r="W609" t="str">
        <f>IF(AND(U609=0,V609=0),"",IF(U609=0,"ODOO-ONLY",IF(V609=0,"BANK-ONLY","BOTH")))</f>
        <v>BOTH</v>
      </c>
      <c r="X609" s="9">
        <f>IF(W609="BOTH",ROUND(S609-T609,2),0)</f>
        <v>0</v>
      </c>
      <c r="Y609" s="9">
        <f>ROUND(SUMIFS('Bank Lines'!$E$5:$E$1640,'Bank Lines'!$G$5:$G$1640,A609,'Bank Lines'!$J$5:$J$1640,1,'Bank Lines'!$C$5:$C$1640,"&lt;="&amp;Cover!$C$15),2)</f>
        <v>2210.29</v>
      </c>
      <c r="Z609" s="9">
        <f>ROUND(SUMIFS('Odoo Items'!$G$5:$G$4331,'Odoo Items'!$J$5:$J$4331,A609,'Odoo Items'!$C$5:$C$4331,"&lt;="&amp;Cover!$C$15),2)</f>
        <v>2210.29</v>
      </c>
      <c r="AA609">
        <f>COUNTIFS('Bank Lines'!$G$5:$G$1640,A609,'Bank Lines'!$J$5:$J$1640,1,'Bank Lines'!$C$5:$C$1640,"&lt;="&amp;Cover!$C$15)</f>
        <v>1</v>
      </c>
      <c r="AB609">
        <f>COUNTIFS('Odoo Items'!$J$5:$J$4331,A609,'Odoo Items'!$C$5:$C$4331,"&lt;="&amp;Cover!$C$15)</f>
        <v>1</v>
      </c>
      <c r="AC609" t="str">
        <f>IF(AND(AA609=0,AB609=0),"",IF(AA609=0,"ODOO-ONLY",IF(AB609=0,"BANK-ONLY","BOTH")))</f>
        <v>BOTH</v>
      </c>
      <c r="AD609" s="9">
        <f>IF(AC609="BOTH",ROUND(Y609-Z609,2),0)</f>
        <v>0</v>
      </c>
    </row>
    <row r="610">
      <c r="A610" t="inlineStr">
        <is>
          <t>G00606</t>
        </is>
      </c>
      <c r="B610" t="inlineStr">
        <is>
          <t>MER</t>
        </is>
      </c>
      <c r="C610" t="inlineStr">
        <is>
          <t>R08</t>
        </is>
      </c>
      <c r="D610" t="inlineStr">
        <is>
          <t>MATCH</t>
        </is>
      </c>
      <c r="E610" t="inlineStr"/>
      <c r="G610" t="inlineStr"/>
      <c r="H610">
        <f>COUNTIFS('Bank Lines'!$G$5:$G$1640,A610,'Bank Lines'!$J$5:$J$1640,1)</f>
        <v>1</v>
      </c>
      <c r="I610">
        <f>COUNTIFS('Odoo Items'!$J$5:$J$4331,A610)</f>
        <v>1</v>
      </c>
      <c r="J610" s="9">
        <f>ROUND(SUMIFS('Bank Lines'!$E$5:$E$1640,'Bank Lines'!$G$5:$G$1640,A610,'Bank Lines'!$J$5:$J$1640,1),2)</f>
        <v>1631.84</v>
      </c>
      <c r="K610" s="9">
        <f>ROUND(SUMIFS('Odoo Items'!$G$5:$G$4331,'Odoo Items'!$J$5:$J$4331,A610),2)</f>
        <v>1631.84</v>
      </c>
      <c r="L610" s="9">
        <f>ROUND(J610-K610,2)</f>
        <v>0</v>
      </c>
      <c r="M610" s="9">
        <f>ROUND(SUMIFS('Bank Lines'!$E$5:$E$1640,'Bank Lines'!$G$5:$G$1640,A610,'Bank Lines'!$J$5:$J$1640,1,'Bank Lines'!$C$5:$C$1640,"&lt;="&amp;Cover!$C$13),2)</f>
        <v>1631.84</v>
      </c>
      <c r="N610" s="9">
        <f>ROUND(SUMIFS('Odoo Items'!$G$5:$G$4331,'Odoo Items'!$J$5:$J$4331,A610,'Odoo Items'!$C$5:$C$4331,"&lt;="&amp;Cover!$C$13),2)</f>
        <v>1631.84</v>
      </c>
      <c r="O610">
        <f>COUNTIFS('Bank Lines'!$G$5:$G$1640,A610,'Bank Lines'!$J$5:$J$1640,1,'Bank Lines'!$C$5:$C$1640,"&lt;="&amp;Cover!$C$13)</f>
        <v>1</v>
      </c>
      <c r="P610">
        <f>COUNTIFS('Odoo Items'!$J$5:$J$4331,A610,'Odoo Items'!$C$5:$C$4331,"&lt;="&amp;Cover!$C$13)</f>
        <v>1</v>
      </c>
      <c r="Q610" t="str">
        <f>IF(AND(O610=0,P610=0),"",IF(O610=0,"ODOO-ONLY",IF(P610=0,"BANK-ONLY","BOTH")))</f>
        <v>BOTH</v>
      </c>
      <c r="R610" s="9">
        <f>IF(Q610="BOTH",ROUND(M610-N610,2),0)</f>
        <v>0</v>
      </c>
      <c r="S610" s="9">
        <f>ROUND(SUMIFS('Bank Lines'!$E$5:$E$1640,'Bank Lines'!$G$5:$G$1640,A610,'Bank Lines'!$J$5:$J$1640,1,'Bank Lines'!$C$5:$C$1640,"&lt;="&amp;Cover!$C$14),2)</f>
        <v>1631.84</v>
      </c>
      <c r="T610" s="9">
        <f>ROUND(SUMIFS('Odoo Items'!$G$5:$G$4331,'Odoo Items'!$J$5:$J$4331,A610,'Odoo Items'!$C$5:$C$4331,"&lt;="&amp;Cover!$C$14),2)</f>
        <v>1631.84</v>
      </c>
      <c r="U610">
        <f>COUNTIFS('Bank Lines'!$G$5:$G$1640,A610,'Bank Lines'!$J$5:$J$1640,1,'Bank Lines'!$C$5:$C$1640,"&lt;="&amp;Cover!$C$14)</f>
        <v>1</v>
      </c>
      <c r="V610">
        <f>COUNTIFS('Odoo Items'!$J$5:$J$4331,A610,'Odoo Items'!$C$5:$C$4331,"&lt;="&amp;Cover!$C$14)</f>
        <v>1</v>
      </c>
      <c r="W610" t="str">
        <f>IF(AND(U610=0,V610=0),"",IF(U610=0,"ODOO-ONLY",IF(V610=0,"BANK-ONLY","BOTH")))</f>
        <v>BOTH</v>
      </c>
      <c r="X610" s="9">
        <f>IF(W610="BOTH",ROUND(S610-T610,2),0)</f>
        <v>0</v>
      </c>
      <c r="Y610" s="9">
        <f>ROUND(SUMIFS('Bank Lines'!$E$5:$E$1640,'Bank Lines'!$G$5:$G$1640,A610,'Bank Lines'!$J$5:$J$1640,1,'Bank Lines'!$C$5:$C$1640,"&lt;="&amp;Cover!$C$15),2)</f>
        <v>1631.84</v>
      </c>
      <c r="Z610" s="9">
        <f>ROUND(SUMIFS('Odoo Items'!$G$5:$G$4331,'Odoo Items'!$J$5:$J$4331,A610,'Odoo Items'!$C$5:$C$4331,"&lt;="&amp;Cover!$C$15),2)</f>
        <v>1631.84</v>
      </c>
      <c r="AA610">
        <f>COUNTIFS('Bank Lines'!$G$5:$G$1640,A610,'Bank Lines'!$J$5:$J$1640,1,'Bank Lines'!$C$5:$C$1640,"&lt;="&amp;Cover!$C$15)</f>
        <v>1</v>
      </c>
      <c r="AB610">
        <f>COUNTIFS('Odoo Items'!$J$5:$J$4331,A610,'Odoo Items'!$C$5:$C$4331,"&lt;="&amp;Cover!$C$15)</f>
        <v>1</v>
      </c>
      <c r="AC610" t="str">
        <f>IF(AND(AA610=0,AB610=0),"",IF(AA610=0,"ODOO-ONLY",IF(AB610=0,"BANK-ONLY","BOTH")))</f>
        <v>BOTH</v>
      </c>
      <c r="AD610" s="9">
        <f>IF(AC610="BOTH",ROUND(Y610-Z610,2),0)</f>
        <v>0</v>
      </c>
    </row>
    <row r="611">
      <c r="A611" t="inlineStr">
        <is>
          <t>G00607</t>
        </is>
      </c>
      <c r="B611" t="inlineStr">
        <is>
          <t>MER</t>
        </is>
      </c>
      <c r="C611" t="inlineStr">
        <is>
          <t>R08</t>
        </is>
      </c>
      <c r="D611" t="inlineStr">
        <is>
          <t>MATCH</t>
        </is>
      </c>
      <c r="E611" t="inlineStr"/>
      <c r="G611" t="inlineStr"/>
      <c r="H611">
        <f>COUNTIFS('Bank Lines'!$G$5:$G$1640,A611,'Bank Lines'!$J$5:$J$1640,1)</f>
        <v>1</v>
      </c>
      <c r="I611">
        <f>COUNTIFS('Odoo Items'!$J$5:$J$4331,A611)</f>
        <v>1</v>
      </c>
      <c r="J611" s="9">
        <f>ROUND(SUMIFS('Bank Lines'!$E$5:$E$1640,'Bank Lines'!$G$5:$G$1640,A611,'Bank Lines'!$J$5:$J$1640,1),2)</f>
        <v>3219.28</v>
      </c>
      <c r="K611" s="9">
        <f>ROUND(SUMIFS('Odoo Items'!$G$5:$G$4331,'Odoo Items'!$J$5:$J$4331,A611),2)</f>
        <v>3219.28</v>
      </c>
      <c r="L611" s="9">
        <f>ROUND(J611-K611,2)</f>
        <v>0</v>
      </c>
      <c r="M611" s="9">
        <f>ROUND(SUMIFS('Bank Lines'!$E$5:$E$1640,'Bank Lines'!$G$5:$G$1640,A611,'Bank Lines'!$J$5:$J$1640,1,'Bank Lines'!$C$5:$C$1640,"&lt;="&amp;Cover!$C$13),2)</f>
        <v>3219.28</v>
      </c>
      <c r="N611" s="9">
        <f>ROUND(SUMIFS('Odoo Items'!$G$5:$G$4331,'Odoo Items'!$J$5:$J$4331,A611,'Odoo Items'!$C$5:$C$4331,"&lt;="&amp;Cover!$C$13),2)</f>
        <v>3219.28</v>
      </c>
      <c r="O611">
        <f>COUNTIFS('Bank Lines'!$G$5:$G$1640,A611,'Bank Lines'!$J$5:$J$1640,1,'Bank Lines'!$C$5:$C$1640,"&lt;="&amp;Cover!$C$13)</f>
        <v>1</v>
      </c>
      <c r="P611">
        <f>COUNTIFS('Odoo Items'!$J$5:$J$4331,A611,'Odoo Items'!$C$5:$C$4331,"&lt;="&amp;Cover!$C$13)</f>
        <v>1</v>
      </c>
      <c r="Q611" t="str">
        <f>IF(AND(O611=0,P611=0),"",IF(O611=0,"ODOO-ONLY",IF(P611=0,"BANK-ONLY","BOTH")))</f>
        <v>BOTH</v>
      </c>
      <c r="R611" s="9">
        <f>IF(Q611="BOTH",ROUND(M611-N611,2),0)</f>
        <v>0</v>
      </c>
      <c r="S611" s="9">
        <f>ROUND(SUMIFS('Bank Lines'!$E$5:$E$1640,'Bank Lines'!$G$5:$G$1640,A611,'Bank Lines'!$J$5:$J$1640,1,'Bank Lines'!$C$5:$C$1640,"&lt;="&amp;Cover!$C$14),2)</f>
        <v>3219.28</v>
      </c>
      <c r="T611" s="9">
        <f>ROUND(SUMIFS('Odoo Items'!$G$5:$G$4331,'Odoo Items'!$J$5:$J$4331,A611,'Odoo Items'!$C$5:$C$4331,"&lt;="&amp;Cover!$C$14),2)</f>
        <v>3219.28</v>
      </c>
      <c r="U611">
        <f>COUNTIFS('Bank Lines'!$G$5:$G$1640,A611,'Bank Lines'!$J$5:$J$1640,1,'Bank Lines'!$C$5:$C$1640,"&lt;="&amp;Cover!$C$14)</f>
        <v>1</v>
      </c>
      <c r="V611">
        <f>COUNTIFS('Odoo Items'!$J$5:$J$4331,A611,'Odoo Items'!$C$5:$C$4331,"&lt;="&amp;Cover!$C$14)</f>
        <v>1</v>
      </c>
      <c r="W611" t="str">
        <f>IF(AND(U611=0,V611=0),"",IF(U611=0,"ODOO-ONLY",IF(V611=0,"BANK-ONLY","BOTH")))</f>
        <v>BOTH</v>
      </c>
      <c r="X611" s="9">
        <f>IF(W611="BOTH",ROUND(S611-T611,2),0)</f>
        <v>0</v>
      </c>
      <c r="Y611" s="9">
        <f>ROUND(SUMIFS('Bank Lines'!$E$5:$E$1640,'Bank Lines'!$G$5:$G$1640,A611,'Bank Lines'!$J$5:$J$1640,1,'Bank Lines'!$C$5:$C$1640,"&lt;="&amp;Cover!$C$15),2)</f>
        <v>3219.28</v>
      </c>
      <c r="Z611" s="9">
        <f>ROUND(SUMIFS('Odoo Items'!$G$5:$G$4331,'Odoo Items'!$J$5:$J$4331,A611,'Odoo Items'!$C$5:$C$4331,"&lt;="&amp;Cover!$C$15),2)</f>
        <v>3219.28</v>
      </c>
      <c r="AA611">
        <f>COUNTIFS('Bank Lines'!$G$5:$G$1640,A611,'Bank Lines'!$J$5:$J$1640,1,'Bank Lines'!$C$5:$C$1640,"&lt;="&amp;Cover!$C$15)</f>
        <v>1</v>
      </c>
      <c r="AB611">
        <f>COUNTIFS('Odoo Items'!$J$5:$J$4331,A611,'Odoo Items'!$C$5:$C$4331,"&lt;="&amp;Cover!$C$15)</f>
        <v>1</v>
      </c>
      <c r="AC611" t="str">
        <f>IF(AND(AA611=0,AB611=0),"",IF(AA611=0,"ODOO-ONLY",IF(AB611=0,"BANK-ONLY","BOTH")))</f>
        <v>BOTH</v>
      </c>
      <c r="AD611" s="9">
        <f>IF(AC611="BOTH",ROUND(Y611-Z611,2),0)</f>
        <v>0</v>
      </c>
    </row>
    <row r="612">
      <c r="A612" t="inlineStr">
        <is>
          <t>G00608</t>
        </is>
      </c>
      <c r="B612" t="inlineStr">
        <is>
          <t>MER</t>
        </is>
      </c>
      <c r="C612" t="inlineStr">
        <is>
          <t>R08</t>
        </is>
      </c>
      <c r="D612" t="inlineStr">
        <is>
          <t>MATCH</t>
        </is>
      </c>
      <c r="E612" t="inlineStr"/>
      <c r="G612" t="inlineStr"/>
      <c r="H612">
        <f>COUNTIFS('Bank Lines'!$G$5:$G$1640,A612,'Bank Lines'!$J$5:$J$1640,1)</f>
        <v>1</v>
      </c>
      <c r="I612">
        <f>COUNTIFS('Odoo Items'!$J$5:$J$4331,A612)</f>
        <v>1</v>
      </c>
      <c r="J612" s="9">
        <f>ROUND(SUMIFS('Bank Lines'!$E$5:$E$1640,'Bank Lines'!$G$5:$G$1640,A612,'Bank Lines'!$J$5:$J$1640,1),2)</f>
        <v>3112.88</v>
      </c>
      <c r="K612" s="9">
        <f>ROUND(SUMIFS('Odoo Items'!$G$5:$G$4331,'Odoo Items'!$J$5:$J$4331,A612),2)</f>
        <v>3112.88</v>
      </c>
      <c r="L612" s="9">
        <f>ROUND(J612-K612,2)</f>
        <v>0</v>
      </c>
      <c r="M612" s="9">
        <f>ROUND(SUMIFS('Bank Lines'!$E$5:$E$1640,'Bank Lines'!$G$5:$G$1640,A612,'Bank Lines'!$J$5:$J$1640,1,'Bank Lines'!$C$5:$C$1640,"&lt;="&amp;Cover!$C$13),2)</f>
        <v>3112.88</v>
      </c>
      <c r="N612" s="9">
        <f>ROUND(SUMIFS('Odoo Items'!$G$5:$G$4331,'Odoo Items'!$J$5:$J$4331,A612,'Odoo Items'!$C$5:$C$4331,"&lt;="&amp;Cover!$C$13),2)</f>
        <v>3112.88</v>
      </c>
      <c r="O612">
        <f>COUNTIFS('Bank Lines'!$G$5:$G$1640,A612,'Bank Lines'!$J$5:$J$1640,1,'Bank Lines'!$C$5:$C$1640,"&lt;="&amp;Cover!$C$13)</f>
        <v>1</v>
      </c>
      <c r="P612">
        <f>COUNTIFS('Odoo Items'!$J$5:$J$4331,A612,'Odoo Items'!$C$5:$C$4331,"&lt;="&amp;Cover!$C$13)</f>
        <v>1</v>
      </c>
      <c r="Q612" t="str">
        <f>IF(AND(O612=0,P612=0),"",IF(O612=0,"ODOO-ONLY",IF(P612=0,"BANK-ONLY","BOTH")))</f>
        <v>BOTH</v>
      </c>
      <c r="R612" s="9">
        <f>IF(Q612="BOTH",ROUND(M612-N612,2),0)</f>
        <v>0</v>
      </c>
      <c r="S612" s="9">
        <f>ROUND(SUMIFS('Bank Lines'!$E$5:$E$1640,'Bank Lines'!$G$5:$G$1640,A612,'Bank Lines'!$J$5:$J$1640,1,'Bank Lines'!$C$5:$C$1640,"&lt;="&amp;Cover!$C$14),2)</f>
        <v>3112.88</v>
      </c>
      <c r="T612" s="9">
        <f>ROUND(SUMIFS('Odoo Items'!$G$5:$G$4331,'Odoo Items'!$J$5:$J$4331,A612,'Odoo Items'!$C$5:$C$4331,"&lt;="&amp;Cover!$C$14),2)</f>
        <v>3112.88</v>
      </c>
      <c r="U612">
        <f>COUNTIFS('Bank Lines'!$G$5:$G$1640,A612,'Bank Lines'!$J$5:$J$1640,1,'Bank Lines'!$C$5:$C$1640,"&lt;="&amp;Cover!$C$14)</f>
        <v>1</v>
      </c>
      <c r="V612">
        <f>COUNTIFS('Odoo Items'!$J$5:$J$4331,A612,'Odoo Items'!$C$5:$C$4331,"&lt;="&amp;Cover!$C$14)</f>
        <v>1</v>
      </c>
      <c r="W612" t="str">
        <f>IF(AND(U612=0,V612=0),"",IF(U612=0,"ODOO-ONLY",IF(V612=0,"BANK-ONLY","BOTH")))</f>
        <v>BOTH</v>
      </c>
      <c r="X612" s="9">
        <f>IF(W612="BOTH",ROUND(S612-T612,2),0)</f>
        <v>0</v>
      </c>
      <c r="Y612" s="9">
        <f>ROUND(SUMIFS('Bank Lines'!$E$5:$E$1640,'Bank Lines'!$G$5:$G$1640,A612,'Bank Lines'!$J$5:$J$1640,1,'Bank Lines'!$C$5:$C$1640,"&lt;="&amp;Cover!$C$15),2)</f>
        <v>3112.88</v>
      </c>
      <c r="Z612" s="9">
        <f>ROUND(SUMIFS('Odoo Items'!$G$5:$G$4331,'Odoo Items'!$J$5:$J$4331,A612,'Odoo Items'!$C$5:$C$4331,"&lt;="&amp;Cover!$C$15),2)</f>
        <v>3112.88</v>
      </c>
      <c r="AA612">
        <f>COUNTIFS('Bank Lines'!$G$5:$G$1640,A612,'Bank Lines'!$J$5:$J$1640,1,'Bank Lines'!$C$5:$C$1640,"&lt;="&amp;Cover!$C$15)</f>
        <v>1</v>
      </c>
      <c r="AB612">
        <f>COUNTIFS('Odoo Items'!$J$5:$J$4331,A612,'Odoo Items'!$C$5:$C$4331,"&lt;="&amp;Cover!$C$15)</f>
        <v>1</v>
      </c>
      <c r="AC612" t="str">
        <f>IF(AND(AA612=0,AB612=0),"",IF(AA612=0,"ODOO-ONLY",IF(AB612=0,"BANK-ONLY","BOTH")))</f>
        <v>BOTH</v>
      </c>
      <c r="AD612" s="9">
        <f>IF(AC612="BOTH",ROUND(Y612-Z612,2),0)</f>
        <v>0</v>
      </c>
    </row>
    <row r="613">
      <c r="A613" t="inlineStr">
        <is>
          <t>G00609</t>
        </is>
      </c>
      <c r="B613" t="inlineStr">
        <is>
          <t>MER</t>
        </is>
      </c>
      <c r="C613" t="inlineStr">
        <is>
          <t>R08</t>
        </is>
      </c>
      <c r="D613" t="inlineStr">
        <is>
          <t>MATCH</t>
        </is>
      </c>
      <c r="E613" t="inlineStr"/>
      <c r="G613" t="inlineStr"/>
      <c r="H613">
        <f>COUNTIFS('Bank Lines'!$G$5:$G$1640,A613,'Bank Lines'!$J$5:$J$1640,1)</f>
        <v>1</v>
      </c>
      <c r="I613">
        <f>COUNTIFS('Odoo Items'!$J$5:$J$4331,A613)</f>
        <v>1</v>
      </c>
      <c r="J613" s="9">
        <f>ROUND(SUMIFS('Bank Lines'!$E$5:$E$1640,'Bank Lines'!$G$5:$G$1640,A613,'Bank Lines'!$J$5:$J$1640,1),2)</f>
        <v>985.56</v>
      </c>
      <c r="K613" s="9">
        <f>ROUND(SUMIFS('Odoo Items'!$G$5:$G$4331,'Odoo Items'!$J$5:$J$4331,A613),2)</f>
        <v>985.56</v>
      </c>
      <c r="L613" s="9">
        <f>ROUND(J613-K613,2)</f>
        <v>0</v>
      </c>
      <c r="M613" s="9">
        <f>ROUND(SUMIFS('Bank Lines'!$E$5:$E$1640,'Bank Lines'!$G$5:$G$1640,A613,'Bank Lines'!$J$5:$J$1640,1,'Bank Lines'!$C$5:$C$1640,"&lt;="&amp;Cover!$C$13),2)</f>
        <v>985.56</v>
      </c>
      <c r="N613" s="9">
        <f>ROUND(SUMIFS('Odoo Items'!$G$5:$G$4331,'Odoo Items'!$J$5:$J$4331,A613,'Odoo Items'!$C$5:$C$4331,"&lt;="&amp;Cover!$C$13),2)</f>
        <v>985.56</v>
      </c>
      <c r="O613">
        <f>COUNTIFS('Bank Lines'!$G$5:$G$1640,A613,'Bank Lines'!$J$5:$J$1640,1,'Bank Lines'!$C$5:$C$1640,"&lt;="&amp;Cover!$C$13)</f>
        <v>1</v>
      </c>
      <c r="P613">
        <f>COUNTIFS('Odoo Items'!$J$5:$J$4331,A613,'Odoo Items'!$C$5:$C$4331,"&lt;="&amp;Cover!$C$13)</f>
        <v>1</v>
      </c>
      <c r="Q613" t="str">
        <f>IF(AND(O613=0,P613=0),"",IF(O613=0,"ODOO-ONLY",IF(P613=0,"BANK-ONLY","BOTH")))</f>
        <v>BOTH</v>
      </c>
      <c r="R613" s="9">
        <f>IF(Q613="BOTH",ROUND(M613-N613,2),0)</f>
        <v>0</v>
      </c>
      <c r="S613" s="9">
        <f>ROUND(SUMIFS('Bank Lines'!$E$5:$E$1640,'Bank Lines'!$G$5:$G$1640,A613,'Bank Lines'!$J$5:$J$1640,1,'Bank Lines'!$C$5:$C$1640,"&lt;="&amp;Cover!$C$14),2)</f>
        <v>985.56</v>
      </c>
      <c r="T613" s="9">
        <f>ROUND(SUMIFS('Odoo Items'!$G$5:$G$4331,'Odoo Items'!$J$5:$J$4331,A613,'Odoo Items'!$C$5:$C$4331,"&lt;="&amp;Cover!$C$14),2)</f>
        <v>985.56</v>
      </c>
      <c r="U613">
        <f>COUNTIFS('Bank Lines'!$G$5:$G$1640,A613,'Bank Lines'!$J$5:$J$1640,1,'Bank Lines'!$C$5:$C$1640,"&lt;="&amp;Cover!$C$14)</f>
        <v>1</v>
      </c>
      <c r="V613">
        <f>COUNTIFS('Odoo Items'!$J$5:$J$4331,A613,'Odoo Items'!$C$5:$C$4331,"&lt;="&amp;Cover!$C$14)</f>
        <v>1</v>
      </c>
      <c r="W613" t="str">
        <f>IF(AND(U613=0,V613=0),"",IF(U613=0,"ODOO-ONLY",IF(V613=0,"BANK-ONLY","BOTH")))</f>
        <v>BOTH</v>
      </c>
      <c r="X613" s="9">
        <f>IF(W613="BOTH",ROUND(S613-T613,2),0)</f>
        <v>0</v>
      </c>
      <c r="Y613" s="9">
        <f>ROUND(SUMIFS('Bank Lines'!$E$5:$E$1640,'Bank Lines'!$G$5:$G$1640,A613,'Bank Lines'!$J$5:$J$1640,1,'Bank Lines'!$C$5:$C$1640,"&lt;="&amp;Cover!$C$15),2)</f>
        <v>985.56</v>
      </c>
      <c r="Z613" s="9">
        <f>ROUND(SUMIFS('Odoo Items'!$G$5:$G$4331,'Odoo Items'!$J$5:$J$4331,A613,'Odoo Items'!$C$5:$C$4331,"&lt;="&amp;Cover!$C$15),2)</f>
        <v>985.56</v>
      </c>
      <c r="AA613">
        <f>COUNTIFS('Bank Lines'!$G$5:$G$1640,A613,'Bank Lines'!$J$5:$J$1640,1,'Bank Lines'!$C$5:$C$1640,"&lt;="&amp;Cover!$C$15)</f>
        <v>1</v>
      </c>
      <c r="AB613">
        <f>COUNTIFS('Odoo Items'!$J$5:$J$4331,A613,'Odoo Items'!$C$5:$C$4331,"&lt;="&amp;Cover!$C$15)</f>
        <v>1</v>
      </c>
      <c r="AC613" t="str">
        <f>IF(AND(AA613=0,AB613=0),"",IF(AA613=0,"ODOO-ONLY",IF(AB613=0,"BANK-ONLY","BOTH")))</f>
        <v>BOTH</v>
      </c>
      <c r="AD613" s="9">
        <f>IF(AC613="BOTH",ROUND(Y613-Z613,2),0)</f>
        <v>0</v>
      </c>
    </row>
    <row r="614">
      <c r="A614" t="inlineStr">
        <is>
          <t>G00610</t>
        </is>
      </c>
      <c r="B614" t="inlineStr">
        <is>
          <t>MER</t>
        </is>
      </c>
      <c r="C614" t="inlineStr">
        <is>
          <t>R08</t>
        </is>
      </c>
      <c r="D614" t="inlineStr">
        <is>
          <t>MATCH</t>
        </is>
      </c>
      <c r="E614" t="inlineStr"/>
      <c r="G614" t="inlineStr"/>
      <c r="H614">
        <f>COUNTIFS('Bank Lines'!$G$5:$G$1640,A614,'Bank Lines'!$J$5:$J$1640,1)</f>
        <v>1</v>
      </c>
      <c r="I614">
        <f>COUNTIFS('Odoo Items'!$J$5:$J$4331,A614)</f>
        <v>1</v>
      </c>
      <c r="J614" s="9">
        <f>ROUND(SUMIFS('Bank Lines'!$E$5:$E$1640,'Bank Lines'!$G$5:$G$1640,A614,'Bank Lines'!$J$5:$J$1640,1),2)</f>
        <v>968.99</v>
      </c>
      <c r="K614" s="9">
        <f>ROUND(SUMIFS('Odoo Items'!$G$5:$G$4331,'Odoo Items'!$J$5:$J$4331,A614),2)</f>
        <v>968.99</v>
      </c>
      <c r="L614" s="9">
        <f>ROUND(J614-K614,2)</f>
        <v>0</v>
      </c>
      <c r="M614" s="9">
        <f>ROUND(SUMIFS('Bank Lines'!$E$5:$E$1640,'Bank Lines'!$G$5:$G$1640,A614,'Bank Lines'!$J$5:$J$1640,1,'Bank Lines'!$C$5:$C$1640,"&lt;="&amp;Cover!$C$13),2)</f>
        <v>968.99</v>
      </c>
      <c r="N614" s="9">
        <f>ROUND(SUMIFS('Odoo Items'!$G$5:$G$4331,'Odoo Items'!$J$5:$J$4331,A614,'Odoo Items'!$C$5:$C$4331,"&lt;="&amp;Cover!$C$13),2)</f>
        <v>968.99</v>
      </c>
      <c r="O614">
        <f>COUNTIFS('Bank Lines'!$G$5:$G$1640,A614,'Bank Lines'!$J$5:$J$1640,1,'Bank Lines'!$C$5:$C$1640,"&lt;="&amp;Cover!$C$13)</f>
        <v>1</v>
      </c>
      <c r="P614">
        <f>COUNTIFS('Odoo Items'!$J$5:$J$4331,A614,'Odoo Items'!$C$5:$C$4331,"&lt;="&amp;Cover!$C$13)</f>
        <v>1</v>
      </c>
      <c r="Q614" t="str">
        <f>IF(AND(O614=0,P614=0),"",IF(O614=0,"ODOO-ONLY",IF(P614=0,"BANK-ONLY","BOTH")))</f>
        <v>BOTH</v>
      </c>
      <c r="R614" s="9">
        <f>IF(Q614="BOTH",ROUND(M614-N614,2),0)</f>
        <v>0</v>
      </c>
      <c r="S614" s="9">
        <f>ROUND(SUMIFS('Bank Lines'!$E$5:$E$1640,'Bank Lines'!$G$5:$G$1640,A614,'Bank Lines'!$J$5:$J$1640,1,'Bank Lines'!$C$5:$C$1640,"&lt;="&amp;Cover!$C$14),2)</f>
        <v>968.99</v>
      </c>
      <c r="T614" s="9">
        <f>ROUND(SUMIFS('Odoo Items'!$G$5:$G$4331,'Odoo Items'!$J$5:$J$4331,A614,'Odoo Items'!$C$5:$C$4331,"&lt;="&amp;Cover!$C$14),2)</f>
        <v>968.99</v>
      </c>
      <c r="U614">
        <f>COUNTIFS('Bank Lines'!$G$5:$G$1640,A614,'Bank Lines'!$J$5:$J$1640,1,'Bank Lines'!$C$5:$C$1640,"&lt;="&amp;Cover!$C$14)</f>
        <v>1</v>
      </c>
      <c r="V614">
        <f>COUNTIFS('Odoo Items'!$J$5:$J$4331,A614,'Odoo Items'!$C$5:$C$4331,"&lt;="&amp;Cover!$C$14)</f>
        <v>1</v>
      </c>
      <c r="W614" t="str">
        <f>IF(AND(U614=0,V614=0),"",IF(U614=0,"ODOO-ONLY",IF(V614=0,"BANK-ONLY","BOTH")))</f>
        <v>BOTH</v>
      </c>
      <c r="X614" s="9">
        <f>IF(W614="BOTH",ROUND(S614-T614,2),0)</f>
        <v>0</v>
      </c>
      <c r="Y614" s="9">
        <f>ROUND(SUMIFS('Bank Lines'!$E$5:$E$1640,'Bank Lines'!$G$5:$G$1640,A614,'Bank Lines'!$J$5:$J$1640,1,'Bank Lines'!$C$5:$C$1640,"&lt;="&amp;Cover!$C$15),2)</f>
        <v>968.99</v>
      </c>
      <c r="Z614" s="9">
        <f>ROUND(SUMIFS('Odoo Items'!$G$5:$G$4331,'Odoo Items'!$J$5:$J$4331,A614,'Odoo Items'!$C$5:$C$4331,"&lt;="&amp;Cover!$C$15),2)</f>
        <v>968.99</v>
      </c>
      <c r="AA614">
        <f>COUNTIFS('Bank Lines'!$G$5:$G$1640,A614,'Bank Lines'!$J$5:$J$1640,1,'Bank Lines'!$C$5:$C$1640,"&lt;="&amp;Cover!$C$15)</f>
        <v>1</v>
      </c>
      <c r="AB614">
        <f>COUNTIFS('Odoo Items'!$J$5:$J$4331,A614,'Odoo Items'!$C$5:$C$4331,"&lt;="&amp;Cover!$C$15)</f>
        <v>1</v>
      </c>
      <c r="AC614" t="str">
        <f>IF(AND(AA614=0,AB614=0),"",IF(AA614=0,"ODOO-ONLY",IF(AB614=0,"BANK-ONLY","BOTH")))</f>
        <v>BOTH</v>
      </c>
      <c r="AD614" s="9">
        <f>IF(AC614="BOTH",ROUND(Y614-Z614,2),0)</f>
        <v>0</v>
      </c>
    </row>
    <row r="615">
      <c r="A615" t="inlineStr">
        <is>
          <t>G00611</t>
        </is>
      </c>
      <c r="B615" t="inlineStr">
        <is>
          <t>MER</t>
        </is>
      </c>
      <c r="C615" t="inlineStr">
        <is>
          <t>R08</t>
        </is>
      </c>
      <c r="D615" t="inlineStr">
        <is>
          <t>MATCH</t>
        </is>
      </c>
      <c r="E615" t="inlineStr"/>
      <c r="G615" t="inlineStr"/>
      <c r="H615">
        <f>COUNTIFS('Bank Lines'!$G$5:$G$1640,A615,'Bank Lines'!$J$5:$J$1640,1)</f>
        <v>1</v>
      </c>
      <c r="I615">
        <f>COUNTIFS('Odoo Items'!$J$5:$J$4331,A615)</f>
        <v>1</v>
      </c>
      <c r="J615" s="9">
        <f>ROUND(SUMIFS('Bank Lines'!$E$5:$E$1640,'Bank Lines'!$G$5:$G$1640,A615,'Bank Lines'!$J$5:$J$1640,1),2)</f>
        <v>713.96</v>
      </c>
      <c r="K615" s="9">
        <f>ROUND(SUMIFS('Odoo Items'!$G$5:$G$4331,'Odoo Items'!$J$5:$J$4331,A615),2)</f>
        <v>713.96</v>
      </c>
      <c r="L615" s="9">
        <f>ROUND(J615-K615,2)</f>
        <v>0</v>
      </c>
      <c r="M615" s="9">
        <f>ROUND(SUMIFS('Bank Lines'!$E$5:$E$1640,'Bank Lines'!$G$5:$G$1640,A615,'Bank Lines'!$J$5:$J$1640,1,'Bank Lines'!$C$5:$C$1640,"&lt;="&amp;Cover!$C$13),2)</f>
        <v>713.96</v>
      </c>
      <c r="N615" s="9">
        <f>ROUND(SUMIFS('Odoo Items'!$G$5:$G$4331,'Odoo Items'!$J$5:$J$4331,A615,'Odoo Items'!$C$5:$C$4331,"&lt;="&amp;Cover!$C$13),2)</f>
        <v>713.96</v>
      </c>
      <c r="O615">
        <f>COUNTIFS('Bank Lines'!$G$5:$G$1640,A615,'Bank Lines'!$J$5:$J$1640,1,'Bank Lines'!$C$5:$C$1640,"&lt;="&amp;Cover!$C$13)</f>
        <v>1</v>
      </c>
      <c r="P615">
        <f>COUNTIFS('Odoo Items'!$J$5:$J$4331,A615,'Odoo Items'!$C$5:$C$4331,"&lt;="&amp;Cover!$C$13)</f>
        <v>1</v>
      </c>
      <c r="Q615" t="str">
        <f>IF(AND(O615=0,P615=0),"",IF(O615=0,"ODOO-ONLY",IF(P615=0,"BANK-ONLY","BOTH")))</f>
        <v>BOTH</v>
      </c>
      <c r="R615" s="9">
        <f>IF(Q615="BOTH",ROUND(M615-N615,2),0)</f>
        <v>0</v>
      </c>
      <c r="S615" s="9">
        <f>ROUND(SUMIFS('Bank Lines'!$E$5:$E$1640,'Bank Lines'!$G$5:$G$1640,A615,'Bank Lines'!$J$5:$J$1640,1,'Bank Lines'!$C$5:$C$1640,"&lt;="&amp;Cover!$C$14),2)</f>
        <v>713.96</v>
      </c>
      <c r="T615" s="9">
        <f>ROUND(SUMIFS('Odoo Items'!$G$5:$G$4331,'Odoo Items'!$J$5:$J$4331,A615,'Odoo Items'!$C$5:$C$4331,"&lt;="&amp;Cover!$C$14),2)</f>
        <v>713.96</v>
      </c>
      <c r="U615">
        <f>COUNTIFS('Bank Lines'!$G$5:$G$1640,A615,'Bank Lines'!$J$5:$J$1640,1,'Bank Lines'!$C$5:$C$1640,"&lt;="&amp;Cover!$C$14)</f>
        <v>1</v>
      </c>
      <c r="V615">
        <f>COUNTIFS('Odoo Items'!$J$5:$J$4331,A615,'Odoo Items'!$C$5:$C$4331,"&lt;="&amp;Cover!$C$14)</f>
        <v>1</v>
      </c>
      <c r="W615" t="str">
        <f>IF(AND(U615=0,V615=0),"",IF(U615=0,"ODOO-ONLY",IF(V615=0,"BANK-ONLY","BOTH")))</f>
        <v>BOTH</v>
      </c>
      <c r="X615" s="9">
        <f>IF(W615="BOTH",ROUND(S615-T615,2),0)</f>
        <v>0</v>
      </c>
      <c r="Y615" s="9">
        <f>ROUND(SUMIFS('Bank Lines'!$E$5:$E$1640,'Bank Lines'!$G$5:$G$1640,A615,'Bank Lines'!$J$5:$J$1640,1,'Bank Lines'!$C$5:$C$1640,"&lt;="&amp;Cover!$C$15),2)</f>
        <v>713.96</v>
      </c>
      <c r="Z615" s="9">
        <f>ROUND(SUMIFS('Odoo Items'!$G$5:$G$4331,'Odoo Items'!$J$5:$J$4331,A615,'Odoo Items'!$C$5:$C$4331,"&lt;="&amp;Cover!$C$15),2)</f>
        <v>713.96</v>
      </c>
      <c r="AA615">
        <f>COUNTIFS('Bank Lines'!$G$5:$G$1640,A615,'Bank Lines'!$J$5:$J$1640,1,'Bank Lines'!$C$5:$C$1640,"&lt;="&amp;Cover!$C$15)</f>
        <v>1</v>
      </c>
      <c r="AB615">
        <f>COUNTIFS('Odoo Items'!$J$5:$J$4331,A615,'Odoo Items'!$C$5:$C$4331,"&lt;="&amp;Cover!$C$15)</f>
        <v>1</v>
      </c>
      <c r="AC615" t="str">
        <f>IF(AND(AA615=0,AB615=0),"",IF(AA615=0,"ODOO-ONLY",IF(AB615=0,"BANK-ONLY","BOTH")))</f>
        <v>BOTH</v>
      </c>
      <c r="AD615" s="9">
        <f>IF(AC615="BOTH",ROUND(Y615-Z615,2),0)</f>
        <v>0</v>
      </c>
    </row>
    <row r="616">
      <c r="A616" t="inlineStr">
        <is>
          <t>G00612</t>
        </is>
      </c>
      <c r="B616" t="inlineStr">
        <is>
          <t>MER</t>
        </is>
      </c>
      <c r="C616" t="inlineStr">
        <is>
          <t>R08</t>
        </is>
      </c>
      <c r="D616" t="inlineStr">
        <is>
          <t>MATCH</t>
        </is>
      </c>
      <c r="E616" t="inlineStr"/>
      <c r="G616" t="inlineStr"/>
      <c r="H616">
        <f>COUNTIFS('Bank Lines'!$G$5:$G$1640,A616,'Bank Lines'!$J$5:$J$1640,1)</f>
        <v>1</v>
      </c>
      <c r="I616">
        <f>COUNTIFS('Odoo Items'!$J$5:$J$4331,A616)</f>
        <v>1</v>
      </c>
      <c r="J616" s="9">
        <f>ROUND(SUMIFS('Bank Lines'!$E$5:$E$1640,'Bank Lines'!$G$5:$G$1640,A616,'Bank Lines'!$J$5:$J$1640,1),2)</f>
        <v>1082.25</v>
      </c>
      <c r="K616" s="9">
        <f>ROUND(SUMIFS('Odoo Items'!$G$5:$G$4331,'Odoo Items'!$J$5:$J$4331,A616),2)</f>
        <v>1082.25</v>
      </c>
      <c r="L616" s="9">
        <f>ROUND(J616-K616,2)</f>
        <v>0</v>
      </c>
      <c r="M616" s="9">
        <f>ROUND(SUMIFS('Bank Lines'!$E$5:$E$1640,'Bank Lines'!$G$5:$G$1640,A616,'Bank Lines'!$J$5:$J$1640,1,'Bank Lines'!$C$5:$C$1640,"&lt;="&amp;Cover!$C$13),2)</f>
        <v>1082.25</v>
      </c>
      <c r="N616" s="9">
        <f>ROUND(SUMIFS('Odoo Items'!$G$5:$G$4331,'Odoo Items'!$J$5:$J$4331,A616,'Odoo Items'!$C$5:$C$4331,"&lt;="&amp;Cover!$C$13),2)</f>
        <v>1082.25</v>
      </c>
      <c r="O616">
        <f>COUNTIFS('Bank Lines'!$G$5:$G$1640,A616,'Bank Lines'!$J$5:$J$1640,1,'Bank Lines'!$C$5:$C$1640,"&lt;="&amp;Cover!$C$13)</f>
        <v>1</v>
      </c>
      <c r="P616">
        <f>COUNTIFS('Odoo Items'!$J$5:$J$4331,A616,'Odoo Items'!$C$5:$C$4331,"&lt;="&amp;Cover!$C$13)</f>
        <v>1</v>
      </c>
      <c r="Q616" t="str">
        <f>IF(AND(O616=0,P616=0),"",IF(O616=0,"ODOO-ONLY",IF(P616=0,"BANK-ONLY","BOTH")))</f>
        <v>BOTH</v>
      </c>
      <c r="R616" s="9">
        <f>IF(Q616="BOTH",ROUND(M616-N616,2),0)</f>
        <v>0</v>
      </c>
      <c r="S616" s="9">
        <f>ROUND(SUMIFS('Bank Lines'!$E$5:$E$1640,'Bank Lines'!$G$5:$G$1640,A616,'Bank Lines'!$J$5:$J$1640,1,'Bank Lines'!$C$5:$C$1640,"&lt;="&amp;Cover!$C$14),2)</f>
        <v>1082.25</v>
      </c>
      <c r="T616" s="9">
        <f>ROUND(SUMIFS('Odoo Items'!$G$5:$G$4331,'Odoo Items'!$J$5:$J$4331,A616,'Odoo Items'!$C$5:$C$4331,"&lt;="&amp;Cover!$C$14),2)</f>
        <v>1082.25</v>
      </c>
      <c r="U616">
        <f>COUNTIFS('Bank Lines'!$G$5:$G$1640,A616,'Bank Lines'!$J$5:$J$1640,1,'Bank Lines'!$C$5:$C$1640,"&lt;="&amp;Cover!$C$14)</f>
        <v>1</v>
      </c>
      <c r="V616">
        <f>COUNTIFS('Odoo Items'!$J$5:$J$4331,A616,'Odoo Items'!$C$5:$C$4331,"&lt;="&amp;Cover!$C$14)</f>
        <v>1</v>
      </c>
      <c r="W616" t="str">
        <f>IF(AND(U616=0,V616=0),"",IF(U616=0,"ODOO-ONLY",IF(V616=0,"BANK-ONLY","BOTH")))</f>
        <v>BOTH</v>
      </c>
      <c r="X616" s="9">
        <f>IF(W616="BOTH",ROUND(S616-T616,2),0)</f>
        <v>0</v>
      </c>
      <c r="Y616" s="9">
        <f>ROUND(SUMIFS('Bank Lines'!$E$5:$E$1640,'Bank Lines'!$G$5:$G$1640,A616,'Bank Lines'!$J$5:$J$1640,1,'Bank Lines'!$C$5:$C$1640,"&lt;="&amp;Cover!$C$15),2)</f>
        <v>1082.25</v>
      </c>
      <c r="Z616" s="9">
        <f>ROUND(SUMIFS('Odoo Items'!$G$5:$G$4331,'Odoo Items'!$J$5:$J$4331,A616,'Odoo Items'!$C$5:$C$4331,"&lt;="&amp;Cover!$C$15),2)</f>
        <v>1082.25</v>
      </c>
      <c r="AA616">
        <f>COUNTIFS('Bank Lines'!$G$5:$G$1640,A616,'Bank Lines'!$J$5:$J$1640,1,'Bank Lines'!$C$5:$C$1640,"&lt;="&amp;Cover!$C$15)</f>
        <v>1</v>
      </c>
      <c r="AB616">
        <f>COUNTIFS('Odoo Items'!$J$5:$J$4331,A616,'Odoo Items'!$C$5:$C$4331,"&lt;="&amp;Cover!$C$15)</f>
        <v>1</v>
      </c>
      <c r="AC616" t="str">
        <f>IF(AND(AA616=0,AB616=0),"",IF(AA616=0,"ODOO-ONLY",IF(AB616=0,"BANK-ONLY","BOTH")))</f>
        <v>BOTH</v>
      </c>
      <c r="AD616" s="9">
        <f>IF(AC616="BOTH",ROUND(Y616-Z616,2),0)</f>
        <v>0</v>
      </c>
    </row>
    <row r="617">
      <c r="A617" t="inlineStr">
        <is>
          <t>G00613</t>
        </is>
      </c>
      <c r="B617" t="inlineStr">
        <is>
          <t>MER</t>
        </is>
      </c>
      <c r="C617" t="inlineStr">
        <is>
          <t>R04</t>
        </is>
      </c>
      <c r="D617" t="inlineStr">
        <is>
          <t>MATCH</t>
        </is>
      </c>
      <c r="E617" t="inlineStr"/>
      <c r="G617" t="inlineStr">
        <is>
          <t>Sweep, same amount</t>
        </is>
      </c>
      <c r="H617">
        <f>COUNTIFS('Bank Lines'!$G$5:$G$1640,A617,'Bank Lines'!$J$5:$J$1640,1)</f>
        <v>1</v>
      </c>
      <c r="I617">
        <f>COUNTIFS('Odoo Items'!$J$5:$J$4331,A617)</f>
        <v>1</v>
      </c>
      <c r="J617" s="9">
        <f>ROUND(SUMIFS('Bank Lines'!$E$5:$E$1640,'Bank Lines'!$G$5:$G$1640,A617,'Bank Lines'!$J$5:$J$1640,1),2)</f>
        <v>-34000</v>
      </c>
      <c r="K617" s="9">
        <f>ROUND(SUMIFS('Odoo Items'!$G$5:$G$4331,'Odoo Items'!$J$5:$J$4331,A617),2)</f>
        <v>-34000</v>
      </c>
      <c r="L617" s="9">
        <f>ROUND(J617-K617,2)</f>
        <v>0</v>
      </c>
      <c r="M617" s="9">
        <f>ROUND(SUMIFS('Bank Lines'!$E$5:$E$1640,'Bank Lines'!$G$5:$G$1640,A617,'Bank Lines'!$J$5:$J$1640,1,'Bank Lines'!$C$5:$C$1640,"&lt;="&amp;Cover!$C$13),2)</f>
        <v>-34000</v>
      </c>
      <c r="N617" s="9">
        <f>ROUND(SUMIFS('Odoo Items'!$G$5:$G$4331,'Odoo Items'!$J$5:$J$4331,A617,'Odoo Items'!$C$5:$C$4331,"&lt;="&amp;Cover!$C$13),2)</f>
        <v>-34000</v>
      </c>
      <c r="O617">
        <f>COUNTIFS('Bank Lines'!$G$5:$G$1640,A617,'Bank Lines'!$J$5:$J$1640,1,'Bank Lines'!$C$5:$C$1640,"&lt;="&amp;Cover!$C$13)</f>
        <v>1</v>
      </c>
      <c r="P617">
        <f>COUNTIFS('Odoo Items'!$J$5:$J$4331,A617,'Odoo Items'!$C$5:$C$4331,"&lt;="&amp;Cover!$C$13)</f>
        <v>1</v>
      </c>
      <c r="Q617" t="str">
        <f>IF(AND(O617=0,P617=0),"",IF(O617=0,"ODOO-ONLY",IF(P617=0,"BANK-ONLY","BOTH")))</f>
        <v>BOTH</v>
      </c>
      <c r="R617" s="9">
        <f>IF(Q617="BOTH",ROUND(M617-N617,2),0)</f>
        <v>0</v>
      </c>
      <c r="S617" s="9">
        <f>ROUND(SUMIFS('Bank Lines'!$E$5:$E$1640,'Bank Lines'!$G$5:$G$1640,A617,'Bank Lines'!$J$5:$J$1640,1,'Bank Lines'!$C$5:$C$1640,"&lt;="&amp;Cover!$C$14),2)</f>
        <v>-34000</v>
      </c>
      <c r="T617" s="9">
        <f>ROUND(SUMIFS('Odoo Items'!$G$5:$G$4331,'Odoo Items'!$J$5:$J$4331,A617,'Odoo Items'!$C$5:$C$4331,"&lt;="&amp;Cover!$C$14),2)</f>
        <v>-34000</v>
      </c>
      <c r="U617">
        <f>COUNTIFS('Bank Lines'!$G$5:$G$1640,A617,'Bank Lines'!$J$5:$J$1640,1,'Bank Lines'!$C$5:$C$1640,"&lt;="&amp;Cover!$C$14)</f>
        <v>1</v>
      </c>
      <c r="V617">
        <f>COUNTIFS('Odoo Items'!$J$5:$J$4331,A617,'Odoo Items'!$C$5:$C$4331,"&lt;="&amp;Cover!$C$14)</f>
        <v>1</v>
      </c>
      <c r="W617" t="str">
        <f>IF(AND(U617=0,V617=0),"",IF(U617=0,"ODOO-ONLY",IF(V617=0,"BANK-ONLY","BOTH")))</f>
        <v>BOTH</v>
      </c>
      <c r="X617" s="9">
        <f>IF(W617="BOTH",ROUND(S617-T617,2),0)</f>
        <v>0</v>
      </c>
      <c r="Y617" s="9">
        <f>ROUND(SUMIFS('Bank Lines'!$E$5:$E$1640,'Bank Lines'!$G$5:$G$1640,A617,'Bank Lines'!$J$5:$J$1640,1,'Bank Lines'!$C$5:$C$1640,"&lt;="&amp;Cover!$C$15),2)</f>
        <v>-34000</v>
      </c>
      <c r="Z617" s="9">
        <f>ROUND(SUMIFS('Odoo Items'!$G$5:$G$4331,'Odoo Items'!$J$5:$J$4331,A617,'Odoo Items'!$C$5:$C$4331,"&lt;="&amp;Cover!$C$15),2)</f>
        <v>-34000</v>
      </c>
      <c r="AA617">
        <f>COUNTIFS('Bank Lines'!$G$5:$G$1640,A617,'Bank Lines'!$J$5:$J$1640,1,'Bank Lines'!$C$5:$C$1640,"&lt;="&amp;Cover!$C$15)</f>
        <v>1</v>
      </c>
      <c r="AB617">
        <f>COUNTIFS('Odoo Items'!$J$5:$J$4331,A617,'Odoo Items'!$C$5:$C$4331,"&lt;="&amp;Cover!$C$15)</f>
        <v>1</v>
      </c>
      <c r="AC617" t="str">
        <f>IF(AND(AA617=0,AB617=0),"",IF(AA617=0,"ODOO-ONLY",IF(AB617=0,"BANK-ONLY","BOTH")))</f>
        <v>BOTH</v>
      </c>
      <c r="AD617" s="9">
        <f>IF(AC617="BOTH",ROUND(Y617-Z617,2),0)</f>
        <v>0</v>
      </c>
    </row>
    <row r="618">
      <c r="A618" t="inlineStr">
        <is>
          <t>G00614</t>
        </is>
      </c>
      <c r="B618" t="inlineStr">
        <is>
          <t>MER</t>
        </is>
      </c>
      <c r="C618" t="inlineStr">
        <is>
          <t>R08</t>
        </is>
      </c>
      <c r="D618" t="inlineStr">
        <is>
          <t>MATCH</t>
        </is>
      </c>
      <c r="E618" t="inlineStr"/>
      <c r="G618" t="inlineStr"/>
      <c r="H618">
        <f>COUNTIFS('Bank Lines'!$G$5:$G$1640,A618,'Bank Lines'!$J$5:$J$1640,1)</f>
        <v>1</v>
      </c>
      <c r="I618">
        <f>COUNTIFS('Odoo Items'!$J$5:$J$4331,A618)</f>
        <v>1</v>
      </c>
      <c r="J618" s="9">
        <f>ROUND(SUMIFS('Bank Lines'!$E$5:$E$1640,'Bank Lines'!$G$5:$G$1640,A618,'Bank Lines'!$J$5:$J$1640,1),2)</f>
        <v>2143.96</v>
      </c>
      <c r="K618" s="9">
        <f>ROUND(SUMIFS('Odoo Items'!$G$5:$G$4331,'Odoo Items'!$J$5:$J$4331,A618),2)</f>
        <v>2143.96</v>
      </c>
      <c r="L618" s="9">
        <f>ROUND(J618-K618,2)</f>
        <v>0</v>
      </c>
      <c r="M618" s="9">
        <f>ROUND(SUMIFS('Bank Lines'!$E$5:$E$1640,'Bank Lines'!$G$5:$G$1640,A618,'Bank Lines'!$J$5:$J$1640,1,'Bank Lines'!$C$5:$C$1640,"&lt;="&amp;Cover!$C$13),2)</f>
        <v>2143.96</v>
      </c>
      <c r="N618" s="9">
        <f>ROUND(SUMIFS('Odoo Items'!$G$5:$G$4331,'Odoo Items'!$J$5:$J$4331,A618,'Odoo Items'!$C$5:$C$4331,"&lt;="&amp;Cover!$C$13),2)</f>
        <v>2143.96</v>
      </c>
      <c r="O618">
        <f>COUNTIFS('Bank Lines'!$G$5:$G$1640,A618,'Bank Lines'!$J$5:$J$1640,1,'Bank Lines'!$C$5:$C$1640,"&lt;="&amp;Cover!$C$13)</f>
        <v>1</v>
      </c>
      <c r="P618">
        <f>COUNTIFS('Odoo Items'!$J$5:$J$4331,A618,'Odoo Items'!$C$5:$C$4331,"&lt;="&amp;Cover!$C$13)</f>
        <v>1</v>
      </c>
      <c r="Q618" t="str">
        <f>IF(AND(O618=0,P618=0),"",IF(O618=0,"ODOO-ONLY",IF(P618=0,"BANK-ONLY","BOTH")))</f>
        <v>BOTH</v>
      </c>
      <c r="R618" s="9">
        <f>IF(Q618="BOTH",ROUND(M618-N618,2),0)</f>
        <v>0</v>
      </c>
      <c r="S618" s="9">
        <f>ROUND(SUMIFS('Bank Lines'!$E$5:$E$1640,'Bank Lines'!$G$5:$G$1640,A618,'Bank Lines'!$J$5:$J$1640,1,'Bank Lines'!$C$5:$C$1640,"&lt;="&amp;Cover!$C$14),2)</f>
        <v>2143.96</v>
      </c>
      <c r="T618" s="9">
        <f>ROUND(SUMIFS('Odoo Items'!$G$5:$G$4331,'Odoo Items'!$J$5:$J$4331,A618,'Odoo Items'!$C$5:$C$4331,"&lt;="&amp;Cover!$C$14),2)</f>
        <v>2143.96</v>
      </c>
      <c r="U618">
        <f>COUNTIFS('Bank Lines'!$G$5:$G$1640,A618,'Bank Lines'!$J$5:$J$1640,1,'Bank Lines'!$C$5:$C$1640,"&lt;="&amp;Cover!$C$14)</f>
        <v>1</v>
      </c>
      <c r="V618">
        <f>COUNTIFS('Odoo Items'!$J$5:$J$4331,A618,'Odoo Items'!$C$5:$C$4331,"&lt;="&amp;Cover!$C$14)</f>
        <v>1</v>
      </c>
      <c r="W618" t="str">
        <f>IF(AND(U618=0,V618=0),"",IF(U618=0,"ODOO-ONLY",IF(V618=0,"BANK-ONLY","BOTH")))</f>
        <v>BOTH</v>
      </c>
      <c r="X618" s="9">
        <f>IF(W618="BOTH",ROUND(S618-T618,2),0)</f>
        <v>0</v>
      </c>
      <c r="Y618" s="9">
        <f>ROUND(SUMIFS('Bank Lines'!$E$5:$E$1640,'Bank Lines'!$G$5:$G$1640,A618,'Bank Lines'!$J$5:$J$1640,1,'Bank Lines'!$C$5:$C$1640,"&lt;="&amp;Cover!$C$15),2)</f>
        <v>2143.96</v>
      </c>
      <c r="Z618" s="9">
        <f>ROUND(SUMIFS('Odoo Items'!$G$5:$G$4331,'Odoo Items'!$J$5:$J$4331,A618,'Odoo Items'!$C$5:$C$4331,"&lt;="&amp;Cover!$C$15),2)</f>
        <v>2143.96</v>
      </c>
      <c r="AA618">
        <f>COUNTIFS('Bank Lines'!$G$5:$G$1640,A618,'Bank Lines'!$J$5:$J$1640,1,'Bank Lines'!$C$5:$C$1640,"&lt;="&amp;Cover!$C$15)</f>
        <v>1</v>
      </c>
      <c r="AB618">
        <f>COUNTIFS('Odoo Items'!$J$5:$J$4331,A618,'Odoo Items'!$C$5:$C$4331,"&lt;="&amp;Cover!$C$15)</f>
        <v>1</v>
      </c>
      <c r="AC618" t="str">
        <f>IF(AND(AA618=0,AB618=0),"",IF(AA618=0,"ODOO-ONLY",IF(AB618=0,"BANK-ONLY","BOTH")))</f>
        <v>BOTH</v>
      </c>
      <c r="AD618" s="9">
        <f>IF(AC618="BOTH",ROUND(Y618-Z618,2),0)</f>
        <v>0</v>
      </c>
    </row>
    <row r="619">
      <c r="A619" t="inlineStr">
        <is>
          <t>G00615</t>
        </is>
      </c>
      <c r="B619" t="inlineStr">
        <is>
          <t>MER</t>
        </is>
      </c>
      <c r="C619" t="inlineStr">
        <is>
          <t>R08</t>
        </is>
      </c>
      <c r="D619" t="inlineStr">
        <is>
          <t>MATCH</t>
        </is>
      </c>
      <c r="E619" t="inlineStr"/>
      <c r="G619" t="inlineStr"/>
      <c r="H619">
        <f>COUNTIFS('Bank Lines'!$G$5:$G$1640,A619,'Bank Lines'!$J$5:$J$1640,1)</f>
        <v>1</v>
      </c>
      <c r="I619">
        <f>COUNTIFS('Odoo Items'!$J$5:$J$4331,A619)</f>
        <v>1</v>
      </c>
      <c r="J619" s="9">
        <f>ROUND(SUMIFS('Bank Lines'!$E$5:$E$1640,'Bank Lines'!$G$5:$G$1640,A619,'Bank Lines'!$J$5:$J$1640,1),2)</f>
        <v>2035.84</v>
      </c>
      <c r="K619" s="9">
        <f>ROUND(SUMIFS('Odoo Items'!$G$5:$G$4331,'Odoo Items'!$J$5:$J$4331,A619),2)</f>
        <v>2035.84</v>
      </c>
      <c r="L619" s="9">
        <f>ROUND(J619-K619,2)</f>
        <v>0</v>
      </c>
      <c r="M619" s="9">
        <f>ROUND(SUMIFS('Bank Lines'!$E$5:$E$1640,'Bank Lines'!$G$5:$G$1640,A619,'Bank Lines'!$J$5:$J$1640,1,'Bank Lines'!$C$5:$C$1640,"&lt;="&amp;Cover!$C$13),2)</f>
        <v>2035.84</v>
      </c>
      <c r="N619" s="9">
        <f>ROUND(SUMIFS('Odoo Items'!$G$5:$G$4331,'Odoo Items'!$J$5:$J$4331,A619,'Odoo Items'!$C$5:$C$4331,"&lt;="&amp;Cover!$C$13),2)</f>
        <v>2035.84</v>
      </c>
      <c r="O619">
        <f>COUNTIFS('Bank Lines'!$G$5:$G$1640,A619,'Bank Lines'!$J$5:$J$1640,1,'Bank Lines'!$C$5:$C$1640,"&lt;="&amp;Cover!$C$13)</f>
        <v>1</v>
      </c>
      <c r="P619">
        <f>COUNTIFS('Odoo Items'!$J$5:$J$4331,A619,'Odoo Items'!$C$5:$C$4331,"&lt;="&amp;Cover!$C$13)</f>
        <v>1</v>
      </c>
      <c r="Q619" t="str">
        <f>IF(AND(O619=0,P619=0),"",IF(O619=0,"ODOO-ONLY",IF(P619=0,"BANK-ONLY","BOTH")))</f>
        <v>BOTH</v>
      </c>
      <c r="R619" s="9">
        <f>IF(Q619="BOTH",ROUND(M619-N619,2),0)</f>
        <v>0</v>
      </c>
      <c r="S619" s="9">
        <f>ROUND(SUMIFS('Bank Lines'!$E$5:$E$1640,'Bank Lines'!$G$5:$G$1640,A619,'Bank Lines'!$J$5:$J$1640,1,'Bank Lines'!$C$5:$C$1640,"&lt;="&amp;Cover!$C$14),2)</f>
        <v>2035.84</v>
      </c>
      <c r="T619" s="9">
        <f>ROUND(SUMIFS('Odoo Items'!$G$5:$G$4331,'Odoo Items'!$J$5:$J$4331,A619,'Odoo Items'!$C$5:$C$4331,"&lt;="&amp;Cover!$C$14),2)</f>
        <v>2035.84</v>
      </c>
      <c r="U619">
        <f>COUNTIFS('Bank Lines'!$G$5:$G$1640,A619,'Bank Lines'!$J$5:$J$1640,1,'Bank Lines'!$C$5:$C$1640,"&lt;="&amp;Cover!$C$14)</f>
        <v>1</v>
      </c>
      <c r="V619">
        <f>COUNTIFS('Odoo Items'!$J$5:$J$4331,A619,'Odoo Items'!$C$5:$C$4331,"&lt;="&amp;Cover!$C$14)</f>
        <v>1</v>
      </c>
      <c r="W619" t="str">
        <f>IF(AND(U619=0,V619=0),"",IF(U619=0,"ODOO-ONLY",IF(V619=0,"BANK-ONLY","BOTH")))</f>
        <v>BOTH</v>
      </c>
      <c r="X619" s="9">
        <f>IF(W619="BOTH",ROUND(S619-T619,2),0)</f>
        <v>0</v>
      </c>
      <c r="Y619" s="9">
        <f>ROUND(SUMIFS('Bank Lines'!$E$5:$E$1640,'Bank Lines'!$G$5:$G$1640,A619,'Bank Lines'!$J$5:$J$1640,1,'Bank Lines'!$C$5:$C$1640,"&lt;="&amp;Cover!$C$15),2)</f>
        <v>2035.84</v>
      </c>
      <c r="Z619" s="9">
        <f>ROUND(SUMIFS('Odoo Items'!$G$5:$G$4331,'Odoo Items'!$J$5:$J$4331,A619,'Odoo Items'!$C$5:$C$4331,"&lt;="&amp;Cover!$C$15),2)</f>
        <v>2035.84</v>
      </c>
      <c r="AA619">
        <f>COUNTIFS('Bank Lines'!$G$5:$G$1640,A619,'Bank Lines'!$J$5:$J$1640,1,'Bank Lines'!$C$5:$C$1640,"&lt;="&amp;Cover!$C$15)</f>
        <v>1</v>
      </c>
      <c r="AB619">
        <f>COUNTIFS('Odoo Items'!$J$5:$J$4331,A619,'Odoo Items'!$C$5:$C$4331,"&lt;="&amp;Cover!$C$15)</f>
        <v>1</v>
      </c>
      <c r="AC619" t="str">
        <f>IF(AND(AA619=0,AB619=0),"",IF(AA619=0,"ODOO-ONLY",IF(AB619=0,"BANK-ONLY","BOTH")))</f>
        <v>BOTH</v>
      </c>
      <c r="AD619" s="9">
        <f>IF(AC619="BOTH",ROUND(Y619-Z619,2),0)</f>
        <v>0</v>
      </c>
    </row>
    <row r="620">
      <c r="A620" t="inlineStr">
        <is>
          <t>G00616</t>
        </is>
      </c>
      <c r="B620" t="inlineStr">
        <is>
          <t>MER</t>
        </is>
      </c>
      <c r="C620" t="inlineStr">
        <is>
          <t>R08</t>
        </is>
      </c>
      <c r="D620" t="inlineStr">
        <is>
          <t>MATCH</t>
        </is>
      </c>
      <c r="E620" t="inlineStr"/>
      <c r="G620" t="inlineStr"/>
      <c r="H620">
        <f>COUNTIFS('Bank Lines'!$G$5:$G$1640,A620,'Bank Lines'!$J$5:$J$1640,1)</f>
        <v>1</v>
      </c>
      <c r="I620">
        <f>COUNTIFS('Odoo Items'!$J$5:$J$4331,A620)</f>
        <v>1</v>
      </c>
      <c r="J620" s="9">
        <f>ROUND(SUMIFS('Bank Lines'!$E$5:$E$1640,'Bank Lines'!$G$5:$G$1640,A620,'Bank Lines'!$J$5:$J$1640,1),2)</f>
        <v>2728.08</v>
      </c>
      <c r="K620" s="9">
        <f>ROUND(SUMIFS('Odoo Items'!$G$5:$G$4331,'Odoo Items'!$J$5:$J$4331,A620),2)</f>
        <v>2728.08</v>
      </c>
      <c r="L620" s="9">
        <f>ROUND(J620-K620,2)</f>
        <v>0</v>
      </c>
      <c r="M620" s="9">
        <f>ROUND(SUMIFS('Bank Lines'!$E$5:$E$1640,'Bank Lines'!$G$5:$G$1640,A620,'Bank Lines'!$J$5:$J$1640,1,'Bank Lines'!$C$5:$C$1640,"&lt;="&amp;Cover!$C$13),2)</f>
        <v>2728.08</v>
      </c>
      <c r="N620" s="9">
        <f>ROUND(SUMIFS('Odoo Items'!$G$5:$G$4331,'Odoo Items'!$J$5:$J$4331,A620,'Odoo Items'!$C$5:$C$4331,"&lt;="&amp;Cover!$C$13),2)</f>
        <v>2728.08</v>
      </c>
      <c r="O620">
        <f>COUNTIFS('Bank Lines'!$G$5:$G$1640,A620,'Bank Lines'!$J$5:$J$1640,1,'Bank Lines'!$C$5:$C$1640,"&lt;="&amp;Cover!$C$13)</f>
        <v>1</v>
      </c>
      <c r="P620">
        <f>COUNTIFS('Odoo Items'!$J$5:$J$4331,A620,'Odoo Items'!$C$5:$C$4331,"&lt;="&amp;Cover!$C$13)</f>
        <v>1</v>
      </c>
      <c r="Q620" t="str">
        <f>IF(AND(O620=0,P620=0),"",IF(O620=0,"ODOO-ONLY",IF(P620=0,"BANK-ONLY","BOTH")))</f>
        <v>BOTH</v>
      </c>
      <c r="R620" s="9">
        <f>IF(Q620="BOTH",ROUND(M620-N620,2),0)</f>
        <v>0</v>
      </c>
      <c r="S620" s="9">
        <f>ROUND(SUMIFS('Bank Lines'!$E$5:$E$1640,'Bank Lines'!$G$5:$G$1640,A620,'Bank Lines'!$J$5:$J$1640,1,'Bank Lines'!$C$5:$C$1640,"&lt;="&amp;Cover!$C$14),2)</f>
        <v>2728.08</v>
      </c>
      <c r="T620" s="9">
        <f>ROUND(SUMIFS('Odoo Items'!$G$5:$G$4331,'Odoo Items'!$J$5:$J$4331,A620,'Odoo Items'!$C$5:$C$4331,"&lt;="&amp;Cover!$C$14),2)</f>
        <v>2728.08</v>
      </c>
      <c r="U620">
        <f>COUNTIFS('Bank Lines'!$G$5:$G$1640,A620,'Bank Lines'!$J$5:$J$1640,1,'Bank Lines'!$C$5:$C$1640,"&lt;="&amp;Cover!$C$14)</f>
        <v>1</v>
      </c>
      <c r="V620">
        <f>COUNTIFS('Odoo Items'!$J$5:$J$4331,A620,'Odoo Items'!$C$5:$C$4331,"&lt;="&amp;Cover!$C$14)</f>
        <v>1</v>
      </c>
      <c r="W620" t="str">
        <f>IF(AND(U620=0,V620=0),"",IF(U620=0,"ODOO-ONLY",IF(V620=0,"BANK-ONLY","BOTH")))</f>
        <v>BOTH</v>
      </c>
      <c r="X620" s="9">
        <f>IF(W620="BOTH",ROUND(S620-T620,2),0)</f>
        <v>0</v>
      </c>
      <c r="Y620" s="9">
        <f>ROUND(SUMIFS('Bank Lines'!$E$5:$E$1640,'Bank Lines'!$G$5:$G$1640,A620,'Bank Lines'!$J$5:$J$1640,1,'Bank Lines'!$C$5:$C$1640,"&lt;="&amp;Cover!$C$15),2)</f>
        <v>2728.08</v>
      </c>
      <c r="Z620" s="9">
        <f>ROUND(SUMIFS('Odoo Items'!$G$5:$G$4331,'Odoo Items'!$J$5:$J$4331,A620,'Odoo Items'!$C$5:$C$4331,"&lt;="&amp;Cover!$C$15),2)</f>
        <v>2728.08</v>
      </c>
      <c r="AA620">
        <f>COUNTIFS('Bank Lines'!$G$5:$G$1640,A620,'Bank Lines'!$J$5:$J$1640,1,'Bank Lines'!$C$5:$C$1640,"&lt;="&amp;Cover!$C$15)</f>
        <v>1</v>
      </c>
      <c r="AB620">
        <f>COUNTIFS('Odoo Items'!$J$5:$J$4331,A620,'Odoo Items'!$C$5:$C$4331,"&lt;="&amp;Cover!$C$15)</f>
        <v>1</v>
      </c>
      <c r="AC620" t="str">
        <f>IF(AND(AA620=0,AB620=0),"",IF(AA620=0,"ODOO-ONLY",IF(AB620=0,"BANK-ONLY","BOTH")))</f>
        <v>BOTH</v>
      </c>
      <c r="AD620" s="9">
        <f>IF(AC620="BOTH",ROUND(Y620-Z620,2),0)</f>
        <v>0</v>
      </c>
    </row>
    <row r="621">
      <c r="A621" t="inlineStr">
        <is>
          <t>G00617</t>
        </is>
      </c>
      <c r="B621" t="inlineStr">
        <is>
          <t>MER</t>
        </is>
      </c>
      <c r="C621" t="inlineStr">
        <is>
          <t>R08</t>
        </is>
      </c>
      <c r="D621" t="inlineStr">
        <is>
          <t>MATCH</t>
        </is>
      </c>
      <c r="E621" t="inlineStr"/>
      <c r="G621" t="inlineStr"/>
      <c r="H621">
        <f>COUNTIFS('Bank Lines'!$G$5:$G$1640,A621,'Bank Lines'!$J$5:$J$1640,1)</f>
        <v>1</v>
      </c>
      <c r="I621">
        <f>COUNTIFS('Odoo Items'!$J$5:$J$4331,A621)</f>
        <v>1</v>
      </c>
      <c r="J621" s="9">
        <f>ROUND(SUMIFS('Bank Lines'!$E$5:$E$1640,'Bank Lines'!$G$5:$G$1640,A621,'Bank Lines'!$J$5:$J$1640,1),2)</f>
        <v>3099.25</v>
      </c>
      <c r="K621" s="9">
        <f>ROUND(SUMIFS('Odoo Items'!$G$5:$G$4331,'Odoo Items'!$J$5:$J$4331,A621),2)</f>
        <v>3099.25</v>
      </c>
      <c r="L621" s="9">
        <f>ROUND(J621-K621,2)</f>
        <v>0</v>
      </c>
      <c r="M621" s="9">
        <f>ROUND(SUMIFS('Bank Lines'!$E$5:$E$1640,'Bank Lines'!$G$5:$G$1640,A621,'Bank Lines'!$J$5:$J$1640,1,'Bank Lines'!$C$5:$C$1640,"&lt;="&amp;Cover!$C$13),2)</f>
        <v>3099.25</v>
      </c>
      <c r="N621" s="9">
        <f>ROUND(SUMIFS('Odoo Items'!$G$5:$G$4331,'Odoo Items'!$J$5:$J$4331,A621,'Odoo Items'!$C$5:$C$4331,"&lt;="&amp;Cover!$C$13),2)</f>
        <v>3099.25</v>
      </c>
      <c r="O621">
        <f>COUNTIFS('Bank Lines'!$G$5:$G$1640,A621,'Bank Lines'!$J$5:$J$1640,1,'Bank Lines'!$C$5:$C$1640,"&lt;="&amp;Cover!$C$13)</f>
        <v>1</v>
      </c>
      <c r="P621">
        <f>COUNTIFS('Odoo Items'!$J$5:$J$4331,A621,'Odoo Items'!$C$5:$C$4331,"&lt;="&amp;Cover!$C$13)</f>
        <v>1</v>
      </c>
      <c r="Q621" t="str">
        <f>IF(AND(O621=0,P621=0),"",IF(O621=0,"ODOO-ONLY",IF(P621=0,"BANK-ONLY","BOTH")))</f>
        <v>BOTH</v>
      </c>
      <c r="R621" s="9">
        <f>IF(Q621="BOTH",ROUND(M621-N621,2),0)</f>
        <v>0</v>
      </c>
      <c r="S621" s="9">
        <f>ROUND(SUMIFS('Bank Lines'!$E$5:$E$1640,'Bank Lines'!$G$5:$G$1640,A621,'Bank Lines'!$J$5:$J$1640,1,'Bank Lines'!$C$5:$C$1640,"&lt;="&amp;Cover!$C$14),2)</f>
        <v>3099.25</v>
      </c>
      <c r="T621" s="9">
        <f>ROUND(SUMIFS('Odoo Items'!$G$5:$G$4331,'Odoo Items'!$J$5:$J$4331,A621,'Odoo Items'!$C$5:$C$4331,"&lt;="&amp;Cover!$C$14),2)</f>
        <v>3099.25</v>
      </c>
      <c r="U621">
        <f>COUNTIFS('Bank Lines'!$G$5:$G$1640,A621,'Bank Lines'!$J$5:$J$1640,1,'Bank Lines'!$C$5:$C$1640,"&lt;="&amp;Cover!$C$14)</f>
        <v>1</v>
      </c>
      <c r="V621">
        <f>COUNTIFS('Odoo Items'!$J$5:$J$4331,A621,'Odoo Items'!$C$5:$C$4331,"&lt;="&amp;Cover!$C$14)</f>
        <v>1</v>
      </c>
      <c r="W621" t="str">
        <f>IF(AND(U621=0,V621=0),"",IF(U621=0,"ODOO-ONLY",IF(V621=0,"BANK-ONLY","BOTH")))</f>
        <v>BOTH</v>
      </c>
      <c r="X621" s="9">
        <f>IF(W621="BOTH",ROUND(S621-T621,2),0)</f>
        <v>0</v>
      </c>
      <c r="Y621" s="9">
        <f>ROUND(SUMIFS('Bank Lines'!$E$5:$E$1640,'Bank Lines'!$G$5:$G$1640,A621,'Bank Lines'!$J$5:$J$1640,1,'Bank Lines'!$C$5:$C$1640,"&lt;="&amp;Cover!$C$15),2)</f>
        <v>3099.25</v>
      </c>
      <c r="Z621" s="9">
        <f>ROUND(SUMIFS('Odoo Items'!$G$5:$G$4331,'Odoo Items'!$J$5:$J$4331,A621,'Odoo Items'!$C$5:$C$4331,"&lt;="&amp;Cover!$C$15),2)</f>
        <v>3099.25</v>
      </c>
      <c r="AA621">
        <f>COUNTIFS('Bank Lines'!$G$5:$G$1640,A621,'Bank Lines'!$J$5:$J$1640,1,'Bank Lines'!$C$5:$C$1640,"&lt;="&amp;Cover!$C$15)</f>
        <v>1</v>
      </c>
      <c r="AB621">
        <f>COUNTIFS('Odoo Items'!$J$5:$J$4331,A621,'Odoo Items'!$C$5:$C$4331,"&lt;="&amp;Cover!$C$15)</f>
        <v>1</v>
      </c>
      <c r="AC621" t="str">
        <f>IF(AND(AA621=0,AB621=0),"",IF(AA621=0,"ODOO-ONLY",IF(AB621=0,"BANK-ONLY","BOTH")))</f>
        <v>BOTH</v>
      </c>
      <c r="AD621" s="9">
        <f>IF(AC621="BOTH",ROUND(Y621-Z621,2),0)</f>
        <v>0</v>
      </c>
    </row>
    <row r="622">
      <c r="A622" t="inlineStr">
        <is>
          <t>G00618</t>
        </is>
      </c>
      <c r="B622" t="inlineStr">
        <is>
          <t>MER</t>
        </is>
      </c>
      <c r="C622" t="inlineStr">
        <is>
          <t>R08</t>
        </is>
      </c>
      <c r="D622" t="inlineStr">
        <is>
          <t>MATCH</t>
        </is>
      </c>
      <c r="E622" t="inlineStr"/>
      <c r="G622" t="inlineStr"/>
      <c r="H622">
        <f>COUNTIFS('Bank Lines'!$G$5:$G$1640,A622,'Bank Lines'!$J$5:$J$1640,1)</f>
        <v>1</v>
      </c>
      <c r="I622">
        <f>COUNTIFS('Odoo Items'!$J$5:$J$4331,A622)</f>
        <v>1</v>
      </c>
      <c r="J622" s="9">
        <f>ROUND(SUMIFS('Bank Lines'!$E$5:$E$1640,'Bank Lines'!$G$5:$G$1640,A622,'Bank Lines'!$J$5:$J$1640,1),2)</f>
        <v>1044.45</v>
      </c>
      <c r="K622" s="9">
        <f>ROUND(SUMIFS('Odoo Items'!$G$5:$G$4331,'Odoo Items'!$J$5:$J$4331,A622),2)</f>
        <v>1044.45</v>
      </c>
      <c r="L622" s="9">
        <f>ROUND(J622-K622,2)</f>
        <v>0</v>
      </c>
      <c r="M622" s="9">
        <f>ROUND(SUMIFS('Bank Lines'!$E$5:$E$1640,'Bank Lines'!$G$5:$G$1640,A622,'Bank Lines'!$J$5:$J$1640,1,'Bank Lines'!$C$5:$C$1640,"&lt;="&amp;Cover!$C$13),2)</f>
        <v>1044.45</v>
      </c>
      <c r="N622" s="9">
        <f>ROUND(SUMIFS('Odoo Items'!$G$5:$G$4331,'Odoo Items'!$J$5:$J$4331,A622,'Odoo Items'!$C$5:$C$4331,"&lt;="&amp;Cover!$C$13),2)</f>
        <v>1044.45</v>
      </c>
      <c r="O622">
        <f>COUNTIFS('Bank Lines'!$G$5:$G$1640,A622,'Bank Lines'!$J$5:$J$1640,1,'Bank Lines'!$C$5:$C$1640,"&lt;="&amp;Cover!$C$13)</f>
        <v>1</v>
      </c>
      <c r="P622">
        <f>COUNTIFS('Odoo Items'!$J$5:$J$4331,A622,'Odoo Items'!$C$5:$C$4331,"&lt;="&amp;Cover!$C$13)</f>
        <v>1</v>
      </c>
      <c r="Q622" t="str">
        <f>IF(AND(O622=0,P622=0),"",IF(O622=0,"ODOO-ONLY",IF(P622=0,"BANK-ONLY","BOTH")))</f>
        <v>BOTH</v>
      </c>
      <c r="R622" s="9">
        <f>IF(Q622="BOTH",ROUND(M622-N622,2),0)</f>
        <v>0</v>
      </c>
      <c r="S622" s="9">
        <f>ROUND(SUMIFS('Bank Lines'!$E$5:$E$1640,'Bank Lines'!$G$5:$G$1640,A622,'Bank Lines'!$J$5:$J$1640,1,'Bank Lines'!$C$5:$C$1640,"&lt;="&amp;Cover!$C$14),2)</f>
        <v>1044.45</v>
      </c>
      <c r="T622" s="9">
        <f>ROUND(SUMIFS('Odoo Items'!$G$5:$G$4331,'Odoo Items'!$J$5:$J$4331,A622,'Odoo Items'!$C$5:$C$4331,"&lt;="&amp;Cover!$C$14),2)</f>
        <v>1044.45</v>
      </c>
      <c r="U622">
        <f>COUNTIFS('Bank Lines'!$G$5:$G$1640,A622,'Bank Lines'!$J$5:$J$1640,1,'Bank Lines'!$C$5:$C$1640,"&lt;="&amp;Cover!$C$14)</f>
        <v>1</v>
      </c>
      <c r="V622">
        <f>COUNTIFS('Odoo Items'!$J$5:$J$4331,A622,'Odoo Items'!$C$5:$C$4331,"&lt;="&amp;Cover!$C$14)</f>
        <v>1</v>
      </c>
      <c r="W622" t="str">
        <f>IF(AND(U622=0,V622=0),"",IF(U622=0,"ODOO-ONLY",IF(V622=0,"BANK-ONLY","BOTH")))</f>
        <v>BOTH</v>
      </c>
      <c r="X622" s="9">
        <f>IF(W622="BOTH",ROUND(S622-T622,2),0)</f>
        <v>0</v>
      </c>
      <c r="Y622" s="9">
        <f>ROUND(SUMIFS('Bank Lines'!$E$5:$E$1640,'Bank Lines'!$G$5:$G$1640,A622,'Bank Lines'!$J$5:$J$1640,1,'Bank Lines'!$C$5:$C$1640,"&lt;="&amp;Cover!$C$15),2)</f>
        <v>1044.45</v>
      </c>
      <c r="Z622" s="9">
        <f>ROUND(SUMIFS('Odoo Items'!$G$5:$G$4331,'Odoo Items'!$J$5:$J$4331,A622,'Odoo Items'!$C$5:$C$4331,"&lt;="&amp;Cover!$C$15),2)</f>
        <v>1044.45</v>
      </c>
      <c r="AA622">
        <f>COUNTIFS('Bank Lines'!$G$5:$G$1640,A622,'Bank Lines'!$J$5:$J$1640,1,'Bank Lines'!$C$5:$C$1640,"&lt;="&amp;Cover!$C$15)</f>
        <v>1</v>
      </c>
      <c r="AB622">
        <f>COUNTIFS('Odoo Items'!$J$5:$J$4331,A622,'Odoo Items'!$C$5:$C$4331,"&lt;="&amp;Cover!$C$15)</f>
        <v>1</v>
      </c>
      <c r="AC622" t="str">
        <f>IF(AND(AA622=0,AB622=0),"",IF(AA622=0,"ODOO-ONLY",IF(AB622=0,"BANK-ONLY","BOTH")))</f>
        <v>BOTH</v>
      </c>
      <c r="AD622" s="9">
        <f>IF(AC622="BOTH",ROUND(Y622-Z622,2),0)</f>
        <v>0</v>
      </c>
    </row>
    <row r="623">
      <c r="A623" t="inlineStr">
        <is>
          <t>G00619</t>
        </is>
      </c>
      <c r="B623" t="inlineStr">
        <is>
          <t>MER</t>
        </is>
      </c>
      <c r="C623" t="inlineStr">
        <is>
          <t>R08</t>
        </is>
      </c>
      <c r="D623" t="inlineStr">
        <is>
          <t>MATCH</t>
        </is>
      </c>
      <c r="E623" t="inlineStr"/>
      <c r="G623" t="inlineStr"/>
      <c r="H623">
        <f>COUNTIFS('Bank Lines'!$G$5:$G$1640,A623,'Bank Lines'!$J$5:$J$1640,1)</f>
        <v>1</v>
      </c>
      <c r="I623">
        <f>COUNTIFS('Odoo Items'!$J$5:$J$4331,A623)</f>
        <v>1</v>
      </c>
      <c r="J623" s="9">
        <f>ROUND(SUMIFS('Bank Lines'!$E$5:$E$1640,'Bank Lines'!$G$5:$G$1640,A623,'Bank Lines'!$J$5:$J$1640,1),2)</f>
        <v>3336.14</v>
      </c>
      <c r="K623" s="9">
        <f>ROUND(SUMIFS('Odoo Items'!$G$5:$G$4331,'Odoo Items'!$J$5:$J$4331,A623),2)</f>
        <v>3336.14</v>
      </c>
      <c r="L623" s="9">
        <f>ROUND(J623-K623,2)</f>
        <v>0</v>
      </c>
      <c r="M623" s="9">
        <f>ROUND(SUMIFS('Bank Lines'!$E$5:$E$1640,'Bank Lines'!$G$5:$G$1640,A623,'Bank Lines'!$J$5:$J$1640,1,'Bank Lines'!$C$5:$C$1640,"&lt;="&amp;Cover!$C$13),2)</f>
        <v>3336.14</v>
      </c>
      <c r="N623" s="9">
        <f>ROUND(SUMIFS('Odoo Items'!$G$5:$G$4331,'Odoo Items'!$J$5:$J$4331,A623,'Odoo Items'!$C$5:$C$4331,"&lt;="&amp;Cover!$C$13),2)</f>
        <v>3336.14</v>
      </c>
      <c r="O623">
        <f>COUNTIFS('Bank Lines'!$G$5:$G$1640,A623,'Bank Lines'!$J$5:$J$1640,1,'Bank Lines'!$C$5:$C$1640,"&lt;="&amp;Cover!$C$13)</f>
        <v>1</v>
      </c>
      <c r="P623">
        <f>COUNTIFS('Odoo Items'!$J$5:$J$4331,A623,'Odoo Items'!$C$5:$C$4331,"&lt;="&amp;Cover!$C$13)</f>
        <v>1</v>
      </c>
      <c r="Q623" t="str">
        <f>IF(AND(O623=0,P623=0),"",IF(O623=0,"ODOO-ONLY",IF(P623=0,"BANK-ONLY","BOTH")))</f>
        <v>BOTH</v>
      </c>
      <c r="R623" s="9">
        <f>IF(Q623="BOTH",ROUND(M623-N623,2),0)</f>
        <v>0</v>
      </c>
      <c r="S623" s="9">
        <f>ROUND(SUMIFS('Bank Lines'!$E$5:$E$1640,'Bank Lines'!$G$5:$G$1640,A623,'Bank Lines'!$J$5:$J$1640,1,'Bank Lines'!$C$5:$C$1640,"&lt;="&amp;Cover!$C$14),2)</f>
        <v>3336.14</v>
      </c>
      <c r="T623" s="9">
        <f>ROUND(SUMIFS('Odoo Items'!$G$5:$G$4331,'Odoo Items'!$J$5:$J$4331,A623,'Odoo Items'!$C$5:$C$4331,"&lt;="&amp;Cover!$C$14),2)</f>
        <v>3336.14</v>
      </c>
      <c r="U623">
        <f>COUNTIFS('Bank Lines'!$G$5:$G$1640,A623,'Bank Lines'!$J$5:$J$1640,1,'Bank Lines'!$C$5:$C$1640,"&lt;="&amp;Cover!$C$14)</f>
        <v>1</v>
      </c>
      <c r="V623">
        <f>COUNTIFS('Odoo Items'!$J$5:$J$4331,A623,'Odoo Items'!$C$5:$C$4331,"&lt;="&amp;Cover!$C$14)</f>
        <v>1</v>
      </c>
      <c r="W623" t="str">
        <f>IF(AND(U623=0,V623=0),"",IF(U623=0,"ODOO-ONLY",IF(V623=0,"BANK-ONLY","BOTH")))</f>
        <v>BOTH</v>
      </c>
      <c r="X623" s="9">
        <f>IF(W623="BOTH",ROUND(S623-T623,2),0)</f>
        <v>0</v>
      </c>
      <c r="Y623" s="9">
        <f>ROUND(SUMIFS('Bank Lines'!$E$5:$E$1640,'Bank Lines'!$G$5:$G$1640,A623,'Bank Lines'!$J$5:$J$1640,1,'Bank Lines'!$C$5:$C$1640,"&lt;="&amp;Cover!$C$15),2)</f>
        <v>3336.14</v>
      </c>
      <c r="Z623" s="9">
        <f>ROUND(SUMIFS('Odoo Items'!$G$5:$G$4331,'Odoo Items'!$J$5:$J$4331,A623,'Odoo Items'!$C$5:$C$4331,"&lt;="&amp;Cover!$C$15),2)</f>
        <v>3336.14</v>
      </c>
      <c r="AA623">
        <f>COUNTIFS('Bank Lines'!$G$5:$G$1640,A623,'Bank Lines'!$J$5:$J$1640,1,'Bank Lines'!$C$5:$C$1640,"&lt;="&amp;Cover!$C$15)</f>
        <v>1</v>
      </c>
      <c r="AB623">
        <f>COUNTIFS('Odoo Items'!$J$5:$J$4331,A623,'Odoo Items'!$C$5:$C$4331,"&lt;="&amp;Cover!$C$15)</f>
        <v>1</v>
      </c>
      <c r="AC623" t="str">
        <f>IF(AND(AA623=0,AB623=0),"",IF(AA623=0,"ODOO-ONLY",IF(AB623=0,"BANK-ONLY","BOTH")))</f>
        <v>BOTH</v>
      </c>
      <c r="AD623" s="9">
        <f>IF(AC623="BOTH",ROUND(Y623-Z623,2),0)</f>
        <v>0</v>
      </c>
    </row>
    <row r="624">
      <c r="A624" t="inlineStr">
        <is>
          <t>G00620</t>
        </is>
      </c>
      <c r="B624" t="inlineStr">
        <is>
          <t>MER</t>
        </is>
      </c>
      <c r="C624" t="inlineStr">
        <is>
          <t>R08</t>
        </is>
      </c>
      <c r="D624" t="inlineStr">
        <is>
          <t>MATCH</t>
        </is>
      </c>
      <c r="E624" t="inlineStr"/>
      <c r="G624" t="inlineStr"/>
      <c r="H624">
        <f>COUNTIFS('Bank Lines'!$G$5:$G$1640,A624,'Bank Lines'!$J$5:$J$1640,1)</f>
        <v>1</v>
      </c>
      <c r="I624">
        <f>COUNTIFS('Odoo Items'!$J$5:$J$4331,A624)</f>
        <v>1</v>
      </c>
      <c r="J624" s="9">
        <f>ROUND(SUMIFS('Bank Lines'!$E$5:$E$1640,'Bank Lines'!$G$5:$G$1640,A624,'Bank Lines'!$J$5:$J$1640,1),2)</f>
        <v>2592.49</v>
      </c>
      <c r="K624" s="9">
        <f>ROUND(SUMIFS('Odoo Items'!$G$5:$G$4331,'Odoo Items'!$J$5:$J$4331,A624),2)</f>
        <v>2592.49</v>
      </c>
      <c r="L624" s="9">
        <f>ROUND(J624-K624,2)</f>
        <v>0</v>
      </c>
      <c r="M624" s="9">
        <f>ROUND(SUMIFS('Bank Lines'!$E$5:$E$1640,'Bank Lines'!$G$5:$G$1640,A624,'Bank Lines'!$J$5:$J$1640,1,'Bank Lines'!$C$5:$C$1640,"&lt;="&amp;Cover!$C$13),2)</f>
        <v>2592.49</v>
      </c>
      <c r="N624" s="9">
        <f>ROUND(SUMIFS('Odoo Items'!$G$5:$G$4331,'Odoo Items'!$J$5:$J$4331,A624,'Odoo Items'!$C$5:$C$4331,"&lt;="&amp;Cover!$C$13),2)</f>
        <v>2592.49</v>
      </c>
      <c r="O624">
        <f>COUNTIFS('Bank Lines'!$G$5:$G$1640,A624,'Bank Lines'!$J$5:$J$1640,1,'Bank Lines'!$C$5:$C$1640,"&lt;="&amp;Cover!$C$13)</f>
        <v>1</v>
      </c>
      <c r="P624">
        <f>COUNTIFS('Odoo Items'!$J$5:$J$4331,A624,'Odoo Items'!$C$5:$C$4331,"&lt;="&amp;Cover!$C$13)</f>
        <v>1</v>
      </c>
      <c r="Q624" t="str">
        <f>IF(AND(O624=0,P624=0),"",IF(O624=0,"ODOO-ONLY",IF(P624=0,"BANK-ONLY","BOTH")))</f>
        <v>BOTH</v>
      </c>
      <c r="R624" s="9">
        <f>IF(Q624="BOTH",ROUND(M624-N624,2),0)</f>
        <v>0</v>
      </c>
      <c r="S624" s="9">
        <f>ROUND(SUMIFS('Bank Lines'!$E$5:$E$1640,'Bank Lines'!$G$5:$G$1640,A624,'Bank Lines'!$J$5:$J$1640,1,'Bank Lines'!$C$5:$C$1640,"&lt;="&amp;Cover!$C$14),2)</f>
        <v>2592.49</v>
      </c>
      <c r="T624" s="9">
        <f>ROUND(SUMIFS('Odoo Items'!$G$5:$G$4331,'Odoo Items'!$J$5:$J$4331,A624,'Odoo Items'!$C$5:$C$4331,"&lt;="&amp;Cover!$C$14),2)</f>
        <v>2592.49</v>
      </c>
      <c r="U624">
        <f>COUNTIFS('Bank Lines'!$G$5:$G$1640,A624,'Bank Lines'!$J$5:$J$1640,1,'Bank Lines'!$C$5:$C$1640,"&lt;="&amp;Cover!$C$14)</f>
        <v>1</v>
      </c>
      <c r="V624">
        <f>COUNTIFS('Odoo Items'!$J$5:$J$4331,A624,'Odoo Items'!$C$5:$C$4331,"&lt;="&amp;Cover!$C$14)</f>
        <v>1</v>
      </c>
      <c r="W624" t="str">
        <f>IF(AND(U624=0,V624=0),"",IF(U624=0,"ODOO-ONLY",IF(V624=0,"BANK-ONLY","BOTH")))</f>
        <v>BOTH</v>
      </c>
      <c r="X624" s="9">
        <f>IF(W624="BOTH",ROUND(S624-T624,2),0)</f>
        <v>0</v>
      </c>
      <c r="Y624" s="9">
        <f>ROUND(SUMIFS('Bank Lines'!$E$5:$E$1640,'Bank Lines'!$G$5:$G$1640,A624,'Bank Lines'!$J$5:$J$1640,1,'Bank Lines'!$C$5:$C$1640,"&lt;="&amp;Cover!$C$15),2)</f>
        <v>2592.49</v>
      </c>
      <c r="Z624" s="9">
        <f>ROUND(SUMIFS('Odoo Items'!$G$5:$G$4331,'Odoo Items'!$J$5:$J$4331,A624,'Odoo Items'!$C$5:$C$4331,"&lt;="&amp;Cover!$C$15),2)</f>
        <v>2592.49</v>
      </c>
      <c r="AA624">
        <f>COUNTIFS('Bank Lines'!$G$5:$G$1640,A624,'Bank Lines'!$J$5:$J$1640,1,'Bank Lines'!$C$5:$C$1640,"&lt;="&amp;Cover!$C$15)</f>
        <v>1</v>
      </c>
      <c r="AB624">
        <f>COUNTIFS('Odoo Items'!$J$5:$J$4331,A624,'Odoo Items'!$C$5:$C$4331,"&lt;="&amp;Cover!$C$15)</f>
        <v>1</v>
      </c>
      <c r="AC624" t="str">
        <f>IF(AND(AA624=0,AB624=0),"",IF(AA624=0,"ODOO-ONLY",IF(AB624=0,"BANK-ONLY","BOTH")))</f>
        <v>BOTH</v>
      </c>
      <c r="AD624" s="9">
        <f>IF(AC624="BOTH",ROUND(Y624-Z624,2),0)</f>
        <v>0</v>
      </c>
    </row>
    <row r="625">
      <c r="A625" t="inlineStr">
        <is>
          <t>G00621</t>
        </is>
      </c>
      <c r="B625" t="inlineStr">
        <is>
          <t>MER</t>
        </is>
      </c>
      <c r="C625" t="inlineStr">
        <is>
          <t>R08</t>
        </is>
      </c>
      <c r="D625" t="inlineStr">
        <is>
          <t>MATCH</t>
        </is>
      </c>
      <c r="E625" t="inlineStr"/>
      <c r="G625" t="inlineStr"/>
      <c r="H625">
        <f>COUNTIFS('Bank Lines'!$G$5:$G$1640,A625,'Bank Lines'!$J$5:$J$1640,1)</f>
        <v>1</v>
      </c>
      <c r="I625">
        <f>COUNTIFS('Odoo Items'!$J$5:$J$4331,A625)</f>
        <v>1</v>
      </c>
      <c r="J625" s="9">
        <f>ROUND(SUMIFS('Bank Lines'!$E$5:$E$1640,'Bank Lines'!$G$5:$G$1640,A625,'Bank Lines'!$J$5:$J$1640,1),2)</f>
        <v>2453.07</v>
      </c>
      <c r="K625" s="9">
        <f>ROUND(SUMIFS('Odoo Items'!$G$5:$G$4331,'Odoo Items'!$J$5:$J$4331,A625),2)</f>
        <v>2453.07</v>
      </c>
      <c r="L625" s="9">
        <f>ROUND(J625-K625,2)</f>
        <v>0</v>
      </c>
      <c r="M625" s="9">
        <f>ROUND(SUMIFS('Bank Lines'!$E$5:$E$1640,'Bank Lines'!$G$5:$G$1640,A625,'Bank Lines'!$J$5:$J$1640,1,'Bank Lines'!$C$5:$C$1640,"&lt;="&amp;Cover!$C$13),2)</f>
        <v>2453.07</v>
      </c>
      <c r="N625" s="9">
        <f>ROUND(SUMIFS('Odoo Items'!$G$5:$G$4331,'Odoo Items'!$J$5:$J$4331,A625,'Odoo Items'!$C$5:$C$4331,"&lt;="&amp;Cover!$C$13),2)</f>
        <v>2453.07</v>
      </c>
      <c r="O625">
        <f>COUNTIFS('Bank Lines'!$G$5:$G$1640,A625,'Bank Lines'!$J$5:$J$1640,1,'Bank Lines'!$C$5:$C$1640,"&lt;="&amp;Cover!$C$13)</f>
        <v>1</v>
      </c>
      <c r="P625">
        <f>COUNTIFS('Odoo Items'!$J$5:$J$4331,A625,'Odoo Items'!$C$5:$C$4331,"&lt;="&amp;Cover!$C$13)</f>
        <v>1</v>
      </c>
      <c r="Q625" t="str">
        <f>IF(AND(O625=0,P625=0),"",IF(O625=0,"ODOO-ONLY",IF(P625=0,"BANK-ONLY","BOTH")))</f>
        <v>BOTH</v>
      </c>
      <c r="R625" s="9">
        <f>IF(Q625="BOTH",ROUND(M625-N625,2),0)</f>
        <v>0</v>
      </c>
      <c r="S625" s="9">
        <f>ROUND(SUMIFS('Bank Lines'!$E$5:$E$1640,'Bank Lines'!$G$5:$G$1640,A625,'Bank Lines'!$J$5:$J$1640,1,'Bank Lines'!$C$5:$C$1640,"&lt;="&amp;Cover!$C$14),2)</f>
        <v>2453.07</v>
      </c>
      <c r="T625" s="9">
        <f>ROUND(SUMIFS('Odoo Items'!$G$5:$G$4331,'Odoo Items'!$J$5:$J$4331,A625,'Odoo Items'!$C$5:$C$4331,"&lt;="&amp;Cover!$C$14),2)</f>
        <v>2453.07</v>
      </c>
      <c r="U625">
        <f>COUNTIFS('Bank Lines'!$G$5:$G$1640,A625,'Bank Lines'!$J$5:$J$1640,1,'Bank Lines'!$C$5:$C$1640,"&lt;="&amp;Cover!$C$14)</f>
        <v>1</v>
      </c>
      <c r="V625">
        <f>COUNTIFS('Odoo Items'!$J$5:$J$4331,A625,'Odoo Items'!$C$5:$C$4331,"&lt;="&amp;Cover!$C$14)</f>
        <v>1</v>
      </c>
      <c r="W625" t="str">
        <f>IF(AND(U625=0,V625=0),"",IF(U625=0,"ODOO-ONLY",IF(V625=0,"BANK-ONLY","BOTH")))</f>
        <v>BOTH</v>
      </c>
      <c r="X625" s="9">
        <f>IF(W625="BOTH",ROUND(S625-T625,2),0)</f>
        <v>0</v>
      </c>
      <c r="Y625" s="9">
        <f>ROUND(SUMIFS('Bank Lines'!$E$5:$E$1640,'Bank Lines'!$G$5:$G$1640,A625,'Bank Lines'!$J$5:$J$1640,1,'Bank Lines'!$C$5:$C$1640,"&lt;="&amp;Cover!$C$15),2)</f>
        <v>2453.07</v>
      </c>
      <c r="Z625" s="9">
        <f>ROUND(SUMIFS('Odoo Items'!$G$5:$G$4331,'Odoo Items'!$J$5:$J$4331,A625,'Odoo Items'!$C$5:$C$4331,"&lt;="&amp;Cover!$C$15),2)</f>
        <v>2453.07</v>
      </c>
      <c r="AA625">
        <f>COUNTIFS('Bank Lines'!$G$5:$G$1640,A625,'Bank Lines'!$J$5:$J$1640,1,'Bank Lines'!$C$5:$C$1640,"&lt;="&amp;Cover!$C$15)</f>
        <v>1</v>
      </c>
      <c r="AB625">
        <f>COUNTIFS('Odoo Items'!$J$5:$J$4331,A625,'Odoo Items'!$C$5:$C$4331,"&lt;="&amp;Cover!$C$15)</f>
        <v>1</v>
      </c>
      <c r="AC625" t="str">
        <f>IF(AND(AA625=0,AB625=0),"",IF(AA625=0,"ODOO-ONLY",IF(AB625=0,"BANK-ONLY","BOTH")))</f>
        <v>BOTH</v>
      </c>
      <c r="AD625" s="9">
        <f>IF(AC625="BOTH",ROUND(Y625-Z625,2),0)</f>
        <v>0</v>
      </c>
    </row>
    <row r="626">
      <c r="A626" t="inlineStr">
        <is>
          <t>G00622</t>
        </is>
      </c>
      <c r="B626" t="inlineStr">
        <is>
          <t>MER</t>
        </is>
      </c>
      <c r="C626" t="inlineStr">
        <is>
          <t>R08</t>
        </is>
      </c>
      <c r="D626" t="inlineStr">
        <is>
          <t>MATCH</t>
        </is>
      </c>
      <c r="E626" t="inlineStr"/>
      <c r="G626" t="inlineStr"/>
      <c r="H626">
        <f>COUNTIFS('Bank Lines'!$G$5:$G$1640,A626,'Bank Lines'!$J$5:$J$1640,1)</f>
        <v>1</v>
      </c>
      <c r="I626">
        <f>COUNTIFS('Odoo Items'!$J$5:$J$4331,A626)</f>
        <v>1</v>
      </c>
      <c r="J626" s="9">
        <f>ROUND(SUMIFS('Bank Lines'!$E$5:$E$1640,'Bank Lines'!$G$5:$G$1640,A626,'Bank Lines'!$J$5:$J$1640,1),2)</f>
        <v>2990.45</v>
      </c>
      <c r="K626" s="9">
        <f>ROUND(SUMIFS('Odoo Items'!$G$5:$G$4331,'Odoo Items'!$J$5:$J$4331,A626),2)</f>
        <v>2990.45</v>
      </c>
      <c r="L626" s="9">
        <f>ROUND(J626-K626,2)</f>
        <v>0</v>
      </c>
      <c r="M626" s="9">
        <f>ROUND(SUMIFS('Bank Lines'!$E$5:$E$1640,'Bank Lines'!$G$5:$G$1640,A626,'Bank Lines'!$J$5:$J$1640,1,'Bank Lines'!$C$5:$C$1640,"&lt;="&amp;Cover!$C$13),2)</f>
        <v>2990.45</v>
      </c>
      <c r="N626" s="9">
        <f>ROUND(SUMIFS('Odoo Items'!$G$5:$G$4331,'Odoo Items'!$J$5:$J$4331,A626,'Odoo Items'!$C$5:$C$4331,"&lt;="&amp;Cover!$C$13),2)</f>
        <v>2990.45</v>
      </c>
      <c r="O626">
        <f>COUNTIFS('Bank Lines'!$G$5:$G$1640,A626,'Bank Lines'!$J$5:$J$1640,1,'Bank Lines'!$C$5:$C$1640,"&lt;="&amp;Cover!$C$13)</f>
        <v>1</v>
      </c>
      <c r="P626">
        <f>COUNTIFS('Odoo Items'!$J$5:$J$4331,A626,'Odoo Items'!$C$5:$C$4331,"&lt;="&amp;Cover!$C$13)</f>
        <v>1</v>
      </c>
      <c r="Q626" t="str">
        <f>IF(AND(O626=0,P626=0),"",IF(O626=0,"ODOO-ONLY",IF(P626=0,"BANK-ONLY","BOTH")))</f>
        <v>BOTH</v>
      </c>
      <c r="R626" s="9">
        <f>IF(Q626="BOTH",ROUND(M626-N626,2),0)</f>
        <v>0</v>
      </c>
      <c r="S626" s="9">
        <f>ROUND(SUMIFS('Bank Lines'!$E$5:$E$1640,'Bank Lines'!$G$5:$G$1640,A626,'Bank Lines'!$J$5:$J$1640,1,'Bank Lines'!$C$5:$C$1640,"&lt;="&amp;Cover!$C$14),2)</f>
        <v>2990.45</v>
      </c>
      <c r="T626" s="9">
        <f>ROUND(SUMIFS('Odoo Items'!$G$5:$G$4331,'Odoo Items'!$J$5:$J$4331,A626,'Odoo Items'!$C$5:$C$4331,"&lt;="&amp;Cover!$C$14),2)</f>
        <v>2990.45</v>
      </c>
      <c r="U626">
        <f>COUNTIFS('Bank Lines'!$G$5:$G$1640,A626,'Bank Lines'!$J$5:$J$1640,1,'Bank Lines'!$C$5:$C$1640,"&lt;="&amp;Cover!$C$14)</f>
        <v>1</v>
      </c>
      <c r="V626">
        <f>COUNTIFS('Odoo Items'!$J$5:$J$4331,A626,'Odoo Items'!$C$5:$C$4331,"&lt;="&amp;Cover!$C$14)</f>
        <v>1</v>
      </c>
      <c r="W626" t="str">
        <f>IF(AND(U626=0,V626=0),"",IF(U626=0,"ODOO-ONLY",IF(V626=0,"BANK-ONLY","BOTH")))</f>
        <v>BOTH</v>
      </c>
      <c r="X626" s="9">
        <f>IF(W626="BOTH",ROUND(S626-T626,2),0)</f>
        <v>0</v>
      </c>
      <c r="Y626" s="9">
        <f>ROUND(SUMIFS('Bank Lines'!$E$5:$E$1640,'Bank Lines'!$G$5:$G$1640,A626,'Bank Lines'!$J$5:$J$1640,1,'Bank Lines'!$C$5:$C$1640,"&lt;="&amp;Cover!$C$15),2)</f>
        <v>2990.45</v>
      </c>
      <c r="Z626" s="9">
        <f>ROUND(SUMIFS('Odoo Items'!$G$5:$G$4331,'Odoo Items'!$J$5:$J$4331,A626,'Odoo Items'!$C$5:$C$4331,"&lt;="&amp;Cover!$C$15),2)</f>
        <v>2990.45</v>
      </c>
      <c r="AA626">
        <f>COUNTIFS('Bank Lines'!$G$5:$G$1640,A626,'Bank Lines'!$J$5:$J$1640,1,'Bank Lines'!$C$5:$C$1640,"&lt;="&amp;Cover!$C$15)</f>
        <v>1</v>
      </c>
      <c r="AB626">
        <f>COUNTIFS('Odoo Items'!$J$5:$J$4331,A626,'Odoo Items'!$C$5:$C$4331,"&lt;="&amp;Cover!$C$15)</f>
        <v>1</v>
      </c>
      <c r="AC626" t="str">
        <f>IF(AND(AA626=0,AB626=0),"",IF(AA626=0,"ODOO-ONLY",IF(AB626=0,"BANK-ONLY","BOTH")))</f>
        <v>BOTH</v>
      </c>
      <c r="AD626" s="9">
        <f>IF(AC626="BOTH",ROUND(Y626-Z626,2),0)</f>
        <v>0</v>
      </c>
    </row>
    <row r="627">
      <c r="A627" t="inlineStr">
        <is>
          <t>G00623</t>
        </is>
      </c>
      <c r="B627" t="inlineStr">
        <is>
          <t>MER</t>
        </is>
      </c>
      <c r="C627" t="inlineStr">
        <is>
          <t>R08</t>
        </is>
      </c>
      <c r="D627" t="inlineStr">
        <is>
          <t>MATCH</t>
        </is>
      </c>
      <c r="E627" t="inlineStr"/>
      <c r="G627" t="inlineStr"/>
      <c r="H627">
        <f>COUNTIFS('Bank Lines'!$G$5:$G$1640,A627,'Bank Lines'!$J$5:$J$1640,1)</f>
        <v>1</v>
      </c>
      <c r="I627">
        <f>COUNTIFS('Odoo Items'!$J$5:$J$4331,A627)</f>
        <v>1</v>
      </c>
      <c r="J627" s="9">
        <f>ROUND(SUMIFS('Bank Lines'!$E$5:$E$1640,'Bank Lines'!$G$5:$G$1640,A627,'Bank Lines'!$J$5:$J$1640,1),2)</f>
        <v>1412.81</v>
      </c>
      <c r="K627" s="9">
        <f>ROUND(SUMIFS('Odoo Items'!$G$5:$G$4331,'Odoo Items'!$J$5:$J$4331,A627),2)</f>
        <v>1412.81</v>
      </c>
      <c r="L627" s="9">
        <f>ROUND(J627-K627,2)</f>
        <v>0</v>
      </c>
      <c r="M627" s="9">
        <f>ROUND(SUMIFS('Bank Lines'!$E$5:$E$1640,'Bank Lines'!$G$5:$G$1640,A627,'Bank Lines'!$J$5:$J$1640,1,'Bank Lines'!$C$5:$C$1640,"&lt;="&amp;Cover!$C$13),2)</f>
        <v>1412.81</v>
      </c>
      <c r="N627" s="9">
        <f>ROUND(SUMIFS('Odoo Items'!$G$5:$G$4331,'Odoo Items'!$J$5:$J$4331,A627,'Odoo Items'!$C$5:$C$4331,"&lt;="&amp;Cover!$C$13),2)</f>
        <v>1412.81</v>
      </c>
      <c r="O627">
        <f>COUNTIFS('Bank Lines'!$G$5:$G$1640,A627,'Bank Lines'!$J$5:$J$1640,1,'Bank Lines'!$C$5:$C$1640,"&lt;="&amp;Cover!$C$13)</f>
        <v>1</v>
      </c>
      <c r="P627">
        <f>COUNTIFS('Odoo Items'!$J$5:$J$4331,A627,'Odoo Items'!$C$5:$C$4331,"&lt;="&amp;Cover!$C$13)</f>
        <v>1</v>
      </c>
      <c r="Q627" t="str">
        <f>IF(AND(O627=0,P627=0),"",IF(O627=0,"ODOO-ONLY",IF(P627=0,"BANK-ONLY","BOTH")))</f>
        <v>BOTH</v>
      </c>
      <c r="R627" s="9">
        <f>IF(Q627="BOTH",ROUND(M627-N627,2),0)</f>
        <v>0</v>
      </c>
      <c r="S627" s="9">
        <f>ROUND(SUMIFS('Bank Lines'!$E$5:$E$1640,'Bank Lines'!$G$5:$G$1640,A627,'Bank Lines'!$J$5:$J$1640,1,'Bank Lines'!$C$5:$C$1640,"&lt;="&amp;Cover!$C$14),2)</f>
        <v>1412.81</v>
      </c>
      <c r="T627" s="9">
        <f>ROUND(SUMIFS('Odoo Items'!$G$5:$G$4331,'Odoo Items'!$J$5:$J$4331,A627,'Odoo Items'!$C$5:$C$4331,"&lt;="&amp;Cover!$C$14),2)</f>
        <v>1412.81</v>
      </c>
      <c r="U627">
        <f>COUNTIFS('Bank Lines'!$G$5:$G$1640,A627,'Bank Lines'!$J$5:$J$1640,1,'Bank Lines'!$C$5:$C$1640,"&lt;="&amp;Cover!$C$14)</f>
        <v>1</v>
      </c>
      <c r="V627">
        <f>COUNTIFS('Odoo Items'!$J$5:$J$4331,A627,'Odoo Items'!$C$5:$C$4331,"&lt;="&amp;Cover!$C$14)</f>
        <v>1</v>
      </c>
      <c r="W627" t="str">
        <f>IF(AND(U627=0,V627=0),"",IF(U627=0,"ODOO-ONLY",IF(V627=0,"BANK-ONLY","BOTH")))</f>
        <v>BOTH</v>
      </c>
      <c r="X627" s="9">
        <f>IF(W627="BOTH",ROUND(S627-T627,2),0)</f>
        <v>0</v>
      </c>
      <c r="Y627" s="9">
        <f>ROUND(SUMIFS('Bank Lines'!$E$5:$E$1640,'Bank Lines'!$G$5:$G$1640,A627,'Bank Lines'!$J$5:$J$1640,1,'Bank Lines'!$C$5:$C$1640,"&lt;="&amp;Cover!$C$15),2)</f>
        <v>1412.81</v>
      </c>
      <c r="Z627" s="9">
        <f>ROUND(SUMIFS('Odoo Items'!$G$5:$G$4331,'Odoo Items'!$J$5:$J$4331,A627,'Odoo Items'!$C$5:$C$4331,"&lt;="&amp;Cover!$C$15),2)</f>
        <v>1412.81</v>
      </c>
      <c r="AA627">
        <f>COUNTIFS('Bank Lines'!$G$5:$G$1640,A627,'Bank Lines'!$J$5:$J$1640,1,'Bank Lines'!$C$5:$C$1640,"&lt;="&amp;Cover!$C$15)</f>
        <v>1</v>
      </c>
      <c r="AB627">
        <f>COUNTIFS('Odoo Items'!$J$5:$J$4331,A627,'Odoo Items'!$C$5:$C$4331,"&lt;="&amp;Cover!$C$15)</f>
        <v>1</v>
      </c>
      <c r="AC627" t="str">
        <f>IF(AND(AA627=0,AB627=0),"",IF(AA627=0,"ODOO-ONLY",IF(AB627=0,"BANK-ONLY","BOTH")))</f>
        <v>BOTH</v>
      </c>
      <c r="AD627" s="9">
        <f>IF(AC627="BOTH",ROUND(Y627-Z627,2),0)</f>
        <v>0</v>
      </c>
    </row>
    <row r="628">
      <c r="A628" t="inlineStr">
        <is>
          <t>G00624</t>
        </is>
      </c>
      <c r="B628" t="inlineStr">
        <is>
          <t>MER</t>
        </is>
      </c>
      <c r="C628" t="inlineStr">
        <is>
          <t>R08</t>
        </is>
      </c>
      <c r="D628" t="inlineStr">
        <is>
          <t>MATCH</t>
        </is>
      </c>
      <c r="E628" t="inlineStr"/>
      <c r="G628" t="inlineStr"/>
      <c r="H628">
        <f>COUNTIFS('Bank Lines'!$G$5:$G$1640,A628,'Bank Lines'!$J$5:$J$1640,1)</f>
        <v>1</v>
      </c>
      <c r="I628">
        <f>COUNTIFS('Odoo Items'!$J$5:$J$4331,A628)</f>
        <v>1</v>
      </c>
      <c r="J628" s="9">
        <f>ROUND(SUMIFS('Bank Lines'!$E$5:$E$1640,'Bank Lines'!$G$5:$G$1640,A628,'Bank Lines'!$J$5:$J$1640,1),2)</f>
        <v>2543.78</v>
      </c>
      <c r="K628" s="9">
        <f>ROUND(SUMIFS('Odoo Items'!$G$5:$G$4331,'Odoo Items'!$J$5:$J$4331,A628),2)</f>
        <v>2543.78</v>
      </c>
      <c r="L628" s="9">
        <f>ROUND(J628-K628,2)</f>
        <v>0</v>
      </c>
      <c r="M628" s="9">
        <f>ROUND(SUMIFS('Bank Lines'!$E$5:$E$1640,'Bank Lines'!$G$5:$G$1640,A628,'Bank Lines'!$J$5:$J$1640,1,'Bank Lines'!$C$5:$C$1640,"&lt;="&amp;Cover!$C$13),2)</f>
        <v>2543.78</v>
      </c>
      <c r="N628" s="9">
        <f>ROUND(SUMIFS('Odoo Items'!$G$5:$G$4331,'Odoo Items'!$J$5:$J$4331,A628,'Odoo Items'!$C$5:$C$4331,"&lt;="&amp;Cover!$C$13),2)</f>
        <v>2543.78</v>
      </c>
      <c r="O628">
        <f>COUNTIFS('Bank Lines'!$G$5:$G$1640,A628,'Bank Lines'!$J$5:$J$1640,1,'Bank Lines'!$C$5:$C$1640,"&lt;="&amp;Cover!$C$13)</f>
        <v>1</v>
      </c>
      <c r="P628">
        <f>COUNTIFS('Odoo Items'!$J$5:$J$4331,A628,'Odoo Items'!$C$5:$C$4331,"&lt;="&amp;Cover!$C$13)</f>
        <v>1</v>
      </c>
      <c r="Q628" t="str">
        <f>IF(AND(O628=0,P628=0),"",IF(O628=0,"ODOO-ONLY",IF(P628=0,"BANK-ONLY","BOTH")))</f>
        <v>BOTH</v>
      </c>
      <c r="R628" s="9">
        <f>IF(Q628="BOTH",ROUND(M628-N628,2),0)</f>
        <v>0</v>
      </c>
      <c r="S628" s="9">
        <f>ROUND(SUMIFS('Bank Lines'!$E$5:$E$1640,'Bank Lines'!$G$5:$G$1640,A628,'Bank Lines'!$J$5:$J$1640,1,'Bank Lines'!$C$5:$C$1640,"&lt;="&amp;Cover!$C$14),2)</f>
        <v>2543.78</v>
      </c>
      <c r="T628" s="9">
        <f>ROUND(SUMIFS('Odoo Items'!$G$5:$G$4331,'Odoo Items'!$J$5:$J$4331,A628,'Odoo Items'!$C$5:$C$4331,"&lt;="&amp;Cover!$C$14),2)</f>
        <v>2543.78</v>
      </c>
      <c r="U628">
        <f>COUNTIFS('Bank Lines'!$G$5:$G$1640,A628,'Bank Lines'!$J$5:$J$1640,1,'Bank Lines'!$C$5:$C$1640,"&lt;="&amp;Cover!$C$14)</f>
        <v>1</v>
      </c>
      <c r="V628">
        <f>COUNTIFS('Odoo Items'!$J$5:$J$4331,A628,'Odoo Items'!$C$5:$C$4331,"&lt;="&amp;Cover!$C$14)</f>
        <v>1</v>
      </c>
      <c r="W628" t="str">
        <f>IF(AND(U628=0,V628=0),"",IF(U628=0,"ODOO-ONLY",IF(V628=0,"BANK-ONLY","BOTH")))</f>
        <v>BOTH</v>
      </c>
      <c r="X628" s="9">
        <f>IF(W628="BOTH",ROUND(S628-T628,2),0)</f>
        <v>0</v>
      </c>
      <c r="Y628" s="9">
        <f>ROUND(SUMIFS('Bank Lines'!$E$5:$E$1640,'Bank Lines'!$G$5:$G$1640,A628,'Bank Lines'!$J$5:$J$1640,1,'Bank Lines'!$C$5:$C$1640,"&lt;="&amp;Cover!$C$15),2)</f>
        <v>2543.78</v>
      </c>
      <c r="Z628" s="9">
        <f>ROUND(SUMIFS('Odoo Items'!$G$5:$G$4331,'Odoo Items'!$J$5:$J$4331,A628,'Odoo Items'!$C$5:$C$4331,"&lt;="&amp;Cover!$C$15),2)</f>
        <v>2543.78</v>
      </c>
      <c r="AA628">
        <f>COUNTIFS('Bank Lines'!$G$5:$G$1640,A628,'Bank Lines'!$J$5:$J$1640,1,'Bank Lines'!$C$5:$C$1640,"&lt;="&amp;Cover!$C$15)</f>
        <v>1</v>
      </c>
      <c r="AB628">
        <f>COUNTIFS('Odoo Items'!$J$5:$J$4331,A628,'Odoo Items'!$C$5:$C$4331,"&lt;="&amp;Cover!$C$15)</f>
        <v>1</v>
      </c>
      <c r="AC628" t="str">
        <f>IF(AND(AA628=0,AB628=0),"",IF(AA628=0,"ODOO-ONLY",IF(AB628=0,"BANK-ONLY","BOTH")))</f>
        <v>BOTH</v>
      </c>
      <c r="AD628" s="9">
        <f>IF(AC628="BOTH",ROUND(Y628-Z628,2),0)</f>
        <v>0</v>
      </c>
    </row>
    <row r="629">
      <c r="A629" t="inlineStr">
        <is>
          <t>G00625</t>
        </is>
      </c>
      <c r="B629" t="inlineStr">
        <is>
          <t>MER</t>
        </is>
      </c>
      <c r="C629" t="inlineStr">
        <is>
          <t>R08</t>
        </is>
      </c>
      <c r="D629" t="inlineStr">
        <is>
          <t>MATCH</t>
        </is>
      </c>
      <c r="E629" t="inlineStr"/>
      <c r="G629" t="inlineStr"/>
      <c r="H629">
        <f>COUNTIFS('Bank Lines'!$G$5:$G$1640,A629,'Bank Lines'!$J$5:$J$1640,1)</f>
        <v>1</v>
      </c>
      <c r="I629">
        <f>COUNTIFS('Odoo Items'!$J$5:$J$4331,A629)</f>
        <v>1</v>
      </c>
      <c r="J629" s="9">
        <f>ROUND(SUMIFS('Bank Lines'!$E$5:$E$1640,'Bank Lines'!$G$5:$G$1640,A629,'Bank Lines'!$J$5:$J$1640,1),2)</f>
        <v>2646.6</v>
      </c>
      <c r="K629" s="9">
        <f>ROUND(SUMIFS('Odoo Items'!$G$5:$G$4331,'Odoo Items'!$J$5:$J$4331,A629),2)</f>
        <v>2646.6</v>
      </c>
      <c r="L629" s="9">
        <f>ROUND(J629-K629,2)</f>
        <v>0</v>
      </c>
      <c r="M629" s="9">
        <f>ROUND(SUMIFS('Bank Lines'!$E$5:$E$1640,'Bank Lines'!$G$5:$G$1640,A629,'Bank Lines'!$J$5:$J$1640,1,'Bank Lines'!$C$5:$C$1640,"&lt;="&amp;Cover!$C$13),2)</f>
        <v>2646.6</v>
      </c>
      <c r="N629" s="9">
        <f>ROUND(SUMIFS('Odoo Items'!$G$5:$G$4331,'Odoo Items'!$J$5:$J$4331,A629,'Odoo Items'!$C$5:$C$4331,"&lt;="&amp;Cover!$C$13),2)</f>
        <v>2646.6</v>
      </c>
      <c r="O629">
        <f>COUNTIFS('Bank Lines'!$G$5:$G$1640,A629,'Bank Lines'!$J$5:$J$1640,1,'Bank Lines'!$C$5:$C$1640,"&lt;="&amp;Cover!$C$13)</f>
        <v>1</v>
      </c>
      <c r="P629">
        <f>COUNTIFS('Odoo Items'!$J$5:$J$4331,A629,'Odoo Items'!$C$5:$C$4331,"&lt;="&amp;Cover!$C$13)</f>
        <v>1</v>
      </c>
      <c r="Q629" t="str">
        <f>IF(AND(O629=0,P629=0),"",IF(O629=0,"ODOO-ONLY",IF(P629=0,"BANK-ONLY","BOTH")))</f>
        <v>BOTH</v>
      </c>
      <c r="R629" s="9">
        <f>IF(Q629="BOTH",ROUND(M629-N629,2),0)</f>
        <v>0</v>
      </c>
      <c r="S629" s="9">
        <f>ROUND(SUMIFS('Bank Lines'!$E$5:$E$1640,'Bank Lines'!$G$5:$G$1640,A629,'Bank Lines'!$J$5:$J$1640,1,'Bank Lines'!$C$5:$C$1640,"&lt;="&amp;Cover!$C$14),2)</f>
        <v>2646.6</v>
      </c>
      <c r="T629" s="9">
        <f>ROUND(SUMIFS('Odoo Items'!$G$5:$G$4331,'Odoo Items'!$J$5:$J$4331,A629,'Odoo Items'!$C$5:$C$4331,"&lt;="&amp;Cover!$C$14),2)</f>
        <v>2646.6</v>
      </c>
      <c r="U629">
        <f>COUNTIFS('Bank Lines'!$G$5:$G$1640,A629,'Bank Lines'!$J$5:$J$1640,1,'Bank Lines'!$C$5:$C$1640,"&lt;="&amp;Cover!$C$14)</f>
        <v>1</v>
      </c>
      <c r="V629">
        <f>COUNTIFS('Odoo Items'!$J$5:$J$4331,A629,'Odoo Items'!$C$5:$C$4331,"&lt;="&amp;Cover!$C$14)</f>
        <v>1</v>
      </c>
      <c r="W629" t="str">
        <f>IF(AND(U629=0,V629=0),"",IF(U629=0,"ODOO-ONLY",IF(V629=0,"BANK-ONLY","BOTH")))</f>
        <v>BOTH</v>
      </c>
      <c r="X629" s="9">
        <f>IF(W629="BOTH",ROUND(S629-T629,2),0)</f>
        <v>0</v>
      </c>
      <c r="Y629" s="9">
        <f>ROUND(SUMIFS('Bank Lines'!$E$5:$E$1640,'Bank Lines'!$G$5:$G$1640,A629,'Bank Lines'!$J$5:$J$1640,1,'Bank Lines'!$C$5:$C$1640,"&lt;="&amp;Cover!$C$15),2)</f>
        <v>2646.6</v>
      </c>
      <c r="Z629" s="9">
        <f>ROUND(SUMIFS('Odoo Items'!$G$5:$G$4331,'Odoo Items'!$J$5:$J$4331,A629,'Odoo Items'!$C$5:$C$4331,"&lt;="&amp;Cover!$C$15),2)</f>
        <v>2646.6</v>
      </c>
      <c r="AA629">
        <f>COUNTIFS('Bank Lines'!$G$5:$G$1640,A629,'Bank Lines'!$J$5:$J$1640,1,'Bank Lines'!$C$5:$C$1640,"&lt;="&amp;Cover!$C$15)</f>
        <v>1</v>
      </c>
      <c r="AB629">
        <f>COUNTIFS('Odoo Items'!$J$5:$J$4331,A629,'Odoo Items'!$C$5:$C$4331,"&lt;="&amp;Cover!$C$15)</f>
        <v>1</v>
      </c>
      <c r="AC629" t="str">
        <f>IF(AND(AA629=0,AB629=0),"",IF(AA629=0,"ODOO-ONLY",IF(AB629=0,"BANK-ONLY","BOTH")))</f>
        <v>BOTH</v>
      </c>
      <c r="AD629" s="9">
        <f>IF(AC629="BOTH",ROUND(Y629-Z629,2),0)</f>
        <v>0</v>
      </c>
    </row>
    <row r="630">
      <c r="A630" t="inlineStr">
        <is>
          <t>G00626</t>
        </is>
      </c>
      <c r="B630" t="inlineStr">
        <is>
          <t>MER</t>
        </is>
      </c>
      <c r="C630" t="inlineStr">
        <is>
          <t>R08</t>
        </is>
      </c>
      <c r="D630" t="inlineStr">
        <is>
          <t>MATCH</t>
        </is>
      </c>
      <c r="E630" t="inlineStr"/>
      <c r="G630" t="inlineStr"/>
      <c r="H630">
        <f>COUNTIFS('Bank Lines'!$G$5:$G$1640,A630,'Bank Lines'!$J$5:$J$1640,1)</f>
        <v>1</v>
      </c>
      <c r="I630">
        <f>COUNTIFS('Odoo Items'!$J$5:$J$4331,A630)</f>
        <v>1</v>
      </c>
      <c r="J630" s="9">
        <f>ROUND(SUMIFS('Bank Lines'!$E$5:$E$1640,'Bank Lines'!$G$5:$G$1640,A630,'Bank Lines'!$J$5:$J$1640,1),2)</f>
        <v>3302.4</v>
      </c>
      <c r="K630" s="9">
        <f>ROUND(SUMIFS('Odoo Items'!$G$5:$G$4331,'Odoo Items'!$J$5:$J$4331,A630),2)</f>
        <v>3302.4</v>
      </c>
      <c r="L630" s="9">
        <f>ROUND(J630-K630,2)</f>
        <v>0</v>
      </c>
      <c r="M630" s="9">
        <f>ROUND(SUMIFS('Bank Lines'!$E$5:$E$1640,'Bank Lines'!$G$5:$G$1640,A630,'Bank Lines'!$J$5:$J$1640,1,'Bank Lines'!$C$5:$C$1640,"&lt;="&amp;Cover!$C$13),2)</f>
        <v>3302.4</v>
      </c>
      <c r="N630" s="9">
        <f>ROUND(SUMIFS('Odoo Items'!$G$5:$G$4331,'Odoo Items'!$J$5:$J$4331,A630,'Odoo Items'!$C$5:$C$4331,"&lt;="&amp;Cover!$C$13),2)</f>
        <v>3302.4</v>
      </c>
      <c r="O630">
        <f>COUNTIFS('Bank Lines'!$G$5:$G$1640,A630,'Bank Lines'!$J$5:$J$1640,1,'Bank Lines'!$C$5:$C$1640,"&lt;="&amp;Cover!$C$13)</f>
        <v>1</v>
      </c>
      <c r="P630">
        <f>COUNTIFS('Odoo Items'!$J$5:$J$4331,A630,'Odoo Items'!$C$5:$C$4331,"&lt;="&amp;Cover!$C$13)</f>
        <v>1</v>
      </c>
      <c r="Q630" t="str">
        <f>IF(AND(O630=0,P630=0),"",IF(O630=0,"ODOO-ONLY",IF(P630=0,"BANK-ONLY","BOTH")))</f>
        <v>BOTH</v>
      </c>
      <c r="R630" s="9">
        <f>IF(Q630="BOTH",ROUND(M630-N630,2),0)</f>
        <v>0</v>
      </c>
      <c r="S630" s="9">
        <f>ROUND(SUMIFS('Bank Lines'!$E$5:$E$1640,'Bank Lines'!$G$5:$G$1640,A630,'Bank Lines'!$J$5:$J$1640,1,'Bank Lines'!$C$5:$C$1640,"&lt;="&amp;Cover!$C$14),2)</f>
        <v>3302.4</v>
      </c>
      <c r="T630" s="9">
        <f>ROUND(SUMIFS('Odoo Items'!$G$5:$G$4331,'Odoo Items'!$J$5:$J$4331,A630,'Odoo Items'!$C$5:$C$4331,"&lt;="&amp;Cover!$C$14),2)</f>
        <v>3302.4</v>
      </c>
      <c r="U630">
        <f>COUNTIFS('Bank Lines'!$G$5:$G$1640,A630,'Bank Lines'!$J$5:$J$1640,1,'Bank Lines'!$C$5:$C$1640,"&lt;="&amp;Cover!$C$14)</f>
        <v>1</v>
      </c>
      <c r="V630">
        <f>COUNTIFS('Odoo Items'!$J$5:$J$4331,A630,'Odoo Items'!$C$5:$C$4331,"&lt;="&amp;Cover!$C$14)</f>
        <v>1</v>
      </c>
      <c r="W630" t="str">
        <f>IF(AND(U630=0,V630=0),"",IF(U630=0,"ODOO-ONLY",IF(V630=0,"BANK-ONLY","BOTH")))</f>
        <v>BOTH</v>
      </c>
      <c r="X630" s="9">
        <f>IF(W630="BOTH",ROUND(S630-T630,2),0)</f>
        <v>0</v>
      </c>
      <c r="Y630" s="9">
        <f>ROUND(SUMIFS('Bank Lines'!$E$5:$E$1640,'Bank Lines'!$G$5:$G$1640,A630,'Bank Lines'!$J$5:$J$1640,1,'Bank Lines'!$C$5:$C$1640,"&lt;="&amp;Cover!$C$15),2)</f>
        <v>3302.4</v>
      </c>
      <c r="Z630" s="9">
        <f>ROUND(SUMIFS('Odoo Items'!$G$5:$G$4331,'Odoo Items'!$J$5:$J$4331,A630,'Odoo Items'!$C$5:$C$4331,"&lt;="&amp;Cover!$C$15),2)</f>
        <v>3302.4</v>
      </c>
      <c r="AA630">
        <f>COUNTIFS('Bank Lines'!$G$5:$G$1640,A630,'Bank Lines'!$J$5:$J$1640,1,'Bank Lines'!$C$5:$C$1640,"&lt;="&amp;Cover!$C$15)</f>
        <v>1</v>
      </c>
      <c r="AB630">
        <f>COUNTIFS('Odoo Items'!$J$5:$J$4331,A630,'Odoo Items'!$C$5:$C$4331,"&lt;="&amp;Cover!$C$15)</f>
        <v>1</v>
      </c>
      <c r="AC630" t="str">
        <f>IF(AND(AA630=0,AB630=0),"",IF(AA630=0,"ODOO-ONLY",IF(AB630=0,"BANK-ONLY","BOTH")))</f>
        <v>BOTH</v>
      </c>
      <c r="AD630" s="9">
        <f>IF(AC630="BOTH",ROUND(Y630-Z630,2),0)</f>
        <v>0</v>
      </c>
    </row>
    <row r="631">
      <c r="A631" t="inlineStr">
        <is>
          <t>G00627</t>
        </is>
      </c>
      <c r="B631" t="inlineStr">
        <is>
          <t>MER</t>
        </is>
      </c>
      <c r="C631" t="inlineStr">
        <is>
          <t>R08</t>
        </is>
      </c>
      <c r="D631" t="inlineStr">
        <is>
          <t>MATCH</t>
        </is>
      </c>
      <c r="E631" t="inlineStr"/>
      <c r="G631" t="inlineStr"/>
      <c r="H631">
        <f>COUNTIFS('Bank Lines'!$G$5:$G$1640,A631,'Bank Lines'!$J$5:$J$1640,1)</f>
        <v>1</v>
      </c>
      <c r="I631">
        <f>COUNTIFS('Odoo Items'!$J$5:$J$4331,A631)</f>
        <v>1</v>
      </c>
      <c r="J631" s="9">
        <f>ROUND(SUMIFS('Bank Lines'!$E$5:$E$1640,'Bank Lines'!$G$5:$G$1640,A631,'Bank Lines'!$J$5:$J$1640,1),2)</f>
        <v>3042.74</v>
      </c>
      <c r="K631" s="9">
        <f>ROUND(SUMIFS('Odoo Items'!$G$5:$G$4331,'Odoo Items'!$J$5:$J$4331,A631),2)</f>
        <v>3042.74</v>
      </c>
      <c r="L631" s="9">
        <f>ROUND(J631-K631,2)</f>
        <v>0</v>
      </c>
      <c r="M631" s="9">
        <f>ROUND(SUMIFS('Bank Lines'!$E$5:$E$1640,'Bank Lines'!$G$5:$G$1640,A631,'Bank Lines'!$J$5:$J$1640,1,'Bank Lines'!$C$5:$C$1640,"&lt;="&amp;Cover!$C$13),2)</f>
        <v>3042.74</v>
      </c>
      <c r="N631" s="9">
        <f>ROUND(SUMIFS('Odoo Items'!$G$5:$G$4331,'Odoo Items'!$J$5:$J$4331,A631,'Odoo Items'!$C$5:$C$4331,"&lt;="&amp;Cover!$C$13),2)</f>
        <v>3042.74</v>
      </c>
      <c r="O631">
        <f>COUNTIFS('Bank Lines'!$G$5:$G$1640,A631,'Bank Lines'!$J$5:$J$1640,1,'Bank Lines'!$C$5:$C$1640,"&lt;="&amp;Cover!$C$13)</f>
        <v>1</v>
      </c>
      <c r="P631">
        <f>COUNTIFS('Odoo Items'!$J$5:$J$4331,A631,'Odoo Items'!$C$5:$C$4331,"&lt;="&amp;Cover!$C$13)</f>
        <v>1</v>
      </c>
      <c r="Q631" t="str">
        <f>IF(AND(O631=0,P631=0),"",IF(O631=0,"ODOO-ONLY",IF(P631=0,"BANK-ONLY","BOTH")))</f>
        <v>BOTH</v>
      </c>
      <c r="R631" s="9">
        <f>IF(Q631="BOTH",ROUND(M631-N631,2),0)</f>
        <v>0</v>
      </c>
      <c r="S631" s="9">
        <f>ROUND(SUMIFS('Bank Lines'!$E$5:$E$1640,'Bank Lines'!$G$5:$G$1640,A631,'Bank Lines'!$J$5:$J$1640,1,'Bank Lines'!$C$5:$C$1640,"&lt;="&amp;Cover!$C$14),2)</f>
        <v>3042.74</v>
      </c>
      <c r="T631" s="9">
        <f>ROUND(SUMIFS('Odoo Items'!$G$5:$G$4331,'Odoo Items'!$J$5:$J$4331,A631,'Odoo Items'!$C$5:$C$4331,"&lt;="&amp;Cover!$C$14),2)</f>
        <v>3042.74</v>
      </c>
      <c r="U631">
        <f>COUNTIFS('Bank Lines'!$G$5:$G$1640,A631,'Bank Lines'!$J$5:$J$1640,1,'Bank Lines'!$C$5:$C$1640,"&lt;="&amp;Cover!$C$14)</f>
        <v>1</v>
      </c>
      <c r="V631">
        <f>COUNTIFS('Odoo Items'!$J$5:$J$4331,A631,'Odoo Items'!$C$5:$C$4331,"&lt;="&amp;Cover!$C$14)</f>
        <v>1</v>
      </c>
      <c r="W631" t="str">
        <f>IF(AND(U631=0,V631=0),"",IF(U631=0,"ODOO-ONLY",IF(V631=0,"BANK-ONLY","BOTH")))</f>
        <v>BOTH</v>
      </c>
      <c r="X631" s="9">
        <f>IF(W631="BOTH",ROUND(S631-T631,2),0)</f>
        <v>0</v>
      </c>
      <c r="Y631" s="9">
        <f>ROUND(SUMIFS('Bank Lines'!$E$5:$E$1640,'Bank Lines'!$G$5:$G$1640,A631,'Bank Lines'!$J$5:$J$1640,1,'Bank Lines'!$C$5:$C$1640,"&lt;="&amp;Cover!$C$15),2)</f>
        <v>3042.74</v>
      </c>
      <c r="Z631" s="9">
        <f>ROUND(SUMIFS('Odoo Items'!$G$5:$G$4331,'Odoo Items'!$J$5:$J$4331,A631,'Odoo Items'!$C$5:$C$4331,"&lt;="&amp;Cover!$C$15),2)</f>
        <v>3042.74</v>
      </c>
      <c r="AA631">
        <f>COUNTIFS('Bank Lines'!$G$5:$G$1640,A631,'Bank Lines'!$J$5:$J$1640,1,'Bank Lines'!$C$5:$C$1640,"&lt;="&amp;Cover!$C$15)</f>
        <v>1</v>
      </c>
      <c r="AB631">
        <f>COUNTIFS('Odoo Items'!$J$5:$J$4331,A631,'Odoo Items'!$C$5:$C$4331,"&lt;="&amp;Cover!$C$15)</f>
        <v>1</v>
      </c>
      <c r="AC631" t="str">
        <f>IF(AND(AA631=0,AB631=0),"",IF(AA631=0,"ODOO-ONLY",IF(AB631=0,"BANK-ONLY","BOTH")))</f>
        <v>BOTH</v>
      </c>
      <c r="AD631" s="9">
        <f>IF(AC631="BOTH",ROUND(Y631-Z631,2),0)</f>
        <v>0</v>
      </c>
    </row>
    <row r="632">
      <c r="A632" t="inlineStr">
        <is>
          <t>G00628</t>
        </is>
      </c>
      <c r="B632" t="inlineStr">
        <is>
          <t>MER</t>
        </is>
      </c>
      <c r="C632" t="inlineStr">
        <is>
          <t>R08</t>
        </is>
      </c>
      <c r="D632" t="inlineStr">
        <is>
          <t>MATCH</t>
        </is>
      </c>
      <c r="E632" t="inlineStr"/>
      <c r="G632" t="inlineStr"/>
      <c r="H632">
        <f>COUNTIFS('Bank Lines'!$G$5:$G$1640,A632,'Bank Lines'!$J$5:$J$1640,1)</f>
        <v>1</v>
      </c>
      <c r="I632">
        <f>COUNTIFS('Odoo Items'!$J$5:$J$4331,A632)</f>
        <v>1</v>
      </c>
      <c r="J632" s="9">
        <f>ROUND(SUMIFS('Bank Lines'!$E$5:$E$1640,'Bank Lines'!$G$5:$G$1640,A632,'Bank Lines'!$J$5:$J$1640,1),2)</f>
        <v>2715.97</v>
      </c>
      <c r="K632" s="9">
        <f>ROUND(SUMIFS('Odoo Items'!$G$5:$G$4331,'Odoo Items'!$J$5:$J$4331,A632),2)</f>
        <v>2715.97</v>
      </c>
      <c r="L632" s="9">
        <f>ROUND(J632-K632,2)</f>
        <v>0</v>
      </c>
      <c r="M632" s="9">
        <f>ROUND(SUMIFS('Bank Lines'!$E$5:$E$1640,'Bank Lines'!$G$5:$G$1640,A632,'Bank Lines'!$J$5:$J$1640,1,'Bank Lines'!$C$5:$C$1640,"&lt;="&amp;Cover!$C$13),2)</f>
        <v>2715.97</v>
      </c>
      <c r="N632" s="9">
        <f>ROUND(SUMIFS('Odoo Items'!$G$5:$G$4331,'Odoo Items'!$J$5:$J$4331,A632,'Odoo Items'!$C$5:$C$4331,"&lt;="&amp;Cover!$C$13),2)</f>
        <v>2715.97</v>
      </c>
      <c r="O632">
        <f>COUNTIFS('Bank Lines'!$G$5:$G$1640,A632,'Bank Lines'!$J$5:$J$1640,1,'Bank Lines'!$C$5:$C$1640,"&lt;="&amp;Cover!$C$13)</f>
        <v>1</v>
      </c>
      <c r="P632">
        <f>COUNTIFS('Odoo Items'!$J$5:$J$4331,A632,'Odoo Items'!$C$5:$C$4331,"&lt;="&amp;Cover!$C$13)</f>
        <v>1</v>
      </c>
      <c r="Q632" t="str">
        <f>IF(AND(O632=0,P632=0),"",IF(O632=0,"ODOO-ONLY",IF(P632=0,"BANK-ONLY","BOTH")))</f>
        <v>BOTH</v>
      </c>
      <c r="R632" s="9">
        <f>IF(Q632="BOTH",ROUND(M632-N632,2),0)</f>
        <v>0</v>
      </c>
      <c r="S632" s="9">
        <f>ROUND(SUMIFS('Bank Lines'!$E$5:$E$1640,'Bank Lines'!$G$5:$G$1640,A632,'Bank Lines'!$J$5:$J$1640,1,'Bank Lines'!$C$5:$C$1640,"&lt;="&amp;Cover!$C$14),2)</f>
        <v>2715.97</v>
      </c>
      <c r="T632" s="9">
        <f>ROUND(SUMIFS('Odoo Items'!$G$5:$G$4331,'Odoo Items'!$J$5:$J$4331,A632,'Odoo Items'!$C$5:$C$4331,"&lt;="&amp;Cover!$C$14),2)</f>
        <v>2715.97</v>
      </c>
      <c r="U632">
        <f>COUNTIFS('Bank Lines'!$G$5:$G$1640,A632,'Bank Lines'!$J$5:$J$1640,1,'Bank Lines'!$C$5:$C$1640,"&lt;="&amp;Cover!$C$14)</f>
        <v>1</v>
      </c>
      <c r="V632">
        <f>COUNTIFS('Odoo Items'!$J$5:$J$4331,A632,'Odoo Items'!$C$5:$C$4331,"&lt;="&amp;Cover!$C$14)</f>
        <v>1</v>
      </c>
      <c r="W632" t="str">
        <f>IF(AND(U632=0,V632=0),"",IF(U632=0,"ODOO-ONLY",IF(V632=0,"BANK-ONLY","BOTH")))</f>
        <v>BOTH</v>
      </c>
      <c r="X632" s="9">
        <f>IF(W632="BOTH",ROUND(S632-T632,2),0)</f>
        <v>0</v>
      </c>
      <c r="Y632" s="9">
        <f>ROUND(SUMIFS('Bank Lines'!$E$5:$E$1640,'Bank Lines'!$G$5:$G$1640,A632,'Bank Lines'!$J$5:$J$1640,1,'Bank Lines'!$C$5:$C$1640,"&lt;="&amp;Cover!$C$15),2)</f>
        <v>2715.97</v>
      </c>
      <c r="Z632" s="9">
        <f>ROUND(SUMIFS('Odoo Items'!$G$5:$G$4331,'Odoo Items'!$J$5:$J$4331,A632,'Odoo Items'!$C$5:$C$4331,"&lt;="&amp;Cover!$C$15),2)</f>
        <v>2715.97</v>
      </c>
      <c r="AA632">
        <f>COUNTIFS('Bank Lines'!$G$5:$G$1640,A632,'Bank Lines'!$J$5:$J$1640,1,'Bank Lines'!$C$5:$C$1640,"&lt;="&amp;Cover!$C$15)</f>
        <v>1</v>
      </c>
      <c r="AB632">
        <f>COUNTIFS('Odoo Items'!$J$5:$J$4331,A632,'Odoo Items'!$C$5:$C$4331,"&lt;="&amp;Cover!$C$15)</f>
        <v>1</v>
      </c>
      <c r="AC632" t="str">
        <f>IF(AND(AA632=0,AB632=0),"",IF(AA632=0,"ODOO-ONLY",IF(AB632=0,"BANK-ONLY","BOTH")))</f>
        <v>BOTH</v>
      </c>
      <c r="AD632" s="9">
        <f>IF(AC632="BOTH",ROUND(Y632-Z632,2),0)</f>
        <v>0</v>
      </c>
    </row>
    <row r="633">
      <c r="A633" t="inlineStr">
        <is>
          <t>G00629</t>
        </is>
      </c>
      <c r="B633" t="inlineStr">
        <is>
          <t>MER</t>
        </is>
      </c>
      <c r="C633" t="inlineStr">
        <is>
          <t>R08</t>
        </is>
      </c>
      <c r="D633" t="inlineStr">
        <is>
          <t>MATCH</t>
        </is>
      </c>
      <c r="E633" t="inlineStr"/>
      <c r="G633" t="inlineStr"/>
      <c r="H633">
        <f>COUNTIFS('Bank Lines'!$G$5:$G$1640,A633,'Bank Lines'!$J$5:$J$1640,1)</f>
        <v>1</v>
      </c>
      <c r="I633">
        <f>COUNTIFS('Odoo Items'!$J$5:$J$4331,A633)</f>
        <v>1</v>
      </c>
      <c r="J633" s="9">
        <f>ROUND(SUMIFS('Bank Lines'!$E$5:$E$1640,'Bank Lines'!$G$5:$G$1640,A633,'Bank Lines'!$J$5:$J$1640,1),2)</f>
        <v>1058.51</v>
      </c>
      <c r="K633" s="9">
        <f>ROUND(SUMIFS('Odoo Items'!$G$5:$G$4331,'Odoo Items'!$J$5:$J$4331,A633),2)</f>
        <v>1058.51</v>
      </c>
      <c r="L633" s="9">
        <f>ROUND(J633-K633,2)</f>
        <v>0</v>
      </c>
      <c r="M633" s="9">
        <f>ROUND(SUMIFS('Bank Lines'!$E$5:$E$1640,'Bank Lines'!$G$5:$G$1640,A633,'Bank Lines'!$J$5:$J$1640,1,'Bank Lines'!$C$5:$C$1640,"&lt;="&amp;Cover!$C$13),2)</f>
        <v>1058.51</v>
      </c>
      <c r="N633" s="9">
        <f>ROUND(SUMIFS('Odoo Items'!$G$5:$G$4331,'Odoo Items'!$J$5:$J$4331,A633,'Odoo Items'!$C$5:$C$4331,"&lt;="&amp;Cover!$C$13),2)</f>
        <v>1058.51</v>
      </c>
      <c r="O633">
        <f>COUNTIFS('Bank Lines'!$G$5:$G$1640,A633,'Bank Lines'!$J$5:$J$1640,1,'Bank Lines'!$C$5:$C$1640,"&lt;="&amp;Cover!$C$13)</f>
        <v>1</v>
      </c>
      <c r="P633">
        <f>COUNTIFS('Odoo Items'!$J$5:$J$4331,A633,'Odoo Items'!$C$5:$C$4331,"&lt;="&amp;Cover!$C$13)</f>
        <v>1</v>
      </c>
      <c r="Q633" t="str">
        <f>IF(AND(O633=0,P633=0),"",IF(O633=0,"ODOO-ONLY",IF(P633=0,"BANK-ONLY","BOTH")))</f>
        <v>BOTH</v>
      </c>
      <c r="R633" s="9">
        <f>IF(Q633="BOTH",ROUND(M633-N633,2),0)</f>
        <v>0</v>
      </c>
      <c r="S633" s="9">
        <f>ROUND(SUMIFS('Bank Lines'!$E$5:$E$1640,'Bank Lines'!$G$5:$G$1640,A633,'Bank Lines'!$J$5:$J$1640,1,'Bank Lines'!$C$5:$C$1640,"&lt;="&amp;Cover!$C$14),2)</f>
        <v>1058.51</v>
      </c>
      <c r="T633" s="9">
        <f>ROUND(SUMIFS('Odoo Items'!$G$5:$G$4331,'Odoo Items'!$J$5:$J$4331,A633,'Odoo Items'!$C$5:$C$4331,"&lt;="&amp;Cover!$C$14),2)</f>
        <v>1058.51</v>
      </c>
      <c r="U633">
        <f>COUNTIFS('Bank Lines'!$G$5:$G$1640,A633,'Bank Lines'!$J$5:$J$1640,1,'Bank Lines'!$C$5:$C$1640,"&lt;="&amp;Cover!$C$14)</f>
        <v>1</v>
      </c>
      <c r="V633">
        <f>COUNTIFS('Odoo Items'!$J$5:$J$4331,A633,'Odoo Items'!$C$5:$C$4331,"&lt;="&amp;Cover!$C$14)</f>
        <v>1</v>
      </c>
      <c r="W633" t="str">
        <f>IF(AND(U633=0,V633=0),"",IF(U633=0,"ODOO-ONLY",IF(V633=0,"BANK-ONLY","BOTH")))</f>
        <v>BOTH</v>
      </c>
      <c r="X633" s="9">
        <f>IF(W633="BOTH",ROUND(S633-T633,2),0)</f>
        <v>0</v>
      </c>
      <c r="Y633" s="9">
        <f>ROUND(SUMIFS('Bank Lines'!$E$5:$E$1640,'Bank Lines'!$G$5:$G$1640,A633,'Bank Lines'!$J$5:$J$1640,1,'Bank Lines'!$C$5:$C$1640,"&lt;="&amp;Cover!$C$15),2)</f>
        <v>1058.51</v>
      </c>
      <c r="Z633" s="9">
        <f>ROUND(SUMIFS('Odoo Items'!$G$5:$G$4331,'Odoo Items'!$J$5:$J$4331,A633,'Odoo Items'!$C$5:$C$4331,"&lt;="&amp;Cover!$C$15),2)</f>
        <v>1058.51</v>
      </c>
      <c r="AA633">
        <f>COUNTIFS('Bank Lines'!$G$5:$G$1640,A633,'Bank Lines'!$J$5:$J$1640,1,'Bank Lines'!$C$5:$C$1640,"&lt;="&amp;Cover!$C$15)</f>
        <v>1</v>
      </c>
      <c r="AB633">
        <f>COUNTIFS('Odoo Items'!$J$5:$J$4331,A633,'Odoo Items'!$C$5:$C$4331,"&lt;="&amp;Cover!$C$15)</f>
        <v>1</v>
      </c>
      <c r="AC633" t="str">
        <f>IF(AND(AA633=0,AB633=0),"",IF(AA633=0,"ODOO-ONLY",IF(AB633=0,"BANK-ONLY","BOTH")))</f>
        <v>BOTH</v>
      </c>
      <c r="AD633" s="9">
        <f>IF(AC633="BOTH",ROUND(Y633-Z633,2),0)</f>
        <v>0</v>
      </c>
    </row>
    <row r="634">
      <c r="A634" t="inlineStr">
        <is>
          <t>G00630</t>
        </is>
      </c>
      <c r="B634" t="inlineStr">
        <is>
          <t>MER</t>
        </is>
      </c>
      <c r="C634" t="inlineStr">
        <is>
          <t>R08</t>
        </is>
      </c>
      <c r="D634" t="inlineStr">
        <is>
          <t>MATCH</t>
        </is>
      </c>
      <c r="E634" t="inlineStr"/>
      <c r="G634" t="inlineStr"/>
      <c r="H634">
        <f>COUNTIFS('Bank Lines'!$G$5:$G$1640,A634,'Bank Lines'!$J$5:$J$1640,1)</f>
        <v>1</v>
      </c>
      <c r="I634">
        <f>COUNTIFS('Odoo Items'!$J$5:$J$4331,A634)</f>
        <v>1</v>
      </c>
      <c r="J634" s="9">
        <f>ROUND(SUMIFS('Bank Lines'!$E$5:$E$1640,'Bank Lines'!$G$5:$G$1640,A634,'Bank Lines'!$J$5:$J$1640,1),2)</f>
        <v>3492.5</v>
      </c>
      <c r="K634" s="9">
        <f>ROUND(SUMIFS('Odoo Items'!$G$5:$G$4331,'Odoo Items'!$J$5:$J$4331,A634),2)</f>
        <v>3492.5</v>
      </c>
      <c r="L634" s="9">
        <f>ROUND(J634-K634,2)</f>
        <v>0</v>
      </c>
      <c r="M634" s="9">
        <f>ROUND(SUMIFS('Bank Lines'!$E$5:$E$1640,'Bank Lines'!$G$5:$G$1640,A634,'Bank Lines'!$J$5:$J$1640,1,'Bank Lines'!$C$5:$C$1640,"&lt;="&amp;Cover!$C$13),2)</f>
        <v>3492.5</v>
      </c>
      <c r="N634" s="9">
        <f>ROUND(SUMIFS('Odoo Items'!$G$5:$G$4331,'Odoo Items'!$J$5:$J$4331,A634,'Odoo Items'!$C$5:$C$4331,"&lt;="&amp;Cover!$C$13),2)</f>
        <v>3492.5</v>
      </c>
      <c r="O634">
        <f>COUNTIFS('Bank Lines'!$G$5:$G$1640,A634,'Bank Lines'!$J$5:$J$1640,1,'Bank Lines'!$C$5:$C$1640,"&lt;="&amp;Cover!$C$13)</f>
        <v>1</v>
      </c>
      <c r="P634">
        <f>COUNTIFS('Odoo Items'!$J$5:$J$4331,A634,'Odoo Items'!$C$5:$C$4331,"&lt;="&amp;Cover!$C$13)</f>
        <v>1</v>
      </c>
      <c r="Q634" t="str">
        <f>IF(AND(O634=0,P634=0),"",IF(O634=0,"ODOO-ONLY",IF(P634=0,"BANK-ONLY","BOTH")))</f>
        <v>BOTH</v>
      </c>
      <c r="R634" s="9">
        <f>IF(Q634="BOTH",ROUND(M634-N634,2),0)</f>
        <v>0</v>
      </c>
      <c r="S634" s="9">
        <f>ROUND(SUMIFS('Bank Lines'!$E$5:$E$1640,'Bank Lines'!$G$5:$G$1640,A634,'Bank Lines'!$J$5:$J$1640,1,'Bank Lines'!$C$5:$C$1640,"&lt;="&amp;Cover!$C$14),2)</f>
        <v>3492.5</v>
      </c>
      <c r="T634" s="9">
        <f>ROUND(SUMIFS('Odoo Items'!$G$5:$G$4331,'Odoo Items'!$J$5:$J$4331,A634,'Odoo Items'!$C$5:$C$4331,"&lt;="&amp;Cover!$C$14),2)</f>
        <v>3492.5</v>
      </c>
      <c r="U634">
        <f>COUNTIFS('Bank Lines'!$G$5:$G$1640,A634,'Bank Lines'!$J$5:$J$1640,1,'Bank Lines'!$C$5:$C$1640,"&lt;="&amp;Cover!$C$14)</f>
        <v>1</v>
      </c>
      <c r="V634">
        <f>COUNTIFS('Odoo Items'!$J$5:$J$4331,A634,'Odoo Items'!$C$5:$C$4331,"&lt;="&amp;Cover!$C$14)</f>
        <v>1</v>
      </c>
      <c r="W634" t="str">
        <f>IF(AND(U634=0,V634=0),"",IF(U634=0,"ODOO-ONLY",IF(V634=0,"BANK-ONLY","BOTH")))</f>
        <v>BOTH</v>
      </c>
      <c r="X634" s="9">
        <f>IF(W634="BOTH",ROUND(S634-T634,2),0)</f>
        <v>0</v>
      </c>
      <c r="Y634" s="9">
        <f>ROUND(SUMIFS('Bank Lines'!$E$5:$E$1640,'Bank Lines'!$G$5:$G$1640,A634,'Bank Lines'!$J$5:$J$1640,1,'Bank Lines'!$C$5:$C$1640,"&lt;="&amp;Cover!$C$15),2)</f>
        <v>3492.5</v>
      </c>
      <c r="Z634" s="9">
        <f>ROUND(SUMIFS('Odoo Items'!$G$5:$G$4331,'Odoo Items'!$J$5:$J$4331,A634,'Odoo Items'!$C$5:$C$4331,"&lt;="&amp;Cover!$C$15),2)</f>
        <v>3492.5</v>
      </c>
      <c r="AA634">
        <f>COUNTIFS('Bank Lines'!$G$5:$G$1640,A634,'Bank Lines'!$J$5:$J$1640,1,'Bank Lines'!$C$5:$C$1640,"&lt;="&amp;Cover!$C$15)</f>
        <v>1</v>
      </c>
      <c r="AB634">
        <f>COUNTIFS('Odoo Items'!$J$5:$J$4331,A634,'Odoo Items'!$C$5:$C$4331,"&lt;="&amp;Cover!$C$15)</f>
        <v>1</v>
      </c>
      <c r="AC634" t="str">
        <f>IF(AND(AA634=0,AB634=0),"",IF(AA634=0,"ODOO-ONLY",IF(AB634=0,"BANK-ONLY","BOTH")))</f>
        <v>BOTH</v>
      </c>
      <c r="AD634" s="9">
        <f>IF(AC634="BOTH",ROUND(Y634-Z634,2),0)</f>
        <v>0</v>
      </c>
    </row>
    <row r="635">
      <c r="A635" t="inlineStr">
        <is>
          <t>G00631</t>
        </is>
      </c>
      <c r="B635" t="inlineStr">
        <is>
          <t>MER</t>
        </is>
      </c>
      <c r="C635" t="inlineStr">
        <is>
          <t>R08</t>
        </is>
      </c>
      <c r="D635" t="inlineStr">
        <is>
          <t>MATCH</t>
        </is>
      </c>
      <c r="E635" t="inlineStr"/>
      <c r="G635" t="inlineStr"/>
      <c r="H635">
        <f>COUNTIFS('Bank Lines'!$G$5:$G$1640,A635,'Bank Lines'!$J$5:$J$1640,1)</f>
        <v>1</v>
      </c>
      <c r="I635">
        <f>COUNTIFS('Odoo Items'!$J$5:$J$4331,A635)</f>
        <v>1</v>
      </c>
      <c r="J635" s="9">
        <f>ROUND(SUMIFS('Bank Lines'!$E$5:$E$1640,'Bank Lines'!$G$5:$G$1640,A635,'Bank Lines'!$J$5:$J$1640,1),2)</f>
        <v>2391.2</v>
      </c>
      <c r="K635" s="9">
        <f>ROUND(SUMIFS('Odoo Items'!$G$5:$G$4331,'Odoo Items'!$J$5:$J$4331,A635),2)</f>
        <v>2391.2</v>
      </c>
      <c r="L635" s="9">
        <f>ROUND(J635-K635,2)</f>
        <v>0</v>
      </c>
      <c r="M635" s="9">
        <f>ROUND(SUMIFS('Bank Lines'!$E$5:$E$1640,'Bank Lines'!$G$5:$G$1640,A635,'Bank Lines'!$J$5:$J$1640,1,'Bank Lines'!$C$5:$C$1640,"&lt;="&amp;Cover!$C$13),2)</f>
        <v>2391.2</v>
      </c>
      <c r="N635" s="9">
        <f>ROUND(SUMIFS('Odoo Items'!$G$5:$G$4331,'Odoo Items'!$J$5:$J$4331,A635,'Odoo Items'!$C$5:$C$4331,"&lt;="&amp;Cover!$C$13),2)</f>
        <v>2391.2</v>
      </c>
      <c r="O635">
        <f>COUNTIFS('Bank Lines'!$G$5:$G$1640,A635,'Bank Lines'!$J$5:$J$1640,1,'Bank Lines'!$C$5:$C$1640,"&lt;="&amp;Cover!$C$13)</f>
        <v>1</v>
      </c>
      <c r="P635">
        <f>COUNTIFS('Odoo Items'!$J$5:$J$4331,A635,'Odoo Items'!$C$5:$C$4331,"&lt;="&amp;Cover!$C$13)</f>
        <v>1</v>
      </c>
      <c r="Q635" t="str">
        <f>IF(AND(O635=0,P635=0),"",IF(O635=0,"ODOO-ONLY",IF(P635=0,"BANK-ONLY","BOTH")))</f>
        <v>BOTH</v>
      </c>
      <c r="R635" s="9">
        <f>IF(Q635="BOTH",ROUND(M635-N635,2),0)</f>
        <v>0</v>
      </c>
      <c r="S635" s="9">
        <f>ROUND(SUMIFS('Bank Lines'!$E$5:$E$1640,'Bank Lines'!$G$5:$G$1640,A635,'Bank Lines'!$J$5:$J$1640,1,'Bank Lines'!$C$5:$C$1640,"&lt;="&amp;Cover!$C$14),2)</f>
        <v>2391.2</v>
      </c>
      <c r="T635" s="9">
        <f>ROUND(SUMIFS('Odoo Items'!$G$5:$G$4331,'Odoo Items'!$J$5:$J$4331,A635,'Odoo Items'!$C$5:$C$4331,"&lt;="&amp;Cover!$C$14),2)</f>
        <v>2391.2</v>
      </c>
      <c r="U635">
        <f>COUNTIFS('Bank Lines'!$G$5:$G$1640,A635,'Bank Lines'!$J$5:$J$1640,1,'Bank Lines'!$C$5:$C$1640,"&lt;="&amp;Cover!$C$14)</f>
        <v>1</v>
      </c>
      <c r="V635">
        <f>COUNTIFS('Odoo Items'!$J$5:$J$4331,A635,'Odoo Items'!$C$5:$C$4331,"&lt;="&amp;Cover!$C$14)</f>
        <v>1</v>
      </c>
      <c r="W635" t="str">
        <f>IF(AND(U635=0,V635=0),"",IF(U635=0,"ODOO-ONLY",IF(V635=0,"BANK-ONLY","BOTH")))</f>
        <v>BOTH</v>
      </c>
      <c r="X635" s="9">
        <f>IF(W635="BOTH",ROUND(S635-T635,2),0)</f>
        <v>0</v>
      </c>
      <c r="Y635" s="9">
        <f>ROUND(SUMIFS('Bank Lines'!$E$5:$E$1640,'Bank Lines'!$G$5:$G$1640,A635,'Bank Lines'!$J$5:$J$1640,1,'Bank Lines'!$C$5:$C$1640,"&lt;="&amp;Cover!$C$15),2)</f>
        <v>2391.2</v>
      </c>
      <c r="Z635" s="9">
        <f>ROUND(SUMIFS('Odoo Items'!$G$5:$G$4331,'Odoo Items'!$J$5:$J$4331,A635,'Odoo Items'!$C$5:$C$4331,"&lt;="&amp;Cover!$C$15),2)</f>
        <v>2391.2</v>
      </c>
      <c r="AA635">
        <f>COUNTIFS('Bank Lines'!$G$5:$G$1640,A635,'Bank Lines'!$J$5:$J$1640,1,'Bank Lines'!$C$5:$C$1640,"&lt;="&amp;Cover!$C$15)</f>
        <v>1</v>
      </c>
      <c r="AB635">
        <f>COUNTIFS('Odoo Items'!$J$5:$J$4331,A635,'Odoo Items'!$C$5:$C$4331,"&lt;="&amp;Cover!$C$15)</f>
        <v>1</v>
      </c>
      <c r="AC635" t="str">
        <f>IF(AND(AA635=0,AB635=0),"",IF(AA635=0,"ODOO-ONLY",IF(AB635=0,"BANK-ONLY","BOTH")))</f>
        <v>BOTH</v>
      </c>
      <c r="AD635" s="9">
        <f>IF(AC635="BOTH",ROUND(Y635-Z635,2),0)</f>
        <v>0</v>
      </c>
    </row>
    <row r="636">
      <c r="A636" t="inlineStr">
        <is>
          <t>G00632</t>
        </is>
      </c>
      <c r="B636" t="inlineStr">
        <is>
          <t>MER</t>
        </is>
      </c>
      <c r="C636" t="inlineStr">
        <is>
          <t>R08</t>
        </is>
      </c>
      <c r="D636" t="inlineStr">
        <is>
          <t>MATCH</t>
        </is>
      </c>
      <c r="E636" t="inlineStr"/>
      <c r="G636" t="inlineStr"/>
      <c r="H636">
        <f>COUNTIFS('Bank Lines'!$G$5:$G$1640,A636,'Bank Lines'!$J$5:$J$1640,1)</f>
        <v>1</v>
      </c>
      <c r="I636">
        <f>COUNTIFS('Odoo Items'!$J$5:$J$4331,A636)</f>
        <v>1</v>
      </c>
      <c r="J636" s="9">
        <f>ROUND(SUMIFS('Bank Lines'!$E$5:$E$1640,'Bank Lines'!$G$5:$G$1640,A636,'Bank Lines'!$J$5:$J$1640,1),2)</f>
        <v>3569.32</v>
      </c>
      <c r="K636" s="9">
        <f>ROUND(SUMIFS('Odoo Items'!$G$5:$G$4331,'Odoo Items'!$J$5:$J$4331,A636),2)</f>
        <v>3569.32</v>
      </c>
      <c r="L636" s="9">
        <f>ROUND(J636-K636,2)</f>
        <v>0</v>
      </c>
      <c r="M636" s="9">
        <f>ROUND(SUMIFS('Bank Lines'!$E$5:$E$1640,'Bank Lines'!$G$5:$G$1640,A636,'Bank Lines'!$J$5:$J$1640,1,'Bank Lines'!$C$5:$C$1640,"&lt;="&amp;Cover!$C$13),2)</f>
        <v>3569.32</v>
      </c>
      <c r="N636" s="9">
        <f>ROUND(SUMIFS('Odoo Items'!$G$5:$G$4331,'Odoo Items'!$J$5:$J$4331,A636,'Odoo Items'!$C$5:$C$4331,"&lt;="&amp;Cover!$C$13),2)</f>
        <v>3569.32</v>
      </c>
      <c r="O636">
        <f>COUNTIFS('Bank Lines'!$G$5:$G$1640,A636,'Bank Lines'!$J$5:$J$1640,1,'Bank Lines'!$C$5:$C$1640,"&lt;="&amp;Cover!$C$13)</f>
        <v>1</v>
      </c>
      <c r="P636">
        <f>COUNTIFS('Odoo Items'!$J$5:$J$4331,A636,'Odoo Items'!$C$5:$C$4331,"&lt;="&amp;Cover!$C$13)</f>
        <v>1</v>
      </c>
      <c r="Q636" t="str">
        <f>IF(AND(O636=0,P636=0),"",IF(O636=0,"ODOO-ONLY",IF(P636=0,"BANK-ONLY","BOTH")))</f>
        <v>BOTH</v>
      </c>
      <c r="R636" s="9">
        <f>IF(Q636="BOTH",ROUND(M636-N636,2),0)</f>
        <v>0</v>
      </c>
      <c r="S636" s="9">
        <f>ROUND(SUMIFS('Bank Lines'!$E$5:$E$1640,'Bank Lines'!$G$5:$G$1640,A636,'Bank Lines'!$J$5:$J$1640,1,'Bank Lines'!$C$5:$C$1640,"&lt;="&amp;Cover!$C$14),2)</f>
        <v>3569.32</v>
      </c>
      <c r="T636" s="9">
        <f>ROUND(SUMIFS('Odoo Items'!$G$5:$G$4331,'Odoo Items'!$J$5:$J$4331,A636,'Odoo Items'!$C$5:$C$4331,"&lt;="&amp;Cover!$C$14),2)</f>
        <v>3569.32</v>
      </c>
      <c r="U636">
        <f>COUNTIFS('Bank Lines'!$G$5:$G$1640,A636,'Bank Lines'!$J$5:$J$1640,1,'Bank Lines'!$C$5:$C$1640,"&lt;="&amp;Cover!$C$14)</f>
        <v>1</v>
      </c>
      <c r="V636">
        <f>COUNTIFS('Odoo Items'!$J$5:$J$4331,A636,'Odoo Items'!$C$5:$C$4331,"&lt;="&amp;Cover!$C$14)</f>
        <v>1</v>
      </c>
      <c r="W636" t="str">
        <f>IF(AND(U636=0,V636=0),"",IF(U636=0,"ODOO-ONLY",IF(V636=0,"BANK-ONLY","BOTH")))</f>
        <v>BOTH</v>
      </c>
      <c r="X636" s="9">
        <f>IF(W636="BOTH",ROUND(S636-T636,2),0)</f>
        <v>0</v>
      </c>
      <c r="Y636" s="9">
        <f>ROUND(SUMIFS('Bank Lines'!$E$5:$E$1640,'Bank Lines'!$G$5:$G$1640,A636,'Bank Lines'!$J$5:$J$1640,1,'Bank Lines'!$C$5:$C$1640,"&lt;="&amp;Cover!$C$15),2)</f>
        <v>3569.32</v>
      </c>
      <c r="Z636" s="9">
        <f>ROUND(SUMIFS('Odoo Items'!$G$5:$G$4331,'Odoo Items'!$J$5:$J$4331,A636,'Odoo Items'!$C$5:$C$4331,"&lt;="&amp;Cover!$C$15),2)</f>
        <v>3569.32</v>
      </c>
      <c r="AA636">
        <f>COUNTIFS('Bank Lines'!$G$5:$G$1640,A636,'Bank Lines'!$J$5:$J$1640,1,'Bank Lines'!$C$5:$C$1640,"&lt;="&amp;Cover!$C$15)</f>
        <v>1</v>
      </c>
      <c r="AB636">
        <f>COUNTIFS('Odoo Items'!$J$5:$J$4331,A636,'Odoo Items'!$C$5:$C$4331,"&lt;="&amp;Cover!$C$15)</f>
        <v>1</v>
      </c>
      <c r="AC636" t="str">
        <f>IF(AND(AA636=0,AB636=0),"",IF(AA636=0,"ODOO-ONLY",IF(AB636=0,"BANK-ONLY","BOTH")))</f>
        <v>BOTH</v>
      </c>
      <c r="AD636" s="9">
        <f>IF(AC636="BOTH",ROUND(Y636-Z636,2),0)</f>
        <v>0</v>
      </c>
    </row>
    <row r="637">
      <c r="A637" t="inlineStr">
        <is>
          <t>G00633</t>
        </is>
      </c>
      <c r="B637" t="inlineStr">
        <is>
          <t>MER</t>
        </is>
      </c>
      <c r="C637" t="inlineStr">
        <is>
          <t>R08</t>
        </is>
      </c>
      <c r="D637" t="inlineStr">
        <is>
          <t>MATCH</t>
        </is>
      </c>
      <c r="E637" t="inlineStr"/>
      <c r="G637" t="inlineStr"/>
      <c r="H637">
        <f>COUNTIFS('Bank Lines'!$G$5:$G$1640,A637,'Bank Lines'!$J$5:$J$1640,1)</f>
        <v>1</v>
      </c>
      <c r="I637">
        <f>COUNTIFS('Odoo Items'!$J$5:$J$4331,A637)</f>
        <v>1</v>
      </c>
      <c r="J637" s="9">
        <f>ROUND(SUMIFS('Bank Lines'!$E$5:$E$1640,'Bank Lines'!$G$5:$G$1640,A637,'Bank Lines'!$J$5:$J$1640,1),2)</f>
        <v>2677.25</v>
      </c>
      <c r="K637" s="9">
        <f>ROUND(SUMIFS('Odoo Items'!$G$5:$G$4331,'Odoo Items'!$J$5:$J$4331,A637),2)</f>
        <v>2677.25</v>
      </c>
      <c r="L637" s="9">
        <f>ROUND(J637-K637,2)</f>
        <v>0</v>
      </c>
      <c r="M637" s="9">
        <f>ROUND(SUMIFS('Bank Lines'!$E$5:$E$1640,'Bank Lines'!$G$5:$G$1640,A637,'Bank Lines'!$J$5:$J$1640,1,'Bank Lines'!$C$5:$C$1640,"&lt;="&amp;Cover!$C$13),2)</f>
        <v>2677.25</v>
      </c>
      <c r="N637" s="9">
        <f>ROUND(SUMIFS('Odoo Items'!$G$5:$G$4331,'Odoo Items'!$J$5:$J$4331,A637,'Odoo Items'!$C$5:$C$4331,"&lt;="&amp;Cover!$C$13),2)</f>
        <v>2677.25</v>
      </c>
      <c r="O637">
        <f>COUNTIFS('Bank Lines'!$G$5:$G$1640,A637,'Bank Lines'!$J$5:$J$1640,1,'Bank Lines'!$C$5:$C$1640,"&lt;="&amp;Cover!$C$13)</f>
        <v>1</v>
      </c>
      <c r="P637">
        <f>COUNTIFS('Odoo Items'!$J$5:$J$4331,A637,'Odoo Items'!$C$5:$C$4331,"&lt;="&amp;Cover!$C$13)</f>
        <v>1</v>
      </c>
      <c r="Q637" t="str">
        <f>IF(AND(O637=0,P637=0),"",IF(O637=0,"ODOO-ONLY",IF(P637=0,"BANK-ONLY","BOTH")))</f>
        <v>BOTH</v>
      </c>
      <c r="R637" s="9">
        <f>IF(Q637="BOTH",ROUND(M637-N637,2),0)</f>
        <v>0</v>
      </c>
      <c r="S637" s="9">
        <f>ROUND(SUMIFS('Bank Lines'!$E$5:$E$1640,'Bank Lines'!$G$5:$G$1640,A637,'Bank Lines'!$J$5:$J$1640,1,'Bank Lines'!$C$5:$C$1640,"&lt;="&amp;Cover!$C$14),2)</f>
        <v>2677.25</v>
      </c>
      <c r="T637" s="9">
        <f>ROUND(SUMIFS('Odoo Items'!$G$5:$G$4331,'Odoo Items'!$J$5:$J$4331,A637,'Odoo Items'!$C$5:$C$4331,"&lt;="&amp;Cover!$C$14),2)</f>
        <v>2677.25</v>
      </c>
      <c r="U637">
        <f>COUNTIFS('Bank Lines'!$G$5:$G$1640,A637,'Bank Lines'!$J$5:$J$1640,1,'Bank Lines'!$C$5:$C$1640,"&lt;="&amp;Cover!$C$14)</f>
        <v>1</v>
      </c>
      <c r="V637">
        <f>COUNTIFS('Odoo Items'!$J$5:$J$4331,A637,'Odoo Items'!$C$5:$C$4331,"&lt;="&amp;Cover!$C$14)</f>
        <v>1</v>
      </c>
      <c r="W637" t="str">
        <f>IF(AND(U637=0,V637=0),"",IF(U637=0,"ODOO-ONLY",IF(V637=0,"BANK-ONLY","BOTH")))</f>
        <v>BOTH</v>
      </c>
      <c r="X637" s="9">
        <f>IF(W637="BOTH",ROUND(S637-T637,2),0)</f>
        <v>0</v>
      </c>
      <c r="Y637" s="9">
        <f>ROUND(SUMIFS('Bank Lines'!$E$5:$E$1640,'Bank Lines'!$G$5:$G$1640,A637,'Bank Lines'!$J$5:$J$1640,1,'Bank Lines'!$C$5:$C$1640,"&lt;="&amp;Cover!$C$15),2)</f>
        <v>2677.25</v>
      </c>
      <c r="Z637" s="9">
        <f>ROUND(SUMIFS('Odoo Items'!$G$5:$G$4331,'Odoo Items'!$J$5:$J$4331,A637,'Odoo Items'!$C$5:$C$4331,"&lt;="&amp;Cover!$C$15),2)</f>
        <v>2677.25</v>
      </c>
      <c r="AA637">
        <f>COUNTIFS('Bank Lines'!$G$5:$G$1640,A637,'Bank Lines'!$J$5:$J$1640,1,'Bank Lines'!$C$5:$C$1640,"&lt;="&amp;Cover!$C$15)</f>
        <v>1</v>
      </c>
      <c r="AB637">
        <f>COUNTIFS('Odoo Items'!$J$5:$J$4331,A637,'Odoo Items'!$C$5:$C$4331,"&lt;="&amp;Cover!$C$15)</f>
        <v>1</v>
      </c>
      <c r="AC637" t="str">
        <f>IF(AND(AA637=0,AB637=0),"",IF(AA637=0,"ODOO-ONLY",IF(AB637=0,"BANK-ONLY","BOTH")))</f>
        <v>BOTH</v>
      </c>
      <c r="AD637" s="9">
        <f>IF(AC637="BOTH",ROUND(Y637-Z637,2),0)</f>
        <v>0</v>
      </c>
    </row>
    <row r="638">
      <c r="A638" t="inlineStr">
        <is>
          <t>G00634</t>
        </is>
      </c>
      <c r="B638" t="inlineStr">
        <is>
          <t>MER</t>
        </is>
      </c>
      <c r="C638" t="inlineStr">
        <is>
          <t>R08</t>
        </is>
      </c>
      <c r="D638" t="inlineStr">
        <is>
          <t>MATCH</t>
        </is>
      </c>
      <c r="E638" t="inlineStr"/>
      <c r="G638" t="inlineStr"/>
      <c r="H638">
        <f>COUNTIFS('Bank Lines'!$G$5:$G$1640,A638,'Bank Lines'!$J$5:$J$1640,1)</f>
        <v>1</v>
      </c>
      <c r="I638">
        <f>COUNTIFS('Odoo Items'!$J$5:$J$4331,A638)</f>
        <v>1</v>
      </c>
      <c r="J638" s="9">
        <f>ROUND(SUMIFS('Bank Lines'!$E$5:$E$1640,'Bank Lines'!$G$5:$G$1640,A638,'Bank Lines'!$J$5:$J$1640,1),2)</f>
        <v>433.71</v>
      </c>
      <c r="K638" s="9">
        <f>ROUND(SUMIFS('Odoo Items'!$G$5:$G$4331,'Odoo Items'!$J$5:$J$4331,A638),2)</f>
        <v>433.71</v>
      </c>
      <c r="L638" s="9">
        <f>ROUND(J638-K638,2)</f>
        <v>0</v>
      </c>
      <c r="M638" s="9">
        <f>ROUND(SUMIFS('Bank Lines'!$E$5:$E$1640,'Bank Lines'!$G$5:$G$1640,A638,'Bank Lines'!$J$5:$J$1640,1,'Bank Lines'!$C$5:$C$1640,"&lt;="&amp;Cover!$C$13),2)</f>
        <v>433.71</v>
      </c>
      <c r="N638" s="9">
        <f>ROUND(SUMIFS('Odoo Items'!$G$5:$G$4331,'Odoo Items'!$J$5:$J$4331,A638,'Odoo Items'!$C$5:$C$4331,"&lt;="&amp;Cover!$C$13),2)</f>
        <v>433.71</v>
      </c>
      <c r="O638">
        <f>COUNTIFS('Bank Lines'!$G$5:$G$1640,A638,'Bank Lines'!$J$5:$J$1640,1,'Bank Lines'!$C$5:$C$1640,"&lt;="&amp;Cover!$C$13)</f>
        <v>1</v>
      </c>
      <c r="P638">
        <f>COUNTIFS('Odoo Items'!$J$5:$J$4331,A638,'Odoo Items'!$C$5:$C$4331,"&lt;="&amp;Cover!$C$13)</f>
        <v>1</v>
      </c>
      <c r="Q638" t="str">
        <f>IF(AND(O638=0,P638=0),"",IF(O638=0,"ODOO-ONLY",IF(P638=0,"BANK-ONLY","BOTH")))</f>
        <v>BOTH</v>
      </c>
      <c r="R638" s="9">
        <f>IF(Q638="BOTH",ROUND(M638-N638,2),0)</f>
        <v>0</v>
      </c>
      <c r="S638" s="9">
        <f>ROUND(SUMIFS('Bank Lines'!$E$5:$E$1640,'Bank Lines'!$G$5:$G$1640,A638,'Bank Lines'!$J$5:$J$1640,1,'Bank Lines'!$C$5:$C$1640,"&lt;="&amp;Cover!$C$14),2)</f>
        <v>433.71</v>
      </c>
      <c r="T638" s="9">
        <f>ROUND(SUMIFS('Odoo Items'!$G$5:$G$4331,'Odoo Items'!$J$5:$J$4331,A638,'Odoo Items'!$C$5:$C$4331,"&lt;="&amp;Cover!$C$14),2)</f>
        <v>433.71</v>
      </c>
      <c r="U638">
        <f>COUNTIFS('Bank Lines'!$G$5:$G$1640,A638,'Bank Lines'!$J$5:$J$1640,1,'Bank Lines'!$C$5:$C$1640,"&lt;="&amp;Cover!$C$14)</f>
        <v>1</v>
      </c>
      <c r="V638">
        <f>COUNTIFS('Odoo Items'!$J$5:$J$4331,A638,'Odoo Items'!$C$5:$C$4331,"&lt;="&amp;Cover!$C$14)</f>
        <v>1</v>
      </c>
      <c r="W638" t="str">
        <f>IF(AND(U638=0,V638=0),"",IF(U638=0,"ODOO-ONLY",IF(V638=0,"BANK-ONLY","BOTH")))</f>
        <v>BOTH</v>
      </c>
      <c r="X638" s="9">
        <f>IF(W638="BOTH",ROUND(S638-T638,2),0)</f>
        <v>0</v>
      </c>
      <c r="Y638" s="9">
        <f>ROUND(SUMIFS('Bank Lines'!$E$5:$E$1640,'Bank Lines'!$G$5:$G$1640,A638,'Bank Lines'!$J$5:$J$1640,1,'Bank Lines'!$C$5:$C$1640,"&lt;="&amp;Cover!$C$15),2)</f>
        <v>433.71</v>
      </c>
      <c r="Z638" s="9">
        <f>ROUND(SUMIFS('Odoo Items'!$G$5:$G$4331,'Odoo Items'!$J$5:$J$4331,A638,'Odoo Items'!$C$5:$C$4331,"&lt;="&amp;Cover!$C$15),2)</f>
        <v>433.71</v>
      </c>
      <c r="AA638">
        <f>COUNTIFS('Bank Lines'!$G$5:$G$1640,A638,'Bank Lines'!$J$5:$J$1640,1,'Bank Lines'!$C$5:$C$1640,"&lt;="&amp;Cover!$C$15)</f>
        <v>1</v>
      </c>
      <c r="AB638">
        <f>COUNTIFS('Odoo Items'!$J$5:$J$4331,A638,'Odoo Items'!$C$5:$C$4331,"&lt;="&amp;Cover!$C$15)</f>
        <v>1</v>
      </c>
      <c r="AC638" t="str">
        <f>IF(AND(AA638=0,AB638=0),"",IF(AA638=0,"ODOO-ONLY",IF(AB638=0,"BANK-ONLY","BOTH")))</f>
        <v>BOTH</v>
      </c>
      <c r="AD638" s="9">
        <f>IF(AC638="BOTH",ROUND(Y638-Z638,2),0)</f>
        <v>0</v>
      </c>
    </row>
    <row r="639">
      <c r="A639" t="inlineStr">
        <is>
          <t>G00635</t>
        </is>
      </c>
      <c r="B639" t="inlineStr">
        <is>
          <t>MER</t>
        </is>
      </c>
      <c r="C639" t="inlineStr">
        <is>
          <t>R08</t>
        </is>
      </c>
      <c r="D639" t="inlineStr">
        <is>
          <t>MATCH</t>
        </is>
      </c>
      <c r="E639" t="inlineStr"/>
      <c r="G639" t="inlineStr"/>
      <c r="H639">
        <f>COUNTIFS('Bank Lines'!$G$5:$G$1640,A639,'Bank Lines'!$J$5:$J$1640,1)</f>
        <v>1</v>
      </c>
      <c r="I639">
        <f>COUNTIFS('Odoo Items'!$J$5:$J$4331,A639)</f>
        <v>1</v>
      </c>
      <c r="J639" s="9">
        <f>ROUND(SUMIFS('Bank Lines'!$E$5:$E$1640,'Bank Lines'!$G$5:$G$1640,A639,'Bank Lines'!$J$5:$J$1640,1),2)</f>
        <v>905.31</v>
      </c>
      <c r="K639" s="9">
        <f>ROUND(SUMIFS('Odoo Items'!$G$5:$G$4331,'Odoo Items'!$J$5:$J$4331,A639),2)</f>
        <v>905.31</v>
      </c>
      <c r="L639" s="9">
        <f>ROUND(J639-K639,2)</f>
        <v>0</v>
      </c>
      <c r="M639" s="9">
        <f>ROUND(SUMIFS('Bank Lines'!$E$5:$E$1640,'Bank Lines'!$G$5:$G$1640,A639,'Bank Lines'!$J$5:$J$1640,1,'Bank Lines'!$C$5:$C$1640,"&lt;="&amp;Cover!$C$13),2)</f>
        <v>905.31</v>
      </c>
      <c r="N639" s="9">
        <f>ROUND(SUMIFS('Odoo Items'!$G$5:$G$4331,'Odoo Items'!$J$5:$J$4331,A639,'Odoo Items'!$C$5:$C$4331,"&lt;="&amp;Cover!$C$13),2)</f>
        <v>905.31</v>
      </c>
      <c r="O639">
        <f>COUNTIFS('Bank Lines'!$G$5:$G$1640,A639,'Bank Lines'!$J$5:$J$1640,1,'Bank Lines'!$C$5:$C$1640,"&lt;="&amp;Cover!$C$13)</f>
        <v>1</v>
      </c>
      <c r="P639">
        <f>COUNTIFS('Odoo Items'!$J$5:$J$4331,A639,'Odoo Items'!$C$5:$C$4331,"&lt;="&amp;Cover!$C$13)</f>
        <v>1</v>
      </c>
      <c r="Q639" t="str">
        <f>IF(AND(O639=0,P639=0),"",IF(O639=0,"ODOO-ONLY",IF(P639=0,"BANK-ONLY","BOTH")))</f>
        <v>BOTH</v>
      </c>
      <c r="R639" s="9">
        <f>IF(Q639="BOTH",ROUND(M639-N639,2),0)</f>
        <v>0</v>
      </c>
      <c r="S639" s="9">
        <f>ROUND(SUMIFS('Bank Lines'!$E$5:$E$1640,'Bank Lines'!$G$5:$G$1640,A639,'Bank Lines'!$J$5:$J$1640,1,'Bank Lines'!$C$5:$C$1640,"&lt;="&amp;Cover!$C$14),2)</f>
        <v>905.31</v>
      </c>
      <c r="T639" s="9">
        <f>ROUND(SUMIFS('Odoo Items'!$G$5:$G$4331,'Odoo Items'!$J$5:$J$4331,A639,'Odoo Items'!$C$5:$C$4331,"&lt;="&amp;Cover!$C$14),2)</f>
        <v>905.31</v>
      </c>
      <c r="U639">
        <f>COUNTIFS('Bank Lines'!$G$5:$G$1640,A639,'Bank Lines'!$J$5:$J$1640,1,'Bank Lines'!$C$5:$C$1640,"&lt;="&amp;Cover!$C$14)</f>
        <v>1</v>
      </c>
      <c r="V639">
        <f>COUNTIFS('Odoo Items'!$J$5:$J$4331,A639,'Odoo Items'!$C$5:$C$4331,"&lt;="&amp;Cover!$C$14)</f>
        <v>1</v>
      </c>
      <c r="W639" t="str">
        <f>IF(AND(U639=0,V639=0),"",IF(U639=0,"ODOO-ONLY",IF(V639=0,"BANK-ONLY","BOTH")))</f>
        <v>BOTH</v>
      </c>
      <c r="X639" s="9">
        <f>IF(W639="BOTH",ROUND(S639-T639,2),0)</f>
        <v>0</v>
      </c>
      <c r="Y639" s="9">
        <f>ROUND(SUMIFS('Bank Lines'!$E$5:$E$1640,'Bank Lines'!$G$5:$G$1640,A639,'Bank Lines'!$J$5:$J$1640,1,'Bank Lines'!$C$5:$C$1640,"&lt;="&amp;Cover!$C$15),2)</f>
        <v>905.31</v>
      </c>
      <c r="Z639" s="9">
        <f>ROUND(SUMIFS('Odoo Items'!$G$5:$G$4331,'Odoo Items'!$J$5:$J$4331,A639,'Odoo Items'!$C$5:$C$4331,"&lt;="&amp;Cover!$C$15),2)</f>
        <v>905.31</v>
      </c>
      <c r="AA639">
        <f>COUNTIFS('Bank Lines'!$G$5:$G$1640,A639,'Bank Lines'!$J$5:$J$1640,1,'Bank Lines'!$C$5:$C$1640,"&lt;="&amp;Cover!$C$15)</f>
        <v>1</v>
      </c>
      <c r="AB639">
        <f>COUNTIFS('Odoo Items'!$J$5:$J$4331,A639,'Odoo Items'!$C$5:$C$4331,"&lt;="&amp;Cover!$C$15)</f>
        <v>1</v>
      </c>
      <c r="AC639" t="str">
        <f>IF(AND(AA639=0,AB639=0),"",IF(AA639=0,"ODOO-ONLY",IF(AB639=0,"BANK-ONLY","BOTH")))</f>
        <v>BOTH</v>
      </c>
      <c r="AD639" s="9">
        <f>IF(AC639="BOTH",ROUND(Y639-Z639,2),0)</f>
        <v>0</v>
      </c>
    </row>
    <row r="640">
      <c r="A640" t="inlineStr">
        <is>
          <t>G00636</t>
        </is>
      </c>
      <c r="B640" t="inlineStr">
        <is>
          <t>MER</t>
        </is>
      </c>
      <c r="C640" t="inlineStr">
        <is>
          <t>R08</t>
        </is>
      </c>
      <c r="D640" t="inlineStr">
        <is>
          <t>MATCH</t>
        </is>
      </c>
      <c r="E640" t="inlineStr"/>
      <c r="G640" t="inlineStr"/>
      <c r="H640">
        <f>COUNTIFS('Bank Lines'!$G$5:$G$1640,A640,'Bank Lines'!$J$5:$J$1640,1)</f>
        <v>1</v>
      </c>
      <c r="I640">
        <f>COUNTIFS('Odoo Items'!$J$5:$J$4331,A640)</f>
        <v>1</v>
      </c>
      <c r="J640" s="9">
        <f>ROUND(SUMIFS('Bank Lines'!$E$5:$E$1640,'Bank Lines'!$G$5:$G$1640,A640,'Bank Lines'!$J$5:$J$1640,1),2)</f>
        <v>1099.35</v>
      </c>
      <c r="K640" s="9">
        <f>ROUND(SUMIFS('Odoo Items'!$G$5:$G$4331,'Odoo Items'!$J$5:$J$4331,A640),2)</f>
        <v>1099.35</v>
      </c>
      <c r="L640" s="9">
        <f>ROUND(J640-K640,2)</f>
        <v>0</v>
      </c>
      <c r="M640" s="9">
        <f>ROUND(SUMIFS('Bank Lines'!$E$5:$E$1640,'Bank Lines'!$G$5:$G$1640,A640,'Bank Lines'!$J$5:$J$1640,1,'Bank Lines'!$C$5:$C$1640,"&lt;="&amp;Cover!$C$13),2)</f>
        <v>1099.35</v>
      </c>
      <c r="N640" s="9">
        <f>ROUND(SUMIFS('Odoo Items'!$G$5:$G$4331,'Odoo Items'!$J$5:$J$4331,A640,'Odoo Items'!$C$5:$C$4331,"&lt;="&amp;Cover!$C$13),2)</f>
        <v>1099.35</v>
      </c>
      <c r="O640">
        <f>COUNTIFS('Bank Lines'!$G$5:$G$1640,A640,'Bank Lines'!$J$5:$J$1640,1,'Bank Lines'!$C$5:$C$1640,"&lt;="&amp;Cover!$C$13)</f>
        <v>1</v>
      </c>
      <c r="P640">
        <f>COUNTIFS('Odoo Items'!$J$5:$J$4331,A640,'Odoo Items'!$C$5:$C$4331,"&lt;="&amp;Cover!$C$13)</f>
        <v>1</v>
      </c>
      <c r="Q640" t="str">
        <f>IF(AND(O640=0,P640=0),"",IF(O640=0,"ODOO-ONLY",IF(P640=0,"BANK-ONLY","BOTH")))</f>
        <v>BOTH</v>
      </c>
      <c r="R640" s="9">
        <f>IF(Q640="BOTH",ROUND(M640-N640,2),0)</f>
        <v>0</v>
      </c>
      <c r="S640" s="9">
        <f>ROUND(SUMIFS('Bank Lines'!$E$5:$E$1640,'Bank Lines'!$G$5:$G$1640,A640,'Bank Lines'!$J$5:$J$1640,1,'Bank Lines'!$C$5:$C$1640,"&lt;="&amp;Cover!$C$14),2)</f>
        <v>1099.35</v>
      </c>
      <c r="T640" s="9">
        <f>ROUND(SUMIFS('Odoo Items'!$G$5:$G$4331,'Odoo Items'!$J$5:$J$4331,A640,'Odoo Items'!$C$5:$C$4331,"&lt;="&amp;Cover!$C$14),2)</f>
        <v>1099.35</v>
      </c>
      <c r="U640">
        <f>COUNTIFS('Bank Lines'!$G$5:$G$1640,A640,'Bank Lines'!$J$5:$J$1640,1,'Bank Lines'!$C$5:$C$1640,"&lt;="&amp;Cover!$C$14)</f>
        <v>1</v>
      </c>
      <c r="V640">
        <f>COUNTIFS('Odoo Items'!$J$5:$J$4331,A640,'Odoo Items'!$C$5:$C$4331,"&lt;="&amp;Cover!$C$14)</f>
        <v>1</v>
      </c>
      <c r="W640" t="str">
        <f>IF(AND(U640=0,V640=0),"",IF(U640=0,"ODOO-ONLY",IF(V640=0,"BANK-ONLY","BOTH")))</f>
        <v>BOTH</v>
      </c>
      <c r="X640" s="9">
        <f>IF(W640="BOTH",ROUND(S640-T640,2),0)</f>
        <v>0</v>
      </c>
      <c r="Y640" s="9">
        <f>ROUND(SUMIFS('Bank Lines'!$E$5:$E$1640,'Bank Lines'!$G$5:$G$1640,A640,'Bank Lines'!$J$5:$J$1640,1,'Bank Lines'!$C$5:$C$1640,"&lt;="&amp;Cover!$C$15),2)</f>
        <v>1099.35</v>
      </c>
      <c r="Z640" s="9">
        <f>ROUND(SUMIFS('Odoo Items'!$G$5:$G$4331,'Odoo Items'!$J$5:$J$4331,A640,'Odoo Items'!$C$5:$C$4331,"&lt;="&amp;Cover!$C$15),2)</f>
        <v>1099.35</v>
      </c>
      <c r="AA640">
        <f>COUNTIFS('Bank Lines'!$G$5:$G$1640,A640,'Bank Lines'!$J$5:$J$1640,1,'Bank Lines'!$C$5:$C$1640,"&lt;="&amp;Cover!$C$15)</f>
        <v>1</v>
      </c>
      <c r="AB640">
        <f>COUNTIFS('Odoo Items'!$J$5:$J$4331,A640,'Odoo Items'!$C$5:$C$4331,"&lt;="&amp;Cover!$C$15)</f>
        <v>1</v>
      </c>
      <c r="AC640" t="str">
        <f>IF(AND(AA640=0,AB640=0),"",IF(AA640=0,"ODOO-ONLY",IF(AB640=0,"BANK-ONLY","BOTH")))</f>
        <v>BOTH</v>
      </c>
      <c r="AD640" s="9">
        <f>IF(AC640="BOTH",ROUND(Y640-Z640,2),0)</f>
        <v>0</v>
      </c>
    </row>
    <row r="641">
      <c r="A641" t="inlineStr">
        <is>
          <t>G00637</t>
        </is>
      </c>
      <c r="B641" t="inlineStr">
        <is>
          <t>MER</t>
        </is>
      </c>
      <c r="C641" t="inlineStr">
        <is>
          <t>R08</t>
        </is>
      </c>
      <c r="D641" t="inlineStr">
        <is>
          <t>MATCH</t>
        </is>
      </c>
      <c r="E641" t="inlineStr"/>
      <c r="G641" t="inlineStr"/>
      <c r="H641">
        <f>COUNTIFS('Bank Lines'!$G$5:$G$1640,A641,'Bank Lines'!$J$5:$J$1640,1)</f>
        <v>1</v>
      </c>
      <c r="I641">
        <f>COUNTIFS('Odoo Items'!$J$5:$J$4331,A641)</f>
        <v>1</v>
      </c>
      <c r="J641" s="9">
        <f>ROUND(SUMIFS('Bank Lines'!$E$5:$E$1640,'Bank Lines'!$G$5:$G$1640,A641,'Bank Lines'!$J$5:$J$1640,1),2)</f>
        <v>1008.98</v>
      </c>
      <c r="K641" s="9">
        <f>ROUND(SUMIFS('Odoo Items'!$G$5:$G$4331,'Odoo Items'!$J$5:$J$4331,A641),2)</f>
        <v>1008.98</v>
      </c>
      <c r="L641" s="9">
        <f>ROUND(J641-K641,2)</f>
        <v>0</v>
      </c>
      <c r="M641" s="9">
        <f>ROUND(SUMIFS('Bank Lines'!$E$5:$E$1640,'Bank Lines'!$G$5:$G$1640,A641,'Bank Lines'!$J$5:$J$1640,1,'Bank Lines'!$C$5:$C$1640,"&lt;="&amp;Cover!$C$13),2)</f>
        <v>1008.98</v>
      </c>
      <c r="N641" s="9">
        <f>ROUND(SUMIFS('Odoo Items'!$G$5:$G$4331,'Odoo Items'!$J$5:$J$4331,A641,'Odoo Items'!$C$5:$C$4331,"&lt;="&amp;Cover!$C$13),2)</f>
        <v>1008.98</v>
      </c>
      <c r="O641">
        <f>COUNTIFS('Bank Lines'!$G$5:$G$1640,A641,'Bank Lines'!$J$5:$J$1640,1,'Bank Lines'!$C$5:$C$1640,"&lt;="&amp;Cover!$C$13)</f>
        <v>1</v>
      </c>
      <c r="P641">
        <f>COUNTIFS('Odoo Items'!$J$5:$J$4331,A641,'Odoo Items'!$C$5:$C$4331,"&lt;="&amp;Cover!$C$13)</f>
        <v>1</v>
      </c>
      <c r="Q641" t="str">
        <f>IF(AND(O641=0,P641=0),"",IF(O641=0,"ODOO-ONLY",IF(P641=0,"BANK-ONLY","BOTH")))</f>
        <v>BOTH</v>
      </c>
      <c r="R641" s="9">
        <f>IF(Q641="BOTH",ROUND(M641-N641,2),0)</f>
        <v>0</v>
      </c>
      <c r="S641" s="9">
        <f>ROUND(SUMIFS('Bank Lines'!$E$5:$E$1640,'Bank Lines'!$G$5:$G$1640,A641,'Bank Lines'!$J$5:$J$1640,1,'Bank Lines'!$C$5:$C$1640,"&lt;="&amp;Cover!$C$14),2)</f>
        <v>1008.98</v>
      </c>
      <c r="T641" s="9">
        <f>ROUND(SUMIFS('Odoo Items'!$G$5:$G$4331,'Odoo Items'!$J$5:$J$4331,A641,'Odoo Items'!$C$5:$C$4331,"&lt;="&amp;Cover!$C$14),2)</f>
        <v>1008.98</v>
      </c>
      <c r="U641">
        <f>COUNTIFS('Bank Lines'!$G$5:$G$1640,A641,'Bank Lines'!$J$5:$J$1640,1,'Bank Lines'!$C$5:$C$1640,"&lt;="&amp;Cover!$C$14)</f>
        <v>1</v>
      </c>
      <c r="V641">
        <f>COUNTIFS('Odoo Items'!$J$5:$J$4331,A641,'Odoo Items'!$C$5:$C$4331,"&lt;="&amp;Cover!$C$14)</f>
        <v>1</v>
      </c>
      <c r="W641" t="str">
        <f>IF(AND(U641=0,V641=0),"",IF(U641=0,"ODOO-ONLY",IF(V641=0,"BANK-ONLY","BOTH")))</f>
        <v>BOTH</v>
      </c>
      <c r="X641" s="9">
        <f>IF(W641="BOTH",ROUND(S641-T641,2),0)</f>
        <v>0</v>
      </c>
      <c r="Y641" s="9">
        <f>ROUND(SUMIFS('Bank Lines'!$E$5:$E$1640,'Bank Lines'!$G$5:$G$1640,A641,'Bank Lines'!$J$5:$J$1640,1,'Bank Lines'!$C$5:$C$1640,"&lt;="&amp;Cover!$C$15),2)</f>
        <v>1008.98</v>
      </c>
      <c r="Z641" s="9">
        <f>ROUND(SUMIFS('Odoo Items'!$G$5:$G$4331,'Odoo Items'!$J$5:$J$4331,A641,'Odoo Items'!$C$5:$C$4331,"&lt;="&amp;Cover!$C$15),2)</f>
        <v>1008.98</v>
      </c>
      <c r="AA641">
        <f>COUNTIFS('Bank Lines'!$G$5:$G$1640,A641,'Bank Lines'!$J$5:$J$1640,1,'Bank Lines'!$C$5:$C$1640,"&lt;="&amp;Cover!$C$15)</f>
        <v>1</v>
      </c>
      <c r="AB641">
        <f>COUNTIFS('Odoo Items'!$J$5:$J$4331,A641,'Odoo Items'!$C$5:$C$4331,"&lt;="&amp;Cover!$C$15)</f>
        <v>1</v>
      </c>
      <c r="AC641" t="str">
        <f>IF(AND(AA641=0,AB641=0),"",IF(AA641=0,"ODOO-ONLY",IF(AB641=0,"BANK-ONLY","BOTH")))</f>
        <v>BOTH</v>
      </c>
      <c r="AD641" s="9">
        <f>IF(AC641="BOTH",ROUND(Y641-Z641,2),0)</f>
        <v>0</v>
      </c>
    </row>
    <row r="642">
      <c r="A642" t="inlineStr">
        <is>
          <t>G00638</t>
        </is>
      </c>
      <c r="B642" t="inlineStr">
        <is>
          <t>MER</t>
        </is>
      </c>
      <c r="C642" t="inlineStr">
        <is>
          <t>R04</t>
        </is>
      </c>
      <c r="D642" t="inlineStr">
        <is>
          <t>MATCH</t>
        </is>
      </c>
      <c r="E642" t="inlineStr"/>
      <c r="G642" t="inlineStr">
        <is>
          <t>Sweep, same amount</t>
        </is>
      </c>
      <c r="H642">
        <f>COUNTIFS('Bank Lines'!$G$5:$G$1640,A642,'Bank Lines'!$J$5:$J$1640,1)</f>
        <v>1</v>
      </c>
      <c r="I642">
        <f>COUNTIFS('Odoo Items'!$J$5:$J$4331,A642)</f>
        <v>1</v>
      </c>
      <c r="J642" s="9">
        <f>ROUND(SUMIFS('Bank Lines'!$E$5:$E$1640,'Bank Lines'!$G$5:$G$1640,A642,'Bank Lines'!$J$5:$J$1640,1),2)</f>
        <v>-22000</v>
      </c>
      <c r="K642" s="9">
        <f>ROUND(SUMIFS('Odoo Items'!$G$5:$G$4331,'Odoo Items'!$J$5:$J$4331,A642),2)</f>
        <v>-22000</v>
      </c>
      <c r="L642" s="9">
        <f>ROUND(J642-K642,2)</f>
        <v>0</v>
      </c>
      <c r="M642" s="9">
        <f>ROUND(SUMIFS('Bank Lines'!$E$5:$E$1640,'Bank Lines'!$G$5:$G$1640,A642,'Bank Lines'!$J$5:$J$1640,1,'Bank Lines'!$C$5:$C$1640,"&lt;="&amp;Cover!$C$13),2)</f>
        <v>-22000</v>
      </c>
      <c r="N642" s="9">
        <f>ROUND(SUMIFS('Odoo Items'!$G$5:$G$4331,'Odoo Items'!$J$5:$J$4331,A642,'Odoo Items'!$C$5:$C$4331,"&lt;="&amp;Cover!$C$13),2)</f>
        <v>-22000</v>
      </c>
      <c r="O642">
        <f>COUNTIFS('Bank Lines'!$G$5:$G$1640,A642,'Bank Lines'!$J$5:$J$1640,1,'Bank Lines'!$C$5:$C$1640,"&lt;="&amp;Cover!$C$13)</f>
        <v>1</v>
      </c>
      <c r="P642">
        <f>COUNTIFS('Odoo Items'!$J$5:$J$4331,A642,'Odoo Items'!$C$5:$C$4331,"&lt;="&amp;Cover!$C$13)</f>
        <v>1</v>
      </c>
      <c r="Q642" t="str">
        <f>IF(AND(O642=0,P642=0),"",IF(O642=0,"ODOO-ONLY",IF(P642=0,"BANK-ONLY","BOTH")))</f>
        <v>BOTH</v>
      </c>
      <c r="R642" s="9">
        <f>IF(Q642="BOTH",ROUND(M642-N642,2),0)</f>
        <v>0</v>
      </c>
      <c r="S642" s="9">
        <f>ROUND(SUMIFS('Bank Lines'!$E$5:$E$1640,'Bank Lines'!$G$5:$G$1640,A642,'Bank Lines'!$J$5:$J$1640,1,'Bank Lines'!$C$5:$C$1640,"&lt;="&amp;Cover!$C$14),2)</f>
        <v>-22000</v>
      </c>
      <c r="T642" s="9">
        <f>ROUND(SUMIFS('Odoo Items'!$G$5:$G$4331,'Odoo Items'!$J$5:$J$4331,A642,'Odoo Items'!$C$5:$C$4331,"&lt;="&amp;Cover!$C$14),2)</f>
        <v>-22000</v>
      </c>
      <c r="U642">
        <f>COUNTIFS('Bank Lines'!$G$5:$G$1640,A642,'Bank Lines'!$J$5:$J$1640,1,'Bank Lines'!$C$5:$C$1640,"&lt;="&amp;Cover!$C$14)</f>
        <v>1</v>
      </c>
      <c r="V642">
        <f>COUNTIFS('Odoo Items'!$J$5:$J$4331,A642,'Odoo Items'!$C$5:$C$4331,"&lt;="&amp;Cover!$C$14)</f>
        <v>1</v>
      </c>
      <c r="W642" t="str">
        <f>IF(AND(U642=0,V642=0),"",IF(U642=0,"ODOO-ONLY",IF(V642=0,"BANK-ONLY","BOTH")))</f>
        <v>BOTH</v>
      </c>
      <c r="X642" s="9">
        <f>IF(W642="BOTH",ROUND(S642-T642,2),0)</f>
        <v>0</v>
      </c>
      <c r="Y642" s="9">
        <f>ROUND(SUMIFS('Bank Lines'!$E$5:$E$1640,'Bank Lines'!$G$5:$G$1640,A642,'Bank Lines'!$J$5:$J$1640,1,'Bank Lines'!$C$5:$C$1640,"&lt;="&amp;Cover!$C$15),2)</f>
        <v>-22000</v>
      </c>
      <c r="Z642" s="9">
        <f>ROUND(SUMIFS('Odoo Items'!$G$5:$G$4331,'Odoo Items'!$J$5:$J$4331,A642,'Odoo Items'!$C$5:$C$4331,"&lt;="&amp;Cover!$C$15),2)</f>
        <v>-22000</v>
      </c>
      <c r="AA642">
        <f>COUNTIFS('Bank Lines'!$G$5:$G$1640,A642,'Bank Lines'!$J$5:$J$1640,1,'Bank Lines'!$C$5:$C$1640,"&lt;="&amp;Cover!$C$15)</f>
        <v>1</v>
      </c>
      <c r="AB642">
        <f>COUNTIFS('Odoo Items'!$J$5:$J$4331,A642,'Odoo Items'!$C$5:$C$4331,"&lt;="&amp;Cover!$C$15)</f>
        <v>1</v>
      </c>
      <c r="AC642" t="str">
        <f>IF(AND(AA642=0,AB642=0),"",IF(AA642=0,"ODOO-ONLY",IF(AB642=0,"BANK-ONLY","BOTH")))</f>
        <v>BOTH</v>
      </c>
      <c r="AD642" s="9">
        <f>IF(AC642="BOTH",ROUND(Y642-Z642,2),0)</f>
        <v>0</v>
      </c>
    </row>
    <row r="643">
      <c r="A643" t="inlineStr">
        <is>
          <t>G00639</t>
        </is>
      </c>
      <c r="B643" t="inlineStr">
        <is>
          <t>MER</t>
        </is>
      </c>
      <c r="C643" t="inlineStr">
        <is>
          <t>R08</t>
        </is>
      </c>
      <c r="D643" t="inlineStr">
        <is>
          <t>MATCH</t>
        </is>
      </c>
      <c r="E643" t="inlineStr"/>
      <c r="G643" t="inlineStr"/>
      <c r="H643">
        <f>COUNTIFS('Bank Lines'!$G$5:$G$1640,A643,'Bank Lines'!$J$5:$J$1640,1)</f>
        <v>1</v>
      </c>
      <c r="I643">
        <f>COUNTIFS('Odoo Items'!$J$5:$J$4331,A643)</f>
        <v>1</v>
      </c>
      <c r="J643" s="9">
        <f>ROUND(SUMIFS('Bank Lines'!$E$5:$E$1640,'Bank Lines'!$G$5:$G$1640,A643,'Bank Lines'!$J$5:$J$1640,1),2)</f>
        <v>920</v>
      </c>
      <c r="K643" s="9">
        <f>ROUND(SUMIFS('Odoo Items'!$G$5:$G$4331,'Odoo Items'!$J$5:$J$4331,A643),2)</f>
        <v>920</v>
      </c>
      <c r="L643" s="9">
        <f>ROUND(J643-K643,2)</f>
        <v>0</v>
      </c>
      <c r="M643" s="9">
        <f>ROUND(SUMIFS('Bank Lines'!$E$5:$E$1640,'Bank Lines'!$G$5:$G$1640,A643,'Bank Lines'!$J$5:$J$1640,1,'Bank Lines'!$C$5:$C$1640,"&lt;="&amp;Cover!$C$13),2)</f>
        <v>920</v>
      </c>
      <c r="N643" s="9">
        <f>ROUND(SUMIFS('Odoo Items'!$G$5:$G$4331,'Odoo Items'!$J$5:$J$4331,A643,'Odoo Items'!$C$5:$C$4331,"&lt;="&amp;Cover!$C$13),2)</f>
        <v>920</v>
      </c>
      <c r="O643">
        <f>COUNTIFS('Bank Lines'!$G$5:$G$1640,A643,'Bank Lines'!$J$5:$J$1640,1,'Bank Lines'!$C$5:$C$1640,"&lt;="&amp;Cover!$C$13)</f>
        <v>1</v>
      </c>
      <c r="P643">
        <f>COUNTIFS('Odoo Items'!$J$5:$J$4331,A643,'Odoo Items'!$C$5:$C$4331,"&lt;="&amp;Cover!$C$13)</f>
        <v>1</v>
      </c>
      <c r="Q643" t="str">
        <f>IF(AND(O643=0,P643=0),"",IF(O643=0,"ODOO-ONLY",IF(P643=0,"BANK-ONLY","BOTH")))</f>
        <v>BOTH</v>
      </c>
      <c r="R643" s="9">
        <f>IF(Q643="BOTH",ROUND(M643-N643,2),0)</f>
        <v>0</v>
      </c>
      <c r="S643" s="9">
        <f>ROUND(SUMIFS('Bank Lines'!$E$5:$E$1640,'Bank Lines'!$G$5:$G$1640,A643,'Bank Lines'!$J$5:$J$1640,1,'Bank Lines'!$C$5:$C$1640,"&lt;="&amp;Cover!$C$14),2)</f>
        <v>920</v>
      </c>
      <c r="T643" s="9">
        <f>ROUND(SUMIFS('Odoo Items'!$G$5:$G$4331,'Odoo Items'!$J$5:$J$4331,A643,'Odoo Items'!$C$5:$C$4331,"&lt;="&amp;Cover!$C$14),2)</f>
        <v>920</v>
      </c>
      <c r="U643">
        <f>COUNTIFS('Bank Lines'!$G$5:$G$1640,A643,'Bank Lines'!$J$5:$J$1640,1,'Bank Lines'!$C$5:$C$1640,"&lt;="&amp;Cover!$C$14)</f>
        <v>1</v>
      </c>
      <c r="V643">
        <f>COUNTIFS('Odoo Items'!$J$5:$J$4331,A643,'Odoo Items'!$C$5:$C$4331,"&lt;="&amp;Cover!$C$14)</f>
        <v>1</v>
      </c>
      <c r="W643" t="str">
        <f>IF(AND(U643=0,V643=0),"",IF(U643=0,"ODOO-ONLY",IF(V643=0,"BANK-ONLY","BOTH")))</f>
        <v>BOTH</v>
      </c>
      <c r="X643" s="9">
        <f>IF(W643="BOTH",ROUND(S643-T643,2),0)</f>
        <v>0</v>
      </c>
      <c r="Y643" s="9">
        <f>ROUND(SUMIFS('Bank Lines'!$E$5:$E$1640,'Bank Lines'!$G$5:$G$1640,A643,'Bank Lines'!$J$5:$J$1640,1,'Bank Lines'!$C$5:$C$1640,"&lt;="&amp;Cover!$C$15),2)</f>
        <v>920</v>
      </c>
      <c r="Z643" s="9">
        <f>ROUND(SUMIFS('Odoo Items'!$G$5:$G$4331,'Odoo Items'!$J$5:$J$4331,A643,'Odoo Items'!$C$5:$C$4331,"&lt;="&amp;Cover!$C$15),2)</f>
        <v>920</v>
      </c>
      <c r="AA643">
        <f>COUNTIFS('Bank Lines'!$G$5:$G$1640,A643,'Bank Lines'!$J$5:$J$1640,1,'Bank Lines'!$C$5:$C$1640,"&lt;="&amp;Cover!$C$15)</f>
        <v>1</v>
      </c>
      <c r="AB643">
        <f>COUNTIFS('Odoo Items'!$J$5:$J$4331,A643,'Odoo Items'!$C$5:$C$4331,"&lt;="&amp;Cover!$C$15)</f>
        <v>1</v>
      </c>
      <c r="AC643" t="str">
        <f>IF(AND(AA643=0,AB643=0),"",IF(AA643=0,"ODOO-ONLY",IF(AB643=0,"BANK-ONLY","BOTH")))</f>
        <v>BOTH</v>
      </c>
      <c r="AD643" s="9">
        <f>IF(AC643="BOTH",ROUND(Y643-Z643,2),0)</f>
        <v>0</v>
      </c>
    </row>
    <row r="644">
      <c r="A644" t="inlineStr">
        <is>
          <t>G00640</t>
        </is>
      </c>
      <c r="B644" t="inlineStr">
        <is>
          <t>MER</t>
        </is>
      </c>
      <c r="C644" t="inlineStr">
        <is>
          <t>R08</t>
        </is>
      </c>
      <c r="D644" t="inlineStr">
        <is>
          <t>MATCH</t>
        </is>
      </c>
      <c r="E644" t="inlineStr"/>
      <c r="G644" t="inlineStr"/>
      <c r="H644">
        <f>COUNTIFS('Bank Lines'!$G$5:$G$1640,A644,'Bank Lines'!$J$5:$J$1640,1)</f>
        <v>1</v>
      </c>
      <c r="I644">
        <f>COUNTIFS('Odoo Items'!$J$5:$J$4331,A644)</f>
        <v>1</v>
      </c>
      <c r="J644" s="9">
        <f>ROUND(SUMIFS('Bank Lines'!$E$5:$E$1640,'Bank Lines'!$G$5:$G$1640,A644,'Bank Lines'!$J$5:$J$1640,1),2)</f>
        <v>1219.8</v>
      </c>
      <c r="K644" s="9">
        <f>ROUND(SUMIFS('Odoo Items'!$G$5:$G$4331,'Odoo Items'!$J$5:$J$4331,A644),2)</f>
        <v>1219.8</v>
      </c>
      <c r="L644" s="9">
        <f>ROUND(J644-K644,2)</f>
        <v>0</v>
      </c>
      <c r="M644" s="9">
        <f>ROUND(SUMIFS('Bank Lines'!$E$5:$E$1640,'Bank Lines'!$G$5:$G$1640,A644,'Bank Lines'!$J$5:$J$1640,1,'Bank Lines'!$C$5:$C$1640,"&lt;="&amp;Cover!$C$13),2)</f>
        <v>1219.8</v>
      </c>
      <c r="N644" s="9">
        <f>ROUND(SUMIFS('Odoo Items'!$G$5:$G$4331,'Odoo Items'!$J$5:$J$4331,A644,'Odoo Items'!$C$5:$C$4331,"&lt;="&amp;Cover!$C$13),2)</f>
        <v>1219.8</v>
      </c>
      <c r="O644">
        <f>COUNTIFS('Bank Lines'!$G$5:$G$1640,A644,'Bank Lines'!$J$5:$J$1640,1,'Bank Lines'!$C$5:$C$1640,"&lt;="&amp;Cover!$C$13)</f>
        <v>1</v>
      </c>
      <c r="P644">
        <f>COUNTIFS('Odoo Items'!$J$5:$J$4331,A644,'Odoo Items'!$C$5:$C$4331,"&lt;="&amp;Cover!$C$13)</f>
        <v>1</v>
      </c>
      <c r="Q644" t="str">
        <f>IF(AND(O644=0,P644=0),"",IF(O644=0,"ODOO-ONLY",IF(P644=0,"BANK-ONLY","BOTH")))</f>
        <v>BOTH</v>
      </c>
      <c r="R644" s="9">
        <f>IF(Q644="BOTH",ROUND(M644-N644,2),0)</f>
        <v>0</v>
      </c>
      <c r="S644" s="9">
        <f>ROUND(SUMIFS('Bank Lines'!$E$5:$E$1640,'Bank Lines'!$G$5:$G$1640,A644,'Bank Lines'!$J$5:$J$1640,1,'Bank Lines'!$C$5:$C$1640,"&lt;="&amp;Cover!$C$14),2)</f>
        <v>1219.8</v>
      </c>
      <c r="T644" s="9">
        <f>ROUND(SUMIFS('Odoo Items'!$G$5:$G$4331,'Odoo Items'!$J$5:$J$4331,A644,'Odoo Items'!$C$5:$C$4331,"&lt;="&amp;Cover!$C$14),2)</f>
        <v>1219.8</v>
      </c>
      <c r="U644">
        <f>COUNTIFS('Bank Lines'!$G$5:$G$1640,A644,'Bank Lines'!$J$5:$J$1640,1,'Bank Lines'!$C$5:$C$1640,"&lt;="&amp;Cover!$C$14)</f>
        <v>1</v>
      </c>
      <c r="V644">
        <f>COUNTIFS('Odoo Items'!$J$5:$J$4331,A644,'Odoo Items'!$C$5:$C$4331,"&lt;="&amp;Cover!$C$14)</f>
        <v>1</v>
      </c>
      <c r="W644" t="str">
        <f>IF(AND(U644=0,V644=0),"",IF(U644=0,"ODOO-ONLY",IF(V644=0,"BANK-ONLY","BOTH")))</f>
        <v>BOTH</v>
      </c>
      <c r="X644" s="9">
        <f>IF(W644="BOTH",ROUND(S644-T644,2),0)</f>
        <v>0</v>
      </c>
      <c r="Y644" s="9">
        <f>ROUND(SUMIFS('Bank Lines'!$E$5:$E$1640,'Bank Lines'!$G$5:$G$1640,A644,'Bank Lines'!$J$5:$J$1640,1,'Bank Lines'!$C$5:$C$1640,"&lt;="&amp;Cover!$C$15),2)</f>
        <v>1219.8</v>
      </c>
      <c r="Z644" s="9">
        <f>ROUND(SUMIFS('Odoo Items'!$G$5:$G$4331,'Odoo Items'!$J$5:$J$4331,A644,'Odoo Items'!$C$5:$C$4331,"&lt;="&amp;Cover!$C$15),2)</f>
        <v>1219.8</v>
      </c>
      <c r="AA644">
        <f>COUNTIFS('Bank Lines'!$G$5:$G$1640,A644,'Bank Lines'!$J$5:$J$1640,1,'Bank Lines'!$C$5:$C$1640,"&lt;="&amp;Cover!$C$15)</f>
        <v>1</v>
      </c>
      <c r="AB644">
        <f>COUNTIFS('Odoo Items'!$J$5:$J$4331,A644,'Odoo Items'!$C$5:$C$4331,"&lt;="&amp;Cover!$C$15)</f>
        <v>1</v>
      </c>
      <c r="AC644" t="str">
        <f>IF(AND(AA644=0,AB644=0),"",IF(AA644=0,"ODOO-ONLY",IF(AB644=0,"BANK-ONLY","BOTH")))</f>
        <v>BOTH</v>
      </c>
      <c r="AD644" s="9">
        <f>IF(AC644="BOTH",ROUND(Y644-Z644,2),0)</f>
        <v>0</v>
      </c>
    </row>
    <row r="645">
      <c r="A645" t="inlineStr">
        <is>
          <t>G00641</t>
        </is>
      </c>
      <c r="B645" t="inlineStr">
        <is>
          <t>MER</t>
        </is>
      </c>
      <c r="C645" t="inlineStr">
        <is>
          <t>R08</t>
        </is>
      </c>
      <c r="D645" t="inlineStr">
        <is>
          <t>MATCH</t>
        </is>
      </c>
      <c r="E645" t="inlineStr"/>
      <c r="G645" t="inlineStr"/>
      <c r="H645">
        <f>COUNTIFS('Bank Lines'!$G$5:$G$1640,A645,'Bank Lines'!$J$5:$J$1640,1)</f>
        <v>1</v>
      </c>
      <c r="I645">
        <f>COUNTIFS('Odoo Items'!$J$5:$J$4331,A645)</f>
        <v>1</v>
      </c>
      <c r="J645" s="9">
        <f>ROUND(SUMIFS('Bank Lines'!$E$5:$E$1640,'Bank Lines'!$G$5:$G$1640,A645,'Bank Lines'!$J$5:$J$1640,1),2)</f>
        <v>1711.27</v>
      </c>
      <c r="K645" s="9">
        <f>ROUND(SUMIFS('Odoo Items'!$G$5:$G$4331,'Odoo Items'!$J$5:$J$4331,A645),2)</f>
        <v>1711.27</v>
      </c>
      <c r="L645" s="9">
        <f>ROUND(J645-K645,2)</f>
        <v>0</v>
      </c>
      <c r="M645" s="9">
        <f>ROUND(SUMIFS('Bank Lines'!$E$5:$E$1640,'Bank Lines'!$G$5:$G$1640,A645,'Bank Lines'!$J$5:$J$1640,1,'Bank Lines'!$C$5:$C$1640,"&lt;="&amp;Cover!$C$13),2)</f>
        <v>1711.27</v>
      </c>
      <c r="N645" s="9">
        <f>ROUND(SUMIFS('Odoo Items'!$G$5:$G$4331,'Odoo Items'!$J$5:$J$4331,A645,'Odoo Items'!$C$5:$C$4331,"&lt;="&amp;Cover!$C$13),2)</f>
        <v>1711.27</v>
      </c>
      <c r="O645">
        <f>COUNTIFS('Bank Lines'!$G$5:$G$1640,A645,'Bank Lines'!$J$5:$J$1640,1,'Bank Lines'!$C$5:$C$1640,"&lt;="&amp;Cover!$C$13)</f>
        <v>1</v>
      </c>
      <c r="P645">
        <f>COUNTIFS('Odoo Items'!$J$5:$J$4331,A645,'Odoo Items'!$C$5:$C$4331,"&lt;="&amp;Cover!$C$13)</f>
        <v>1</v>
      </c>
      <c r="Q645" t="str">
        <f>IF(AND(O645=0,P645=0),"",IF(O645=0,"ODOO-ONLY",IF(P645=0,"BANK-ONLY","BOTH")))</f>
        <v>BOTH</v>
      </c>
      <c r="R645" s="9">
        <f>IF(Q645="BOTH",ROUND(M645-N645,2),0)</f>
        <v>0</v>
      </c>
      <c r="S645" s="9">
        <f>ROUND(SUMIFS('Bank Lines'!$E$5:$E$1640,'Bank Lines'!$G$5:$G$1640,A645,'Bank Lines'!$J$5:$J$1640,1,'Bank Lines'!$C$5:$C$1640,"&lt;="&amp;Cover!$C$14),2)</f>
        <v>1711.27</v>
      </c>
      <c r="T645" s="9">
        <f>ROUND(SUMIFS('Odoo Items'!$G$5:$G$4331,'Odoo Items'!$J$5:$J$4331,A645,'Odoo Items'!$C$5:$C$4331,"&lt;="&amp;Cover!$C$14),2)</f>
        <v>1711.27</v>
      </c>
      <c r="U645">
        <f>COUNTIFS('Bank Lines'!$G$5:$G$1640,A645,'Bank Lines'!$J$5:$J$1640,1,'Bank Lines'!$C$5:$C$1640,"&lt;="&amp;Cover!$C$14)</f>
        <v>1</v>
      </c>
      <c r="V645">
        <f>COUNTIFS('Odoo Items'!$J$5:$J$4331,A645,'Odoo Items'!$C$5:$C$4331,"&lt;="&amp;Cover!$C$14)</f>
        <v>1</v>
      </c>
      <c r="W645" t="str">
        <f>IF(AND(U645=0,V645=0),"",IF(U645=0,"ODOO-ONLY",IF(V645=0,"BANK-ONLY","BOTH")))</f>
        <v>BOTH</v>
      </c>
      <c r="X645" s="9">
        <f>IF(W645="BOTH",ROUND(S645-T645,2),0)</f>
        <v>0</v>
      </c>
      <c r="Y645" s="9">
        <f>ROUND(SUMIFS('Bank Lines'!$E$5:$E$1640,'Bank Lines'!$G$5:$G$1640,A645,'Bank Lines'!$J$5:$J$1640,1,'Bank Lines'!$C$5:$C$1640,"&lt;="&amp;Cover!$C$15),2)</f>
        <v>1711.27</v>
      </c>
      <c r="Z645" s="9">
        <f>ROUND(SUMIFS('Odoo Items'!$G$5:$G$4331,'Odoo Items'!$J$5:$J$4331,A645,'Odoo Items'!$C$5:$C$4331,"&lt;="&amp;Cover!$C$15),2)</f>
        <v>1711.27</v>
      </c>
      <c r="AA645">
        <f>COUNTIFS('Bank Lines'!$G$5:$G$1640,A645,'Bank Lines'!$J$5:$J$1640,1,'Bank Lines'!$C$5:$C$1640,"&lt;="&amp;Cover!$C$15)</f>
        <v>1</v>
      </c>
      <c r="AB645">
        <f>COUNTIFS('Odoo Items'!$J$5:$J$4331,A645,'Odoo Items'!$C$5:$C$4331,"&lt;="&amp;Cover!$C$15)</f>
        <v>1</v>
      </c>
      <c r="AC645" t="str">
        <f>IF(AND(AA645=0,AB645=0),"",IF(AA645=0,"ODOO-ONLY",IF(AB645=0,"BANK-ONLY","BOTH")))</f>
        <v>BOTH</v>
      </c>
      <c r="AD645" s="9">
        <f>IF(AC645="BOTH",ROUND(Y645-Z645,2),0)</f>
        <v>0</v>
      </c>
    </row>
    <row r="646">
      <c r="A646" t="inlineStr">
        <is>
          <t>G00642</t>
        </is>
      </c>
      <c r="B646" t="inlineStr">
        <is>
          <t>MER</t>
        </is>
      </c>
      <c r="C646" t="inlineStr">
        <is>
          <t>R08</t>
        </is>
      </c>
      <c r="D646" t="inlineStr">
        <is>
          <t>MATCH</t>
        </is>
      </c>
      <c r="E646" t="inlineStr"/>
      <c r="G646" t="inlineStr"/>
      <c r="H646">
        <f>COUNTIFS('Bank Lines'!$G$5:$G$1640,A646,'Bank Lines'!$J$5:$J$1640,1)</f>
        <v>1</v>
      </c>
      <c r="I646">
        <f>COUNTIFS('Odoo Items'!$J$5:$J$4331,A646)</f>
        <v>1</v>
      </c>
      <c r="J646" s="9">
        <f>ROUND(SUMIFS('Bank Lines'!$E$5:$E$1640,'Bank Lines'!$G$5:$G$1640,A646,'Bank Lines'!$J$5:$J$1640,1),2)</f>
        <v>1905.79</v>
      </c>
      <c r="K646" s="9">
        <f>ROUND(SUMIFS('Odoo Items'!$G$5:$G$4331,'Odoo Items'!$J$5:$J$4331,A646),2)</f>
        <v>1905.79</v>
      </c>
      <c r="L646" s="9">
        <f>ROUND(J646-K646,2)</f>
        <v>0</v>
      </c>
      <c r="M646" s="9">
        <f>ROUND(SUMIFS('Bank Lines'!$E$5:$E$1640,'Bank Lines'!$G$5:$G$1640,A646,'Bank Lines'!$J$5:$J$1640,1,'Bank Lines'!$C$5:$C$1640,"&lt;="&amp;Cover!$C$13),2)</f>
        <v>1905.79</v>
      </c>
      <c r="N646" s="9">
        <f>ROUND(SUMIFS('Odoo Items'!$G$5:$G$4331,'Odoo Items'!$J$5:$J$4331,A646,'Odoo Items'!$C$5:$C$4331,"&lt;="&amp;Cover!$C$13),2)</f>
        <v>1905.79</v>
      </c>
      <c r="O646">
        <f>COUNTIFS('Bank Lines'!$G$5:$G$1640,A646,'Bank Lines'!$J$5:$J$1640,1,'Bank Lines'!$C$5:$C$1640,"&lt;="&amp;Cover!$C$13)</f>
        <v>1</v>
      </c>
      <c r="P646">
        <f>COUNTIFS('Odoo Items'!$J$5:$J$4331,A646,'Odoo Items'!$C$5:$C$4331,"&lt;="&amp;Cover!$C$13)</f>
        <v>1</v>
      </c>
      <c r="Q646" t="str">
        <f>IF(AND(O646=0,P646=0),"",IF(O646=0,"ODOO-ONLY",IF(P646=0,"BANK-ONLY","BOTH")))</f>
        <v>BOTH</v>
      </c>
      <c r="R646" s="9">
        <f>IF(Q646="BOTH",ROUND(M646-N646,2),0)</f>
        <v>0</v>
      </c>
      <c r="S646" s="9">
        <f>ROUND(SUMIFS('Bank Lines'!$E$5:$E$1640,'Bank Lines'!$G$5:$G$1640,A646,'Bank Lines'!$J$5:$J$1640,1,'Bank Lines'!$C$5:$C$1640,"&lt;="&amp;Cover!$C$14),2)</f>
        <v>1905.79</v>
      </c>
      <c r="T646" s="9">
        <f>ROUND(SUMIFS('Odoo Items'!$G$5:$G$4331,'Odoo Items'!$J$5:$J$4331,A646,'Odoo Items'!$C$5:$C$4331,"&lt;="&amp;Cover!$C$14),2)</f>
        <v>1905.79</v>
      </c>
      <c r="U646">
        <f>COUNTIFS('Bank Lines'!$G$5:$G$1640,A646,'Bank Lines'!$J$5:$J$1640,1,'Bank Lines'!$C$5:$C$1640,"&lt;="&amp;Cover!$C$14)</f>
        <v>1</v>
      </c>
      <c r="V646">
        <f>COUNTIFS('Odoo Items'!$J$5:$J$4331,A646,'Odoo Items'!$C$5:$C$4331,"&lt;="&amp;Cover!$C$14)</f>
        <v>1</v>
      </c>
      <c r="W646" t="str">
        <f>IF(AND(U646=0,V646=0),"",IF(U646=0,"ODOO-ONLY",IF(V646=0,"BANK-ONLY","BOTH")))</f>
        <v>BOTH</v>
      </c>
      <c r="X646" s="9">
        <f>IF(W646="BOTH",ROUND(S646-T646,2),0)</f>
        <v>0</v>
      </c>
      <c r="Y646" s="9">
        <f>ROUND(SUMIFS('Bank Lines'!$E$5:$E$1640,'Bank Lines'!$G$5:$G$1640,A646,'Bank Lines'!$J$5:$J$1640,1,'Bank Lines'!$C$5:$C$1640,"&lt;="&amp;Cover!$C$15),2)</f>
        <v>1905.79</v>
      </c>
      <c r="Z646" s="9">
        <f>ROUND(SUMIFS('Odoo Items'!$G$5:$G$4331,'Odoo Items'!$J$5:$J$4331,A646,'Odoo Items'!$C$5:$C$4331,"&lt;="&amp;Cover!$C$15),2)</f>
        <v>1905.79</v>
      </c>
      <c r="AA646">
        <f>COUNTIFS('Bank Lines'!$G$5:$G$1640,A646,'Bank Lines'!$J$5:$J$1640,1,'Bank Lines'!$C$5:$C$1640,"&lt;="&amp;Cover!$C$15)</f>
        <v>1</v>
      </c>
      <c r="AB646">
        <f>COUNTIFS('Odoo Items'!$J$5:$J$4331,A646,'Odoo Items'!$C$5:$C$4331,"&lt;="&amp;Cover!$C$15)</f>
        <v>1</v>
      </c>
      <c r="AC646" t="str">
        <f>IF(AND(AA646=0,AB646=0),"",IF(AA646=0,"ODOO-ONLY",IF(AB646=0,"BANK-ONLY","BOTH")))</f>
        <v>BOTH</v>
      </c>
      <c r="AD646" s="9">
        <f>IF(AC646="BOTH",ROUND(Y646-Z646,2),0)</f>
        <v>0</v>
      </c>
    </row>
    <row r="647">
      <c r="A647" t="inlineStr">
        <is>
          <t>G00643</t>
        </is>
      </c>
      <c r="B647" t="inlineStr">
        <is>
          <t>MER</t>
        </is>
      </c>
      <c r="C647" t="inlineStr">
        <is>
          <t>R08</t>
        </is>
      </c>
      <c r="D647" t="inlineStr">
        <is>
          <t>MATCH</t>
        </is>
      </c>
      <c r="E647" t="inlineStr"/>
      <c r="G647" t="inlineStr"/>
      <c r="H647">
        <f>COUNTIFS('Bank Lines'!$G$5:$G$1640,A647,'Bank Lines'!$J$5:$J$1640,1)</f>
        <v>1</v>
      </c>
      <c r="I647">
        <f>COUNTIFS('Odoo Items'!$J$5:$J$4331,A647)</f>
        <v>1</v>
      </c>
      <c r="J647" s="9">
        <f>ROUND(SUMIFS('Bank Lines'!$E$5:$E$1640,'Bank Lines'!$G$5:$G$1640,A647,'Bank Lines'!$J$5:$J$1640,1),2)</f>
        <v>2362.6</v>
      </c>
      <c r="K647" s="9">
        <f>ROUND(SUMIFS('Odoo Items'!$G$5:$G$4331,'Odoo Items'!$J$5:$J$4331,A647),2)</f>
        <v>2362.6</v>
      </c>
      <c r="L647" s="9">
        <f>ROUND(J647-K647,2)</f>
        <v>0</v>
      </c>
      <c r="M647" s="9">
        <f>ROUND(SUMIFS('Bank Lines'!$E$5:$E$1640,'Bank Lines'!$G$5:$G$1640,A647,'Bank Lines'!$J$5:$J$1640,1,'Bank Lines'!$C$5:$C$1640,"&lt;="&amp;Cover!$C$13),2)</f>
        <v>2362.6</v>
      </c>
      <c r="N647" s="9">
        <f>ROUND(SUMIFS('Odoo Items'!$G$5:$G$4331,'Odoo Items'!$J$5:$J$4331,A647,'Odoo Items'!$C$5:$C$4331,"&lt;="&amp;Cover!$C$13),2)</f>
        <v>2362.6</v>
      </c>
      <c r="O647">
        <f>COUNTIFS('Bank Lines'!$G$5:$G$1640,A647,'Bank Lines'!$J$5:$J$1640,1,'Bank Lines'!$C$5:$C$1640,"&lt;="&amp;Cover!$C$13)</f>
        <v>1</v>
      </c>
      <c r="P647">
        <f>COUNTIFS('Odoo Items'!$J$5:$J$4331,A647,'Odoo Items'!$C$5:$C$4331,"&lt;="&amp;Cover!$C$13)</f>
        <v>1</v>
      </c>
      <c r="Q647" t="str">
        <f>IF(AND(O647=0,P647=0),"",IF(O647=0,"ODOO-ONLY",IF(P647=0,"BANK-ONLY","BOTH")))</f>
        <v>BOTH</v>
      </c>
      <c r="R647" s="9">
        <f>IF(Q647="BOTH",ROUND(M647-N647,2),0)</f>
        <v>0</v>
      </c>
      <c r="S647" s="9">
        <f>ROUND(SUMIFS('Bank Lines'!$E$5:$E$1640,'Bank Lines'!$G$5:$G$1640,A647,'Bank Lines'!$J$5:$J$1640,1,'Bank Lines'!$C$5:$C$1640,"&lt;="&amp;Cover!$C$14),2)</f>
        <v>2362.6</v>
      </c>
      <c r="T647" s="9">
        <f>ROUND(SUMIFS('Odoo Items'!$G$5:$G$4331,'Odoo Items'!$J$5:$J$4331,A647,'Odoo Items'!$C$5:$C$4331,"&lt;="&amp;Cover!$C$14),2)</f>
        <v>2362.6</v>
      </c>
      <c r="U647">
        <f>COUNTIFS('Bank Lines'!$G$5:$G$1640,A647,'Bank Lines'!$J$5:$J$1640,1,'Bank Lines'!$C$5:$C$1640,"&lt;="&amp;Cover!$C$14)</f>
        <v>1</v>
      </c>
      <c r="V647">
        <f>COUNTIFS('Odoo Items'!$J$5:$J$4331,A647,'Odoo Items'!$C$5:$C$4331,"&lt;="&amp;Cover!$C$14)</f>
        <v>1</v>
      </c>
      <c r="W647" t="str">
        <f>IF(AND(U647=0,V647=0),"",IF(U647=0,"ODOO-ONLY",IF(V647=0,"BANK-ONLY","BOTH")))</f>
        <v>BOTH</v>
      </c>
      <c r="X647" s="9">
        <f>IF(W647="BOTH",ROUND(S647-T647,2),0)</f>
        <v>0</v>
      </c>
      <c r="Y647" s="9">
        <f>ROUND(SUMIFS('Bank Lines'!$E$5:$E$1640,'Bank Lines'!$G$5:$G$1640,A647,'Bank Lines'!$J$5:$J$1640,1,'Bank Lines'!$C$5:$C$1640,"&lt;="&amp;Cover!$C$15),2)</f>
        <v>2362.6</v>
      </c>
      <c r="Z647" s="9">
        <f>ROUND(SUMIFS('Odoo Items'!$G$5:$G$4331,'Odoo Items'!$J$5:$J$4331,A647,'Odoo Items'!$C$5:$C$4331,"&lt;="&amp;Cover!$C$15),2)</f>
        <v>2362.6</v>
      </c>
      <c r="AA647">
        <f>COUNTIFS('Bank Lines'!$G$5:$G$1640,A647,'Bank Lines'!$J$5:$J$1640,1,'Bank Lines'!$C$5:$C$1640,"&lt;="&amp;Cover!$C$15)</f>
        <v>1</v>
      </c>
      <c r="AB647">
        <f>COUNTIFS('Odoo Items'!$J$5:$J$4331,A647,'Odoo Items'!$C$5:$C$4331,"&lt;="&amp;Cover!$C$15)</f>
        <v>1</v>
      </c>
      <c r="AC647" t="str">
        <f>IF(AND(AA647=0,AB647=0),"",IF(AA647=0,"ODOO-ONLY",IF(AB647=0,"BANK-ONLY","BOTH")))</f>
        <v>BOTH</v>
      </c>
      <c r="AD647" s="9">
        <f>IF(AC647="BOTH",ROUND(Y647-Z647,2),0)</f>
        <v>0</v>
      </c>
    </row>
    <row r="648">
      <c r="A648" t="inlineStr">
        <is>
          <t>G00644</t>
        </is>
      </c>
      <c r="B648" t="inlineStr">
        <is>
          <t>MER</t>
        </is>
      </c>
      <c r="C648" t="inlineStr">
        <is>
          <t>R08</t>
        </is>
      </c>
      <c r="D648" t="inlineStr">
        <is>
          <t>MATCH</t>
        </is>
      </c>
      <c r="E648" t="inlineStr"/>
      <c r="G648" t="inlineStr"/>
      <c r="H648">
        <f>COUNTIFS('Bank Lines'!$G$5:$G$1640,A648,'Bank Lines'!$J$5:$J$1640,1)</f>
        <v>1</v>
      </c>
      <c r="I648">
        <f>COUNTIFS('Odoo Items'!$J$5:$J$4331,A648)</f>
        <v>1</v>
      </c>
      <c r="J648" s="9">
        <f>ROUND(SUMIFS('Bank Lines'!$E$5:$E$1640,'Bank Lines'!$G$5:$G$1640,A648,'Bank Lines'!$J$5:$J$1640,1),2)</f>
        <v>982.49</v>
      </c>
      <c r="K648" s="9">
        <f>ROUND(SUMIFS('Odoo Items'!$G$5:$G$4331,'Odoo Items'!$J$5:$J$4331,A648),2)</f>
        <v>982.49</v>
      </c>
      <c r="L648" s="9">
        <f>ROUND(J648-K648,2)</f>
        <v>0</v>
      </c>
      <c r="M648" s="9">
        <f>ROUND(SUMIFS('Bank Lines'!$E$5:$E$1640,'Bank Lines'!$G$5:$G$1640,A648,'Bank Lines'!$J$5:$J$1640,1,'Bank Lines'!$C$5:$C$1640,"&lt;="&amp;Cover!$C$13),2)</f>
        <v>982.49</v>
      </c>
      <c r="N648" s="9">
        <f>ROUND(SUMIFS('Odoo Items'!$G$5:$G$4331,'Odoo Items'!$J$5:$J$4331,A648,'Odoo Items'!$C$5:$C$4331,"&lt;="&amp;Cover!$C$13),2)</f>
        <v>982.49</v>
      </c>
      <c r="O648">
        <f>COUNTIFS('Bank Lines'!$G$5:$G$1640,A648,'Bank Lines'!$J$5:$J$1640,1,'Bank Lines'!$C$5:$C$1640,"&lt;="&amp;Cover!$C$13)</f>
        <v>1</v>
      </c>
      <c r="P648">
        <f>COUNTIFS('Odoo Items'!$J$5:$J$4331,A648,'Odoo Items'!$C$5:$C$4331,"&lt;="&amp;Cover!$C$13)</f>
        <v>1</v>
      </c>
      <c r="Q648" t="str">
        <f>IF(AND(O648=0,P648=0),"",IF(O648=0,"ODOO-ONLY",IF(P648=0,"BANK-ONLY","BOTH")))</f>
        <v>BOTH</v>
      </c>
      <c r="R648" s="9">
        <f>IF(Q648="BOTH",ROUND(M648-N648,2),0)</f>
        <v>0</v>
      </c>
      <c r="S648" s="9">
        <f>ROUND(SUMIFS('Bank Lines'!$E$5:$E$1640,'Bank Lines'!$G$5:$G$1640,A648,'Bank Lines'!$J$5:$J$1640,1,'Bank Lines'!$C$5:$C$1640,"&lt;="&amp;Cover!$C$14),2)</f>
        <v>982.49</v>
      </c>
      <c r="T648" s="9">
        <f>ROUND(SUMIFS('Odoo Items'!$G$5:$G$4331,'Odoo Items'!$J$5:$J$4331,A648,'Odoo Items'!$C$5:$C$4331,"&lt;="&amp;Cover!$C$14),2)</f>
        <v>982.49</v>
      </c>
      <c r="U648">
        <f>COUNTIFS('Bank Lines'!$G$5:$G$1640,A648,'Bank Lines'!$J$5:$J$1640,1,'Bank Lines'!$C$5:$C$1640,"&lt;="&amp;Cover!$C$14)</f>
        <v>1</v>
      </c>
      <c r="V648">
        <f>COUNTIFS('Odoo Items'!$J$5:$J$4331,A648,'Odoo Items'!$C$5:$C$4331,"&lt;="&amp;Cover!$C$14)</f>
        <v>1</v>
      </c>
      <c r="W648" t="str">
        <f>IF(AND(U648=0,V648=0),"",IF(U648=0,"ODOO-ONLY",IF(V648=0,"BANK-ONLY","BOTH")))</f>
        <v>BOTH</v>
      </c>
      <c r="X648" s="9">
        <f>IF(W648="BOTH",ROUND(S648-T648,2),0)</f>
        <v>0</v>
      </c>
      <c r="Y648" s="9">
        <f>ROUND(SUMIFS('Bank Lines'!$E$5:$E$1640,'Bank Lines'!$G$5:$G$1640,A648,'Bank Lines'!$J$5:$J$1640,1,'Bank Lines'!$C$5:$C$1640,"&lt;="&amp;Cover!$C$15),2)</f>
        <v>982.49</v>
      </c>
      <c r="Z648" s="9">
        <f>ROUND(SUMIFS('Odoo Items'!$G$5:$G$4331,'Odoo Items'!$J$5:$J$4331,A648,'Odoo Items'!$C$5:$C$4331,"&lt;="&amp;Cover!$C$15),2)</f>
        <v>982.49</v>
      </c>
      <c r="AA648">
        <f>COUNTIFS('Bank Lines'!$G$5:$G$1640,A648,'Bank Lines'!$J$5:$J$1640,1,'Bank Lines'!$C$5:$C$1640,"&lt;="&amp;Cover!$C$15)</f>
        <v>1</v>
      </c>
      <c r="AB648">
        <f>COUNTIFS('Odoo Items'!$J$5:$J$4331,A648,'Odoo Items'!$C$5:$C$4331,"&lt;="&amp;Cover!$C$15)</f>
        <v>1</v>
      </c>
      <c r="AC648" t="str">
        <f>IF(AND(AA648=0,AB648=0),"",IF(AA648=0,"ODOO-ONLY",IF(AB648=0,"BANK-ONLY","BOTH")))</f>
        <v>BOTH</v>
      </c>
      <c r="AD648" s="9">
        <f>IF(AC648="BOTH",ROUND(Y648-Z648,2),0)</f>
        <v>0</v>
      </c>
    </row>
    <row r="649">
      <c r="A649" t="inlineStr">
        <is>
          <t>G00645</t>
        </is>
      </c>
      <c r="B649" t="inlineStr">
        <is>
          <t>MER</t>
        </is>
      </c>
      <c r="C649" t="inlineStr">
        <is>
          <t>R08</t>
        </is>
      </c>
      <c r="D649" t="inlineStr">
        <is>
          <t>MATCH</t>
        </is>
      </c>
      <c r="E649" t="inlineStr"/>
      <c r="G649" t="inlineStr"/>
      <c r="H649">
        <f>COUNTIFS('Bank Lines'!$G$5:$G$1640,A649,'Bank Lines'!$J$5:$J$1640,1)</f>
        <v>1</v>
      </c>
      <c r="I649">
        <f>COUNTIFS('Odoo Items'!$J$5:$J$4331,A649)</f>
        <v>1</v>
      </c>
      <c r="J649" s="9">
        <f>ROUND(SUMIFS('Bank Lines'!$E$5:$E$1640,'Bank Lines'!$G$5:$G$1640,A649,'Bank Lines'!$J$5:$J$1640,1),2)</f>
        <v>1615.16</v>
      </c>
      <c r="K649" s="9">
        <f>ROUND(SUMIFS('Odoo Items'!$G$5:$G$4331,'Odoo Items'!$J$5:$J$4331,A649),2)</f>
        <v>1615.16</v>
      </c>
      <c r="L649" s="9">
        <f>ROUND(J649-K649,2)</f>
        <v>0</v>
      </c>
      <c r="M649" s="9">
        <f>ROUND(SUMIFS('Bank Lines'!$E$5:$E$1640,'Bank Lines'!$G$5:$G$1640,A649,'Bank Lines'!$J$5:$J$1640,1,'Bank Lines'!$C$5:$C$1640,"&lt;="&amp;Cover!$C$13),2)</f>
        <v>1615.16</v>
      </c>
      <c r="N649" s="9">
        <f>ROUND(SUMIFS('Odoo Items'!$G$5:$G$4331,'Odoo Items'!$J$5:$J$4331,A649,'Odoo Items'!$C$5:$C$4331,"&lt;="&amp;Cover!$C$13),2)</f>
        <v>1615.16</v>
      </c>
      <c r="O649">
        <f>COUNTIFS('Bank Lines'!$G$5:$G$1640,A649,'Bank Lines'!$J$5:$J$1640,1,'Bank Lines'!$C$5:$C$1640,"&lt;="&amp;Cover!$C$13)</f>
        <v>1</v>
      </c>
      <c r="P649">
        <f>COUNTIFS('Odoo Items'!$J$5:$J$4331,A649,'Odoo Items'!$C$5:$C$4331,"&lt;="&amp;Cover!$C$13)</f>
        <v>1</v>
      </c>
      <c r="Q649" t="str">
        <f>IF(AND(O649=0,P649=0),"",IF(O649=0,"ODOO-ONLY",IF(P649=0,"BANK-ONLY","BOTH")))</f>
        <v>BOTH</v>
      </c>
      <c r="R649" s="9">
        <f>IF(Q649="BOTH",ROUND(M649-N649,2),0)</f>
        <v>0</v>
      </c>
      <c r="S649" s="9">
        <f>ROUND(SUMIFS('Bank Lines'!$E$5:$E$1640,'Bank Lines'!$G$5:$G$1640,A649,'Bank Lines'!$J$5:$J$1640,1,'Bank Lines'!$C$5:$C$1640,"&lt;="&amp;Cover!$C$14),2)</f>
        <v>1615.16</v>
      </c>
      <c r="T649" s="9">
        <f>ROUND(SUMIFS('Odoo Items'!$G$5:$G$4331,'Odoo Items'!$J$5:$J$4331,A649,'Odoo Items'!$C$5:$C$4331,"&lt;="&amp;Cover!$C$14),2)</f>
        <v>1615.16</v>
      </c>
      <c r="U649">
        <f>COUNTIFS('Bank Lines'!$G$5:$G$1640,A649,'Bank Lines'!$J$5:$J$1640,1,'Bank Lines'!$C$5:$C$1640,"&lt;="&amp;Cover!$C$14)</f>
        <v>1</v>
      </c>
      <c r="V649">
        <f>COUNTIFS('Odoo Items'!$J$5:$J$4331,A649,'Odoo Items'!$C$5:$C$4331,"&lt;="&amp;Cover!$C$14)</f>
        <v>1</v>
      </c>
      <c r="W649" t="str">
        <f>IF(AND(U649=0,V649=0),"",IF(U649=0,"ODOO-ONLY",IF(V649=0,"BANK-ONLY","BOTH")))</f>
        <v>BOTH</v>
      </c>
      <c r="X649" s="9">
        <f>IF(W649="BOTH",ROUND(S649-T649,2),0)</f>
        <v>0</v>
      </c>
      <c r="Y649" s="9">
        <f>ROUND(SUMIFS('Bank Lines'!$E$5:$E$1640,'Bank Lines'!$G$5:$G$1640,A649,'Bank Lines'!$J$5:$J$1640,1,'Bank Lines'!$C$5:$C$1640,"&lt;="&amp;Cover!$C$15),2)</f>
        <v>1615.16</v>
      </c>
      <c r="Z649" s="9">
        <f>ROUND(SUMIFS('Odoo Items'!$G$5:$G$4331,'Odoo Items'!$J$5:$J$4331,A649,'Odoo Items'!$C$5:$C$4331,"&lt;="&amp;Cover!$C$15),2)</f>
        <v>1615.16</v>
      </c>
      <c r="AA649">
        <f>COUNTIFS('Bank Lines'!$G$5:$G$1640,A649,'Bank Lines'!$J$5:$J$1640,1,'Bank Lines'!$C$5:$C$1640,"&lt;="&amp;Cover!$C$15)</f>
        <v>1</v>
      </c>
      <c r="AB649">
        <f>COUNTIFS('Odoo Items'!$J$5:$J$4331,A649,'Odoo Items'!$C$5:$C$4331,"&lt;="&amp;Cover!$C$15)</f>
        <v>1</v>
      </c>
      <c r="AC649" t="str">
        <f>IF(AND(AA649=0,AB649=0),"",IF(AA649=0,"ODOO-ONLY",IF(AB649=0,"BANK-ONLY","BOTH")))</f>
        <v>BOTH</v>
      </c>
      <c r="AD649" s="9">
        <f>IF(AC649="BOTH",ROUND(Y649-Z649,2),0)</f>
        <v>0</v>
      </c>
    </row>
    <row r="650">
      <c r="A650" t="inlineStr">
        <is>
          <t>G00646</t>
        </is>
      </c>
      <c r="B650" t="inlineStr">
        <is>
          <t>MER</t>
        </is>
      </c>
      <c r="C650" t="inlineStr">
        <is>
          <t>R08</t>
        </is>
      </c>
      <c r="D650" t="inlineStr">
        <is>
          <t>MATCH</t>
        </is>
      </c>
      <c r="E650" t="inlineStr"/>
      <c r="G650" t="inlineStr"/>
      <c r="H650">
        <f>COUNTIFS('Bank Lines'!$G$5:$G$1640,A650,'Bank Lines'!$J$5:$J$1640,1)</f>
        <v>1</v>
      </c>
      <c r="I650">
        <f>COUNTIFS('Odoo Items'!$J$5:$J$4331,A650)</f>
        <v>1</v>
      </c>
      <c r="J650" s="9">
        <f>ROUND(SUMIFS('Bank Lines'!$E$5:$E$1640,'Bank Lines'!$G$5:$G$1640,A650,'Bank Lines'!$J$5:$J$1640,1),2)</f>
        <v>2140.54</v>
      </c>
      <c r="K650" s="9">
        <f>ROUND(SUMIFS('Odoo Items'!$G$5:$G$4331,'Odoo Items'!$J$5:$J$4331,A650),2)</f>
        <v>2140.54</v>
      </c>
      <c r="L650" s="9">
        <f>ROUND(J650-K650,2)</f>
        <v>0</v>
      </c>
      <c r="M650" s="9">
        <f>ROUND(SUMIFS('Bank Lines'!$E$5:$E$1640,'Bank Lines'!$G$5:$G$1640,A650,'Bank Lines'!$J$5:$J$1640,1,'Bank Lines'!$C$5:$C$1640,"&lt;="&amp;Cover!$C$13),2)</f>
        <v>2140.54</v>
      </c>
      <c r="N650" s="9">
        <f>ROUND(SUMIFS('Odoo Items'!$G$5:$G$4331,'Odoo Items'!$J$5:$J$4331,A650,'Odoo Items'!$C$5:$C$4331,"&lt;="&amp;Cover!$C$13),2)</f>
        <v>2140.54</v>
      </c>
      <c r="O650">
        <f>COUNTIFS('Bank Lines'!$G$5:$G$1640,A650,'Bank Lines'!$J$5:$J$1640,1,'Bank Lines'!$C$5:$C$1640,"&lt;="&amp;Cover!$C$13)</f>
        <v>1</v>
      </c>
      <c r="P650">
        <f>COUNTIFS('Odoo Items'!$J$5:$J$4331,A650,'Odoo Items'!$C$5:$C$4331,"&lt;="&amp;Cover!$C$13)</f>
        <v>1</v>
      </c>
      <c r="Q650" t="str">
        <f>IF(AND(O650=0,P650=0),"",IF(O650=0,"ODOO-ONLY",IF(P650=0,"BANK-ONLY","BOTH")))</f>
        <v>BOTH</v>
      </c>
      <c r="R650" s="9">
        <f>IF(Q650="BOTH",ROUND(M650-N650,2),0)</f>
        <v>0</v>
      </c>
      <c r="S650" s="9">
        <f>ROUND(SUMIFS('Bank Lines'!$E$5:$E$1640,'Bank Lines'!$G$5:$G$1640,A650,'Bank Lines'!$J$5:$J$1640,1,'Bank Lines'!$C$5:$C$1640,"&lt;="&amp;Cover!$C$14),2)</f>
        <v>2140.54</v>
      </c>
      <c r="T650" s="9">
        <f>ROUND(SUMIFS('Odoo Items'!$G$5:$G$4331,'Odoo Items'!$J$5:$J$4331,A650,'Odoo Items'!$C$5:$C$4331,"&lt;="&amp;Cover!$C$14),2)</f>
        <v>2140.54</v>
      </c>
      <c r="U650">
        <f>COUNTIFS('Bank Lines'!$G$5:$G$1640,A650,'Bank Lines'!$J$5:$J$1640,1,'Bank Lines'!$C$5:$C$1640,"&lt;="&amp;Cover!$C$14)</f>
        <v>1</v>
      </c>
      <c r="V650">
        <f>COUNTIFS('Odoo Items'!$J$5:$J$4331,A650,'Odoo Items'!$C$5:$C$4331,"&lt;="&amp;Cover!$C$14)</f>
        <v>1</v>
      </c>
      <c r="W650" t="str">
        <f>IF(AND(U650=0,V650=0),"",IF(U650=0,"ODOO-ONLY",IF(V650=0,"BANK-ONLY","BOTH")))</f>
        <v>BOTH</v>
      </c>
      <c r="X650" s="9">
        <f>IF(W650="BOTH",ROUND(S650-T650,2),0)</f>
        <v>0</v>
      </c>
      <c r="Y650" s="9">
        <f>ROUND(SUMIFS('Bank Lines'!$E$5:$E$1640,'Bank Lines'!$G$5:$G$1640,A650,'Bank Lines'!$J$5:$J$1640,1,'Bank Lines'!$C$5:$C$1640,"&lt;="&amp;Cover!$C$15),2)</f>
        <v>2140.54</v>
      </c>
      <c r="Z650" s="9">
        <f>ROUND(SUMIFS('Odoo Items'!$G$5:$G$4331,'Odoo Items'!$J$5:$J$4331,A650,'Odoo Items'!$C$5:$C$4331,"&lt;="&amp;Cover!$C$15),2)</f>
        <v>2140.54</v>
      </c>
      <c r="AA650">
        <f>COUNTIFS('Bank Lines'!$G$5:$G$1640,A650,'Bank Lines'!$J$5:$J$1640,1,'Bank Lines'!$C$5:$C$1640,"&lt;="&amp;Cover!$C$15)</f>
        <v>1</v>
      </c>
      <c r="AB650">
        <f>COUNTIFS('Odoo Items'!$J$5:$J$4331,A650,'Odoo Items'!$C$5:$C$4331,"&lt;="&amp;Cover!$C$15)</f>
        <v>1</v>
      </c>
      <c r="AC650" t="str">
        <f>IF(AND(AA650=0,AB650=0),"",IF(AA650=0,"ODOO-ONLY",IF(AB650=0,"BANK-ONLY","BOTH")))</f>
        <v>BOTH</v>
      </c>
      <c r="AD650" s="9">
        <f>IF(AC650="BOTH",ROUND(Y650-Z650,2),0)</f>
        <v>0</v>
      </c>
    </row>
    <row r="651">
      <c r="A651" t="inlineStr">
        <is>
          <t>G00647</t>
        </is>
      </c>
      <c r="B651" t="inlineStr">
        <is>
          <t>MER</t>
        </is>
      </c>
      <c r="C651" t="inlineStr">
        <is>
          <t>R08</t>
        </is>
      </c>
      <c r="D651" t="inlineStr">
        <is>
          <t>MATCH</t>
        </is>
      </c>
      <c r="E651" t="inlineStr"/>
      <c r="G651" t="inlineStr"/>
      <c r="H651">
        <f>COUNTIFS('Bank Lines'!$G$5:$G$1640,A651,'Bank Lines'!$J$5:$J$1640,1)</f>
        <v>1</v>
      </c>
      <c r="I651">
        <f>COUNTIFS('Odoo Items'!$J$5:$J$4331,A651)</f>
        <v>1</v>
      </c>
      <c r="J651" s="9">
        <f>ROUND(SUMIFS('Bank Lines'!$E$5:$E$1640,'Bank Lines'!$G$5:$G$1640,A651,'Bank Lines'!$J$5:$J$1640,1),2)</f>
        <v>1482.93</v>
      </c>
      <c r="K651" s="9">
        <f>ROUND(SUMIFS('Odoo Items'!$G$5:$G$4331,'Odoo Items'!$J$5:$J$4331,A651),2)</f>
        <v>1482.93</v>
      </c>
      <c r="L651" s="9">
        <f>ROUND(J651-K651,2)</f>
        <v>0</v>
      </c>
      <c r="M651" s="9">
        <f>ROUND(SUMIFS('Bank Lines'!$E$5:$E$1640,'Bank Lines'!$G$5:$G$1640,A651,'Bank Lines'!$J$5:$J$1640,1,'Bank Lines'!$C$5:$C$1640,"&lt;="&amp;Cover!$C$13),2)</f>
        <v>1482.93</v>
      </c>
      <c r="N651" s="9">
        <f>ROUND(SUMIFS('Odoo Items'!$G$5:$G$4331,'Odoo Items'!$J$5:$J$4331,A651,'Odoo Items'!$C$5:$C$4331,"&lt;="&amp;Cover!$C$13),2)</f>
        <v>1482.93</v>
      </c>
      <c r="O651">
        <f>COUNTIFS('Bank Lines'!$G$5:$G$1640,A651,'Bank Lines'!$J$5:$J$1640,1,'Bank Lines'!$C$5:$C$1640,"&lt;="&amp;Cover!$C$13)</f>
        <v>1</v>
      </c>
      <c r="P651">
        <f>COUNTIFS('Odoo Items'!$J$5:$J$4331,A651,'Odoo Items'!$C$5:$C$4331,"&lt;="&amp;Cover!$C$13)</f>
        <v>1</v>
      </c>
      <c r="Q651" t="str">
        <f>IF(AND(O651=0,P651=0),"",IF(O651=0,"ODOO-ONLY",IF(P651=0,"BANK-ONLY","BOTH")))</f>
        <v>BOTH</v>
      </c>
      <c r="R651" s="9">
        <f>IF(Q651="BOTH",ROUND(M651-N651,2),0)</f>
        <v>0</v>
      </c>
      <c r="S651" s="9">
        <f>ROUND(SUMIFS('Bank Lines'!$E$5:$E$1640,'Bank Lines'!$G$5:$G$1640,A651,'Bank Lines'!$J$5:$J$1640,1,'Bank Lines'!$C$5:$C$1640,"&lt;="&amp;Cover!$C$14),2)</f>
        <v>1482.93</v>
      </c>
      <c r="T651" s="9">
        <f>ROUND(SUMIFS('Odoo Items'!$G$5:$G$4331,'Odoo Items'!$J$5:$J$4331,A651,'Odoo Items'!$C$5:$C$4331,"&lt;="&amp;Cover!$C$14),2)</f>
        <v>1482.93</v>
      </c>
      <c r="U651">
        <f>COUNTIFS('Bank Lines'!$G$5:$G$1640,A651,'Bank Lines'!$J$5:$J$1640,1,'Bank Lines'!$C$5:$C$1640,"&lt;="&amp;Cover!$C$14)</f>
        <v>1</v>
      </c>
      <c r="V651">
        <f>COUNTIFS('Odoo Items'!$J$5:$J$4331,A651,'Odoo Items'!$C$5:$C$4331,"&lt;="&amp;Cover!$C$14)</f>
        <v>1</v>
      </c>
      <c r="W651" t="str">
        <f>IF(AND(U651=0,V651=0),"",IF(U651=0,"ODOO-ONLY",IF(V651=0,"BANK-ONLY","BOTH")))</f>
        <v>BOTH</v>
      </c>
      <c r="X651" s="9">
        <f>IF(W651="BOTH",ROUND(S651-T651,2),0)</f>
        <v>0</v>
      </c>
      <c r="Y651" s="9">
        <f>ROUND(SUMIFS('Bank Lines'!$E$5:$E$1640,'Bank Lines'!$G$5:$G$1640,A651,'Bank Lines'!$J$5:$J$1640,1,'Bank Lines'!$C$5:$C$1640,"&lt;="&amp;Cover!$C$15),2)</f>
        <v>1482.93</v>
      </c>
      <c r="Z651" s="9">
        <f>ROUND(SUMIFS('Odoo Items'!$G$5:$G$4331,'Odoo Items'!$J$5:$J$4331,A651,'Odoo Items'!$C$5:$C$4331,"&lt;="&amp;Cover!$C$15),2)</f>
        <v>1482.93</v>
      </c>
      <c r="AA651">
        <f>COUNTIFS('Bank Lines'!$G$5:$G$1640,A651,'Bank Lines'!$J$5:$J$1640,1,'Bank Lines'!$C$5:$C$1640,"&lt;="&amp;Cover!$C$15)</f>
        <v>1</v>
      </c>
      <c r="AB651">
        <f>COUNTIFS('Odoo Items'!$J$5:$J$4331,A651,'Odoo Items'!$C$5:$C$4331,"&lt;="&amp;Cover!$C$15)</f>
        <v>1</v>
      </c>
      <c r="AC651" t="str">
        <f>IF(AND(AA651=0,AB651=0),"",IF(AA651=0,"ODOO-ONLY",IF(AB651=0,"BANK-ONLY","BOTH")))</f>
        <v>BOTH</v>
      </c>
      <c r="AD651" s="9">
        <f>IF(AC651="BOTH",ROUND(Y651-Z651,2),0)</f>
        <v>0</v>
      </c>
    </row>
    <row r="652">
      <c r="A652" t="inlineStr">
        <is>
          <t>G00648</t>
        </is>
      </c>
      <c r="B652" t="inlineStr">
        <is>
          <t>MER</t>
        </is>
      </c>
      <c r="C652" t="inlineStr">
        <is>
          <t>R08</t>
        </is>
      </c>
      <c r="D652" t="inlineStr">
        <is>
          <t>MATCH</t>
        </is>
      </c>
      <c r="E652" t="inlineStr"/>
      <c r="G652" t="inlineStr"/>
      <c r="H652">
        <f>COUNTIFS('Bank Lines'!$G$5:$G$1640,A652,'Bank Lines'!$J$5:$J$1640,1)</f>
        <v>1</v>
      </c>
      <c r="I652">
        <f>COUNTIFS('Odoo Items'!$J$5:$J$4331,A652)</f>
        <v>1</v>
      </c>
      <c r="J652" s="9">
        <f>ROUND(SUMIFS('Bank Lines'!$E$5:$E$1640,'Bank Lines'!$G$5:$G$1640,A652,'Bank Lines'!$J$5:$J$1640,1),2)</f>
        <v>1435.65</v>
      </c>
      <c r="K652" s="9">
        <f>ROUND(SUMIFS('Odoo Items'!$G$5:$G$4331,'Odoo Items'!$J$5:$J$4331,A652),2)</f>
        <v>1435.65</v>
      </c>
      <c r="L652" s="9">
        <f>ROUND(J652-K652,2)</f>
        <v>0</v>
      </c>
      <c r="M652" s="9">
        <f>ROUND(SUMIFS('Bank Lines'!$E$5:$E$1640,'Bank Lines'!$G$5:$G$1640,A652,'Bank Lines'!$J$5:$J$1640,1,'Bank Lines'!$C$5:$C$1640,"&lt;="&amp;Cover!$C$13),2)</f>
        <v>1435.65</v>
      </c>
      <c r="N652" s="9">
        <f>ROUND(SUMIFS('Odoo Items'!$G$5:$G$4331,'Odoo Items'!$J$5:$J$4331,A652,'Odoo Items'!$C$5:$C$4331,"&lt;="&amp;Cover!$C$13),2)</f>
        <v>1435.65</v>
      </c>
      <c r="O652">
        <f>COUNTIFS('Bank Lines'!$G$5:$G$1640,A652,'Bank Lines'!$J$5:$J$1640,1,'Bank Lines'!$C$5:$C$1640,"&lt;="&amp;Cover!$C$13)</f>
        <v>1</v>
      </c>
      <c r="P652">
        <f>COUNTIFS('Odoo Items'!$J$5:$J$4331,A652,'Odoo Items'!$C$5:$C$4331,"&lt;="&amp;Cover!$C$13)</f>
        <v>1</v>
      </c>
      <c r="Q652" t="str">
        <f>IF(AND(O652=0,P652=0),"",IF(O652=0,"ODOO-ONLY",IF(P652=0,"BANK-ONLY","BOTH")))</f>
        <v>BOTH</v>
      </c>
      <c r="R652" s="9">
        <f>IF(Q652="BOTH",ROUND(M652-N652,2),0)</f>
        <v>0</v>
      </c>
      <c r="S652" s="9">
        <f>ROUND(SUMIFS('Bank Lines'!$E$5:$E$1640,'Bank Lines'!$G$5:$G$1640,A652,'Bank Lines'!$J$5:$J$1640,1,'Bank Lines'!$C$5:$C$1640,"&lt;="&amp;Cover!$C$14),2)</f>
        <v>1435.65</v>
      </c>
      <c r="T652" s="9">
        <f>ROUND(SUMIFS('Odoo Items'!$G$5:$G$4331,'Odoo Items'!$J$5:$J$4331,A652,'Odoo Items'!$C$5:$C$4331,"&lt;="&amp;Cover!$C$14),2)</f>
        <v>1435.65</v>
      </c>
      <c r="U652">
        <f>COUNTIFS('Bank Lines'!$G$5:$G$1640,A652,'Bank Lines'!$J$5:$J$1640,1,'Bank Lines'!$C$5:$C$1640,"&lt;="&amp;Cover!$C$14)</f>
        <v>1</v>
      </c>
      <c r="V652">
        <f>COUNTIFS('Odoo Items'!$J$5:$J$4331,A652,'Odoo Items'!$C$5:$C$4331,"&lt;="&amp;Cover!$C$14)</f>
        <v>1</v>
      </c>
      <c r="W652" t="str">
        <f>IF(AND(U652=0,V652=0),"",IF(U652=0,"ODOO-ONLY",IF(V652=0,"BANK-ONLY","BOTH")))</f>
        <v>BOTH</v>
      </c>
      <c r="X652" s="9">
        <f>IF(W652="BOTH",ROUND(S652-T652,2),0)</f>
        <v>0</v>
      </c>
      <c r="Y652" s="9">
        <f>ROUND(SUMIFS('Bank Lines'!$E$5:$E$1640,'Bank Lines'!$G$5:$G$1640,A652,'Bank Lines'!$J$5:$J$1640,1,'Bank Lines'!$C$5:$C$1640,"&lt;="&amp;Cover!$C$15),2)</f>
        <v>1435.65</v>
      </c>
      <c r="Z652" s="9">
        <f>ROUND(SUMIFS('Odoo Items'!$G$5:$G$4331,'Odoo Items'!$J$5:$J$4331,A652,'Odoo Items'!$C$5:$C$4331,"&lt;="&amp;Cover!$C$15),2)</f>
        <v>1435.65</v>
      </c>
      <c r="AA652">
        <f>COUNTIFS('Bank Lines'!$G$5:$G$1640,A652,'Bank Lines'!$J$5:$J$1640,1,'Bank Lines'!$C$5:$C$1640,"&lt;="&amp;Cover!$C$15)</f>
        <v>1</v>
      </c>
      <c r="AB652">
        <f>COUNTIFS('Odoo Items'!$J$5:$J$4331,A652,'Odoo Items'!$C$5:$C$4331,"&lt;="&amp;Cover!$C$15)</f>
        <v>1</v>
      </c>
      <c r="AC652" t="str">
        <f>IF(AND(AA652=0,AB652=0),"",IF(AA652=0,"ODOO-ONLY",IF(AB652=0,"BANK-ONLY","BOTH")))</f>
        <v>BOTH</v>
      </c>
      <c r="AD652" s="9">
        <f>IF(AC652="BOTH",ROUND(Y652-Z652,2),0)</f>
        <v>0</v>
      </c>
    </row>
    <row r="653">
      <c r="A653" t="inlineStr">
        <is>
          <t>G00649</t>
        </is>
      </c>
      <c r="B653" t="inlineStr">
        <is>
          <t>MER</t>
        </is>
      </c>
      <c r="C653" t="inlineStr">
        <is>
          <t>R08</t>
        </is>
      </c>
      <c r="D653" t="inlineStr">
        <is>
          <t>MATCH</t>
        </is>
      </c>
      <c r="E653" t="inlineStr"/>
      <c r="G653" t="inlineStr"/>
      <c r="H653">
        <f>COUNTIFS('Bank Lines'!$G$5:$G$1640,A653,'Bank Lines'!$J$5:$J$1640,1)</f>
        <v>1</v>
      </c>
      <c r="I653">
        <f>COUNTIFS('Odoo Items'!$J$5:$J$4331,A653)</f>
        <v>1</v>
      </c>
      <c r="J653" s="9">
        <f>ROUND(SUMIFS('Bank Lines'!$E$5:$E$1640,'Bank Lines'!$G$5:$G$1640,A653,'Bank Lines'!$J$5:$J$1640,1),2)</f>
        <v>2858.87</v>
      </c>
      <c r="K653" s="9">
        <f>ROUND(SUMIFS('Odoo Items'!$G$5:$G$4331,'Odoo Items'!$J$5:$J$4331,A653),2)</f>
        <v>2858.87</v>
      </c>
      <c r="L653" s="9">
        <f>ROUND(J653-K653,2)</f>
        <v>0</v>
      </c>
      <c r="M653" s="9">
        <f>ROUND(SUMIFS('Bank Lines'!$E$5:$E$1640,'Bank Lines'!$G$5:$G$1640,A653,'Bank Lines'!$J$5:$J$1640,1,'Bank Lines'!$C$5:$C$1640,"&lt;="&amp;Cover!$C$13),2)</f>
        <v>2858.87</v>
      </c>
      <c r="N653" s="9">
        <f>ROUND(SUMIFS('Odoo Items'!$G$5:$G$4331,'Odoo Items'!$J$5:$J$4331,A653,'Odoo Items'!$C$5:$C$4331,"&lt;="&amp;Cover!$C$13),2)</f>
        <v>2858.87</v>
      </c>
      <c r="O653">
        <f>COUNTIFS('Bank Lines'!$G$5:$G$1640,A653,'Bank Lines'!$J$5:$J$1640,1,'Bank Lines'!$C$5:$C$1640,"&lt;="&amp;Cover!$C$13)</f>
        <v>1</v>
      </c>
      <c r="P653">
        <f>COUNTIFS('Odoo Items'!$J$5:$J$4331,A653,'Odoo Items'!$C$5:$C$4331,"&lt;="&amp;Cover!$C$13)</f>
        <v>1</v>
      </c>
      <c r="Q653" t="str">
        <f>IF(AND(O653=0,P653=0),"",IF(O653=0,"ODOO-ONLY",IF(P653=0,"BANK-ONLY","BOTH")))</f>
        <v>BOTH</v>
      </c>
      <c r="R653" s="9">
        <f>IF(Q653="BOTH",ROUND(M653-N653,2),0)</f>
        <v>0</v>
      </c>
      <c r="S653" s="9">
        <f>ROUND(SUMIFS('Bank Lines'!$E$5:$E$1640,'Bank Lines'!$G$5:$G$1640,A653,'Bank Lines'!$J$5:$J$1640,1,'Bank Lines'!$C$5:$C$1640,"&lt;="&amp;Cover!$C$14),2)</f>
        <v>2858.87</v>
      </c>
      <c r="T653" s="9">
        <f>ROUND(SUMIFS('Odoo Items'!$G$5:$G$4331,'Odoo Items'!$J$5:$J$4331,A653,'Odoo Items'!$C$5:$C$4331,"&lt;="&amp;Cover!$C$14),2)</f>
        <v>2858.87</v>
      </c>
      <c r="U653">
        <f>COUNTIFS('Bank Lines'!$G$5:$G$1640,A653,'Bank Lines'!$J$5:$J$1640,1,'Bank Lines'!$C$5:$C$1640,"&lt;="&amp;Cover!$C$14)</f>
        <v>1</v>
      </c>
      <c r="V653">
        <f>COUNTIFS('Odoo Items'!$J$5:$J$4331,A653,'Odoo Items'!$C$5:$C$4331,"&lt;="&amp;Cover!$C$14)</f>
        <v>1</v>
      </c>
      <c r="W653" t="str">
        <f>IF(AND(U653=0,V653=0),"",IF(U653=0,"ODOO-ONLY",IF(V653=0,"BANK-ONLY","BOTH")))</f>
        <v>BOTH</v>
      </c>
      <c r="X653" s="9">
        <f>IF(W653="BOTH",ROUND(S653-T653,2),0)</f>
        <v>0</v>
      </c>
      <c r="Y653" s="9">
        <f>ROUND(SUMIFS('Bank Lines'!$E$5:$E$1640,'Bank Lines'!$G$5:$G$1640,A653,'Bank Lines'!$J$5:$J$1640,1,'Bank Lines'!$C$5:$C$1640,"&lt;="&amp;Cover!$C$15),2)</f>
        <v>2858.87</v>
      </c>
      <c r="Z653" s="9">
        <f>ROUND(SUMIFS('Odoo Items'!$G$5:$G$4331,'Odoo Items'!$J$5:$J$4331,A653,'Odoo Items'!$C$5:$C$4331,"&lt;="&amp;Cover!$C$15),2)</f>
        <v>2858.87</v>
      </c>
      <c r="AA653">
        <f>COUNTIFS('Bank Lines'!$G$5:$G$1640,A653,'Bank Lines'!$J$5:$J$1640,1,'Bank Lines'!$C$5:$C$1640,"&lt;="&amp;Cover!$C$15)</f>
        <v>1</v>
      </c>
      <c r="AB653">
        <f>COUNTIFS('Odoo Items'!$J$5:$J$4331,A653,'Odoo Items'!$C$5:$C$4331,"&lt;="&amp;Cover!$C$15)</f>
        <v>1</v>
      </c>
      <c r="AC653" t="str">
        <f>IF(AND(AA653=0,AB653=0),"",IF(AA653=0,"ODOO-ONLY",IF(AB653=0,"BANK-ONLY","BOTH")))</f>
        <v>BOTH</v>
      </c>
      <c r="AD653" s="9">
        <f>IF(AC653="BOTH",ROUND(Y653-Z653,2),0)</f>
        <v>0</v>
      </c>
    </row>
    <row r="654">
      <c r="A654" t="inlineStr">
        <is>
          <t>G00650</t>
        </is>
      </c>
      <c r="B654" t="inlineStr">
        <is>
          <t>MER</t>
        </is>
      </c>
      <c r="C654" t="inlineStr">
        <is>
          <t>R08</t>
        </is>
      </c>
      <c r="D654" t="inlineStr">
        <is>
          <t>MATCH</t>
        </is>
      </c>
      <c r="E654" t="inlineStr"/>
      <c r="G654" t="inlineStr"/>
      <c r="H654">
        <f>COUNTIFS('Bank Lines'!$G$5:$G$1640,A654,'Bank Lines'!$J$5:$J$1640,1)</f>
        <v>1</v>
      </c>
      <c r="I654">
        <f>COUNTIFS('Odoo Items'!$J$5:$J$4331,A654)</f>
        <v>1</v>
      </c>
      <c r="J654" s="9">
        <f>ROUND(SUMIFS('Bank Lines'!$E$5:$E$1640,'Bank Lines'!$G$5:$G$1640,A654,'Bank Lines'!$J$5:$J$1640,1),2)</f>
        <v>3201.23</v>
      </c>
      <c r="K654" s="9">
        <f>ROUND(SUMIFS('Odoo Items'!$G$5:$G$4331,'Odoo Items'!$J$5:$J$4331,A654),2)</f>
        <v>3201.23</v>
      </c>
      <c r="L654" s="9">
        <f>ROUND(J654-K654,2)</f>
        <v>0</v>
      </c>
      <c r="M654" s="9">
        <f>ROUND(SUMIFS('Bank Lines'!$E$5:$E$1640,'Bank Lines'!$G$5:$G$1640,A654,'Bank Lines'!$J$5:$J$1640,1,'Bank Lines'!$C$5:$C$1640,"&lt;="&amp;Cover!$C$13),2)</f>
        <v>3201.23</v>
      </c>
      <c r="N654" s="9">
        <f>ROUND(SUMIFS('Odoo Items'!$G$5:$G$4331,'Odoo Items'!$J$5:$J$4331,A654,'Odoo Items'!$C$5:$C$4331,"&lt;="&amp;Cover!$C$13),2)</f>
        <v>3201.23</v>
      </c>
      <c r="O654">
        <f>COUNTIFS('Bank Lines'!$G$5:$G$1640,A654,'Bank Lines'!$J$5:$J$1640,1,'Bank Lines'!$C$5:$C$1640,"&lt;="&amp;Cover!$C$13)</f>
        <v>1</v>
      </c>
      <c r="P654">
        <f>COUNTIFS('Odoo Items'!$J$5:$J$4331,A654,'Odoo Items'!$C$5:$C$4331,"&lt;="&amp;Cover!$C$13)</f>
        <v>1</v>
      </c>
      <c r="Q654" t="str">
        <f>IF(AND(O654=0,P654=0),"",IF(O654=0,"ODOO-ONLY",IF(P654=0,"BANK-ONLY","BOTH")))</f>
        <v>BOTH</v>
      </c>
      <c r="R654" s="9">
        <f>IF(Q654="BOTH",ROUND(M654-N654,2),0)</f>
        <v>0</v>
      </c>
      <c r="S654" s="9">
        <f>ROUND(SUMIFS('Bank Lines'!$E$5:$E$1640,'Bank Lines'!$G$5:$G$1640,A654,'Bank Lines'!$J$5:$J$1640,1,'Bank Lines'!$C$5:$C$1640,"&lt;="&amp;Cover!$C$14),2)</f>
        <v>3201.23</v>
      </c>
      <c r="T654" s="9">
        <f>ROUND(SUMIFS('Odoo Items'!$G$5:$G$4331,'Odoo Items'!$J$5:$J$4331,A654,'Odoo Items'!$C$5:$C$4331,"&lt;="&amp;Cover!$C$14),2)</f>
        <v>3201.23</v>
      </c>
      <c r="U654">
        <f>COUNTIFS('Bank Lines'!$G$5:$G$1640,A654,'Bank Lines'!$J$5:$J$1640,1,'Bank Lines'!$C$5:$C$1640,"&lt;="&amp;Cover!$C$14)</f>
        <v>1</v>
      </c>
      <c r="V654">
        <f>COUNTIFS('Odoo Items'!$J$5:$J$4331,A654,'Odoo Items'!$C$5:$C$4331,"&lt;="&amp;Cover!$C$14)</f>
        <v>1</v>
      </c>
      <c r="W654" t="str">
        <f>IF(AND(U654=0,V654=0),"",IF(U654=0,"ODOO-ONLY",IF(V654=0,"BANK-ONLY","BOTH")))</f>
        <v>BOTH</v>
      </c>
      <c r="X654" s="9">
        <f>IF(W654="BOTH",ROUND(S654-T654,2),0)</f>
        <v>0</v>
      </c>
      <c r="Y654" s="9">
        <f>ROUND(SUMIFS('Bank Lines'!$E$5:$E$1640,'Bank Lines'!$G$5:$G$1640,A654,'Bank Lines'!$J$5:$J$1640,1,'Bank Lines'!$C$5:$C$1640,"&lt;="&amp;Cover!$C$15),2)</f>
        <v>3201.23</v>
      </c>
      <c r="Z654" s="9">
        <f>ROUND(SUMIFS('Odoo Items'!$G$5:$G$4331,'Odoo Items'!$J$5:$J$4331,A654,'Odoo Items'!$C$5:$C$4331,"&lt;="&amp;Cover!$C$15),2)</f>
        <v>3201.23</v>
      </c>
      <c r="AA654">
        <f>COUNTIFS('Bank Lines'!$G$5:$G$1640,A654,'Bank Lines'!$J$5:$J$1640,1,'Bank Lines'!$C$5:$C$1640,"&lt;="&amp;Cover!$C$15)</f>
        <v>1</v>
      </c>
      <c r="AB654">
        <f>COUNTIFS('Odoo Items'!$J$5:$J$4331,A654,'Odoo Items'!$C$5:$C$4331,"&lt;="&amp;Cover!$C$15)</f>
        <v>1</v>
      </c>
      <c r="AC654" t="str">
        <f>IF(AND(AA654=0,AB654=0),"",IF(AA654=0,"ODOO-ONLY",IF(AB654=0,"BANK-ONLY","BOTH")))</f>
        <v>BOTH</v>
      </c>
      <c r="AD654" s="9">
        <f>IF(AC654="BOTH",ROUND(Y654-Z654,2),0)</f>
        <v>0</v>
      </c>
    </row>
    <row r="655">
      <c r="A655" t="inlineStr">
        <is>
          <t>G00651</t>
        </is>
      </c>
      <c r="B655" t="inlineStr">
        <is>
          <t>MER</t>
        </is>
      </c>
      <c r="C655" t="inlineStr">
        <is>
          <t>R08</t>
        </is>
      </c>
      <c r="D655" t="inlineStr">
        <is>
          <t>MATCH</t>
        </is>
      </c>
      <c r="E655" t="inlineStr"/>
      <c r="G655" t="inlineStr"/>
      <c r="H655">
        <f>COUNTIFS('Bank Lines'!$G$5:$G$1640,A655,'Bank Lines'!$J$5:$J$1640,1)</f>
        <v>1</v>
      </c>
      <c r="I655">
        <f>COUNTIFS('Odoo Items'!$J$5:$J$4331,A655)</f>
        <v>1</v>
      </c>
      <c r="J655" s="9">
        <f>ROUND(SUMIFS('Bank Lines'!$E$5:$E$1640,'Bank Lines'!$G$5:$G$1640,A655,'Bank Lines'!$J$5:$J$1640,1),2)</f>
        <v>1712.99</v>
      </c>
      <c r="K655" s="9">
        <f>ROUND(SUMIFS('Odoo Items'!$G$5:$G$4331,'Odoo Items'!$J$5:$J$4331,A655),2)</f>
        <v>1712.99</v>
      </c>
      <c r="L655" s="9">
        <f>ROUND(J655-K655,2)</f>
        <v>0</v>
      </c>
      <c r="M655" s="9">
        <f>ROUND(SUMIFS('Bank Lines'!$E$5:$E$1640,'Bank Lines'!$G$5:$G$1640,A655,'Bank Lines'!$J$5:$J$1640,1,'Bank Lines'!$C$5:$C$1640,"&lt;="&amp;Cover!$C$13),2)</f>
        <v>1712.99</v>
      </c>
      <c r="N655" s="9">
        <f>ROUND(SUMIFS('Odoo Items'!$G$5:$G$4331,'Odoo Items'!$J$5:$J$4331,A655,'Odoo Items'!$C$5:$C$4331,"&lt;="&amp;Cover!$C$13),2)</f>
        <v>1712.99</v>
      </c>
      <c r="O655">
        <f>COUNTIFS('Bank Lines'!$G$5:$G$1640,A655,'Bank Lines'!$J$5:$J$1640,1,'Bank Lines'!$C$5:$C$1640,"&lt;="&amp;Cover!$C$13)</f>
        <v>1</v>
      </c>
      <c r="P655">
        <f>COUNTIFS('Odoo Items'!$J$5:$J$4331,A655,'Odoo Items'!$C$5:$C$4331,"&lt;="&amp;Cover!$C$13)</f>
        <v>1</v>
      </c>
      <c r="Q655" t="str">
        <f>IF(AND(O655=0,P655=0),"",IF(O655=0,"ODOO-ONLY",IF(P655=0,"BANK-ONLY","BOTH")))</f>
        <v>BOTH</v>
      </c>
      <c r="R655" s="9">
        <f>IF(Q655="BOTH",ROUND(M655-N655,2),0)</f>
        <v>0</v>
      </c>
      <c r="S655" s="9">
        <f>ROUND(SUMIFS('Bank Lines'!$E$5:$E$1640,'Bank Lines'!$G$5:$G$1640,A655,'Bank Lines'!$J$5:$J$1640,1,'Bank Lines'!$C$5:$C$1640,"&lt;="&amp;Cover!$C$14),2)</f>
        <v>1712.99</v>
      </c>
      <c r="T655" s="9">
        <f>ROUND(SUMIFS('Odoo Items'!$G$5:$G$4331,'Odoo Items'!$J$5:$J$4331,A655,'Odoo Items'!$C$5:$C$4331,"&lt;="&amp;Cover!$C$14),2)</f>
        <v>1712.99</v>
      </c>
      <c r="U655">
        <f>COUNTIFS('Bank Lines'!$G$5:$G$1640,A655,'Bank Lines'!$J$5:$J$1640,1,'Bank Lines'!$C$5:$C$1640,"&lt;="&amp;Cover!$C$14)</f>
        <v>1</v>
      </c>
      <c r="V655">
        <f>COUNTIFS('Odoo Items'!$J$5:$J$4331,A655,'Odoo Items'!$C$5:$C$4331,"&lt;="&amp;Cover!$C$14)</f>
        <v>1</v>
      </c>
      <c r="W655" t="str">
        <f>IF(AND(U655=0,V655=0),"",IF(U655=0,"ODOO-ONLY",IF(V655=0,"BANK-ONLY","BOTH")))</f>
        <v>BOTH</v>
      </c>
      <c r="X655" s="9">
        <f>IF(W655="BOTH",ROUND(S655-T655,2),0)</f>
        <v>0</v>
      </c>
      <c r="Y655" s="9">
        <f>ROUND(SUMIFS('Bank Lines'!$E$5:$E$1640,'Bank Lines'!$G$5:$G$1640,A655,'Bank Lines'!$J$5:$J$1640,1,'Bank Lines'!$C$5:$C$1640,"&lt;="&amp;Cover!$C$15),2)</f>
        <v>1712.99</v>
      </c>
      <c r="Z655" s="9">
        <f>ROUND(SUMIFS('Odoo Items'!$G$5:$G$4331,'Odoo Items'!$J$5:$J$4331,A655,'Odoo Items'!$C$5:$C$4331,"&lt;="&amp;Cover!$C$15),2)</f>
        <v>1712.99</v>
      </c>
      <c r="AA655">
        <f>COUNTIFS('Bank Lines'!$G$5:$G$1640,A655,'Bank Lines'!$J$5:$J$1640,1,'Bank Lines'!$C$5:$C$1640,"&lt;="&amp;Cover!$C$15)</f>
        <v>1</v>
      </c>
      <c r="AB655">
        <f>COUNTIFS('Odoo Items'!$J$5:$J$4331,A655,'Odoo Items'!$C$5:$C$4331,"&lt;="&amp;Cover!$C$15)</f>
        <v>1</v>
      </c>
      <c r="AC655" t="str">
        <f>IF(AND(AA655=0,AB655=0),"",IF(AA655=0,"ODOO-ONLY",IF(AB655=0,"BANK-ONLY","BOTH")))</f>
        <v>BOTH</v>
      </c>
      <c r="AD655" s="9">
        <f>IF(AC655="BOTH",ROUND(Y655-Z655,2),0)</f>
        <v>0</v>
      </c>
    </row>
    <row r="656">
      <c r="A656" t="inlineStr">
        <is>
          <t>G00652</t>
        </is>
      </c>
      <c r="B656" t="inlineStr">
        <is>
          <t>MER</t>
        </is>
      </c>
      <c r="C656" t="inlineStr">
        <is>
          <t>R08</t>
        </is>
      </c>
      <c r="D656" t="inlineStr">
        <is>
          <t>MATCH</t>
        </is>
      </c>
      <c r="E656" t="inlineStr"/>
      <c r="G656" t="inlineStr"/>
      <c r="H656">
        <f>COUNTIFS('Bank Lines'!$G$5:$G$1640,A656,'Bank Lines'!$J$5:$J$1640,1)</f>
        <v>1</v>
      </c>
      <c r="I656">
        <f>COUNTIFS('Odoo Items'!$J$5:$J$4331,A656)</f>
        <v>1</v>
      </c>
      <c r="J656" s="9">
        <f>ROUND(SUMIFS('Bank Lines'!$E$5:$E$1640,'Bank Lines'!$G$5:$G$1640,A656,'Bank Lines'!$J$5:$J$1640,1),2)</f>
        <v>3496.74</v>
      </c>
      <c r="K656" s="9">
        <f>ROUND(SUMIFS('Odoo Items'!$G$5:$G$4331,'Odoo Items'!$J$5:$J$4331,A656),2)</f>
        <v>3496.74</v>
      </c>
      <c r="L656" s="9">
        <f>ROUND(J656-K656,2)</f>
        <v>0</v>
      </c>
      <c r="M656" s="9">
        <f>ROUND(SUMIFS('Bank Lines'!$E$5:$E$1640,'Bank Lines'!$G$5:$G$1640,A656,'Bank Lines'!$J$5:$J$1640,1,'Bank Lines'!$C$5:$C$1640,"&lt;="&amp;Cover!$C$13),2)</f>
        <v>3496.74</v>
      </c>
      <c r="N656" s="9">
        <f>ROUND(SUMIFS('Odoo Items'!$G$5:$G$4331,'Odoo Items'!$J$5:$J$4331,A656,'Odoo Items'!$C$5:$C$4331,"&lt;="&amp;Cover!$C$13),2)</f>
        <v>3496.74</v>
      </c>
      <c r="O656">
        <f>COUNTIFS('Bank Lines'!$G$5:$G$1640,A656,'Bank Lines'!$J$5:$J$1640,1,'Bank Lines'!$C$5:$C$1640,"&lt;="&amp;Cover!$C$13)</f>
        <v>1</v>
      </c>
      <c r="P656">
        <f>COUNTIFS('Odoo Items'!$J$5:$J$4331,A656,'Odoo Items'!$C$5:$C$4331,"&lt;="&amp;Cover!$C$13)</f>
        <v>1</v>
      </c>
      <c r="Q656" t="str">
        <f>IF(AND(O656=0,P656=0),"",IF(O656=0,"ODOO-ONLY",IF(P656=0,"BANK-ONLY","BOTH")))</f>
        <v>BOTH</v>
      </c>
      <c r="R656" s="9">
        <f>IF(Q656="BOTH",ROUND(M656-N656,2),0)</f>
        <v>0</v>
      </c>
      <c r="S656" s="9">
        <f>ROUND(SUMIFS('Bank Lines'!$E$5:$E$1640,'Bank Lines'!$G$5:$G$1640,A656,'Bank Lines'!$J$5:$J$1640,1,'Bank Lines'!$C$5:$C$1640,"&lt;="&amp;Cover!$C$14),2)</f>
        <v>3496.74</v>
      </c>
      <c r="T656" s="9">
        <f>ROUND(SUMIFS('Odoo Items'!$G$5:$G$4331,'Odoo Items'!$J$5:$J$4331,A656,'Odoo Items'!$C$5:$C$4331,"&lt;="&amp;Cover!$C$14),2)</f>
        <v>3496.74</v>
      </c>
      <c r="U656">
        <f>COUNTIFS('Bank Lines'!$G$5:$G$1640,A656,'Bank Lines'!$J$5:$J$1640,1,'Bank Lines'!$C$5:$C$1640,"&lt;="&amp;Cover!$C$14)</f>
        <v>1</v>
      </c>
      <c r="V656">
        <f>COUNTIFS('Odoo Items'!$J$5:$J$4331,A656,'Odoo Items'!$C$5:$C$4331,"&lt;="&amp;Cover!$C$14)</f>
        <v>1</v>
      </c>
      <c r="W656" t="str">
        <f>IF(AND(U656=0,V656=0),"",IF(U656=0,"ODOO-ONLY",IF(V656=0,"BANK-ONLY","BOTH")))</f>
        <v>BOTH</v>
      </c>
      <c r="X656" s="9">
        <f>IF(W656="BOTH",ROUND(S656-T656,2),0)</f>
        <v>0</v>
      </c>
      <c r="Y656" s="9">
        <f>ROUND(SUMIFS('Bank Lines'!$E$5:$E$1640,'Bank Lines'!$G$5:$G$1640,A656,'Bank Lines'!$J$5:$J$1640,1,'Bank Lines'!$C$5:$C$1640,"&lt;="&amp;Cover!$C$15),2)</f>
        <v>3496.74</v>
      </c>
      <c r="Z656" s="9">
        <f>ROUND(SUMIFS('Odoo Items'!$G$5:$G$4331,'Odoo Items'!$J$5:$J$4331,A656,'Odoo Items'!$C$5:$C$4331,"&lt;="&amp;Cover!$C$15),2)</f>
        <v>3496.74</v>
      </c>
      <c r="AA656">
        <f>COUNTIFS('Bank Lines'!$G$5:$G$1640,A656,'Bank Lines'!$J$5:$J$1640,1,'Bank Lines'!$C$5:$C$1640,"&lt;="&amp;Cover!$C$15)</f>
        <v>1</v>
      </c>
      <c r="AB656">
        <f>COUNTIFS('Odoo Items'!$J$5:$J$4331,A656,'Odoo Items'!$C$5:$C$4331,"&lt;="&amp;Cover!$C$15)</f>
        <v>1</v>
      </c>
      <c r="AC656" t="str">
        <f>IF(AND(AA656=0,AB656=0),"",IF(AA656=0,"ODOO-ONLY",IF(AB656=0,"BANK-ONLY","BOTH")))</f>
        <v>BOTH</v>
      </c>
      <c r="AD656" s="9">
        <f>IF(AC656="BOTH",ROUND(Y656-Z656,2),0)</f>
        <v>0</v>
      </c>
    </row>
    <row r="657">
      <c r="A657" t="inlineStr">
        <is>
          <t>G00653</t>
        </is>
      </c>
      <c r="B657" t="inlineStr">
        <is>
          <t>MER</t>
        </is>
      </c>
      <c r="C657" t="inlineStr">
        <is>
          <t>R08</t>
        </is>
      </c>
      <c r="D657" t="inlineStr">
        <is>
          <t>MATCH</t>
        </is>
      </c>
      <c r="E657" t="inlineStr"/>
      <c r="G657" t="inlineStr"/>
      <c r="H657">
        <f>COUNTIFS('Bank Lines'!$G$5:$G$1640,A657,'Bank Lines'!$J$5:$J$1640,1)</f>
        <v>1</v>
      </c>
      <c r="I657">
        <f>COUNTIFS('Odoo Items'!$J$5:$J$4331,A657)</f>
        <v>1</v>
      </c>
      <c r="J657" s="9">
        <f>ROUND(SUMIFS('Bank Lines'!$E$5:$E$1640,'Bank Lines'!$G$5:$G$1640,A657,'Bank Lines'!$J$5:$J$1640,1),2)</f>
        <v>3547.96</v>
      </c>
      <c r="K657" s="9">
        <f>ROUND(SUMIFS('Odoo Items'!$G$5:$G$4331,'Odoo Items'!$J$5:$J$4331,A657),2)</f>
        <v>3547.96</v>
      </c>
      <c r="L657" s="9">
        <f>ROUND(J657-K657,2)</f>
        <v>0</v>
      </c>
      <c r="M657" s="9">
        <f>ROUND(SUMIFS('Bank Lines'!$E$5:$E$1640,'Bank Lines'!$G$5:$G$1640,A657,'Bank Lines'!$J$5:$J$1640,1,'Bank Lines'!$C$5:$C$1640,"&lt;="&amp;Cover!$C$13),2)</f>
        <v>3547.96</v>
      </c>
      <c r="N657" s="9">
        <f>ROUND(SUMIFS('Odoo Items'!$G$5:$G$4331,'Odoo Items'!$J$5:$J$4331,A657,'Odoo Items'!$C$5:$C$4331,"&lt;="&amp;Cover!$C$13),2)</f>
        <v>3547.96</v>
      </c>
      <c r="O657">
        <f>COUNTIFS('Bank Lines'!$G$5:$G$1640,A657,'Bank Lines'!$J$5:$J$1640,1,'Bank Lines'!$C$5:$C$1640,"&lt;="&amp;Cover!$C$13)</f>
        <v>1</v>
      </c>
      <c r="P657">
        <f>COUNTIFS('Odoo Items'!$J$5:$J$4331,A657,'Odoo Items'!$C$5:$C$4331,"&lt;="&amp;Cover!$C$13)</f>
        <v>1</v>
      </c>
      <c r="Q657" t="str">
        <f>IF(AND(O657=0,P657=0),"",IF(O657=0,"ODOO-ONLY",IF(P657=0,"BANK-ONLY","BOTH")))</f>
        <v>BOTH</v>
      </c>
      <c r="R657" s="9">
        <f>IF(Q657="BOTH",ROUND(M657-N657,2),0)</f>
        <v>0</v>
      </c>
      <c r="S657" s="9">
        <f>ROUND(SUMIFS('Bank Lines'!$E$5:$E$1640,'Bank Lines'!$G$5:$G$1640,A657,'Bank Lines'!$J$5:$J$1640,1,'Bank Lines'!$C$5:$C$1640,"&lt;="&amp;Cover!$C$14),2)</f>
        <v>3547.96</v>
      </c>
      <c r="T657" s="9">
        <f>ROUND(SUMIFS('Odoo Items'!$G$5:$G$4331,'Odoo Items'!$J$5:$J$4331,A657,'Odoo Items'!$C$5:$C$4331,"&lt;="&amp;Cover!$C$14),2)</f>
        <v>3547.96</v>
      </c>
      <c r="U657">
        <f>COUNTIFS('Bank Lines'!$G$5:$G$1640,A657,'Bank Lines'!$J$5:$J$1640,1,'Bank Lines'!$C$5:$C$1640,"&lt;="&amp;Cover!$C$14)</f>
        <v>1</v>
      </c>
      <c r="V657">
        <f>COUNTIFS('Odoo Items'!$J$5:$J$4331,A657,'Odoo Items'!$C$5:$C$4331,"&lt;="&amp;Cover!$C$14)</f>
        <v>1</v>
      </c>
      <c r="W657" t="str">
        <f>IF(AND(U657=0,V657=0),"",IF(U657=0,"ODOO-ONLY",IF(V657=0,"BANK-ONLY","BOTH")))</f>
        <v>BOTH</v>
      </c>
      <c r="X657" s="9">
        <f>IF(W657="BOTH",ROUND(S657-T657,2),0)</f>
        <v>0</v>
      </c>
      <c r="Y657" s="9">
        <f>ROUND(SUMIFS('Bank Lines'!$E$5:$E$1640,'Bank Lines'!$G$5:$G$1640,A657,'Bank Lines'!$J$5:$J$1640,1,'Bank Lines'!$C$5:$C$1640,"&lt;="&amp;Cover!$C$15),2)</f>
        <v>3547.96</v>
      </c>
      <c r="Z657" s="9">
        <f>ROUND(SUMIFS('Odoo Items'!$G$5:$G$4331,'Odoo Items'!$J$5:$J$4331,A657,'Odoo Items'!$C$5:$C$4331,"&lt;="&amp;Cover!$C$15),2)</f>
        <v>3547.96</v>
      </c>
      <c r="AA657">
        <f>COUNTIFS('Bank Lines'!$G$5:$G$1640,A657,'Bank Lines'!$J$5:$J$1640,1,'Bank Lines'!$C$5:$C$1640,"&lt;="&amp;Cover!$C$15)</f>
        <v>1</v>
      </c>
      <c r="AB657">
        <f>COUNTIFS('Odoo Items'!$J$5:$J$4331,A657,'Odoo Items'!$C$5:$C$4331,"&lt;="&amp;Cover!$C$15)</f>
        <v>1</v>
      </c>
      <c r="AC657" t="str">
        <f>IF(AND(AA657=0,AB657=0),"",IF(AA657=0,"ODOO-ONLY",IF(AB657=0,"BANK-ONLY","BOTH")))</f>
        <v>BOTH</v>
      </c>
      <c r="AD657" s="9">
        <f>IF(AC657="BOTH",ROUND(Y657-Z657,2),0)</f>
        <v>0</v>
      </c>
    </row>
    <row r="658">
      <c r="A658" t="inlineStr">
        <is>
          <t>G00654</t>
        </is>
      </c>
      <c r="B658" t="inlineStr">
        <is>
          <t>MER</t>
        </is>
      </c>
      <c r="C658" t="inlineStr">
        <is>
          <t>R08</t>
        </is>
      </c>
      <c r="D658" t="inlineStr">
        <is>
          <t>MATCH</t>
        </is>
      </c>
      <c r="E658" t="inlineStr"/>
      <c r="G658" t="inlineStr"/>
      <c r="H658">
        <f>COUNTIFS('Bank Lines'!$G$5:$G$1640,A658,'Bank Lines'!$J$5:$J$1640,1)</f>
        <v>1</v>
      </c>
      <c r="I658">
        <f>COUNTIFS('Odoo Items'!$J$5:$J$4331,A658)</f>
        <v>1</v>
      </c>
      <c r="J658" s="9">
        <f>ROUND(SUMIFS('Bank Lines'!$E$5:$E$1640,'Bank Lines'!$G$5:$G$1640,A658,'Bank Lines'!$J$5:$J$1640,1),2)</f>
        <v>2507.81</v>
      </c>
      <c r="K658" s="9">
        <f>ROUND(SUMIFS('Odoo Items'!$G$5:$G$4331,'Odoo Items'!$J$5:$J$4331,A658),2)</f>
        <v>2507.81</v>
      </c>
      <c r="L658" s="9">
        <f>ROUND(J658-K658,2)</f>
        <v>0</v>
      </c>
      <c r="M658" s="9">
        <f>ROUND(SUMIFS('Bank Lines'!$E$5:$E$1640,'Bank Lines'!$G$5:$G$1640,A658,'Bank Lines'!$J$5:$J$1640,1,'Bank Lines'!$C$5:$C$1640,"&lt;="&amp;Cover!$C$13),2)</f>
        <v>2507.81</v>
      </c>
      <c r="N658" s="9">
        <f>ROUND(SUMIFS('Odoo Items'!$G$5:$G$4331,'Odoo Items'!$J$5:$J$4331,A658,'Odoo Items'!$C$5:$C$4331,"&lt;="&amp;Cover!$C$13),2)</f>
        <v>2507.81</v>
      </c>
      <c r="O658">
        <f>COUNTIFS('Bank Lines'!$G$5:$G$1640,A658,'Bank Lines'!$J$5:$J$1640,1,'Bank Lines'!$C$5:$C$1640,"&lt;="&amp;Cover!$C$13)</f>
        <v>1</v>
      </c>
      <c r="P658">
        <f>COUNTIFS('Odoo Items'!$J$5:$J$4331,A658,'Odoo Items'!$C$5:$C$4331,"&lt;="&amp;Cover!$C$13)</f>
        <v>1</v>
      </c>
      <c r="Q658" t="str">
        <f>IF(AND(O658=0,P658=0),"",IF(O658=0,"ODOO-ONLY",IF(P658=0,"BANK-ONLY","BOTH")))</f>
        <v>BOTH</v>
      </c>
      <c r="R658" s="9">
        <f>IF(Q658="BOTH",ROUND(M658-N658,2),0)</f>
        <v>0</v>
      </c>
      <c r="S658" s="9">
        <f>ROUND(SUMIFS('Bank Lines'!$E$5:$E$1640,'Bank Lines'!$G$5:$G$1640,A658,'Bank Lines'!$J$5:$J$1640,1,'Bank Lines'!$C$5:$C$1640,"&lt;="&amp;Cover!$C$14),2)</f>
        <v>2507.81</v>
      </c>
      <c r="T658" s="9">
        <f>ROUND(SUMIFS('Odoo Items'!$G$5:$G$4331,'Odoo Items'!$J$5:$J$4331,A658,'Odoo Items'!$C$5:$C$4331,"&lt;="&amp;Cover!$C$14),2)</f>
        <v>2507.81</v>
      </c>
      <c r="U658">
        <f>COUNTIFS('Bank Lines'!$G$5:$G$1640,A658,'Bank Lines'!$J$5:$J$1640,1,'Bank Lines'!$C$5:$C$1640,"&lt;="&amp;Cover!$C$14)</f>
        <v>1</v>
      </c>
      <c r="V658">
        <f>COUNTIFS('Odoo Items'!$J$5:$J$4331,A658,'Odoo Items'!$C$5:$C$4331,"&lt;="&amp;Cover!$C$14)</f>
        <v>1</v>
      </c>
      <c r="W658" t="str">
        <f>IF(AND(U658=0,V658=0),"",IF(U658=0,"ODOO-ONLY",IF(V658=0,"BANK-ONLY","BOTH")))</f>
        <v>BOTH</v>
      </c>
      <c r="X658" s="9">
        <f>IF(W658="BOTH",ROUND(S658-T658,2),0)</f>
        <v>0</v>
      </c>
      <c r="Y658" s="9">
        <f>ROUND(SUMIFS('Bank Lines'!$E$5:$E$1640,'Bank Lines'!$G$5:$G$1640,A658,'Bank Lines'!$J$5:$J$1640,1,'Bank Lines'!$C$5:$C$1640,"&lt;="&amp;Cover!$C$15),2)</f>
        <v>2507.81</v>
      </c>
      <c r="Z658" s="9">
        <f>ROUND(SUMIFS('Odoo Items'!$G$5:$G$4331,'Odoo Items'!$J$5:$J$4331,A658,'Odoo Items'!$C$5:$C$4331,"&lt;="&amp;Cover!$C$15),2)</f>
        <v>2507.81</v>
      </c>
      <c r="AA658">
        <f>COUNTIFS('Bank Lines'!$G$5:$G$1640,A658,'Bank Lines'!$J$5:$J$1640,1,'Bank Lines'!$C$5:$C$1640,"&lt;="&amp;Cover!$C$15)</f>
        <v>1</v>
      </c>
      <c r="AB658">
        <f>COUNTIFS('Odoo Items'!$J$5:$J$4331,A658,'Odoo Items'!$C$5:$C$4331,"&lt;="&amp;Cover!$C$15)</f>
        <v>1</v>
      </c>
      <c r="AC658" t="str">
        <f>IF(AND(AA658=0,AB658=0),"",IF(AA658=0,"ODOO-ONLY",IF(AB658=0,"BANK-ONLY","BOTH")))</f>
        <v>BOTH</v>
      </c>
      <c r="AD658" s="9">
        <f>IF(AC658="BOTH",ROUND(Y658-Z658,2),0)</f>
        <v>0</v>
      </c>
    </row>
    <row r="659">
      <c r="A659" t="inlineStr">
        <is>
          <t>G00655</t>
        </is>
      </c>
      <c r="B659" t="inlineStr">
        <is>
          <t>MER</t>
        </is>
      </c>
      <c r="C659" t="inlineStr">
        <is>
          <t>R08</t>
        </is>
      </c>
      <c r="D659" t="inlineStr">
        <is>
          <t>MATCH</t>
        </is>
      </c>
      <c r="E659" t="inlineStr"/>
      <c r="G659" t="inlineStr"/>
      <c r="H659">
        <f>COUNTIFS('Bank Lines'!$G$5:$G$1640,A659,'Bank Lines'!$J$5:$J$1640,1)</f>
        <v>1</v>
      </c>
      <c r="I659">
        <f>COUNTIFS('Odoo Items'!$J$5:$J$4331,A659)</f>
        <v>1</v>
      </c>
      <c r="J659" s="9">
        <f>ROUND(SUMIFS('Bank Lines'!$E$5:$E$1640,'Bank Lines'!$G$5:$G$1640,A659,'Bank Lines'!$J$5:$J$1640,1),2)</f>
        <v>3165.84</v>
      </c>
      <c r="K659" s="9">
        <f>ROUND(SUMIFS('Odoo Items'!$G$5:$G$4331,'Odoo Items'!$J$5:$J$4331,A659),2)</f>
        <v>3165.84</v>
      </c>
      <c r="L659" s="9">
        <f>ROUND(J659-K659,2)</f>
        <v>0</v>
      </c>
      <c r="M659" s="9">
        <f>ROUND(SUMIFS('Bank Lines'!$E$5:$E$1640,'Bank Lines'!$G$5:$G$1640,A659,'Bank Lines'!$J$5:$J$1640,1,'Bank Lines'!$C$5:$C$1640,"&lt;="&amp;Cover!$C$13),2)</f>
        <v>3165.84</v>
      </c>
      <c r="N659" s="9">
        <f>ROUND(SUMIFS('Odoo Items'!$G$5:$G$4331,'Odoo Items'!$J$5:$J$4331,A659,'Odoo Items'!$C$5:$C$4331,"&lt;="&amp;Cover!$C$13),2)</f>
        <v>3165.84</v>
      </c>
      <c r="O659">
        <f>COUNTIFS('Bank Lines'!$G$5:$G$1640,A659,'Bank Lines'!$J$5:$J$1640,1,'Bank Lines'!$C$5:$C$1640,"&lt;="&amp;Cover!$C$13)</f>
        <v>1</v>
      </c>
      <c r="P659">
        <f>COUNTIFS('Odoo Items'!$J$5:$J$4331,A659,'Odoo Items'!$C$5:$C$4331,"&lt;="&amp;Cover!$C$13)</f>
        <v>1</v>
      </c>
      <c r="Q659" t="str">
        <f>IF(AND(O659=0,P659=0),"",IF(O659=0,"ODOO-ONLY",IF(P659=0,"BANK-ONLY","BOTH")))</f>
        <v>BOTH</v>
      </c>
      <c r="R659" s="9">
        <f>IF(Q659="BOTH",ROUND(M659-N659,2),0)</f>
        <v>0</v>
      </c>
      <c r="S659" s="9">
        <f>ROUND(SUMIFS('Bank Lines'!$E$5:$E$1640,'Bank Lines'!$G$5:$G$1640,A659,'Bank Lines'!$J$5:$J$1640,1,'Bank Lines'!$C$5:$C$1640,"&lt;="&amp;Cover!$C$14),2)</f>
        <v>3165.84</v>
      </c>
      <c r="T659" s="9">
        <f>ROUND(SUMIFS('Odoo Items'!$G$5:$G$4331,'Odoo Items'!$J$5:$J$4331,A659,'Odoo Items'!$C$5:$C$4331,"&lt;="&amp;Cover!$C$14),2)</f>
        <v>3165.84</v>
      </c>
      <c r="U659">
        <f>COUNTIFS('Bank Lines'!$G$5:$G$1640,A659,'Bank Lines'!$J$5:$J$1640,1,'Bank Lines'!$C$5:$C$1640,"&lt;="&amp;Cover!$C$14)</f>
        <v>1</v>
      </c>
      <c r="V659">
        <f>COUNTIFS('Odoo Items'!$J$5:$J$4331,A659,'Odoo Items'!$C$5:$C$4331,"&lt;="&amp;Cover!$C$14)</f>
        <v>1</v>
      </c>
      <c r="W659" t="str">
        <f>IF(AND(U659=0,V659=0),"",IF(U659=0,"ODOO-ONLY",IF(V659=0,"BANK-ONLY","BOTH")))</f>
        <v>BOTH</v>
      </c>
      <c r="X659" s="9">
        <f>IF(W659="BOTH",ROUND(S659-T659,2),0)</f>
        <v>0</v>
      </c>
      <c r="Y659" s="9">
        <f>ROUND(SUMIFS('Bank Lines'!$E$5:$E$1640,'Bank Lines'!$G$5:$G$1640,A659,'Bank Lines'!$J$5:$J$1640,1,'Bank Lines'!$C$5:$C$1640,"&lt;="&amp;Cover!$C$15),2)</f>
        <v>3165.84</v>
      </c>
      <c r="Z659" s="9">
        <f>ROUND(SUMIFS('Odoo Items'!$G$5:$G$4331,'Odoo Items'!$J$5:$J$4331,A659,'Odoo Items'!$C$5:$C$4331,"&lt;="&amp;Cover!$C$15),2)</f>
        <v>3165.84</v>
      </c>
      <c r="AA659">
        <f>COUNTIFS('Bank Lines'!$G$5:$G$1640,A659,'Bank Lines'!$J$5:$J$1640,1,'Bank Lines'!$C$5:$C$1640,"&lt;="&amp;Cover!$C$15)</f>
        <v>1</v>
      </c>
      <c r="AB659">
        <f>COUNTIFS('Odoo Items'!$J$5:$J$4331,A659,'Odoo Items'!$C$5:$C$4331,"&lt;="&amp;Cover!$C$15)</f>
        <v>1</v>
      </c>
      <c r="AC659" t="str">
        <f>IF(AND(AA659=0,AB659=0),"",IF(AA659=0,"ODOO-ONLY",IF(AB659=0,"BANK-ONLY","BOTH")))</f>
        <v>BOTH</v>
      </c>
      <c r="AD659" s="9">
        <f>IF(AC659="BOTH",ROUND(Y659-Z659,2),0)</f>
        <v>0</v>
      </c>
    </row>
    <row r="660">
      <c r="A660" t="inlineStr">
        <is>
          <t>G00656</t>
        </is>
      </c>
      <c r="B660" t="inlineStr">
        <is>
          <t>MER</t>
        </is>
      </c>
      <c r="C660" t="inlineStr">
        <is>
          <t>R08</t>
        </is>
      </c>
      <c r="D660" t="inlineStr">
        <is>
          <t>MATCH</t>
        </is>
      </c>
      <c r="E660" t="inlineStr"/>
      <c r="G660" t="inlineStr"/>
      <c r="H660">
        <f>COUNTIFS('Bank Lines'!$G$5:$G$1640,A660,'Bank Lines'!$J$5:$J$1640,1)</f>
        <v>1</v>
      </c>
      <c r="I660">
        <f>COUNTIFS('Odoo Items'!$J$5:$J$4331,A660)</f>
        <v>1</v>
      </c>
      <c r="J660" s="9">
        <f>ROUND(SUMIFS('Bank Lines'!$E$5:$E$1640,'Bank Lines'!$G$5:$G$1640,A660,'Bank Lines'!$J$5:$J$1640,1),2)</f>
        <v>2513.78</v>
      </c>
      <c r="K660" s="9">
        <f>ROUND(SUMIFS('Odoo Items'!$G$5:$G$4331,'Odoo Items'!$J$5:$J$4331,A660),2)</f>
        <v>2513.78</v>
      </c>
      <c r="L660" s="9">
        <f>ROUND(J660-K660,2)</f>
        <v>0</v>
      </c>
      <c r="M660" s="9">
        <f>ROUND(SUMIFS('Bank Lines'!$E$5:$E$1640,'Bank Lines'!$G$5:$G$1640,A660,'Bank Lines'!$J$5:$J$1640,1,'Bank Lines'!$C$5:$C$1640,"&lt;="&amp;Cover!$C$13),2)</f>
        <v>2513.78</v>
      </c>
      <c r="N660" s="9">
        <f>ROUND(SUMIFS('Odoo Items'!$G$5:$G$4331,'Odoo Items'!$J$5:$J$4331,A660,'Odoo Items'!$C$5:$C$4331,"&lt;="&amp;Cover!$C$13),2)</f>
        <v>2513.78</v>
      </c>
      <c r="O660">
        <f>COUNTIFS('Bank Lines'!$G$5:$G$1640,A660,'Bank Lines'!$J$5:$J$1640,1,'Bank Lines'!$C$5:$C$1640,"&lt;="&amp;Cover!$C$13)</f>
        <v>1</v>
      </c>
      <c r="P660">
        <f>COUNTIFS('Odoo Items'!$J$5:$J$4331,A660,'Odoo Items'!$C$5:$C$4331,"&lt;="&amp;Cover!$C$13)</f>
        <v>1</v>
      </c>
      <c r="Q660" t="str">
        <f>IF(AND(O660=0,P660=0),"",IF(O660=0,"ODOO-ONLY",IF(P660=0,"BANK-ONLY","BOTH")))</f>
        <v>BOTH</v>
      </c>
      <c r="R660" s="9">
        <f>IF(Q660="BOTH",ROUND(M660-N660,2),0)</f>
        <v>0</v>
      </c>
      <c r="S660" s="9">
        <f>ROUND(SUMIFS('Bank Lines'!$E$5:$E$1640,'Bank Lines'!$G$5:$G$1640,A660,'Bank Lines'!$J$5:$J$1640,1,'Bank Lines'!$C$5:$C$1640,"&lt;="&amp;Cover!$C$14),2)</f>
        <v>2513.78</v>
      </c>
      <c r="T660" s="9">
        <f>ROUND(SUMIFS('Odoo Items'!$G$5:$G$4331,'Odoo Items'!$J$5:$J$4331,A660,'Odoo Items'!$C$5:$C$4331,"&lt;="&amp;Cover!$C$14),2)</f>
        <v>2513.78</v>
      </c>
      <c r="U660">
        <f>COUNTIFS('Bank Lines'!$G$5:$G$1640,A660,'Bank Lines'!$J$5:$J$1640,1,'Bank Lines'!$C$5:$C$1640,"&lt;="&amp;Cover!$C$14)</f>
        <v>1</v>
      </c>
      <c r="V660">
        <f>COUNTIFS('Odoo Items'!$J$5:$J$4331,A660,'Odoo Items'!$C$5:$C$4331,"&lt;="&amp;Cover!$C$14)</f>
        <v>1</v>
      </c>
      <c r="W660" t="str">
        <f>IF(AND(U660=0,V660=0),"",IF(U660=0,"ODOO-ONLY",IF(V660=0,"BANK-ONLY","BOTH")))</f>
        <v>BOTH</v>
      </c>
      <c r="X660" s="9">
        <f>IF(W660="BOTH",ROUND(S660-T660,2),0)</f>
        <v>0</v>
      </c>
      <c r="Y660" s="9">
        <f>ROUND(SUMIFS('Bank Lines'!$E$5:$E$1640,'Bank Lines'!$G$5:$G$1640,A660,'Bank Lines'!$J$5:$J$1640,1,'Bank Lines'!$C$5:$C$1640,"&lt;="&amp;Cover!$C$15),2)</f>
        <v>2513.78</v>
      </c>
      <c r="Z660" s="9">
        <f>ROUND(SUMIFS('Odoo Items'!$G$5:$G$4331,'Odoo Items'!$J$5:$J$4331,A660,'Odoo Items'!$C$5:$C$4331,"&lt;="&amp;Cover!$C$15),2)</f>
        <v>2513.78</v>
      </c>
      <c r="AA660">
        <f>COUNTIFS('Bank Lines'!$G$5:$G$1640,A660,'Bank Lines'!$J$5:$J$1640,1,'Bank Lines'!$C$5:$C$1640,"&lt;="&amp;Cover!$C$15)</f>
        <v>1</v>
      </c>
      <c r="AB660">
        <f>COUNTIFS('Odoo Items'!$J$5:$J$4331,A660,'Odoo Items'!$C$5:$C$4331,"&lt;="&amp;Cover!$C$15)</f>
        <v>1</v>
      </c>
      <c r="AC660" t="str">
        <f>IF(AND(AA660=0,AB660=0),"",IF(AA660=0,"ODOO-ONLY",IF(AB660=0,"BANK-ONLY","BOTH")))</f>
        <v>BOTH</v>
      </c>
      <c r="AD660" s="9">
        <f>IF(AC660="BOTH",ROUND(Y660-Z660,2),0)</f>
        <v>0</v>
      </c>
    </row>
    <row r="661">
      <c r="A661" t="inlineStr">
        <is>
          <t>G00657</t>
        </is>
      </c>
      <c r="B661" t="inlineStr">
        <is>
          <t>MER</t>
        </is>
      </c>
      <c r="C661" t="inlineStr">
        <is>
          <t>R08</t>
        </is>
      </c>
      <c r="D661" t="inlineStr">
        <is>
          <t>MATCH</t>
        </is>
      </c>
      <c r="E661" t="inlineStr"/>
      <c r="G661" t="inlineStr"/>
      <c r="H661">
        <f>COUNTIFS('Bank Lines'!$G$5:$G$1640,A661,'Bank Lines'!$J$5:$J$1640,1)</f>
        <v>1</v>
      </c>
      <c r="I661">
        <f>COUNTIFS('Odoo Items'!$J$5:$J$4331,A661)</f>
        <v>1</v>
      </c>
      <c r="J661" s="9">
        <f>ROUND(SUMIFS('Bank Lines'!$E$5:$E$1640,'Bank Lines'!$G$5:$G$1640,A661,'Bank Lines'!$J$5:$J$1640,1),2)</f>
        <v>1583.14</v>
      </c>
      <c r="K661" s="9">
        <f>ROUND(SUMIFS('Odoo Items'!$G$5:$G$4331,'Odoo Items'!$J$5:$J$4331,A661),2)</f>
        <v>1583.14</v>
      </c>
      <c r="L661" s="9">
        <f>ROUND(J661-K661,2)</f>
        <v>0</v>
      </c>
      <c r="M661" s="9">
        <f>ROUND(SUMIFS('Bank Lines'!$E$5:$E$1640,'Bank Lines'!$G$5:$G$1640,A661,'Bank Lines'!$J$5:$J$1640,1,'Bank Lines'!$C$5:$C$1640,"&lt;="&amp;Cover!$C$13),2)</f>
        <v>1583.14</v>
      </c>
      <c r="N661" s="9">
        <f>ROUND(SUMIFS('Odoo Items'!$G$5:$G$4331,'Odoo Items'!$J$5:$J$4331,A661,'Odoo Items'!$C$5:$C$4331,"&lt;="&amp;Cover!$C$13),2)</f>
        <v>1583.14</v>
      </c>
      <c r="O661">
        <f>COUNTIFS('Bank Lines'!$G$5:$G$1640,A661,'Bank Lines'!$J$5:$J$1640,1,'Bank Lines'!$C$5:$C$1640,"&lt;="&amp;Cover!$C$13)</f>
        <v>1</v>
      </c>
      <c r="P661">
        <f>COUNTIFS('Odoo Items'!$J$5:$J$4331,A661,'Odoo Items'!$C$5:$C$4331,"&lt;="&amp;Cover!$C$13)</f>
        <v>1</v>
      </c>
      <c r="Q661" t="str">
        <f>IF(AND(O661=0,P661=0),"",IF(O661=0,"ODOO-ONLY",IF(P661=0,"BANK-ONLY","BOTH")))</f>
        <v>BOTH</v>
      </c>
      <c r="R661" s="9">
        <f>IF(Q661="BOTH",ROUND(M661-N661,2),0)</f>
        <v>0</v>
      </c>
      <c r="S661" s="9">
        <f>ROUND(SUMIFS('Bank Lines'!$E$5:$E$1640,'Bank Lines'!$G$5:$G$1640,A661,'Bank Lines'!$J$5:$J$1640,1,'Bank Lines'!$C$5:$C$1640,"&lt;="&amp;Cover!$C$14),2)</f>
        <v>1583.14</v>
      </c>
      <c r="T661" s="9">
        <f>ROUND(SUMIFS('Odoo Items'!$G$5:$G$4331,'Odoo Items'!$J$5:$J$4331,A661,'Odoo Items'!$C$5:$C$4331,"&lt;="&amp;Cover!$C$14),2)</f>
        <v>1583.14</v>
      </c>
      <c r="U661">
        <f>COUNTIFS('Bank Lines'!$G$5:$G$1640,A661,'Bank Lines'!$J$5:$J$1640,1,'Bank Lines'!$C$5:$C$1640,"&lt;="&amp;Cover!$C$14)</f>
        <v>1</v>
      </c>
      <c r="V661">
        <f>COUNTIFS('Odoo Items'!$J$5:$J$4331,A661,'Odoo Items'!$C$5:$C$4331,"&lt;="&amp;Cover!$C$14)</f>
        <v>1</v>
      </c>
      <c r="W661" t="str">
        <f>IF(AND(U661=0,V661=0),"",IF(U661=0,"ODOO-ONLY",IF(V661=0,"BANK-ONLY","BOTH")))</f>
        <v>BOTH</v>
      </c>
      <c r="X661" s="9">
        <f>IF(W661="BOTH",ROUND(S661-T661,2),0)</f>
        <v>0</v>
      </c>
      <c r="Y661" s="9">
        <f>ROUND(SUMIFS('Bank Lines'!$E$5:$E$1640,'Bank Lines'!$G$5:$G$1640,A661,'Bank Lines'!$J$5:$J$1640,1,'Bank Lines'!$C$5:$C$1640,"&lt;="&amp;Cover!$C$15),2)</f>
        <v>1583.14</v>
      </c>
      <c r="Z661" s="9">
        <f>ROUND(SUMIFS('Odoo Items'!$G$5:$G$4331,'Odoo Items'!$J$5:$J$4331,A661,'Odoo Items'!$C$5:$C$4331,"&lt;="&amp;Cover!$C$15),2)</f>
        <v>1583.14</v>
      </c>
      <c r="AA661">
        <f>COUNTIFS('Bank Lines'!$G$5:$G$1640,A661,'Bank Lines'!$J$5:$J$1640,1,'Bank Lines'!$C$5:$C$1640,"&lt;="&amp;Cover!$C$15)</f>
        <v>1</v>
      </c>
      <c r="AB661">
        <f>COUNTIFS('Odoo Items'!$J$5:$J$4331,A661,'Odoo Items'!$C$5:$C$4331,"&lt;="&amp;Cover!$C$15)</f>
        <v>1</v>
      </c>
      <c r="AC661" t="str">
        <f>IF(AND(AA661=0,AB661=0),"",IF(AA661=0,"ODOO-ONLY",IF(AB661=0,"BANK-ONLY","BOTH")))</f>
        <v>BOTH</v>
      </c>
      <c r="AD661" s="9">
        <f>IF(AC661="BOTH",ROUND(Y661-Z661,2),0)</f>
        <v>0</v>
      </c>
    </row>
    <row r="662">
      <c r="A662" t="inlineStr">
        <is>
          <t>G00658</t>
        </is>
      </c>
      <c r="B662" t="inlineStr">
        <is>
          <t>MER</t>
        </is>
      </c>
      <c r="C662" t="inlineStr">
        <is>
          <t>R08</t>
        </is>
      </c>
      <c r="D662" t="inlineStr">
        <is>
          <t>MATCH</t>
        </is>
      </c>
      <c r="E662" t="inlineStr"/>
      <c r="G662" t="inlineStr"/>
      <c r="H662">
        <f>COUNTIFS('Bank Lines'!$G$5:$G$1640,A662,'Bank Lines'!$J$5:$J$1640,1)</f>
        <v>1</v>
      </c>
      <c r="I662">
        <f>COUNTIFS('Odoo Items'!$J$5:$J$4331,A662)</f>
        <v>1</v>
      </c>
      <c r="J662" s="9">
        <f>ROUND(SUMIFS('Bank Lines'!$E$5:$E$1640,'Bank Lines'!$G$5:$G$1640,A662,'Bank Lines'!$J$5:$J$1640,1),2)</f>
        <v>1305.8</v>
      </c>
      <c r="K662" s="9">
        <f>ROUND(SUMIFS('Odoo Items'!$G$5:$G$4331,'Odoo Items'!$J$5:$J$4331,A662),2)</f>
        <v>1305.8</v>
      </c>
      <c r="L662" s="9">
        <f>ROUND(J662-K662,2)</f>
        <v>0</v>
      </c>
      <c r="M662" s="9">
        <f>ROUND(SUMIFS('Bank Lines'!$E$5:$E$1640,'Bank Lines'!$G$5:$G$1640,A662,'Bank Lines'!$J$5:$J$1640,1,'Bank Lines'!$C$5:$C$1640,"&lt;="&amp;Cover!$C$13),2)</f>
        <v>1305.8</v>
      </c>
      <c r="N662" s="9">
        <f>ROUND(SUMIFS('Odoo Items'!$G$5:$G$4331,'Odoo Items'!$J$5:$J$4331,A662,'Odoo Items'!$C$5:$C$4331,"&lt;="&amp;Cover!$C$13),2)</f>
        <v>1305.8</v>
      </c>
      <c r="O662">
        <f>COUNTIFS('Bank Lines'!$G$5:$G$1640,A662,'Bank Lines'!$J$5:$J$1640,1,'Bank Lines'!$C$5:$C$1640,"&lt;="&amp;Cover!$C$13)</f>
        <v>1</v>
      </c>
      <c r="P662">
        <f>COUNTIFS('Odoo Items'!$J$5:$J$4331,A662,'Odoo Items'!$C$5:$C$4331,"&lt;="&amp;Cover!$C$13)</f>
        <v>1</v>
      </c>
      <c r="Q662" t="str">
        <f>IF(AND(O662=0,P662=0),"",IF(O662=0,"ODOO-ONLY",IF(P662=0,"BANK-ONLY","BOTH")))</f>
        <v>BOTH</v>
      </c>
      <c r="R662" s="9">
        <f>IF(Q662="BOTH",ROUND(M662-N662,2),0)</f>
        <v>0</v>
      </c>
      <c r="S662" s="9">
        <f>ROUND(SUMIFS('Bank Lines'!$E$5:$E$1640,'Bank Lines'!$G$5:$G$1640,A662,'Bank Lines'!$J$5:$J$1640,1,'Bank Lines'!$C$5:$C$1640,"&lt;="&amp;Cover!$C$14),2)</f>
        <v>1305.8</v>
      </c>
      <c r="T662" s="9">
        <f>ROUND(SUMIFS('Odoo Items'!$G$5:$G$4331,'Odoo Items'!$J$5:$J$4331,A662,'Odoo Items'!$C$5:$C$4331,"&lt;="&amp;Cover!$C$14),2)</f>
        <v>1305.8</v>
      </c>
      <c r="U662">
        <f>COUNTIFS('Bank Lines'!$G$5:$G$1640,A662,'Bank Lines'!$J$5:$J$1640,1,'Bank Lines'!$C$5:$C$1640,"&lt;="&amp;Cover!$C$14)</f>
        <v>1</v>
      </c>
      <c r="V662">
        <f>COUNTIFS('Odoo Items'!$J$5:$J$4331,A662,'Odoo Items'!$C$5:$C$4331,"&lt;="&amp;Cover!$C$14)</f>
        <v>1</v>
      </c>
      <c r="W662" t="str">
        <f>IF(AND(U662=0,V662=0),"",IF(U662=0,"ODOO-ONLY",IF(V662=0,"BANK-ONLY","BOTH")))</f>
        <v>BOTH</v>
      </c>
      <c r="X662" s="9">
        <f>IF(W662="BOTH",ROUND(S662-T662,2),0)</f>
        <v>0</v>
      </c>
      <c r="Y662" s="9">
        <f>ROUND(SUMIFS('Bank Lines'!$E$5:$E$1640,'Bank Lines'!$G$5:$G$1640,A662,'Bank Lines'!$J$5:$J$1640,1,'Bank Lines'!$C$5:$C$1640,"&lt;="&amp;Cover!$C$15),2)</f>
        <v>1305.8</v>
      </c>
      <c r="Z662" s="9">
        <f>ROUND(SUMIFS('Odoo Items'!$G$5:$G$4331,'Odoo Items'!$J$5:$J$4331,A662,'Odoo Items'!$C$5:$C$4331,"&lt;="&amp;Cover!$C$15),2)</f>
        <v>1305.8</v>
      </c>
      <c r="AA662">
        <f>COUNTIFS('Bank Lines'!$G$5:$G$1640,A662,'Bank Lines'!$J$5:$J$1640,1,'Bank Lines'!$C$5:$C$1640,"&lt;="&amp;Cover!$C$15)</f>
        <v>1</v>
      </c>
      <c r="AB662">
        <f>COUNTIFS('Odoo Items'!$J$5:$J$4331,A662,'Odoo Items'!$C$5:$C$4331,"&lt;="&amp;Cover!$C$15)</f>
        <v>1</v>
      </c>
      <c r="AC662" t="str">
        <f>IF(AND(AA662=0,AB662=0),"",IF(AA662=0,"ODOO-ONLY",IF(AB662=0,"BANK-ONLY","BOTH")))</f>
        <v>BOTH</v>
      </c>
      <c r="AD662" s="9">
        <f>IF(AC662="BOTH",ROUND(Y662-Z662,2),0)</f>
        <v>0</v>
      </c>
    </row>
    <row r="663">
      <c r="A663" t="inlineStr">
        <is>
          <t>G00659</t>
        </is>
      </c>
      <c r="B663" t="inlineStr">
        <is>
          <t>MER</t>
        </is>
      </c>
      <c r="C663" t="inlineStr">
        <is>
          <t>R08</t>
        </is>
      </c>
      <c r="D663" t="inlineStr">
        <is>
          <t>MATCH</t>
        </is>
      </c>
      <c r="E663" t="inlineStr"/>
      <c r="G663" t="inlineStr"/>
      <c r="H663">
        <f>COUNTIFS('Bank Lines'!$G$5:$G$1640,A663,'Bank Lines'!$J$5:$J$1640,1)</f>
        <v>1</v>
      </c>
      <c r="I663">
        <f>COUNTIFS('Odoo Items'!$J$5:$J$4331,A663)</f>
        <v>1</v>
      </c>
      <c r="J663" s="9">
        <f>ROUND(SUMIFS('Bank Lines'!$E$5:$E$1640,'Bank Lines'!$G$5:$G$1640,A663,'Bank Lines'!$J$5:$J$1640,1),2)</f>
        <v>525.47</v>
      </c>
      <c r="K663" s="9">
        <f>ROUND(SUMIFS('Odoo Items'!$G$5:$G$4331,'Odoo Items'!$J$5:$J$4331,A663),2)</f>
        <v>525.47</v>
      </c>
      <c r="L663" s="9">
        <f>ROUND(J663-K663,2)</f>
        <v>0</v>
      </c>
      <c r="M663" s="9">
        <f>ROUND(SUMIFS('Bank Lines'!$E$5:$E$1640,'Bank Lines'!$G$5:$G$1640,A663,'Bank Lines'!$J$5:$J$1640,1,'Bank Lines'!$C$5:$C$1640,"&lt;="&amp;Cover!$C$13),2)</f>
        <v>525.47</v>
      </c>
      <c r="N663" s="9">
        <f>ROUND(SUMIFS('Odoo Items'!$G$5:$G$4331,'Odoo Items'!$J$5:$J$4331,A663,'Odoo Items'!$C$5:$C$4331,"&lt;="&amp;Cover!$C$13),2)</f>
        <v>525.47</v>
      </c>
      <c r="O663">
        <f>COUNTIFS('Bank Lines'!$G$5:$G$1640,A663,'Bank Lines'!$J$5:$J$1640,1,'Bank Lines'!$C$5:$C$1640,"&lt;="&amp;Cover!$C$13)</f>
        <v>1</v>
      </c>
      <c r="P663">
        <f>COUNTIFS('Odoo Items'!$J$5:$J$4331,A663,'Odoo Items'!$C$5:$C$4331,"&lt;="&amp;Cover!$C$13)</f>
        <v>1</v>
      </c>
      <c r="Q663" t="str">
        <f>IF(AND(O663=0,P663=0),"",IF(O663=0,"ODOO-ONLY",IF(P663=0,"BANK-ONLY","BOTH")))</f>
        <v>BOTH</v>
      </c>
      <c r="R663" s="9">
        <f>IF(Q663="BOTH",ROUND(M663-N663,2),0)</f>
        <v>0</v>
      </c>
      <c r="S663" s="9">
        <f>ROUND(SUMIFS('Bank Lines'!$E$5:$E$1640,'Bank Lines'!$G$5:$G$1640,A663,'Bank Lines'!$J$5:$J$1640,1,'Bank Lines'!$C$5:$C$1640,"&lt;="&amp;Cover!$C$14),2)</f>
        <v>525.47</v>
      </c>
      <c r="T663" s="9">
        <f>ROUND(SUMIFS('Odoo Items'!$G$5:$G$4331,'Odoo Items'!$J$5:$J$4331,A663,'Odoo Items'!$C$5:$C$4331,"&lt;="&amp;Cover!$C$14),2)</f>
        <v>525.47</v>
      </c>
      <c r="U663">
        <f>COUNTIFS('Bank Lines'!$G$5:$G$1640,A663,'Bank Lines'!$J$5:$J$1640,1,'Bank Lines'!$C$5:$C$1640,"&lt;="&amp;Cover!$C$14)</f>
        <v>1</v>
      </c>
      <c r="V663">
        <f>COUNTIFS('Odoo Items'!$J$5:$J$4331,A663,'Odoo Items'!$C$5:$C$4331,"&lt;="&amp;Cover!$C$14)</f>
        <v>1</v>
      </c>
      <c r="W663" t="str">
        <f>IF(AND(U663=0,V663=0),"",IF(U663=0,"ODOO-ONLY",IF(V663=0,"BANK-ONLY","BOTH")))</f>
        <v>BOTH</v>
      </c>
      <c r="X663" s="9">
        <f>IF(W663="BOTH",ROUND(S663-T663,2),0)</f>
        <v>0</v>
      </c>
      <c r="Y663" s="9">
        <f>ROUND(SUMIFS('Bank Lines'!$E$5:$E$1640,'Bank Lines'!$G$5:$G$1640,A663,'Bank Lines'!$J$5:$J$1640,1,'Bank Lines'!$C$5:$C$1640,"&lt;="&amp;Cover!$C$15),2)</f>
        <v>525.47</v>
      </c>
      <c r="Z663" s="9">
        <f>ROUND(SUMIFS('Odoo Items'!$G$5:$G$4331,'Odoo Items'!$J$5:$J$4331,A663,'Odoo Items'!$C$5:$C$4331,"&lt;="&amp;Cover!$C$15),2)</f>
        <v>525.47</v>
      </c>
      <c r="AA663">
        <f>COUNTIFS('Bank Lines'!$G$5:$G$1640,A663,'Bank Lines'!$J$5:$J$1640,1,'Bank Lines'!$C$5:$C$1640,"&lt;="&amp;Cover!$C$15)</f>
        <v>1</v>
      </c>
      <c r="AB663">
        <f>COUNTIFS('Odoo Items'!$J$5:$J$4331,A663,'Odoo Items'!$C$5:$C$4331,"&lt;="&amp;Cover!$C$15)</f>
        <v>1</v>
      </c>
      <c r="AC663" t="str">
        <f>IF(AND(AA663=0,AB663=0),"",IF(AA663=0,"ODOO-ONLY",IF(AB663=0,"BANK-ONLY","BOTH")))</f>
        <v>BOTH</v>
      </c>
      <c r="AD663" s="9">
        <f>IF(AC663="BOTH",ROUND(Y663-Z663,2),0)</f>
        <v>0</v>
      </c>
    </row>
    <row r="664">
      <c r="A664" t="inlineStr">
        <is>
          <t>G00660</t>
        </is>
      </c>
      <c r="B664" t="inlineStr">
        <is>
          <t>MER</t>
        </is>
      </c>
      <c r="C664" t="inlineStr">
        <is>
          <t>R08</t>
        </is>
      </c>
      <c r="D664" t="inlineStr">
        <is>
          <t>MATCH</t>
        </is>
      </c>
      <c r="E664" t="inlineStr"/>
      <c r="G664" t="inlineStr"/>
      <c r="H664">
        <f>COUNTIFS('Bank Lines'!$G$5:$G$1640,A664,'Bank Lines'!$J$5:$J$1640,1)</f>
        <v>1</v>
      </c>
      <c r="I664">
        <f>COUNTIFS('Odoo Items'!$J$5:$J$4331,A664)</f>
        <v>1</v>
      </c>
      <c r="J664" s="9">
        <f>ROUND(SUMIFS('Bank Lines'!$E$5:$E$1640,'Bank Lines'!$G$5:$G$1640,A664,'Bank Lines'!$J$5:$J$1640,1),2)</f>
        <v>606.76</v>
      </c>
      <c r="K664" s="9">
        <f>ROUND(SUMIFS('Odoo Items'!$G$5:$G$4331,'Odoo Items'!$J$5:$J$4331,A664),2)</f>
        <v>606.76</v>
      </c>
      <c r="L664" s="9">
        <f>ROUND(J664-K664,2)</f>
        <v>0</v>
      </c>
      <c r="M664" s="9">
        <f>ROUND(SUMIFS('Bank Lines'!$E$5:$E$1640,'Bank Lines'!$G$5:$G$1640,A664,'Bank Lines'!$J$5:$J$1640,1,'Bank Lines'!$C$5:$C$1640,"&lt;="&amp;Cover!$C$13),2)</f>
        <v>606.76</v>
      </c>
      <c r="N664" s="9">
        <f>ROUND(SUMIFS('Odoo Items'!$G$5:$G$4331,'Odoo Items'!$J$5:$J$4331,A664,'Odoo Items'!$C$5:$C$4331,"&lt;="&amp;Cover!$C$13),2)</f>
        <v>606.76</v>
      </c>
      <c r="O664">
        <f>COUNTIFS('Bank Lines'!$G$5:$G$1640,A664,'Bank Lines'!$J$5:$J$1640,1,'Bank Lines'!$C$5:$C$1640,"&lt;="&amp;Cover!$C$13)</f>
        <v>1</v>
      </c>
      <c r="P664">
        <f>COUNTIFS('Odoo Items'!$J$5:$J$4331,A664,'Odoo Items'!$C$5:$C$4331,"&lt;="&amp;Cover!$C$13)</f>
        <v>1</v>
      </c>
      <c r="Q664" t="str">
        <f>IF(AND(O664=0,P664=0),"",IF(O664=0,"ODOO-ONLY",IF(P664=0,"BANK-ONLY","BOTH")))</f>
        <v>BOTH</v>
      </c>
      <c r="R664" s="9">
        <f>IF(Q664="BOTH",ROUND(M664-N664,2),0)</f>
        <v>0</v>
      </c>
      <c r="S664" s="9">
        <f>ROUND(SUMIFS('Bank Lines'!$E$5:$E$1640,'Bank Lines'!$G$5:$G$1640,A664,'Bank Lines'!$J$5:$J$1640,1,'Bank Lines'!$C$5:$C$1640,"&lt;="&amp;Cover!$C$14),2)</f>
        <v>606.76</v>
      </c>
      <c r="T664" s="9">
        <f>ROUND(SUMIFS('Odoo Items'!$G$5:$G$4331,'Odoo Items'!$J$5:$J$4331,A664,'Odoo Items'!$C$5:$C$4331,"&lt;="&amp;Cover!$C$14),2)</f>
        <v>606.76</v>
      </c>
      <c r="U664">
        <f>COUNTIFS('Bank Lines'!$G$5:$G$1640,A664,'Bank Lines'!$J$5:$J$1640,1,'Bank Lines'!$C$5:$C$1640,"&lt;="&amp;Cover!$C$14)</f>
        <v>1</v>
      </c>
      <c r="V664">
        <f>COUNTIFS('Odoo Items'!$J$5:$J$4331,A664,'Odoo Items'!$C$5:$C$4331,"&lt;="&amp;Cover!$C$14)</f>
        <v>1</v>
      </c>
      <c r="W664" t="str">
        <f>IF(AND(U664=0,V664=0),"",IF(U664=0,"ODOO-ONLY",IF(V664=0,"BANK-ONLY","BOTH")))</f>
        <v>BOTH</v>
      </c>
      <c r="X664" s="9">
        <f>IF(W664="BOTH",ROUND(S664-T664,2),0)</f>
        <v>0</v>
      </c>
      <c r="Y664" s="9">
        <f>ROUND(SUMIFS('Bank Lines'!$E$5:$E$1640,'Bank Lines'!$G$5:$G$1640,A664,'Bank Lines'!$J$5:$J$1640,1,'Bank Lines'!$C$5:$C$1640,"&lt;="&amp;Cover!$C$15),2)</f>
        <v>606.76</v>
      </c>
      <c r="Z664" s="9">
        <f>ROUND(SUMIFS('Odoo Items'!$G$5:$G$4331,'Odoo Items'!$J$5:$J$4331,A664,'Odoo Items'!$C$5:$C$4331,"&lt;="&amp;Cover!$C$15),2)</f>
        <v>606.76</v>
      </c>
      <c r="AA664">
        <f>COUNTIFS('Bank Lines'!$G$5:$G$1640,A664,'Bank Lines'!$J$5:$J$1640,1,'Bank Lines'!$C$5:$C$1640,"&lt;="&amp;Cover!$C$15)</f>
        <v>1</v>
      </c>
      <c r="AB664">
        <f>COUNTIFS('Odoo Items'!$J$5:$J$4331,A664,'Odoo Items'!$C$5:$C$4331,"&lt;="&amp;Cover!$C$15)</f>
        <v>1</v>
      </c>
      <c r="AC664" t="str">
        <f>IF(AND(AA664=0,AB664=0),"",IF(AA664=0,"ODOO-ONLY",IF(AB664=0,"BANK-ONLY","BOTH")))</f>
        <v>BOTH</v>
      </c>
      <c r="AD664" s="9">
        <f>IF(AC664="BOTH",ROUND(Y664-Z664,2),0)</f>
        <v>0</v>
      </c>
    </row>
    <row r="665">
      <c r="A665" t="inlineStr">
        <is>
          <t>G00661</t>
        </is>
      </c>
      <c r="B665" t="inlineStr">
        <is>
          <t>MER</t>
        </is>
      </c>
      <c r="C665" t="inlineStr">
        <is>
          <t>R08</t>
        </is>
      </c>
      <c r="D665" t="inlineStr">
        <is>
          <t>MATCH</t>
        </is>
      </c>
      <c r="E665" t="inlineStr"/>
      <c r="G665" t="inlineStr"/>
      <c r="H665">
        <f>COUNTIFS('Bank Lines'!$G$5:$G$1640,A665,'Bank Lines'!$J$5:$J$1640,1)</f>
        <v>1</v>
      </c>
      <c r="I665">
        <f>COUNTIFS('Odoo Items'!$J$5:$J$4331,A665)</f>
        <v>1</v>
      </c>
      <c r="J665" s="9">
        <f>ROUND(SUMIFS('Bank Lines'!$E$5:$E$1640,'Bank Lines'!$G$5:$G$1640,A665,'Bank Lines'!$J$5:$J$1640,1),2)</f>
        <v>837.33</v>
      </c>
      <c r="K665" s="9">
        <f>ROUND(SUMIFS('Odoo Items'!$G$5:$G$4331,'Odoo Items'!$J$5:$J$4331,A665),2)</f>
        <v>837.33</v>
      </c>
      <c r="L665" s="9">
        <f>ROUND(J665-K665,2)</f>
        <v>0</v>
      </c>
      <c r="M665" s="9">
        <f>ROUND(SUMIFS('Bank Lines'!$E$5:$E$1640,'Bank Lines'!$G$5:$G$1640,A665,'Bank Lines'!$J$5:$J$1640,1,'Bank Lines'!$C$5:$C$1640,"&lt;="&amp;Cover!$C$13),2)</f>
        <v>837.33</v>
      </c>
      <c r="N665" s="9">
        <f>ROUND(SUMIFS('Odoo Items'!$G$5:$G$4331,'Odoo Items'!$J$5:$J$4331,A665,'Odoo Items'!$C$5:$C$4331,"&lt;="&amp;Cover!$C$13),2)</f>
        <v>837.33</v>
      </c>
      <c r="O665">
        <f>COUNTIFS('Bank Lines'!$G$5:$G$1640,A665,'Bank Lines'!$J$5:$J$1640,1,'Bank Lines'!$C$5:$C$1640,"&lt;="&amp;Cover!$C$13)</f>
        <v>1</v>
      </c>
      <c r="P665">
        <f>COUNTIFS('Odoo Items'!$J$5:$J$4331,A665,'Odoo Items'!$C$5:$C$4331,"&lt;="&amp;Cover!$C$13)</f>
        <v>1</v>
      </c>
      <c r="Q665" t="str">
        <f>IF(AND(O665=0,P665=0),"",IF(O665=0,"ODOO-ONLY",IF(P665=0,"BANK-ONLY","BOTH")))</f>
        <v>BOTH</v>
      </c>
      <c r="R665" s="9">
        <f>IF(Q665="BOTH",ROUND(M665-N665,2),0)</f>
        <v>0</v>
      </c>
      <c r="S665" s="9">
        <f>ROUND(SUMIFS('Bank Lines'!$E$5:$E$1640,'Bank Lines'!$G$5:$G$1640,A665,'Bank Lines'!$J$5:$J$1640,1,'Bank Lines'!$C$5:$C$1640,"&lt;="&amp;Cover!$C$14),2)</f>
        <v>837.33</v>
      </c>
      <c r="T665" s="9">
        <f>ROUND(SUMIFS('Odoo Items'!$G$5:$G$4331,'Odoo Items'!$J$5:$J$4331,A665,'Odoo Items'!$C$5:$C$4331,"&lt;="&amp;Cover!$C$14),2)</f>
        <v>837.33</v>
      </c>
      <c r="U665">
        <f>COUNTIFS('Bank Lines'!$G$5:$G$1640,A665,'Bank Lines'!$J$5:$J$1640,1,'Bank Lines'!$C$5:$C$1640,"&lt;="&amp;Cover!$C$14)</f>
        <v>1</v>
      </c>
      <c r="V665">
        <f>COUNTIFS('Odoo Items'!$J$5:$J$4331,A665,'Odoo Items'!$C$5:$C$4331,"&lt;="&amp;Cover!$C$14)</f>
        <v>1</v>
      </c>
      <c r="W665" t="str">
        <f>IF(AND(U665=0,V665=0),"",IF(U665=0,"ODOO-ONLY",IF(V665=0,"BANK-ONLY","BOTH")))</f>
        <v>BOTH</v>
      </c>
      <c r="X665" s="9">
        <f>IF(W665="BOTH",ROUND(S665-T665,2),0)</f>
        <v>0</v>
      </c>
      <c r="Y665" s="9">
        <f>ROUND(SUMIFS('Bank Lines'!$E$5:$E$1640,'Bank Lines'!$G$5:$G$1640,A665,'Bank Lines'!$J$5:$J$1640,1,'Bank Lines'!$C$5:$C$1640,"&lt;="&amp;Cover!$C$15),2)</f>
        <v>837.33</v>
      </c>
      <c r="Z665" s="9">
        <f>ROUND(SUMIFS('Odoo Items'!$G$5:$G$4331,'Odoo Items'!$J$5:$J$4331,A665,'Odoo Items'!$C$5:$C$4331,"&lt;="&amp;Cover!$C$15),2)</f>
        <v>837.33</v>
      </c>
      <c r="AA665">
        <f>COUNTIFS('Bank Lines'!$G$5:$G$1640,A665,'Bank Lines'!$J$5:$J$1640,1,'Bank Lines'!$C$5:$C$1640,"&lt;="&amp;Cover!$C$15)</f>
        <v>1</v>
      </c>
      <c r="AB665">
        <f>COUNTIFS('Odoo Items'!$J$5:$J$4331,A665,'Odoo Items'!$C$5:$C$4331,"&lt;="&amp;Cover!$C$15)</f>
        <v>1</v>
      </c>
      <c r="AC665" t="str">
        <f>IF(AND(AA665=0,AB665=0),"",IF(AA665=0,"ODOO-ONLY",IF(AB665=0,"BANK-ONLY","BOTH")))</f>
        <v>BOTH</v>
      </c>
      <c r="AD665" s="9">
        <f>IF(AC665="BOTH",ROUND(Y665-Z665,2),0)</f>
        <v>0</v>
      </c>
    </row>
    <row r="666">
      <c r="A666" t="inlineStr">
        <is>
          <t>G00662</t>
        </is>
      </c>
      <c r="B666" t="inlineStr">
        <is>
          <t>MER</t>
        </is>
      </c>
      <c r="C666" t="inlineStr">
        <is>
          <t>R08</t>
        </is>
      </c>
      <c r="D666" t="inlineStr">
        <is>
          <t>MATCH</t>
        </is>
      </c>
      <c r="E666" t="inlineStr"/>
      <c r="G666" t="inlineStr"/>
      <c r="H666">
        <f>COUNTIFS('Bank Lines'!$G$5:$G$1640,A666,'Bank Lines'!$J$5:$J$1640,1)</f>
        <v>1</v>
      </c>
      <c r="I666">
        <f>COUNTIFS('Odoo Items'!$J$5:$J$4331,A666)</f>
        <v>1</v>
      </c>
      <c r="J666" s="9">
        <f>ROUND(SUMIFS('Bank Lines'!$E$5:$E$1640,'Bank Lines'!$G$5:$G$1640,A666,'Bank Lines'!$J$5:$J$1640,1),2)</f>
        <v>444.16</v>
      </c>
      <c r="K666" s="9">
        <f>ROUND(SUMIFS('Odoo Items'!$G$5:$G$4331,'Odoo Items'!$J$5:$J$4331,A666),2)</f>
        <v>444.16</v>
      </c>
      <c r="L666" s="9">
        <f>ROUND(J666-K666,2)</f>
        <v>0</v>
      </c>
      <c r="M666" s="9">
        <f>ROUND(SUMIFS('Bank Lines'!$E$5:$E$1640,'Bank Lines'!$G$5:$G$1640,A666,'Bank Lines'!$J$5:$J$1640,1,'Bank Lines'!$C$5:$C$1640,"&lt;="&amp;Cover!$C$13),2)</f>
        <v>444.16</v>
      </c>
      <c r="N666" s="9">
        <f>ROUND(SUMIFS('Odoo Items'!$G$5:$G$4331,'Odoo Items'!$J$5:$J$4331,A666,'Odoo Items'!$C$5:$C$4331,"&lt;="&amp;Cover!$C$13),2)</f>
        <v>444.16</v>
      </c>
      <c r="O666">
        <f>COUNTIFS('Bank Lines'!$G$5:$G$1640,A666,'Bank Lines'!$J$5:$J$1640,1,'Bank Lines'!$C$5:$C$1640,"&lt;="&amp;Cover!$C$13)</f>
        <v>1</v>
      </c>
      <c r="P666">
        <f>COUNTIFS('Odoo Items'!$J$5:$J$4331,A666,'Odoo Items'!$C$5:$C$4331,"&lt;="&amp;Cover!$C$13)</f>
        <v>1</v>
      </c>
      <c r="Q666" t="str">
        <f>IF(AND(O666=0,P666=0),"",IF(O666=0,"ODOO-ONLY",IF(P666=0,"BANK-ONLY","BOTH")))</f>
        <v>BOTH</v>
      </c>
      <c r="R666" s="9">
        <f>IF(Q666="BOTH",ROUND(M666-N666,2),0)</f>
        <v>0</v>
      </c>
      <c r="S666" s="9">
        <f>ROUND(SUMIFS('Bank Lines'!$E$5:$E$1640,'Bank Lines'!$G$5:$G$1640,A666,'Bank Lines'!$J$5:$J$1640,1,'Bank Lines'!$C$5:$C$1640,"&lt;="&amp;Cover!$C$14),2)</f>
        <v>444.16</v>
      </c>
      <c r="T666" s="9">
        <f>ROUND(SUMIFS('Odoo Items'!$G$5:$G$4331,'Odoo Items'!$J$5:$J$4331,A666,'Odoo Items'!$C$5:$C$4331,"&lt;="&amp;Cover!$C$14),2)</f>
        <v>444.16</v>
      </c>
      <c r="U666">
        <f>COUNTIFS('Bank Lines'!$G$5:$G$1640,A666,'Bank Lines'!$J$5:$J$1640,1,'Bank Lines'!$C$5:$C$1640,"&lt;="&amp;Cover!$C$14)</f>
        <v>1</v>
      </c>
      <c r="V666">
        <f>COUNTIFS('Odoo Items'!$J$5:$J$4331,A666,'Odoo Items'!$C$5:$C$4331,"&lt;="&amp;Cover!$C$14)</f>
        <v>1</v>
      </c>
      <c r="W666" t="str">
        <f>IF(AND(U666=0,V666=0),"",IF(U666=0,"ODOO-ONLY",IF(V666=0,"BANK-ONLY","BOTH")))</f>
        <v>BOTH</v>
      </c>
      <c r="X666" s="9">
        <f>IF(W666="BOTH",ROUND(S666-T666,2),0)</f>
        <v>0</v>
      </c>
      <c r="Y666" s="9">
        <f>ROUND(SUMIFS('Bank Lines'!$E$5:$E$1640,'Bank Lines'!$G$5:$G$1640,A666,'Bank Lines'!$J$5:$J$1640,1,'Bank Lines'!$C$5:$C$1640,"&lt;="&amp;Cover!$C$15),2)</f>
        <v>444.16</v>
      </c>
      <c r="Z666" s="9">
        <f>ROUND(SUMIFS('Odoo Items'!$G$5:$G$4331,'Odoo Items'!$J$5:$J$4331,A666,'Odoo Items'!$C$5:$C$4331,"&lt;="&amp;Cover!$C$15),2)</f>
        <v>444.16</v>
      </c>
      <c r="AA666">
        <f>COUNTIFS('Bank Lines'!$G$5:$G$1640,A666,'Bank Lines'!$J$5:$J$1640,1,'Bank Lines'!$C$5:$C$1640,"&lt;="&amp;Cover!$C$15)</f>
        <v>1</v>
      </c>
      <c r="AB666">
        <f>COUNTIFS('Odoo Items'!$J$5:$J$4331,A666,'Odoo Items'!$C$5:$C$4331,"&lt;="&amp;Cover!$C$15)</f>
        <v>1</v>
      </c>
      <c r="AC666" t="str">
        <f>IF(AND(AA666=0,AB666=0),"",IF(AA666=0,"ODOO-ONLY",IF(AB666=0,"BANK-ONLY","BOTH")))</f>
        <v>BOTH</v>
      </c>
      <c r="AD666" s="9">
        <f>IF(AC666="BOTH",ROUND(Y666-Z666,2),0)</f>
        <v>0</v>
      </c>
    </row>
    <row r="667">
      <c r="A667" t="inlineStr">
        <is>
          <t>G00663</t>
        </is>
      </c>
      <c r="B667" t="inlineStr">
        <is>
          <t>MER</t>
        </is>
      </c>
      <c r="C667" t="inlineStr">
        <is>
          <t>R04</t>
        </is>
      </c>
      <c r="D667" t="inlineStr">
        <is>
          <t>MATCH</t>
        </is>
      </c>
      <c r="E667" t="inlineStr"/>
      <c r="G667" t="inlineStr">
        <is>
          <t>Sweep, same amount</t>
        </is>
      </c>
      <c r="H667">
        <f>COUNTIFS('Bank Lines'!$G$5:$G$1640,A667,'Bank Lines'!$J$5:$J$1640,1)</f>
        <v>1</v>
      </c>
      <c r="I667">
        <f>COUNTIFS('Odoo Items'!$J$5:$J$4331,A667)</f>
        <v>1</v>
      </c>
      <c r="J667" s="9">
        <f>ROUND(SUMIFS('Bank Lines'!$E$5:$E$1640,'Bank Lines'!$G$5:$G$1640,A667,'Bank Lines'!$J$5:$J$1640,1),2)</f>
        <v>-34000</v>
      </c>
      <c r="K667" s="9">
        <f>ROUND(SUMIFS('Odoo Items'!$G$5:$G$4331,'Odoo Items'!$J$5:$J$4331,A667),2)</f>
        <v>-34000</v>
      </c>
      <c r="L667" s="9">
        <f>ROUND(J667-K667,2)</f>
        <v>0</v>
      </c>
      <c r="M667" s="9">
        <f>ROUND(SUMIFS('Bank Lines'!$E$5:$E$1640,'Bank Lines'!$G$5:$G$1640,A667,'Bank Lines'!$J$5:$J$1640,1,'Bank Lines'!$C$5:$C$1640,"&lt;="&amp;Cover!$C$13),2)</f>
        <v>-34000</v>
      </c>
      <c r="N667" s="9">
        <f>ROUND(SUMIFS('Odoo Items'!$G$5:$G$4331,'Odoo Items'!$J$5:$J$4331,A667,'Odoo Items'!$C$5:$C$4331,"&lt;="&amp;Cover!$C$13),2)</f>
        <v>-34000</v>
      </c>
      <c r="O667">
        <f>COUNTIFS('Bank Lines'!$G$5:$G$1640,A667,'Bank Lines'!$J$5:$J$1640,1,'Bank Lines'!$C$5:$C$1640,"&lt;="&amp;Cover!$C$13)</f>
        <v>1</v>
      </c>
      <c r="P667">
        <f>COUNTIFS('Odoo Items'!$J$5:$J$4331,A667,'Odoo Items'!$C$5:$C$4331,"&lt;="&amp;Cover!$C$13)</f>
        <v>1</v>
      </c>
      <c r="Q667" t="str">
        <f>IF(AND(O667=0,P667=0),"",IF(O667=0,"ODOO-ONLY",IF(P667=0,"BANK-ONLY","BOTH")))</f>
        <v>BOTH</v>
      </c>
      <c r="R667" s="9">
        <f>IF(Q667="BOTH",ROUND(M667-N667,2),0)</f>
        <v>0</v>
      </c>
      <c r="S667" s="9">
        <f>ROUND(SUMIFS('Bank Lines'!$E$5:$E$1640,'Bank Lines'!$G$5:$G$1640,A667,'Bank Lines'!$J$5:$J$1640,1,'Bank Lines'!$C$5:$C$1640,"&lt;="&amp;Cover!$C$14),2)</f>
        <v>-34000</v>
      </c>
      <c r="T667" s="9">
        <f>ROUND(SUMIFS('Odoo Items'!$G$5:$G$4331,'Odoo Items'!$J$5:$J$4331,A667,'Odoo Items'!$C$5:$C$4331,"&lt;="&amp;Cover!$C$14),2)</f>
        <v>-34000</v>
      </c>
      <c r="U667">
        <f>COUNTIFS('Bank Lines'!$G$5:$G$1640,A667,'Bank Lines'!$J$5:$J$1640,1,'Bank Lines'!$C$5:$C$1640,"&lt;="&amp;Cover!$C$14)</f>
        <v>1</v>
      </c>
      <c r="V667">
        <f>COUNTIFS('Odoo Items'!$J$5:$J$4331,A667,'Odoo Items'!$C$5:$C$4331,"&lt;="&amp;Cover!$C$14)</f>
        <v>1</v>
      </c>
      <c r="W667" t="str">
        <f>IF(AND(U667=0,V667=0),"",IF(U667=0,"ODOO-ONLY",IF(V667=0,"BANK-ONLY","BOTH")))</f>
        <v>BOTH</v>
      </c>
      <c r="X667" s="9">
        <f>IF(W667="BOTH",ROUND(S667-T667,2),0)</f>
        <v>0</v>
      </c>
      <c r="Y667" s="9">
        <f>ROUND(SUMIFS('Bank Lines'!$E$5:$E$1640,'Bank Lines'!$G$5:$G$1640,A667,'Bank Lines'!$J$5:$J$1640,1,'Bank Lines'!$C$5:$C$1640,"&lt;="&amp;Cover!$C$15),2)</f>
        <v>-34000</v>
      </c>
      <c r="Z667" s="9">
        <f>ROUND(SUMIFS('Odoo Items'!$G$5:$G$4331,'Odoo Items'!$J$5:$J$4331,A667,'Odoo Items'!$C$5:$C$4331,"&lt;="&amp;Cover!$C$15),2)</f>
        <v>-34000</v>
      </c>
      <c r="AA667">
        <f>COUNTIFS('Bank Lines'!$G$5:$G$1640,A667,'Bank Lines'!$J$5:$J$1640,1,'Bank Lines'!$C$5:$C$1640,"&lt;="&amp;Cover!$C$15)</f>
        <v>1</v>
      </c>
      <c r="AB667">
        <f>COUNTIFS('Odoo Items'!$J$5:$J$4331,A667,'Odoo Items'!$C$5:$C$4331,"&lt;="&amp;Cover!$C$15)</f>
        <v>1</v>
      </c>
      <c r="AC667" t="str">
        <f>IF(AND(AA667=0,AB667=0),"",IF(AA667=0,"ODOO-ONLY",IF(AB667=0,"BANK-ONLY","BOTH")))</f>
        <v>BOTH</v>
      </c>
      <c r="AD667" s="9">
        <f>IF(AC667="BOTH",ROUND(Y667-Z667,2),0)</f>
        <v>0</v>
      </c>
    </row>
    <row r="668">
      <c r="A668" t="inlineStr">
        <is>
          <t>G00664</t>
        </is>
      </c>
      <c r="B668" t="inlineStr">
        <is>
          <t>MER</t>
        </is>
      </c>
      <c r="C668" t="inlineStr">
        <is>
          <t>R08</t>
        </is>
      </c>
      <c r="D668" t="inlineStr">
        <is>
          <t>MATCH</t>
        </is>
      </c>
      <c r="E668" t="inlineStr"/>
      <c r="G668" t="inlineStr"/>
      <c r="H668">
        <f>COUNTIFS('Bank Lines'!$G$5:$G$1640,A668,'Bank Lines'!$J$5:$J$1640,1)</f>
        <v>1</v>
      </c>
      <c r="I668">
        <f>COUNTIFS('Odoo Items'!$J$5:$J$4331,A668)</f>
        <v>1</v>
      </c>
      <c r="J668" s="9">
        <f>ROUND(SUMIFS('Bank Lines'!$E$5:$E$1640,'Bank Lines'!$G$5:$G$1640,A668,'Bank Lines'!$J$5:$J$1640,1),2)</f>
        <v>1671.44</v>
      </c>
      <c r="K668" s="9">
        <f>ROUND(SUMIFS('Odoo Items'!$G$5:$G$4331,'Odoo Items'!$J$5:$J$4331,A668),2)</f>
        <v>1671.44</v>
      </c>
      <c r="L668" s="9">
        <f>ROUND(J668-K668,2)</f>
        <v>0</v>
      </c>
      <c r="M668" s="9">
        <f>ROUND(SUMIFS('Bank Lines'!$E$5:$E$1640,'Bank Lines'!$G$5:$G$1640,A668,'Bank Lines'!$J$5:$J$1640,1,'Bank Lines'!$C$5:$C$1640,"&lt;="&amp;Cover!$C$13),2)</f>
        <v>1671.44</v>
      </c>
      <c r="N668" s="9">
        <f>ROUND(SUMIFS('Odoo Items'!$G$5:$G$4331,'Odoo Items'!$J$5:$J$4331,A668,'Odoo Items'!$C$5:$C$4331,"&lt;="&amp;Cover!$C$13),2)</f>
        <v>1671.44</v>
      </c>
      <c r="O668">
        <f>COUNTIFS('Bank Lines'!$G$5:$G$1640,A668,'Bank Lines'!$J$5:$J$1640,1,'Bank Lines'!$C$5:$C$1640,"&lt;="&amp;Cover!$C$13)</f>
        <v>1</v>
      </c>
      <c r="P668">
        <f>COUNTIFS('Odoo Items'!$J$5:$J$4331,A668,'Odoo Items'!$C$5:$C$4331,"&lt;="&amp;Cover!$C$13)</f>
        <v>1</v>
      </c>
      <c r="Q668" t="str">
        <f>IF(AND(O668=0,P668=0),"",IF(O668=0,"ODOO-ONLY",IF(P668=0,"BANK-ONLY","BOTH")))</f>
        <v>BOTH</v>
      </c>
      <c r="R668" s="9">
        <f>IF(Q668="BOTH",ROUND(M668-N668,2),0)</f>
        <v>0</v>
      </c>
      <c r="S668" s="9">
        <f>ROUND(SUMIFS('Bank Lines'!$E$5:$E$1640,'Bank Lines'!$G$5:$G$1640,A668,'Bank Lines'!$J$5:$J$1640,1,'Bank Lines'!$C$5:$C$1640,"&lt;="&amp;Cover!$C$14),2)</f>
        <v>1671.44</v>
      </c>
      <c r="T668" s="9">
        <f>ROUND(SUMIFS('Odoo Items'!$G$5:$G$4331,'Odoo Items'!$J$5:$J$4331,A668,'Odoo Items'!$C$5:$C$4331,"&lt;="&amp;Cover!$C$14),2)</f>
        <v>1671.44</v>
      </c>
      <c r="U668">
        <f>COUNTIFS('Bank Lines'!$G$5:$G$1640,A668,'Bank Lines'!$J$5:$J$1640,1,'Bank Lines'!$C$5:$C$1640,"&lt;="&amp;Cover!$C$14)</f>
        <v>1</v>
      </c>
      <c r="V668">
        <f>COUNTIFS('Odoo Items'!$J$5:$J$4331,A668,'Odoo Items'!$C$5:$C$4331,"&lt;="&amp;Cover!$C$14)</f>
        <v>1</v>
      </c>
      <c r="W668" t="str">
        <f>IF(AND(U668=0,V668=0),"",IF(U668=0,"ODOO-ONLY",IF(V668=0,"BANK-ONLY","BOTH")))</f>
        <v>BOTH</v>
      </c>
      <c r="X668" s="9">
        <f>IF(W668="BOTH",ROUND(S668-T668,2),0)</f>
        <v>0</v>
      </c>
      <c r="Y668" s="9">
        <f>ROUND(SUMIFS('Bank Lines'!$E$5:$E$1640,'Bank Lines'!$G$5:$G$1640,A668,'Bank Lines'!$J$5:$J$1640,1,'Bank Lines'!$C$5:$C$1640,"&lt;="&amp;Cover!$C$15),2)</f>
        <v>1671.44</v>
      </c>
      <c r="Z668" s="9">
        <f>ROUND(SUMIFS('Odoo Items'!$G$5:$G$4331,'Odoo Items'!$J$5:$J$4331,A668,'Odoo Items'!$C$5:$C$4331,"&lt;="&amp;Cover!$C$15),2)</f>
        <v>1671.44</v>
      </c>
      <c r="AA668">
        <f>COUNTIFS('Bank Lines'!$G$5:$G$1640,A668,'Bank Lines'!$J$5:$J$1640,1,'Bank Lines'!$C$5:$C$1640,"&lt;="&amp;Cover!$C$15)</f>
        <v>1</v>
      </c>
      <c r="AB668">
        <f>COUNTIFS('Odoo Items'!$J$5:$J$4331,A668,'Odoo Items'!$C$5:$C$4331,"&lt;="&amp;Cover!$C$15)</f>
        <v>1</v>
      </c>
      <c r="AC668" t="str">
        <f>IF(AND(AA668=0,AB668=0),"",IF(AA668=0,"ODOO-ONLY",IF(AB668=0,"BANK-ONLY","BOTH")))</f>
        <v>BOTH</v>
      </c>
      <c r="AD668" s="9">
        <f>IF(AC668="BOTH",ROUND(Y668-Z668,2),0)</f>
        <v>0</v>
      </c>
    </row>
    <row r="669">
      <c r="A669" t="inlineStr">
        <is>
          <t>G00665</t>
        </is>
      </c>
      <c r="B669" t="inlineStr">
        <is>
          <t>MER</t>
        </is>
      </c>
      <c r="C669" t="inlineStr">
        <is>
          <t>R08</t>
        </is>
      </c>
      <c r="D669" t="inlineStr">
        <is>
          <t>MATCH</t>
        </is>
      </c>
      <c r="E669" t="inlineStr"/>
      <c r="G669" t="inlineStr"/>
      <c r="H669">
        <f>COUNTIFS('Bank Lines'!$G$5:$G$1640,A669,'Bank Lines'!$J$5:$J$1640,1)</f>
        <v>1</v>
      </c>
      <c r="I669">
        <f>COUNTIFS('Odoo Items'!$J$5:$J$4331,A669)</f>
        <v>1</v>
      </c>
      <c r="J669" s="9">
        <f>ROUND(SUMIFS('Bank Lines'!$E$5:$E$1640,'Bank Lines'!$G$5:$G$1640,A669,'Bank Lines'!$J$5:$J$1640,1),2)</f>
        <v>2722.21</v>
      </c>
      <c r="K669" s="9">
        <f>ROUND(SUMIFS('Odoo Items'!$G$5:$G$4331,'Odoo Items'!$J$5:$J$4331,A669),2)</f>
        <v>2722.21</v>
      </c>
      <c r="L669" s="9">
        <f>ROUND(J669-K669,2)</f>
        <v>0</v>
      </c>
      <c r="M669" s="9">
        <f>ROUND(SUMIFS('Bank Lines'!$E$5:$E$1640,'Bank Lines'!$G$5:$G$1640,A669,'Bank Lines'!$J$5:$J$1640,1,'Bank Lines'!$C$5:$C$1640,"&lt;="&amp;Cover!$C$13),2)</f>
        <v>2722.21</v>
      </c>
      <c r="N669" s="9">
        <f>ROUND(SUMIFS('Odoo Items'!$G$5:$G$4331,'Odoo Items'!$J$5:$J$4331,A669,'Odoo Items'!$C$5:$C$4331,"&lt;="&amp;Cover!$C$13),2)</f>
        <v>2722.21</v>
      </c>
      <c r="O669">
        <f>COUNTIFS('Bank Lines'!$G$5:$G$1640,A669,'Bank Lines'!$J$5:$J$1640,1,'Bank Lines'!$C$5:$C$1640,"&lt;="&amp;Cover!$C$13)</f>
        <v>1</v>
      </c>
      <c r="P669">
        <f>COUNTIFS('Odoo Items'!$J$5:$J$4331,A669,'Odoo Items'!$C$5:$C$4331,"&lt;="&amp;Cover!$C$13)</f>
        <v>1</v>
      </c>
      <c r="Q669" t="str">
        <f>IF(AND(O669=0,P669=0),"",IF(O669=0,"ODOO-ONLY",IF(P669=0,"BANK-ONLY","BOTH")))</f>
        <v>BOTH</v>
      </c>
      <c r="R669" s="9">
        <f>IF(Q669="BOTH",ROUND(M669-N669,2),0)</f>
        <v>0</v>
      </c>
      <c r="S669" s="9">
        <f>ROUND(SUMIFS('Bank Lines'!$E$5:$E$1640,'Bank Lines'!$G$5:$G$1640,A669,'Bank Lines'!$J$5:$J$1640,1,'Bank Lines'!$C$5:$C$1640,"&lt;="&amp;Cover!$C$14),2)</f>
        <v>2722.21</v>
      </c>
      <c r="T669" s="9">
        <f>ROUND(SUMIFS('Odoo Items'!$G$5:$G$4331,'Odoo Items'!$J$5:$J$4331,A669,'Odoo Items'!$C$5:$C$4331,"&lt;="&amp;Cover!$C$14),2)</f>
        <v>2722.21</v>
      </c>
      <c r="U669">
        <f>COUNTIFS('Bank Lines'!$G$5:$G$1640,A669,'Bank Lines'!$J$5:$J$1640,1,'Bank Lines'!$C$5:$C$1640,"&lt;="&amp;Cover!$C$14)</f>
        <v>1</v>
      </c>
      <c r="V669">
        <f>COUNTIFS('Odoo Items'!$J$5:$J$4331,A669,'Odoo Items'!$C$5:$C$4331,"&lt;="&amp;Cover!$C$14)</f>
        <v>1</v>
      </c>
      <c r="W669" t="str">
        <f>IF(AND(U669=0,V669=0),"",IF(U669=0,"ODOO-ONLY",IF(V669=0,"BANK-ONLY","BOTH")))</f>
        <v>BOTH</v>
      </c>
      <c r="X669" s="9">
        <f>IF(W669="BOTH",ROUND(S669-T669,2),0)</f>
        <v>0</v>
      </c>
      <c r="Y669" s="9">
        <f>ROUND(SUMIFS('Bank Lines'!$E$5:$E$1640,'Bank Lines'!$G$5:$G$1640,A669,'Bank Lines'!$J$5:$J$1640,1,'Bank Lines'!$C$5:$C$1640,"&lt;="&amp;Cover!$C$15),2)</f>
        <v>2722.21</v>
      </c>
      <c r="Z669" s="9">
        <f>ROUND(SUMIFS('Odoo Items'!$G$5:$G$4331,'Odoo Items'!$J$5:$J$4331,A669,'Odoo Items'!$C$5:$C$4331,"&lt;="&amp;Cover!$C$15),2)</f>
        <v>2722.21</v>
      </c>
      <c r="AA669">
        <f>COUNTIFS('Bank Lines'!$G$5:$G$1640,A669,'Bank Lines'!$J$5:$J$1640,1,'Bank Lines'!$C$5:$C$1640,"&lt;="&amp;Cover!$C$15)</f>
        <v>1</v>
      </c>
      <c r="AB669">
        <f>COUNTIFS('Odoo Items'!$J$5:$J$4331,A669,'Odoo Items'!$C$5:$C$4331,"&lt;="&amp;Cover!$C$15)</f>
        <v>1</v>
      </c>
      <c r="AC669" t="str">
        <f>IF(AND(AA669=0,AB669=0),"",IF(AA669=0,"ODOO-ONLY",IF(AB669=0,"BANK-ONLY","BOTH")))</f>
        <v>BOTH</v>
      </c>
      <c r="AD669" s="9">
        <f>IF(AC669="BOTH",ROUND(Y669-Z669,2),0)</f>
        <v>0</v>
      </c>
    </row>
    <row r="670">
      <c r="A670" t="inlineStr">
        <is>
          <t>G00666</t>
        </is>
      </c>
      <c r="B670" t="inlineStr">
        <is>
          <t>MER</t>
        </is>
      </c>
      <c r="C670" t="inlineStr">
        <is>
          <t>R08</t>
        </is>
      </c>
      <c r="D670" t="inlineStr">
        <is>
          <t>MATCH</t>
        </is>
      </c>
      <c r="E670" t="inlineStr"/>
      <c r="G670" t="inlineStr"/>
      <c r="H670">
        <f>COUNTIFS('Bank Lines'!$G$5:$G$1640,A670,'Bank Lines'!$J$5:$J$1640,1)</f>
        <v>1</v>
      </c>
      <c r="I670">
        <f>COUNTIFS('Odoo Items'!$J$5:$J$4331,A670)</f>
        <v>1</v>
      </c>
      <c r="J670" s="9">
        <f>ROUND(SUMIFS('Bank Lines'!$E$5:$E$1640,'Bank Lines'!$G$5:$G$1640,A670,'Bank Lines'!$J$5:$J$1640,1),2)</f>
        <v>1678.29</v>
      </c>
      <c r="K670" s="9">
        <f>ROUND(SUMIFS('Odoo Items'!$G$5:$G$4331,'Odoo Items'!$J$5:$J$4331,A670),2)</f>
        <v>1678.29</v>
      </c>
      <c r="L670" s="9">
        <f>ROUND(J670-K670,2)</f>
        <v>0</v>
      </c>
      <c r="M670" s="9">
        <f>ROUND(SUMIFS('Bank Lines'!$E$5:$E$1640,'Bank Lines'!$G$5:$G$1640,A670,'Bank Lines'!$J$5:$J$1640,1,'Bank Lines'!$C$5:$C$1640,"&lt;="&amp;Cover!$C$13),2)</f>
        <v>1678.29</v>
      </c>
      <c r="N670" s="9">
        <f>ROUND(SUMIFS('Odoo Items'!$G$5:$G$4331,'Odoo Items'!$J$5:$J$4331,A670,'Odoo Items'!$C$5:$C$4331,"&lt;="&amp;Cover!$C$13),2)</f>
        <v>1678.29</v>
      </c>
      <c r="O670">
        <f>COUNTIFS('Bank Lines'!$G$5:$G$1640,A670,'Bank Lines'!$J$5:$J$1640,1,'Bank Lines'!$C$5:$C$1640,"&lt;="&amp;Cover!$C$13)</f>
        <v>1</v>
      </c>
      <c r="P670">
        <f>COUNTIFS('Odoo Items'!$J$5:$J$4331,A670,'Odoo Items'!$C$5:$C$4331,"&lt;="&amp;Cover!$C$13)</f>
        <v>1</v>
      </c>
      <c r="Q670" t="str">
        <f>IF(AND(O670=0,P670=0),"",IF(O670=0,"ODOO-ONLY",IF(P670=0,"BANK-ONLY","BOTH")))</f>
        <v>BOTH</v>
      </c>
      <c r="R670" s="9">
        <f>IF(Q670="BOTH",ROUND(M670-N670,2),0)</f>
        <v>0</v>
      </c>
      <c r="S670" s="9">
        <f>ROUND(SUMIFS('Bank Lines'!$E$5:$E$1640,'Bank Lines'!$G$5:$G$1640,A670,'Bank Lines'!$J$5:$J$1640,1,'Bank Lines'!$C$5:$C$1640,"&lt;="&amp;Cover!$C$14),2)</f>
        <v>1678.29</v>
      </c>
      <c r="T670" s="9">
        <f>ROUND(SUMIFS('Odoo Items'!$G$5:$G$4331,'Odoo Items'!$J$5:$J$4331,A670,'Odoo Items'!$C$5:$C$4331,"&lt;="&amp;Cover!$C$14),2)</f>
        <v>1678.29</v>
      </c>
      <c r="U670">
        <f>COUNTIFS('Bank Lines'!$G$5:$G$1640,A670,'Bank Lines'!$J$5:$J$1640,1,'Bank Lines'!$C$5:$C$1640,"&lt;="&amp;Cover!$C$14)</f>
        <v>1</v>
      </c>
      <c r="V670">
        <f>COUNTIFS('Odoo Items'!$J$5:$J$4331,A670,'Odoo Items'!$C$5:$C$4331,"&lt;="&amp;Cover!$C$14)</f>
        <v>1</v>
      </c>
      <c r="W670" t="str">
        <f>IF(AND(U670=0,V670=0),"",IF(U670=0,"ODOO-ONLY",IF(V670=0,"BANK-ONLY","BOTH")))</f>
        <v>BOTH</v>
      </c>
      <c r="X670" s="9">
        <f>IF(W670="BOTH",ROUND(S670-T670,2),0)</f>
        <v>0</v>
      </c>
      <c r="Y670" s="9">
        <f>ROUND(SUMIFS('Bank Lines'!$E$5:$E$1640,'Bank Lines'!$G$5:$G$1640,A670,'Bank Lines'!$J$5:$J$1640,1,'Bank Lines'!$C$5:$C$1640,"&lt;="&amp;Cover!$C$15),2)</f>
        <v>1678.29</v>
      </c>
      <c r="Z670" s="9">
        <f>ROUND(SUMIFS('Odoo Items'!$G$5:$G$4331,'Odoo Items'!$J$5:$J$4331,A670,'Odoo Items'!$C$5:$C$4331,"&lt;="&amp;Cover!$C$15),2)</f>
        <v>1678.29</v>
      </c>
      <c r="AA670">
        <f>COUNTIFS('Bank Lines'!$G$5:$G$1640,A670,'Bank Lines'!$J$5:$J$1640,1,'Bank Lines'!$C$5:$C$1640,"&lt;="&amp;Cover!$C$15)</f>
        <v>1</v>
      </c>
      <c r="AB670">
        <f>COUNTIFS('Odoo Items'!$J$5:$J$4331,A670,'Odoo Items'!$C$5:$C$4331,"&lt;="&amp;Cover!$C$15)</f>
        <v>1</v>
      </c>
      <c r="AC670" t="str">
        <f>IF(AND(AA670=0,AB670=0),"",IF(AA670=0,"ODOO-ONLY",IF(AB670=0,"BANK-ONLY","BOTH")))</f>
        <v>BOTH</v>
      </c>
      <c r="AD670" s="9">
        <f>IF(AC670="BOTH",ROUND(Y670-Z670,2),0)</f>
        <v>0</v>
      </c>
    </row>
    <row r="671">
      <c r="A671" t="inlineStr">
        <is>
          <t>G00667</t>
        </is>
      </c>
      <c r="B671" t="inlineStr">
        <is>
          <t>MER</t>
        </is>
      </c>
      <c r="C671" t="inlineStr">
        <is>
          <t>R08</t>
        </is>
      </c>
      <c r="D671" t="inlineStr">
        <is>
          <t>MATCH</t>
        </is>
      </c>
      <c r="E671" t="inlineStr"/>
      <c r="G671" t="inlineStr"/>
      <c r="H671">
        <f>COUNTIFS('Bank Lines'!$G$5:$G$1640,A671,'Bank Lines'!$J$5:$J$1640,1)</f>
        <v>1</v>
      </c>
      <c r="I671">
        <f>COUNTIFS('Odoo Items'!$J$5:$J$4331,A671)</f>
        <v>1</v>
      </c>
      <c r="J671" s="9">
        <f>ROUND(SUMIFS('Bank Lines'!$E$5:$E$1640,'Bank Lines'!$G$5:$G$1640,A671,'Bank Lines'!$J$5:$J$1640,1),2)</f>
        <v>3412.55</v>
      </c>
      <c r="K671" s="9">
        <f>ROUND(SUMIFS('Odoo Items'!$G$5:$G$4331,'Odoo Items'!$J$5:$J$4331,A671),2)</f>
        <v>3412.55</v>
      </c>
      <c r="L671" s="9">
        <f>ROUND(J671-K671,2)</f>
        <v>0</v>
      </c>
      <c r="M671" s="9">
        <f>ROUND(SUMIFS('Bank Lines'!$E$5:$E$1640,'Bank Lines'!$G$5:$G$1640,A671,'Bank Lines'!$J$5:$J$1640,1,'Bank Lines'!$C$5:$C$1640,"&lt;="&amp;Cover!$C$13),2)</f>
        <v>3412.55</v>
      </c>
      <c r="N671" s="9">
        <f>ROUND(SUMIFS('Odoo Items'!$G$5:$G$4331,'Odoo Items'!$J$5:$J$4331,A671,'Odoo Items'!$C$5:$C$4331,"&lt;="&amp;Cover!$C$13),2)</f>
        <v>3412.55</v>
      </c>
      <c r="O671">
        <f>COUNTIFS('Bank Lines'!$G$5:$G$1640,A671,'Bank Lines'!$J$5:$J$1640,1,'Bank Lines'!$C$5:$C$1640,"&lt;="&amp;Cover!$C$13)</f>
        <v>1</v>
      </c>
      <c r="P671">
        <f>COUNTIFS('Odoo Items'!$J$5:$J$4331,A671,'Odoo Items'!$C$5:$C$4331,"&lt;="&amp;Cover!$C$13)</f>
        <v>1</v>
      </c>
      <c r="Q671" t="str">
        <f>IF(AND(O671=0,P671=0),"",IF(O671=0,"ODOO-ONLY",IF(P671=0,"BANK-ONLY","BOTH")))</f>
        <v>BOTH</v>
      </c>
      <c r="R671" s="9">
        <f>IF(Q671="BOTH",ROUND(M671-N671,2),0)</f>
        <v>0</v>
      </c>
      <c r="S671" s="9">
        <f>ROUND(SUMIFS('Bank Lines'!$E$5:$E$1640,'Bank Lines'!$G$5:$G$1640,A671,'Bank Lines'!$J$5:$J$1640,1,'Bank Lines'!$C$5:$C$1640,"&lt;="&amp;Cover!$C$14),2)</f>
        <v>3412.55</v>
      </c>
      <c r="T671" s="9">
        <f>ROUND(SUMIFS('Odoo Items'!$G$5:$G$4331,'Odoo Items'!$J$5:$J$4331,A671,'Odoo Items'!$C$5:$C$4331,"&lt;="&amp;Cover!$C$14),2)</f>
        <v>3412.55</v>
      </c>
      <c r="U671">
        <f>COUNTIFS('Bank Lines'!$G$5:$G$1640,A671,'Bank Lines'!$J$5:$J$1640,1,'Bank Lines'!$C$5:$C$1640,"&lt;="&amp;Cover!$C$14)</f>
        <v>1</v>
      </c>
      <c r="V671">
        <f>COUNTIFS('Odoo Items'!$J$5:$J$4331,A671,'Odoo Items'!$C$5:$C$4331,"&lt;="&amp;Cover!$C$14)</f>
        <v>1</v>
      </c>
      <c r="W671" t="str">
        <f>IF(AND(U671=0,V671=0),"",IF(U671=0,"ODOO-ONLY",IF(V671=0,"BANK-ONLY","BOTH")))</f>
        <v>BOTH</v>
      </c>
      <c r="X671" s="9">
        <f>IF(W671="BOTH",ROUND(S671-T671,2),0)</f>
        <v>0</v>
      </c>
      <c r="Y671" s="9">
        <f>ROUND(SUMIFS('Bank Lines'!$E$5:$E$1640,'Bank Lines'!$G$5:$G$1640,A671,'Bank Lines'!$J$5:$J$1640,1,'Bank Lines'!$C$5:$C$1640,"&lt;="&amp;Cover!$C$15),2)</f>
        <v>3412.55</v>
      </c>
      <c r="Z671" s="9">
        <f>ROUND(SUMIFS('Odoo Items'!$G$5:$G$4331,'Odoo Items'!$J$5:$J$4331,A671,'Odoo Items'!$C$5:$C$4331,"&lt;="&amp;Cover!$C$15),2)</f>
        <v>3412.55</v>
      </c>
      <c r="AA671">
        <f>COUNTIFS('Bank Lines'!$G$5:$G$1640,A671,'Bank Lines'!$J$5:$J$1640,1,'Bank Lines'!$C$5:$C$1640,"&lt;="&amp;Cover!$C$15)</f>
        <v>1</v>
      </c>
      <c r="AB671">
        <f>COUNTIFS('Odoo Items'!$J$5:$J$4331,A671,'Odoo Items'!$C$5:$C$4331,"&lt;="&amp;Cover!$C$15)</f>
        <v>1</v>
      </c>
      <c r="AC671" t="str">
        <f>IF(AND(AA671=0,AB671=0),"",IF(AA671=0,"ODOO-ONLY",IF(AB671=0,"BANK-ONLY","BOTH")))</f>
        <v>BOTH</v>
      </c>
      <c r="AD671" s="9">
        <f>IF(AC671="BOTH",ROUND(Y671-Z671,2),0)</f>
        <v>0</v>
      </c>
    </row>
    <row r="672">
      <c r="A672" t="inlineStr">
        <is>
          <t>G00668</t>
        </is>
      </c>
      <c r="B672" t="inlineStr">
        <is>
          <t>MER</t>
        </is>
      </c>
      <c r="C672" t="inlineStr">
        <is>
          <t>R08</t>
        </is>
      </c>
      <c r="D672" t="inlineStr">
        <is>
          <t>MATCH</t>
        </is>
      </c>
      <c r="E672" t="inlineStr"/>
      <c r="G672" t="inlineStr"/>
      <c r="H672">
        <f>COUNTIFS('Bank Lines'!$G$5:$G$1640,A672,'Bank Lines'!$J$5:$J$1640,1)</f>
        <v>1</v>
      </c>
      <c r="I672">
        <f>COUNTIFS('Odoo Items'!$J$5:$J$4331,A672)</f>
        <v>1</v>
      </c>
      <c r="J672" s="9">
        <f>ROUND(SUMIFS('Bank Lines'!$E$5:$E$1640,'Bank Lines'!$G$5:$G$1640,A672,'Bank Lines'!$J$5:$J$1640,1),2)</f>
        <v>1715.32</v>
      </c>
      <c r="K672" s="9">
        <f>ROUND(SUMIFS('Odoo Items'!$G$5:$G$4331,'Odoo Items'!$J$5:$J$4331,A672),2)</f>
        <v>1715.32</v>
      </c>
      <c r="L672" s="9">
        <f>ROUND(J672-K672,2)</f>
        <v>0</v>
      </c>
      <c r="M672" s="9">
        <f>ROUND(SUMIFS('Bank Lines'!$E$5:$E$1640,'Bank Lines'!$G$5:$G$1640,A672,'Bank Lines'!$J$5:$J$1640,1,'Bank Lines'!$C$5:$C$1640,"&lt;="&amp;Cover!$C$13),2)</f>
        <v>1715.32</v>
      </c>
      <c r="N672" s="9">
        <f>ROUND(SUMIFS('Odoo Items'!$G$5:$G$4331,'Odoo Items'!$J$5:$J$4331,A672,'Odoo Items'!$C$5:$C$4331,"&lt;="&amp;Cover!$C$13),2)</f>
        <v>1715.32</v>
      </c>
      <c r="O672">
        <f>COUNTIFS('Bank Lines'!$G$5:$G$1640,A672,'Bank Lines'!$J$5:$J$1640,1,'Bank Lines'!$C$5:$C$1640,"&lt;="&amp;Cover!$C$13)</f>
        <v>1</v>
      </c>
      <c r="P672">
        <f>COUNTIFS('Odoo Items'!$J$5:$J$4331,A672,'Odoo Items'!$C$5:$C$4331,"&lt;="&amp;Cover!$C$13)</f>
        <v>1</v>
      </c>
      <c r="Q672" t="str">
        <f>IF(AND(O672=0,P672=0),"",IF(O672=0,"ODOO-ONLY",IF(P672=0,"BANK-ONLY","BOTH")))</f>
        <v>BOTH</v>
      </c>
      <c r="R672" s="9">
        <f>IF(Q672="BOTH",ROUND(M672-N672,2),0)</f>
        <v>0</v>
      </c>
      <c r="S672" s="9">
        <f>ROUND(SUMIFS('Bank Lines'!$E$5:$E$1640,'Bank Lines'!$G$5:$G$1640,A672,'Bank Lines'!$J$5:$J$1640,1,'Bank Lines'!$C$5:$C$1640,"&lt;="&amp;Cover!$C$14),2)</f>
        <v>1715.32</v>
      </c>
      <c r="T672" s="9">
        <f>ROUND(SUMIFS('Odoo Items'!$G$5:$G$4331,'Odoo Items'!$J$5:$J$4331,A672,'Odoo Items'!$C$5:$C$4331,"&lt;="&amp;Cover!$C$14),2)</f>
        <v>1715.32</v>
      </c>
      <c r="U672">
        <f>COUNTIFS('Bank Lines'!$G$5:$G$1640,A672,'Bank Lines'!$J$5:$J$1640,1,'Bank Lines'!$C$5:$C$1640,"&lt;="&amp;Cover!$C$14)</f>
        <v>1</v>
      </c>
      <c r="V672">
        <f>COUNTIFS('Odoo Items'!$J$5:$J$4331,A672,'Odoo Items'!$C$5:$C$4331,"&lt;="&amp;Cover!$C$14)</f>
        <v>1</v>
      </c>
      <c r="W672" t="str">
        <f>IF(AND(U672=0,V672=0),"",IF(U672=0,"ODOO-ONLY",IF(V672=0,"BANK-ONLY","BOTH")))</f>
        <v>BOTH</v>
      </c>
      <c r="X672" s="9">
        <f>IF(W672="BOTH",ROUND(S672-T672,2),0)</f>
        <v>0</v>
      </c>
      <c r="Y672" s="9">
        <f>ROUND(SUMIFS('Bank Lines'!$E$5:$E$1640,'Bank Lines'!$G$5:$G$1640,A672,'Bank Lines'!$J$5:$J$1640,1,'Bank Lines'!$C$5:$C$1640,"&lt;="&amp;Cover!$C$15),2)</f>
        <v>1715.32</v>
      </c>
      <c r="Z672" s="9">
        <f>ROUND(SUMIFS('Odoo Items'!$G$5:$G$4331,'Odoo Items'!$J$5:$J$4331,A672,'Odoo Items'!$C$5:$C$4331,"&lt;="&amp;Cover!$C$15),2)</f>
        <v>1715.32</v>
      </c>
      <c r="AA672">
        <f>COUNTIFS('Bank Lines'!$G$5:$G$1640,A672,'Bank Lines'!$J$5:$J$1640,1,'Bank Lines'!$C$5:$C$1640,"&lt;="&amp;Cover!$C$15)</f>
        <v>1</v>
      </c>
      <c r="AB672">
        <f>COUNTIFS('Odoo Items'!$J$5:$J$4331,A672,'Odoo Items'!$C$5:$C$4331,"&lt;="&amp;Cover!$C$15)</f>
        <v>1</v>
      </c>
      <c r="AC672" t="str">
        <f>IF(AND(AA672=0,AB672=0),"",IF(AA672=0,"ODOO-ONLY",IF(AB672=0,"BANK-ONLY","BOTH")))</f>
        <v>BOTH</v>
      </c>
      <c r="AD672" s="9">
        <f>IF(AC672="BOTH",ROUND(Y672-Z672,2),0)</f>
        <v>0</v>
      </c>
    </row>
    <row r="673">
      <c r="A673" t="inlineStr">
        <is>
          <t>G00669</t>
        </is>
      </c>
      <c r="B673" t="inlineStr">
        <is>
          <t>MER</t>
        </is>
      </c>
      <c r="C673" t="inlineStr">
        <is>
          <t>R08</t>
        </is>
      </c>
      <c r="D673" t="inlineStr">
        <is>
          <t>MATCH</t>
        </is>
      </c>
      <c r="E673" t="inlineStr"/>
      <c r="G673" t="inlineStr"/>
      <c r="H673">
        <f>COUNTIFS('Bank Lines'!$G$5:$G$1640,A673,'Bank Lines'!$J$5:$J$1640,1)</f>
        <v>1</v>
      </c>
      <c r="I673">
        <f>COUNTIFS('Odoo Items'!$J$5:$J$4331,A673)</f>
        <v>1</v>
      </c>
      <c r="J673" s="9">
        <f>ROUND(SUMIFS('Bank Lines'!$E$5:$E$1640,'Bank Lines'!$G$5:$G$1640,A673,'Bank Lines'!$J$5:$J$1640,1),2)</f>
        <v>2856.12</v>
      </c>
      <c r="K673" s="9">
        <f>ROUND(SUMIFS('Odoo Items'!$G$5:$G$4331,'Odoo Items'!$J$5:$J$4331,A673),2)</f>
        <v>2856.12</v>
      </c>
      <c r="L673" s="9">
        <f>ROUND(J673-K673,2)</f>
        <v>0</v>
      </c>
      <c r="M673" s="9">
        <f>ROUND(SUMIFS('Bank Lines'!$E$5:$E$1640,'Bank Lines'!$G$5:$G$1640,A673,'Bank Lines'!$J$5:$J$1640,1,'Bank Lines'!$C$5:$C$1640,"&lt;="&amp;Cover!$C$13),2)</f>
        <v>2856.12</v>
      </c>
      <c r="N673" s="9">
        <f>ROUND(SUMIFS('Odoo Items'!$G$5:$G$4331,'Odoo Items'!$J$5:$J$4331,A673,'Odoo Items'!$C$5:$C$4331,"&lt;="&amp;Cover!$C$13),2)</f>
        <v>2856.12</v>
      </c>
      <c r="O673">
        <f>COUNTIFS('Bank Lines'!$G$5:$G$1640,A673,'Bank Lines'!$J$5:$J$1640,1,'Bank Lines'!$C$5:$C$1640,"&lt;="&amp;Cover!$C$13)</f>
        <v>1</v>
      </c>
      <c r="P673">
        <f>COUNTIFS('Odoo Items'!$J$5:$J$4331,A673,'Odoo Items'!$C$5:$C$4331,"&lt;="&amp;Cover!$C$13)</f>
        <v>1</v>
      </c>
      <c r="Q673" t="str">
        <f>IF(AND(O673=0,P673=0),"",IF(O673=0,"ODOO-ONLY",IF(P673=0,"BANK-ONLY","BOTH")))</f>
        <v>BOTH</v>
      </c>
      <c r="R673" s="9">
        <f>IF(Q673="BOTH",ROUND(M673-N673,2),0)</f>
        <v>0</v>
      </c>
      <c r="S673" s="9">
        <f>ROUND(SUMIFS('Bank Lines'!$E$5:$E$1640,'Bank Lines'!$G$5:$G$1640,A673,'Bank Lines'!$J$5:$J$1640,1,'Bank Lines'!$C$5:$C$1640,"&lt;="&amp;Cover!$C$14),2)</f>
        <v>2856.12</v>
      </c>
      <c r="T673" s="9">
        <f>ROUND(SUMIFS('Odoo Items'!$G$5:$G$4331,'Odoo Items'!$J$5:$J$4331,A673,'Odoo Items'!$C$5:$C$4331,"&lt;="&amp;Cover!$C$14),2)</f>
        <v>2856.12</v>
      </c>
      <c r="U673">
        <f>COUNTIFS('Bank Lines'!$G$5:$G$1640,A673,'Bank Lines'!$J$5:$J$1640,1,'Bank Lines'!$C$5:$C$1640,"&lt;="&amp;Cover!$C$14)</f>
        <v>1</v>
      </c>
      <c r="V673">
        <f>COUNTIFS('Odoo Items'!$J$5:$J$4331,A673,'Odoo Items'!$C$5:$C$4331,"&lt;="&amp;Cover!$C$14)</f>
        <v>1</v>
      </c>
      <c r="W673" t="str">
        <f>IF(AND(U673=0,V673=0),"",IF(U673=0,"ODOO-ONLY",IF(V673=0,"BANK-ONLY","BOTH")))</f>
        <v>BOTH</v>
      </c>
      <c r="X673" s="9">
        <f>IF(W673="BOTH",ROUND(S673-T673,2),0)</f>
        <v>0</v>
      </c>
      <c r="Y673" s="9">
        <f>ROUND(SUMIFS('Bank Lines'!$E$5:$E$1640,'Bank Lines'!$G$5:$G$1640,A673,'Bank Lines'!$J$5:$J$1640,1,'Bank Lines'!$C$5:$C$1640,"&lt;="&amp;Cover!$C$15),2)</f>
        <v>2856.12</v>
      </c>
      <c r="Z673" s="9">
        <f>ROUND(SUMIFS('Odoo Items'!$G$5:$G$4331,'Odoo Items'!$J$5:$J$4331,A673,'Odoo Items'!$C$5:$C$4331,"&lt;="&amp;Cover!$C$15),2)</f>
        <v>2856.12</v>
      </c>
      <c r="AA673">
        <f>COUNTIFS('Bank Lines'!$G$5:$G$1640,A673,'Bank Lines'!$J$5:$J$1640,1,'Bank Lines'!$C$5:$C$1640,"&lt;="&amp;Cover!$C$15)</f>
        <v>1</v>
      </c>
      <c r="AB673">
        <f>COUNTIFS('Odoo Items'!$J$5:$J$4331,A673,'Odoo Items'!$C$5:$C$4331,"&lt;="&amp;Cover!$C$15)</f>
        <v>1</v>
      </c>
      <c r="AC673" t="str">
        <f>IF(AND(AA673=0,AB673=0),"",IF(AA673=0,"ODOO-ONLY",IF(AB673=0,"BANK-ONLY","BOTH")))</f>
        <v>BOTH</v>
      </c>
      <c r="AD673" s="9">
        <f>IF(AC673="BOTH",ROUND(Y673-Z673,2),0)</f>
        <v>0</v>
      </c>
    </row>
    <row r="674">
      <c r="A674" t="inlineStr">
        <is>
          <t>G00670</t>
        </is>
      </c>
      <c r="B674" t="inlineStr">
        <is>
          <t>MER</t>
        </is>
      </c>
      <c r="C674" t="inlineStr">
        <is>
          <t>R08</t>
        </is>
      </c>
      <c r="D674" t="inlineStr">
        <is>
          <t>MATCH</t>
        </is>
      </c>
      <c r="E674" t="inlineStr"/>
      <c r="G674" t="inlineStr"/>
      <c r="H674">
        <f>COUNTIFS('Bank Lines'!$G$5:$G$1640,A674,'Bank Lines'!$J$5:$J$1640,1)</f>
        <v>1</v>
      </c>
      <c r="I674">
        <f>COUNTIFS('Odoo Items'!$J$5:$J$4331,A674)</f>
        <v>1</v>
      </c>
      <c r="J674" s="9">
        <f>ROUND(SUMIFS('Bank Lines'!$E$5:$E$1640,'Bank Lines'!$G$5:$G$1640,A674,'Bank Lines'!$J$5:$J$1640,1),2)</f>
        <v>1023.38</v>
      </c>
      <c r="K674" s="9">
        <f>ROUND(SUMIFS('Odoo Items'!$G$5:$G$4331,'Odoo Items'!$J$5:$J$4331,A674),2)</f>
        <v>1023.38</v>
      </c>
      <c r="L674" s="9">
        <f>ROUND(J674-K674,2)</f>
        <v>0</v>
      </c>
      <c r="M674" s="9">
        <f>ROUND(SUMIFS('Bank Lines'!$E$5:$E$1640,'Bank Lines'!$G$5:$G$1640,A674,'Bank Lines'!$J$5:$J$1640,1,'Bank Lines'!$C$5:$C$1640,"&lt;="&amp;Cover!$C$13),2)</f>
        <v>1023.38</v>
      </c>
      <c r="N674" s="9">
        <f>ROUND(SUMIFS('Odoo Items'!$G$5:$G$4331,'Odoo Items'!$J$5:$J$4331,A674,'Odoo Items'!$C$5:$C$4331,"&lt;="&amp;Cover!$C$13),2)</f>
        <v>1023.38</v>
      </c>
      <c r="O674">
        <f>COUNTIFS('Bank Lines'!$G$5:$G$1640,A674,'Bank Lines'!$J$5:$J$1640,1,'Bank Lines'!$C$5:$C$1640,"&lt;="&amp;Cover!$C$13)</f>
        <v>1</v>
      </c>
      <c r="P674">
        <f>COUNTIFS('Odoo Items'!$J$5:$J$4331,A674,'Odoo Items'!$C$5:$C$4331,"&lt;="&amp;Cover!$C$13)</f>
        <v>1</v>
      </c>
      <c r="Q674" t="str">
        <f>IF(AND(O674=0,P674=0),"",IF(O674=0,"ODOO-ONLY",IF(P674=0,"BANK-ONLY","BOTH")))</f>
        <v>BOTH</v>
      </c>
      <c r="R674" s="9">
        <f>IF(Q674="BOTH",ROUND(M674-N674,2),0)</f>
        <v>0</v>
      </c>
      <c r="S674" s="9">
        <f>ROUND(SUMIFS('Bank Lines'!$E$5:$E$1640,'Bank Lines'!$G$5:$G$1640,A674,'Bank Lines'!$J$5:$J$1640,1,'Bank Lines'!$C$5:$C$1640,"&lt;="&amp;Cover!$C$14),2)</f>
        <v>1023.38</v>
      </c>
      <c r="T674" s="9">
        <f>ROUND(SUMIFS('Odoo Items'!$G$5:$G$4331,'Odoo Items'!$J$5:$J$4331,A674,'Odoo Items'!$C$5:$C$4331,"&lt;="&amp;Cover!$C$14),2)</f>
        <v>1023.38</v>
      </c>
      <c r="U674">
        <f>COUNTIFS('Bank Lines'!$G$5:$G$1640,A674,'Bank Lines'!$J$5:$J$1640,1,'Bank Lines'!$C$5:$C$1640,"&lt;="&amp;Cover!$C$14)</f>
        <v>1</v>
      </c>
      <c r="V674">
        <f>COUNTIFS('Odoo Items'!$J$5:$J$4331,A674,'Odoo Items'!$C$5:$C$4331,"&lt;="&amp;Cover!$C$14)</f>
        <v>1</v>
      </c>
      <c r="W674" t="str">
        <f>IF(AND(U674=0,V674=0),"",IF(U674=0,"ODOO-ONLY",IF(V674=0,"BANK-ONLY","BOTH")))</f>
        <v>BOTH</v>
      </c>
      <c r="X674" s="9">
        <f>IF(W674="BOTH",ROUND(S674-T674,2),0)</f>
        <v>0</v>
      </c>
      <c r="Y674" s="9">
        <f>ROUND(SUMIFS('Bank Lines'!$E$5:$E$1640,'Bank Lines'!$G$5:$G$1640,A674,'Bank Lines'!$J$5:$J$1640,1,'Bank Lines'!$C$5:$C$1640,"&lt;="&amp;Cover!$C$15),2)</f>
        <v>1023.38</v>
      </c>
      <c r="Z674" s="9">
        <f>ROUND(SUMIFS('Odoo Items'!$G$5:$G$4331,'Odoo Items'!$J$5:$J$4331,A674,'Odoo Items'!$C$5:$C$4331,"&lt;="&amp;Cover!$C$15),2)</f>
        <v>1023.38</v>
      </c>
      <c r="AA674">
        <f>COUNTIFS('Bank Lines'!$G$5:$G$1640,A674,'Bank Lines'!$J$5:$J$1640,1,'Bank Lines'!$C$5:$C$1640,"&lt;="&amp;Cover!$C$15)</f>
        <v>1</v>
      </c>
      <c r="AB674">
        <f>COUNTIFS('Odoo Items'!$J$5:$J$4331,A674,'Odoo Items'!$C$5:$C$4331,"&lt;="&amp;Cover!$C$15)</f>
        <v>1</v>
      </c>
      <c r="AC674" t="str">
        <f>IF(AND(AA674=0,AB674=0),"",IF(AA674=0,"ODOO-ONLY",IF(AB674=0,"BANK-ONLY","BOTH")))</f>
        <v>BOTH</v>
      </c>
      <c r="AD674" s="9">
        <f>IF(AC674="BOTH",ROUND(Y674-Z674,2),0)</f>
        <v>0</v>
      </c>
    </row>
    <row r="675">
      <c r="A675" t="inlineStr">
        <is>
          <t>G00671</t>
        </is>
      </c>
      <c r="B675" t="inlineStr">
        <is>
          <t>MER</t>
        </is>
      </c>
      <c r="C675" t="inlineStr">
        <is>
          <t>R08</t>
        </is>
      </c>
      <c r="D675" t="inlineStr">
        <is>
          <t>MATCH</t>
        </is>
      </c>
      <c r="E675" t="inlineStr"/>
      <c r="G675" t="inlineStr"/>
      <c r="H675">
        <f>COUNTIFS('Bank Lines'!$G$5:$G$1640,A675,'Bank Lines'!$J$5:$J$1640,1)</f>
        <v>1</v>
      </c>
      <c r="I675">
        <f>COUNTIFS('Odoo Items'!$J$5:$J$4331,A675)</f>
        <v>1</v>
      </c>
      <c r="J675" s="9">
        <f>ROUND(SUMIFS('Bank Lines'!$E$5:$E$1640,'Bank Lines'!$G$5:$G$1640,A675,'Bank Lines'!$J$5:$J$1640,1),2)</f>
        <v>2730.12</v>
      </c>
      <c r="K675" s="9">
        <f>ROUND(SUMIFS('Odoo Items'!$G$5:$G$4331,'Odoo Items'!$J$5:$J$4331,A675),2)</f>
        <v>2730.12</v>
      </c>
      <c r="L675" s="9">
        <f>ROUND(J675-K675,2)</f>
        <v>0</v>
      </c>
      <c r="M675" s="9">
        <f>ROUND(SUMIFS('Bank Lines'!$E$5:$E$1640,'Bank Lines'!$G$5:$G$1640,A675,'Bank Lines'!$J$5:$J$1640,1,'Bank Lines'!$C$5:$C$1640,"&lt;="&amp;Cover!$C$13),2)</f>
        <v>2730.12</v>
      </c>
      <c r="N675" s="9">
        <f>ROUND(SUMIFS('Odoo Items'!$G$5:$G$4331,'Odoo Items'!$J$5:$J$4331,A675,'Odoo Items'!$C$5:$C$4331,"&lt;="&amp;Cover!$C$13),2)</f>
        <v>2730.12</v>
      </c>
      <c r="O675">
        <f>COUNTIFS('Bank Lines'!$G$5:$G$1640,A675,'Bank Lines'!$J$5:$J$1640,1,'Bank Lines'!$C$5:$C$1640,"&lt;="&amp;Cover!$C$13)</f>
        <v>1</v>
      </c>
      <c r="P675">
        <f>COUNTIFS('Odoo Items'!$J$5:$J$4331,A675,'Odoo Items'!$C$5:$C$4331,"&lt;="&amp;Cover!$C$13)</f>
        <v>1</v>
      </c>
      <c r="Q675" t="str">
        <f>IF(AND(O675=0,P675=0),"",IF(O675=0,"ODOO-ONLY",IF(P675=0,"BANK-ONLY","BOTH")))</f>
        <v>BOTH</v>
      </c>
      <c r="R675" s="9">
        <f>IF(Q675="BOTH",ROUND(M675-N675,2),0)</f>
        <v>0</v>
      </c>
      <c r="S675" s="9">
        <f>ROUND(SUMIFS('Bank Lines'!$E$5:$E$1640,'Bank Lines'!$G$5:$G$1640,A675,'Bank Lines'!$J$5:$J$1640,1,'Bank Lines'!$C$5:$C$1640,"&lt;="&amp;Cover!$C$14),2)</f>
        <v>2730.12</v>
      </c>
      <c r="T675" s="9">
        <f>ROUND(SUMIFS('Odoo Items'!$G$5:$G$4331,'Odoo Items'!$J$5:$J$4331,A675,'Odoo Items'!$C$5:$C$4331,"&lt;="&amp;Cover!$C$14),2)</f>
        <v>2730.12</v>
      </c>
      <c r="U675">
        <f>COUNTIFS('Bank Lines'!$G$5:$G$1640,A675,'Bank Lines'!$J$5:$J$1640,1,'Bank Lines'!$C$5:$C$1640,"&lt;="&amp;Cover!$C$14)</f>
        <v>1</v>
      </c>
      <c r="V675">
        <f>COUNTIFS('Odoo Items'!$J$5:$J$4331,A675,'Odoo Items'!$C$5:$C$4331,"&lt;="&amp;Cover!$C$14)</f>
        <v>1</v>
      </c>
      <c r="W675" t="str">
        <f>IF(AND(U675=0,V675=0),"",IF(U675=0,"ODOO-ONLY",IF(V675=0,"BANK-ONLY","BOTH")))</f>
        <v>BOTH</v>
      </c>
      <c r="X675" s="9">
        <f>IF(W675="BOTH",ROUND(S675-T675,2),0)</f>
        <v>0</v>
      </c>
      <c r="Y675" s="9">
        <f>ROUND(SUMIFS('Bank Lines'!$E$5:$E$1640,'Bank Lines'!$G$5:$G$1640,A675,'Bank Lines'!$J$5:$J$1640,1,'Bank Lines'!$C$5:$C$1640,"&lt;="&amp;Cover!$C$15),2)</f>
        <v>2730.12</v>
      </c>
      <c r="Z675" s="9">
        <f>ROUND(SUMIFS('Odoo Items'!$G$5:$G$4331,'Odoo Items'!$J$5:$J$4331,A675,'Odoo Items'!$C$5:$C$4331,"&lt;="&amp;Cover!$C$15),2)</f>
        <v>2730.12</v>
      </c>
      <c r="AA675">
        <f>COUNTIFS('Bank Lines'!$G$5:$G$1640,A675,'Bank Lines'!$J$5:$J$1640,1,'Bank Lines'!$C$5:$C$1640,"&lt;="&amp;Cover!$C$15)</f>
        <v>1</v>
      </c>
      <c r="AB675">
        <f>COUNTIFS('Odoo Items'!$J$5:$J$4331,A675,'Odoo Items'!$C$5:$C$4331,"&lt;="&amp;Cover!$C$15)</f>
        <v>1</v>
      </c>
      <c r="AC675" t="str">
        <f>IF(AND(AA675=0,AB675=0),"",IF(AA675=0,"ODOO-ONLY",IF(AB675=0,"BANK-ONLY","BOTH")))</f>
        <v>BOTH</v>
      </c>
      <c r="AD675" s="9">
        <f>IF(AC675="BOTH",ROUND(Y675-Z675,2),0)</f>
        <v>0</v>
      </c>
    </row>
    <row r="676">
      <c r="A676" t="inlineStr">
        <is>
          <t>G00672</t>
        </is>
      </c>
      <c r="B676" t="inlineStr">
        <is>
          <t>MER</t>
        </is>
      </c>
      <c r="C676" t="inlineStr">
        <is>
          <t>R08</t>
        </is>
      </c>
      <c r="D676" t="inlineStr">
        <is>
          <t>MATCH</t>
        </is>
      </c>
      <c r="E676" t="inlineStr"/>
      <c r="G676" t="inlineStr"/>
      <c r="H676">
        <f>COUNTIFS('Bank Lines'!$G$5:$G$1640,A676,'Bank Lines'!$J$5:$J$1640,1)</f>
        <v>1</v>
      </c>
      <c r="I676">
        <f>COUNTIFS('Odoo Items'!$J$5:$J$4331,A676)</f>
        <v>1</v>
      </c>
      <c r="J676" s="9">
        <f>ROUND(SUMIFS('Bank Lines'!$E$5:$E$1640,'Bank Lines'!$G$5:$G$1640,A676,'Bank Lines'!$J$5:$J$1640,1),2)</f>
        <v>1547.87</v>
      </c>
      <c r="K676" s="9">
        <f>ROUND(SUMIFS('Odoo Items'!$G$5:$G$4331,'Odoo Items'!$J$5:$J$4331,A676),2)</f>
        <v>1547.87</v>
      </c>
      <c r="L676" s="9">
        <f>ROUND(J676-K676,2)</f>
        <v>0</v>
      </c>
      <c r="M676" s="9">
        <f>ROUND(SUMIFS('Bank Lines'!$E$5:$E$1640,'Bank Lines'!$G$5:$G$1640,A676,'Bank Lines'!$J$5:$J$1640,1,'Bank Lines'!$C$5:$C$1640,"&lt;="&amp;Cover!$C$13),2)</f>
        <v>1547.87</v>
      </c>
      <c r="N676" s="9">
        <f>ROUND(SUMIFS('Odoo Items'!$G$5:$G$4331,'Odoo Items'!$J$5:$J$4331,A676,'Odoo Items'!$C$5:$C$4331,"&lt;="&amp;Cover!$C$13),2)</f>
        <v>1547.87</v>
      </c>
      <c r="O676">
        <f>COUNTIFS('Bank Lines'!$G$5:$G$1640,A676,'Bank Lines'!$J$5:$J$1640,1,'Bank Lines'!$C$5:$C$1640,"&lt;="&amp;Cover!$C$13)</f>
        <v>1</v>
      </c>
      <c r="P676">
        <f>COUNTIFS('Odoo Items'!$J$5:$J$4331,A676,'Odoo Items'!$C$5:$C$4331,"&lt;="&amp;Cover!$C$13)</f>
        <v>1</v>
      </c>
      <c r="Q676" t="str">
        <f>IF(AND(O676=0,P676=0),"",IF(O676=0,"ODOO-ONLY",IF(P676=0,"BANK-ONLY","BOTH")))</f>
        <v>BOTH</v>
      </c>
      <c r="R676" s="9">
        <f>IF(Q676="BOTH",ROUND(M676-N676,2),0)</f>
        <v>0</v>
      </c>
      <c r="S676" s="9">
        <f>ROUND(SUMIFS('Bank Lines'!$E$5:$E$1640,'Bank Lines'!$G$5:$G$1640,A676,'Bank Lines'!$J$5:$J$1640,1,'Bank Lines'!$C$5:$C$1640,"&lt;="&amp;Cover!$C$14),2)</f>
        <v>1547.87</v>
      </c>
      <c r="T676" s="9">
        <f>ROUND(SUMIFS('Odoo Items'!$G$5:$G$4331,'Odoo Items'!$J$5:$J$4331,A676,'Odoo Items'!$C$5:$C$4331,"&lt;="&amp;Cover!$C$14),2)</f>
        <v>1547.87</v>
      </c>
      <c r="U676">
        <f>COUNTIFS('Bank Lines'!$G$5:$G$1640,A676,'Bank Lines'!$J$5:$J$1640,1,'Bank Lines'!$C$5:$C$1640,"&lt;="&amp;Cover!$C$14)</f>
        <v>1</v>
      </c>
      <c r="V676">
        <f>COUNTIFS('Odoo Items'!$J$5:$J$4331,A676,'Odoo Items'!$C$5:$C$4331,"&lt;="&amp;Cover!$C$14)</f>
        <v>1</v>
      </c>
      <c r="W676" t="str">
        <f>IF(AND(U676=0,V676=0),"",IF(U676=0,"ODOO-ONLY",IF(V676=0,"BANK-ONLY","BOTH")))</f>
        <v>BOTH</v>
      </c>
      <c r="X676" s="9">
        <f>IF(W676="BOTH",ROUND(S676-T676,2),0)</f>
        <v>0</v>
      </c>
      <c r="Y676" s="9">
        <f>ROUND(SUMIFS('Bank Lines'!$E$5:$E$1640,'Bank Lines'!$G$5:$G$1640,A676,'Bank Lines'!$J$5:$J$1640,1,'Bank Lines'!$C$5:$C$1640,"&lt;="&amp;Cover!$C$15),2)</f>
        <v>1547.87</v>
      </c>
      <c r="Z676" s="9">
        <f>ROUND(SUMIFS('Odoo Items'!$G$5:$G$4331,'Odoo Items'!$J$5:$J$4331,A676,'Odoo Items'!$C$5:$C$4331,"&lt;="&amp;Cover!$C$15),2)</f>
        <v>1547.87</v>
      </c>
      <c r="AA676">
        <f>COUNTIFS('Bank Lines'!$G$5:$G$1640,A676,'Bank Lines'!$J$5:$J$1640,1,'Bank Lines'!$C$5:$C$1640,"&lt;="&amp;Cover!$C$15)</f>
        <v>1</v>
      </c>
      <c r="AB676">
        <f>COUNTIFS('Odoo Items'!$J$5:$J$4331,A676,'Odoo Items'!$C$5:$C$4331,"&lt;="&amp;Cover!$C$15)</f>
        <v>1</v>
      </c>
      <c r="AC676" t="str">
        <f>IF(AND(AA676=0,AB676=0),"",IF(AA676=0,"ODOO-ONLY",IF(AB676=0,"BANK-ONLY","BOTH")))</f>
        <v>BOTH</v>
      </c>
      <c r="AD676" s="9">
        <f>IF(AC676="BOTH",ROUND(Y676-Z676,2),0)</f>
        <v>0</v>
      </c>
    </row>
    <row r="677">
      <c r="A677" t="inlineStr">
        <is>
          <t>G00673</t>
        </is>
      </c>
      <c r="B677" t="inlineStr">
        <is>
          <t>MER</t>
        </is>
      </c>
      <c r="C677" t="inlineStr">
        <is>
          <t>R08</t>
        </is>
      </c>
      <c r="D677" t="inlineStr">
        <is>
          <t>MATCH</t>
        </is>
      </c>
      <c r="E677" t="inlineStr"/>
      <c r="G677" t="inlineStr"/>
      <c r="H677">
        <f>COUNTIFS('Bank Lines'!$G$5:$G$1640,A677,'Bank Lines'!$J$5:$J$1640,1)</f>
        <v>1</v>
      </c>
      <c r="I677">
        <f>COUNTIFS('Odoo Items'!$J$5:$J$4331,A677)</f>
        <v>1</v>
      </c>
      <c r="J677" s="9">
        <f>ROUND(SUMIFS('Bank Lines'!$E$5:$E$1640,'Bank Lines'!$G$5:$G$1640,A677,'Bank Lines'!$J$5:$J$1640,1),2)</f>
        <v>2742.9</v>
      </c>
      <c r="K677" s="9">
        <f>ROUND(SUMIFS('Odoo Items'!$G$5:$G$4331,'Odoo Items'!$J$5:$J$4331,A677),2)</f>
        <v>2742.9</v>
      </c>
      <c r="L677" s="9">
        <f>ROUND(J677-K677,2)</f>
        <v>0</v>
      </c>
      <c r="M677" s="9">
        <f>ROUND(SUMIFS('Bank Lines'!$E$5:$E$1640,'Bank Lines'!$G$5:$G$1640,A677,'Bank Lines'!$J$5:$J$1640,1,'Bank Lines'!$C$5:$C$1640,"&lt;="&amp;Cover!$C$13),2)</f>
        <v>2742.9</v>
      </c>
      <c r="N677" s="9">
        <f>ROUND(SUMIFS('Odoo Items'!$G$5:$G$4331,'Odoo Items'!$J$5:$J$4331,A677,'Odoo Items'!$C$5:$C$4331,"&lt;="&amp;Cover!$C$13),2)</f>
        <v>2742.9</v>
      </c>
      <c r="O677">
        <f>COUNTIFS('Bank Lines'!$G$5:$G$1640,A677,'Bank Lines'!$J$5:$J$1640,1,'Bank Lines'!$C$5:$C$1640,"&lt;="&amp;Cover!$C$13)</f>
        <v>1</v>
      </c>
      <c r="P677">
        <f>COUNTIFS('Odoo Items'!$J$5:$J$4331,A677,'Odoo Items'!$C$5:$C$4331,"&lt;="&amp;Cover!$C$13)</f>
        <v>1</v>
      </c>
      <c r="Q677" t="str">
        <f>IF(AND(O677=0,P677=0),"",IF(O677=0,"ODOO-ONLY",IF(P677=0,"BANK-ONLY","BOTH")))</f>
        <v>BOTH</v>
      </c>
      <c r="R677" s="9">
        <f>IF(Q677="BOTH",ROUND(M677-N677,2),0)</f>
        <v>0</v>
      </c>
      <c r="S677" s="9">
        <f>ROUND(SUMIFS('Bank Lines'!$E$5:$E$1640,'Bank Lines'!$G$5:$G$1640,A677,'Bank Lines'!$J$5:$J$1640,1,'Bank Lines'!$C$5:$C$1640,"&lt;="&amp;Cover!$C$14),2)</f>
        <v>2742.9</v>
      </c>
      <c r="T677" s="9">
        <f>ROUND(SUMIFS('Odoo Items'!$G$5:$G$4331,'Odoo Items'!$J$5:$J$4331,A677,'Odoo Items'!$C$5:$C$4331,"&lt;="&amp;Cover!$C$14),2)</f>
        <v>2742.9</v>
      </c>
      <c r="U677">
        <f>COUNTIFS('Bank Lines'!$G$5:$G$1640,A677,'Bank Lines'!$J$5:$J$1640,1,'Bank Lines'!$C$5:$C$1640,"&lt;="&amp;Cover!$C$14)</f>
        <v>1</v>
      </c>
      <c r="V677">
        <f>COUNTIFS('Odoo Items'!$J$5:$J$4331,A677,'Odoo Items'!$C$5:$C$4331,"&lt;="&amp;Cover!$C$14)</f>
        <v>1</v>
      </c>
      <c r="W677" t="str">
        <f>IF(AND(U677=0,V677=0),"",IF(U677=0,"ODOO-ONLY",IF(V677=0,"BANK-ONLY","BOTH")))</f>
        <v>BOTH</v>
      </c>
      <c r="X677" s="9">
        <f>IF(W677="BOTH",ROUND(S677-T677,2),0)</f>
        <v>0</v>
      </c>
      <c r="Y677" s="9">
        <f>ROUND(SUMIFS('Bank Lines'!$E$5:$E$1640,'Bank Lines'!$G$5:$G$1640,A677,'Bank Lines'!$J$5:$J$1640,1,'Bank Lines'!$C$5:$C$1640,"&lt;="&amp;Cover!$C$15),2)</f>
        <v>2742.9</v>
      </c>
      <c r="Z677" s="9">
        <f>ROUND(SUMIFS('Odoo Items'!$G$5:$G$4331,'Odoo Items'!$J$5:$J$4331,A677,'Odoo Items'!$C$5:$C$4331,"&lt;="&amp;Cover!$C$15),2)</f>
        <v>2742.9</v>
      </c>
      <c r="AA677">
        <f>COUNTIFS('Bank Lines'!$G$5:$G$1640,A677,'Bank Lines'!$J$5:$J$1640,1,'Bank Lines'!$C$5:$C$1640,"&lt;="&amp;Cover!$C$15)</f>
        <v>1</v>
      </c>
      <c r="AB677">
        <f>COUNTIFS('Odoo Items'!$J$5:$J$4331,A677,'Odoo Items'!$C$5:$C$4331,"&lt;="&amp;Cover!$C$15)</f>
        <v>1</v>
      </c>
      <c r="AC677" t="str">
        <f>IF(AND(AA677=0,AB677=0),"",IF(AA677=0,"ODOO-ONLY",IF(AB677=0,"BANK-ONLY","BOTH")))</f>
        <v>BOTH</v>
      </c>
      <c r="AD677" s="9">
        <f>IF(AC677="BOTH",ROUND(Y677-Z677,2),0)</f>
        <v>0</v>
      </c>
    </row>
    <row r="678">
      <c r="A678" t="inlineStr">
        <is>
          <t>G00674</t>
        </is>
      </c>
      <c r="B678" t="inlineStr">
        <is>
          <t>MER</t>
        </is>
      </c>
      <c r="C678" t="inlineStr">
        <is>
          <t>R08</t>
        </is>
      </c>
      <c r="D678" t="inlineStr">
        <is>
          <t>MATCH</t>
        </is>
      </c>
      <c r="E678" t="inlineStr"/>
      <c r="G678" t="inlineStr"/>
      <c r="H678">
        <f>COUNTIFS('Bank Lines'!$G$5:$G$1640,A678,'Bank Lines'!$J$5:$J$1640,1)</f>
        <v>1</v>
      </c>
      <c r="I678">
        <f>COUNTIFS('Odoo Items'!$J$5:$J$4331,A678)</f>
        <v>1</v>
      </c>
      <c r="J678" s="9">
        <f>ROUND(SUMIFS('Bank Lines'!$E$5:$E$1640,'Bank Lines'!$G$5:$G$1640,A678,'Bank Lines'!$J$5:$J$1640,1),2)</f>
        <v>2446.62</v>
      </c>
      <c r="K678" s="9">
        <f>ROUND(SUMIFS('Odoo Items'!$G$5:$G$4331,'Odoo Items'!$J$5:$J$4331,A678),2)</f>
        <v>2446.62</v>
      </c>
      <c r="L678" s="9">
        <f>ROUND(J678-K678,2)</f>
        <v>0</v>
      </c>
      <c r="M678" s="9">
        <f>ROUND(SUMIFS('Bank Lines'!$E$5:$E$1640,'Bank Lines'!$G$5:$G$1640,A678,'Bank Lines'!$J$5:$J$1640,1,'Bank Lines'!$C$5:$C$1640,"&lt;="&amp;Cover!$C$13),2)</f>
        <v>2446.62</v>
      </c>
      <c r="N678" s="9">
        <f>ROUND(SUMIFS('Odoo Items'!$G$5:$G$4331,'Odoo Items'!$J$5:$J$4331,A678,'Odoo Items'!$C$5:$C$4331,"&lt;="&amp;Cover!$C$13),2)</f>
        <v>2446.62</v>
      </c>
      <c r="O678">
        <f>COUNTIFS('Bank Lines'!$G$5:$G$1640,A678,'Bank Lines'!$J$5:$J$1640,1,'Bank Lines'!$C$5:$C$1640,"&lt;="&amp;Cover!$C$13)</f>
        <v>1</v>
      </c>
      <c r="P678">
        <f>COUNTIFS('Odoo Items'!$J$5:$J$4331,A678,'Odoo Items'!$C$5:$C$4331,"&lt;="&amp;Cover!$C$13)</f>
        <v>1</v>
      </c>
      <c r="Q678" t="str">
        <f>IF(AND(O678=0,P678=0),"",IF(O678=0,"ODOO-ONLY",IF(P678=0,"BANK-ONLY","BOTH")))</f>
        <v>BOTH</v>
      </c>
      <c r="R678" s="9">
        <f>IF(Q678="BOTH",ROUND(M678-N678,2),0)</f>
        <v>0</v>
      </c>
      <c r="S678" s="9">
        <f>ROUND(SUMIFS('Bank Lines'!$E$5:$E$1640,'Bank Lines'!$G$5:$G$1640,A678,'Bank Lines'!$J$5:$J$1640,1,'Bank Lines'!$C$5:$C$1640,"&lt;="&amp;Cover!$C$14),2)</f>
        <v>2446.62</v>
      </c>
      <c r="T678" s="9">
        <f>ROUND(SUMIFS('Odoo Items'!$G$5:$G$4331,'Odoo Items'!$J$5:$J$4331,A678,'Odoo Items'!$C$5:$C$4331,"&lt;="&amp;Cover!$C$14),2)</f>
        <v>2446.62</v>
      </c>
      <c r="U678">
        <f>COUNTIFS('Bank Lines'!$G$5:$G$1640,A678,'Bank Lines'!$J$5:$J$1640,1,'Bank Lines'!$C$5:$C$1640,"&lt;="&amp;Cover!$C$14)</f>
        <v>1</v>
      </c>
      <c r="V678">
        <f>COUNTIFS('Odoo Items'!$J$5:$J$4331,A678,'Odoo Items'!$C$5:$C$4331,"&lt;="&amp;Cover!$C$14)</f>
        <v>1</v>
      </c>
      <c r="W678" t="str">
        <f>IF(AND(U678=0,V678=0),"",IF(U678=0,"ODOO-ONLY",IF(V678=0,"BANK-ONLY","BOTH")))</f>
        <v>BOTH</v>
      </c>
      <c r="X678" s="9">
        <f>IF(W678="BOTH",ROUND(S678-T678,2),0)</f>
        <v>0</v>
      </c>
      <c r="Y678" s="9">
        <f>ROUND(SUMIFS('Bank Lines'!$E$5:$E$1640,'Bank Lines'!$G$5:$G$1640,A678,'Bank Lines'!$J$5:$J$1640,1,'Bank Lines'!$C$5:$C$1640,"&lt;="&amp;Cover!$C$15),2)</f>
        <v>2446.62</v>
      </c>
      <c r="Z678" s="9">
        <f>ROUND(SUMIFS('Odoo Items'!$G$5:$G$4331,'Odoo Items'!$J$5:$J$4331,A678,'Odoo Items'!$C$5:$C$4331,"&lt;="&amp;Cover!$C$15),2)</f>
        <v>2446.62</v>
      </c>
      <c r="AA678">
        <f>COUNTIFS('Bank Lines'!$G$5:$G$1640,A678,'Bank Lines'!$J$5:$J$1640,1,'Bank Lines'!$C$5:$C$1640,"&lt;="&amp;Cover!$C$15)</f>
        <v>1</v>
      </c>
      <c r="AB678">
        <f>COUNTIFS('Odoo Items'!$J$5:$J$4331,A678,'Odoo Items'!$C$5:$C$4331,"&lt;="&amp;Cover!$C$15)</f>
        <v>1</v>
      </c>
      <c r="AC678" t="str">
        <f>IF(AND(AA678=0,AB678=0),"",IF(AA678=0,"ODOO-ONLY",IF(AB678=0,"BANK-ONLY","BOTH")))</f>
        <v>BOTH</v>
      </c>
      <c r="AD678" s="9">
        <f>IF(AC678="BOTH",ROUND(Y678-Z678,2),0)</f>
        <v>0</v>
      </c>
    </row>
    <row r="679">
      <c r="A679" t="inlineStr">
        <is>
          <t>G00675</t>
        </is>
      </c>
      <c r="B679" t="inlineStr">
        <is>
          <t>MER</t>
        </is>
      </c>
      <c r="C679" t="inlineStr">
        <is>
          <t>R08</t>
        </is>
      </c>
      <c r="D679" t="inlineStr">
        <is>
          <t>MATCH</t>
        </is>
      </c>
      <c r="E679" t="inlineStr"/>
      <c r="G679" t="inlineStr"/>
      <c r="H679">
        <f>COUNTIFS('Bank Lines'!$G$5:$G$1640,A679,'Bank Lines'!$J$5:$J$1640,1)</f>
        <v>1</v>
      </c>
      <c r="I679">
        <f>COUNTIFS('Odoo Items'!$J$5:$J$4331,A679)</f>
        <v>1</v>
      </c>
      <c r="J679" s="9">
        <f>ROUND(SUMIFS('Bank Lines'!$E$5:$E$1640,'Bank Lines'!$G$5:$G$1640,A679,'Bank Lines'!$J$5:$J$1640,1),2)</f>
        <v>2798.45</v>
      </c>
      <c r="K679" s="9">
        <f>ROUND(SUMIFS('Odoo Items'!$G$5:$G$4331,'Odoo Items'!$J$5:$J$4331,A679),2)</f>
        <v>2798.45</v>
      </c>
      <c r="L679" s="9">
        <f>ROUND(J679-K679,2)</f>
        <v>0</v>
      </c>
      <c r="M679" s="9">
        <f>ROUND(SUMIFS('Bank Lines'!$E$5:$E$1640,'Bank Lines'!$G$5:$G$1640,A679,'Bank Lines'!$J$5:$J$1640,1,'Bank Lines'!$C$5:$C$1640,"&lt;="&amp;Cover!$C$13),2)</f>
        <v>2798.45</v>
      </c>
      <c r="N679" s="9">
        <f>ROUND(SUMIFS('Odoo Items'!$G$5:$G$4331,'Odoo Items'!$J$5:$J$4331,A679,'Odoo Items'!$C$5:$C$4331,"&lt;="&amp;Cover!$C$13),2)</f>
        <v>2798.45</v>
      </c>
      <c r="O679">
        <f>COUNTIFS('Bank Lines'!$G$5:$G$1640,A679,'Bank Lines'!$J$5:$J$1640,1,'Bank Lines'!$C$5:$C$1640,"&lt;="&amp;Cover!$C$13)</f>
        <v>1</v>
      </c>
      <c r="P679">
        <f>COUNTIFS('Odoo Items'!$J$5:$J$4331,A679,'Odoo Items'!$C$5:$C$4331,"&lt;="&amp;Cover!$C$13)</f>
        <v>1</v>
      </c>
      <c r="Q679" t="str">
        <f>IF(AND(O679=0,P679=0),"",IF(O679=0,"ODOO-ONLY",IF(P679=0,"BANK-ONLY","BOTH")))</f>
        <v>BOTH</v>
      </c>
      <c r="R679" s="9">
        <f>IF(Q679="BOTH",ROUND(M679-N679,2),0)</f>
        <v>0</v>
      </c>
      <c r="S679" s="9">
        <f>ROUND(SUMIFS('Bank Lines'!$E$5:$E$1640,'Bank Lines'!$G$5:$G$1640,A679,'Bank Lines'!$J$5:$J$1640,1,'Bank Lines'!$C$5:$C$1640,"&lt;="&amp;Cover!$C$14),2)</f>
        <v>2798.45</v>
      </c>
      <c r="T679" s="9">
        <f>ROUND(SUMIFS('Odoo Items'!$G$5:$G$4331,'Odoo Items'!$J$5:$J$4331,A679,'Odoo Items'!$C$5:$C$4331,"&lt;="&amp;Cover!$C$14),2)</f>
        <v>2798.45</v>
      </c>
      <c r="U679">
        <f>COUNTIFS('Bank Lines'!$G$5:$G$1640,A679,'Bank Lines'!$J$5:$J$1640,1,'Bank Lines'!$C$5:$C$1640,"&lt;="&amp;Cover!$C$14)</f>
        <v>1</v>
      </c>
      <c r="V679">
        <f>COUNTIFS('Odoo Items'!$J$5:$J$4331,A679,'Odoo Items'!$C$5:$C$4331,"&lt;="&amp;Cover!$C$14)</f>
        <v>1</v>
      </c>
      <c r="W679" t="str">
        <f>IF(AND(U679=0,V679=0),"",IF(U679=0,"ODOO-ONLY",IF(V679=0,"BANK-ONLY","BOTH")))</f>
        <v>BOTH</v>
      </c>
      <c r="X679" s="9">
        <f>IF(W679="BOTH",ROUND(S679-T679,2),0)</f>
        <v>0</v>
      </c>
      <c r="Y679" s="9">
        <f>ROUND(SUMIFS('Bank Lines'!$E$5:$E$1640,'Bank Lines'!$G$5:$G$1640,A679,'Bank Lines'!$J$5:$J$1640,1,'Bank Lines'!$C$5:$C$1640,"&lt;="&amp;Cover!$C$15),2)</f>
        <v>2798.45</v>
      </c>
      <c r="Z679" s="9">
        <f>ROUND(SUMIFS('Odoo Items'!$G$5:$G$4331,'Odoo Items'!$J$5:$J$4331,A679,'Odoo Items'!$C$5:$C$4331,"&lt;="&amp;Cover!$C$15),2)</f>
        <v>2798.45</v>
      </c>
      <c r="AA679">
        <f>COUNTIFS('Bank Lines'!$G$5:$G$1640,A679,'Bank Lines'!$J$5:$J$1640,1,'Bank Lines'!$C$5:$C$1640,"&lt;="&amp;Cover!$C$15)</f>
        <v>1</v>
      </c>
      <c r="AB679">
        <f>COUNTIFS('Odoo Items'!$J$5:$J$4331,A679,'Odoo Items'!$C$5:$C$4331,"&lt;="&amp;Cover!$C$15)</f>
        <v>1</v>
      </c>
      <c r="AC679" t="str">
        <f>IF(AND(AA679=0,AB679=0),"",IF(AA679=0,"ODOO-ONLY",IF(AB679=0,"BANK-ONLY","BOTH")))</f>
        <v>BOTH</v>
      </c>
      <c r="AD679" s="9">
        <f>IF(AC679="BOTH",ROUND(Y679-Z679,2),0)</f>
        <v>0</v>
      </c>
    </row>
    <row r="680">
      <c r="A680" t="inlineStr">
        <is>
          <t>G00676</t>
        </is>
      </c>
      <c r="B680" t="inlineStr">
        <is>
          <t>MER</t>
        </is>
      </c>
      <c r="C680" t="inlineStr">
        <is>
          <t>R08</t>
        </is>
      </c>
      <c r="D680" t="inlineStr">
        <is>
          <t>MATCH</t>
        </is>
      </c>
      <c r="E680" t="inlineStr"/>
      <c r="G680" t="inlineStr"/>
      <c r="H680">
        <f>COUNTIFS('Bank Lines'!$G$5:$G$1640,A680,'Bank Lines'!$J$5:$J$1640,1)</f>
        <v>1</v>
      </c>
      <c r="I680">
        <f>COUNTIFS('Odoo Items'!$J$5:$J$4331,A680)</f>
        <v>1</v>
      </c>
      <c r="J680" s="9">
        <f>ROUND(SUMIFS('Bank Lines'!$E$5:$E$1640,'Bank Lines'!$G$5:$G$1640,A680,'Bank Lines'!$J$5:$J$1640,1),2)</f>
        <v>3367.47</v>
      </c>
      <c r="K680" s="9">
        <f>ROUND(SUMIFS('Odoo Items'!$G$5:$G$4331,'Odoo Items'!$J$5:$J$4331,A680),2)</f>
        <v>3367.47</v>
      </c>
      <c r="L680" s="9">
        <f>ROUND(J680-K680,2)</f>
        <v>0</v>
      </c>
      <c r="M680" s="9">
        <f>ROUND(SUMIFS('Bank Lines'!$E$5:$E$1640,'Bank Lines'!$G$5:$G$1640,A680,'Bank Lines'!$J$5:$J$1640,1,'Bank Lines'!$C$5:$C$1640,"&lt;="&amp;Cover!$C$13),2)</f>
        <v>3367.47</v>
      </c>
      <c r="N680" s="9">
        <f>ROUND(SUMIFS('Odoo Items'!$G$5:$G$4331,'Odoo Items'!$J$5:$J$4331,A680,'Odoo Items'!$C$5:$C$4331,"&lt;="&amp;Cover!$C$13),2)</f>
        <v>3367.47</v>
      </c>
      <c r="O680">
        <f>COUNTIFS('Bank Lines'!$G$5:$G$1640,A680,'Bank Lines'!$J$5:$J$1640,1,'Bank Lines'!$C$5:$C$1640,"&lt;="&amp;Cover!$C$13)</f>
        <v>1</v>
      </c>
      <c r="P680">
        <f>COUNTIFS('Odoo Items'!$J$5:$J$4331,A680,'Odoo Items'!$C$5:$C$4331,"&lt;="&amp;Cover!$C$13)</f>
        <v>1</v>
      </c>
      <c r="Q680" t="str">
        <f>IF(AND(O680=0,P680=0),"",IF(O680=0,"ODOO-ONLY",IF(P680=0,"BANK-ONLY","BOTH")))</f>
        <v>BOTH</v>
      </c>
      <c r="R680" s="9">
        <f>IF(Q680="BOTH",ROUND(M680-N680,2),0)</f>
        <v>0</v>
      </c>
      <c r="S680" s="9">
        <f>ROUND(SUMIFS('Bank Lines'!$E$5:$E$1640,'Bank Lines'!$G$5:$G$1640,A680,'Bank Lines'!$J$5:$J$1640,1,'Bank Lines'!$C$5:$C$1640,"&lt;="&amp;Cover!$C$14),2)</f>
        <v>3367.47</v>
      </c>
      <c r="T680" s="9">
        <f>ROUND(SUMIFS('Odoo Items'!$G$5:$G$4331,'Odoo Items'!$J$5:$J$4331,A680,'Odoo Items'!$C$5:$C$4331,"&lt;="&amp;Cover!$C$14),2)</f>
        <v>3367.47</v>
      </c>
      <c r="U680">
        <f>COUNTIFS('Bank Lines'!$G$5:$G$1640,A680,'Bank Lines'!$J$5:$J$1640,1,'Bank Lines'!$C$5:$C$1640,"&lt;="&amp;Cover!$C$14)</f>
        <v>1</v>
      </c>
      <c r="V680">
        <f>COUNTIFS('Odoo Items'!$J$5:$J$4331,A680,'Odoo Items'!$C$5:$C$4331,"&lt;="&amp;Cover!$C$14)</f>
        <v>1</v>
      </c>
      <c r="W680" t="str">
        <f>IF(AND(U680=0,V680=0),"",IF(U680=0,"ODOO-ONLY",IF(V680=0,"BANK-ONLY","BOTH")))</f>
        <v>BOTH</v>
      </c>
      <c r="X680" s="9">
        <f>IF(W680="BOTH",ROUND(S680-T680,2),0)</f>
        <v>0</v>
      </c>
      <c r="Y680" s="9">
        <f>ROUND(SUMIFS('Bank Lines'!$E$5:$E$1640,'Bank Lines'!$G$5:$G$1640,A680,'Bank Lines'!$J$5:$J$1640,1,'Bank Lines'!$C$5:$C$1640,"&lt;="&amp;Cover!$C$15),2)</f>
        <v>3367.47</v>
      </c>
      <c r="Z680" s="9">
        <f>ROUND(SUMIFS('Odoo Items'!$G$5:$G$4331,'Odoo Items'!$J$5:$J$4331,A680,'Odoo Items'!$C$5:$C$4331,"&lt;="&amp;Cover!$C$15),2)</f>
        <v>3367.47</v>
      </c>
      <c r="AA680">
        <f>COUNTIFS('Bank Lines'!$G$5:$G$1640,A680,'Bank Lines'!$J$5:$J$1640,1,'Bank Lines'!$C$5:$C$1640,"&lt;="&amp;Cover!$C$15)</f>
        <v>1</v>
      </c>
      <c r="AB680">
        <f>COUNTIFS('Odoo Items'!$J$5:$J$4331,A680,'Odoo Items'!$C$5:$C$4331,"&lt;="&amp;Cover!$C$15)</f>
        <v>1</v>
      </c>
      <c r="AC680" t="str">
        <f>IF(AND(AA680=0,AB680=0),"",IF(AA680=0,"ODOO-ONLY",IF(AB680=0,"BANK-ONLY","BOTH")))</f>
        <v>BOTH</v>
      </c>
      <c r="AD680" s="9">
        <f>IF(AC680="BOTH",ROUND(Y680-Z680,2),0)</f>
        <v>0</v>
      </c>
    </row>
    <row r="681">
      <c r="A681" t="inlineStr">
        <is>
          <t>G00677</t>
        </is>
      </c>
      <c r="B681" t="inlineStr">
        <is>
          <t>MER</t>
        </is>
      </c>
      <c r="C681" t="inlineStr">
        <is>
          <t>R08</t>
        </is>
      </c>
      <c r="D681" t="inlineStr">
        <is>
          <t>MATCH</t>
        </is>
      </c>
      <c r="E681" t="inlineStr"/>
      <c r="G681" t="inlineStr"/>
      <c r="H681">
        <f>COUNTIFS('Bank Lines'!$G$5:$G$1640,A681,'Bank Lines'!$J$5:$J$1640,1)</f>
        <v>1</v>
      </c>
      <c r="I681">
        <f>COUNTIFS('Odoo Items'!$J$5:$J$4331,A681)</f>
        <v>1</v>
      </c>
      <c r="J681" s="9">
        <f>ROUND(SUMIFS('Bank Lines'!$E$5:$E$1640,'Bank Lines'!$G$5:$G$1640,A681,'Bank Lines'!$J$5:$J$1640,1),2)</f>
        <v>1809.73</v>
      </c>
      <c r="K681" s="9">
        <f>ROUND(SUMIFS('Odoo Items'!$G$5:$G$4331,'Odoo Items'!$J$5:$J$4331,A681),2)</f>
        <v>1809.73</v>
      </c>
      <c r="L681" s="9">
        <f>ROUND(J681-K681,2)</f>
        <v>0</v>
      </c>
      <c r="M681" s="9">
        <f>ROUND(SUMIFS('Bank Lines'!$E$5:$E$1640,'Bank Lines'!$G$5:$G$1640,A681,'Bank Lines'!$J$5:$J$1640,1,'Bank Lines'!$C$5:$C$1640,"&lt;="&amp;Cover!$C$13),2)</f>
        <v>1809.73</v>
      </c>
      <c r="N681" s="9">
        <f>ROUND(SUMIFS('Odoo Items'!$G$5:$G$4331,'Odoo Items'!$J$5:$J$4331,A681,'Odoo Items'!$C$5:$C$4331,"&lt;="&amp;Cover!$C$13),2)</f>
        <v>1809.73</v>
      </c>
      <c r="O681">
        <f>COUNTIFS('Bank Lines'!$G$5:$G$1640,A681,'Bank Lines'!$J$5:$J$1640,1,'Bank Lines'!$C$5:$C$1640,"&lt;="&amp;Cover!$C$13)</f>
        <v>1</v>
      </c>
      <c r="P681">
        <f>COUNTIFS('Odoo Items'!$J$5:$J$4331,A681,'Odoo Items'!$C$5:$C$4331,"&lt;="&amp;Cover!$C$13)</f>
        <v>1</v>
      </c>
      <c r="Q681" t="str">
        <f>IF(AND(O681=0,P681=0),"",IF(O681=0,"ODOO-ONLY",IF(P681=0,"BANK-ONLY","BOTH")))</f>
        <v>BOTH</v>
      </c>
      <c r="R681" s="9">
        <f>IF(Q681="BOTH",ROUND(M681-N681,2),0)</f>
        <v>0</v>
      </c>
      <c r="S681" s="9">
        <f>ROUND(SUMIFS('Bank Lines'!$E$5:$E$1640,'Bank Lines'!$G$5:$G$1640,A681,'Bank Lines'!$J$5:$J$1640,1,'Bank Lines'!$C$5:$C$1640,"&lt;="&amp;Cover!$C$14),2)</f>
        <v>1809.73</v>
      </c>
      <c r="T681" s="9">
        <f>ROUND(SUMIFS('Odoo Items'!$G$5:$G$4331,'Odoo Items'!$J$5:$J$4331,A681,'Odoo Items'!$C$5:$C$4331,"&lt;="&amp;Cover!$C$14),2)</f>
        <v>1809.73</v>
      </c>
      <c r="U681">
        <f>COUNTIFS('Bank Lines'!$G$5:$G$1640,A681,'Bank Lines'!$J$5:$J$1640,1,'Bank Lines'!$C$5:$C$1640,"&lt;="&amp;Cover!$C$14)</f>
        <v>1</v>
      </c>
      <c r="V681">
        <f>COUNTIFS('Odoo Items'!$J$5:$J$4331,A681,'Odoo Items'!$C$5:$C$4331,"&lt;="&amp;Cover!$C$14)</f>
        <v>1</v>
      </c>
      <c r="W681" t="str">
        <f>IF(AND(U681=0,V681=0),"",IF(U681=0,"ODOO-ONLY",IF(V681=0,"BANK-ONLY","BOTH")))</f>
        <v>BOTH</v>
      </c>
      <c r="X681" s="9">
        <f>IF(W681="BOTH",ROUND(S681-T681,2),0)</f>
        <v>0</v>
      </c>
      <c r="Y681" s="9">
        <f>ROUND(SUMIFS('Bank Lines'!$E$5:$E$1640,'Bank Lines'!$G$5:$G$1640,A681,'Bank Lines'!$J$5:$J$1640,1,'Bank Lines'!$C$5:$C$1640,"&lt;="&amp;Cover!$C$15),2)</f>
        <v>1809.73</v>
      </c>
      <c r="Z681" s="9">
        <f>ROUND(SUMIFS('Odoo Items'!$G$5:$G$4331,'Odoo Items'!$J$5:$J$4331,A681,'Odoo Items'!$C$5:$C$4331,"&lt;="&amp;Cover!$C$15),2)</f>
        <v>1809.73</v>
      </c>
      <c r="AA681">
        <f>COUNTIFS('Bank Lines'!$G$5:$G$1640,A681,'Bank Lines'!$J$5:$J$1640,1,'Bank Lines'!$C$5:$C$1640,"&lt;="&amp;Cover!$C$15)</f>
        <v>1</v>
      </c>
      <c r="AB681">
        <f>COUNTIFS('Odoo Items'!$J$5:$J$4331,A681,'Odoo Items'!$C$5:$C$4331,"&lt;="&amp;Cover!$C$15)</f>
        <v>1</v>
      </c>
      <c r="AC681" t="str">
        <f>IF(AND(AA681=0,AB681=0),"",IF(AA681=0,"ODOO-ONLY",IF(AB681=0,"BANK-ONLY","BOTH")))</f>
        <v>BOTH</v>
      </c>
      <c r="AD681" s="9">
        <f>IF(AC681="BOTH",ROUND(Y681-Z681,2),0)</f>
        <v>0</v>
      </c>
    </row>
    <row r="682">
      <c r="A682" t="inlineStr">
        <is>
          <t>G00678</t>
        </is>
      </c>
      <c r="B682" t="inlineStr">
        <is>
          <t>MER</t>
        </is>
      </c>
      <c r="C682" t="inlineStr">
        <is>
          <t>R08</t>
        </is>
      </c>
      <c r="D682" t="inlineStr">
        <is>
          <t>MATCH</t>
        </is>
      </c>
      <c r="E682" t="inlineStr"/>
      <c r="G682" t="inlineStr"/>
      <c r="H682">
        <f>COUNTIFS('Bank Lines'!$G$5:$G$1640,A682,'Bank Lines'!$J$5:$J$1640,1)</f>
        <v>1</v>
      </c>
      <c r="I682">
        <f>COUNTIFS('Odoo Items'!$J$5:$J$4331,A682)</f>
        <v>1</v>
      </c>
      <c r="J682" s="9">
        <f>ROUND(SUMIFS('Bank Lines'!$E$5:$E$1640,'Bank Lines'!$G$5:$G$1640,A682,'Bank Lines'!$J$5:$J$1640,1),2)</f>
        <v>3522.4</v>
      </c>
      <c r="K682" s="9">
        <f>ROUND(SUMIFS('Odoo Items'!$G$5:$G$4331,'Odoo Items'!$J$5:$J$4331,A682),2)</f>
        <v>3522.4</v>
      </c>
      <c r="L682" s="9">
        <f>ROUND(J682-K682,2)</f>
        <v>0</v>
      </c>
      <c r="M682" s="9">
        <f>ROUND(SUMIFS('Bank Lines'!$E$5:$E$1640,'Bank Lines'!$G$5:$G$1640,A682,'Bank Lines'!$J$5:$J$1640,1,'Bank Lines'!$C$5:$C$1640,"&lt;="&amp;Cover!$C$13),2)</f>
        <v>3522.4</v>
      </c>
      <c r="N682" s="9">
        <f>ROUND(SUMIFS('Odoo Items'!$G$5:$G$4331,'Odoo Items'!$J$5:$J$4331,A682,'Odoo Items'!$C$5:$C$4331,"&lt;="&amp;Cover!$C$13),2)</f>
        <v>3522.4</v>
      </c>
      <c r="O682">
        <f>COUNTIFS('Bank Lines'!$G$5:$G$1640,A682,'Bank Lines'!$J$5:$J$1640,1,'Bank Lines'!$C$5:$C$1640,"&lt;="&amp;Cover!$C$13)</f>
        <v>1</v>
      </c>
      <c r="P682">
        <f>COUNTIFS('Odoo Items'!$J$5:$J$4331,A682,'Odoo Items'!$C$5:$C$4331,"&lt;="&amp;Cover!$C$13)</f>
        <v>1</v>
      </c>
      <c r="Q682" t="str">
        <f>IF(AND(O682=0,P682=0),"",IF(O682=0,"ODOO-ONLY",IF(P682=0,"BANK-ONLY","BOTH")))</f>
        <v>BOTH</v>
      </c>
      <c r="R682" s="9">
        <f>IF(Q682="BOTH",ROUND(M682-N682,2),0)</f>
        <v>0</v>
      </c>
      <c r="S682" s="9">
        <f>ROUND(SUMIFS('Bank Lines'!$E$5:$E$1640,'Bank Lines'!$G$5:$G$1640,A682,'Bank Lines'!$J$5:$J$1640,1,'Bank Lines'!$C$5:$C$1640,"&lt;="&amp;Cover!$C$14),2)</f>
        <v>3522.4</v>
      </c>
      <c r="T682" s="9">
        <f>ROUND(SUMIFS('Odoo Items'!$G$5:$G$4331,'Odoo Items'!$J$5:$J$4331,A682,'Odoo Items'!$C$5:$C$4331,"&lt;="&amp;Cover!$C$14),2)</f>
        <v>3522.4</v>
      </c>
      <c r="U682">
        <f>COUNTIFS('Bank Lines'!$G$5:$G$1640,A682,'Bank Lines'!$J$5:$J$1640,1,'Bank Lines'!$C$5:$C$1640,"&lt;="&amp;Cover!$C$14)</f>
        <v>1</v>
      </c>
      <c r="V682">
        <f>COUNTIFS('Odoo Items'!$J$5:$J$4331,A682,'Odoo Items'!$C$5:$C$4331,"&lt;="&amp;Cover!$C$14)</f>
        <v>1</v>
      </c>
      <c r="W682" t="str">
        <f>IF(AND(U682=0,V682=0),"",IF(U682=0,"ODOO-ONLY",IF(V682=0,"BANK-ONLY","BOTH")))</f>
        <v>BOTH</v>
      </c>
      <c r="X682" s="9">
        <f>IF(W682="BOTH",ROUND(S682-T682,2),0)</f>
        <v>0</v>
      </c>
      <c r="Y682" s="9">
        <f>ROUND(SUMIFS('Bank Lines'!$E$5:$E$1640,'Bank Lines'!$G$5:$G$1640,A682,'Bank Lines'!$J$5:$J$1640,1,'Bank Lines'!$C$5:$C$1640,"&lt;="&amp;Cover!$C$15),2)</f>
        <v>3522.4</v>
      </c>
      <c r="Z682" s="9">
        <f>ROUND(SUMIFS('Odoo Items'!$G$5:$G$4331,'Odoo Items'!$J$5:$J$4331,A682,'Odoo Items'!$C$5:$C$4331,"&lt;="&amp;Cover!$C$15),2)</f>
        <v>3522.4</v>
      </c>
      <c r="AA682">
        <f>COUNTIFS('Bank Lines'!$G$5:$G$1640,A682,'Bank Lines'!$J$5:$J$1640,1,'Bank Lines'!$C$5:$C$1640,"&lt;="&amp;Cover!$C$15)</f>
        <v>1</v>
      </c>
      <c r="AB682">
        <f>COUNTIFS('Odoo Items'!$J$5:$J$4331,A682,'Odoo Items'!$C$5:$C$4331,"&lt;="&amp;Cover!$C$15)</f>
        <v>1</v>
      </c>
      <c r="AC682" t="str">
        <f>IF(AND(AA682=0,AB682=0),"",IF(AA682=0,"ODOO-ONLY",IF(AB682=0,"BANK-ONLY","BOTH")))</f>
        <v>BOTH</v>
      </c>
      <c r="AD682" s="9">
        <f>IF(AC682="BOTH",ROUND(Y682-Z682,2),0)</f>
        <v>0</v>
      </c>
    </row>
    <row r="683">
      <c r="A683" t="inlineStr">
        <is>
          <t>G00679</t>
        </is>
      </c>
      <c r="B683" t="inlineStr">
        <is>
          <t>MER</t>
        </is>
      </c>
      <c r="C683" t="inlineStr">
        <is>
          <t>R08</t>
        </is>
      </c>
      <c r="D683" t="inlineStr">
        <is>
          <t>MATCH</t>
        </is>
      </c>
      <c r="E683" t="inlineStr"/>
      <c r="G683" t="inlineStr"/>
      <c r="H683">
        <f>COUNTIFS('Bank Lines'!$G$5:$G$1640,A683,'Bank Lines'!$J$5:$J$1640,1)</f>
        <v>1</v>
      </c>
      <c r="I683">
        <f>COUNTIFS('Odoo Items'!$J$5:$J$4331,A683)</f>
        <v>1</v>
      </c>
      <c r="J683" s="9">
        <f>ROUND(SUMIFS('Bank Lines'!$E$5:$E$1640,'Bank Lines'!$G$5:$G$1640,A683,'Bank Lines'!$J$5:$J$1640,1),2)</f>
        <v>2980.98</v>
      </c>
      <c r="K683" s="9">
        <f>ROUND(SUMIFS('Odoo Items'!$G$5:$G$4331,'Odoo Items'!$J$5:$J$4331,A683),2)</f>
        <v>2980.98</v>
      </c>
      <c r="L683" s="9">
        <f>ROUND(J683-K683,2)</f>
        <v>0</v>
      </c>
      <c r="M683" s="9">
        <f>ROUND(SUMIFS('Bank Lines'!$E$5:$E$1640,'Bank Lines'!$G$5:$G$1640,A683,'Bank Lines'!$J$5:$J$1640,1,'Bank Lines'!$C$5:$C$1640,"&lt;="&amp;Cover!$C$13),2)</f>
        <v>2980.98</v>
      </c>
      <c r="N683" s="9">
        <f>ROUND(SUMIFS('Odoo Items'!$G$5:$G$4331,'Odoo Items'!$J$5:$J$4331,A683,'Odoo Items'!$C$5:$C$4331,"&lt;="&amp;Cover!$C$13),2)</f>
        <v>2980.98</v>
      </c>
      <c r="O683">
        <f>COUNTIFS('Bank Lines'!$G$5:$G$1640,A683,'Bank Lines'!$J$5:$J$1640,1,'Bank Lines'!$C$5:$C$1640,"&lt;="&amp;Cover!$C$13)</f>
        <v>1</v>
      </c>
      <c r="P683">
        <f>COUNTIFS('Odoo Items'!$J$5:$J$4331,A683,'Odoo Items'!$C$5:$C$4331,"&lt;="&amp;Cover!$C$13)</f>
        <v>1</v>
      </c>
      <c r="Q683" t="str">
        <f>IF(AND(O683=0,P683=0),"",IF(O683=0,"ODOO-ONLY",IF(P683=0,"BANK-ONLY","BOTH")))</f>
        <v>BOTH</v>
      </c>
      <c r="R683" s="9">
        <f>IF(Q683="BOTH",ROUND(M683-N683,2),0)</f>
        <v>0</v>
      </c>
      <c r="S683" s="9">
        <f>ROUND(SUMIFS('Bank Lines'!$E$5:$E$1640,'Bank Lines'!$G$5:$G$1640,A683,'Bank Lines'!$J$5:$J$1640,1,'Bank Lines'!$C$5:$C$1640,"&lt;="&amp;Cover!$C$14),2)</f>
        <v>2980.98</v>
      </c>
      <c r="T683" s="9">
        <f>ROUND(SUMIFS('Odoo Items'!$G$5:$G$4331,'Odoo Items'!$J$5:$J$4331,A683,'Odoo Items'!$C$5:$C$4331,"&lt;="&amp;Cover!$C$14),2)</f>
        <v>2980.98</v>
      </c>
      <c r="U683">
        <f>COUNTIFS('Bank Lines'!$G$5:$G$1640,A683,'Bank Lines'!$J$5:$J$1640,1,'Bank Lines'!$C$5:$C$1640,"&lt;="&amp;Cover!$C$14)</f>
        <v>1</v>
      </c>
      <c r="V683">
        <f>COUNTIFS('Odoo Items'!$J$5:$J$4331,A683,'Odoo Items'!$C$5:$C$4331,"&lt;="&amp;Cover!$C$14)</f>
        <v>1</v>
      </c>
      <c r="W683" t="str">
        <f>IF(AND(U683=0,V683=0),"",IF(U683=0,"ODOO-ONLY",IF(V683=0,"BANK-ONLY","BOTH")))</f>
        <v>BOTH</v>
      </c>
      <c r="X683" s="9">
        <f>IF(W683="BOTH",ROUND(S683-T683,2),0)</f>
        <v>0</v>
      </c>
      <c r="Y683" s="9">
        <f>ROUND(SUMIFS('Bank Lines'!$E$5:$E$1640,'Bank Lines'!$G$5:$G$1640,A683,'Bank Lines'!$J$5:$J$1640,1,'Bank Lines'!$C$5:$C$1640,"&lt;="&amp;Cover!$C$15),2)</f>
        <v>2980.98</v>
      </c>
      <c r="Z683" s="9">
        <f>ROUND(SUMIFS('Odoo Items'!$G$5:$G$4331,'Odoo Items'!$J$5:$J$4331,A683,'Odoo Items'!$C$5:$C$4331,"&lt;="&amp;Cover!$C$15),2)</f>
        <v>2980.98</v>
      </c>
      <c r="AA683">
        <f>COUNTIFS('Bank Lines'!$G$5:$G$1640,A683,'Bank Lines'!$J$5:$J$1640,1,'Bank Lines'!$C$5:$C$1640,"&lt;="&amp;Cover!$C$15)</f>
        <v>1</v>
      </c>
      <c r="AB683">
        <f>COUNTIFS('Odoo Items'!$J$5:$J$4331,A683,'Odoo Items'!$C$5:$C$4331,"&lt;="&amp;Cover!$C$15)</f>
        <v>1</v>
      </c>
      <c r="AC683" t="str">
        <f>IF(AND(AA683=0,AB683=0),"",IF(AA683=0,"ODOO-ONLY",IF(AB683=0,"BANK-ONLY","BOTH")))</f>
        <v>BOTH</v>
      </c>
      <c r="AD683" s="9">
        <f>IF(AC683="BOTH",ROUND(Y683-Z683,2),0)</f>
        <v>0</v>
      </c>
    </row>
    <row r="684">
      <c r="A684" t="inlineStr">
        <is>
          <t>G00680</t>
        </is>
      </c>
      <c r="B684" t="inlineStr">
        <is>
          <t>MER</t>
        </is>
      </c>
      <c r="C684" t="inlineStr">
        <is>
          <t>R08</t>
        </is>
      </c>
      <c r="D684" t="inlineStr">
        <is>
          <t>MATCH</t>
        </is>
      </c>
      <c r="E684" t="inlineStr"/>
      <c r="G684" t="inlineStr"/>
      <c r="H684">
        <f>COUNTIFS('Bank Lines'!$G$5:$G$1640,A684,'Bank Lines'!$J$5:$J$1640,1)</f>
        <v>1</v>
      </c>
      <c r="I684">
        <f>COUNTIFS('Odoo Items'!$J$5:$J$4331,A684)</f>
        <v>1</v>
      </c>
      <c r="J684" s="9">
        <f>ROUND(SUMIFS('Bank Lines'!$E$5:$E$1640,'Bank Lines'!$G$5:$G$1640,A684,'Bank Lines'!$J$5:$J$1640,1),2)</f>
        <v>1287.81</v>
      </c>
      <c r="K684" s="9">
        <f>ROUND(SUMIFS('Odoo Items'!$G$5:$G$4331,'Odoo Items'!$J$5:$J$4331,A684),2)</f>
        <v>1287.81</v>
      </c>
      <c r="L684" s="9">
        <f>ROUND(J684-K684,2)</f>
        <v>0</v>
      </c>
      <c r="M684" s="9">
        <f>ROUND(SUMIFS('Bank Lines'!$E$5:$E$1640,'Bank Lines'!$G$5:$G$1640,A684,'Bank Lines'!$J$5:$J$1640,1,'Bank Lines'!$C$5:$C$1640,"&lt;="&amp;Cover!$C$13),2)</f>
        <v>0</v>
      </c>
      <c r="N684" s="9">
        <f>ROUND(SUMIFS('Odoo Items'!$G$5:$G$4331,'Odoo Items'!$J$5:$J$4331,A684,'Odoo Items'!$C$5:$C$4331,"&lt;="&amp;Cover!$C$13),2)</f>
        <v>1287.81</v>
      </c>
      <c r="O684">
        <f>COUNTIFS('Bank Lines'!$G$5:$G$1640,A684,'Bank Lines'!$J$5:$J$1640,1,'Bank Lines'!$C$5:$C$1640,"&lt;="&amp;Cover!$C$13)</f>
        <v>0</v>
      </c>
      <c r="P684">
        <f>COUNTIFS('Odoo Items'!$J$5:$J$4331,A684,'Odoo Items'!$C$5:$C$4331,"&lt;="&amp;Cover!$C$13)</f>
        <v>1</v>
      </c>
      <c r="Q684" t="str">
        <f>IF(AND(O684=0,P684=0),"",IF(O684=0,"ODOO-ONLY",IF(P684=0,"BANK-ONLY","BOTH")))</f>
        <v>ODOO-ONLY</v>
      </c>
      <c r="R684" s="9">
        <f>IF(Q684="BOTH",ROUND(M684-N684,2),0)</f>
        <v>0</v>
      </c>
      <c r="S684" s="9">
        <f>ROUND(SUMIFS('Bank Lines'!$E$5:$E$1640,'Bank Lines'!$G$5:$G$1640,A684,'Bank Lines'!$J$5:$J$1640,1,'Bank Lines'!$C$5:$C$1640,"&lt;="&amp;Cover!$C$14),2)</f>
        <v>1287.81</v>
      </c>
      <c r="T684" s="9">
        <f>ROUND(SUMIFS('Odoo Items'!$G$5:$G$4331,'Odoo Items'!$J$5:$J$4331,A684,'Odoo Items'!$C$5:$C$4331,"&lt;="&amp;Cover!$C$14),2)</f>
        <v>1287.81</v>
      </c>
      <c r="U684">
        <f>COUNTIFS('Bank Lines'!$G$5:$G$1640,A684,'Bank Lines'!$J$5:$J$1640,1,'Bank Lines'!$C$5:$C$1640,"&lt;="&amp;Cover!$C$14)</f>
        <v>1</v>
      </c>
      <c r="V684">
        <f>COUNTIFS('Odoo Items'!$J$5:$J$4331,A684,'Odoo Items'!$C$5:$C$4331,"&lt;="&amp;Cover!$C$14)</f>
        <v>1</v>
      </c>
      <c r="W684" t="str">
        <f>IF(AND(U684=0,V684=0),"",IF(U684=0,"ODOO-ONLY",IF(V684=0,"BANK-ONLY","BOTH")))</f>
        <v>BOTH</v>
      </c>
      <c r="X684" s="9">
        <f>IF(W684="BOTH",ROUND(S684-T684,2),0)</f>
        <v>0</v>
      </c>
      <c r="Y684" s="9">
        <f>ROUND(SUMIFS('Bank Lines'!$E$5:$E$1640,'Bank Lines'!$G$5:$G$1640,A684,'Bank Lines'!$J$5:$J$1640,1,'Bank Lines'!$C$5:$C$1640,"&lt;="&amp;Cover!$C$15),2)</f>
        <v>1287.81</v>
      </c>
      <c r="Z684" s="9">
        <f>ROUND(SUMIFS('Odoo Items'!$G$5:$G$4331,'Odoo Items'!$J$5:$J$4331,A684,'Odoo Items'!$C$5:$C$4331,"&lt;="&amp;Cover!$C$15),2)</f>
        <v>1287.81</v>
      </c>
      <c r="AA684">
        <f>COUNTIFS('Bank Lines'!$G$5:$G$1640,A684,'Bank Lines'!$J$5:$J$1640,1,'Bank Lines'!$C$5:$C$1640,"&lt;="&amp;Cover!$C$15)</f>
        <v>1</v>
      </c>
      <c r="AB684">
        <f>COUNTIFS('Odoo Items'!$J$5:$J$4331,A684,'Odoo Items'!$C$5:$C$4331,"&lt;="&amp;Cover!$C$15)</f>
        <v>1</v>
      </c>
      <c r="AC684" t="str">
        <f>IF(AND(AA684=0,AB684=0),"",IF(AA684=0,"ODOO-ONLY",IF(AB684=0,"BANK-ONLY","BOTH")))</f>
        <v>BOTH</v>
      </c>
      <c r="AD684" s="9">
        <f>IF(AC684="BOTH",ROUND(Y684-Z684,2),0)</f>
        <v>0</v>
      </c>
    </row>
    <row r="685">
      <c r="A685" t="inlineStr">
        <is>
          <t>G00681</t>
        </is>
      </c>
      <c r="B685" t="inlineStr">
        <is>
          <t>MER</t>
        </is>
      </c>
      <c r="C685" t="inlineStr">
        <is>
          <t>R08</t>
        </is>
      </c>
      <c r="D685" t="inlineStr">
        <is>
          <t>MATCH</t>
        </is>
      </c>
      <c r="E685" t="inlineStr"/>
      <c r="G685" t="inlineStr"/>
      <c r="H685">
        <f>COUNTIFS('Bank Lines'!$G$5:$G$1640,A685,'Bank Lines'!$J$5:$J$1640,1)</f>
        <v>1</v>
      </c>
      <c r="I685">
        <f>COUNTIFS('Odoo Items'!$J$5:$J$4331,A685)</f>
        <v>1</v>
      </c>
      <c r="J685" s="9">
        <f>ROUND(SUMIFS('Bank Lines'!$E$5:$E$1640,'Bank Lines'!$G$5:$G$1640,A685,'Bank Lines'!$J$5:$J$1640,1),2)</f>
        <v>2132.09</v>
      </c>
      <c r="K685" s="9">
        <f>ROUND(SUMIFS('Odoo Items'!$G$5:$G$4331,'Odoo Items'!$J$5:$J$4331,A685),2)</f>
        <v>2132.09</v>
      </c>
      <c r="L685" s="9">
        <f>ROUND(J685-K685,2)</f>
        <v>0</v>
      </c>
      <c r="M685" s="9">
        <f>ROUND(SUMIFS('Bank Lines'!$E$5:$E$1640,'Bank Lines'!$G$5:$G$1640,A685,'Bank Lines'!$J$5:$J$1640,1,'Bank Lines'!$C$5:$C$1640,"&lt;="&amp;Cover!$C$13),2)</f>
        <v>0</v>
      </c>
      <c r="N685" s="9">
        <f>ROUND(SUMIFS('Odoo Items'!$G$5:$G$4331,'Odoo Items'!$J$5:$J$4331,A685,'Odoo Items'!$C$5:$C$4331,"&lt;="&amp;Cover!$C$13),2)</f>
        <v>2132.09</v>
      </c>
      <c r="O685">
        <f>COUNTIFS('Bank Lines'!$G$5:$G$1640,A685,'Bank Lines'!$J$5:$J$1640,1,'Bank Lines'!$C$5:$C$1640,"&lt;="&amp;Cover!$C$13)</f>
        <v>0</v>
      </c>
      <c r="P685">
        <f>COUNTIFS('Odoo Items'!$J$5:$J$4331,A685,'Odoo Items'!$C$5:$C$4331,"&lt;="&amp;Cover!$C$13)</f>
        <v>1</v>
      </c>
      <c r="Q685" t="str">
        <f>IF(AND(O685=0,P685=0),"",IF(O685=0,"ODOO-ONLY",IF(P685=0,"BANK-ONLY","BOTH")))</f>
        <v>ODOO-ONLY</v>
      </c>
      <c r="R685" s="9">
        <f>IF(Q685="BOTH",ROUND(M685-N685,2),0)</f>
        <v>0</v>
      </c>
      <c r="S685" s="9">
        <f>ROUND(SUMIFS('Bank Lines'!$E$5:$E$1640,'Bank Lines'!$G$5:$G$1640,A685,'Bank Lines'!$J$5:$J$1640,1,'Bank Lines'!$C$5:$C$1640,"&lt;="&amp;Cover!$C$14),2)</f>
        <v>2132.09</v>
      </c>
      <c r="T685" s="9">
        <f>ROUND(SUMIFS('Odoo Items'!$G$5:$G$4331,'Odoo Items'!$J$5:$J$4331,A685,'Odoo Items'!$C$5:$C$4331,"&lt;="&amp;Cover!$C$14),2)</f>
        <v>2132.09</v>
      </c>
      <c r="U685">
        <f>COUNTIFS('Bank Lines'!$G$5:$G$1640,A685,'Bank Lines'!$J$5:$J$1640,1,'Bank Lines'!$C$5:$C$1640,"&lt;="&amp;Cover!$C$14)</f>
        <v>1</v>
      </c>
      <c r="V685">
        <f>COUNTIFS('Odoo Items'!$J$5:$J$4331,A685,'Odoo Items'!$C$5:$C$4331,"&lt;="&amp;Cover!$C$14)</f>
        <v>1</v>
      </c>
      <c r="W685" t="str">
        <f>IF(AND(U685=0,V685=0),"",IF(U685=0,"ODOO-ONLY",IF(V685=0,"BANK-ONLY","BOTH")))</f>
        <v>BOTH</v>
      </c>
      <c r="X685" s="9">
        <f>IF(W685="BOTH",ROUND(S685-T685,2),0)</f>
        <v>0</v>
      </c>
      <c r="Y685" s="9">
        <f>ROUND(SUMIFS('Bank Lines'!$E$5:$E$1640,'Bank Lines'!$G$5:$G$1640,A685,'Bank Lines'!$J$5:$J$1640,1,'Bank Lines'!$C$5:$C$1640,"&lt;="&amp;Cover!$C$15),2)</f>
        <v>2132.09</v>
      </c>
      <c r="Z685" s="9">
        <f>ROUND(SUMIFS('Odoo Items'!$G$5:$G$4331,'Odoo Items'!$J$5:$J$4331,A685,'Odoo Items'!$C$5:$C$4331,"&lt;="&amp;Cover!$C$15),2)</f>
        <v>2132.09</v>
      </c>
      <c r="AA685">
        <f>COUNTIFS('Bank Lines'!$G$5:$G$1640,A685,'Bank Lines'!$J$5:$J$1640,1,'Bank Lines'!$C$5:$C$1640,"&lt;="&amp;Cover!$C$15)</f>
        <v>1</v>
      </c>
      <c r="AB685">
        <f>COUNTIFS('Odoo Items'!$J$5:$J$4331,A685,'Odoo Items'!$C$5:$C$4331,"&lt;="&amp;Cover!$C$15)</f>
        <v>1</v>
      </c>
      <c r="AC685" t="str">
        <f>IF(AND(AA685=0,AB685=0),"",IF(AA685=0,"ODOO-ONLY",IF(AB685=0,"BANK-ONLY","BOTH")))</f>
        <v>BOTH</v>
      </c>
      <c r="AD685" s="9">
        <f>IF(AC685="BOTH",ROUND(Y685-Z685,2),0)</f>
        <v>0</v>
      </c>
    </row>
    <row r="686">
      <c r="A686" t="inlineStr">
        <is>
          <t>G00682</t>
        </is>
      </c>
      <c r="B686" t="inlineStr">
        <is>
          <t>MER</t>
        </is>
      </c>
      <c r="C686" t="inlineStr">
        <is>
          <t>R08</t>
        </is>
      </c>
      <c r="D686" t="inlineStr">
        <is>
          <t>MATCH</t>
        </is>
      </c>
      <c r="E686" t="inlineStr"/>
      <c r="G686" t="inlineStr"/>
      <c r="H686">
        <f>COUNTIFS('Bank Lines'!$G$5:$G$1640,A686,'Bank Lines'!$J$5:$J$1640,1)</f>
        <v>1</v>
      </c>
      <c r="I686">
        <f>COUNTIFS('Odoo Items'!$J$5:$J$4331,A686)</f>
        <v>1</v>
      </c>
      <c r="J686" s="9">
        <f>ROUND(SUMIFS('Bank Lines'!$E$5:$E$1640,'Bank Lines'!$G$5:$G$1640,A686,'Bank Lines'!$J$5:$J$1640,1),2)</f>
        <v>1449.98</v>
      </c>
      <c r="K686" s="9">
        <f>ROUND(SUMIFS('Odoo Items'!$G$5:$G$4331,'Odoo Items'!$J$5:$J$4331,A686),2)</f>
        <v>1449.98</v>
      </c>
      <c r="L686" s="9">
        <f>ROUND(J686-K686,2)</f>
        <v>0</v>
      </c>
      <c r="M686" s="9">
        <f>ROUND(SUMIFS('Bank Lines'!$E$5:$E$1640,'Bank Lines'!$G$5:$G$1640,A686,'Bank Lines'!$J$5:$J$1640,1,'Bank Lines'!$C$5:$C$1640,"&lt;="&amp;Cover!$C$13),2)</f>
        <v>0</v>
      </c>
      <c r="N686" s="9">
        <f>ROUND(SUMIFS('Odoo Items'!$G$5:$G$4331,'Odoo Items'!$J$5:$J$4331,A686,'Odoo Items'!$C$5:$C$4331,"&lt;="&amp;Cover!$C$13),2)</f>
        <v>1449.98</v>
      </c>
      <c r="O686">
        <f>COUNTIFS('Bank Lines'!$G$5:$G$1640,A686,'Bank Lines'!$J$5:$J$1640,1,'Bank Lines'!$C$5:$C$1640,"&lt;="&amp;Cover!$C$13)</f>
        <v>0</v>
      </c>
      <c r="P686">
        <f>COUNTIFS('Odoo Items'!$J$5:$J$4331,A686,'Odoo Items'!$C$5:$C$4331,"&lt;="&amp;Cover!$C$13)</f>
        <v>1</v>
      </c>
      <c r="Q686" t="str">
        <f>IF(AND(O686=0,P686=0),"",IF(O686=0,"ODOO-ONLY",IF(P686=0,"BANK-ONLY","BOTH")))</f>
        <v>ODOO-ONLY</v>
      </c>
      <c r="R686" s="9">
        <f>IF(Q686="BOTH",ROUND(M686-N686,2),0)</f>
        <v>0</v>
      </c>
      <c r="S686" s="9">
        <f>ROUND(SUMIFS('Bank Lines'!$E$5:$E$1640,'Bank Lines'!$G$5:$G$1640,A686,'Bank Lines'!$J$5:$J$1640,1,'Bank Lines'!$C$5:$C$1640,"&lt;="&amp;Cover!$C$14),2)</f>
        <v>1449.98</v>
      </c>
      <c r="T686" s="9">
        <f>ROUND(SUMIFS('Odoo Items'!$G$5:$G$4331,'Odoo Items'!$J$5:$J$4331,A686,'Odoo Items'!$C$5:$C$4331,"&lt;="&amp;Cover!$C$14),2)</f>
        <v>1449.98</v>
      </c>
      <c r="U686">
        <f>COUNTIFS('Bank Lines'!$G$5:$G$1640,A686,'Bank Lines'!$J$5:$J$1640,1,'Bank Lines'!$C$5:$C$1640,"&lt;="&amp;Cover!$C$14)</f>
        <v>1</v>
      </c>
      <c r="V686">
        <f>COUNTIFS('Odoo Items'!$J$5:$J$4331,A686,'Odoo Items'!$C$5:$C$4331,"&lt;="&amp;Cover!$C$14)</f>
        <v>1</v>
      </c>
      <c r="W686" t="str">
        <f>IF(AND(U686=0,V686=0),"",IF(U686=0,"ODOO-ONLY",IF(V686=0,"BANK-ONLY","BOTH")))</f>
        <v>BOTH</v>
      </c>
      <c r="X686" s="9">
        <f>IF(W686="BOTH",ROUND(S686-T686,2),0)</f>
        <v>0</v>
      </c>
      <c r="Y686" s="9">
        <f>ROUND(SUMIFS('Bank Lines'!$E$5:$E$1640,'Bank Lines'!$G$5:$G$1640,A686,'Bank Lines'!$J$5:$J$1640,1,'Bank Lines'!$C$5:$C$1640,"&lt;="&amp;Cover!$C$15),2)</f>
        <v>1449.98</v>
      </c>
      <c r="Z686" s="9">
        <f>ROUND(SUMIFS('Odoo Items'!$G$5:$G$4331,'Odoo Items'!$J$5:$J$4331,A686,'Odoo Items'!$C$5:$C$4331,"&lt;="&amp;Cover!$C$15),2)</f>
        <v>1449.98</v>
      </c>
      <c r="AA686">
        <f>COUNTIFS('Bank Lines'!$G$5:$G$1640,A686,'Bank Lines'!$J$5:$J$1640,1,'Bank Lines'!$C$5:$C$1640,"&lt;="&amp;Cover!$C$15)</f>
        <v>1</v>
      </c>
      <c r="AB686">
        <f>COUNTIFS('Odoo Items'!$J$5:$J$4331,A686,'Odoo Items'!$C$5:$C$4331,"&lt;="&amp;Cover!$C$15)</f>
        <v>1</v>
      </c>
      <c r="AC686" t="str">
        <f>IF(AND(AA686=0,AB686=0),"",IF(AA686=0,"ODOO-ONLY",IF(AB686=0,"BANK-ONLY","BOTH")))</f>
        <v>BOTH</v>
      </c>
      <c r="AD686" s="9">
        <f>IF(AC686="BOTH",ROUND(Y686-Z686,2),0)</f>
        <v>0</v>
      </c>
    </row>
    <row r="687">
      <c r="A687" t="inlineStr">
        <is>
          <t>G00683</t>
        </is>
      </c>
      <c r="B687" t="inlineStr">
        <is>
          <t>MER</t>
        </is>
      </c>
      <c r="C687" t="inlineStr">
        <is>
          <t>R08</t>
        </is>
      </c>
      <c r="D687" t="inlineStr">
        <is>
          <t>MATCH</t>
        </is>
      </c>
      <c r="E687" t="inlineStr"/>
      <c r="G687" t="inlineStr"/>
      <c r="H687">
        <f>COUNTIFS('Bank Lines'!$G$5:$G$1640,A687,'Bank Lines'!$J$5:$J$1640,1)</f>
        <v>1</v>
      </c>
      <c r="I687">
        <f>COUNTIFS('Odoo Items'!$J$5:$J$4331,A687)</f>
        <v>1</v>
      </c>
      <c r="J687" s="9">
        <f>ROUND(SUMIFS('Bank Lines'!$E$5:$E$1640,'Bank Lines'!$G$5:$G$1640,A687,'Bank Lines'!$J$5:$J$1640,1),2)</f>
        <v>1040.44</v>
      </c>
      <c r="K687" s="9">
        <f>ROUND(SUMIFS('Odoo Items'!$G$5:$G$4331,'Odoo Items'!$J$5:$J$4331,A687),2)</f>
        <v>1040.44</v>
      </c>
      <c r="L687" s="9">
        <f>ROUND(J687-K687,2)</f>
        <v>0</v>
      </c>
      <c r="M687" s="9">
        <f>ROUND(SUMIFS('Bank Lines'!$E$5:$E$1640,'Bank Lines'!$G$5:$G$1640,A687,'Bank Lines'!$J$5:$J$1640,1,'Bank Lines'!$C$5:$C$1640,"&lt;="&amp;Cover!$C$13),2)</f>
        <v>0</v>
      </c>
      <c r="N687" s="9">
        <f>ROUND(SUMIFS('Odoo Items'!$G$5:$G$4331,'Odoo Items'!$J$5:$J$4331,A687,'Odoo Items'!$C$5:$C$4331,"&lt;="&amp;Cover!$C$13),2)</f>
        <v>1040.44</v>
      </c>
      <c r="O687">
        <f>COUNTIFS('Bank Lines'!$G$5:$G$1640,A687,'Bank Lines'!$J$5:$J$1640,1,'Bank Lines'!$C$5:$C$1640,"&lt;="&amp;Cover!$C$13)</f>
        <v>0</v>
      </c>
      <c r="P687">
        <f>COUNTIFS('Odoo Items'!$J$5:$J$4331,A687,'Odoo Items'!$C$5:$C$4331,"&lt;="&amp;Cover!$C$13)</f>
        <v>1</v>
      </c>
      <c r="Q687" t="str">
        <f>IF(AND(O687=0,P687=0),"",IF(O687=0,"ODOO-ONLY",IF(P687=0,"BANK-ONLY","BOTH")))</f>
        <v>ODOO-ONLY</v>
      </c>
      <c r="R687" s="9">
        <f>IF(Q687="BOTH",ROUND(M687-N687,2),0)</f>
        <v>0</v>
      </c>
      <c r="S687" s="9">
        <f>ROUND(SUMIFS('Bank Lines'!$E$5:$E$1640,'Bank Lines'!$G$5:$G$1640,A687,'Bank Lines'!$J$5:$J$1640,1,'Bank Lines'!$C$5:$C$1640,"&lt;="&amp;Cover!$C$14),2)</f>
        <v>1040.44</v>
      </c>
      <c r="T687" s="9">
        <f>ROUND(SUMIFS('Odoo Items'!$G$5:$G$4331,'Odoo Items'!$J$5:$J$4331,A687,'Odoo Items'!$C$5:$C$4331,"&lt;="&amp;Cover!$C$14),2)</f>
        <v>1040.44</v>
      </c>
      <c r="U687">
        <f>COUNTIFS('Bank Lines'!$G$5:$G$1640,A687,'Bank Lines'!$J$5:$J$1640,1,'Bank Lines'!$C$5:$C$1640,"&lt;="&amp;Cover!$C$14)</f>
        <v>1</v>
      </c>
      <c r="V687">
        <f>COUNTIFS('Odoo Items'!$J$5:$J$4331,A687,'Odoo Items'!$C$5:$C$4331,"&lt;="&amp;Cover!$C$14)</f>
        <v>1</v>
      </c>
      <c r="W687" t="str">
        <f>IF(AND(U687=0,V687=0),"",IF(U687=0,"ODOO-ONLY",IF(V687=0,"BANK-ONLY","BOTH")))</f>
        <v>BOTH</v>
      </c>
      <c r="X687" s="9">
        <f>IF(W687="BOTH",ROUND(S687-T687,2),0)</f>
        <v>0</v>
      </c>
      <c r="Y687" s="9">
        <f>ROUND(SUMIFS('Bank Lines'!$E$5:$E$1640,'Bank Lines'!$G$5:$G$1640,A687,'Bank Lines'!$J$5:$J$1640,1,'Bank Lines'!$C$5:$C$1640,"&lt;="&amp;Cover!$C$15),2)</f>
        <v>1040.44</v>
      </c>
      <c r="Z687" s="9">
        <f>ROUND(SUMIFS('Odoo Items'!$G$5:$G$4331,'Odoo Items'!$J$5:$J$4331,A687,'Odoo Items'!$C$5:$C$4331,"&lt;="&amp;Cover!$C$15),2)</f>
        <v>1040.44</v>
      </c>
      <c r="AA687">
        <f>COUNTIFS('Bank Lines'!$G$5:$G$1640,A687,'Bank Lines'!$J$5:$J$1640,1,'Bank Lines'!$C$5:$C$1640,"&lt;="&amp;Cover!$C$15)</f>
        <v>1</v>
      </c>
      <c r="AB687">
        <f>COUNTIFS('Odoo Items'!$J$5:$J$4331,A687,'Odoo Items'!$C$5:$C$4331,"&lt;="&amp;Cover!$C$15)</f>
        <v>1</v>
      </c>
      <c r="AC687" t="str">
        <f>IF(AND(AA687=0,AB687=0),"",IF(AA687=0,"ODOO-ONLY",IF(AB687=0,"BANK-ONLY","BOTH")))</f>
        <v>BOTH</v>
      </c>
      <c r="AD687" s="9">
        <f>IF(AC687="BOTH",ROUND(Y687-Z687,2),0)</f>
        <v>0</v>
      </c>
    </row>
    <row r="688">
      <c r="A688" t="inlineStr">
        <is>
          <t>G00684</t>
        </is>
      </c>
      <c r="B688" t="inlineStr">
        <is>
          <t>MER</t>
        </is>
      </c>
      <c r="C688" t="inlineStr">
        <is>
          <t>R08</t>
        </is>
      </c>
      <c r="D688" t="inlineStr">
        <is>
          <t>MATCH</t>
        </is>
      </c>
      <c r="E688" t="inlineStr"/>
      <c r="G688" t="inlineStr"/>
      <c r="H688">
        <f>COUNTIFS('Bank Lines'!$G$5:$G$1640,A688,'Bank Lines'!$J$5:$J$1640,1)</f>
        <v>1</v>
      </c>
      <c r="I688">
        <f>COUNTIFS('Odoo Items'!$J$5:$J$4331,A688)</f>
        <v>1</v>
      </c>
      <c r="J688" s="9">
        <f>ROUND(SUMIFS('Bank Lines'!$E$5:$E$1640,'Bank Lines'!$G$5:$G$1640,A688,'Bank Lines'!$J$5:$J$1640,1),2)</f>
        <v>908.59</v>
      </c>
      <c r="K688" s="9">
        <f>ROUND(SUMIFS('Odoo Items'!$G$5:$G$4331,'Odoo Items'!$J$5:$J$4331,A688),2)</f>
        <v>908.59</v>
      </c>
      <c r="L688" s="9">
        <f>ROUND(J688-K688,2)</f>
        <v>0</v>
      </c>
      <c r="M688" s="9">
        <f>ROUND(SUMIFS('Bank Lines'!$E$5:$E$1640,'Bank Lines'!$G$5:$G$1640,A688,'Bank Lines'!$J$5:$J$1640,1,'Bank Lines'!$C$5:$C$1640,"&lt;="&amp;Cover!$C$13),2)</f>
        <v>0</v>
      </c>
      <c r="N688" s="9">
        <f>ROUND(SUMIFS('Odoo Items'!$G$5:$G$4331,'Odoo Items'!$J$5:$J$4331,A688,'Odoo Items'!$C$5:$C$4331,"&lt;="&amp;Cover!$C$13),2)</f>
        <v>0</v>
      </c>
      <c r="O688">
        <f>COUNTIFS('Bank Lines'!$G$5:$G$1640,A688,'Bank Lines'!$J$5:$J$1640,1,'Bank Lines'!$C$5:$C$1640,"&lt;="&amp;Cover!$C$13)</f>
        <v>0</v>
      </c>
      <c r="P688">
        <f>COUNTIFS('Odoo Items'!$J$5:$J$4331,A688,'Odoo Items'!$C$5:$C$4331,"&lt;="&amp;Cover!$C$13)</f>
        <v>0</v>
      </c>
      <c r="Q688">
        <f>IF(AND(O688=0,P688=0),"",IF(O688=0,"ODOO-ONLY",IF(P688=0,"BANK-ONLY","BOTH")))</f>
      </c>
      <c r="R688" s="9">
        <f>IF(Q688="BOTH",ROUND(M688-N688,2),0)</f>
        <v>0</v>
      </c>
      <c r="S688" s="9">
        <f>ROUND(SUMIFS('Bank Lines'!$E$5:$E$1640,'Bank Lines'!$G$5:$G$1640,A688,'Bank Lines'!$J$5:$J$1640,1,'Bank Lines'!$C$5:$C$1640,"&lt;="&amp;Cover!$C$14),2)</f>
        <v>908.59</v>
      </c>
      <c r="T688" s="9">
        <f>ROUND(SUMIFS('Odoo Items'!$G$5:$G$4331,'Odoo Items'!$J$5:$J$4331,A688,'Odoo Items'!$C$5:$C$4331,"&lt;="&amp;Cover!$C$14),2)</f>
        <v>908.59</v>
      </c>
      <c r="U688">
        <f>COUNTIFS('Bank Lines'!$G$5:$G$1640,A688,'Bank Lines'!$J$5:$J$1640,1,'Bank Lines'!$C$5:$C$1640,"&lt;="&amp;Cover!$C$14)</f>
        <v>1</v>
      </c>
      <c r="V688">
        <f>COUNTIFS('Odoo Items'!$J$5:$J$4331,A688,'Odoo Items'!$C$5:$C$4331,"&lt;="&amp;Cover!$C$14)</f>
        <v>1</v>
      </c>
      <c r="W688" t="str">
        <f>IF(AND(U688=0,V688=0),"",IF(U688=0,"ODOO-ONLY",IF(V688=0,"BANK-ONLY","BOTH")))</f>
        <v>BOTH</v>
      </c>
      <c r="X688" s="9">
        <f>IF(W688="BOTH",ROUND(S688-T688,2),0)</f>
        <v>0</v>
      </c>
      <c r="Y688" s="9">
        <f>ROUND(SUMIFS('Bank Lines'!$E$5:$E$1640,'Bank Lines'!$G$5:$G$1640,A688,'Bank Lines'!$J$5:$J$1640,1,'Bank Lines'!$C$5:$C$1640,"&lt;="&amp;Cover!$C$15),2)</f>
        <v>908.59</v>
      </c>
      <c r="Z688" s="9">
        <f>ROUND(SUMIFS('Odoo Items'!$G$5:$G$4331,'Odoo Items'!$J$5:$J$4331,A688,'Odoo Items'!$C$5:$C$4331,"&lt;="&amp;Cover!$C$15),2)</f>
        <v>908.59</v>
      </c>
      <c r="AA688">
        <f>COUNTIFS('Bank Lines'!$G$5:$G$1640,A688,'Bank Lines'!$J$5:$J$1640,1,'Bank Lines'!$C$5:$C$1640,"&lt;="&amp;Cover!$C$15)</f>
        <v>1</v>
      </c>
      <c r="AB688">
        <f>COUNTIFS('Odoo Items'!$J$5:$J$4331,A688,'Odoo Items'!$C$5:$C$4331,"&lt;="&amp;Cover!$C$15)</f>
        <v>1</v>
      </c>
      <c r="AC688" t="str">
        <f>IF(AND(AA688=0,AB688=0),"",IF(AA688=0,"ODOO-ONLY",IF(AB688=0,"BANK-ONLY","BOTH")))</f>
        <v>BOTH</v>
      </c>
      <c r="AD688" s="9">
        <f>IF(AC688="BOTH",ROUND(Y688-Z688,2),0)</f>
        <v>0</v>
      </c>
    </row>
    <row r="689">
      <c r="A689" t="inlineStr">
        <is>
          <t>G00685</t>
        </is>
      </c>
      <c r="B689" t="inlineStr">
        <is>
          <t>MER</t>
        </is>
      </c>
      <c r="C689" t="inlineStr">
        <is>
          <t>R08</t>
        </is>
      </c>
      <c r="D689" t="inlineStr">
        <is>
          <t>MATCH</t>
        </is>
      </c>
      <c r="E689" t="inlineStr"/>
      <c r="G689" t="inlineStr"/>
      <c r="H689">
        <f>COUNTIFS('Bank Lines'!$G$5:$G$1640,A689,'Bank Lines'!$J$5:$J$1640,1)</f>
        <v>1</v>
      </c>
      <c r="I689">
        <f>COUNTIFS('Odoo Items'!$J$5:$J$4331,A689)</f>
        <v>1</v>
      </c>
      <c r="J689" s="9">
        <f>ROUND(SUMIFS('Bank Lines'!$E$5:$E$1640,'Bank Lines'!$G$5:$G$1640,A689,'Bank Lines'!$J$5:$J$1640,1),2)</f>
        <v>1039.01</v>
      </c>
      <c r="K689" s="9">
        <f>ROUND(SUMIFS('Odoo Items'!$G$5:$G$4331,'Odoo Items'!$J$5:$J$4331,A689),2)</f>
        <v>1039.01</v>
      </c>
      <c r="L689" s="9">
        <f>ROUND(J689-K689,2)</f>
        <v>0</v>
      </c>
      <c r="M689" s="9">
        <f>ROUND(SUMIFS('Bank Lines'!$E$5:$E$1640,'Bank Lines'!$G$5:$G$1640,A689,'Bank Lines'!$J$5:$J$1640,1,'Bank Lines'!$C$5:$C$1640,"&lt;="&amp;Cover!$C$13),2)</f>
        <v>0</v>
      </c>
      <c r="N689" s="9">
        <f>ROUND(SUMIFS('Odoo Items'!$G$5:$G$4331,'Odoo Items'!$J$5:$J$4331,A689,'Odoo Items'!$C$5:$C$4331,"&lt;="&amp;Cover!$C$13),2)</f>
        <v>0</v>
      </c>
      <c r="O689">
        <f>COUNTIFS('Bank Lines'!$G$5:$G$1640,A689,'Bank Lines'!$J$5:$J$1640,1,'Bank Lines'!$C$5:$C$1640,"&lt;="&amp;Cover!$C$13)</f>
        <v>0</v>
      </c>
      <c r="P689">
        <f>COUNTIFS('Odoo Items'!$J$5:$J$4331,A689,'Odoo Items'!$C$5:$C$4331,"&lt;="&amp;Cover!$C$13)</f>
        <v>0</v>
      </c>
      <c r="Q689">
        <f>IF(AND(O689=0,P689=0),"",IF(O689=0,"ODOO-ONLY",IF(P689=0,"BANK-ONLY","BOTH")))</f>
      </c>
      <c r="R689" s="9">
        <f>IF(Q689="BOTH",ROUND(M689-N689,2),0)</f>
        <v>0</v>
      </c>
      <c r="S689" s="9">
        <f>ROUND(SUMIFS('Bank Lines'!$E$5:$E$1640,'Bank Lines'!$G$5:$G$1640,A689,'Bank Lines'!$J$5:$J$1640,1,'Bank Lines'!$C$5:$C$1640,"&lt;="&amp;Cover!$C$14),2)</f>
        <v>1039.01</v>
      </c>
      <c r="T689" s="9">
        <f>ROUND(SUMIFS('Odoo Items'!$G$5:$G$4331,'Odoo Items'!$J$5:$J$4331,A689,'Odoo Items'!$C$5:$C$4331,"&lt;="&amp;Cover!$C$14),2)</f>
        <v>1039.01</v>
      </c>
      <c r="U689">
        <f>COUNTIFS('Bank Lines'!$G$5:$G$1640,A689,'Bank Lines'!$J$5:$J$1640,1,'Bank Lines'!$C$5:$C$1640,"&lt;="&amp;Cover!$C$14)</f>
        <v>1</v>
      </c>
      <c r="V689">
        <f>COUNTIFS('Odoo Items'!$J$5:$J$4331,A689,'Odoo Items'!$C$5:$C$4331,"&lt;="&amp;Cover!$C$14)</f>
        <v>1</v>
      </c>
      <c r="W689" t="str">
        <f>IF(AND(U689=0,V689=0),"",IF(U689=0,"ODOO-ONLY",IF(V689=0,"BANK-ONLY","BOTH")))</f>
        <v>BOTH</v>
      </c>
      <c r="X689" s="9">
        <f>IF(W689="BOTH",ROUND(S689-T689,2),0)</f>
        <v>0</v>
      </c>
      <c r="Y689" s="9">
        <f>ROUND(SUMIFS('Bank Lines'!$E$5:$E$1640,'Bank Lines'!$G$5:$G$1640,A689,'Bank Lines'!$J$5:$J$1640,1,'Bank Lines'!$C$5:$C$1640,"&lt;="&amp;Cover!$C$15),2)</f>
        <v>1039.01</v>
      </c>
      <c r="Z689" s="9">
        <f>ROUND(SUMIFS('Odoo Items'!$G$5:$G$4331,'Odoo Items'!$J$5:$J$4331,A689,'Odoo Items'!$C$5:$C$4331,"&lt;="&amp;Cover!$C$15),2)</f>
        <v>1039.01</v>
      </c>
      <c r="AA689">
        <f>COUNTIFS('Bank Lines'!$G$5:$G$1640,A689,'Bank Lines'!$J$5:$J$1640,1,'Bank Lines'!$C$5:$C$1640,"&lt;="&amp;Cover!$C$15)</f>
        <v>1</v>
      </c>
      <c r="AB689">
        <f>COUNTIFS('Odoo Items'!$J$5:$J$4331,A689,'Odoo Items'!$C$5:$C$4331,"&lt;="&amp;Cover!$C$15)</f>
        <v>1</v>
      </c>
      <c r="AC689" t="str">
        <f>IF(AND(AA689=0,AB689=0),"",IF(AA689=0,"ODOO-ONLY",IF(AB689=0,"BANK-ONLY","BOTH")))</f>
        <v>BOTH</v>
      </c>
      <c r="AD689" s="9">
        <f>IF(AC689="BOTH",ROUND(Y689-Z689,2),0)</f>
        <v>0</v>
      </c>
    </row>
    <row r="690">
      <c r="A690" t="inlineStr">
        <is>
          <t>G00686</t>
        </is>
      </c>
      <c r="B690" t="inlineStr">
        <is>
          <t>MER</t>
        </is>
      </c>
      <c r="C690" t="inlineStr">
        <is>
          <t>R08</t>
        </is>
      </c>
      <c r="D690" t="inlineStr">
        <is>
          <t>MATCH</t>
        </is>
      </c>
      <c r="E690" t="inlineStr"/>
      <c r="G690" t="inlineStr"/>
      <c r="H690">
        <f>COUNTIFS('Bank Lines'!$G$5:$G$1640,A690,'Bank Lines'!$J$5:$J$1640,1)</f>
        <v>1</v>
      </c>
      <c r="I690">
        <f>COUNTIFS('Odoo Items'!$J$5:$J$4331,A690)</f>
        <v>1</v>
      </c>
      <c r="J690" s="9">
        <f>ROUND(SUMIFS('Bank Lines'!$E$5:$E$1640,'Bank Lines'!$G$5:$G$1640,A690,'Bank Lines'!$J$5:$J$1640,1),2)</f>
        <v>1187.92</v>
      </c>
      <c r="K690" s="9">
        <f>ROUND(SUMIFS('Odoo Items'!$G$5:$G$4331,'Odoo Items'!$J$5:$J$4331,A690),2)</f>
        <v>1187.92</v>
      </c>
      <c r="L690" s="9">
        <f>ROUND(J690-K690,2)</f>
        <v>0</v>
      </c>
      <c r="M690" s="9">
        <f>ROUND(SUMIFS('Bank Lines'!$E$5:$E$1640,'Bank Lines'!$G$5:$G$1640,A690,'Bank Lines'!$J$5:$J$1640,1,'Bank Lines'!$C$5:$C$1640,"&lt;="&amp;Cover!$C$13),2)</f>
        <v>0</v>
      </c>
      <c r="N690" s="9">
        <f>ROUND(SUMIFS('Odoo Items'!$G$5:$G$4331,'Odoo Items'!$J$5:$J$4331,A690,'Odoo Items'!$C$5:$C$4331,"&lt;="&amp;Cover!$C$13),2)</f>
        <v>0</v>
      </c>
      <c r="O690">
        <f>COUNTIFS('Bank Lines'!$G$5:$G$1640,A690,'Bank Lines'!$J$5:$J$1640,1,'Bank Lines'!$C$5:$C$1640,"&lt;="&amp;Cover!$C$13)</f>
        <v>0</v>
      </c>
      <c r="P690">
        <f>COUNTIFS('Odoo Items'!$J$5:$J$4331,A690,'Odoo Items'!$C$5:$C$4331,"&lt;="&amp;Cover!$C$13)</f>
        <v>0</v>
      </c>
      <c r="Q690">
        <f>IF(AND(O690=0,P690=0),"",IF(O690=0,"ODOO-ONLY",IF(P690=0,"BANK-ONLY","BOTH")))</f>
      </c>
      <c r="R690" s="9">
        <f>IF(Q690="BOTH",ROUND(M690-N690,2),0)</f>
        <v>0</v>
      </c>
      <c r="S690" s="9">
        <f>ROUND(SUMIFS('Bank Lines'!$E$5:$E$1640,'Bank Lines'!$G$5:$G$1640,A690,'Bank Lines'!$J$5:$J$1640,1,'Bank Lines'!$C$5:$C$1640,"&lt;="&amp;Cover!$C$14),2)</f>
        <v>1187.92</v>
      </c>
      <c r="T690" s="9">
        <f>ROUND(SUMIFS('Odoo Items'!$G$5:$G$4331,'Odoo Items'!$J$5:$J$4331,A690,'Odoo Items'!$C$5:$C$4331,"&lt;="&amp;Cover!$C$14),2)</f>
        <v>1187.92</v>
      </c>
      <c r="U690">
        <f>COUNTIFS('Bank Lines'!$G$5:$G$1640,A690,'Bank Lines'!$J$5:$J$1640,1,'Bank Lines'!$C$5:$C$1640,"&lt;="&amp;Cover!$C$14)</f>
        <v>1</v>
      </c>
      <c r="V690">
        <f>COUNTIFS('Odoo Items'!$J$5:$J$4331,A690,'Odoo Items'!$C$5:$C$4331,"&lt;="&amp;Cover!$C$14)</f>
        <v>1</v>
      </c>
      <c r="W690" t="str">
        <f>IF(AND(U690=0,V690=0),"",IF(U690=0,"ODOO-ONLY",IF(V690=0,"BANK-ONLY","BOTH")))</f>
        <v>BOTH</v>
      </c>
      <c r="X690" s="9">
        <f>IF(W690="BOTH",ROUND(S690-T690,2),0)</f>
        <v>0</v>
      </c>
      <c r="Y690" s="9">
        <f>ROUND(SUMIFS('Bank Lines'!$E$5:$E$1640,'Bank Lines'!$G$5:$G$1640,A690,'Bank Lines'!$J$5:$J$1640,1,'Bank Lines'!$C$5:$C$1640,"&lt;="&amp;Cover!$C$15),2)</f>
        <v>1187.92</v>
      </c>
      <c r="Z690" s="9">
        <f>ROUND(SUMIFS('Odoo Items'!$G$5:$G$4331,'Odoo Items'!$J$5:$J$4331,A690,'Odoo Items'!$C$5:$C$4331,"&lt;="&amp;Cover!$C$15),2)</f>
        <v>1187.92</v>
      </c>
      <c r="AA690">
        <f>COUNTIFS('Bank Lines'!$G$5:$G$1640,A690,'Bank Lines'!$J$5:$J$1640,1,'Bank Lines'!$C$5:$C$1640,"&lt;="&amp;Cover!$C$15)</f>
        <v>1</v>
      </c>
      <c r="AB690">
        <f>COUNTIFS('Odoo Items'!$J$5:$J$4331,A690,'Odoo Items'!$C$5:$C$4331,"&lt;="&amp;Cover!$C$15)</f>
        <v>1</v>
      </c>
      <c r="AC690" t="str">
        <f>IF(AND(AA690=0,AB690=0),"",IF(AA690=0,"ODOO-ONLY",IF(AB690=0,"BANK-ONLY","BOTH")))</f>
        <v>BOTH</v>
      </c>
      <c r="AD690" s="9">
        <f>IF(AC690="BOTH",ROUND(Y690-Z690,2),0)</f>
        <v>0</v>
      </c>
    </row>
    <row r="691">
      <c r="A691" t="inlineStr">
        <is>
          <t>G00687</t>
        </is>
      </c>
      <c r="B691" t="inlineStr">
        <is>
          <t>MER</t>
        </is>
      </c>
      <c r="C691" t="inlineStr">
        <is>
          <t>R08</t>
        </is>
      </c>
      <c r="D691" t="inlineStr">
        <is>
          <t>MATCH</t>
        </is>
      </c>
      <c r="E691" t="inlineStr"/>
      <c r="G691" t="inlineStr"/>
      <c r="H691">
        <f>COUNTIFS('Bank Lines'!$G$5:$G$1640,A691,'Bank Lines'!$J$5:$J$1640,1)</f>
        <v>1</v>
      </c>
      <c r="I691">
        <f>COUNTIFS('Odoo Items'!$J$5:$J$4331,A691)</f>
        <v>1</v>
      </c>
      <c r="J691" s="9">
        <f>ROUND(SUMIFS('Bank Lines'!$E$5:$E$1640,'Bank Lines'!$G$5:$G$1640,A691,'Bank Lines'!$J$5:$J$1640,1),2)</f>
        <v>480.81</v>
      </c>
      <c r="K691" s="9">
        <f>ROUND(SUMIFS('Odoo Items'!$G$5:$G$4331,'Odoo Items'!$J$5:$J$4331,A691),2)</f>
        <v>480.81</v>
      </c>
      <c r="L691" s="9">
        <f>ROUND(J691-K691,2)</f>
        <v>0</v>
      </c>
      <c r="M691" s="9">
        <f>ROUND(SUMIFS('Bank Lines'!$E$5:$E$1640,'Bank Lines'!$G$5:$G$1640,A691,'Bank Lines'!$J$5:$J$1640,1,'Bank Lines'!$C$5:$C$1640,"&lt;="&amp;Cover!$C$13),2)</f>
        <v>0</v>
      </c>
      <c r="N691" s="9">
        <f>ROUND(SUMIFS('Odoo Items'!$G$5:$G$4331,'Odoo Items'!$J$5:$J$4331,A691,'Odoo Items'!$C$5:$C$4331,"&lt;="&amp;Cover!$C$13),2)</f>
        <v>0</v>
      </c>
      <c r="O691">
        <f>COUNTIFS('Bank Lines'!$G$5:$G$1640,A691,'Bank Lines'!$J$5:$J$1640,1,'Bank Lines'!$C$5:$C$1640,"&lt;="&amp;Cover!$C$13)</f>
        <v>0</v>
      </c>
      <c r="P691">
        <f>COUNTIFS('Odoo Items'!$J$5:$J$4331,A691,'Odoo Items'!$C$5:$C$4331,"&lt;="&amp;Cover!$C$13)</f>
        <v>0</v>
      </c>
      <c r="Q691">
        <f>IF(AND(O691=0,P691=0),"",IF(O691=0,"ODOO-ONLY",IF(P691=0,"BANK-ONLY","BOTH")))</f>
      </c>
      <c r="R691" s="9">
        <f>IF(Q691="BOTH",ROUND(M691-N691,2),0)</f>
        <v>0</v>
      </c>
      <c r="S691" s="9">
        <f>ROUND(SUMIFS('Bank Lines'!$E$5:$E$1640,'Bank Lines'!$G$5:$G$1640,A691,'Bank Lines'!$J$5:$J$1640,1,'Bank Lines'!$C$5:$C$1640,"&lt;="&amp;Cover!$C$14),2)</f>
        <v>480.81</v>
      </c>
      <c r="T691" s="9">
        <f>ROUND(SUMIFS('Odoo Items'!$G$5:$G$4331,'Odoo Items'!$J$5:$J$4331,A691,'Odoo Items'!$C$5:$C$4331,"&lt;="&amp;Cover!$C$14),2)</f>
        <v>480.81</v>
      </c>
      <c r="U691">
        <f>COUNTIFS('Bank Lines'!$G$5:$G$1640,A691,'Bank Lines'!$J$5:$J$1640,1,'Bank Lines'!$C$5:$C$1640,"&lt;="&amp;Cover!$C$14)</f>
        <v>1</v>
      </c>
      <c r="V691">
        <f>COUNTIFS('Odoo Items'!$J$5:$J$4331,A691,'Odoo Items'!$C$5:$C$4331,"&lt;="&amp;Cover!$C$14)</f>
        <v>1</v>
      </c>
      <c r="W691" t="str">
        <f>IF(AND(U691=0,V691=0),"",IF(U691=0,"ODOO-ONLY",IF(V691=0,"BANK-ONLY","BOTH")))</f>
        <v>BOTH</v>
      </c>
      <c r="X691" s="9">
        <f>IF(W691="BOTH",ROUND(S691-T691,2),0)</f>
        <v>0</v>
      </c>
      <c r="Y691" s="9">
        <f>ROUND(SUMIFS('Bank Lines'!$E$5:$E$1640,'Bank Lines'!$G$5:$G$1640,A691,'Bank Lines'!$J$5:$J$1640,1,'Bank Lines'!$C$5:$C$1640,"&lt;="&amp;Cover!$C$15),2)</f>
        <v>480.81</v>
      </c>
      <c r="Z691" s="9">
        <f>ROUND(SUMIFS('Odoo Items'!$G$5:$G$4331,'Odoo Items'!$J$5:$J$4331,A691,'Odoo Items'!$C$5:$C$4331,"&lt;="&amp;Cover!$C$15),2)</f>
        <v>480.81</v>
      </c>
      <c r="AA691">
        <f>COUNTIFS('Bank Lines'!$G$5:$G$1640,A691,'Bank Lines'!$J$5:$J$1640,1,'Bank Lines'!$C$5:$C$1640,"&lt;="&amp;Cover!$C$15)</f>
        <v>1</v>
      </c>
      <c r="AB691">
        <f>COUNTIFS('Odoo Items'!$J$5:$J$4331,A691,'Odoo Items'!$C$5:$C$4331,"&lt;="&amp;Cover!$C$15)</f>
        <v>1</v>
      </c>
      <c r="AC691" t="str">
        <f>IF(AND(AA691=0,AB691=0),"",IF(AA691=0,"ODOO-ONLY",IF(AB691=0,"BANK-ONLY","BOTH")))</f>
        <v>BOTH</v>
      </c>
      <c r="AD691" s="9">
        <f>IF(AC691="BOTH",ROUND(Y691-Z691,2),0)</f>
        <v>0</v>
      </c>
    </row>
    <row r="692">
      <c r="A692" t="inlineStr">
        <is>
          <t>G00688</t>
        </is>
      </c>
      <c r="B692" t="inlineStr">
        <is>
          <t>MER</t>
        </is>
      </c>
      <c r="C692" t="inlineStr">
        <is>
          <t>R04</t>
        </is>
      </c>
      <c r="D692" t="inlineStr">
        <is>
          <t>MATCH</t>
        </is>
      </c>
      <c r="E692" t="inlineStr"/>
      <c r="G692" t="inlineStr">
        <is>
          <t>Sweep, same amount</t>
        </is>
      </c>
      <c r="H692">
        <f>COUNTIFS('Bank Lines'!$G$5:$G$1640,A692,'Bank Lines'!$J$5:$J$1640,1)</f>
        <v>1</v>
      </c>
      <c r="I692">
        <f>COUNTIFS('Odoo Items'!$J$5:$J$4331,A692)</f>
        <v>1</v>
      </c>
      <c r="J692" s="9">
        <f>ROUND(SUMIFS('Bank Lines'!$E$5:$E$1640,'Bank Lines'!$G$5:$G$1640,A692,'Bank Lines'!$J$5:$J$1640,1),2)</f>
        <v>-22000</v>
      </c>
      <c r="K692" s="9">
        <f>ROUND(SUMIFS('Odoo Items'!$G$5:$G$4331,'Odoo Items'!$J$5:$J$4331,A692),2)</f>
        <v>-22000</v>
      </c>
      <c r="L692" s="9">
        <f>ROUND(J692-K692,2)</f>
        <v>0</v>
      </c>
      <c r="M692" s="9">
        <f>ROUND(SUMIFS('Bank Lines'!$E$5:$E$1640,'Bank Lines'!$G$5:$G$1640,A692,'Bank Lines'!$J$5:$J$1640,1,'Bank Lines'!$C$5:$C$1640,"&lt;="&amp;Cover!$C$13),2)</f>
        <v>0</v>
      </c>
      <c r="N692" s="9">
        <f>ROUND(SUMIFS('Odoo Items'!$G$5:$G$4331,'Odoo Items'!$J$5:$J$4331,A692,'Odoo Items'!$C$5:$C$4331,"&lt;="&amp;Cover!$C$13),2)</f>
        <v>0</v>
      </c>
      <c r="O692">
        <f>COUNTIFS('Bank Lines'!$G$5:$G$1640,A692,'Bank Lines'!$J$5:$J$1640,1,'Bank Lines'!$C$5:$C$1640,"&lt;="&amp;Cover!$C$13)</f>
        <v>0</v>
      </c>
      <c r="P692">
        <f>COUNTIFS('Odoo Items'!$J$5:$J$4331,A692,'Odoo Items'!$C$5:$C$4331,"&lt;="&amp;Cover!$C$13)</f>
        <v>0</v>
      </c>
      <c r="Q692">
        <f>IF(AND(O692=0,P692=0),"",IF(O692=0,"ODOO-ONLY",IF(P692=0,"BANK-ONLY","BOTH")))</f>
      </c>
      <c r="R692" s="9">
        <f>IF(Q692="BOTH",ROUND(M692-N692,2),0)</f>
        <v>0</v>
      </c>
      <c r="S692" s="9">
        <f>ROUND(SUMIFS('Bank Lines'!$E$5:$E$1640,'Bank Lines'!$G$5:$G$1640,A692,'Bank Lines'!$J$5:$J$1640,1,'Bank Lines'!$C$5:$C$1640,"&lt;="&amp;Cover!$C$14),2)</f>
        <v>-22000</v>
      </c>
      <c r="T692" s="9">
        <f>ROUND(SUMIFS('Odoo Items'!$G$5:$G$4331,'Odoo Items'!$J$5:$J$4331,A692,'Odoo Items'!$C$5:$C$4331,"&lt;="&amp;Cover!$C$14),2)</f>
        <v>-22000</v>
      </c>
      <c r="U692">
        <f>COUNTIFS('Bank Lines'!$G$5:$G$1640,A692,'Bank Lines'!$J$5:$J$1640,1,'Bank Lines'!$C$5:$C$1640,"&lt;="&amp;Cover!$C$14)</f>
        <v>1</v>
      </c>
      <c r="V692">
        <f>COUNTIFS('Odoo Items'!$J$5:$J$4331,A692,'Odoo Items'!$C$5:$C$4331,"&lt;="&amp;Cover!$C$14)</f>
        <v>1</v>
      </c>
      <c r="W692" t="str">
        <f>IF(AND(U692=0,V692=0),"",IF(U692=0,"ODOO-ONLY",IF(V692=0,"BANK-ONLY","BOTH")))</f>
        <v>BOTH</v>
      </c>
      <c r="X692" s="9">
        <f>IF(W692="BOTH",ROUND(S692-T692,2),0)</f>
        <v>0</v>
      </c>
      <c r="Y692" s="9">
        <f>ROUND(SUMIFS('Bank Lines'!$E$5:$E$1640,'Bank Lines'!$G$5:$G$1640,A692,'Bank Lines'!$J$5:$J$1640,1,'Bank Lines'!$C$5:$C$1640,"&lt;="&amp;Cover!$C$15),2)</f>
        <v>-22000</v>
      </c>
      <c r="Z692" s="9">
        <f>ROUND(SUMIFS('Odoo Items'!$G$5:$G$4331,'Odoo Items'!$J$5:$J$4331,A692,'Odoo Items'!$C$5:$C$4331,"&lt;="&amp;Cover!$C$15),2)</f>
        <v>-22000</v>
      </c>
      <c r="AA692">
        <f>COUNTIFS('Bank Lines'!$G$5:$G$1640,A692,'Bank Lines'!$J$5:$J$1640,1,'Bank Lines'!$C$5:$C$1640,"&lt;="&amp;Cover!$C$15)</f>
        <v>1</v>
      </c>
      <c r="AB692">
        <f>COUNTIFS('Odoo Items'!$J$5:$J$4331,A692,'Odoo Items'!$C$5:$C$4331,"&lt;="&amp;Cover!$C$15)</f>
        <v>1</v>
      </c>
      <c r="AC692" t="str">
        <f>IF(AND(AA692=0,AB692=0),"",IF(AA692=0,"ODOO-ONLY",IF(AB692=0,"BANK-ONLY","BOTH")))</f>
        <v>BOTH</v>
      </c>
      <c r="AD692" s="9">
        <f>IF(AC692="BOTH",ROUND(Y692-Z692,2),0)</f>
        <v>0</v>
      </c>
    </row>
    <row r="693">
      <c r="A693" t="inlineStr">
        <is>
          <t>G00689</t>
        </is>
      </c>
      <c r="B693" t="inlineStr">
        <is>
          <t>MER</t>
        </is>
      </c>
      <c r="C693" t="inlineStr">
        <is>
          <t>R08</t>
        </is>
      </c>
      <c r="D693" t="inlineStr">
        <is>
          <t>MATCH</t>
        </is>
      </c>
      <c r="E693" t="inlineStr"/>
      <c r="G693" t="inlineStr"/>
      <c r="H693">
        <f>COUNTIFS('Bank Lines'!$G$5:$G$1640,A693,'Bank Lines'!$J$5:$J$1640,1)</f>
        <v>1</v>
      </c>
      <c r="I693">
        <f>COUNTIFS('Odoo Items'!$J$5:$J$4331,A693)</f>
        <v>1</v>
      </c>
      <c r="J693" s="9">
        <f>ROUND(SUMIFS('Bank Lines'!$E$5:$E$1640,'Bank Lines'!$G$5:$G$1640,A693,'Bank Lines'!$J$5:$J$1640,1),2)</f>
        <v>2070.06</v>
      </c>
      <c r="K693" s="9">
        <f>ROUND(SUMIFS('Odoo Items'!$G$5:$G$4331,'Odoo Items'!$J$5:$J$4331,A693),2)</f>
        <v>2070.06</v>
      </c>
      <c r="L693" s="9">
        <f>ROUND(J693-K693,2)</f>
        <v>0</v>
      </c>
      <c r="M693" s="9">
        <f>ROUND(SUMIFS('Bank Lines'!$E$5:$E$1640,'Bank Lines'!$G$5:$G$1640,A693,'Bank Lines'!$J$5:$J$1640,1,'Bank Lines'!$C$5:$C$1640,"&lt;="&amp;Cover!$C$13),2)</f>
        <v>0</v>
      </c>
      <c r="N693" s="9">
        <f>ROUND(SUMIFS('Odoo Items'!$G$5:$G$4331,'Odoo Items'!$J$5:$J$4331,A693,'Odoo Items'!$C$5:$C$4331,"&lt;="&amp;Cover!$C$13),2)</f>
        <v>0</v>
      </c>
      <c r="O693">
        <f>COUNTIFS('Bank Lines'!$G$5:$G$1640,A693,'Bank Lines'!$J$5:$J$1640,1,'Bank Lines'!$C$5:$C$1640,"&lt;="&amp;Cover!$C$13)</f>
        <v>0</v>
      </c>
      <c r="P693">
        <f>COUNTIFS('Odoo Items'!$J$5:$J$4331,A693,'Odoo Items'!$C$5:$C$4331,"&lt;="&amp;Cover!$C$13)</f>
        <v>0</v>
      </c>
      <c r="Q693">
        <f>IF(AND(O693=0,P693=0),"",IF(O693=0,"ODOO-ONLY",IF(P693=0,"BANK-ONLY","BOTH")))</f>
      </c>
      <c r="R693" s="9">
        <f>IF(Q693="BOTH",ROUND(M693-N693,2),0)</f>
        <v>0</v>
      </c>
      <c r="S693" s="9">
        <f>ROUND(SUMIFS('Bank Lines'!$E$5:$E$1640,'Bank Lines'!$G$5:$G$1640,A693,'Bank Lines'!$J$5:$J$1640,1,'Bank Lines'!$C$5:$C$1640,"&lt;="&amp;Cover!$C$14),2)</f>
        <v>2070.06</v>
      </c>
      <c r="T693" s="9">
        <f>ROUND(SUMIFS('Odoo Items'!$G$5:$G$4331,'Odoo Items'!$J$5:$J$4331,A693,'Odoo Items'!$C$5:$C$4331,"&lt;="&amp;Cover!$C$14),2)</f>
        <v>2070.06</v>
      </c>
      <c r="U693">
        <f>COUNTIFS('Bank Lines'!$G$5:$G$1640,A693,'Bank Lines'!$J$5:$J$1640,1,'Bank Lines'!$C$5:$C$1640,"&lt;="&amp;Cover!$C$14)</f>
        <v>1</v>
      </c>
      <c r="V693">
        <f>COUNTIFS('Odoo Items'!$J$5:$J$4331,A693,'Odoo Items'!$C$5:$C$4331,"&lt;="&amp;Cover!$C$14)</f>
        <v>1</v>
      </c>
      <c r="W693" t="str">
        <f>IF(AND(U693=0,V693=0),"",IF(U693=0,"ODOO-ONLY",IF(V693=0,"BANK-ONLY","BOTH")))</f>
        <v>BOTH</v>
      </c>
      <c r="X693" s="9">
        <f>IF(W693="BOTH",ROUND(S693-T693,2),0)</f>
        <v>0</v>
      </c>
      <c r="Y693" s="9">
        <f>ROUND(SUMIFS('Bank Lines'!$E$5:$E$1640,'Bank Lines'!$G$5:$G$1640,A693,'Bank Lines'!$J$5:$J$1640,1,'Bank Lines'!$C$5:$C$1640,"&lt;="&amp;Cover!$C$15),2)</f>
        <v>2070.06</v>
      </c>
      <c r="Z693" s="9">
        <f>ROUND(SUMIFS('Odoo Items'!$G$5:$G$4331,'Odoo Items'!$J$5:$J$4331,A693,'Odoo Items'!$C$5:$C$4331,"&lt;="&amp;Cover!$C$15),2)</f>
        <v>2070.06</v>
      </c>
      <c r="AA693">
        <f>COUNTIFS('Bank Lines'!$G$5:$G$1640,A693,'Bank Lines'!$J$5:$J$1640,1,'Bank Lines'!$C$5:$C$1640,"&lt;="&amp;Cover!$C$15)</f>
        <v>1</v>
      </c>
      <c r="AB693">
        <f>COUNTIFS('Odoo Items'!$J$5:$J$4331,A693,'Odoo Items'!$C$5:$C$4331,"&lt;="&amp;Cover!$C$15)</f>
        <v>1</v>
      </c>
      <c r="AC693" t="str">
        <f>IF(AND(AA693=0,AB693=0),"",IF(AA693=0,"ODOO-ONLY",IF(AB693=0,"BANK-ONLY","BOTH")))</f>
        <v>BOTH</v>
      </c>
      <c r="AD693" s="9">
        <f>IF(AC693="BOTH",ROUND(Y693-Z693,2),0)</f>
        <v>0</v>
      </c>
    </row>
    <row r="694">
      <c r="A694" t="inlineStr">
        <is>
          <t>G00690</t>
        </is>
      </c>
      <c r="B694" t="inlineStr">
        <is>
          <t>MER</t>
        </is>
      </c>
      <c r="C694" t="inlineStr">
        <is>
          <t>R08</t>
        </is>
      </c>
      <c r="D694" t="inlineStr">
        <is>
          <t>MATCH</t>
        </is>
      </c>
      <c r="E694" t="inlineStr"/>
      <c r="G694" t="inlineStr"/>
      <c r="H694">
        <f>COUNTIFS('Bank Lines'!$G$5:$G$1640,A694,'Bank Lines'!$J$5:$J$1640,1)</f>
        <v>1</v>
      </c>
      <c r="I694">
        <f>COUNTIFS('Odoo Items'!$J$5:$J$4331,A694)</f>
        <v>1</v>
      </c>
      <c r="J694" s="9">
        <f>ROUND(SUMIFS('Bank Lines'!$E$5:$E$1640,'Bank Lines'!$G$5:$G$1640,A694,'Bank Lines'!$J$5:$J$1640,1),2)</f>
        <v>1449.26</v>
      </c>
      <c r="K694" s="9">
        <f>ROUND(SUMIFS('Odoo Items'!$G$5:$G$4331,'Odoo Items'!$J$5:$J$4331,A694),2)</f>
        <v>1449.26</v>
      </c>
      <c r="L694" s="9">
        <f>ROUND(J694-K694,2)</f>
        <v>0</v>
      </c>
      <c r="M694" s="9">
        <f>ROUND(SUMIFS('Bank Lines'!$E$5:$E$1640,'Bank Lines'!$G$5:$G$1640,A694,'Bank Lines'!$J$5:$J$1640,1,'Bank Lines'!$C$5:$C$1640,"&lt;="&amp;Cover!$C$13),2)</f>
        <v>0</v>
      </c>
      <c r="N694" s="9">
        <f>ROUND(SUMIFS('Odoo Items'!$G$5:$G$4331,'Odoo Items'!$J$5:$J$4331,A694,'Odoo Items'!$C$5:$C$4331,"&lt;="&amp;Cover!$C$13),2)</f>
        <v>0</v>
      </c>
      <c r="O694">
        <f>COUNTIFS('Bank Lines'!$G$5:$G$1640,A694,'Bank Lines'!$J$5:$J$1640,1,'Bank Lines'!$C$5:$C$1640,"&lt;="&amp;Cover!$C$13)</f>
        <v>0</v>
      </c>
      <c r="P694">
        <f>COUNTIFS('Odoo Items'!$J$5:$J$4331,A694,'Odoo Items'!$C$5:$C$4331,"&lt;="&amp;Cover!$C$13)</f>
        <v>0</v>
      </c>
      <c r="Q694">
        <f>IF(AND(O694=0,P694=0),"",IF(O694=0,"ODOO-ONLY",IF(P694=0,"BANK-ONLY","BOTH")))</f>
      </c>
      <c r="R694" s="9">
        <f>IF(Q694="BOTH",ROUND(M694-N694,2),0)</f>
        <v>0</v>
      </c>
      <c r="S694" s="9">
        <f>ROUND(SUMIFS('Bank Lines'!$E$5:$E$1640,'Bank Lines'!$G$5:$G$1640,A694,'Bank Lines'!$J$5:$J$1640,1,'Bank Lines'!$C$5:$C$1640,"&lt;="&amp;Cover!$C$14),2)</f>
        <v>1449.26</v>
      </c>
      <c r="T694" s="9">
        <f>ROUND(SUMIFS('Odoo Items'!$G$5:$G$4331,'Odoo Items'!$J$5:$J$4331,A694,'Odoo Items'!$C$5:$C$4331,"&lt;="&amp;Cover!$C$14),2)</f>
        <v>1449.26</v>
      </c>
      <c r="U694">
        <f>COUNTIFS('Bank Lines'!$G$5:$G$1640,A694,'Bank Lines'!$J$5:$J$1640,1,'Bank Lines'!$C$5:$C$1640,"&lt;="&amp;Cover!$C$14)</f>
        <v>1</v>
      </c>
      <c r="V694">
        <f>COUNTIFS('Odoo Items'!$J$5:$J$4331,A694,'Odoo Items'!$C$5:$C$4331,"&lt;="&amp;Cover!$C$14)</f>
        <v>1</v>
      </c>
      <c r="W694" t="str">
        <f>IF(AND(U694=0,V694=0),"",IF(U694=0,"ODOO-ONLY",IF(V694=0,"BANK-ONLY","BOTH")))</f>
        <v>BOTH</v>
      </c>
      <c r="X694" s="9">
        <f>IF(W694="BOTH",ROUND(S694-T694,2),0)</f>
        <v>0</v>
      </c>
      <c r="Y694" s="9">
        <f>ROUND(SUMIFS('Bank Lines'!$E$5:$E$1640,'Bank Lines'!$G$5:$G$1640,A694,'Bank Lines'!$J$5:$J$1640,1,'Bank Lines'!$C$5:$C$1640,"&lt;="&amp;Cover!$C$15),2)</f>
        <v>1449.26</v>
      </c>
      <c r="Z694" s="9">
        <f>ROUND(SUMIFS('Odoo Items'!$G$5:$G$4331,'Odoo Items'!$J$5:$J$4331,A694,'Odoo Items'!$C$5:$C$4331,"&lt;="&amp;Cover!$C$15),2)</f>
        <v>1449.26</v>
      </c>
      <c r="AA694">
        <f>COUNTIFS('Bank Lines'!$G$5:$G$1640,A694,'Bank Lines'!$J$5:$J$1640,1,'Bank Lines'!$C$5:$C$1640,"&lt;="&amp;Cover!$C$15)</f>
        <v>1</v>
      </c>
      <c r="AB694">
        <f>COUNTIFS('Odoo Items'!$J$5:$J$4331,A694,'Odoo Items'!$C$5:$C$4331,"&lt;="&amp;Cover!$C$15)</f>
        <v>1</v>
      </c>
      <c r="AC694" t="str">
        <f>IF(AND(AA694=0,AB694=0),"",IF(AA694=0,"ODOO-ONLY",IF(AB694=0,"BANK-ONLY","BOTH")))</f>
        <v>BOTH</v>
      </c>
      <c r="AD694" s="9">
        <f>IF(AC694="BOTH",ROUND(Y694-Z694,2),0)</f>
        <v>0</v>
      </c>
    </row>
    <row r="695">
      <c r="A695" t="inlineStr">
        <is>
          <t>G00691</t>
        </is>
      </c>
      <c r="B695" t="inlineStr">
        <is>
          <t>MER</t>
        </is>
      </c>
      <c r="C695" t="inlineStr">
        <is>
          <t>R08</t>
        </is>
      </c>
      <c r="D695" t="inlineStr">
        <is>
          <t>MATCH</t>
        </is>
      </c>
      <c r="E695" t="inlineStr"/>
      <c r="G695" t="inlineStr"/>
      <c r="H695">
        <f>COUNTIFS('Bank Lines'!$G$5:$G$1640,A695,'Bank Lines'!$J$5:$J$1640,1)</f>
        <v>1</v>
      </c>
      <c r="I695">
        <f>COUNTIFS('Odoo Items'!$J$5:$J$4331,A695)</f>
        <v>1</v>
      </c>
      <c r="J695" s="9">
        <f>ROUND(SUMIFS('Bank Lines'!$E$5:$E$1640,'Bank Lines'!$G$5:$G$1640,A695,'Bank Lines'!$J$5:$J$1640,1),2)</f>
        <v>1337.09</v>
      </c>
      <c r="K695" s="9">
        <f>ROUND(SUMIFS('Odoo Items'!$G$5:$G$4331,'Odoo Items'!$J$5:$J$4331,A695),2)</f>
        <v>1337.09</v>
      </c>
      <c r="L695" s="9">
        <f>ROUND(J695-K695,2)</f>
        <v>0</v>
      </c>
      <c r="M695" s="9">
        <f>ROUND(SUMIFS('Bank Lines'!$E$5:$E$1640,'Bank Lines'!$G$5:$G$1640,A695,'Bank Lines'!$J$5:$J$1640,1,'Bank Lines'!$C$5:$C$1640,"&lt;="&amp;Cover!$C$13),2)</f>
        <v>0</v>
      </c>
      <c r="N695" s="9">
        <f>ROUND(SUMIFS('Odoo Items'!$G$5:$G$4331,'Odoo Items'!$J$5:$J$4331,A695,'Odoo Items'!$C$5:$C$4331,"&lt;="&amp;Cover!$C$13),2)</f>
        <v>0</v>
      </c>
      <c r="O695">
        <f>COUNTIFS('Bank Lines'!$G$5:$G$1640,A695,'Bank Lines'!$J$5:$J$1640,1,'Bank Lines'!$C$5:$C$1640,"&lt;="&amp;Cover!$C$13)</f>
        <v>0</v>
      </c>
      <c r="P695">
        <f>COUNTIFS('Odoo Items'!$J$5:$J$4331,A695,'Odoo Items'!$C$5:$C$4331,"&lt;="&amp;Cover!$C$13)</f>
        <v>0</v>
      </c>
      <c r="Q695">
        <f>IF(AND(O695=0,P695=0),"",IF(O695=0,"ODOO-ONLY",IF(P695=0,"BANK-ONLY","BOTH")))</f>
      </c>
      <c r="R695" s="9">
        <f>IF(Q695="BOTH",ROUND(M695-N695,2),0)</f>
        <v>0</v>
      </c>
      <c r="S695" s="9">
        <f>ROUND(SUMIFS('Bank Lines'!$E$5:$E$1640,'Bank Lines'!$G$5:$G$1640,A695,'Bank Lines'!$J$5:$J$1640,1,'Bank Lines'!$C$5:$C$1640,"&lt;="&amp;Cover!$C$14),2)</f>
        <v>1337.09</v>
      </c>
      <c r="T695" s="9">
        <f>ROUND(SUMIFS('Odoo Items'!$G$5:$G$4331,'Odoo Items'!$J$5:$J$4331,A695,'Odoo Items'!$C$5:$C$4331,"&lt;="&amp;Cover!$C$14),2)</f>
        <v>1337.09</v>
      </c>
      <c r="U695">
        <f>COUNTIFS('Bank Lines'!$G$5:$G$1640,A695,'Bank Lines'!$J$5:$J$1640,1,'Bank Lines'!$C$5:$C$1640,"&lt;="&amp;Cover!$C$14)</f>
        <v>1</v>
      </c>
      <c r="V695">
        <f>COUNTIFS('Odoo Items'!$J$5:$J$4331,A695,'Odoo Items'!$C$5:$C$4331,"&lt;="&amp;Cover!$C$14)</f>
        <v>1</v>
      </c>
      <c r="W695" t="str">
        <f>IF(AND(U695=0,V695=0),"",IF(U695=0,"ODOO-ONLY",IF(V695=0,"BANK-ONLY","BOTH")))</f>
        <v>BOTH</v>
      </c>
      <c r="X695" s="9">
        <f>IF(W695="BOTH",ROUND(S695-T695,2),0)</f>
        <v>0</v>
      </c>
      <c r="Y695" s="9">
        <f>ROUND(SUMIFS('Bank Lines'!$E$5:$E$1640,'Bank Lines'!$G$5:$G$1640,A695,'Bank Lines'!$J$5:$J$1640,1,'Bank Lines'!$C$5:$C$1640,"&lt;="&amp;Cover!$C$15),2)</f>
        <v>1337.09</v>
      </c>
      <c r="Z695" s="9">
        <f>ROUND(SUMIFS('Odoo Items'!$G$5:$G$4331,'Odoo Items'!$J$5:$J$4331,A695,'Odoo Items'!$C$5:$C$4331,"&lt;="&amp;Cover!$C$15),2)</f>
        <v>1337.09</v>
      </c>
      <c r="AA695">
        <f>COUNTIFS('Bank Lines'!$G$5:$G$1640,A695,'Bank Lines'!$J$5:$J$1640,1,'Bank Lines'!$C$5:$C$1640,"&lt;="&amp;Cover!$C$15)</f>
        <v>1</v>
      </c>
      <c r="AB695">
        <f>COUNTIFS('Odoo Items'!$J$5:$J$4331,A695,'Odoo Items'!$C$5:$C$4331,"&lt;="&amp;Cover!$C$15)</f>
        <v>1</v>
      </c>
      <c r="AC695" t="str">
        <f>IF(AND(AA695=0,AB695=0),"",IF(AA695=0,"ODOO-ONLY",IF(AB695=0,"BANK-ONLY","BOTH")))</f>
        <v>BOTH</v>
      </c>
      <c r="AD695" s="9">
        <f>IF(AC695="BOTH",ROUND(Y695-Z695,2),0)</f>
        <v>0</v>
      </c>
    </row>
    <row r="696">
      <c r="A696" t="inlineStr">
        <is>
          <t>G00692</t>
        </is>
      </c>
      <c r="B696" t="inlineStr">
        <is>
          <t>MER</t>
        </is>
      </c>
      <c r="C696" t="inlineStr">
        <is>
          <t>R08</t>
        </is>
      </c>
      <c r="D696" t="inlineStr">
        <is>
          <t>MATCH</t>
        </is>
      </c>
      <c r="E696" t="inlineStr"/>
      <c r="G696" t="inlineStr"/>
      <c r="H696">
        <f>COUNTIFS('Bank Lines'!$G$5:$G$1640,A696,'Bank Lines'!$J$5:$J$1640,1)</f>
        <v>1</v>
      </c>
      <c r="I696">
        <f>COUNTIFS('Odoo Items'!$J$5:$J$4331,A696)</f>
        <v>1</v>
      </c>
      <c r="J696" s="9">
        <f>ROUND(SUMIFS('Bank Lines'!$E$5:$E$1640,'Bank Lines'!$G$5:$G$1640,A696,'Bank Lines'!$J$5:$J$1640,1),2)</f>
        <v>1108.16</v>
      </c>
      <c r="K696" s="9">
        <f>ROUND(SUMIFS('Odoo Items'!$G$5:$G$4331,'Odoo Items'!$J$5:$J$4331,A696),2)</f>
        <v>1108.16</v>
      </c>
      <c r="L696" s="9">
        <f>ROUND(J696-K696,2)</f>
        <v>0</v>
      </c>
      <c r="M696" s="9">
        <f>ROUND(SUMIFS('Bank Lines'!$E$5:$E$1640,'Bank Lines'!$G$5:$G$1640,A696,'Bank Lines'!$J$5:$J$1640,1,'Bank Lines'!$C$5:$C$1640,"&lt;="&amp;Cover!$C$13),2)</f>
        <v>0</v>
      </c>
      <c r="N696" s="9">
        <f>ROUND(SUMIFS('Odoo Items'!$G$5:$G$4331,'Odoo Items'!$J$5:$J$4331,A696,'Odoo Items'!$C$5:$C$4331,"&lt;="&amp;Cover!$C$13),2)</f>
        <v>0</v>
      </c>
      <c r="O696">
        <f>COUNTIFS('Bank Lines'!$G$5:$G$1640,A696,'Bank Lines'!$J$5:$J$1640,1,'Bank Lines'!$C$5:$C$1640,"&lt;="&amp;Cover!$C$13)</f>
        <v>0</v>
      </c>
      <c r="P696">
        <f>COUNTIFS('Odoo Items'!$J$5:$J$4331,A696,'Odoo Items'!$C$5:$C$4331,"&lt;="&amp;Cover!$C$13)</f>
        <v>0</v>
      </c>
      <c r="Q696">
        <f>IF(AND(O696=0,P696=0),"",IF(O696=0,"ODOO-ONLY",IF(P696=0,"BANK-ONLY","BOTH")))</f>
      </c>
      <c r="R696" s="9">
        <f>IF(Q696="BOTH",ROUND(M696-N696,2),0)</f>
        <v>0</v>
      </c>
      <c r="S696" s="9">
        <f>ROUND(SUMIFS('Bank Lines'!$E$5:$E$1640,'Bank Lines'!$G$5:$G$1640,A696,'Bank Lines'!$J$5:$J$1640,1,'Bank Lines'!$C$5:$C$1640,"&lt;="&amp;Cover!$C$14),2)</f>
        <v>1108.16</v>
      </c>
      <c r="T696" s="9">
        <f>ROUND(SUMIFS('Odoo Items'!$G$5:$G$4331,'Odoo Items'!$J$5:$J$4331,A696,'Odoo Items'!$C$5:$C$4331,"&lt;="&amp;Cover!$C$14),2)</f>
        <v>1108.16</v>
      </c>
      <c r="U696">
        <f>COUNTIFS('Bank Lines'!$G$5:$G$1640,A696,'Bank Lines'!$J$5:$J$1640,1,'Bank Lines'!$C$5:$C$1640,"&lt;="&amp;Cover!$C$14)</f>
        <v>1</v>
      </c>
      <c r="V696">
        <f>COUNTIFS('Odoo Items'!$J$5:$J$4331,A696,'Odoo Items'!$C$5:$C$4331,"&lt;="&amp;Cover!$C$14)</f>
        <v>1</v>
      </c>
      <c r="W696" t="str">
        <f>IF(AND(U696=0,V696=0),"",IF(U696=0,"ODOO-ONLY",IF(V696=0,"BANK-ONLY","BOTH")))</f>
        <v>BOTH</v>
      </c>
      <c r="X696" s="9">
        <f>IF(W696="BOTH",ROUND(S696-T696,2),0)</f>
        <v>0</v>
      </c>
      <c r="Y696" s="9">
        <f>ROUND(SUMIFS('Bank Lines'!$E$5:$E$1640,'Bank Lines'!$G$5:$G$1640,A696,'Bank Lines'!$J$5:$J$1640,1,'Bank Lines'!$C$5:$C$1640,"&lt;="&amp;Cover!$C$15),2)</f>
        <v>1108.16</v>
      </c>
      <c r="Z696" s="9">
        <f>ROUND(SUMIFS('Odoo Items'!$G$5:$G$4331,'Odoo Items'!$J$5:$J$4331,A696,'Odoo Items'!$C$5:$C$4331,"&lt;="&amp;Cover!$C$15),2)</f>
        <v>1108.16</v>
      </c>
      <c r="AA696">
        <f>COUNTIFS('Bank Lines'!$G$5:$G$1640,A696,'Bank Lines'!$J$5:$J$1640,1,'Bank Lines'!$C$5:$C$1640,"&lt;="&amp;Cover!$C$15)</f>
        <v>1</v>
      </c>
      <c r="AB696">
        <f>COUNTIFS('Odoo Items'!$J$5:$J$4331,A696,'Odoo Items'!$C$5:$C$4331,"&lt;="&amp;Cover!$C$15)</f>
        <v>1</v>
      </c>
      <c r="AC696" t="str">
        <f>IF(AND(AA696=0,AB696=0),"",IF(AA696=0,"ODOO-ONLY",IF(AB696=0,"BANK-ONLY","BOTH")))</f>
        <v>BOTH</v>
      </c>
      <c r="AD696" s="9">
        <f>IF(AC696="BOTH",ROUND(Y696-Z696,2),0)</f>
        <v>0</v>
      </c>
    </row>
    <row r="697">
      <c r="A697" t="inlineStr">
        <is>
          <t>G00693</t>
        </is>
      </c>
      <c r="B697" t="inlineStr">
        <is>
          <t>MER</t>
        </is>
      </c>
      <c r="C697" t="inlineStr">
        <is>
          <t>R08</t>
        </is>
      </c>
      <c r="D697" t="inlineStr">
        <is>
          <t>MATCH</t>
        </is>
      </c>
      <c r="E697" t="inlineStr"/>
      <c r="G697" t="inlineStr"/>
      <c r="H697">
        <f>COUNTIFS('Bank Lines'!$G$5:$G$1640,A697,'Bank Lines'!$J$5:$J$1640,1)</f>
        <v>1</v>
      </c>
      <c r="I697">
        <f>COUNTIFS('Odoo Items'!$J$5:$J$4331,A697)</f>
        <v>1</v>
      </c>
      <c r="J697" s="9">
        <f>ROUND(SUMIFS('Bank Lines'!$E$5:$E$1640,'Bank Lines'!$G$5:$G$1640,A697,'Bank Lines'!$J$5:$J$1640,1),2)</f>
        <v>1777.85</v>
      </c>
      <c r="K697" s="9">
        <f>ROUND(SUMIFS('Odoo Items'!$G$5:$G$4331,'Odoo Items'!$J$5:$J$4331,A697),2)</f>
        <v>1777.85</v>
      </c>
      <c r="L697" s="9">
        <f>ROUND(J697-K697,2)</f>
        <v>0</v>
      </c>
      <c r="M697" s="9">
        <f>ROUND(SUMIFS('Bank Lines'!$E$5:$E$1640,'Bank Lines'!$G$5:$G$1640,A697,'Bank Lines'!$J$5:$J$1640,1,'Bank Lines'!$C$5:$C$1640,"&lt;="&amp;Cover!$C$13),2)</f>
        <v>0</v>
      </c>
      <c r="N697" s="9">
        <f>ROUND(SUMIFS('Odoo Items'!$G$5:$G$4331,'Odoo Items'!$J$5:$J$4331,A697,'Odoo Items'!$C$5:$C$4331,"&lt;="&amp;Cover!$C$13),2)</f>
        <v>0</v>
      </c>
      <c r="O697">
        <f>COUNTIFS('Bank Lines'!$G$5:$G$1640,A697,'Bank Lines'!$J$5:$J$1640,1,'Bank Lines'!$C$5:$C$1640,"&lt;="&amp;Cover!$C$13)</f>
        <v>0</v>
      </c>
      <c r="P697">
        <f>COUNTIFS('Odoo Items'!$J$5:$J$4331,A697,'Odoo Items'!$C$5:$C$4331,"&lt;="&amp;Cover!$C$13)</f>
        <v>0</v>
      </c>
      <c r="Q697">
        <f>IF(AND(O697=0,P697=0),"",IF(O697=0,"ODOO-ONLY",IF(P697=0,"BANK-ONLY","BOTH")))</f>
      </c>
      <c r="R697" s="9">
        <f>IF(Q697="BOTH",ROUND(M697-N697,2),0)</f>
        <v>0</v>
      </c>
      <c r="S697" s="9">
        <f>ROUND(SUMIFS('Bank Lines'!$E$5:$E$1640,'Bank Lines'!$G$5:$G$1640,A697,'Bank Lines'!$J$5:$J$1640,1,'Bank Lines'!$C$5:$C$1640,"&lt;="&amp;Cover!$C$14),2)</f>
        <v>1777.85</v>
      </c>
      <c r="T697" s="9">
        <f>ROUND(SUMIFS('Odoo Items'!$G$5:$G$4331,'Odoo Items'!$J$5:$J$4331,A697,'Odoo Items'!$C$5:$C$4331,"&lt;="&amp;Cover!$C$14),2)</f>
        <v>1777.85</v>
      </c>
      <c r="U697">
        <f>COUNTIFS('Bank Lines'!$G$5:$G$1640,A697,'Bank Lines'!$J$5:$J$1640,1,'Bank Lines'!$C$5:$C$1640,"&lt;="&amp;Cover!$C$14)</f>
        <v>1</v>
      </c>
      <c r="V697">
        <f>COUNTIFS('Odoo Items'!$J$5:$J$4331,A697,'Odoo Items'!$C$5:$C$4331,"&lt;="&amp;Cover!$C$14)</f>
        <v>1</v>
      </c>
      <c r="W697" t="str">
        <f>IF(AND(U697=0,V697=0),"",IF(U697=0,"ODOO-ONLY",IF(V697=0,"BANK-ONLY","BOTH")))</f>
        <v>BOTH</v>
      </c>
      <c r="X697" s="9">
        <f>IF(W697="BOTH",ROUND(S697-T697,2),0)</f>
        <v>0</v>
      </c>
      <c r="Y697" s="9">
        <f>ROUND(SUMIFS('Bank Lines'!$E$5:$E$1640,'Bank Lines'!$G$5:$G$1640,A697,'Bank Lines'!$J$5:$J$1640,1,'Bank Lines'!$C$5:$C$1640,"&lt;="&amp;Cover!$C$15),2)</f>
        <v>1777.85</v>
      </c>
      <c r="Z697" s="9">
        <f>ROUND(SUMIFS('Odoo Items'!$G$5:$G$4331,'Odoo Items'!$J$5:$J$4331,A697,'Odoo Items'!$C$5:$C$4331,"&lt;="&amp;Cover!$C$15),2)</f>
        <v>1777.85</v>
      </c>
      <c r="AA697">
        <f>COUNTIFS('Bank Lines'!$G$5:$G$1640,A697,'Bank Lines'!$J$5:$J$1640,1,'Bank Lines'!$C$5:$C$1640,"&lt;="&amp;Cover!$C$15)</f>
        <v>1</v>
      </c>
      <c r="AB697">
        <f>COUNTIFS('Odoo Items'!$J$5:$J$4331,A697,'Odoo Items'!$C$5:$C$4331,"&lt;="&amp;Cover!$C$15)</f>
        <v>1</v>
      </c>
      <c r="AC697" t="str">
        <f>IF(AND(AA697=0,AB697=0),"",IF(AA697=0,"ODOO-ONLY",IF(AB697=0,"BANK-ONLY","BOTH")))</f>
        <v>BOTH</v>
      </c>
      <c r="AD697" s="9">
        <f>IF(AC697="BOTH",ROUND(Y697-Z697,2),0)</f>
        <v>0</v>
      </c>
    </row>
    <row r="698">
      <c r="A698" t="inlineStr">
        <is>
          <t>G00694</t>
        </is>
      </c>
      <c r="B698" t="inlineStr">
        <is>
          <t>MER</t>
        </is>
      </c>
      <c r="C698" t="inlineStr">
        <is>
          <t>R08</t>
        </is>
      </c>
      <c r="D698" t="inlineStr">
        <is>
          <t>MATCH</t>
        </is>
      </c>
      <c r="E698" t="inlineStr"/>
      <c r="G698" t="inlineStr"/>
      <c r="H698">
        <f>COUNTIFS('Bank Lines'!$G$5:$G$1640,A698,'Bank Lines'!$J$5:$J$1640,1)</f>
        <v>1</v>
      </c>
      <c r="I698">
        <f>COUNTIFS('Odoo Items'!$J$5:$J$4331,A698)</f>
        <v>1</v>
      </c>
      <c r="J698" s="9">
        <f>ROUND(SUMIFS('Bank Lines'!$E$5:$E$1640,'Bank Lines'!$G$5:$G$1640,A698,'Bank Lines'!$J$5:$J$1640,1),2)</f>
        <v>3584.43</v>
      </c>
      <c r="K698" s="9">
        <f>ROUND(SUMIFS('Odoo Items'!$G$5:$G$4331,'Odoo Items'!$J$5:$J$4331,A698),2)</f>
        <v>3584.43</v>
      </c>
      <c r="L698" s="9">
        <f>ROUND(J698-K698,2)</f>
        <v>0</v>
      </c>
      <c r="M698" s="9">
        <f>ROUND(SUMIFS('Bank Lines'!$E$5:$E$1640,'Bank Lines'!$G$5:$G$1640,A698,'Bank Lines'!$J$5:$J$1640,1,'Bank Lines'!$C$5:$C$1640,"&lt;="&amp;Cover!$C$13),2)</f>
        <v>0</v>
      </c>
      <c r="N698" s="9">
        <f>ROUND(SUMIFS('Odoo Items'!$G$5:$G$4331,'Odoo Items'!$J$5:$J$4331,A698,'Odoo Items'!$C$5:$C$4331,"&lt;="&amp;Cover!$C$13),2)</f>
        <v>0</v>
      </c>
      <c r="O698">
        <f>COUNTIFS('Bank Lines'!$G$5:$G$1640,A698,'Bank Lines'!$J$5:$J$1640,1,'Bank Lines'!$C$5:$C$1640,"&lt;="&amp;Cover!$C$13)</f>
        <v>0</v>
      </c>
      <c r="P698">
        <f>COUNTIFS('Odoo Items'!$J$5:$J$4331,A698,'Odoo Items'!$C$5:$C$4331,"&lt;="&amp;Cover!$C$13)</f>
        <v>0</v>
      </c>
      <c r="Q698">
        <f>IF(AND(O698=0,P698=0),"",IF(O698=0,"ODOO-ONLY",IF(P698=0,"BANK-ONLY","BOTH")))</f>
      </c>
      <c r="R698" s="9">
        <f>IF(Q698="BOTH",ROUND(M698-N698,2),0)</f>
        <v>0</v>
      </c>
      <c r="S698" s="9">
        <f>ROUND(SUMIFS('Bank Lines'!$E$5:$E$1640,'Bank Lines'!$G$5:$G$1640,A698,'Bank Lines'!$J$5:$J$1640,1,'Bank Lines'!$C$5:$C$1640,"&lt;="&amp;Cover!$C$14),2)</f>
        <v>3584.43</v>
      </c>
      <c r="T698" s="9">
        <f>ROUND(SUMIFS('Odoo Items'!$G$5:$G$4331,'Odoo Items'!$J$5:$J$4331,A698,'Odoo Items'!$C$5:$C$4331,"&lt;="&amp;Cover!$C$14),2)</f>
        <v>3584.43</v>
      </c>
      <c r="U698">
        <f>COUNTIFS('Bank Lines'!$G$5:$G$1640,A698,'Bank Lines'!$J$5:$J$1640,1,'Bank Lines'!$C$5:$C$1640,"&lt;="&amp;Cover!$C$14)</f>
        <v>1</v>
      </c>
      <c r="V698">
        <f>COUNTIFS('Odoo Items'!$J$5:$J$4331,A698,'Odoo Items'!$C$5:$C$4331,"&lt;="&amp;Cover!$C$14)</f>
        <v>1</v>
      </c>
      <c r="W698" t="str">
        <f>IF(AND(U698=0,V698=0),"",IF(U698=0,"ODOO-ONLY",IF(V698=0,"BANK-ONLY","BOTH")))</f>
        <v>BOTH</v>
      </c>
      <c r="X698" s="9">
        <f>IF(W698="BOTH",ROUND(S698-T698,2),0)</f>
        <v>0</v>
      </c>
      <c r="Y698" s="9">
        <f>ROUND(SUMIFS('Bank Lines'!$E$5:$E$1640,'Bank Lines'!$G$5:$G$1640,A698,'Bank Lines'!$J$5:$J$1640,1,'Bank Lines'!$C$5:$C$1640,"&lt;="&amp;Cover!$C$15),2)</f>
        <v>3584.43</v>
      </c>
      <c r="Z698" s="9">
        <f>ROUND(SUMIFS('Odoo Items'!$G$5:$G$4331,'Odoo Items'!$J$5:$J$4331,A698,'Odoo Items'!$C$5:$C$4331,"&lt;="&amp;Cover!$C$15),2)</f>
        <v>3584.43</v>
      </c>
      <c r="AA698">
        <f>COUNTIFS('Bank Lines'!$G$5:$G$1640,A698,'Bank Lines'!$J$5:$J$1640,1,'Bank Lines'!$C$5:$C$1640,"&lt;="&amp;Cover!$C$15)</f>
        <v>1</v>
      </c>
      <c r="AB698">
        <f>COUNTIFS('Odoo Items'!$J$5:$J$4331,A698,'Odoo Items'!$C$5:$C$4331,"&lt;="&amp;Cover!$C$15)</f>
        <v>1</v>
      </c>
      <c r="AC698" t="str">
        <f>IF(AND(AA698=0,AB698=0),"",IF(AA698=0,"ODOO-ONLY",IF(AB698=0,"BANK-ONLY","BOTH")))</f>
        <v>BOTH</v>
      </c>
      <c r="AD698" s="9">
        <f>IF(AC698="BOTH",ROUND(Y698-Z698,2),0)</f>
        <v>0</v>
      </c>
    </row>
    <row r="699">
      <c r="A699" t="inlineStr">
        <is>
          <t>G00695</t>
        </is>
      </c>
      <c r="B699" t="inlineStr">
        <is>
          <t>MER</t>
        </is>
      </c>
      <c r="C699" t="inlineStr">
        <is>
          <t>R08</t>
        </is>
      </c>
      <c r="D699" t="inlineStr">
        <is>
          <t>MATCH</t>
        </is>
      </c>
      <c r="E699" t="inlineStr"/>
      <c r="G699" t="inlineStr"/>
      <c r="H699">
        <f>COUNTIFS('Bank Lines'!$G$5:$G$1640,A699,'Bank Lines'!$J$5:$J$1640,1)</f>
        <v>1</v>
      </c>
      <c r="I699">
        <f>COUNTIFS('Odoo Items'!$J$5:$J$4331,A699)</f>
        <v>1</v>
      </c>
      <c r="J699" s="9">
        <f>ROUND(SUMIFS('Bank Lines'!$E$5:$E$1640,'Bank Lines'!$G$5:$G$1640,A699,'Bank Lines'!$J$5:$J$1640,1),2)</f>
        <v>1949.17</v>
      </c>
      <c r="K699" s="9">
        <f>ROUND(SUMIFS('Odoo Items'!$G$5:$G$4331,'Odoo Items'!$J$5:$J$4331,A699),2)</f>
        <v>1949.17</v>
      </c>
      <c r="L699" s="9">
        <f>ROUND(J699-K699,2)</f>
        <v>0</v>
      </c>
      <c r="M699" s="9">
        <f>ROUND(SUMIFS('Bank Lines'!$E$5:$E$1640,'Bank Lines'!$G$5:$G$1640,A699,'Bank Lines'!$J$5:$J$1640,1,'Bank Lines'!$C$5:$C$1640,"&lt;="&amp;Cover!$C$13),2)</f>
        <v>0</v>
      </c>
      <c r="N699" s="9">
        <f>ROUND(SUMIFS('Odoo Items'!$G$5:$G$4331,'Odoo Items'!$J$5:$J$4331,A699,'Odoo Items'!$C$5:$C$4331,"&lt;="&amp;Cover!$C$13),2)</f>
        <v>0</v>
      </c>
      <c r="O699">
        <f>COUNTIFS('Bank Lines'!$G$5:$G$1640,A699,'Bank Lines'!$J$5:$J$1640,1,'Bank Lines'!$C$5:$C$1640,"&lt;="&amp;Cover!$C$13)</f>
        <v>0</v>
      </c>
      <c r="P699">
        <f>COUNTIFS('Odoo Items'!$J$5:$J$4331,A699,'Odoo Items'!$C$5:$C$4331,"&lt;="&amp;Cover!$C$13)</f>
        <v>0</v>
      </c>
      <c r="Q699">
        <f>IF(AND(O699=0,P699=0),"",IF(O699=0,"ODOO-ONLY",IF(P699=0,"BANK-ONLY","BOTH")))</f>
      </c>
      <c r="R699" s="9">
        <f>IF(Q699="BOTH",ROUND(M699-N699,2),0)</f>
        <v>0</v>
      </c>
      <c r="S699" s="9">
        <f>ROUND(SUMIFS('Bank Lines'!$E$5:$E$1640,'Bank Lines'!$G$5:$G$1640,A699,'Bank Lines'!$J$5:$J$1640,1,'Bank Lines'!$C$5:$C$1640,"&lt;="&amp;Cover!$C$14),2)</f>
        <v>1949.17</v>
      </c>
      <c r="T699" s="9">
        <f>ROUND(SUMIFS('Odoo Items'!$G$5:$G$4331,'Odoo Items'!$J$5:$J$4331,A699,'Odoo Items'!$C$5:$C$4331,"&lt;="&amp;Cover!$C$14),2)</f>
        <v>1949.17</v>
      </c>
      <c r="U699">
        <f>COUNTIFS('Bank Lines'!$G$5:$G$1640,A699,'Bank Lines'!$J$5:$J$1640,1,'Bank Lines'!$C$5:$C$1640,"&lt;="&amp;Cover!$C$14)</f>
        <v>1</v>
      </c>
      <c r="V699">
        <f>COUNTIFS('Odoo Items'!$J$5:$J$4331,A699,'Odoo Items'!$C$5:$C$4331,"&lt;="&amp;Cover!$C$14)</f>
        <v>1</v>
      </c>
      <c r="W699" t="str">
        <f>IF(AND(U699=0,V699=0),"",IF(U699=0,"ODOO-ONLY",IF(V699=0,"BANK-ONLY","BOTH")))</f>
        <v>BOTH</v>
      </c>
      <c r="X699" s="9">
        <f>IF(W699="BOTH",ROUND(S699-T699,2),0)</f>
        <v>0</v>
      </c>
      <c r="Y699" s="9">
        <f>ROUND(SUMIFS('Bank Lines'!$E$5:$E$1640,'Bank Lines'!$G$5:$G$1640,A699,'Bank Lines'!$J$5:$J$1640,1,'Bank Lines'!$C$5:$C$1640,"&lt;="&amp;Cover!$C$15),2)</f>
        <v>1949.17</v>
      </c>
      <c r="Z699" s="9">
        <f>ROUND(SUMIFS('Odoo Items'!$G$5:$G$4331,'Odoo Items'!$J$5:$J$4331,A699,'Odoo Items'!$C$5:$C$4331,"&lt;="&amp;Cover!$C$15),2)</f>
        <v>1949.17</v>
      </c>
      <c r="AA699">
        <f>COUNTIFS('Bank Lines'!$G$5:$G$1640,A699,'Bank Lines'!$J$5:$J$1640,1,'Bank Lines'!$C$5:$C$1640,"&lt;="&amp;Cover!$C$15)</f>
        <v>1</v>
      </c>
      <c r="AB699">
        <f>COUNTIFS('Odoo Items'!$J$5:$J$4331,A699,'Odoo Items'!$C$5:$C$4331,"&lt;="&amp;Cover!$C$15)</f>
        <v>1</v>
      </c>
      <c r="AC699" t="str">
        <f>IF(AND(AA699=0,AB699=0),"",IF(AA699=0,"ODOO-ONLY",IF(AB699=0,"BANK-ONLY","BOTH")))</f>
        <v>BOTH</v>
      </c>
      <c r="AD699" s="9">
        <f>IF(AC699="BOTH",ROUND(Y699-Z699,2),0)</f>
        <v>0</v>
      </c>
    </row>
    <row r="700">
      <c r="A700" t="inlineStr">
        <is>
          <t>G00696</t>
        </is>
      </c>
      <c r="B700" t="inlineStr">
        <is>
          <t>MER</t>
        </is>
      </c>
      <c r="C700" t="inlineStr">
        <is>
          <t>R08</t>
        </is>
      </c>
      <c r="D700" t="inlineStr">
        <is>
          <t>MATCH</t>
        </is>
      </c>
      <c r="E700" t="inlineStr"/>
      <c r="G700" t="inlineStr"/>
      <c r="H700">
        <f>COUNTIFS('Bank Lines'!$G$5:$G$1640,A700,'Bank Lines'!$J$5:$J$1640,1)</f>
        <v>1</v>
      </c>
      <c r="I700">
        <f>COUNTIFS('Odoo Items'!$J$5:$J$4331,A700)</f>
        <v>1</v>
      </c>
      <c r="J700" s="9">
        <f>ROUND(SUMIFS('Bank Lines'!$E$5:$E$1640,'Bank Lines'!$G$5:$G$1640,A700,'Bank Lines'!$J$5:$J$1640,1),2)</f>
        <v>2419.78</v>
      </c>
      <c r="K700" s="9">
        <f>ROUND(SUMIFS('Odoo Items'!$G$5:$G$4331,'Odoo Items'!$J$5:$J$4331,A700),2)</f>
        <v>2419.78</v>
      </c>
      <c r="L700" s="9">
        <f>ROUND(J700-K700,2)</f>
        <v>0</v>
      </c>
      <c r="M700" s="9">
        <f>ROUND(SUMIFS('Bank Lines'!$E$5:$E$1640,'Bank Lines'!$G$5:$G$1640,A700,'Bank Lines'!$J$5:$J$1640,1,'Bank Lines'!$C$5:$C$1640,"&lt;="&amp;Cover!$C$13),2)</f>
        <v>0</v>
      </c>
      <c r="N700" s="9">
        <f>ROUND(SUMIFS('Odoo Items'!$G$5:$G$4331,'Odoo Items'!$J$5:$J$4331,A700,'Odoo Items'!$C$5:$C$4331,"&lt;="&amp;Cover!$C$13),2)</f>
        <v>0</v>
      </c>
      <c r="O700">
        <f>COUNTIFS('Bank Lines'!$G$5:$G$1640,A700,'Bank Lines'!$J$5:$J$1640,1,'Bank Lines'!$C$5:$C$1640,"&lt;="&amp;Cover!$C$13)</f>
        <v>0</v>
      </c>
      <c r="P700">
        <f>COUNTIFS('Odoo Items'!$J$5:$J$4331,A700,'Odoo Items'!$C$5:$C$4331,"&lt;="&amp;Cover!$C$13)</f>
        <v>0</v>
      </c>
      <c r="Q700">
        <f>IF(AND(O700=0,P700=0),"",IF(O700=0,"ODOO-ONLY",IF(P700=0,"BANK-ONLY","BOTH")))</f>
      </c>
      <c r="R700" s="9">
        <f>IF(Q700="BOTH",ROUND(M700-N700,2),0)</f>
        <v>0</v>
      </c>
      <c r="S700" s="9">
        <f>ROUND(SUMIFS('Bank Lines'!$E$5:$E$1640,'Bank Lines'!$G$5:$G$1640,A700,'Bank Lines'!$J$5:$J$1640,1,'Bank Lines'!$C$5:$C$1640,"&lt;="&amp;Cover!$C$14),2)</f>
        <v>2419.78</v>
      </c>
      <c r="T700" s="9">
        <f>ROUND(SUMIFS('Odoo Items'!$G$5:$G$4331,'Odoo Items'!$J$5:$J$4331,A700,'Odoo Items'!$C$5:$C$4331,"&lt;="&amp;Cover!$C$14),2)</f>
        <v>2419.78</v>
      </c>
      <c r="U700">
        <f>COUNTIFS('Bank Lines'!$G$5:$G$1640,A700,'Bank Lines'!$J$5:$J$1640,1,'Bank Lines'!$C$5:$C$1640,"&lt;="&amp;Cover!$C$14)</f>
        <v>1</v>
      </c>
      <c r="V700">
        <f>COUNTIFS('Odoo Items'!$J$5:$J$4331,A700,'Odoo Items'!$C$5:$C$4331,"&lt;="&amp;Cover!$C$14)</f>
        <v>1</v>
      </c>
      <c r="W700" t="str">
        <f>IF(AND(U700=0,V700=0),"",IF(U700=0,"ODOO-ONLY",IF(V700=0,"BANK-ONLY","BOTH")))</f>
        <v>BOTH</v>
      </c>
      <c r="X700" s="9">
        <f>IF(W700="BOTH",ROUND(S700-T700,2),0)</f>
        <v>0</v>
      </c>
      <c r="Y700" s="9">
        <f>ROUND(SUMIFS('Bank Lines'!$E$5:$E$1640,'Bank Lines'!$G$5:$G$1640,A700,'Bank Lines'!$J$5:$J$1640,1,'Bank Lines'!$C$5:$C$1640,"&lt;="&amp;Cover!$C$15),2)</f>
        <v>2419.78</v>
      </c>
      <c r="Z700" s="9">
        <f>ROUND(SUMIFS('Odoo Items'!$G$5:$G$4331,'Odoo Items'!$J$5:$J$4331,A700,'Odoo Items'!$C$5:$C$4331,"&lt;="&amp;Cover!$C$15),2)</f>
        <v>2419.78</v>
      </c>
      <c r="AA700">
        <f>COUNTIFS('Bank Lines'!$G$5:$G$1640,A700,'Bank Lines'!$J$5:$J$1640,1,'Bank Lines'!$C$5:$C$1640,"&lt;="&amp;Cover!$C$15)</f>
        <v>1</v>
      </c>
      <c r="AB700">
        <f>COUNTIFS('Odoo Items'!$J$5:$J$4331,A700,'Odoo Items'!$C$5:$C$4331,"&lt;="&amp;Cover!$C$15)</f>
        <v>1</v>
      </c>
      <c r="AC700" t="str">
        <f>IF(AND(AA700=0,AB700=0),"",IF(AA700=0,"ODOO-ONLY",IF(AB700=0,"BANK-ONLY","BOTH")))</f>
        <v>BOTH</v>
      </c>
      <c r="AD700" s="9">
        <f>IF(AC700="BOTH",ROUND(Y700-Z700,2),0)</f>
        <v>0</v>
      </c>
    </row>
    <row r="701">
      <c r="A701" t="inlineStr">
        <is>
          <t>G00697</t>
        </is>
      </c>
      <c r="B701" t="inlineStr">
        <is>
          <t>MER</t>
        </is>
      </c>
      <c r="C701" t="inlineStr">
        <is>
          <t>R08</t>
        </is>
      </c>
      <c r="D701" t="inlineStr">
        <is>
          <t>MATCH</t>
        </is>
      </c>
      <c r="E701" t="inlineStr"/>
      <c r="G701" t="inlineStr"/>
      <c r="H701">
        <f>COUNTIFS('Bank Lines'!$G$5:$G$1640,A701,'Bank Lines'!$J$5:$J$1640,1)</f>
        <v>1</v>
      </c>
      <c r="I701">
        <f>COUNTIFS('Odoo Items'!$J$5:$J$4331,A701)</f>
        <v>1</v>
      </c>
      <c r="J701" s="9">
        <f>ROUND(SUMIFS('Bank Lines'!$E$5:$E$1640,'Bank Lines'!$G$5:$G$1640,A701,'Bank Lines'!$J$5:$J$1640,1),2)</f>
        <v>2406.89</v>
      </c>
      <c r="K701" s="9">
        <f>ROUND(SUMIFS('Odoo Items'!$G$5:$G$4331,'Odoo Items'!$J$5:$J$4331,A701),2)</f>
        <v>2406.89</v>
      </c>
      <c r="L701" s="9">
        <f>ROUND(J701-K701,2)</f>
        <v>0</v>
      </c>
      <c r="M701" s="9">
        <f>ROUND(SUMIFS('Bank Lines'!$E$5:$E$1640,'Bank Lines'!$G$5:$G$1640,A701,'Bank Lines'!$J$5:$J$1640,1,'Bank Lines'!$C$5:$C$1640,"&lt;="&amp;Cover!$C$13),2)</f>
        <v>0</v>
      </c>
      <c r="N701" s="9">
        <f>ROUND(SUMIFS('Odoo Items'!$G$5:$G$4331,'Odoo Items'!$J$5:$J$4331,A701,'Odoo Items'!$C$5:$C$4331,"&lt;="&amp;Cover!$C$13),2)</f>
        <v>0</v>
      </c>
      <c r="O701">
        <f>COUNTIFS('Bank Lines'!$G$5:$G$1640,A701,'Bank Lines'!$J$5:$J$1640,1,'Bank Lines'!$C$5:$C$1640,"&lt;="&amp;Cover!$C$13)</f>
        <v>0</v>
      </c>
      <c r="P701">
        <f>COUNTIFS('Odoo Items'!$J$5:$J$4331,A701,'Odoo Items'!$C$5:$C$4331,"&lt;="&amp;Cover!$C$13)</f>
        <v>0</v>
      </c>
      <c r="Q701">
        <f>IF(AND(O701=0,P701=0),"",IF(O701=0,"ODOO-ONLY",IF(P701=0,"BANK-ONLY","BOTH")))</f>
      </c>
      <c r="R701" s="9">
        <f>IF(Q701="BOTH",ROUND(M701-N701,2),0)</f>
        <v>0</v>
      </c>
      <c r="S701" s="9">
        <f>ROUND(SUMIFS('Bank Lines'!$E$5:$E$1640,'Bank Lines'!$G$5:$G$1640,A701,'Bank Lines'!$J$5:$J$1640,1,'Bank Lines'!$C$5:$C$1640,"&lt;="&amp;Cover!$C$14),2)</f>
        <v>2406.89</v>
      </c>
      <c r="T701" s="9">
        <f>ROUND(SUMIFS('Odoo Items'!$G$5:$G$4331,'Odoo Items'!$J$5:$J$4331,A701,'Odoo Items'!$C$5:$C$4331,"&lt;="&amp;Cover!$C$14),2)</f>
        <v>2406.89</v>
      </c>
      <c r="U701">
        <f>COUNTIFS('Bank Lines'!$G$5:$G$1640,A701,'Bank Lines'!$J$5:$J$1640,1,'Bank Lines'!$C$5:$C$1640,"&lt;="&amp;Cover!$C$14)</f>
        <v>1</v>
      </c>
      <c r="V701">
        <f>COUNTIFS('Odoo Items'!$J$5:$J$4331,A701,'Odoo Items'!$C$5:$C$4331,"&lt;="&amp;Cover!$C$14)</f>
        <v>1</v>
      </c>
      <c r="W701" t="str">
        <f>IF(AND(U701=0,V701=0),"",IF(U701=0,"ODOO-ONLY",IF(V701=0,"BANK-ONLY","BOTH")))</f>
        <v>BOTH</v>
      </c>
      <c r="X701" s="9">
        <f>IF(W701="BOTH",ROUND(S701-T701,2),0)</f>
        <v>0</v>
      </c>
      <c r="Y701" s="9">
        <f>ROUND(SUMIFS('Bank Lines'!$E$5:$E$1640,'Bank Lines'!$G$5:$G$1640,A701,'Bank Lines'!$J$5:$J$1640,1,'Bank Lines'!$C$5:$C$1640,"&lt;="&amp;Cover!$C$15),2)</f>
        <v>2406.89</v>
      </c>
      <c r="Z701" s="9">
        <f>ROUND(SUMIFS('Odoo Items'!$G$5:$G$4331,'Odoo Items'!$J$5:$J$4331,A701,'Odoo Items'!$C$5:$C$4331,"&lt;="&amp;Cover!$C$15),2)</f>
        <v>2406.89</v>
      </c>
      <c r="AA701">
        <f>COUNTIFS('Bank Lines'!$G$5:$G$1640,A701,'Bank Lines'!$J$5:$J$1640,1,'Bank Lines'!$C$5:$C$1640,"&lt;="&amp;Cover!$C$15)</f>
        <v>1</v>
      </c>
      <c r="AB701">
        <f>COUNTIFS('Odoo Items'!$J$5:$J$4331,A701,'Odoo Items'!$C$5:$C$4331,"&lt;="&amp;Cover!$C$15)</f>
        <v>1</v>
      </c>
      <c r="AC701" t="str">
        <f>IF(AND(AA701=0,AB701=0),"",IF(AA701=0,"ODOO-ONLY",IF(AB701=0,"BANK-ONLY","BOTH")))</f>
        <v>BOTH</v>
      </c>
      <c r="AD701" s="9">
        <f>IF(AC701="BOTH",ROUND(Y701-Z701,2),0)</f>
        <v>0</v>
      </c>
    </row>
    <row r="702">
      <c r="A702" t="inlineStr">
        <is>
          <t>G00698</t>
        </is>
      </c>
      <c r="B702" t="inlineStr">
        <is>
          <t>MER</t>
        </is>
      </c>
      <c r="C702" t="inlineStr">
        <is>
          <t>R08</t>
        </is>
      </c>
      <c r="D702" t="inlineStr">
        <is>
          <t>MATCH</t>
        </is>
      </c>
      <c r="E702" t="inlineStr"/>
      <c r="G702" t="inlineStr"/>
      <c r="H702">
        <f>COUNTIFS('Bank Lines'!$G$5:$G$1640,A702,'Bank Lines'!$J$5:$J$1640,1)</f>
        <v>1</v>
      </c>
      <c r="I702">
        <f>COUNTIFS('Odoo Items'!$J$5:$J$4331,A702)</f>
        <v>1</v>
      </c>
      <c r="J702" s="9">
        <f>ROUND(SUMIFS('Bank Lines'!$E$5:$E$1640,'Bank Lines'!$G$5:$G$1640,A702,'Bank Lines'!$J$5:$J$1640,1),2)</f>
        <v>2114.09</v>
      </c>
      <c r="K702" s="9">
        <f>ROUND(SUMIFS('Odoo Items'!$G$5:$G$4331,'Odoo Items'!$J$5:$J$4331,A702),2)</f>
        <v>2114.09</v>
      </c>
      <c r="L702" s="9">
        <f>ROUND(J702-K702,2)</f>
        <v>0</v>
      </c>
      <c r="M702" s="9">
        <f>ROUND(SUMIFS('Bank Lines'!$E$5:$E$1640,'Bank Lines'!$G$5:$G$1640,A702,'Bank Lines'!$J$5:$J$1640,1,'Bank Lines'!$C$5:$C$1640,"&lt;="&amp;Cover!$C$13),2)</f>
        <v>0</v>
      </c>
      <c r="N702" s="9">
        <f>ROUND(SUMIFS('Odoo Items'!$G$5:$G$4331,'Odoo Items'!$J$5:$J$4331,A702,'Odoo Items'!$C$5:$C$4331,"&lt;="&amp;Cover!$C$13),2)</f>
        <v>0</v>
      </c>
      <c r="O702">
        <f>COUNTIFS('Bank Lines'!$G$5:$G$1640,A702,'Bank Lines'!$J$5:$J$1640,1,'Bank Lines'!$C$5:$C$1640,"&lt;="&amp;Cover!$C$13)</f>
        <v>0</v>
      </c>
      <c r="P702">
        <f>COUNTIFS('Odoo Items'!$J$5:$J$4331,A702,'Odoo Items'!$C$5:$C$4331,"&lt;="&amp;Cover!$C$13)</f>
        <v>0</v>
      </c>
      <c r="Q702">
        <f>IF(AND(O702=0,P702=0),"",IF(O702=0,"ODOO-ONLY",IF(P702=0,"BANK-ONLY","BOTH")))</f>
      </c>
      <c r="R702" s="9">
        <f>IF(Q702="BOTH",ROUND(M702-N702,2),0)</f>
        <v>0</v>
      </c>
      <c r="S702" s="9">
        <f>ROUND(SUMIFS('Bank Lines'!$E$5:$E$1640,'Bank Lines'!$G$5:$G$1640,A702,'Bank Lines'!$J$5:$J$1640,1,'Bank Lines'!$C$5:$C$1640,"&lt;="&amp;Cover!$C$14),2)</f>
        <v>2114.09</v>
      </c>
      <c r="T702" s="9">
        <f>ROUND(SUMIFS('Odoo Items'!$G$5:$G$4331,'Odoo Items'!$J$5:$J$4331,A702,'Odoo Items'!$C$5:$C$4331,"&lt;="&amp;Cover!$C$14),2)</f>
        <v>2114.09</v>
      </c>
      <c r="U702">
        <f>COUNTIFS('Bank Lines'!$G$5:$G$1640,A702,'Bank Lines'!$J$5:$J$1640,1,'Bank Lines'!$C$5:$C$1640,"&lt;="&amp;Cover!$C$14)</f>
        <v>1</v>
      </c>
      <c r="V702">
        <f>COUNTIFS('Odoo Items'!$J$5:$J$4331,A702,'Odoo Items'!$C$5:$C$4331,"&lt;="&amp;Cover!$C$14)</f>
        <v>1</v>
      </c>
      <c r="W702" t="str">
        <f>IF(AND(U702=0,V702=0),"",IF(U702=0,"ODOO-ONLY",IF(V702=0,"BANK-ONLY","BOTH")))</f>
        <v>BOTH</v>
      </c>
      <c r="X702" s="9">
        <f>IF(W702="BOTH",ROUND(S702-T702,2),0)</f>
        <v>0</v>
      </c>
      <c r="Y702" s="9">
        <f>ROUND(SUMIFS('Bank Lines'!$E$5:$E$1640,'Bank Lines'!$G$5:$G$1640,A702,'Bank Lines'!$J$5:$J$1640,1,'Bank Lines'!$C$5:$C$1640,"&lt;="&amp;Cover!$C$15),2)</f>
        <v>2114.09</v>
      </c>
      <c r="Z702" s="9">
        <f>ROUND(SUMIFS('Odoo Items'!$G$5:$G$4331,'Odoo Items'!$J$5:$J$4331,A702,'Odoo Items'!$C$5:$C$4331,"&lt;="&amp;Cover!$C$15),2)</f>
        <v>2114.09</v>
      </c>
      <c r="AA702">
        <f>COUNTIFS('Bank Lines'!$G$5:$G$1640,A702,'Bank Lines'!$J$5:$J$1640,1,'Bank Lines'!$C$5:$C$1640,"&lt;="&amp;Cover!$C$15)</f>
        <v>1</v>
      </c>
      <c r="AB702">
        <f>COUNTIFS('Odoo Items'!$J$5:$J$4331,A702,'Odoo Items'!$C$5:$C$4331,"&lt;="&amp;Cover!$C$15)</f>
        <v>1</v>
      </c>
      <c r="AC702" t="str">
        <f>IF(AND(AA702=0,AB702=0),"",IF(AA702=0,"ODOO-ONLY",IF(AB702=0,"BANK-ONLY","BOTH")))</f>
        <v>BOTH</v>
      </c>
      <c r="AD702" s="9">
        <f>IF(AC702="BOTH",ROUND(Y702-Z702,2),0)</f>
        <v>0</v>
      </c>
    </row>
    <row r="703">
      <c r="A703" t="inlineStr">
        <is>
          <t>G00699</t>
        </is>
      </c>
      <c r="B703" t="inlineStr">
        <is>
          <t>MER</t>
        </is>
      </c>
      <c r="C703" t="inlineStr">
        <is>
          <t>R08</t>
        </is>
      </c>
      <c r="D703" t="inlineStr">
        <is>
          <t>MATCH</t>
        </is>
      </c>
      <c r="E703" t="inlineStr"/>
      <c r="G703" t="inlineStr"/>
      <c r="H703">
        <f>COUNTIFS('Bank Lines'!$G$5:$G$1640,A703,'Bank Lines'!$J$5:$J$1640,1)</f>
        <v>1</v>
      </c>
      <c r="I703">
        <f>COUNTIFS('Odoo Items'!$J$5:$J$4331,A703)</f>
        <v>1</v>
      </c>
      <c r="J703" s="9">
        <f>ROUND(SUMIFS('Bank Lines'!$E$5:$E$1640,'Bank Lines'!$G$5:$G$1640,A703,'Bank Lines'!$J$5:$J$1640,1),2)</f>
        <v>1340.92</v>
      </c>
      <c r="K703" s="9">
        <f>ROUND(SUMIFS('Odoo Items'!$G$5:$G$4331,'Odoo Items'!$J$5:$J$4331,A703),2)</f>
        <v>1340.92</v>
      </c>
      <c r="L703" s="9">
        <f>ROUND(J703-K703,2)</f>
        <v>0</v>
      </c>
      <c r="M703" s="9">
        <f>ROUND(SUMIFS('Bank Lines'!$E$5:$E$1640,'Bank Lines'!$G$5:$G$1640,A703,'Bank Lines'!$J$5:$J$1640,1,'Bank Lines'!$C$5:$C$1640,"&lt;="&amp;Cover!$C$13),2)</f>
        <v>0</v>
      </c>
      <c r="N703" s="9">
        <f>ROUND(SUMIFS('Odoo Items'!$G$5:$G$4331,'Odoo Items'!$J$5:$J$4331,A703,'Odoo Items'!$C$5:$C$4331,"&lt;="&amp;Cover!$C$13),2)</f>
        <v>0</v>
      </c>
      <c r="O703">
        <f>COUNTIFS('Bank Lines'!$G$5:$G$1640,A703,'Bank Lines'!$J$5:$J$1640,1,'Bank Lines'!$C$5:$C$1640,"&lt;="&amp;Cover!$C$13)</f>
        <v>0</v>
      </c>
      <c r="P703">
        <f>COUNTIFS('Odoo Items'!$J$5:$J$4331,A703,'Odoo Items'!$C$5:$C$4331,"&lt;="&amp;Cover!$C$13)</f>
        <v>0</v>
      </c>
      <c r="Q703">
        <f>IF(AND(O703=0,P703=0),"",IF(O703=0,"ODOO-ONLY",IF(P703=0,"BANK-ONLY","BOTH")))</f>
      </c>
      <c r="R703" s="9">
        <f>IF(Q703="BOTH",ROUND(M703-N703,2),0)</f>
        <v>0</v>
      </c>
      <c r="S703" s="9">
        <f>ROUND(SUMIFS('Bank Lines'!$E$5:$E$1640,'Bank Lines'!$G$5:$G$1640,A703,'Bank Lines'!$J$5:$J$1640,1,'Bank Lines'!$C$5:$C$1640,"&lt;="&amp;Cover!$C$14),2)</f>
        <v>1340.92</v>
      </c>
      <c r="T703" s="9">
        <f>ROUND(SUMIFS('Odoo Items'!$G$5:$G$4331,'Odoo Items'!$J$5:$J$4331,A703,'Odoo Items'!$C$5:$C$4331,"&lt;="&amp;Cover!$C$14),2)</f>
        <v>1340.92</v>
      </c>
      <c r="U703">
        <f>COUNTIFS('Bank Lines'!$G$5:$G$1640,A703,'Bank Lines'!$J$5:$J$1640,1,'Bank Lines'!$C$5:$C$1640,"&lt;="&amp;Cover!$C$14)</f>
        <v>1</v>
      </c>
      <c r="V703">
        <f>COUNTIFS('Odoo Items'!$J$5:$J$4331,A703,'Odoo Items'!$C$5:$C$4331,"&lt;="&amp;Cover!$C$14)</f>
        <v>1</v>
      </c>
      <c r="W703" t="str">
        <f>IF(AND(U703=0,V703=0),"",IF(U703=0,"ODOO-ONLY",IF(V703=0,"BANK-ONLY","BOTH")))</f>
        <v>BOTH</v>
      </c>
      <c r="X703" s="9">
        <f>IF(W703="BOTH",ROUND(S703-T703,2),0)</f>
        <v>0</v>
      </c>
      <c r="Y703" s="9">
        <f>ROUND(SUMIFS('Bank Lines'!$E$5:$E$1640,'Bank Lines'!$G$5:$G$1640,A703,'Bank Lines'!$J$5:$J$1640,1,'Bank Lines'!$C$5:$C$1640,"&lt;="&amp;Cover!$C$15),2)</f>
        <v>1340.92</v>
      </c>
      <c r="Z703" s="9">
        <f>ROUND(SUMIFS('Odoo Items'!$G$5:$G$4331,'Odoo Items'!$J$5:$J$4331,A703,'Odoo Items'!$C$5:$C$4331,"&lt;="&amp;Cover!$C$15),2)</f>
        <v>1340.92</v>
      </c>
      <c r="AA703">
        <f>COUNTIFS('Bank Lines'!$G$5:$G$1640,A703,'Bank Lines'!$J$5:$J$1640,1,'Bank Lines'!$C$5:$C$1640,"&lt;="&amp;Cover!$C$15)</f>
        <v>1</v>
      </c>
      <c r="AB703">
        <f>COUNTIFS('Odoo Items'!$J$5:$J$4331,A703,'Odoo Items'!$C$5:$C$4331,"&lt;="&amp;Cover!$C$15)</f>
        <v>1</v>
      </c>
      <c r="AC703" t="str">
        <f>IF(AND(AA703=0,AB703=0),"",IF(AA703=0,"ODOO-ONLY",IF(AB703=0,"BANK-ONLY","BOTH")))</f>
        <v>BOTH</v>
      </c>
      <c r="AD703" s="9">
        <f>IF(AC703="BOTH",ROUND(Y703-Z703,2),0)</f>
        <v>0</v>
      </c>
    </row>
    <row r="704">
      <c r="A704" t="inlineStr">
        <is>
          <t>G00700</t>
        </is>
      </c>
      <c r="B704" t="inlineStr">
        <is>
          <t>MER</t>
        </is>
      </c>
      <c r="C704" t="inlineStr">
        <is>
          <t>R08</t>
        </is>
      </c>
      <c r="D704" t="inlineStr">
        <is>
          <t>MATCH</t>
        </is>
      </c>
      <c r="E704" t="inlineStr"/>
      <c r="G704" t="inlineStr"/>
      <c r="H704">
        <f>COUNTIFS('Bank Lines'!$G$5:$G$1640,A704,'Bank Lines'!$J$5:$J$1640,1)</f>
        <v>1</v>
      </c>
      <c r="I704">
        <f>COUNTIFS('Odoo Items'!$J$5:$J$4331,A704)</f>
        <v>1</v>
      </c>
      <c r="J704" s="9">
        <f>ROUND(SUMIFS('Bank Lines'!$E$5:$E$1640,'Bank Lines'!$G$5:$G$1640,A704,'Bank Lines'!$J$5:$J$1640,1),2)</f>
        <v>2246.94</v>
      </c>
      <c r="K704" s="9">
        <f>ROUND(SUMIFS('Odoo Items'!$G$5:$G$4331,'Odoo Items'!$J$5:$J$4331,A704),2)</f>
        <v>2246.94</v>
      </c>
      <c r="L704" s="9">
        <f>ROUND(J704-K704,2)</f>
        <v>0</v>
      </c>
      <c r="M704" s="9">
        <f>ROUND(SUMIFS('Bank Lines'!$E$5:$E$1640,'Bank Lines'!$G$5:$G$1640,A704,'Bank Lines'!$J$5:$J$1640,1,'Bank Lines'!$C$5:$C$1640,"&lt;="&amp;Cover!$C$13),2)</f>
        <v>0</v>
      </c>
      <c r="N704" s="9">
        <f>ROUND(SUMIFS('Odoo Items'!$G$5:$G$4331,'Odoo Items'!$J$5:$J$4331,A704,'Odoo Items'!$C$5:$C$4331,"&lt;="&amp;Cover!$C$13),2)</f>
        <v>0</v>
      </c>
      <c r="O704">
        <f>COUNTIFS('Bank Lines'!$G$5:$G$1640,A704,'Bank Lines'!$J$5:$J$1640,1,'Bank Lines'!$C$5:$C$1640,"&lt;="&amp;Cover!$C$13)</f>
        <v>0</v>
      </c>
      <c r="P704">
        <f>COUNTIFS('Odoo Items'!$J$5:$J$4331,A704,'Odoo Items'!$C$5:$C$4331,"&lt;="&amp;Cover!$C$13)</f>
        <v>0</v>
      </c>
      <c r="Q704">
        <f>IF(AND(O704=0,P704=0),"",IF(O704=0,"ODOO-ONLY",IF(P704=0,"BANK-ONLY","BOTH")))</f>
      </c>
      <c r="R704" s="9">
        <f>IF(Q704="BOTH",ROUND(M704-N704,2),0)</f>
        <v>0</v>
      </c>
      <c r="S704" s="9">
        <f>ROUND(SUMIFS('Bank Lines'!$E$5:$E$1640,'Bank Lines'!$G$5:$G$1640,A704,'Bank Lines'!$J$5:$J$1640,1,'Bank Lines'!$C$5:$C$1640,"&lt;="&amp;Cover!$C$14),2)</f>
        <v>2246.94</v>
      </c>
      <c r="T704" s="9">
        <f>ROUND(SUMIFS('Odoo Items'!$G$5:$G$4331,'Odoo Items'!$J$5:$J$4331,A704,'Odoo Items'!$C$5:$C$4331,"&lt;="&amp;Cover!$C$14),2)</f>
        <v>2246.94</v>
      </c>
      <c r="U704">
        <f>COUNTIFS('Bank Lines'!$G$5:$G$1640,A704,'Bank Lines'!$J$5:$J$1640,1,'Bank Lines'!$C$5:$C$1640,"&lt;="&amp;Cover!$C$14)</f>
        <v>1</v>
      </c>
      <c r="V704">
        <f>COUNTIFS('Odoo Items'!$J$5:$J$4331,A704,'Odoo Items'!$C$5:$C$4331,"&lt;="&amp;Cover!$C$14)</f>
        <v>1</v>
      </c>
      <c r="W704" t="str">
        <f>IF(AND(U704=0,V704=0),"",IF(U704=0,"ODOO-ONLY",IF(V704=0,"BANK-ONLY","BOTH")))</f>
        <v>BOTH</v>
      </c>
      <c r="X704" s="9">
        <f>IF(W704="BOTH",ROUND(S704-T704,2),0)</f>
        <v>0</v>
      </c>
      <c r="Y704" s="9">
        <f>ROUND(SUMIFS('Bank Lines'!$E$5:$E$1640,'Bank Lines'!$G$5:$G$1640,A704,'Bank Lines'!$J$5:$J$1640,1,'Bank Lines'!$C$5:$C$1640,"&lt;="&amp;Cover!$C$15),2)</f>
        <v>2246.94</v>
      </c>
      <c r="Z704" s="9">
        <f>ROUND(SUMIFS('Odoo Items'!$G$5:$G$4331,'Odoo Items'!$J$5:$J$4331,A704,'Odoo Items'!$C$5:$C$4331,"&lt;="&amp;Cover!$C$15),2)</f>
        <v>2246.94</v>
      </c>
      <c r="AA704">
        <f>COUNTIFS('Bank Lines'!$G$5:$G$1640,A704,'Bank Lines'!$J$5:$J$1640,1,'Bank Lines'!$C$5:$C$1640,"&lt;="&amp;Cover!$C$15)</f>
        <v>1</v>
      </c>
      <c r="AB704">
        <f>COUNTIFS('Odoo Items'!$J$5:$J$4331,A704,'Odoo Items'!$C$5:$C$4331,"&lt;="&amp;Cover!$C$15)</f>
        <v>1</v>
      </c>
      <c r="AC704" t="str">
        <f>IF(AND(AA704=0,AB704=0),"",IF(AA704=0,"ODOO-ONLY",IF(AB704=0,"BANK-ONLY","BOTH")))</f>
        <v>BOTH</v>
      </c>
      <c r="AD704" s="9">
        <f>IF(AC704="BOTH",ROUND(Y704-Z704,2),0)</f>
        <v>0</v>
      </c>
    </row>
    <row r="705">
      <c r="A705" t="inlineStr">
        <is>
          <t>G00701</t>
        </is>
      </c>
      <c r="B705" t="inlineStr">
        <is>
          <t>MER</t>
        </is>
      </c>
      <c r="C705" t="inlineStr">
        <is>
          <t>R08</t>
        </is>
      </c>
      <c r="D705" t="inlineStr">
        <is>
          <t>MATCH</t>
        </is>
      </c>
      <c r="E705" t="inlineStr"/>
      <c r="G705" t="inlineStr"/>
      <c r="H705">
        <f>COUNTIFS('Bank Lines'!$G$5:$G$1640,A705,'Bank Lines'!$J$5:$J$1640,1)</f>
        <v>1</v>
      </c>
      <c r="I705">
        <f>COUNTIFS('Odoo Items'!$J$5:$J$4331,A705)</f>
        <v>1</v>
      </c>
      <c r="J705" s="9">
        <f>ROUND(SUMIFS('Bank Lines'!$E$5:$E$1640,'Bank Lines'!$G$5:$G$1640,A705,'Bank Lines'!$J$5:$J$1640,1),2)</f>
        <v>3408.34</v>
      </c>
      <c r="K705" s="9">
        <f>ROUND(SUMIFS('Odoo Items'!$G$5:$G$4331,'Odoo Items'!$J$5:$J$4331,A705),2)</f>
        <v>3408.34</v>
      </c>
      <c r="L705" s="9">
        <f>ROUND(J705-K705,2)</f>
        <v>0</v>
      </c>
      <c r="M705" s="9">
        <f>ROUND(SUMIFS('Bank Lines'!$E$5:$E$1640,'Bank Lines'!$G$5:$G$1640,A705,'Bank Lines'!$J$5:$J$1640,1,'Bank Lines'!$C$5:$C$1640,"&lt;="&amp;Cover!$C$13),2)</f>
        <v>0</v>
      </c>
      <c r="N705" s="9">
        <f>ROUND(SUMIFS('Odoo Items'!$G$5:$G$4331,'Odoo Items'!$J$5:$J$4331,A705,'Odoo Items'!$C$5:$C$4331,"&lt;="&amp;Cover!$C$13),2)</f>
        <v>0</v>
      </c>
      <c r="O705">
        <f>COUNTIFS('Bank Lines'!$G$5:$G$1640,A705,'Bank Lines'!$J$5:$J$1640,1,'Bank Lines'!$C$5:$C$1640,"&lt;="&amp;Cover!$C$13)</f>
        <v>0</v>
      </c>
      <c r="P705">
        <f>COUNTIFS('Odoo Items'!$J$5:$J$4331,A705,'Odoo Items'!$C$5:$C$4331,"&lt;="&amp;Cover!$C$13)</f>
        <v>0</v>
      </c>
      <c r="Q705">
        <f>IF(AND(O705=0,P705=0),"",IF(O705=0,"ODOO-ONLY",IF(P705=0,"BANK-ONLY","BOTH")))</f>
      </c>
      <c r="R705" s="9">
        <f>IF(Q705="BOTH",ROUND(M705-N705,2),0)</f>
        <v>0</v>
      </c>
      <c r="S705" s="9">
        <f>ROUND(SUMIFS('Bank Lines'!$E$5:$E$1640,'Bank Lines'!$G$5:$G$1640,A705,'Bank Lines'!$J$5:$J$1640,1,'Bank Lines'!$C$5:$C$1640,"&lt;="&amp;Cover!$C$14),2)</f>
        <v>3408.34</v>
      </c>
      <c r="T705" s="9">
        <f>ROUND(SUMIFS('Odoo Items'!$G$5:$G$4331,'Odoo Items'!$J$5:$J$4331,A705,'Odoo Items'!$C$5:$C$4331,"&lt;="&amp;Cover!$C$14),2)</f>
        <v>3408.34</v>
      </c>
      <c r="U705">
        <f>COUNTIFS('Bank Lines'!$G$5:$G$1640,A705,'Bank Lines'!$J$5:$J$1640,1,'Bank Lines'!$C$5:$C$1640,"&lt;="&amp;Cover!$C$14)</f>
        <v>1</v>
      </c>
      <c r="V705">
        <f>COUNTIFS('Odoo Items'!$J$5:$J$4331,A705,'Odoo Items'!$C$5:$C$4331,"&lt;="&amp;Cover!$C$14)</f>
        <v>1</v>
      </c>
      <c r="W705" t="str">
        <f>IF(AND(U705=0,V705=0),"",IF(U705=0,"ODOO-ONLY",IF(V705=0,"BANK-ONLY","BOTH")))</f>
        <v>BOTH</v>
      </c>
      <c r="X705" s="9">
        <f>IF(W705="BOTH",ROUND(S705-T705,2),0)</f>
        <v>0</v>
      </c>
      <c r="Y705" s="9">
        <f>ROUND(SUMIFS('Bank Lines'!$E$5:$E$1640,'Bank Lines'!$G$5:$G$1640,A705,'Bank Lines'!$J$5:$J$1640,1,'Bank Lines'!$C$5:$C$1640,"&lt;="&amp;Cover!$C$15),2)</f>
        <v>3408.34</v>
      </c>
      <c r="Z705" s="9">
        <f>ROUND(SUMIFS('Odoo Items'!$G$5:$G$4331,'Odoo Items'!$J$5:$J$4331,A705,'Odoo Items'!$C$5:$C$4331,"&lt;="&amp;Cover!$C$15),2)</f>
        <v>3408.34</v>
      </c>
      <c r="AA705">
        <f>COUNTIFS('Bank Lines'!$G$5:$G$1640,A705,'Bank Lines'!$J$5:$J$1640,1,'Bank Lines'!$C$5:$C$1640,"&lt;="&amp;Cover!$C$15)</f>
        <v>1</v>
      </c>
      <c r="AB705">
        <f>COUNTIFS('Odoo Items'!$J$5:$J$4331,A705,'Odoo Items'!$C$5:$C$4331,"&lt;="&amp;Cover!$C$15)</f>
        <v>1</v>
      </c>
      <c r="AC705" t="str">
        <f>IF(AND(AA705=0,AB705=0),"",IF(AA705=0,"ODOO-ONLY",IF(AB705=0,"BANK-ONLY","BOTH")))</f>
        <v>BOTH</v>
      </c>
      <c r="AD705" s="9">
        <f>IF(AC705="BOTH",ROUND(Y705-Z705,2),0)</f>
        <v>0</v>
      </c>
    </row>
    <row r="706">
      <c r="A706" t="inlineStr">
        <is>
          <t>G00702</t>
        </is>
      </c>
      <c r="B706" t="inlineStr">
        <is>
          <t>MER</t>
        </is>
      </c>
      <c r="C706" t="inlineStr">
        <is>
          <t>R08</t>
        </is>
      </c>
      <c r="D706" t="inlineStr">
        <is>
          <t>MATCH</t>
        </is>
      </c>
      <c r="E706" t="inlineStr"/>
      <c r="G706" t="inlineStr"/>
      <c r="H706">
        <f>COUNTIFS('Bank Lines'!$G$5:$G$1640,A706,'Bank Lines'!$J$5:$J$1640,1)</f>
        <v>1</v>
      </c>
      <c r="I706">
        <f>COUNTIFS('Odoo Items'!$J$5:$J$4331,A706)</f>
        <v>1</v>
      </c>
      <c r="J706" s="9">
        <f>ROUND(SUMIFS('Bank Lines'!$E$5:$E$1640,'Bank Lines'!$G$5:$G$1640,A706,'Bank Lines'!$J$5:$J$1640,1),2)</f>
        <v>1974.79</v>
      </c>
      <c r="K706" s="9">
        <f>ROUND(SUMIFS('Odoo Items'!$G$5:$G$4331,'Odoo Items'!$J$5:$J$4331,A706),2)</f>
        <v>1974.79</v>
      </c>
      <c r="L706" s="9">
        <f>ROUND(J706-K706,2)</f>
        <v>0</v>
      </c>
      <c r="M706" s="9">
        <f>ROUND(SUMIFS('Bank Lines'!$E$5:$E$1640,'Bank Lines'!$G$5:$G$1640,A706,'Bank Lines'!$J$5:$J$1640,1,'Bank Lines'!$C$5:$C$1640,"&lt;="&amp;Cover!$C$13),2)</f>
        <v>0</v>
      </c>
      <c r="N706" s="9">
        <f>ROUND(SUMIFS('Odoo Items'!$G$5:$G$4331,'Odoo Items'!$J$5:$J$4331,A706,'Odoo Items'!$C$5:$C$4331,"&lt;="&amp;Cover!$C$13),2)</f>
        <v>0</v>
      </c>
      <c r="O706">
        <f>COUNTIFS('Bank Lines'!$G$5:$G$1640,A706,'Bank Lines'!$J$5:$J$1640,1,'Bank Lines'!$C$5:$C$1640,"&lt;="&amp;Cover!$C$13)</f>
        <v>0</v>
      </c>
      <c r="P706">
        <f>COUNTIFS('Odoo Items'!$J$5:$J$4331,A706,'Odoo Items'!$C$5:$C$4331,"&lt;="&amp;Cover!$C$13)</f>
        <v>0</v>
      </c>
      <c r="Q706">
        <f>IF(AND(O706=0,P706=0),"",IF(O706=0,"ODOO-ONLY",IF(P706=0,"BANK-ONLY","BOTH")))</f>
      </c>
      <c r="R706" s="9">
        <f>IF(Q706="BOTH",ROUND(M706-N706,2),0)</f>
        <v>0</v>
      </c>
      <c r="S706" s="9">
        <f>ROUND(SUMIFS('Bank Lines'!$E$5:$E$1640,'Bank Lines'!$G$5:$G$1640,A706,'Bank Lines'!$J$5:$J$1640,1,'Bank Lines'!$C$5:$C$1640,"&lt;="&amp;Cover!$C$14),2)</f>
        <v>1974.79</v>
      </c>
      <c r="T706" s="9">
        <f>ROUND(SUMIFS('Odoo Items'!$G$5:$G$4331,'Odoo Items'!$J$5:$J$4331,A706,'Odoo Items'!$C$5:$C$4331,"&lt;="&amp;Cover!$C$14),2)</f>
        <v>1974.79</v>
      </c>
      <c r="U706">
        <f>COUNTIFS('Bank Lines'!$G$5:$G$1640,A706,'Bank Lines'!$J$5:$J$1640,1,'Bank Lines'!$C$5:$C$1640,"&lt;="&amp;Cover!$C$14)</f>
        <v>1</v>
      </c>
      <c r="V706">
        <f>COUNTIFS('Odoo Items'!$J$5:$J$4331,A706,'Odoo Items'!$C$5:$C$4331,"&lt;="&amp;Cover!$C$14)</f>
        <v>1</v>
      </c>
      <c r="W706" t="str">
        <f>IF(AND(U706=0,V706=0),"",IF(U706=0,"ODOO-ONLY",IF(V706=0,"BANK-ONLY","BOTH")))</f>
        <v>BOTH</v>
      </c>
      <c r="X706" s="9">
        <f>IF(W706="BOTH",ROUND(S706-T706,2),0)</f>
        <v>0</v>
      </c>
      <c r="Y706" s="9">
        <f>ROUND(SUMIFS('Bank Lines'!$E$5:$E$1640,'Bank Lines'!$G$5:$G$1640,A706,'Bank Lines'!$J$5:$J$1640,1,'Bank Lines'!$C$5:$C$1640,"&lt;="&amp;Cover!$C$15),2)</f>
        <v>1974.79</v>
      </c>
      <c r="Z706" s="9">
        <f>ROUND(SUMIFS('Odoo Items'!$G$5:$G$4331,'Odoo Items'!$J$5:$J$4331,A706,'Odoo Items'!$C$5:$C$4331,"&lt;="&amp;Cover!$C$15),2)</f>
        <v>1974.79</v>
      </c>
      <c r="AA706">
        <f>COUNTIFS('Bank Lines'!$G$5:$G$1640,A706,'Bank Lines'!$J$5:$J$1640,1,'Bank Lines'!$C$5:$C$1640,"&lt;="&amp;Cover!$C$15)</f>
        <v>1</v>
      </c>
      <c r="AB706">
        <f>COUNTIFS('Odoo Items'!$J$5:$J$4331,A706,'Odoo Items'!$C$5:$C$4331,"&lt;="&amp;Cover!$C$15)</f>
        <v>1</v>
      </c>
      <c r="AC706" t="str">
        <f>IF(AND(AA706=0,AB706=0),"",IF(AA706=0,"ODOO-ONLY",IF(AB706=0,"BANK-ONLY","BOTH")))</f>
        <v>BOTH</v>
      </c>
      <c r="AD706" s="9">
        <f>IF(AC706="BOTH",ROUND(Y706-Z706,2),0)</f>
        <v>0</v>
      </c>
    </row>
    <row r="707">
      <c r="A707" t="inlineStr">
        <is>
          <t>G00703</t>
        </is>
      </c>
      <c r="B707" t="inlineStr">
        <is>
          <t>MER</t>
        </is>
      </c>
      <c r="C707" t="inlineStr">
        <is>
          <t>R08</t>
        </is>
      </c>
      <c r="D707" t="inlineStr">
        <is>
          <t>REFUND-GAP</t>
        </is>
      </c>
      <c r="E707" t="inlineStr"/>
      <c r="G707" t="inlineStr">
        <is>
          <t>Settlement -120.00 lower than POS takings: terminal refund not in POS export</t>
        </is>
      </c>
      <c r="H707">
        <f>COUNTIFS('Bank Lines'!$G$5:$G$1640,A707,'Bank Lines'!$J$5:$J$1640,1)</f>
        <v>1</v>
      </c>
      <c r="I707">
        <f>COUNTIFS('Odoo Items'!$J$5:$J$4331,A707)</f>
        <v>1</v>
      </c>
      <c r="J707" s="9">
        <f>ROUND(SUMIFS('Bank Lines'!$E$5:$E$1640,'Bank Lines'!$G$5:$G$1640,A707,'Bank Lines'!$J$5:$J$1640,1),2)</f>
        <v>2958.33</v>
      </c>
      <c r="K707" s="9">
        <f>ROUND(SUMIFS('Odoo Items'!$G$5:$G$4331,'Odoo Items'!$J$5:$J$4331,A707),2)</f>
        <v>3078.33</v>
      </c>
      <c r="L707" s="9">
        <f>ROUND(J707-K707,2)</f>
        <v>-120</v>
      </c>
      <c r="M707" s="9">
        <f>ROUND(SUMIFS('Bank Lines'!$E$5:$E$1640,'Bank Lines'!$G$5:$G$1640,A707,'Bank Lines'!$J$5:$J$1640,1,'Bank Lines'!$C$5:$C$1640,"&lt;="&amp;Cover!$C$13),2)</f>
        <v>0</v>
      </c>
      <c r="N707" s="9">
        <f>ROUND(SUMIFS('Odoo Items'!$G$5:$G$4331,'Odoo Items'!$J$5:$J$4331,A707,'Odoo Items'!$C$5:$C$4331,"&lt;="&amp;Cover!$C$13),2)</f>
        <v>0</v>
      </c>
      <c r="O707">
        <f>COUNTIFS('Bank Lines'!$G$5:$G$1640,A707,'Bank Lines'!$J$5:$J$1640,1,'Bank Lines'!$C$5:$C$1640,"&lt;="&amp;Cover!$C$13)</f>
        <v>0</v>
      </c>
      <c r="P707">
        <f>COUNTIFS('Odoo Items'!$J$5:$J$4331,A707,'Odoo Items'!$C$5:$C$4331,"&lt;="&amp;Cover!$C$13)</f>
        <v>0</v>
      </c>
      <c r="Q707">
        <f>IF(AND(O707=0,P707=0),"",IF(O707=0,"ODOO-ONLY",IF(P707=0,"BANK-ONLY","BOTH")))</f>
      </c>
      <c r="R707" s="9">
        <f>IF(Q707="BOTH",ROUND(M707-N707,2),0)</f>
        <v>0</v>
      </c>
      <c r="S707" s="9">
        <f>ROUND(SUMIFS('Bank Lines'!$E$5:$E$1640,'Bank Lines'!$G$5:$G$1640,A707,'Bank Lines'!$J$5:$J$1640,1,'Bank Lines'!$C$5:$C$1640,"&lt;="&amp;Cover!$C$14),2)</f>
        <v>2958.33</v>
      </c>
      <c r="T707" s="9">
        <f>ROUND(SUMIFS('Odoo Items'!$G$5:$G$4331,'Odoo Items'!$J$5:$J$4331,A707,'Odoo Items'!$C$5:$C$4331,"&lt;="&amp;Cover!$C$14),2)</f>
        <v>3078.33</v>
      </c>
      <c r="U707">
        <f>COUNTIFS('Bank Lines'!$G$5:$G$1640,A707,'Bank Lines'!$J$5:$J$1640,1,'Bank Lines'!$C$5:$C$1640,"&lt;="&amp;Cover!$C$14)</f>
        <v>1</v>
      </c>
      <c r="V707">
        <f>COUNTIFS('Odoo Items'!$J$5:$J$4331,A707,'Odoo Items'!$C$5:$C$4331,"&lt;="&amp;Cover!$C$14)</f>
        <v>1</v>
      </c>
      <c r="W707" t="str">
        <f>IF(AND(U707=0,V707=0),"",IF(U707=0,"ODOO-ONLY",IF(V707=0,"BANK-ONLY","BOTH")))</f>
        <v>BOTH</v>
      </c>
      <c r="X707" s="9">
        <f>IF(W707="BOTH",ROUND(S707-T707,2),0)</f>
        <v>-120</v>
      </c>
      <c r="Y707" s="9">
        <f>ROUND(SUMIFS('Bank Lines'!$E$5:$E$1640,'Bank Lines'!$G$5:$G$1640,A707,'Bank Lines'!$J$5:$J$1640,1,'Bank Lines'!$C$5:$C$1640,"&lt;="&amp;Cover!$C$15),2)</f>
        <v>2958.33</v>
      </c>
      <c r="Z707" s="9">
        <f>ROUND(SUMIFS('Odoo Items'!$G$5:$G$4331,'Odoo Items'!$J$5:$J$4331,A707,'Odoo Items'!$C$5:$C$4331,"&lt;="&amp;Cover!$C$15),2)</f>
        <v>3078.33</v>
      </c>
      <c r="AA707">
        <f>COUNTIFS('Bank Lines'!$G$5:$G$1640,A707,'Bank Lines'!$J$5:$J$1640,1,'Bank Lines'!$C$5:$C$1640,"&lt;="&amp;Cover!$C$15)</f>
        <v>1</v>
      </c>
      <c r="AB707">
        <f>COUNTIFS('Odoo Items'!$J$5:$J$4331,A707,'Odoo Items'!$C$5:$C$4331,"&lt;="&amp;Cover!$C$15)</f>
        <v>1</v>
      </c>
      <c r="AC707" t="str">
        <f>IF(AND(AA707=0,AB707=0),"",IF(AA707=0,"ODOO-ONLY",IF(AB707=0,"BANK-ONLY","BOTH")))</f>
        <v>BOTH</v>
      </c>
      <c r="AD707" s="9">
        <f>IF(AC707="BOTH",ROUND(Y707-Z707,2),0)</f>
        <v>-120</v>
      </c>
    </row>
    <row r="708">
      <c r="A708" t="inlineStr">
        <is>
          <t>G00704</t>
        </is>
      </c>
      <c r="B708" t="inlineStr">
        <is>
          <t>MER</t>
        </is>
      </c>
      <c r="C708" t="inlineStr">
        <is>
          <t>R08</t>
        </is>
      </c>
      <c r="D708" t="inlineStr">
        <is>
          <t>MATCH</t>
        </is>
      </c>
      <c r="E708" t="inlineStr"/>
      <c r="G708" t="inlineStr"/>
      <c r="H708">
        <f>COUNTIFS('Bank Lines'!$G$5:$G$1640,A708,'Bank Lines'!$J$5:$J$1640,1)</f>
        <v>1</v>
      </c>
      <c r="I708">
        <f>COUNTIFS('Odoo Items'!$J$5:$J$4331,A708)</f>
        <v>1</v>
      </c>
      <c r="J708" s="9">
        <f>ROUND(SUMIFS('Bank Lines'!$E$5:$E$1640,'Bank Lines'!$G$5:$G$1640,A708,'Bank Lines'!$J$5:$J$1640,1),2)</f>
        <v>1884.68</v>
      </c>
      <c r="K708" s="9">
        <f>ROUND(SUMIFS('Odoo Items'!$G$5:$G$4331,'Odoo Items'!$J$5:$J$4331,A708),2)</f>
        <v>1884.68</v>
      </c>
      <c r="L708" s="9">
        <f>ROUND(J708-K708,2)</f>
        <v>0</v>
      </c>
      <c r="M708" s="9">
        <f>ROUND(SUMIFS('Bank Lines'!$E$5:$E$1640,'Bank Lines'!$G$5:$G$1640,A708,'Bank Lines'!$J$5:$J$1640,1,'Bank Lines'!$C$5:$C$1640,"&lt;="&amp;Cover!$C$13),2)</f>
        <v>0</v>
      </c>
      <c r="N708" s="9">
        <f>ROUND(SUMIFS('Odoo Items'!$G$5:$G$4331,'Odoo Items'!$J$5:$J$4331,A708,'Odoo Items'!$C$5:$C$4331,"&lt;="&amp;Cover!$C$13),2)</f>
        <v>0</v>
      </c>
      <c r="O708">
        <f>COUNTIFS('Bank Lines'!$G$5:$G$1640,A708,'Bank Lines'!$J$5:$J$1640,1,'Bank Lines'!$C$5:$C$1640,"&lt;="&amp;Cover!$C$13)</f>
        <v>0</v>
      </c>
      <c r="P708">
        <f>COUNTIFS('Odoo Items'!$J$5:$J$4331,A708,'Odoo Items'!$C$5:$C$4331,"&lt;="&amp;Cover!$C$13)</f>
        <v>0</v>
      </c>
      <c r="Q708">
        <f>IF(AND(O708=0,P708=0),"",IF(O708=0,"ODOO-ONLY",IF(P708=0,"BANK-ONLY","BOTH")))</f>
      </c>
      <c r="R708" s="9">
        <f>IF(Q708="BOTH",ROUND(M708-N708,2),0)</f>
        <v>0</v>
      </c>
      <c r="S708" s="9">
        <f>ROUND(SUMIFS('Bank Lines'!$E$5:$E$1640,'Bank Lines'!$G$5:$G$1640,A708,'Bank Lines'!$J$5:$J$1640,1,'Bank Lines'!$C$5:$C$1640,"&lt;="&amp;Cover!$C$14),2)</f>
        <v>1884.68</v>
      </c>
      <c r="T708" s="9">
        <f>ROUND(SUMIFS('Odoo Items'!$G$5:$G$4331,'Odoo Items'!$J$5:$J$4331,A708,'Odoo Items'!$C$5:$C$4331,"&lt;="&amp;Cover!$C$14),2)</f>
        <v>1884.68</v>
      </c>
      <c r="U708">
        <f>COUNTIFS('Bank Lines'!$G$5:$G$1640,A708,'Bank Lines'!$J$5:$J$1640,1,'Bank Lines'!$C$5:$C$1640,"&lt;="&amp;Cover!$C$14)</f>
        <v>1</v>
      </c>
      <c r="V708">
        <f>COUNTIFS('Odoo Items'!$J$5:$J$4331,A708,'Odoo Items'!$C$5:$C$4331,"&lt;="&amp;Cover!$C$14)</f>
        <v>1</v>
      </c>
      <c r="W708" t="str">
        <f>IF(AND(U708=0,V708=0),"",IF(U708=0,"ODOO-ONLY",IF(V708=0,"BANK-ONLY","BOTH")))</f>
        <v>BOTH</v>
      </c>
      <c r="X708" s="9">
        <f>IF(W708="BOTH",ROUND(S708-T708,2),0)</f>
        <v>0</v>
      </c>
      <c r="Y708" s="9">
        <f>ROUND(SUMIFS('Bank Lines'!$E$5:$E$1640,'Bank Lines'!$G$5:$G$1640,A708,'Bank Lines'!$J$5:$J$1640,1,'Bank Lines'!$C$5:$C$1640,"&lt;="&amp;Cover!$C$15),2)</f>
        <v>1884.68</v>
      </c>
      <c r="Z708" s="9">
        <f>ROUND(SUMIFS('Odoo Items'!$G$5:$G$4331,'Odoo Items'!$J$5:$J$4331,A708,'Odoo Items'!$C$5:$C$4331,"&lt;="&amp;Cover!$C$15),2)</f>
        <v>1884.68</v>
      </c>
      <c r="AA708">
        <f>COUNTIFS('Bank Lines'!$G$5:$G$1640,A708,'Bank Lines'!$J$5:$J$1640,1,'Bank Lines'!$C$5:$C$1640,"&lt;="&amp;Cover!$C$15)</f>
        <v>1</v>
      </c>
      <c r="AB708">
        <f>COUNTIFS('Odoo Items'!$J$5:$J$4331,A708,'Odoo Items'!$C$5:$C$4331,"&lt;="&amp;Cover!$C$15)</f>
        <v>1</v>
      </c>
      <c r="AC708" t="str">
        <f>IF(AND(AA708=0,AB708=0),"",IF(AA708=0,"ODOO-ONLY",IF(AB708=0,"BANK-ONLY","BOTH")))</f>
        <v>BOTH</v>
      </c>
      <c r="AD708" s="9">
        <f>IF(AC708="BOTH",ROUND(Y708-Z708,2),0)</f>
        <v>0</v>
      </c>
    </row>
    <row r="709">
      <c r="A709" t="inlineStr">
        <is>
          <t>G00705</t>
        </is>
      </c>
      <c r="B709" t="inlineStr">
        <is>
          <t>MER</t>
        </is>
      </c>
      <c r="C709" t="inlineStr">
        <is>
          <t>R08</t>
        </is>
      </c>
      <c r="D709" t="inlineStr">
        <is>
          <t>MATCH</t>
        </is>
      </c>
      <c r="E709" t="inlineStr"/>
      <c r="G709" t="inlineStr"/>
      <c r="H709">
        <f>COUNTIFS('Bank Lines'!$G$5:$G$1640,A709,'Bank Lines'!$J$5:$J$1640,1)</f>
        <v>1</v>
      </c>
      <c r="I709">
        <f>COUNTIFS('Odoo Items'!$J$5:$J$4331,A709)</f>
        <v>1</v>
      </c>
      <c r="J709" s="9">
        <f>ROUND(SUMIFS('Bank Lines'!$E$5:$E$1640,'Bank Lines'!$G$5:$G$1640,A709,'Bank Lines'!$J$5:$J$1640,1),2)</f>
        <v>2354.52</v>
      </c>
      <c r="K709" s="9">
        <f>ROUND(SUMIFS('Odoo Items'!$G$5:$G$4331,'Odoo Items'!$J$5:$J$4331,A709),2)</f>
        <v>2354.52</v>
      </c>
      <c r="L709" s="9">
        <f>ROUND(J709-K709,2)</f>
        <v>0</v>
      </c>
      <c r="M709" s="9">
        <f>ROUND(SUMIFS('Bank Lines'!$E$5:$E$1640,'Bank Lines'!$G$5:$G$1640,A709,'Bank Lines'!$J$5:$J$1640,1,'Bank Lines'!$C$5:$C$1640,"&lt;="&amp;Cover!$C$13),2)</f>
        <v>0</v>
      </c>
      <c r="N709" s="9">
        <f>ROUND(SUMIFS('Odoo Items'!$G$5:$G$4331,'Odoo Items'!$J$5:$J$4331,A709,'Odoo Items'!$C$5:$C$4331,"&lt;="&amp;Cover!$C$13),2)</f>
        <v>0</v>
      </c>
      <c r="O709">
        <f>COUNTIFS('Bank Lines'!$G$5:$G$1640,A709,'Bank Lines'!$J$5:$J$1640,1,'Bank Lines'!$C$5:$C$1640,"&lt;="&amp;Cover!$C$13)</f>
        <v>0</v>
      </c>
      <c r="P709">
        <f>COUNTIFS('Odoo Items'!$J$5:$J$4331,A709,'Odoo Items'!$C$5:$C$4331,"&lt;="&amp;Cover!$C$13)</f>
        <v>0</v>
      </c>
      <c r="Q709">
        <f>IF(AND(O709=0,P709=0),"",IF(O709=0,"ODOO-ONLY",IF(P709=0,"BANK-ONLY","BOTH")))</f>
      </c>
      <c r="R709" s="9">
        <f>IF(Q709="BOTH",ROUND(M709-N709,2),0)</f>
        <v>0</v>
      </c>
      <c r="S709" s="9">
        <f>ROUND(SUMIFS('Bank Lines'!$E$5:$E$1640,'Bank Lines'!$G$5:$G$1640,A709,'Bank Lines'!$J$5:$J$1640,1,'Bank Lines'!$C$5:$C$1640,"&lt;="&amp;Cover!$C$14),2)</f>
        <v>2354.52</v>
      </c>
      <c r="T709" s="9">
        <f>ROUND(SUMIFS('Odoo Items'!$G$5:$G$4331,'Odoo Items'!$J$5:$J$4331,A709,'Odoo Items'!$C$5:$C$4331,"&lt;="&amp;Cover!$C$14),2)</f>
        <v>2354.52</v>
      </c>
      <c r="U709">
        <f>COUNTIFS('Bank Lines'!$G$5:$G$1640,A709,'Bank Lines'!$J$5:$J$1640,1,'Bank Lines'!$C$5:$C$1640,"&lt;="&amp;Cover!$C$14)</f>
        <v>1</v>
      </c>
      <c r="V709">
        <f>COUNTIFS('Odoo Items'!$J$5:$J$4331,A709,'Odoo Items'!$C$5:$C$4331,"&lt;="&amp;Cover!$C$14)</f>
        <v>1</v>
      </c>
      <c r="W709" t="str">
        <f>IF(AND(U709=0,V709=0),"",IF(U709=0,"ODOO-ONLY",IF(V709=0,"BANK-ONLY","BOTH")))</f>
        <v>BOTH</v>
      </c>
      <c r="X709" s="9">
        <f>IF(W709="BOTH",ROUND(S709-T709,2),0)</f>
        <v>0</v>
      </c>
      <c r="Y709" s="9">
        <f>ROUND(SUMIFS('Bank Lines'!$E$5:$E$1640,'Bank Lines'!$G$5:$G$1640,A709,'Bank Lines'!$J$5:$J$1640,1,'Bank Lines'!$C$5:$C$1640,"&lt;="&amp;Cover!$C$15),2)</f>
        <v>2354.52</v>
      </c>
      <c r="Z709" s="9">
        <f>ROUND(SUMIFS('Odoo Items'!$G$5:$G$4331,'Odoo Items'!$J$5:$J$4331,A709,'Odoo Items'!$C$5:$C$4331,"&lt;="&amp;Cover!$C$15),2)</f>
        <v>2354.52</v>
      </c>
      <c r="AA709">
        <f>COUNTIFS('Bank Lines'!$G$5:$G$1640,A709,'Bank Lines'!$J$5:$J$1640,1,'Bank Lines'!$C$5:$C$1640,"&lt;="&amp;Cover!$C$15)</f>
        <v>1</v>
      </c>
      <c r="AB709">
        <f>COUNTIFS('Odoo Items'!$J$5:$J$4331,A709,'Odoo Items'!$C$5:$C$4331,"&lt;="&amp;Cover!$C$15)</f>
        <v>1</v>
      </c>
      <c r="AC709" t="str">
        <f>IF(AND(AA709=0,AB709=0),"",IF(AA709=0,"ODOO-ONLY",IF(AB709=0,"BANK-ONLY","BOTH")))</f>
        <v>BOTH</v>
      </c>
      <c r="AD709" s="9">
        <f>IF(AC709="BOTH",ROUND(Y709-Z709,2),0)</f>
        <v>0</v>
      </c>
    </row>
    <row r="710">
      <c r="A710" t="inlineStr">
        <is>
          <t>G00706</t>
        </is>
      </c>
      <c r="B710" t="inlineStr">
        <is>
          <t>MER</t>
        </is>
      </c>
      <c r="C710" t="inlineStr">
        <is>
          <t>R08</t>
        </is>
      </c>
      <c r="D710" t="inlineStr">
        <is>
          <t>MATCH</t>
        </is>
      </c>
      <c r="E710" t="inlineStr"/>
      <c r="G710" t="inlineStr"/>
      <c r="H710">
        <f>COUNTIFS('Bank Lines'!$G$5:$G$1640,A710,'Bank Lines'!$J$5:$J$1640,1)</f>
        <v>1</v>
      </c>
      <c r="I710">
        <f>COUNTIFS('Odoo Items'!$J$5:$J$4331,A710)</f>
        <v>1</v>
      </c>
      <c r="J710" s="9">
        <f>ROUND(SUMIFS('Bank Lines'!$E$5:$E$1640,'Bank Lines'!$G$5:$G$1640,A710,'Bank Lines'!$J$5:$J$1640,1),2)</f>
        <v>997.76</v>
      </c>
      <c r="K710" s="9">
        <f>ROUND(SUMIFS('Odoo Items'!$G$5:$G$4331,'Odoo Items'!$J$5:$J$4331,A710),2)</f>
        <v>997.76</v>
      </c>
      <c r="L710" s="9">
        <f>ROUND(J710-K710,2)</f>
        <v>0</v>
      </c>
      <c r="M710" s="9">
        <f>ROUND(SUMIFS('Bank Lines'!$E$5:$E$1640,'Bank Lines'!$G$5:$G$1640,A710,'Bank Lines'!$J$5:$J$1640,1,'Bank Lines'!$C$5:$C$1640,"&lt;="&amp;Cover!$C$13),2)</f>
        <v>0</v>
      </c>
      <c r="N710" s="9">
        <f>ROUND(SUMIFS('Odoo Items'!$G$5:$G$4331,'Odoo Items'!$J$5:$J$4331,A710,'Odoo Items'!$C$5:$C$4331,"&lt;="&amp;Cover!$C$13),2)</f>
        <v>0</v>
      </c>
      <c r="O710">
        <f>COUNTIFS('Bank Lines'!$G$5:$G$1640,A710,'Bank Lines'!$J$5:$J$1640,1,'Bank Lines'!$C$5:$C$1640,"&lt;="&amp;Cover!$C$13)</f>
        <v>0</v>
      </c>
      <c r="P710">
        <f>COUNTIFS('Odoo Items'!$J$5:$J$4331,A710,'Odoo Items'!$C$5:$C$4331,"&lt;="&amp;Cover!$C$13)</f>
        <v>0</v>
      </c>
      <c r="Q710">
        <f>IF(AND(O710=0,P710=0),"",IF(O710=0,"ODOO-ONLY",IF(P710=0,"BANK-ONLY","BOTH")))</f>
      </c>
      <c r="R710" s="9">
        <f>IF(Q710="BOTH",ROUND(M710-N710,2),0)</f>
        <v>0</v>
      </c>
      <c r="S710" s="9">
        <f>ROUND(SUMIFS('Bank Lines'!$E$5:$E$1640,'Bank Lines'!$G$5:$G$1640,A710,'Bank Lines'!$J$5:$J$1640,1,'Bank Lines'!$C$5:$C$1640,"&lt;="&amp;Cover!$C$14),2)</f>
        <v>997.76</v>
      </c>
      <c r="T710" s="9">
        <f>ROUND(SUMIFS('Odoo Items'!$G$5:$G$4331,'Odoo Items'!$J$5:$J$4331,A710,'Odoo Items'!$C$5:$C$4331,"&lt;="&amp;Cover!$C$14),2)</f>
        <v>997.76</v>
      </c>
      <c r="U710">
        <f>COUNTIFS('Bank Lines'!$G$5:$G$1640,A710,'Bank Lines'!$J$5:$J$1640,1,'Bank Lines'!$C$5:$C$1640,"&lt;="&amp;Cover!$C$14)</f>
        <v>1</v>
      </c>
      <c r="V710">
        <f>COUNTIFS('Odoo Items'!$J$5:$J$4331,A710,'Odoo Items'!$C$5:$C$4331,"&lt;="&amp;Cover!$C$14)</f>
        <v>1</v>
      </c>
      <c r="W710" t="str">
        <f>IF(AND(U710=0,V710=0),"",IF(U710=0,"ODOO-ONLY",IF(V710=0,"BANK-ONLY","BOTH")))</f>
        <v>BOTH</v>
      </c>
      <c r="X710" s="9">
        <f>IF(W710="BOTH",ROUND(S710-T710,2),0)</f>
        <v>0</v>
      </c>
      <c r="Y710" s="9">
        <f>ROUND(SUMIFS('Bank Lines'!$E$5:$E$1640,'Bank Lines'!$G$5:$G$1640,A710,'Bank Lines'!$J$5:$J$1640,1,'Bank Lines'!$C$5:$C$1640,"&lt;="&amp;Cover!$C$15),2)</f>
        <v>997.76</v>
      </c>
      <c r="Z710" s="9">
        <f>ROUND(SUMIFS('Odoo Items'!$G$5:$G$4331,'Odoo Items'!$J$5:$J$4331,A710,'Odoo Items'!$C$5:$C$4331,"&lt;="&amp;Cover!$C$15),2)</f>
        <v>997.76</v>
      </c>
      <c r="AA710">
        <f>COUNTIFS('Bank Lines'!$G$5:$G$1640,A710,'Bank Lines'!$J$5:$J$1640,1,'Bank Lines'!$C$5:$C$1640,"&lt;="&amp;Cover!$C$15)</f>
        <v>1</v>
      </c>
      <c r="AB710">
        <f>COUNTIFS('Odoo Items'!$J$5:$J$4331,A710,'Odoo Items'!$C$5:$C$4331,"&lt;="&amp;Cover!$C$15)</f>
        <v>1</v>
      </c>
      <c r="AC710" t="str">
        <f>IF(AND(AA710=0,AB710=0),"",IF(AA710=0,"ODOO-ONLY",IF(AB710=0,"BANK-ONLY","BOTH")))</f>
        <v>BOTH</v>
      </c>
      <c r="AD710" s="9">
        <f>IF(AC710="BOTH",ROUND(Y710-Z710,2),0)</f>
        <v>0</v>
      </c>
    </row>
    <row r="711">
      <c r="A711" t="inlineStr">
        <is>
          <t>G00707</t>
        </is>
      </c>
      <c r="B711" t="inlineStr">
        <is>
          <t>MER</t>
        </is>
      </c>
      <c r="C711" t="inlineStr">
        <is>
          <t>R08</t>
        </is>
      </c>
      <c r="D711" t="inlineStr">
        <is>
          <t>MATCH</t>
        </is>
      </c>
      <c r="E711" t="inlineStr"/>
      <c r="G711" t="inlineStr"/>
      <c r="H711">
        <f>COUNTIFS('Bank Lines'!$G$5:$G$1640,A711,'Bank Lines'!$J$5:$J$1640,1)</f>
        <v>1</v>
      </c>
      <c r="I711">
        <f>COUNTIFS('Odoo Items'!$J$5:$J$4331,A711)</f>
        <v>1</v>
      </c>
      <c r="J711" s="9">
        <f>ROUND(SUMIFS('Bank Lines'!$E$5:$E$1640,'Bank Lines'!$G$5:$G$1640,A711,'Bank Lines'!$J$5:$J$1640,1),2)</f>
        <v>2573.63</v>
      </c>
      <c r="K711" s="9">
        <f>ROUND(SUMIFS('Odoo Items'!$G$5:$G$4331,'Odoo Items'!$J$5:$J$4331,A711),2)</f>
        <v>2573.63</v>
      </c>
      <c r="L711" s="9">
        <f>ROUND(J711-K711,2)</f>
        <v>0</v>
      </c>
      <c r="M711" s="9">
        <f>ROUND(SUMIFS('Bank Lines'!$E$5:$E$1640,'Bank Lines'!$G$5:$G$1640,A711,'Bank Lines'!$J$5:$J$1640,1,'Bank Lines'!$C$5:$C$1640,"&lt;="&amp;Cover!$C$13),2)</f>
        <v>0</v>
      </c>
      <c r="N711" s="9">
        <f>ROUND(SUMIFS('Odoo Items'!$G$5:$G$4331,'Odoo Items'!$J$5:$J$4331,A711,'Odoo Items'!$C$5:$C$4331,"&lt;="&amp;Cover!$C$13),2)</f>
        <v>0</v>
      </c>
      <c r="O711">
        <f>COUNTIFS('Bank Lines'!$G$5:$G$1640,A711,'Bank Lines'!$J$5:$J$1640,1,'Bank Lines'!$C$5:$C$1640,"&lt;="&amp;Cover!$C$13)</f>
        <v>0</v>
      </c>
      <c r="P711">
        <f>COUNTIFS('Odoo Items'!$J$5:$J$4331,A711,'Odoo Items'!$C$5:$C$4331,"&lt;="&amp;Cover!$C$13)</f>
        <v>0</v>
      </c>
      <c r="Q711">
        <f>IF(AND(O711=0,P711=0),"",IF(O711=0,"ODOO-ONLY",IF(P711=0,"BANK-ONLY","BOTH")))</f>
      </c>
      <c r="R711" s="9">
        <f>IF(Q711="BOTH",ROUND(M711-N711,2),0)</f>
        <v>0</v>
      </c>
      <c r="S711" s="9">
        <f>ROUND(SUMIFS('Bank Lines'!$E$5:$E$1640,'Bank Lines'!$G$5:$G$1640,A711,'Bank Lines'!$J$5:$J$1640,1,'Bank Lines'!$C$5:$C$1640,"&lt;="&amp;Cover!$C$14),2)</f>
        <v>2573.63</v>
      </c>
      <c r="T711" s="9">
        <f>ROUND(SUMIFS('Odoo Items'!$G$5:$G$4331,'Odoo Items'!$J$5:$J$4331,A711,'Odoo Items'!$C$5:$C$4331,"&lt;="&amp;Cover!$C$14),2)</f>
        <v>2573.63</v>
      </c>
      <c r="U711">
        <f>COUNTIFS('Bank Lines'!$G$5:$G$1640,A711,'Bank Lines'!$J$5:$J$1640,1,'Bank Lines'!$C$5:$C$1640,"&lt;="&amp;Cover!$C$14)</f>
        <v>1</v>
      </c>
      <c r="V711">
        <f>COUNTIFS('Odoo Items'!$J$5:$J$4331,A711,'Odoo Items'!$C$5:$C$4331,"&lt;="&amp;Cover!$C$14)</f>
        <v>1</v>
      </c>
      <c r="W711" t="str">
        <f>IF(AND(U711=0,V711=0),"",IF(U711=0,"ODOO-ONLY",IF(V711=0,"BANK-ONLY","BOTH")))</f>
        <v>BOTH</v>
      </c>
      <c r="X711" s="9">
        <f>IF(W711="BOTH",ROUND(S711-T711,2),0)</f>
        <v>0</v>
      </c>
      <c r="Y711" s="9">
        <f>ROUND(SUMIFS('Bank Lines'!$E$5:$E$1640,'Bank Lines'!$G$5:$G$1640,A711,'Bank Lines'!$J$5:$J$1640,1,'Bank Lines'!$C$5:$C$1640,"&lt;="&amp;Cover!$C$15),2)</f>
        <v>2573.63</v>
      </c>
      <c r="Z711" s="9">
        <f>ROUND(SUMIFS('Odoo Items'!$G$5:$G$4331,'Odoo Items'!$J$5:$J$4331,A711,'Odoo Items'!$C$5:$C$4331,"&lt;="&amp;Cover!$C$15),2)</f>
        <v>2573.63</v>
      </c>
      <c r="AA711">
        <f>COUNTIFS('Bank Lines'!$G$5:$G$1640,A711,'Bank Lines'!$J$5:$J$1640,1,'Bank Lines'!$C$5:$C$1640,"&lt;="&amp;Cover!$C$15)</f>
        <v>1</v>
      </c>
      <c r="AB711">
        <f>COUNTIFS('Odoo Items'!$J$5:$J$4331,A711,'Odoo Items'!$C$5:$C$4331,"&lt;="&amp;Cover!$C$15)</f>
        <v>1</v>
      </c>
      <c r="AC711" t="str">
        <f>IF(AND(AA711=0,AB711=0),"",IF(AA711=0,"ODOO-ONLY",IF(AB711=0,"BANK-ONLY","BOTH")))</f>
        <v>BOTH</v>
      </c>
      <c r="AD711" s="9">
        <f>IF(AC711="BOTH",ROUND(Y711-Z711,2),0)</f>
        <v>0</v>
      </c>
    </row>
    <row r="712">
      <c r="A712" t="inlineStr">
        <is>
          <t>G00708</t>
        </is>
      </c>
      <c r="B712" t="inlineStr">
        <is>
          <t>MER</t>
        </is>
      </c>
      <c r="C712" t="inlineStr">
        <is>
          <t>R08</t>
        </is>
      </c>
      <c r="D712" t="inlineStr">
        <is>
          <t>MATCH</t>
        </is>
      </c>
      <c r="E712" t="inlineStr"/>
      <c r="G712" t="inlineStr"/>
      <c r="H712">
        <f>COUNTIFS('Bank Lines'!$G$5:$G$1640,A712,'Bank Lines'!$J$5:$J$1640,1)</f>
        <v>1</v>
      </c>
      <c r="I712">
        <f>COUNTIFS('Odoo Items'!$J$5:$J$4331,A712)</f>
        <v>1</v>
      </c>
      <c r="J712" s="9">
        <f>ROUND(SUMIFS('Bank Lines'!$E$5:$E$1640,'Bank Lines'!$G$5:$G$1640,A712,'Bank Lines'!$J$5:$J$1640,1),2)</f>
        <v>2834.43</v>
      </c>
      <c r="K712" s="9">
        <f>ROUND(SUMIFS('Odoo Items'!$G$5:$G$4331,'Odoo Items'!$J$5:$J$4331,A712),2)</f>
        <v>2834.43</v>
      </c>
      <c r="L712" s="9">
        <f>ROUND(J712-K712,2)</f>
        <v>0</v>
      </c>
      <c r="M712" s="9">
        <f>ROUND(SUMIFS('Bank Lines'!$E$5:$E$1640,'Bank Lines'!$G$5:$G$1640,A712,'Bank Lines'!$J$5:$J$1640,1,'Bank Lines'!$C$5:$C$1640,"&lt;="&amp;Cover!$C$13),2)</f>
        <v>0</v>
      </c>
      <c r="N712" s="9">
        <f>ROUND(SUMIFS('Odoo Items'!$G$5:$G$4331,'Odoo Items'!$J$5:$J$4331,A712,'Odoo Items'!$C$5:$C$4331,"&lt;="&amp;Cover!$C$13),2)</f>
        <v>0</v>
      </c>
      <c r="O712">
        <f>COUNTIFS('Bank Lines'!$G$5:$G$1640,A712,'Bank Lines'!$J$5:$J$1640,1,'Bank Lines'!$C$5:$C$1640,"&lt;="&amp;Cover!$C$13)</f>
        <v>0</v>
      </c>
      <c r="P712">
        <f>COUNTIFS('Odoo Items'!$J$5:$J$4331,A712,'Odoo Items'!$C$5:$C$4331,"&lt;="&amp;Cover!$C$13)</f>
        <v>0</v>
      </c>
      <c r="Q712">
        <f>IF(AND(O712=0,P712=0),"",IF(O712=0,"ODOO-ONLY",IF(P712=0,"BANK-ONLY","BOTH")))</f>
      </c>
      <c r="R712" s="9">
        <f>IF(Q712="BOTH",ROUND(M712-N712,2),0)</f>
        <v>0</v>
      </c>
      <c r="S712" s="9">
        <f>ROUND(SUMIFS('Bank Lines'!$E$5:$E$1640,'Bank Lines'!$G$5:$G$1640,A712,'Bank Lines'!$J$5:$J$1640,1,'Bank Lines'!$C$5:$C$1640,"&lt;="&amp;Cover!$C$14),2)</f>
        <v>2834.43</v>
      </c>
      <c r="T712" s="9">
        <f>ROUND(SUMIFS('Odoo Items'!$G$5:$G$4331,'Odoo Items'!$J$5:$J$4331,A712,'Odoo Items'!$C$5:$C$4331,"&lt;="&amp;Cover!$C$14),2)</f>
        <v>2834.43</v>
      </c>
      <c r="U712">
        <f>COUNTIFS('Bank Lines'!$G$5:$G$1640,A712,'Bank Lines'!$J$5:$J$1640,1,'Bank Lines'!$C$5:$C$1640,"&lt;="&amp;Cover!$C$14)</f>
        <v>1</v>
      </c>
      <c r="V712">
        <f>COUNTIFS('Odoo Items'!$J$5:$J$4331,A712,'Odoo Items'!$C$5:$C$4331,"&lt;="&amp;Cover!$C$14)</f>
        <v>1</v>
      </c>
      <c r="W712" t="str">
        <f>IF(AND(U712=0,V712=0),"",IF(U712=0,"ODOO-ONLY",IF(V712=0,"BANK-ONLY","BOTH")))</f>
        <v>BOTH</v>
      </c>
      <c r="X712" s="9">
        <f>IF(W712="BOTH",ROUND(S712-T712,2),0)</f>
        <v>0</v>
      </c>
      <c r="Y712" s="9">
        <f>ROUND(SUMIFS('Bank Lines'!$E$5:$E$1640,'Bank Lines'!$G$5:$G$1640,A712,'Bank Lines'!$J$5:$J$1640,1,'Bank Lines'!$C$5:$C$1640,"&lt;="&amp;Cover!$C$15),2)</f>
        <v>2834.43</v>
      </c>
      <c r="Z712" s="9">
        <f>ROUND(SUMIFS('Odoo Items'!$G$5:$G$4331,'Odoo Items'!$J$5:$J$4331,A712,'Odoo Items'!$C$5:$C$4331,"&lt;="&amp;Cover!$C$15),2)</f>
        <v>2834.43</v>
      </c>
      <c r="AA712">
        <f>COUNTIFS('Bank Lines'!$G$5:$G$1640,A712,'Bank Lines'!$J$5:$J$1640,1,'Bank Lines'!$C$5:$C$1640,"&lt;="&amp;Cover!$C$15)</f>
        <v>1</v>
      </c>
      <c r="AB712">
        <f>COUNTIFS('Odoo Items'!$J$5:$J$4331,A712,'Odoo Items'!$C$5:$C$4331,"&lt;="&amp;Cover!$C$15)</f>
        <v>1</v>
      </c>
      <c r="AC712" t="str">
        <f>IF(AND(AA712=0,AB712=0),"",IF(AA712=0,"ODOO-ONLY",IF(AB712=0,"BANK-ONLY","BOTH")))</f>
        <v>BOTH</v>
      </c>
      <c r="AD712" s="9">
        <f>IF(AC712="BOTH",ROUND(Y712-Z712,2),0)</f>
        <v>0</v>
      </c>
    </row>
    <row r="713">
      <c r="A713" t="inlineStr">
        <is>
          <t>G00709</t>
        </is>
      </c>
      <c r="B713" t="inlineStr">
        <is>
          <t>MER</t>
        </is>
      </c>
      <c r="C713" t="inlineStr">
        <is>
          <t>R08</t>
        </is>
      </c>
      <c r="D713" t="inlineStr">
        <is>
          <t>MATCH</t>
        </is>
      </c>
      <c r="E713" t="inlineStr"/>
      <c r="G713" t="inlineStr"/>
      <c r="H713">
        <f>COUNTIFS('Bank Lines'!$G$5:$G$1640,A713,'Bank Lines'!$J$5:$J$1640,1)</f>
        <v>1</v>
      </c>
      <c r="I713">
        <f>COUNTIFS('Odoo Items'!$J$5:$J$4331,A713)</f>
        <v>1</v>
      </c>
      <c r="J713" s="9">
        <f>ROUND(SUMIFS('Bank Lines'!$E$5:$E$1640,'Bank Lines'!$G$5:$G$1640,A713,'Bank Lines'!$J$5:$J$1640,1),2)</f>
        <v>1085.42</v>
      </c>
      <c r="K713" s="9">
        <f>ROUND(SUMIFS('Odoo Items'!$G$5:$G$4331,'Odoo Items'!$J$5:$J$4331,A713),2)</f>
        <v>1085.42</v>
      </c>
      <c r="L713" s="9">
        <f>ROUND(J713-K713,2)</f>
        <v>0</v>
      </c>
      <c r="M713" s="9">
        <f>ROUND(SUMIFS('Bank Lines'!$E$5:$E$1640,'Bank Lines'!$G$5:$G$1640,A713,'Bank Lines'!$J$5:$J$1640,1,'Bank Lines'!$C$5:$C$1640,"&lt;="&amp;Cover!$C$13),2)</f>
        <v>0</v>
      </c>
      <c r="N713" s="9">
        <f>ROUND(SUMIFS('Odoo Items'!$G$5:$G$4331,'Odoo Items'!$J$5:$J$4331,A713,'Odoo Items'!$C$5:$C$4331,"&lt;="&amp;Cover!$C$13),2)</f>
        <v>0</v>
      </c>
      <c r="O713">
        <f>COUNTIFS('Bank Lines'!$G$5:$G$1640,A713,'Bank Lines'!$J$5:$J$1640,1,'Bank Lines'!$C$5:$C$1640,"&lt;="&amp;Cover!$C$13)</f>
        <v>0</v>
      </c>
      <c r="P713">
        <f>COUNTIFS('Odoo Items'!$J$5:$J$4331,A713,'Odoo Items'!$C$5:$C$4331,"&lt;="&amp;Cover!$C$13)</f>
        <v>0</v>
      </c>
      <c r="Q713">
        <f>IF(AND(O713=0,P713=0),"",IF(O713=0,"ODOO-ONLY",IF(P713=0,"BANK-ONLY","BOTH")))</f>
      </c>
      <c r="R713" s="9">
        <f>IF(Q713="BOTH",ROUND(M713-N713,2),0)</f>
        <v>0</v>
      </c>
      <c r="S713" s="9">
        <f>ROUND(SUMIFS('Bank Lines'!$E$5:$E$1640,'Bank Lines'!$G$5:$G$1640,A713,'Bank Lines'!$J$5:$J$1640,1,'Bank Lines'!$C$5:$C$1640,"&lt;="&amp;Cover!$C$14),2)</f>
        <v>1085.42</v>
      </c>
      <c r="T713" s="9">
        <f>ROUND(SUMIFS('Odoo Items'!$G$5:$G$4331,'Odoo Items'!$J$5:$J$4331,A713,'Odoo Items'!$C$5:$C$4331,"&lt;="&amp;Cover!$C$14),2)</f>
        <v>1085.42</v>
      </c>
      <c r="U713">
        <f>COUNTIFS('Bank Lines'!$G$5:$G$1640,A713,'Bank Lines'!$J$5:$J$1640,1,'Bank Lines'!$C$5:$C$1640,"&lt;="&amp;Cover!$C$14)</f>
        <v>1</v>
      </c>
      <c r="V713">
        <f>COUNTIFS('Odoo Items'!$J$5:$J$4331,A713,'Odoo Items'!$C$5:$C$4331,"&lt;="&amp;Cover!$C$14)</f>
        <v>1</v>
      </c>
      <c r="W713" t="str">
        <f>IF(AND(U713=0,V713=0),"",IF(U713=0,"ODOO-ONLY",IF(V713=0,"BANK-ONLY","BOTH")))</f>
        <v>BOTH</v>
      </c>
      <c r="X713" s="9">
        <f>IF(W713="BOTH",ROUND(S713-T713,2),0)</f>
        <v>0</v>
      </c>
      <c r="Y713" s="9">
        <f>ROUND(SUMIFS('Bank Lines'!$E$5:$E$1640,'Bank Lines'!$G$5:$G$1640,A713,'Bank Lines'!$J$5:$J$1640,1,'Bank Lines'!$C$5:$C$1640,"&lt;="&amp;Cover!$C$15),2)</f>
        <v>1085.42</v>
      </c>
      <c r="Z713" s="9">
        <f>ROUND(SUMIFS('Odoo Items'!$G$5:$G$4331,'Odoo Items'!$J$5:$J$4331,A713,'Odoo Items'!$C$5:$C$4331,"&lt;="&amp;Cover!$C$15),2)</f>
        <v>1085.42</v>
      </c>
      <c r="AA713">
        <f>COUNTIFS('Bank Lines'!$G$5:$G$1640,A713,'Bank Lines'!$J$5:$J$1640,1,'Bank Lines'!$C$5:$C$1640,"&lt;="&amp;Cover!$C$15)</f>
        <v>1</v>
      </c>
      <c r="AB713">
        <f>COUNTIFS('Odoo Items'!$J$5:$J$4331,A713,'Odoo Items'!$C$5:$C$4331,"&lt;="&amp;Cover!$C$15)</f>
        <v>1</v>
      </c>
      <c r="AC713" t="str">
        <f>IF(AND(AA713=0,AB713=0),"",IF(AA713=0,"ODOO-ONLY",IF(AB713=0,"BANK-ONLY","BOTH")))</f>
        <v>BOTH</v>
      </c>
      <c r="AD713" s="9">
        <f>IF(AC713="BOTH",ROUND(Y713-Z713,2),0)</f>
        <v>0</v>
      </c>
    </row>
    <row r="714">
      <c r="A714" t="inlineStr">
        <is>
          <t>G00710</t>
        </is>
      </c>
      <c r="B714" t="inlineStr">
        <is>
          <t>MER</t>
        </is>
      </c>
      <c r="C714" t="inlineStr">
        <is>
          <t>R08</t>
        </is>
      </c>
      <c r="D714" t="inlineStr">
        <is>
          <t>MATCH</t>
        </is>
      </c>
      <c r="E714" t="inlineStr"/>
      <c r="G714" t="inlineStr"/>
      <c r="H714">
        <f>COUNTIFS('Bank Lines'!$G$5:$G$1640,A714,'Bank Lines'!$J$5:$J$1640,1)</f>
        <v>1</v>
      </c>
      <c r="I714">
        <f>COUNTIFS('Odoo Items'!$J$5:$J$4331,A714)</f>
        <v>1</v>
      </c>
      <c r="J714" s="9">
        <f>ROUND(SUMIFS('Bank Lines'!$E$5:$E$1640,'Bank Lines'!$G$5:$G$1640,A714,'Bank Lines'!$J$5:$J$1640,1),2)</f>
        <v>957.34</v>
      </c>
      <c r="K714" s="9">
        <f>ROUND(SUMIFS('Odoo Items'!$G$5:$G$4331,'Odoo Items'!$J$5:$J$4331,A714),2)</f>
        <v>957.34</v>
      </c>
      <c r="L714" s="9">
        <f>ROUND(J714-K714,2)</f>
        <v>0</v>
      </c>
      <c r="M714" s="9">
        <f>ROUND(SUMIFS('Bank Lines'!$E$5:$E$1640,'Bank Lines'!$G$5:$G$1640,A714,'Bank Lines'!$J$5:$J$1640,1,'Bank Lines'!$C$5:$C$1640,"&lt;="&amp;Cover!$C$13),2)</f>
        <v>0</v>
      </c>
      <c r="N714" s="9">
        <f>ROUND(SUMIFS('Odoo Items'!$G$5:$G$4331,'Odoo Items'!$J$5:$J$4331,A714,'Odoo Items'!$C$5:$C$4331,"&lt;="&amp;Cover!$C$13),2)</f>
        <v>0</v>
      </c>
      <c r="O714">
        <f>COUNTIFS('Bank Lines'!$G$5:$G$1640,A714,'Bank Lines'!$J$5:$J$1640,1,'Bank Lines'!$C$5:$C$1640,"&lt;="&amp;Cover!$C$13)</f>
        <v>0</v>
      </c>
      <c r="P714">
        <f>COUNTIFS('Odoo Items'!$J$5:$J$4331,A714,'Odoo Items'!$C$5:$C$4331,"&lt;="&amp;Cover!$C$13)</f>
        <v>0</v>
      </c>
      <c r="Q714">
        <f>IF(AND(O714=0,P714=0),"",IF(O714=0,"ODOO-ONLY",IF(P714=0,"BANK-ONLY","BOTH")))</f>
      </c>
      <c r="R714" s="9">
        <f>IF(Q714="BOTH",ROUND(M714-N714,2),0)</f>
        <v>0</v>
      </c>
      <c r="S714" s="9">
        <f>ROUND(SUMIFS('Bank Lines'!$E$5:$E$1640,'Bank Lines'!$G$5:$G$1640,A714,'Bank Lines'!$J$5:$J$1640,1,'Bank Lines'!$C$5:$C$1640,"&lt;="&amp;Cover!$C$14),2)</f>
        <v>957.34</v>
      </c>
      <c r="T714" s="9">
        <f>ROUND(SUMIFS('Odoo Items'!$G$5:$G$4331,'Odoo Items'!$J$5:$J$4331,A714,'Odoo Items'!$C$5:$C$4331,"&lt;="&amp;Cover!$C$14),2)</f>
        <v>957.34</v>
      </c>
      <c r="U714">
        <f>COUNTIFS('Bank Lines'!$G$5:$G$1640,A714,'Bank Lines'!$J$5:$J$1640,1,'Bank Lines'!$C$5:$C$1640,"&lt;="&amp;Cover!$C$14)</f>
        <v>1</v>
      </c>
      <c r="V714">
        <f>COUNTIFS('Odoo Items'!$J$5:$J$4331,A714,'Odoo Items'!$C$5:$C$4331,"&lt;="&amp;Cover!$C$14)</f>
        <v>1</v>
      </c>
      <c r="W714" t="str">
        <f>IF(AND(U714=0,V714=0),"",IF(U714=0,"ODOO-ONLY",IF(V714=0,"BANK-ONLY","BOTH")))</f>
        <v>BOTH</v>
      </c>
      <c r="X714" s="9">
        <f>IF(W714="BOTH",ROUND(S714-T714,2),0)</f>
        <v>0</v>
      </c>
      <c r="Y714" s="9">
        <f>ROUND(SUMIFS('Bank Lines'!$E$5:$E$1640,'Bank Lines'!$G$5:$G$1640,A714,'Bank Lines'!$J$5:$J$1640,1,'Bank Lines'!$C$5:$C$1640,"&lt;="&amp;Cover!$C$15),2)</f>
        <v>957.34</v>
      </c>
      <c r="Z714" s="9">
        <f>ROUND(SUMIFS('Odoo Items'!$G$5:$G$4331,'Odoo Items'!$J$5:$J$4331,A714,'Odoo Items'!$C$5:$C$4331,"&lt;="&amp;Cover!$C$15),2)</f>
        <v>957.34</v>
      </c>
      <c r="AA714">
        <f>COUNTIFS('Bank Lines'!$G$5:$G$1640,A714,'Bank Lines'!$J$5:$J$1640,1,'Bank Lines'!$C$5:$C$1640,"&lt;="&amp;Cover!$C$15)</f>
        <v>1</v>
      </c>
      <c r="AB714">
        <f>COUNTIFS('Odoo Items'!$J$5:$J$4331,A714,'Odoo Items'!$C$5:$C$4331,"&lt;="&amp;Cover!$C$15)</f>
        <v>1</v>
      </c>
      <c r="AC714" t="str">
        <f>IF(AND(AA714=0,AB714=0),"",IF(AA714=0,"ODOO-ONLY",IF(AB714=0,"BANK-ONLY","BOTH")))</f>
        <v>BOTH</v>
      </c>
      <c r="AD714" s="9">
        <f>IF(AC714="BOTH",ROUND(Y714-Z714,2),0)</f>
        <v>0</v>
      </c>
    </row>
    <row r="715">
      <c r="A715" t="inlineStr">
        <is>
          <t>G00711</t>
        </is>
      </c>
      <c r="B715" t="inlineStr">
        <is>
          <t>MER</t>
        </is>
      </c>
      <c r="C715" t="inlineStr">
        <is>
          <t>R08</t>
        </is>
      </c>
      <c r="D715" t="inlineStr">
        <is>
          <t>MATCH</t>
        </is>
      </c>
      <c r="E715" t="inlineStr"/>
      <c r="G715" t="inlineStr"/>
      <c r="H715">
        <f>COUNTIFS('Bank Lines'!$G$5:$G$1640,A715,'Bank Lines'!$J$5:$J$1640,1)</f>
        <v>1</v>
      </c>
      <c r="I715">
        <f>COUNTIFS('Odoo Items'!$J$5:$J$4331,A715)</f>
        <v>1</v>
      </c>
      <c r="J715" s="9">
        <f>ROUND(SUMIFS('Bank Lines'!$E$5:$E$1640,'Bank Lines'!$G$5:$G$1640,A715,'Bank Lines'!$J$5:$J$1640,1),2)</f>
        <v>1024.53</v>
      </c>
      <c r="K715" s="9">
        <f>ROUND(SUMIFS('Odoo Items'!$G$5:$G$4331,'Odoo Items'!$J$5:$J$4331,A715),2)</f>
        <v>1024.53</v>
      </c>
      <c r="L715" s="9">
        <f>ROUND(J715-K715,2)</f>
        <v>0</v>
      </c>
      <c r="M715" s="9">
        <f>ROUND(SUMIFS('Bank Lines'!$E$5:$E$1640,'Bank Lines'!$G$5:$G$1640,A715,'Bank Lines'!$J$5:$J$1640,1,'Bank Lines'!$C$5:$C$1640,"&lt;="&amp;Cover!$C$13),2)</f>
        <v>0</v>
      </c>
      <c r="N715" s="9">
        <f>ROUND(SUMIFS('Odoo Items'!$G$5:$G$4331,'Odoo Items'!$J$5:$J$4331,A715,'Odoo Items'!$C$5:$C$4331,"&lt;="&amp;Cover!$C$13),2)</f>
        <v>0</v>
      </c>
      <c r="O715">
        <f>COUNTIFS('Bank Lines'!$G$5:$G$1640,A715,'Bank Lines'!$J$5:$J$1640,1,'Bank Lines'!$C$5:$C$1640,"&lt;="&amp;Cover!$C$13)</f>
        <v>0</v>
      </c>
      <c r="P715">
        <f>COUNTIFS('Odoo Items'!$J$5:$J$4331,A715,'Odoo Items'!$C$5:$C$4331,"&lt;="&amp;Cover!$C$13)</f>
        <v>0</v>
      </c>
      <c r="Q715">
        <f>IF(AND(O715=0,P715=0),"",IF(O715=0,"ODOO-ONLY",IF(P715=0,"BANK-ONLY","BOTH")))</f>
      </c>
      <c r="R715" s="9">
        <f>IF(Q715="BOTH",ROUND(M715-N715,2),0)</f>
        <v>0</v>
      </c>
      <c r="S715" s="9">
        <f>ROUND(SUMIFS('Bank Lines'!$E$5:$E$1640,'Bank Lines'!$G$5:$G$1640,A715,'Bank Lines'!$J$5:$J$1640,1,'Bank Lines'!$C$5:$C$1640,"&lt;="&amp;Cover!$C$14),2)</f>
        <v>1024.53</v>
      </c>
      <c r="T715" s="9">
        <f>ROUND(SUMIFS('Odoo Items'!$G$5:$G$4331,'Odoo Items'!$J$5:$J$4331,A715,'Odoo Items'!$C$5:$C$4331,"&lt;="&amp;Cover!$C$14),2)</f>
        <v>1024.53</v>
      </c>
      <c r="U715">
        <f>COUNTIFS('Bank Lines'!$G$5:$G$1640,A715,'Bank Lines'!$J$5:$J$1640,1,'Bank Lines'!$C$5:$C$1640,"&lt;="&amp;Cover!$C$14)</f>
        <v>1</v>
      </c>
      <c r="V715">
        <f>COUNTIFS('Odoo Items'!$J$5:$J$4331,A715,'Odoo Items'!$C$5:$C$4331,"&lt;="&amp;Cover!$C$14)</f>
        <v>1</v>
      </c>
      <c r="W715" t="str">
        <f>IF(AND(U715=0,V715=0),"",IF(U715=0,"ODOO-ONLY",IF(V715=0,"BANK-ONLY","BOTH")))</f>
        <v>BOTH</v>
      </c>
      <c r="X715" s="9">
        <f>IF(W715="BOTH",ROUND(S715-T715,2),0)</f>
        <v>0</v>
      </c>
      <c r="Y715" s="9">
        <f>ROUND(SUMIFS('Bank Lines'!$E$5:$E$1640,'Bank Lines'!$G$5:$G$1640,A715,'Bank Lines'!$J$5:$J$1640,1,'Bank Lines'!$C$5:$C$1640,"&lt;="&amp;Cover!$C$15),2)</f>
        <v>1024.53</v>
      </c>
      <c r="Z715" s="9">
        <f>ROUND(SUMIFS('Odoo Items'!$G$5:$G$4331,'Odoo Items'!$J$5:$J$4331,A715,'Odoo Items'!$C$5:$C$4331,"&lt;="&amp;Cover!$C$15),2)</f>
        <v>1024.53</v>
      </c>
      <c r="AA715">
        <f>COUNTIFS('Bank Lines'!$G$5:$G$1640,A715,'Bank Lines'!$J$5:$J$1640,1,'Bank Lines'!$C$5:$C$1640,"&lt;="&amp;Cover!$C$15)</f>
        <v>1</v>
      </c>
      <c r="AB715">
        <f>COUNTIFS('Odoo Items'!$J$5:$J$4331,A715,'Odoo Items'!$C$5:$C$4331,"&lt;="&amp;Cover!$C$15)</f>
        <v>1</v>
      </c>
      <c r="AC715" t="str">
        <f>IF(AND(AA715=0,AB715=0),"",IF(AA715=0,"ODOO-ONLY",IF(AB715=0,"BANK-ONLY","BOTH")))</f>
        <v>BOTH</v>
      </c>
      <c r="AD715" s="9">
        <f>IF(AC715="BOTH",ROUND(Y715-Z715,2),0)</f>
        <v>0</v>
      </c>
    </row>
    <row r="716">
      <c r="A716" t="inlineStr">
        <is>
          <t>G00712</t>
        </is>
      </c>
      <c r="B716" t="inlineStr">
        <is>
          <t>MER</t>
        </is>
      </c>
      <c r="C716" t="inlineStr">
        <is>
          <t>R08</t>
        </is>
      </c>
      <c r="D716" t="inlineStr">
        <is>
          <t>MATCH</t>
        </is>
      </c>
      <c r="E716" t="inlineStr"/>
      <c r="G716" t="inlineStr"/>
      <c r="H716">
        <f>COUNTIFS('Bank Lines'!$G$5:$G$1640,A716,'Bank Lines'!$J$5:$J$1640,1)</f>
        <v>1</v>
      </c>
      <c r="I716">
        <f>COUNTIFS('Odoo Items'!$J$5:$J$4331,A716)</f>
        <v>1</v>
      </c>
      <c r="J716" s="9">
        <f>ROUND(SUMIFS('Bank Lines'!$E$5:$E$1640,'Bank Lines'!$G$5:$G$1640,A716,'Bank Lines'!$J$5:$J$1640,1),2)</f>
        <v>505.25</v>
      </c>
      <c r="K716" s="9">
        <f>ROUND(SUMIFS('Odoo Items'!$G$5:$G$4331,'Odoo Items'!$J$5:$J$4331,A716),2)</f>
        <v>505.25</v>
      </c>
      <c r="L716" s="9">
        <f>ROUND(J716-K716,2)</f>
        <v>0</v>
      </c>
      <c r="M716" s="9">
        <f>ROUND(SUMIFS('Bank Lines'!$E$5:$E$1640,'Bank Lines'!$G$5:$G$1640,A716,'Bank Lines'!$J$5:$J$1640,1,'Bank Lines'!$C$5:$C$1640,"&lt;="&amp;Cover!$C$13),2)</f>
        <v>0</v>
      </c>
      <c r="N716" s="9">
        <f>ROUND(SUMIFS('Odoo Items'!$G$5:$G$4331,'Odoo Items'!$J$5:$J$4331,A716,'Odoo Items'!$C$5:$C$4331,"&lt;="&amp;Cover!$C$13),2)</f>
        <v>0</v>
      </c>
      <c r="O716">
        <f>COUNTIFS('Bank Lines'!$G$5:$G$1640,A716,'Bank Lines'!$J$5:$J$1640,1,'Bank Lines'!$C$5:$C$1640,"&lt;="&amp;Cover!$C$13)</f>
        <v>0</v>
      </c>
      <c r="P716">
        <f>COUNTIFS('Odoo Items'!$J$5:$J$4331,A716,'Odoo Items'!$C$5:$C$4331,"&lt;="&amp;Cover!$C$13)</f>
        <v>0</v>
      </c>
      <c r="Q716">
        <f>IF(AND(O716=0,P716=0),"",IF(O716=0,"ODOO-ONLY",IF(P716=0,"BANK-ONLY","BOTH")))</f>
      </c>
      <c r="R716" s="9">
        <f>IF(Q716="BOTH",ROUND(M716-N716,2),0)</f>
        <v>0</v>
      </c>
      <c r="S716" s="9">
        <f>ROUND(SUMIFS('Bank Lines'!$E$5:$E$1640,'Bank Lines'!$G$5:$G$1640,A716,'Bank Lines'!$J$5:$J$1640,1,'Bank Lines'!$C$5:$C$1640,"&lt;="&amp;Cover!$C$14),2)</f>
        <v>505.25</v>
      </c>
      <c r="T716" s="9">
        <f>ROUND(SUMIFS('Odoo Items'!$G$5:$G$4331,'Odoo Items'!$J$5:$J$4331,A716,'Odoo Items'!$C$5:$C$4331,"&lt;="&amp;Cover!$C$14),2)</f>
        <v>505.25</v>
      </c>
      <c r="U716">
        <f>COUNTIFS('Bank Lines'!$G$5:$G$1640,A716,'Bank Lines'!$J$5:$J$1640,1,'Bank Lines'!$C$5:$C$1640,"&lt;="&amp;Cover!$C$14)</f>
        <v>1</v>
      </c>
      <c r="V716">
        <f>COUNTIFS('Odoo Items'!$J$5:$J$4331,A716,'Odoo Items'!$C$5:$C$4331,"&lt;="&amp;Cover!$C$14)</f>
        <v>1</v>
      </c>
      <c r="W716" t="str">
        <f>IF(AND(U716=0,V716=0),"",IF(U716=0,"ODOO-ONLY",IF(V716=0,"BANK-ONLY","BOTH")))</f>
        <v>BOTH</v>
      </c>
      <c r="X716" s="9">
        <f>IF(W716="BOTH",ROUND(S716-T716,2),0)</f>
        <v>0</v>
      </c>
      <c r="Y716" s="9">
        <f>ROUND(SUMIFS('Bank Lines'!$E$5:$E$1640,'Bank Lines'!$G$5:$G$1640,A716,'Bank Lines'!$J$5:$J$1640,1,'Bank Lines'!$C$5:$C$1640,"&lt;="&amp;Cover!$C$15),2)</f>
        <v>505.25</v>
      </c>
      <c r="Z716" s="9">
        <f>ROUND(SUMIFS('Odoo Items'!$G$5:$G$4331,'Odoo Items'!$J$5:$J$4331,A716,'Odoo Items'!$C$5:$C$4331,"&lt;="&amp;Cover!$C$15),2)</f>
        <v>505.25</v>
      </c>
      <c r="AA716">
        <f>COUNTIFS('Bank Lines'!$G$5:$G$1640,A716,'Bank Lines'!$J$5:$J$1640,1,'Bank Lines'!$C$5:$C$1640,"&lt;="&amp;Cover!$C$15)</f>
        <v>1</v>
      </c>
      <c r="AB716">
        <f>COUNTIFS('Odoo Items'!$J$5:$J$4331,A716,'Odoo Items'!$C$5:$C$4331,"&lt;="&amp;Cover!$C$15)</f>
        <v>1</v>
      </c>
      <c r="AC716" t="str">
        <f>IF(AND(AA716=0,AB716=0),"",IF(AA716=0,"ODOO-ONLY",IF(AB716=0,"BANK-ONLY","BOTH")))</f>
        <v>BOTH</v>
      </c>
      <c r="AD716" s="9">
        <f>IF(AC716="BOTH",ROUND(Y716-Z716,2),0)</f>
        <v>0</v>
      </c>
    </row>
    <row r="717">
      <c r="A717" t="inlineStr">
        <is>
          <t>G00713</t>
        </is>
      </c>
      <c r="B717" t="inlineStr">
        <is>
          <t>MER</t>
        </is>
      </c>
      <c r="C717" t="inlineStr">
        <is>
          <t>R04</t>
        </is>
      </c>
      <c r="D717" t="inlineStr">
        <is>
          <t>MATCH</t>
        </is>
      </c>
      <c r="E717" t="inlineStr"/>
      <c r="G717" t="inlineStr">
        <is>
          <t>Sweep, same amount</t>
        </is>
      </c>
      <c r="H717">
        <f>COUNTIFS('Bank Lines'!$G$5:$G$1640,A717,'Bank Lines'!$J$5:$J$1640,1)</f>
        <v>1</v>
      </c>
      <c r="I717">
        <f>COUNTIFS('Odoo Items'!$J$5:$J$4331,A717)</f>
        <v>1</v>
      </c>
      <c r="J717" s="9">
        <f>ROUND(SUMIFS('Bank Lines'!$E$5:$E$1640,'Bank Lines'!$G$5:$G$1640,A717,'Bank Lines'!$J$5:$J$1640,1),2)</f>
        <v>-22000</v>
      </c>
      <c r="K717" s="9">
        <f>ROUND(SUMIFS('Odoo Items'!$G$5:$G$4331,'Odoo Items'!$J$5:$J$4331,A717),2)</f>
        <v>-22000</v>
      </c>
      <c r="L717" s="9">
        <f>ROUND(J717-K717,2)</f>
        <v>0</v>
      </c>
      <c r="M717" s="9">
        <f>ROUND(SUMIFS('Bank Lines'!$E$5:$E$1640,'Bank Lines'!$G$5:$G$1640,A717,'Bank Lines'!$J$5:$J$1640,1,'Bank Lines'!$C$5:$C$1640,"&lt;="&amp;Cover!$C$13),2)</f>
        <v>0</v>
      </c>
      <c r="N717" s="9">
        <f>ROUND(SUMIFS('Odoo Items'!$G$5:$G$4331,'Odoo Items'!$J$5:$J$4331,A717,'Odoo Items'!$C$5:$C$4331,"&lt;="&amp;Cover!$C$13),2)</f>
        <v>0</v>
      </c>
      <c r="O717">
        <f>COUNTIFS('Bank Lines'!$G$5:$G$1640,A717,'Bank Lines'!$J$5:$J$1640,1,'Bank Lines'!$C$5:$C$1640,"&lt;="&amp;Cover!$C$13)</f>
        <v>0</v>
      </c>
      <c r="P717">
        <f>COUNTIFS('Odoo Items'!$J$5:$J$4331,A717,'Odoo Items'!$C$5:$C$4331,"&lt;="&amp;Cover!$C$13)</f>
        <v>0</v>
      </c>
      <c r="Q717">
        <f>IF(AND(O717=0,P717=0),"",IF(O717=0,"ODOO-ONLY",IF(P717=0,"BANK-ONLY","BOTH")))</f>
      </c>
      <c r="R717" s="9">
        <f>IF(Q717="BOTH",ROUND(M717-N717,2),0)</f>
        <v>0</v>
      </c>
      <c r="S717" s="9">
        <f>ROUND(SUMIFS('Bank Lines'!$E$5:$E$1640,'Bank Lines'!$G$5:$G$1640,A717,'Bank Lines'!$J$5:$J$1640,1,'Bank Lines'!$C$5:$C$1640,"&lt;="&amp;Cover!$C$14),2)</f>
        <v>-22000</v>
      </c>
      <c r="T717" s="9">
        <f>ROUND(SUMIFS('Odoo Items'!$G$5:$G$4331,'Odoo Items'!$J$5:$J$4331,A717,'Odoo Items'!$C$5:$C$4331,"&lt;="&amp;Cover!$C$14),2)</f>
        <v>-22000</v>
      </c>
      <c r="U717">
        <f>COUNTIFS('Bank Lines'!$G$5:$G$1640,A717,'Bank Lines'!$J$5:$J$1640,1,'Bank Lines'!$C$5:$C$1640,"&lt;="&amp;Cover!$C$14)</f>
        <v>1</v>
      </c>
      <c r="V717">
        <f>COUNTIFS('Odoo Items'!$J$5:$J$4331,A717,'Odoo Items'!$C$5:$C$4331,"&lt;="&amp;Cover!$C$14)</f>
        <v>1</v>
      </c>
      <c r="W717" t="str">
        <f>IF(AND(U717=0,V717=0),"",IF(U717=0,"ODOO-ONLY",IF(V717=0,"BANK-ONLY","BOTH")))</f>
        <v>BOTH</v>
      </c>
      <c r="X717" s="9">
        <f>IF(W717="BOTH",ROUND(S717-T717,2),0)</f>
        <v>0</v>
      </c>
      <c r="Y717" s="9">
        <f>ROUND(SUMIFS('Bank Lines'!$E$5:$E$1640,'Bank Lines'!$G$5:$G$1640,A717,'Bank Lines'!$J$5:$J$1640,1,'Bank Lines'!$C$5:$C$1640,"&lt;="&amp;Cover!$C$15),2)</f>
        <v>-22000</v>
      </c>
      <c r="Z717" s="9">
        <f>ROUND(SUMIFS('Odoo Items'!$G$5:$G$4331,'Odoo Items'!$J$5:$J$4331,A717,'Odoo Items'!$C$5:$C$4331,"&lt;="&amp;Cover!$C$15),2)</f>
        <v>-22000</v>
      </c>
      <c r="AA717">
        <f>COUNTIFS('Bank Lines'!$G$5:$G$1640,A717,'Bank Lines'!$J$5:$J$1640,1,'Bank Lines'!$C$5:$C$1640,"&lt;="&amp;Cover!$C$15)</f>
        <v>1</v>
      </c>
      <c r="AB717">
        <f>COUNTIFS('Odoo Items'!$J$5:$J$4331,A717,'Odoo Items'!$C$5:$C$4331,"&lt;="&amp;Cover!$C$15)</f>
        <v>1</v>
      </c>
      <c r="AC717" t="str">
        <f>IF(AND(AA717=0,AB717=0),"",IF(AA717=0,"ODOO-ONLY",IF(AB717=0,"BANK-ONLY","BOTH")))</f>
        <v>BOTH</v>
      </c>
      <c r="AD717" s="9">
        <f>IF(AC717="BOTH",ROUND(Y717-Z717,2),0)</f>
        <v>0</v>
      </c>
    </row>
    <row r="718">
      <c r="A718" t="inlineStr">
        <is>
          <t>G00714</t>
        </is>
      </c>
      <c r="B718" t="inlineStr">
        <is>
          <t>MER</t>
        </is>
      </c>
      <c r="C718" t="inlineStr">
        <is>
          <t>R08</t>
        </is>
      </c>
      <c r="D718" t="inlineStr">
        <is>
          <t>MATCH</t>
        </is>
      </c>
      <c r="E718" t="inlineStr"/>
      <c r="G718" t="inlineStr"/>
      <c r="H718">
        <f>COUNTIFS('Bank Lines'!$G$5:$G$1640,A718,'Bank Lines'!$J$5:$J$1640,1)</f>
        <v>1</v>
      </c>
      <c r="I718">
        <f>COUNTIFS('Odoo Items'!$J$5:$J$4331,A718)</f>
        <v>1</v>
      </c>
      <c r="J718" s="9">
        <f>ROUND(SUMIFS('Bank Lines'!$E$5:$E$1640,'Bank Lines'!$G$5:$G$1640,A718,'Bank Lines'!$J$5:$J$1640,1),2)</f>
        <v>1939.41</v>
      </c>
      <c r="K718" s="9">
        <f>ROUND(SUMIFS('Odoo Items'!$G$5:$G$4331,'Odoo Items'!$J$5:$J$4331,A718),2)</f>
        <v>1939.41</v>
      </c>
      <c r="L718" s="9">
        <f>ROUND(J718-K718,2)</f>
        <v>0</v>
      </c>
      <c r="M718" s="9">
        <f>ROUND(SUMIFS('Bank Lines'!$E$5:$E$1640,'Bank Lines'!$G$5:$G$1640,A718,'Bank Lines'!$J$5:$J$1640,1,'Bank Lines'!$C$5:$C$1640,"&lt;="&amp;Cover!$C$13),2)</f>
        <v>0</v>
      </c>
      <c r="N718" s="9">
        <f>ROUND(SUMIFS('Odoo Items'!$G$5:$G$4331,'Odoo Items'!$J$5:$J$4331,A718,'Odoo Items'!$C$5:$C$4331,"&lt;="&amp;Cover!$C$13),2)</f>
        <v>0</v>
      </c>
      <c r="O718">
        <f>COUNTIFS('Bank Lines'!$G$5:$G$1640,A718,'Bank Lines'!$J$5:$J$1640,1,'Bank Lines'!$C$5:$C$1640,"&lt;="&amp;Cover!$C$13)</f>
        <v>0</v>
      </c>
      <c r="P718">
        <f>COUNTIFS('Odoo Items'!$J$5:$J$4331,A718,'Odoo Items'!$C$5:$C$4331,"&lt;="&amp;Cover!$C$13)</f>
        <v>0</v>
      </c>
      <c r="Q718">
        <f>IF(AND(O718=0,P718=0),"",IF(O718=0,"ODOO-ONLY",IF(P718=0,"BANK-ONLY","BOTH")))</f>
      </c>
      <c r="R718" s="9">
        <f>IF(Q718="BOTH",ROUND(M718-N718,2),0)</f>
        <v>0</v>
      </c>
      <c r="S718" s="9">
        <f>ROUND(SUMIFS('Bank Lines'!$E$5:$E$1640,'Bank Lines'!$G$5:$G$1640,A718,'Bank Lines'!$J$5:$J$1640,1,'Bank Lines'!$C$5:$C$1640,"&lt;="&amp;Cover!$C$14),2)</f>
        <v>1939.41</v>
      </c>
      <c r="T718" s="9">
        <f>ROUND(SUMIFS('Odoo Items'!$G$5:$G$4331,'Odoo Items'!$J$5:$J$4331,A718,'Odoo Items'!$C$5:$C$4331,"&lt;="&amp;Cover!$C$14),2)</f>
        <v>1939.41</v>
      </c>
      <c r="U718">
        <f>COUNTIFS('Bank Lines'!$G$5:$G$1640,A718,'Bank Lines'!$J$5:$J$1640,1,'Bank Lines'!$C$5:$C$1640,"&lt;="&amp;Cover!$C$14)</f>
        <v>1</v>
      </c>
      <c r="V718">
        <f>COUNTIFS('Odoo Items'!$J$5:$J$4331,A718,'Odoo Items'!$C$5:$C$4331,"&lt;="&amp;Cover!$C$14)</f>
        <v>1</v>
      </c>
      <c r="W718" t="str">
        <f>IF(AND(U718=0,V718=0),"",IF(U718=0,"ODOO-ONLY",IF(V718=0,"BANK-ONLY","BOTH")))</f>
        <v>BOTH</v>
      </c>
      <c r="X718" s="9">
        <f>IF(W718="BOTH",ROUND(S718-T718,2),0)</f>
        <v>0</v>
      </c>
      <c r="Y718" s="9">
        <f>ROUND(SUMIFS('Bank Lines'!$E$5:$E$1640,'Bank Lines'!$G$5:$G$1640,A718,'Bank Lines'!$J$5:$J$1640,1,'Bank Lines'!$C$5:$C$1640,"&lt;="&amp;Cover!$C$15),2)</f>
        <v>1939.41</v>
      </c>
      <c r="Z718" s="9">
        <f>ROUND(SUMIFS('Odoo Items'!$G$5:$G$4331,'Odoo Items'!$J$5:$J$4331,A718,'Odoo Items'!$C$5:$C$4331,"&lt;="&amp;Cover!$C$15),2)</f>
        <v>1939.41</v>
      </c>
      <c r="AA718">
        <f>COUNTIFS('Bank Lines'!$G$5:$G$1640,A718,'Bank Lines'!$J$5:$J$1640,1,'Bank Lines'!$C$5:$C$1640,"&lt;="&amp;Cover!$C$15)</f>
        <v>1</v>
      </c>
      <c r="AB718">
        <f>COUNTIFS('Odoo Items'!$J$5:$J$4331,A718,'Odoo Items'!$C$5:$C$4331,"&lt;="&amp;Cover!$C$15)</f>
        <v>1</v>
      </c>
      <c r="AC718" t="str">
        <f>IF(AND(AA718=0,AB718=0),"",IF(AA718=0,"ODOO-ONLY",IF(AB718=0,"BANK-ONLY","BOTH")))</f>
        <v>BOTH</v>
      </c>
      <c r="AD718" s="9">
        <f>IF(AC718="BOTH",ROUND(Y718-Z718,2),0)</f>
        <v>0</v>
      </c>
    </row>
    <row r="719">
      <c r="A719" t="inlineStr">
        <is>
          <t>G00715</t>
        </is>
      </c>
      <c r="B719" t="inlineStr">
        <is>
          <t>MER</t>
        </is>
      </c>
      <c r="C719" t="inlineStr">
        <is>
          <t>R08</t>
        </is>
      </c>
      <c r="D719" t="inlineStr">
        <is>
          <t>MATCH</t>
        </is>
      </c>
      <c r="E719" t="inlineStr"/>
      <c r="G719" t="inlineStr"/>
      <c r="H719">
        <f>COUNTIFS('Bank Lines'!$G$5:$G$1640,A719,'Bank Lines'!$J$5:$J$1640,1)</f>
        <v>1</v>
      </c>
      <c r="I719">
        <f>COUNTIFS('Odoo Items'!$J$5:$J$4331,A719)</f>
        <v>1</v>
      </c>
      <c r="J719" s="9">
        <f>ROUND(SUMIFS('Bank Lines'!$E$5:$E$1640,'Bank Lines'!$G$5:$G$1640,A719,'Bank Lines'!$J$5:$J$1640,1),2)</f>
        <v>945.04</v>
      </c>
      <c r="K719" s="9">
        <f>ROUND(SUMIFS('Odoo Items'!$G$5:$G$4331,'Odoo Items'!$J$5:$J$4331,A719),2)</f>
        <v>945.04</v>
      </c>
      <c r="L719" s="9">
        <f>ROUND(J719-K719,2)</f>
        <v>0</v>
      </c>
      <c r="M719" s="9">
        <f>ROUND(SUMIFS('Bank Lines'!$E$5:$E$1640,'Bank Lines'!$G$5:$G$1640,A719,'Bank Lines'!$J$5:$J$1640,1,'Bank Lines'!$C$5:$C$1640,"&lt;="&amp;Cover!$C$13),2)</f>
        <v>0</v>
      </c>
      <c r="N719" s="9">
        <f>ROUND(SUMIFS('Odoo Items'!$G$5:$G$4331,'Odoo Items'!$J$5:$J$4331,A719,'Odoo Items'!$C$5:$C$4331,"&lt;="&amp;Cover!$C$13),2)</f>
        <v>0</v>
      </c>
      <c r="O719">
        <f>COUNTIFS('Bank Lines'!$G$5:$G$1640,A719,'Bank Lines'!$J$5:$J$1640,1,'Bank Lines'!$C$5:$C$1640,"&lt;="&amp;Cover!$C$13)</f>
        <v>0</v>
      </c>
      <c r="P719">
        <f>COUNTIFS('Odoo Items'!$J$5:$J$4331,A719,'Odoo Items'!$C$5:$C$4331,"&lt;="&amp;Cover!$C$13)</f>
        <v>0</v>
      </c>
      <c r="Q719">
        <f>IF(AND(O719=0,P719=0),"",IF(O719=0,"ODOO-ONLY",IF(P719=0,"BANK-ONLY","BOTH")))</f>
      </c>
      <c r="R719" s="9">
        <f>IF(Q719="BOTH",ROUND(M719-N719,2),0)</f>
        <v>0</v>
      </c>
      <c r="S719" s="9">
        <f>ROUND(SUMIFS('Bank Lines'!$E$5:$E$1640,'Bank Lines'!$G$5:$G$1640,A719,'Bank Lines'!$J$5:$J$1640,1,'Bank Lines'!$C$5:$C$1640,"&lt;="&amp;Cover!$C$14),2)</f>
        <v>945.04</v>
      </c>
      <c r="T719" s="9">
        <f>ROUND(SUMIFS('Odoo Items'!$G$5:$G$4331,'Odoo Items'!$J$5:$J$4331,A719,'Odoo Items'!$C$5:$C$4331,"&lt;="&amp;Cover!$C$14),2)</f>
        <v>945.04</v>
      </c>
      <c r="U719">
        <f>COUNTIFS('Bank Lines'!$G$5:$G$1640,A719,'Bank Lines'!$J$5:$J$1640,1,'Bank Lines'!$C$5:$C$1640,"&lt;="&amp;Cover!$C$14)</f>
        <v>1</v>
      </c>
      <c r="V719">
        <f>COUNTIFS('Odoo Items'!$J$5:$J$4331,A719,'Odoo Items'!$C$5:$C$4331,"&lt;="&amp;Cover!$C$14)</f>
        <v>1</v>
      </c>
      <c r="W719" t="str">
        <f>IF(AND(U719=0,V719=0),"",IF(U719=0,"ODOO-ONLY",IF(V719=0,"BANK-ONLY","BOTH")))</f>
        <v>BOTH</v>
      </c>
      <c r="X719" s="9">
        <f>IF(W719="BOTH",ROUND(S719-T719,2),0)</f>
        <v>0</v>
      </c>
      <c r="Y719" s="9">
        <f>ROUND(SUMIFS('Bank Lines'!$E$5:$E$1640,'Bank Lines'!$G$5:$G$1640,A719,'Bank Lines'!$J$5:$J$1640,1,'Bank Lines'!$C$5:$C$1640,"&lt;="&amp;Cover!$C$15),2)</f>
        <v>945.04</v>
      </c>
      <c r="Z719" s="9">
        <f>ROUND(SUMIFS('Odoo Items'!$G$5:$G$4331,'Odoo Items'!$J$5:$J$4331,A719,'Odoo Items'!$C$5:$C$4331,"&lt;="&amp;Cover!$C$15),2)</f>
        <v>945.04</v>
      </c>
      <c r="AA719">
        <f>COUNTIFS('Bank Lines'!$G$5:$G$1640,A719,'Bank Lines'!$J$5:$J$1640,1,'Bank Lines'!$C$5:$C$1640,"&lt;="&amp;Cover!$C$15)</f>
        <v>1</v>
      </c>
      <c r="AB719">
        <f>COUNTIFS('Odoo Items'!$J$5:$J$4331,A719,'Odoo Items'!$C$5:$C$4331,"&lt;="&amp;Cover!$C$15)</f>
        <v>1</v>
      </c>
      <c r="AC719" t="str">
        <f>IF(AND(AA719=0,AB719=0),"",IF(AA719=0,"ODOO-ONLY",IF(AB719=0,"BANK-ONLY","BOTH")))</f>
        <v>BOTH</v>
      </c>
      <c r="AD719" s="9">
        <f>IF(AC719="BOTH",ROUND(Y719-Z719,2),0)</f>
        <v>0</v>
      </c>
    </row>
    <row r="720">
      <c r="A720" t="inlineStr">
        <is>
          <t>G00716</t>
        </is>
      </c>
      <c r="B720" t="inlineStr">
        <is>
          <t>MER</t>
        </is>
      </c>
      <c r="C720" t="inlineStr">
        <is>
          <t>R08</t>
        </is>
      </c>
      <c r="D720" t="inlineStr">
        <is>
          <t>MATCH</t>
        </is>
      </c>
      <c r="E720" t="inlineStr"/>
      <c r="G720" t="inlineStr"/>
      <c r="H720">
        <f>COUNTIFS('Bank Lines'!$G$5:$G$1640,A720,'Bank Lines'!$J$5:$J$1640,1)</f>
        <v>1</v>
      </c>
      <c r="I720">
        <f>COUNTIFS('Odoo Items'!$J$5:$J$4331,A720)</f>
        <v>1</v>
      </c>
      <c r="J720" s="9">
        <f>ROUND(SUMIFS('Bank Lines'!$E$5:$E$1640,'Bank Lines'!$G$5:$G$1640,A720,'Bank Lines'!$J$5:$J$1640,1),2)</f>
        <v>2160.17</v>
      </c>
      <c r="K720" s="9">
        <f>ROUND(SUMIFS('Odoo Items'!$G$5:$G$4331,'Odoo Items'!$J$5:$J$4331,A720),2)</f>
        <v>2160.17</v>
      </c>
      <c r="L720" s="9">
        <f>ROUND(J720-K720,2)</f>
        <v>0</v>
      </c>
      <c r="M720" s="9">
        <f>ROUND(SUMIFS('Bank Lines'!$E$5:$E$1640,'Bank Lines'!$G$5:$G$1640,A720,'Bank Lines'!$J$5:$J$1640,1,'Bank Lines'!$C$5:$C$1640,"&lt;="&amp;Cover!$C$13),2)</f>
        <v>0</v>
      </c>
      <c r="N720" s="9">
        <f>ROUND(SUMIFS('Odoo Items'!$G$5:$G$4331,'Odoo Items'!$J$5:$J$4331,A720,'Odoo Items'!$C$5:$C$4331,"&lt;="&amp;Cover!$C$13),2)</f>
        <v>0</v>
      </c>
      <c r="O720">
        <f>COUNTIFS('Bank Lines'!$G$5:$G$1640,A720,'Bank Lines'!$J$5:$J$1640,1,'Bank Lines'!$C$5:$C$1640,"&lt;="&amp;Cover!$C$13)</f>
        <v>0</v>
      </c>
      <c r="P720">
        <f>COUNTIFS('Odoo Items'!$J$5:$J$4331,A720,'Odoo Items'!$C$5:$C$4331,"&lt;="&amp;Cover!$C$13)</f>
        <v>0</v>
      </c>
      <c r="Q720">
        <f>IF(AND(O720=0,P720=0),"",IF(O720=0,"ODOO-ONLY",IF(P720=0,"BANK-ONLY","BOTH")))</f>
      </c>
      <c r="R720" s="9">
        <f>IF(Q720="BOTH",ROUND(M720-N720,2),0)</f>
        <v>0</v>
      </c>
      <c r="S720" s="9">
        <f>ROUND(SUMIFS('Bank Lines'!$E$5:$E$1640,'Bank Lines'!$G$5:$G$1640,A720,'Bank Lines'!$J$5:$J$1640,1,'Bank Lines'!$C$5:$C$1640,"&lt;="&amp;Cover!$C$14),2)</f>
        <v>2160.17</v>
      </c>
      <c r="T720" s="9">
        <f>ROUND(SUMIFS('Odoo Items'!$G$5:$G$4331,'Odoo Items'!$J$5:$J$4331,A720,'Odoo Items'!$C$5:$C$4331,"&lt;="&amp;Cover!$C$14),2)</f>
        <v>2160.17</v>
      </c>
      <c r="U720">
        <f>COUNTIFS('Bank Lines'!$G$5:$G$1640,A720,'Bank Lines'!$J$5:$J$1640,1,'Bank Lines'!$C$5:$C$1640,"&lt;="&amp;Cover!$C$14)</f>
        <v>1</v>
      </c>
      <c r="V720">
        <f>COUNTIFS('Odoo Items'!$J$5:$J$4331,A720,'Odoo Items'!$C$5:$C$4331,"&lt;="&amp;Cover!$C$14)</f>
        <v>1</v>
      </c>
      <c r="W720" t="str">
        <f>IF(AND(U720=0,V720=0),"",IF(U720=0,"ODOO-ONLY",IF(V720=0,"BANK-ONLY","BOTH")))</f>
        <v>BOTH</v>
      </c>
      <c r="X720" s="9">
        <f>IF(W720="BOTH",ROUND(S720-T720,2),0)</f>
        <v>0</v>
      </c>
      <c r="Y720" s="9">
        <f>ROUND(SUMIFS('Bank Lines'!$E$5:$E$1640,'Bank Lines'!$G$5:$G$1640,A720,'Bank Lines'!$J$5:$J$1640,1,'Bank Lines'!$C$5:$C$1640,"&lt;="&amp;Cover!$C$15),2)</f>
        <v>2160.17</v>
      </c>
      <c r="Z720" s="9">
        <f>ROUND(SUMIFS('Odoo Items'!$G$5:$G$4331,'Odoo Items'!$J$5:$J$4331,A720,'Odoo Items'!$C$5:$C$4331,"&lt;="&amp;Cover!$C$15),2)</f>
        <v>2160.17</v>
      </c>
      <c r="AA720">
        <f>COUNTIFS('Bank Lines'!$G$5:$G$1640,A720,'Bank Lines'!$J$5:$J$1640,1,'Bank Lines'!$C$5:$C$1640,"&lt;="&amp;Cover!$C$15)</f>
        <v>1</v>
      </c>
      <c r="AB720">
        <f>COUNTIFS('Odoo Items'!$J$5:$J$4331,A720,'Odoo Items'!$C$5:$C$4331,"&lt;="&amp;Cover!$C$15)</f>
        <v>1</v>
      </c>
      <c r="AC720" t="str">
        <f>IF(AND(AA720=0,AB720=0),"",IF(AA720=0,"ODOO-ONLY",IF(AB720=0,"BANK-ONLY","BOTH")))</f>
        <v>BOTH</v>
      </c>
      <c r="AD720" s="9">
        <f>IF(AC720="BOTH",ROUND(Y720-Z720,2),0)</f>
        <v>0</v>
      </c>
    </row>
    <row r="721">
      <c r="A721" t="inlineStr">
        <is>
          <t>G00717</t>
        </is>
      </c>
      <c r="B721" t="inlineStr">
        <is>
          <t>MER</t>
        </is>
      </c>
      <c r="C721" t="inlineStr">
        <is>
          <t>R08</t>
        </is>
      </c>
      <c r="D721" t="inlineStr">
        <is>
          <t>MATCH</t>
        </is>
      </c>
      <c r="E721" t="inlineStr"/>
      <c r="G721" t="inlineStr"/>
      <c r="H721">
        <f>COUNTIFS('Bank Lines'!$G$5:$G$1640,A721,'Bank Lines'!$J$5:$J$1640,1)</f>
        <v>1</v>
      </c>
      <c r="I721">
        <f>COUNTIFS('Odoo Items'!$J$5:$J$4331,A721)</f>
        <v>1</v>
      </c>
      <c r="J721" s="9">
        <f>ROUND(SUMIFS('Bank Lines'!$E$5:$E$1640,'Bank Lines'!$G$5:$G$1640,A721,'Bank Lines'!$J$5:$J$1640,1),2)</f>
        <v>3595.27</v>
      </c>
      <c r="K721" s="9">
        <f>ROUND(SUMIFS('Odoo Items'!$G$5:$G$4331,'Odoo Items'!$J$5:$J$4331,A721),2)</f>
        <v>3595.27</v>
      </c>
      <c r="L721" s="9">
        <f>ROUND(J721-K721,2)</f>
        <v>0</v>
      </c>
      <c r="M721" s="9">
        <f>ROUND(SUMIFS('Bank Lines'!$E$5:$E$1640,'Bank Lines'!$G$5:$G$1640,A721,'Bank Lines'!$J$5:$J$1640,1,'Bank Lines'!$C$5:$C$1640,"&lt;="&amp;Cover!$C$13),2)</f>
        <v>0</v>
      </c>
      <c r="N721" s="9">
        <f>ROUND(SUMIFS('Odoo Items'!$G$5:$G$4331,'Odoo Items'!$J$5:$J$4331,A721,'Odoo Items'!$C$5:$C$4331,"&lt;="&amp;Cover!$C$13),2)</f>
        <v>0</v>
      </c>
      <c r="O721">
        <f>COUNTIFS('Bank Lines'!$G$5:$G$1640,A721,'Bank Lines'!$J$5:$J$1640,1,'Bank Lines'!$C$5:$C$1640,"&lt;="&amp;Cover!$C$13)</f>
        <v>0</v>
      </c>
      <c r="P721">
        <f>COUNTIFS('Odoo Items'!$J$5:$J$4331,A721,'Odoo Items'!$C$5:$C$4331,"&lt;="&amp;Cover!$C$13)</f>
        <v>0</v>
      </c>
      <c r="Q721">
        <f>IF(AND(O721=0,P721=0),"",IF(O721=0,"ODOO-ONLY",IF(P721=0,"BANK-ONLY","BOTH")))</f>
      </c>
      <c r="R721" s="9">
        <f>IF(Q721="BOTH",ROUND(M721-N721,2),0)</f>
        <v>0</v>
      </c>
      <c r="S721" s="9">
        <f>ROUND(SUMIFS('Bank Lines'!$E$5:$E$1640,'Bank Lines'!$G$5:$G$1640,A721,'Bank Lines'!$J$5:$J$1640,1,'Bank Lines'!$C$5:$C$1640,"&lt;="&amp;Cover!$C$14),2)</f>
        <v>3595.27</v>
      </c>
      <c r="T721" s="9">
        <f>ROUND(SUMIFS('Odoo Items'!$G$5:$G$4331,'Odoo Items'!$J$5:$J$4331,A721,'Odoo Items'!$C$5:$C$4331,"&lt;="&amp;Cover!$C$14),2)</f>
        <v>3595.27</v>
      </c>
      <c r="U721">
        <f>COUNTIFS('Bank Lines'!$G$5:$G$1640,A721,'Bank Lines'!$J$5:$J$1640,1,'Bank Lines'!$C$5:$C$1640,"&lt;="&amp;Cover!$C$14)</f>
        <v>1</v>
      </c>
      <c r="V721">
        <f>COUNTIFS('Odoo Items'!$J$5:$J$4331,A721,'Odoo Items'!$C$5:$C$4331,"&lt;="&amp;Cover!$C$14)</f>
        <v>1</v>
      </c>
      <c r="W721" t="str">
        <f>IF(AND(U721=0,V721=0),"",IF(U721=0,"ODOO-ONLY",IF(V721=0,"BANK-ONLY","BOTH")))</f>
        <v>BOTH</v>
      </c>
      <c r="X721" s="9">
        <f>IF(W721="BOTH",ROUND(S721-T721,2),0)</f>
        <v>0</v>
      </c>
      <c r="Y721" s="9">
        <f>ROUND(SUMIFS('Bank Lines'!$E$5:$E$1640,'Bank Lines'!$G$5:$G$1640,A721,'Bank Lines'!$J$5:$J$1640,1,'Bank Lines'!$C$5:$C$1640,"&lt;="&amp;Cover!$C$15),2)</f>
        <v>3595.27</v>
      </c>
      <c r="Z721" s="9">
        <f>ROUND(SUMIFS('Odoo Items'!$G$5:$G$4331,'Odoo Items'!$J$5:$J$4331,A721,'Odoo Items'!$C$5:$C$4331,"&lt;="&amp;Cover!$C$15),2)</f>
        <v>3595.27</v>
      </c>
      <c r="AA721">
        <f>COUNTIFS('Bank Lines'!$G$5:$G$1640,A721,'Bank Lines'!$J$5:$J$1640,1,'Bank Lines'!$C$5:$C$1640,"&lt;="&amp;Cover!$C$15)</f>
        <v>1</v>
      </c>
      <c r="AB721">
        <f>COUNTIFS('Odoo Items'!$J$5:$J$4331,A721,'Odoo Items'!$C$5:$C$4331,"&lt;="&amp;Cover!$C$15)</f>
        <v>1</v>
      </c>
      <c r="AC721" t="str">
        <f>IF(AND(AA721=0,AB721=0),"",IF(AA721=0,"ODOO-ONLY",IF(AB721=0,"BANK-ONLY","BOTH")))</f>
        <v>BOTH</v>
      </c>
      <c r="AD721" s="9">
        <f>IF(AC721="BOTH",ROUND(Y721-Z721,2),0)</f>
        <v>0</v>
      </c>
    </row>
    <row r="722">
      <c r="A722" t="inlineStr">
        <is>
          <t>G00718</t>
        </is>
      </c>
      <c r="B722" t="inlineStr">
        <is>
          <t>MER</t>
        </is>
      </c>
      <c r="C722" t="inlineStr">
        <is>
          <t>R08</t>
        </is>
      </c>
      <c r="D722" t="inlineStr">
        <is>
          <t>MATCH</t>
        </is>
      </c>
      <c r="E722" t="inlineStr"/>
      <c r="G722" t="inlineStr"/>
      <c r="H722">
        <f>COUNTIFS('Bank Lines'!$G$5:$G$1640,A722,'Bank Lines'!$J$5:$J$1640,1)</f>
        <v>1</v>
      </c>
      <c r="I722">
        <f>COUNTIFS('Odoo Items'!$J$5:$J$4331,A722)</f>
        <v>1</v>
      </c>
      <c r="J722" s="9">
        <f>ROUND(SUMIFS('Bank Lines'!$E$5:$E$1640,'Bank Lines'!$G$5:$G$1640,A722,'Bank Lines'!$J$5:$J$1640,1),2)</f>
        <v>1703.4</v>
      </c>
      <c r="K722" s="9">
        <f>ROUND(SUMIFS('Odoo Items'!$G$5:$G$4331,'Odoo Items'!$J$5:$J$4331,A722),2)</f>
        <v>1703.4</v>
      </c>
      <c r="L722" s="9">
        <f>ROUND(J722-K722,2)</f>
        <v>0</v>
      </c>
      <c r="M722" s="9">
        <f>ROUND(SUMIFS('Bank Lines'!$E$5:$E$1640,'Bank Lines'!$G$5:$G$1640,A722,'Bank Lines'!$J$5:$J$1640,1,'Bank Lines'!$C$5:$C$1640,"&lt;="&amp;Cover!$C$13),2)</f>
        <v>0</v>
      </c>
      <c r="N722" s="9">
        <f>ROUND(SUMIFS('Odoo Items'!$G$5:$G$4331,'Odoo Items'!$J$5:$J$4331,A722,'Odoo Items'!$C$5:$C$4331,"&lt;="&amp;Cover!$C$13),2)</f>
        <v>0</v>
      </c>
      <c r="O722">
        <f>COUNTIFS('Bank Lines'!$G$5:$G$1640,A722,'Bank Lines'!$J$5:$J$1640,1,'Bank Lines'!$C$5:$C$1640,"&lt;="&amp;Cover!$C$13)</f>
        <v>0</v>
      </c>
      <c r="P722">
        <f>COUNTIFS('Odoo Items'!$J$5:$J$4331,A722,'Odoo Items'!$C$5:$C$4331,"&lt;="&amp;Cover!$C$13)</f>
        <v>0</v>
      </c>
      <c r="Q722">
        <f>IF(AND(O722=0,P722=0),"",IF(O722=0,"ODOO-ONLY",IF(P722=0,"BANK-ONLY","BOTH")))</f>
      </c>
      <c r="R722" s="9">
        <f>IF(Q722="BOTH",ROUND(M722-N722,2),0)</f>
        <v>0</v>
      </c>
      <c r="S722" s="9">
        <f>ROUND(SUMIFS('Bank Lines'!$E$5:$E$1640,'Bank Lines'!$G$5:$G$1640,A722,'Bank Lines'!$J$5:$J$1640,1,'Bank Lines'!$C$5:$C$1640,"&lt;="&amp;Cover!$C$14),2)</f>
        <v>1703.4</v>
      </c>
      <c r="T722" s="9">
        <f>ROUND(SUMIFS('Odoo Items'!$G$5:$G$4331,'Odoo Items'!$J$5:$J$4331,A722,'Odoo Items'!$C$5:$C$4331,"&lt;="&amp;Cover!$C$14),2)</f>
        <v>1703.4</v>
      </c>
      <c r="U722">
        <f>COUNTIFS('Bank Lines'!$G$5:$G$1640,A722,'Bank Lines'!$J$5:$J$1640,1,'Bank Lines'!$C$5:$C$1640,"&lt;="&amp;Cover!$C$14)</f>
        <v>1</v>
      </c>
      <c r="V722">
        <f>COUNTIFS('Odoo Items'!$J$5:$J$4331,A722,'Odoo Items'!$C$5:$C$4331,"&lt;="&amp;Cover!$C$14)</f>
        <v>1</v>
      </c>
      <c r="W722" t="str">
        <f>IF(AND(U722=0,V722=0),"",IF(U722=0,"ODOO-ONLY",IF(V722=0,"BANK-ONLY","BOTH")))</f>
        <v>BOTH</v>
      </c>
      <c r="X722" s="9">
        <f>IF(W722="BOTH",ROUND(S722-T722,2),0)</f>
        <v>0</v>
      </c>
      <c r="Y722" s="9">
        <f>ROUND(SUMIFS('Bank Lines'!$E$5:$E$1640,'Bank Lines'!$G$5:$G$1640,A722,'Bank Lines'!$J$5:$J$1640,1,'Bank Lines'!$C$5:$C$1640,"&lt;="&amp;Cover!$C$15),2)</f>
        <v>1703.4</v>
      </c>
      <c r="Z722" s="9">
        <f>ROUND(SUMIFS('Odoo Items'!$G$5:$G$4331,'Odoo Items'!$J$5:$J$4331,A722,'Odoo Items'!$C$5:$C$4331,"&lt;="&amp;Cover!$C$15),2)</f>
        <v>1703.4</v>
      </c>
      <c r="AA722">
        <f>COUNTIFS('Bank Lines'!$G$5:$G$1640,A722,'Bank Lines'!$J$5:$J$1640,1,'Bank Lines'!$C$5:$C$1640,"&lt;="&amp;Cover!$C$15)</f>
        <v>1</v>
      </c>
      <c r="AB722">
        <f>COUNTIFS('Odoo Items'!$J$5:$J$4331,A722,'Odoo Items'!$C$5:$C$4331,"&lt;="&amp;Cover!$C$15)</f>
        <v>1</v>
      </c>
      <c r="AC722" t="str">
        <f>IF(AND(AA722=0,AB722=0),"",IF(AA722=0,"ODOO-ONLY",IF(AB722=0,"BANK-ONLY","BOTH")))</f>
        <v>BOTH</v>
      </c>
      <c r="AD722" s="9">
        <f>IF(AC722="BOTH",ROUND(Y722-Z722,2),0)</f>
        <v>0</v>
      </c>
    </row>
    <row r="723">
      <c r="A723" t="inlineStr">
        <is>
          <t>G00719</t>
        </is>
      </c>
      <c r="B723" t="inlineStr">
        <is>
          <t>MER</t>
        </is>
      </c>
      <c r="C723" t="inlineStr">
        <is>
          <t>R08</t>
        </is>
      </c>
      <c r="D723" t="inlineStr">
        <is>
          <t>MATCH</t>
        </is>
      </c>
      <c r="E723" t="inlineStr"/>
      <c r="G723" t="inlineStr"/>
      <c r="H723">
        <f>COUNTIFS('Bank Lines'!$G$5:$G$1640,A723,'Bank Lines'!$J$5:$J$1640,1)</f>
        <v>1</v>
      </c>
      <c r="I723">
        <f>COUNTIFS('Odoo Items'!$J$5:$J$4331,A723)</f>
        <v>1</v>
      </c>
      <c r="J723" s="9">
        <f>ROUND(SUMIFS('Bank Lines'!$E$5:$E$1640,'Bank Lines'!$G$5:$G$1640,A723,'Bank Lines'!$J$5:$J$1640,1),2)</f>
        <v>3242.89</v>
      </c>
      <c r="K723" s="9">
        <f>ROUND(SUMIFS('Odoo Items'!$G$5:$G$4331,'Odoo Items'!$J$5:$J$4331,A723),2)</f>
        <v>3242.89</v>
      </c>
      <c r="L723" s="9">
        <f>ROUND(J723-K723,2)</f>
        <v>0</v>
      </c>
      <c r="M723" s="9">
        <f>ROUND(SUMIFS('Bank Lines'!$E$5:$E$1640,'Bank Lines'!$G$5:$G$1640,A723,'Bank Lines'!$J$5:$J$1640,1,'Bank Lines'!$C$5:$C$1640,"&lt;="&amp;Cover!$C$13),2)</f>
        <v>0</v>
      </c>
      <c r="N723" s="9">
        <f>ROUND(SUMIFS('Odoo Items'!$G$5:$G$4331,'Odoo Items'!$J$5:$J$4331,A723,'Odoo Items'!$C$5:$C$4331,"&lt;="&amp;Cover!$C$13),2)</f>
        <v>0</v>
      </c>
      <c r="O723">
        <f>COUNTIFS('Bank Lines'!$G$5:$G$1640,A723,'Bank Lines'!$J$5:$J$1640,1,'Bank Lines'!$C$5:$C$1640,"&lt;="&amp;Cover!$C$13)</f>
        <v>0</v>
      </c>
      <c r="P723">
        <f>COUNTIFS('Odoo Items'!$J$5:$J$4331,A723,'Odoo Items'!$C$5:$C$4331,"&lt;="&amp;Cover!$C$13)</f>
        <v>0</v>
      </c>
      <c r="Q723">
        <f>IF(AND(O723=0,P723=0),"",IF(O723=0,"ODOO-ONLY",IF(P723=0,"BANK-ONLY","BOTH")))</f>
      </c>
      <c r="R723" s="9">
        <f>IF(Q723="BOTH",ROUND(M723-N723,2),0)</f>
        <v>0</v>
      </c>
      <c r="S723" s="9">
        <f>ROUND(SUMIFS('Bank Lines'!$E$5:$E$1640,'Bank Lines'!$G$5:$G$1640,A723,'Bank Lines'!$J$5:$J$1640,1,'Bank Lines'!$C$5:$C$1640,"&lt;="&amp;Cover!$C$14),2)</f>
        <v>3242.89</v>
      </c>
      <c r="T723" s="9">
        <f>ROUND(SUMIFS('Odoo Items'!$G$5:$G$4331,'Odoo Items'!$J$5:$J$4331,A723,'Odoo Items'!$C$5:$C$4331,"&lt;="&amp;Cover!$C$14),2)</f>
        <v>3242.89</v>
      </c>
      <c r="U723">
        <f>COUNTIFS('Bank Lines'!$G$5:$G$1640,A723,'Bank Lines'!$J$5:$J$1640,1,'Bank Lines'!$C$5:$C$1640,"&lt;="&amp;Cover!$C$14)</f>
        <v>1</v>
      </c>
      <c r="V723">
        <f>COUNTIFS('Odoo Items'!$J$5:$J$4331,A723,'Odoo Items'!$C$5:$C$4331,"&lt;="&amp;Cover!$C$14)</f>
        <v>1</v>
      </c>
      <c r="W723" t="str">
        <f>IF(AND(U723=0,V723=0),"",IF(U723=0,"ODOO-ONLY",IF(V723=0,"BANK-ONLY","BOTH")))</f>
        <v>BOTH</v>
      </c>
      <c r="X723" s="9">
        <f>IF(W723="BOTH",ROUND(S723-T723,2),0)</f>
        <v>0</v>
      </c>
      <c r="Y723" s="9">
        <f>ROUND(SUMIFS('Bank Lines'!$E$5:$E$1640,'Bank Lines'!$G$5:$G$1640,A723,'Bank Lines'!$J$5:$J$1640,1,'Bank Lines'!$C$5:$C$1640,"&lt;="&amp;Cover!$C$15),2)</f>
        <v>3242.89</v>
      </c>
      <c r="Z723" s="9">
        <f>ROUND(SUMIFS('Odoo Items'!$G$5:$G$4331,'Odoo Items'!$J$5:$J$4331,A723,'Odoo Items'!$C$5:$C$4331,"&lt;="&amp;Cover!$C$15),2)</f>
        <v>3242.89</v>
      </c>
      <c r="AA723">
        <f>COUNTIFS('Bank Lines'!$G$5:$G$1640,A723,'Bank Lines'!$J$5:$J$1640,1,'Bank Lines'!$C$5:$C$1640,"&lt;="&amp;Cover!$C$15)</f>
        <v>1</v>
      </c>
      <c r="AB723">
        <f>COUNTIFS('Odoo Items'!$J$5:$J$4331,A723,'Odoo Items'!$C$5:$C$4331,"&lt;="&amp;Cover!$C$15)</f>
        <v>1</v>
      </c>
      <c r="AC723" t="str">
        <f>IF(AND(AA723=0,AB723=0),"",IF(AA723=0,"ODOO-ONLY",IF(AB723=0,"BANK-ONLY","BOTH")))</f>
        <v>BOTH</v>
      </c>
      <c r="AD723" s="9">
        <f>IF(AC723="BOTH",ROUND(Y723-Z723,2),0)</f>
        <v>0</v>
      </c>
    </row>
    <row r="724">
      <c r="A724" t="inlineStr">
        <is>
          <t>G00720</t>
        </is>
      </c>
      <c r="B724" t="inlineStr">
        <is>
          <t>MER</t>
        </is>
      </c>
      <c r="C724" t="inlineStr">
        <is>
          <t>R08</t>
        </is>
      </c>
      <c r="D724" t="inlineStr">
        <is>
          <t>MATCH</t>
        </is>
      </c>
      <c r="E724" t="inlineStr"/>
      <c r="G724" t="inlineStr"/>
      <c r="H724">
        <f>COUNTIFS('Bank Lines'!$G$5:$G$1640,A724,'Bank Lines'!$J$5:$J$1640,1)</f>
        <v>1</v>
      </c>
      <c r="I724">
        <f>COUNTIFS('Odoo Items'!$J$5:$J$4331,A724)</f>
        <v>1</v>
      </c>
      <c r="J724" s="9">
        <f>ROUND(SUMIFS('Bank Lines'!$E$5:$E$1640,'Bank Lines'!$G$5:$G$1640,A724,'Bank Lines'!$J$5:$J$1640,1),2)</f>
        <v>3522.59</v>
      </c>
      <c r="K724" s="9">
        <f>ROUND(SUMIFS('Odoo Items'!$G$5:$G$4331,'Odoo Items'!$J$5:$J$4331,A724),2)</f>
        <v>3522.59</v>
      </c>
      <c r="L724" s="9">
        <f>ROUND(J724-K724,2)</f>
        <v>0</v>
      </c>
      <c r="M724" s="9">
        <f>ROUND(SUMIFS('Bank Lines'!$E$5:$E$1640,'Bank Lines'!$G$5:$G$1640,A724,'Bank Lines'!$J$5:$J$1640,1,'Bank Lines'!$C$5:$C$1640,"&lt;="&amp;Cover!$C$13),2)</f>
        <v>0</v>
      </c>
      <c r="N724" s="9">
        <f>ROUND(SUMIFS('Odoo Items'!$G$5:$G$4331,'Odoo Items'!$J$5:$J$4331,A724,'Odoo Items'!$C$5:$C$4331,"&lt;="&amp;Cover!$C$13),2)</f>
        <v>0</v>
      </c>
      <c r="O724">
        <f>COUNTIFS('Bank Lines'!$G$5:$G$1640,A724,'Bank Lines'!$J$5:$J$1640,1,'Bank Lines'!$C$5:$C$1640,"&lt;="&amp;Cover!$C$13)</f>
        <v>0</v>
      </c>
      <c r="P724">
        <f>COUNTIFS('Odoo Items'!$J$5:$J$4331,A724,'Odoo Items'!$C$5:$C$4331,"&lt;="&amp;Cover!$C$13)</f>
        <v>0</v>
      </c>
      <c r="Q724">
        <f>IF(AND(O724=0,P724=0),"",IF(O724=0,"ODOO-ONLY",IF(P724=0,"BANK-ONLY","BOTH")))</f>
      </c>
      <c r="R724" s="9">
        <f>IF(Q724="BOTH",ROUND(M724-N724,2),0)</f>
        <v>0</v>
      </c>
      <c r="S724" s="9">
        <f>ROUND(SUMIFS('Bank Lines'!$E$5:$E$1640,'Bank Lines'!$G$5:$G$1640,A724,'Bank Lines'!$J$5:$J$1640,1,'Bank Lines'!$C$5:$C$1640,"&lt;="&amp;Cover!$C$14),2)</f>
        <v>3522.59</v>
      </c>
      <c r="T724" s="9">
        <f>ROUND(SUMIFS('Odoo Items'!$G$5:$G$4331,'Odoo Items'!$J$5:$J$4331,A724,'Odoo Items'!$C$5:$C$4331,"&lt;="&amp;Cover!$C$14),2)</f>
        <v>3522.59</v>
      </c>
      <c r="U724">
        <f>COUNTIFS('Bank Lines'!$G$5:$G$1640,A724,'Bank Lines'!$J$5:$J$1640,1,'Bank Lines'!$C$5:$C$1640,"&lt;="&amp;Cover!$C$14)</f>
        <v>1</v>
      </c>
      <c r="V724">
        <f>COUNTIFS('Odoo Items'!$J$5:$J$4331,A724,'Odoo Items'!$C$5:$C$4331,"&lt;="&amp;Cover!$C$14)</f>
        <v>1</v>
      </c>
      <c r="W724" t="str">
        <f>IF(AND(U724=0,V724=0),"",IF(U724=0,"ODOO-ONLY",IF(V724=0,"BANK-ONLY","BOTH")))</f>
        <v>BOTH</v>
      </c>
      <c r="X724" s="9">
        <f>IF(W724="BOTH",ROUND(S724-T724,2),0)</f>
        <v>0</v>
      </c>
      <c r="Y724" s="9">
        <f>ROUND(SUMIFS('Bank Lines'!$E$5:$E$1640,'Bank Lines'!$G$5:$G$1640,A724,'Bank Lines'!$J$5:$J$1640,1,'Bank Lines'!$C$5:$C$1640,"&lt;="&amp;Cover!$C$15),2)</f>
        <v>3522.59</v>
      </c>
      <c r="Z724" s="9">
        <f>ROUND(SUMIFS('Odoo Items'!$G$5:$G$4331,'Odoo Items'!$J$5:$J$4331,A724,'Odoo Items'!$C$5:$C$4331,"&lt;="&amp;Cover!$C$15),2)</f>
        <v>3522.59</v>
      </c>
      <c r="AA724">
        <f>COUNTIFS('Bank Lines'!$G$5:$G$1640,A724,'Bank Lines'!$J$5:$J$1640,1,'Bank Lines'!$C$5:$C$1640,"&lt;="&amp;Cover!$C$15)</f>
        <v>1</v>
      </c>
      <c r="AB724">
        <f>COUNTIFS('Odoo Items'!$J$5:$J$4331,A724,'Odoo Items'!$C$5:$C$4331,"&lt;="&amp;Cover!$C$15)</f>
        <v>1</v>
      </c>
      <c r="AC724" t="str">
        <f>IF(AND(AA724=0,AB724=0),"",IF(AA724=0,"ODOO-ONLY",IF(AB724=0,"BANK-ONLY","BOTH")))</f>
        <v>BOTH</v>
      </c>
      <c r="AD724" s="9">
        <f>IF(AC724="BOTH",ROUND(Y724-Z724,2),0)</f>
        <v>0</v>
      </c>
    </row>
    <row r="725">
      <c r="A725" t="inlineStr">
        <is>
          <t>G00721</t>
        </is>
      </c>
      <c r="B725" t="inlineStr">
        <is>
          <t>MER</t>
        </is>
      </c>
      <c r="C725" t="inlineStr">
        <is>
          <t>R08</t>
        </is>
      </c>
      <c r="D725" t="inlineStr">
        <is>
          <t>MATCH</t>
        </is>
      </c>
      <c r="E725" t="inlineStr"/>
      <c r="G725" t="inlineStr"/>
      <c r="H725">
        <f>COUNTIFS('Bank Lines'!$G$5:$G$1640,A725,'Bank Lines'!$J$5:$J$1640,1)</f>
        <v>1</v>
      </c>
      <c r="I725">
        <f>COUNTIFS('Odoo Items'!$J$5:$J$4331,A725)</f>
        <v>1</v>
      </c>
      <c r="J725" s="9">
        <f>ROUND(SUMIFS('Bank Lines'!$E$5:$E$1640,'Bank Lines'!$G$5:$G$1640,A725,'Bank Lines'!$J$5:$J$1640,1),2)</f>
        <v>1060.29</v>
      </c>
      <c r="K725" s="9">
        <f>ROUND(SUMIFS('Odoo Items'!$G$5:$G$4331,'Odoo Items'!$J$5:$J$4331,A725),2)</f>
        <v>1060.29</v>
      </c>
      <c r="L725" s="9">
        <f>ROUND(J725-K725,2)</f>
        <v>0</v>
      </c>
      <c r="M725" s="9">
        <f>ROUND(SUMIFS('Bank Lines'!$E$5:$E$1640,'Bank Lines'!$G$5:$G$1640,A725,'Bank Lines'!$J$5:$J$1640,1,'Bank Lines'!$C$5:$C$1640,"&lt;="&amp;Cover!$C$13),2)</f>
        <v>0</v>
      </c>
      <c r="N725" s="9">
        <f>ROUND(SUMIFS('Odoo Items'!$G$5:$G$4331,'Odoo Items'!$J$5:$J$4331,A725,'Odoo Items'!$C$5:$C$4331,"&lt;="&amp;Cover!$C$13),2)</f>
        <v>0</v>
      </c>
      <c r="O725">
        <f>COUNTIFS('Bank Lines'!$G$5:$G$1640,A725,'Bank Lines'!$J$5:$J$1640,1,'Bank Lines'!$C$5:$C$1640,"&lt;="&amp;Cover!$C$13)</f>
        <v>0</v>
      </c>
      <c r="P725">
        <f>COUNTIFS('Odoo Items'!$J$5:$J$4331,A725,'Odoo Items'!$C$5:$C$4331,"&lt;="&amp;Cover!$C$13)</f>
        <v>0</v>
      </c>
      <c r="Q725">
        <f>IF(AND(O725=0,P725=0),"",IF(O725=0,"ODOO-ONLY",IF(P725=0,"BANK-ONLY","BOTH")))</f>
      </c>
      <c r="R725" s="9">
        <f>IF(Q725="BOTH",ROUND(M725-N725,2),0)</f>
        <v>0</v>
      </c>
      <c r="S725" s="9">
        <f>ROUND(SUMIFS('Bank Lines'!$E$5:$E$1640,'Bank Lines'!$G$5:$G$1640,A725,'Bank Lines'!$J$5:$J$1640,1,'Bank Lines'!$C$5:$C$1640,"&lt;="&amp;Cover!$C$14),2)</f>
        <v>1060.29</v>
      </c>
      <c r="T725" s="9">
        <f>ROUND(SUMIFS('Odoo Items'!$G$5:$G$4331,'Odoo Items'!$J$5:$J$4331,A725,'Odoo Items'!$C$5:$C$4331,"&lt;="&amp;Cover!$C$14),2)</f>
        <v>1060.29</v>
      </c>
      <c r="U725">
        <f>COUNTIFS('Bank Lines'!$G$5:$G$1640,A725,'Bank Lines'!$J$5:$J$1640,1,'Bank Lines'!$C$5:$C$1640,"&lt;="&amp;Cover!$C$14)</f>
        <v>1</v>
      </c>
      <c r="V725">
        <f>COUNTIFS('Odoo Items'!$J$5:$J$4331,A725,'Odoo Items'!$C$5:$C$4331,"&lt;="&amp;Cover!$C$14)</f>
        <v>1</v>
      </c>
      <c r="W725" t="str">
        <f>IF(AND(U725=0,V725=0),"",IF(U725=0,"ODOO-ONLY",IF(V725=0,"BANK-ONLY","BOTH")))</f>
        <v>BOTH</v>
      </c>
      <c r="X725" s="9">
        <f>IF(W725="BOTH",ROUND(S725-T725,2),0)</f>
        <v>0</v>
      </c>
      <c r="Y725" s="9">
        <f>ROUND(SUMIFS('Bank Lines'!$E$5:$E$1640,'Bank Lines'!$G$5:$G$1640,A725,'Bank Lines'!$J$5:$J$1640,1,'Bank Lines'!$C$5:$C$1640,"&lt;="&amp;Cover!$C$15),2)</f>
        <v>1060.29</v>
      </c>
      <c r="Z725" s="9">
        <f>ROUND(SUMIFS('Odoo Items'!$G$5:$G$4331,'Odoo Items'!$J$5:$J$4331,A725,'Odoo Items'!$C$5:$C$4331,"&lt;="&amp;Cover!$C$15),2)</f>
        <v>1060.29</v>
      </c>
      <c r="AA725">
        <f>COUNTIFS('Bank Lines'!$G$5:$G$1640,A725,'Bank Lines'!$J$5:$J$1640,1,'Bank Lines'!$C$5:$C$1640,"&lt;="&amp;Cover!$C$15)</f>
        <v>1</v>
      </c>
      <c r="AB725">
        <f>COUNTIFS('Odoo Items'!$J$5:$J$4331,A725,'Odoo Items'!$C$5:$C$4331,"&lt;="&amp;Cover!$C$15)</f>
        <v>1</v>
      </c>
      <c r="AC725" t="str">
        <f>IF(AND(AA725=0,AB725=0),"",IF(AA725=0,"ODOO-ONLY",IF(AB725=0,"BANK-ONLY","BOTH")))</f>
        <v>BOTH</v>
      </c>
      <c r="AD725" s="9">
        <f>IF(AC725="BOTH",ROUND(Y725-Z725,2),0)</f>
        <v>0</v>
      </c>
    </row>
    <row r="726">
      <c r="A726" t="inlineStr">
        <is>
          <t>G00722</t>
        </is>
      </c>
      <c r="B726" t="inlineStr">
        <is>
          <t>MER</t>
        </is>
      </c>
      <c r="C726" t="inlineStr">
        <is>
          <t>R08</t>
        </is>
      </c>
      <c r="D726" t="inlineStr">
        <is>
          <t>MATCH</t>
        </is>
      </c>
      <c r="E726" t="inlineStr"/>
      <c r="G726" t="inlineStr"/>
      <c r="H726">
        <f>COUNTIFS('Bank Lines'!$G$5:$G$1640,A726,'Bank Lines'!$J$5:$J$1640,1)</f>
        <v>1</v>
      </c>
      <c r="I726">
        <f>COUNTIFS('Odoo Items'!$J$5:$J$4331,A726)</f>
        <v>1</v>
      </c>
      <c r="J726" s="9">
        <f>ROUND(SUMIFS('Bank Lines'!$E$5:$E$1640,'Bank Lines'!$G$5:$G$1640,A726,'Bank Lines'!$J$5:$J$1640,1),2)</f>
        <v>3389.03</v>
      </c>
      <c r="K726" s="9">
        <f>ROUND(SUMIFS('Odoo Items'!$G$5:$G$4331,'Odoo Items'!$J$5:$J$4331,A726),2)</f>
        <v>3389.03</v>
      </c>
      <c r="L726" s="9">
        <f>ROUND(J726-K726,2)</f>
        <v>0</v>
      </c>
      <c r="M726" s="9">
        <f>ROUND(SUMIFS('Bank Lines'!$E$5:$E$1640,'Bank Lines'!$G$5:$G$1640,A726,'Bank Lines'!$J$5:$J$1640,1,'Bank Lines'!$C$5:$C$1640,"&lt;="&amp;Cover!$C$13),2)</f>
        <v>0</v>
      </c>
      <c r="N726" s="9">
        <f>ROUND(SUMIFS('Odoo Items'!$G$5:$G$4331,'Odoo Items'!$J$5:$J$4331,A726,'Odoo Items'!$C$5:$C$4331,"&lt;="&amp;Cover!$C$13),2)</f>
        <v>0</v>
      </c>
      <c r="O726">
        <f>COUNTIFS('Bank Lines'!$G$5:$G$1640,A726,'Bank Lines'!$J$5:$J$1640,1,'Bank Lines'!$C$5:$C$1640,"&lt;="&amp;Cover!$C$13)</f>
        <v>0</v>
      </c>
      <c r="P726">
        <f>COUNTIFS('Odoo Items'!$J$5:$J$4331,A726,'Odoo Items'!$C$5:$C$4331,"&lt;="&amp;Cover!$C$13)</f>
        <v>0</v>
      </c>
      <c r="Q726">
        <f>IF(AND(O726=0,P726=0),"",IF(O726=0,"ODOO-ONLY",IF(P726=0,"BANK-ONLY","BOTH")))</f>
      </c>
      <c r="R726" s="9">
        <f>IF(Q726="BOTH",ROUND(M726-N726,2),0)</f>
        <v>0</v>
      </c>
      <c r="S726" s="9">
        <f>ROUND(SUMIFS('Bank Lines'!$E$5:$E$1640,'Bank Lines'!$G$5:$G$1640,A726,'Bank Lines'!$J$5:$J$1640,1,'Bank Lines'!$C$5:$C$1640,"&lt;="&amp;Cover!$C$14),2)</f>
        <v>3389.03</v>
      </c>
      <c r="T726" s="9">
        <f>ROUND(SUMIFS('Odoo Items'!$G$5:$G$4331,'Odoo Items'!$J$5:$J$4331,A726,'Odoo Items'!$C$5:$C$4331,"&lt;="&amp;Cover!$C$14),2)</f>
        <v>3389.03</v>
      </c>
      <c r="U726">
        <f>COUNTIFS('Bank Lines'!$G$5:$G$1640,A726,'Bank Lines'!$J$5:$J$1640,1,'Bank Lines'!$C$5:$C$1640,"&lt;="&amp;Cover!$C$14)</f>
        <v>1</v>
      </c>
      <c r="V726">
        <f>COUNTIFS('Odoo Items'!$J$5:$J$4331,A726,'Odoo Items'!$C$5:$C$4331,"&lt;="&amp;Cover!$C$14)</f>
        <v>1</v>
      </c>
      <c r="W726" t="str">
        <f>IF(AND(U726=0,V726=0),"",IF(U726=0,"ODOO-ONLY",IF(V726=0,"BANK-ONLY","BOTH")))</f>
        <v>BOTH</v>
      </c>
      <c r="X726" s="9">
        <f>IF(W726="BOTH",ROUND(S726-T726,2),0)</f>
        <v>0</v>
      </c>
      <c r="Y726" s="9">
        <f>ROUND(SUMIFS('Bank Lines'!$E$5:$E$1640,'Bank Lines'!$G$5:$G$1640,A726,'Bank Lines'!$J$5:$J$1640,1,'Bank Lines'!$C$5:$C$1640,"&lt;="&amp;Cover!$C$15),2)</f>
        <v>3389.03</v>
      </c>
      <c r="Z726" s="9">
        <f>ROUND(SUMIFS('Odoo Items'!$G$5:$G$4331,'Odoo Items'!$J$5:$J$4331,A726,'Odoo Items'!$C$5:$C$4331,"&lt;="&amp;Cover!$C$15),2)</f>
        <v>3389.03</v>
      </c>
      <c r="AA726">
        <f>COUNTIFS('Bank Lines'!$G$5:$G$1640,A726,'Bank Lines'!$J$5:$J$1640,1,'Bank Lines'!$C$5:$C$1640,"&lt;="&amp;Cover!$C$15)</f>
        <v>1</v>
      </c>
      <c r="AB726">
        <f>COUNTIFS('Odoo Items'!$J$5:$J$4331,A726,'Odoo Items'!$C$5:$C$4331,"&lt;="&amp;Cover!$C$15)</f>
        <v>1</v>
      </c>
      <c r="AC726" t="str">
        <f>IF(AND(AA726=0,AB726=0),"",IF(AA726=0,"ODOO-ONLY",IF(AB726=0,"BANK-ONLY","BOTH")))</f>
        <v>BOTH</v>
      </c>
      <c r="AD726" s="9">
        <f>IF(AC726="BOTH",ROUND(Y726-Z726,2),0)</f>
        <v>0</v>
      </c>
    </row>
    <row r="727">
      <c r="A727" t="inlineStr">
        <is>
          <t>G00723</t>
        </is>
      </c>
      <c r="B727" t="inlineStr">
        <is>
          <t>MER</t>
        </is>
      </c>
      <c r="C727" t="inlineStr">
        <is>
          <t>R08</t>
        </is>
      </c>
      <c r="D727" t="inlineStr">
        <is>
          <t>MATCH</t>
        </is>
      </c>
      <c r="E727" t="inlineStr"/>
      <c r="G727" t="inlineStr"/>
      <c r="H727">
        <f>COUNTIFS('Bank Lines'!$G$5:$G$1640,A727,'Bank Lines'!$J$5:$J$1640,1)</f>
        <v>1</v>
      </c>
      <c r="I727">
        <f>COUNTIFS('Odoo Items'!$J$5:$J$4331,A727)</f>
        <v>1</v>
      </c>
      <c r="J727" s="9">
        <f>ROUND(SUMIFS('Bank Lines'!$E$5:$E$1640,'Bank Lines'!$G$5:$G$1640,A727,'Bank Lines'!$J$5:$J$1640,1),2)</f>
        <v>2739.56</v>
      </c>
      <c r="K727" s="9">
        <f>ROUND(SUMIFS('Odoo Items'!$G$5:$G$4331,'Odoo Items'!$J$5:$J$4331,A727),2)</f>
        <v>2739.56</v>
      </c>
      <c r="L727" s="9">
        <f>ROUND(J727-K727,2)</f>
        <v>0</v>
      </c>
      <c r="M727" s="9">
        <f>ROUND(SUMIFS('Bank Lines'!$E$5:$E$1640,'Bank Lines'!$G$5:$G$1640,A727,'Bank Lines'!$J$5:$J$1640,1,'Bank Lines'!$C$5:$C$1640,"&lt;="&amp;Cover!$C$13),2)</f>
        <v>0</v>
      </c>
      <c r="N727" s="9">
        <f>ROUND(SUMIFS('Odoo Items'!$G$5:$G$4331,'Odoo Items'!$J$5:$J$4331,A727,'Odoo Items'!$C$5:$C$4331,"&lt;="&amp;Cover!$C$13),2)</f>
        <v>0</v>
      </c>
      <c r="O727">
        <f>COUNTIFS('Bank Lines'!$G$5:$G$1640,A727,'Bank Lines'!$J$5:$J$1640,1,'Bank Lines'!$C$5:$C$1640,"&lt;="&amp;Cover!$C$13)</f>
        <v>0</v>
      </c>
      <c r="P727">
        <f>COUNTIFS('Odoo Items'!$J$5:$J$4331,A727,'Odoo Items'!$C$5:$C$4331,"&lt;="&amp;Cover!$C$13)</f>
        <v>0</v>
      </c>
      <c r="Q727">
        <f>IF(AND(O727=0,P727=0),"",IF(O727=0,"ODOO-ONLY",IF(P727=0,"BANK-ONLY","BOTH")))</f>
      </c>
      <c r="R727" s="9">
        <f>IF(Q727="BOTH",ROUND(M727-N727,2),0)</f>
        <v>0</v>
      </c>
      <c r="S727" s="9">
        <f>ROUND(SUMIFS('Bank Lines'!$E$5:$E$1640,'Bank Lines'!$G$5:$G$1640,A727,'Bank Lines'!$J$5:$J$1640,1,'Bank Lines'!$C$5:$C$1640,"&lt;="&amp;Cover!$C$14),2)</f>
        <v>2739.56</v>
      </c>
      <c r="T727" s="9">
        <f>ROUND(SUMIFS('Odoo Items'!$G$5:$G$4331,'Odoo Items'!$J$5:$J$4331,A727,'Odoo Items'!$C$5:$C$4331,"&lt;="&amp;Cover!$C$14),2)</f>
        <v>2739.56</v>
      </c>
      <c r="U727">
        <f>COUNTIFS('Bank Lines'!$G$5:$G$1640,A727,'Bank Lines'!$J$5:$J$1640,1,'Bank Lines'!$C$5:$C$1640,"&lt;="&amp;Cover!$C$14)</f>
        <v>1</v>
      </c>
      <c r="V727">
        <f>COUNTIFS('Odoo Items'!$J$5:$J$4331,A727,'Odoo Items'!$C$5:$C$4331,"&lt;="&amp;Cover!$C$14)</f>
        <v>1</v>
      </c>
      <c r="W727" t="str">
        <f>IF(AND(U727=0,V727=0),"",IF(U727=0,"ODOO-ONLY",IF(V727=0,"BANK-ONLY","BOTH")))</f>
        <v>BOTH</v>
      </c>
      <c r="X727" s="9">
        <f>IF(W727="BOTH",ROUND(S727-T727,2),0)</f>
        <v>0</v>
      </c>
      <c r="Y727" s="9">
        <f>ROUND(SUMIFS('Bank Lines'!$E$5:$E$1640,'Bank Lines'!$G$5:$G$1640,A727,'Bank Lines'!$J$5:$J$1640,1,'Bank Lines'!$C$5:$C$1640,"&lt;="&amp;Cover!$C$15),2)</f>
        <v>2739.56</v>
      </c>
      <c r="Z727" s="9">
        <f>ROUND(SUMIFS('Odoo Items'!$G$5:$G$4331,'Odoo Items'!$J$5:$J$4331,A727,'Odoo Items'!$C$5:$C$4331,"&lt;="&amp;Cover!$C$15),2)</f>
        <v>2739.56</v>
      </c>
      <c r="AA727">
        <f>COUNTIFS('Bank Lines'!$G$5:$G$1640,A727,'Bank Lines'!$J$5:$J$1640,1,'Bank Lines'!$C$5:$C$1640,"&lt;="&amp;Cover!$C$15)</f>
        <v>1</v>
      </c>
      <c r="AB727">
        <f>COUNTIFS('Odoo Items'!$J$5:$J$4331,A727,'Odoo Items'!$C$5:$C$4331,"&lt;="&amp;Cover!$C$15)</f>
        <v>1</v>
      </c>
      <c r="AC727" t="str">
        <f>IF(AND(AA727=0,AB727=0),"",IF(AA727=0,"ODOO-ONLY",IF(AB727=0,"BANK-ONLY","BOTH")))</f>
        <v>BOTH</v>
      </c>
      <c r="AD727" s="9">
        <f>IF(AC727="BOTH",ROUND(Y727-Z727,2),0)</f>
        <v>0</v>
      </c>
    </row>
    <row r="728">
      <c r="A728" t="inlineStr">
        <is>
          <t>G00724</t>
        </is>
      </c>
      <c r="B728" t="inlineStr">
        <is>
          <t>MER</t>
        </is>
      </c>
      <c r="C728" t="inlineStr">
        <is>
          <t>R08</t>
        </is>
      </c>
      <c r="D728" t="inlineStr">
        <is>
          <t>MATCH</t>
        </is>
      </c>
      <c r="E728" t="inlineStr"/>
      <c r="G728" t="inlineStr"/>
      <c r="H728">
        <f>COUNTIFS('Bank Lines'!$G$5:$G$1640,A728,'Bank Lines'!$J$5:$J$1640,1)</f>
        <v>1</v>
      </c>
      <c r="I728">
        <f>COUNTIFS('Odoo Items'!$J$5:$J$4331,A728)</f>
        <v>1</v>
      </c>
      <c r="J728" s="9">
        <f>ROUND(SUMIFS('Bank Lines'!$E$5:$E$1640,'Bank Lines'!$G$5:$G$1640,A728,'Bank Lines'!$J$5:$J$1640,1),2)</f>
        <v>2461.41</v>
      </c>
      <c r="K728" s="9">
        <f>ROUND(SUMIFS('Odoo Items'!$G$5:$G$4331,'Odoo Items'!$J$5:$J$4331,A728),2)</f>
        <v>2461.41</v>
      </c>
      <c r="L728" s="9">
        <f>ROUND(J728-K728,2)</f>
        <v>0</v>
      </c>
      <c r="M728" s="9">
        <f>ROUND(SUMIFS('Bank Lines'!$E$5:$E$1640,'Bank Lines'!$G$5:$G$1640,A728,'Bank Lines'!$J$5:$J$1640,1,'Bank Lines'!$C$5:$C$1640,"&lt;="&amp;Cover!$C$13),2)</f>
        <v>0</v>
      </c>
      <c r="N728" s="9">
        <f>ROUND(SUMIFS('Odoo Items'!$G$5:$G$4331,'Odoo Items'!$J$5:$J$4331,A728,'Odoo Items'!$C$5:$C$4331,"&lt;="&amp;Cover!$C$13),2)</f>
        <v>0</v>
      </c>
      <c r="O728">
        <f>COUNTIFS('Bank Lines'!$G$5:$G$1640,A728,'Bank Lines'!$J$5:$J$1640,1,'Bank Lines'!$C$5:$C$1640,"&lt;="&amp;Cover!$C$13)</f>
        <v>0</v>
      </c>
      <c r="P728">
        <f>COUNTIFS('Odoo Items'!$J$5:$J$4331,A728,'Odoo Items'!$C$5:$C$4331,"&lt;="&amp;Cover!$C$13)</f>
        <v>0</v>
      </c>
      <c r="Q728">
        <f>IF(AND(O728=0,P728=0),"",IF(O728=0,"ODOO-ONLY",IF(P728=0,"BANK-ONLY","BOTH")))</f>
      </c>
      <c r="R728" s="9">
        <f>IF(Q728="BOTH",ROUND(M728-N728,2),0)</f>
        <v>0</v>
      </c>
      <c r="S728" s="9">
        <f>ROUND(SUMIFS('Bank Lines'!$E$5:$E$1640,'Bank Lines'!$G$5:$G$1640,A728,'Bank Lines'!$J$5:$J$1640,1,'Bank Lines'!$C$5:$C$1640,"&lt;="&amp;Cover!$C$14),2)</f>
        <v>2461.41</v>
      </c>
      <c r="T728" s="9">
        <f>ROUND(SUMIFS('Odoo Items'!$G$5:$G$4331,'Odoo Items'!$J$5:$J$4331,A728,'Odoo Items'!$C$5:$C$4331,"&lt;="&amp;Cover!$C$14),2)</f>
        <v>2461.41</v>
      </c>
      <c r="U728">
        <f>COUNTIFS('Bank Lines'!$G$5:$G$1640,A728,'Bank Lines'!$J$5:$J$1640,1,'Bank Lines'!$C$5:$C$1640,"&lt;="&amp;Cover!$C$14)</f>
        <v>1</v>
      </c>
      <c r="V728">
        <f>COUNTIFS('Odoo Items'!$J$5:$J$4331,A728,'Odoo Items'!$C$5:$C$4331,"&lt;="&amp;Cover!$C$14)</f>
        <v>1</v>
      </c>
      <c r="W728" t="str">
        <f>IF(AND(U728=0,V728=0),"",IF(U728=0,"ODOO-ONLY",IF(V728=0,"BANK-ONLY","BOTH")))</f>
        <v>BOTH</v>
      </c>
      <c r="X728" s="9">
        <f>IF(W728="BOTH",ROUND(S728-T728,2),0)</f>
        <v>0</v>
      </c>
      <c r="Y728" s="9">
        <f>ROUND(SUMIFS('Bank Lines'!$E$5:$E$1640,'Bank Lines'!$G$5:$G$1640,A728,'Bank Lines'!$J$5:$J$1640,1,'Bank Lines'!$C$5:$C$1640,"&lt;="&amp;Cover!$C$15),2)</f>
        <v>2461.41</v>
      </c>
      <c r="Z728" s="9">
        <f>ROUND(SUMIFS('Odoo Items'!$G$5:$G$4331,'Odoo Items'!$J$5:$J$4331,A728,'Odoo Items'!$C$5:$C$4331,"&lt;="&amp;Cover!$C$15),2)</f>
        <v>2461.41</v>
      </c>
      <c r="AA728">
        <f>COUNTIFS('Bank Lines'!$G$5:$G$1640,A728,'Bank Lines'!$J$5:$J$1640,1,'Bank Lines'!$C$5:$C$1640,"&lt;="&amp;Cover!$C$15)</f>
        <v>1</v>
      </c>
      <c r="AB728">
        <f>COUNTIFS('Odoo Items'!$J$5:$J$4331,A728,'Odoo Items'!$C$5:$C$4331,"&lt;="&amp;Cover!$C$15)</f>
        <v>1</v>
      </c>
      <c r="AC728" t="str">
        <f>IF(AND(AA728=0,AB728=0),"",IF(AA728=0,"ODOO-ONLY",IF(AB728=0,"BANK-ONLY","BOTH")))</f>
        <v>BOTH</v>
      </c>
      <c r="AD728" s="9">
        <f>IF(AC728="BOTH",ROUND(Y728-Z728,2),0)</f>
        <v>0</v>
      </c>
    </row>
    <row r="729">
      <c r="A729" t="inlineStr">
        <is>
          <t>G00725</t>
        </is>
      </c>
      <c r="B729" t="inlineStr">
        <is>
          <t>MER</t>
        </is>
      </c>
      <c r="C729" t="inlineStr">
        <is>
          <t>R08</t>
        </is>
      </c>
      <c r="D729" t="inlineStr">
        <is>
          <t>MATCH</t>
        </is>
      </c>
      <c r="E729" t="inlineStr"/>
      <c r="G729" t="inlineStr"/>
      <c r="H729">
        <f>COUNTIFS('Bank Lines'!$G$5:$G$1640,A729,'Bank Lines'!$J$5:$J$1640,1)</f>
        <v>1</v>
      </c>
      <c r="I729">
        <f>COUNTIFS('Odoo Items'!$J$5:$J$4331,A729)</f>
        <v>1</v>
      </c>
      <c r="J729" s="9">
        <f>ROUND(SUMIFS('Bank Lines'!$E$5:$E$1640,'Bank Lines'!$G$5:$G$1640,A729,'Bank Lines'!$J$5:$J$1640,1),2)</f>
        <v>2038.59</v>
      </c>
      <c r="K729" s="9">
        <f>ROUND(SUMIFS('Odoo Items'!$G$5:$G$4331,'Odoo Items'!$J$5:$J$4331,A729),2)</f>
        <v>2038.59</v>
      </c>
      <c r="L729" s="9">
        <f>ROUND(J729-K729,2)</f>
        <v>0</v>
      </c>
      <c r="M729" s="9">
        <f>ROUND(SUMIFS('Bank Lines'!$E$5:$E$1640,'Bank Lines'!$G$5:$G$1640,A729,'Bank Lines'!$J$5:$J$1640,1,'Bank Lines'!$C$5:$C$1640,"&lt;="&amp;Cover!$C$13),2)</f>
        <v>0</v>
      </c>
      <c r="N729" s="9">
        <f>ROUND(SUMIFS('Odoo Items'!$G$5:$G$4331,'Odoo Items'!$J$5:$J$4331,A729,'Odoo Items'!$C$5:$C$4331,"&lt;="&amp;Cover!$C$13),2)</f>
        <v>0</v>
      </c>
      <c r="O729">
        <f>COUNTIFS('Bank Lines'!$G$5:$G$1640,A729,'Bank Lines'!$J$5:$J$1640,1,'Bank Lines'!$C$5:$C$1640,"&lt;="&amp;Cover!$C$13)</f>
        <v>0</v>
      </c>
      <c r="P729">
        <f>COUNTIFS('Odoo Items'!$J$5:$J$4331,A729,'Odoo Items'!$C$5:$C$4331,"&lt;="&amp;Cover!$C$13)</f>
        <v>0</v>
      </c>
      <c r="Q729">
        <f>IF(AND(O729=0,P729=0),"",IF(O729=0,"ODOO-ONLY",IF(P729=0,"BANK-ONLY","BOTH")))</f>
      </c>
      <c r="R729" s="9">
        <f>IF(Q729="BOTH",ROUND(M729-N729,2),0)</f>
        <v>0</v>
      </c>
      <c r="S729" s="9">
        <f>ROUND(SUMIFS('Bank Lines'!$E$5:$E$1640,'Bank Lines'!$G$5:$G$1640,A729,'Bank Lines'!$J$5:$J$1640,1,'Bank Lines'!$C$5:$C$1640,"&lt;="&amp;Cover!$C$14),2)</f>
        <v>2038.59</v>
      </c>
      <c r="T729" s="9">
        <f>ROUND(SUMIFS('Odoo Items'!$G$5:$G$4331,'Odoo Items'!$J$5:$J$4331,A729,'Odoo Items'!$C$5:$C$4331,"&lt;="&amp;Cover!$C$14),2)</f>
        <v>2038.59</v>
      </c>
      <c r="U729">
        <f>COUNTIFS('Bank Lines'!$G$5:$G$1640,A729,'Bank Lines'!$J$5:$J$1640,1,'Bank Lines'!$C$5:$C$1640,"&lt;="&amp;Cover!$C$14)</f>
        <v>1</v>
      </c>
      <c r="V729">
        <f>COUNTIFS('Odoo Items'!$J$5:$J$4331,A729,'Odoo Items'!$C$5:$C$4331,"&lt;="&amp;Cover!$C$14)</f>
        <v>1</v>
      </c>
      <c r="W729" t="str">
        <f>IF(AND(U729=0,V729=0),"",IF(U729=0,"ODOO-ONLY",IF(V729=0,"BANK-ONLY","BOTH")))</f>
        <v>BOTH</v>
      </c>
      <c r="X729" s="9">
        <f>IF(W729="BOTH",ROUND(S729-T729,2),0)</f>
        <v>0</v>
      </c>
      <c r="Y729" s="9">
        <f>ROUND(SUMIFS('Bank Lines'!$E$5:$E$1640,'Bank Lines'!$G$5:$G$1640,A729,'Bank Lines'!$J$5:$J$1640,1,'Bank Lines'!$C$5:$C$1640,"&lt;="&amp;Cover!$C$15),2)</f>
        <v>2038.59</v>
      </c>
      <c r="Z729" s="9">
        <f>ROUND(SUMIFS('Odoo Items'!$G$5:$G$4331,'Odoo Items'!$J$5:$J$4331,A729,'Odoo Items'!$C$5:$C$4331,"&lt;="&amp;Cover!$C$15),2)</f>
        <v>2038.59</v>
      </c>
      <c r="AA729">
        <f>COUNTIFS('Bank Lines'!$G$5:$G$1640,A729,'Bank Lines'!$J$5:$J$1640,1,'Bank Lines'!$C$5:$C$1640,"&lt;="&amp;Cover!$C$15)</f>
        <v>1</v>
      </c>
      <c r="AB729">
        <f>COUNTIFS('Odoo Items'!$J$5:$J$4331,A729,'Odoo Items'!$C$5:$C$4331,"&lt;="&amp;Cover!$C$15)</f>
        <v>1</v>
      </c>
      <c r="AC729" t="str">
        <f>IF(AND(AA729=0,AB729=0),"",IF(AA729=0,"ODOO-ONLY",IF(AB729=0,"BANK-ONLY","BOTH")))</f>
        <v>BOTH</v>
      </c>
      <c r="AD729" s="9">
        <f>IF(AC729="BOTH",ROUND(Y729-Z729,2),0)</f>
        <v>0</v>
      </c>
    </row>
    <row r="730">
      <c r="A730" t="inlineStr">
        <is>
          <t>G00726</t>
        </is>
      </c>
      <c r="B730" t="inlineStr">
        <is>
          <t>MER</t>
        </is>
      </c>
      <c r="C730" t="inlineStr">
        <is>
          <t>R08</t>
        </is>
      </c>
      <c r="D730" t="inlineStr">
        <is>
          <t>MATCH</t>
        </is>
      </c>
      <c r="E730" t="inlineStr"/>
      <c r="G730" t="inlineStr"/>
      <c r="H730">
        <f>COUNTIFS('Bank Lines'!$G$5:$G$1640,A730,'Bank Lines'!$J$5:$J$1640,1)</f>
        <v>1</v>
      </c>
      <c r="I730">
        <f>COUNTIFS('Odoo Items'!$J$5:$J$4331,A730)</f>
        <v>1</v>
      </c>
      <c r="J730" s="9">
        <f>ROUND(SUMIFS('Bank Lines'!$E$5:$E$1640,'Bank Lines'!$G$5:$G$1640,A730,'Bank Lines'!$J$5:$J$1640,1),2)</f>
        <v>2146.74</v>
      </c>
      <c r="K730" s="9">
        <f>ROUND(SUMIFS('Odoo Items'!$G$5:$G$4331,'Odoo Items'!$J$5:$J$4331,A730),2)</f>
        <v>2146.74</v>
      </c>
      <c r="L730" s="9">
        <f>ROUND(J730-K730,2)</f>
        <v>0</v>
      </c>
      <c r="M730" s="9">
        <f>ROUND(SUMIFS('Bank Lines'!$E$5:$E$1640,'Bank Lines'!$G$5:$G$1640,A730,'Bank Lines'!$J$5:$J$1640,1,'Bank Lines'!$C$5:$C$1640,"&lt;="&amp;Cover!$C$13),2)</f>
        <v>0</v>
      </c>
      <c r="N730" s="9">
        <f>ROUND(SUMIFS('Odoo Items'!$G$5:$G$4331,'Odoo Items'!$J$5:$J$4331,A730,'Odoo Items'!$C$5:$C$4331,"&lt;="&amp;Cover!$C$13),2)</f>
        <v>0</v>
      </c>
      <c r="O730">
        <f>COUNTIFS('Bank Lines'!$G$5:$G$1640,A730,'Bank Lines'!$J$5:$J$1640,1,'Bank Lines'!$C$5:$C$1640,"&lt;="&amp;Cover!$C$13)</f>
        <v>0</v>
      </c>
      <c r="P730">
        <f>COUNTIFS('Odoo Items'!$J$5:$J$4331,A730,'Odoo Items'!$C$5:$C$4331,"&lt;="&amp;Cover!$C$13)</f>
        <v>0</v>
      </c>
      <c r="Q730">
        <f>IF(AND(O730=0,P730=0),"",IF(O730=0,"ODOO-ONLY",IF(P730=0,"BANK-ONLY","BOTH")))</f>
      </c>
      <c r="R730" s="9">
        <f>IF(Q730="BOTH",ROUND(M730-N730,2),0)</f>
        <v>0</v>
      </c>
      <c r="S730" s="9">
        <f>ROUND(SUMIFS('Bank Lines'!$E$5:$E$1640,'Bank Lines'!$G$5:$G$1640,A730,'Bank Lines'!$J$5:$J$1640,1,'Bank Lines'!$C$5:$C$1640,"&lt;="&amp;Cover!$C$14),2)</f>
        <v>2146.74</v>
      </c>
      <c r="T730" s="9">
        <f>ROUND(SUMIFS('Odoo Items'!$G$5:$G$4331,'Odoo Items'!$J$5:$J$4331,A730,'Odoo Items'!$C$5:$C$4331,"&lt;="&amp;Cover!$C$14),2)</f>
        <v>2146.74</v>
      </c>
      <c r="U730">
        <f>COUNTIFS('Bank Lines'!$G$5:$G$1640,A730,'Bank Lines'!$J$5:$J$1640,1,'Bank Lines'!$C$5:$C$1640,"&lt;="&amp;Cover!$C$14)</f>
        <v>1</v>
      </c>
      <c r="V730">
        <f>COUNTIFS('Odoo Items'!$J$5:$J$4331,A730,'Odoo Items'!$C$5:$C$4331,"&lt;="&amp;Cover!$C$14)</f>
        <v>1</v>
      </c>
      <c r="W730" t="str">
        <f>IF(AND(U730=0,V730=0),"",IF(U730=0,"ODOO-ONLY",IF(V730=0,"BANK-ONLY","BOTH")))</f>
        <v>BOTH</v>
      </c>
      <c r="X730" s="9">
        <f>IF(W730="BOTH",ROUND(S730-T730,2),0)</f>
        <v>0</v>
      </c>
      <c r="Y730" s="9">
        <f>ROUND(SUMIFS('Bank Lines'!$E$5:$E$1640,'Bank Lines'!$G$5:$G$1640,A730,'Bank Lines'!$J$5:$J$1640,1,'Bank Lines'!$C$5:$C$1640,"&lt;="&amp;Cover!$C$15),2)</f>
        <v>2146.74</v>
      </c>
      <c r="Z730" s="9">
        <f>ROUND(SUMIFS('Odoo Items'!$G$5:$G$4331,'Odoo Items'!$J$5:$J$4331,A730,'Odoo Items'!$C$5:$C$4331,"&lt;="&amp;Cover!$C$15),2)</f>
        <v>2146.74</v>
      </c>
      <c r="AA730">
        <f>COUNTIFS('Bank Lines'!$G$5:$G$1640,A730,'Bank Lines'!$J$5:$J$1640,1,'Bank Lines'!$C$5:$C$1640,"&lt;="&amp;Cover!$C$15)</f>
        <v>1</v>
      </c>
      <c r="AB730">
        <f>COUNTIFS('Odoo Items'!$J$5:$J$4331,A730,'Odoo Items'!$C$5:$C$4331,"&lt;="&amp;Cover!$C$15)</f>
        <v>1</v>
      </c>
      <c r="AC730" t="str">
        <f>IF(AND(AA730=0,AB730=0),"",IF(AA730=0,"ODOO-ONLY",IF(AB730=0,"BANK-ONLY","BOTH")))</f>
        <v>BOTH</v>
      </c>
      <c r="AD730" s="9">
        <f>IF(AC730="BOTH",ROUND(Y730-Z730,2),0)</f>
        <v>0</v>
      </c>
    </row>
    <row r="731">
      <c r="A731" t="inlineStr">
        <is>
          <t>G00727</t>
        </is>
      </c>
      <c r="B731" t="inlineStr">
        <is>
          <t>MER</t>
        </is>
      </c>
      <c r="C731" t="inlineStr">
        <is>
          <t>R08</t>
        </is>
      </c>
      <c r="D731" t="inlineStr">
        <is>
          <t>MATCH</t>
        </is>
      </c>
      <c r="E731" t="inlineStr"/>
      <c r="G731" t="inlineStr"/>
      <c r="H731">
        <f>COUNTIFS('Bank Lines'!$G$5:$G$1640,A731,'Bank Lines'!$J$5:$J$1640,1)</f>
        <v>1</v>
      </c>
      <c r="I731">
        <f>COUNTIFS('Odoo Items'!$J$5:$J$4331,A731)</f>
        <v>1</v>
      </c>
      <c r="J731" s="9">
        <f>ROUND(SUMIFS('Bank Lines'!$E$5:$E$1640,'Bank Lines'!$G$5:$G$1640,A731,'Bank Lines'!$J$5:$J$1640,1),2)</f>
        <v>2357.95</v>
      </c>
      <c r="K731" s="9">
        <f>ROUND(SUMIFS('Odoo Items'!$G$5:$G$4331,'Odoo Items'!$J$5:$J$4331,A731),2)</f>
        <v>2357.95</v>
      </c>
      <c r="L731" s="9">
        <f>ROUND(J731-K731,2)</f>
        <v>0</v>
      </c>
      <c r="M731" s="9">
        <f>ROUND(SUMIFS('Bank Lines'!$E$5:$E$1640,'Bank Lines'!$G$5:$G$1640,A731,'Bank Lines'!$J$5:$J$1640,1,'Bank Lines'!$C$5:$C$1640,"&lt;="&amp;Cover!$C$13),2)</f>
        <v>0</v>
      </c>
      <c r="N731" s="9">
        <f>ROUND(SUMIFS('Odoo Items'!$G$5:$G$4331,'Odoo Items'!$J$5:$J$4331,A731,'Odoo Items'!$C$5:$C$4331,"&lt;="&amp;Cover!$C$13),2)</f>
        <v>0</v>
      </c>
      <c r="O731">
        <f>COUNTIFS('Bank Lines'!$G$5:$G$1640,A731,'Bank Lines'!$J$5:$J$1640,1,'Bank Lines'!$C$5:$C$1640,"&lt;="&amp;Cover!$C$13)</f>
        <v>0</v>
      </c>
      <c r="P731">
        <f>COUNTIFS('Odoo Items'!$J$5:$J$4331,A731,'Odoo Items'!$C$5:$C$4331,"&lt;="&amp;Cover!$C$13)</f>
        <v>0</v>
      </c>
      <c r="Q731">
        <f>IF(AND(O731=0,P731=0),"",IF(O731=0,"ODOO-ONLY",IF(P731=0,"BANK-ONLY","BOTH")))</f>
      </c>
      <c r="R731" s="9">
        <f>IF(Q731="BOTH",ROUND(M731-N731,2),0)</f>
        <v>0</v>
      </c>
      <c r="S731" s="9">
        <f>ROUND(SUMIFS('Bank Lines'!$E$5:$E$1640,'Bank Lines'!$G$5:$G$1640,A731,'Bank Lines'!$J$5:$J$1640,1,'Bank Lines'!$C$5:$C$1640,"&lt;="&amp;Cover!$C$14),2)</f>
        <v>2357.95</v>
      </c>
      <c r="T731" s="9">
        <f>ROUND(SUMIFS('Odoo Items'!$G$5:$G$4331,'Odoo Items'!$J$5:$J$4331,A731,'Odoo Items'!$C$5:$C$4331,"&lt;="&amp;Cover!$C$14),2)</f>
        <v>2357.95</v>
      </c>
      <c r="U731">
        <f>COUNTIFS('Bank Lines'!$G$5:$G$1640,A731,'Bank Lines'!$J$5:$J$1640,1,'Bank Lines'!$C$5:$C$1640,"&lt;="&amp;Cover!$C$14)</f>
        <v>1</v>
      </c>
      <c r="V731">
        <f>COUNTIFS('Odoo Items'!$J$5:$J$4331,A731,'Odoo Items'!$C$5:$C$4331,"&lt;="&amp;Cover!$C$14)</f>
        <v>1</v>
      </c>
      <c r="W731" t="str">
        <f>IF(AND(U731=0,V731=0),"",IF(U731=0,"ODOO-ONLY",IF(V731=0,"BANK-ONLY","BOTH")))</f>
        <v>BOTH</v>
      </c>
      <c r="X731" s="9">
        <f>IF(W731="BOTH",ROUND(S731-T731,2),0)</f>
        <v>0</v>
      </c>
      <c r="Y731" s="9">
        <f>ROUND(SUMIFS('Bank Lines'!$E$5:$E$1640,'Bank Lines'!$G$5:$G$1640,A731,'Bank Lines'!$J$5:$J$1640,1,'Bank Lines'!$C$5:$C$1640,"&lt;="&amp;Cover!$C$15),2)</f>
        <v>2357.95</v>
      </c>
      <c r="Z731" s="9">
        <f>ROUND(SUMIFS('Odoo Items'!$G$5:$G$4331,'Odoo Items'!$J$5:$J$4331,A731,'Odoo Items'!$C$5:$C$4331,"&lt;="&amp;Cover!$C$15),2)</f>
        <v>2357.95</v>
      </c>
      <c r="AA731">
        <f>COUNTIFS('Bank Lines'!$G$5:$G$1640,A731,'Bank Lines'!$J$5:$J$1640,1,'Bank Lines'!$C$5:$C$1640,"&lt;="&amp;Cover!$C$15)</f>
        <v>1</v>
      </c>
      <c r="AB731">
        <f>COUNTIFS('Odoo Items'!$J$5:$J$4331,A731,'Odoo Items'!$C$5:$C$4331,"&lt;="&amp;Cover!$C$15)</f>
        <v>1</v>
      </c>
      <c r="AC731" t="str">
        <f>IF(AND(AA731=0,AB731=0),"",IF(AA731=0,"ODOO-ONLY",IF(AB731=0,"BANK-ONLY","BOTH")))</f>
        <v>BOTH</v>
      </c>
      <c r="AD731" s="9">
        <f>IF(AC731="BOTH",ROUND(Y731-Z731,2),0)</f>
        <v>0</v>
      </c>
    </row>
    <row r="732">
      <c r="A732" t="inlineStr">
        <is>
          <t>G00728</t>
        </is>
      </c>
      <c r="B732" t="inlineStr">
        <is>
          <t>MER</t>
        </is>
      </c>
      <c r="C732" t="inlineStr">
        <is>
          <t>R08</t>
        </is>
      </c>
      <c r="D732" t="inlineStr">
        <is>
          <t>MATCH</t>
        </is>
      </c>
      <c r="E732" t="inlineStr"/>
      <c r="G732" t="inlineStr"/>
      <c r="H732">
        <f>COUNTIFS('Bank Lines'!$G$5:$G$1640,A732,'Bank Lines'!$J$5:$J$1640,1)</f>
        <v>1</v>
      </c>
      <c r="I732">
        <f>COUNTIFS('Odoo Items'!$J$5:$J$4331,A732)</f>
        <v>1</v>
      </c>
      <c r="J732" s="9">
        <f>ROUND(SUMIFS('Bank Lines'!$E$5:$E$1640,'Bank Lines'!$G$5:$G$1640,A732,'Bank Lines'!$J$5:$J$1640,1),2)</f>
        <v>1644.55</v>
      </c>
      <c r="K732" s="9">
        <f>ROUND(SUMIFS('Odoo Items'!$G$5:$G$4331,'Odoo Items'!$J$5:$J$4331,A732),2)</f>
        <v>1644.55</v>
      </c>
      <c r="L732" s="9">
        <f>ROUND(J732-K732,2)</f>
        <v>0</v>
      </c>
      <c r="M732" s="9">
        <f>ROUND(SUMIFS('Bank Lines'!$E$5:$E$1640,'Bank Lines'!$G$5:$G$1640,A732,'Bank Lines'!$J$5:$J$1640,1,'Bank Lines'!$C$5:$C$1640,"&lt;="&amp;Cover!$C$13),2)</f>
        <v>0</v>
      </c>
      <c r="N732" s="9">
        <f>ROUND(SUMIFS('Odoo Items'!$G$5:$G$4331,'Odoo Items'!$J$5:$J$4331,A732,'Odoo Items'!$C$5:$C$4331,"&lt;="&amp;Cover!$C$13),2)</f>
        <v>0</v>
      </c>
      <c r="O732">
        <f>COUNTIFS('Bank Lines'!$G$5:$G$1640,A732,'Bank Lines'!$J$5:$J$1640,1,'Bank Lines'!$C$5:$C$1640,"&lt;="&amp;Cover!$C$13)</f>
        <v>0</v>
      </c>
      <c r="P732">
        <f>COUNTIFS('Odoo Items'!$J$5:$J$4331,A732,'Odoo Items'!$C$5:$C$4331,"&lt;="&amp;Cover!$C$13)</f>
        <v>0</v>
      </c>
      <c r="Q732">
        <f>IF(AND(O732=0,P732=0),"",IF(O732=0,"ODOO-ONLY",IF(P732=0,"BANK-ONLY","BOTH")))</f>
      </c>
      <c r="R732" s="9">
        <f>IF(Q732="BOTH",ROUND(M732-N732,2),0)</f>
        <v>0</v>
      </c>
      <c r="S732" s="9">
        <f>ROUND(SUMIFS('Bank Lines'!$E$5:$E$1640,'Bank Lines'!$G$5:$G$1640,A732,'Bank Lines'!$J$5:$J$1640,1,'Bank Lines'!$C$5:$C$1640,"&lt;="&amp;Cover!$C$14),2)</f>
        <v>1644.55</v>
      </c>
      <c r="T732" s="9">
        <f>ROUND(SUMIFS('Odoo Items'!$G$5:$G$4331,'Odoo Items'!$J$5:$J$4331,A732,'Odoo Items'!$C$5:$C$4331,"&lt;="&amp;Cover!$C$14),2)</f>
        <v>1644.55</v>
      </c>
      <c r="U732">
        <f>COUNTIFS('Bank Lines'!$G$5:$G$1640,A732,'Bank Lines'!$J$5:$J$1640,1,'Bank Lines'!$C$5:$C$1640,"&lt;="&amp;Cover!$C$14)</f>
        <v>1</v>
      </c>
      <c r="V732">
        <f>COUNTIFS('Odoo Items'!$J$5:$J$4331,A732,'Odoo Items'!$C$5:$C$4331,"&lt;="&amp;Cover!$C$14)</f>
        <v>1</v>
      </c>
      <c r="W732" t="str">
        <f>IF(AND(U732=0,V732=0),"",IF(U732=0,"ODOO-ONLY",IF(V732=0,"BANK-ONLY","BOTH")))</f>
        <v>BOTH</v>
      </c>
      <c r="X732" s="9">
        <f>IF(W732="BOTH",ROUND(S732-T732,2),0)</f>
        <v>0</v>
      </c>
      <c r="Y732" s="9">
        <f>ROUND(SUMIFS('Bank Lines'!$E$5:$E$1640,'Bank Lines'!$G$5:$G$1640,A732,'Bank Lines'!$J$5:$J$1640,1,'Bank Lines'!$C$5:$C$1640,"&lt;="&amp;Cover!$C$15),2)</f>
        <v>1644.55</v>
      </c>
      <c r="Z732" s="9">
        <f>ROUND(SUMIFS('Odoo Items'!$G$5:$G$4331,'Odoo Items'!$J$5:$J$4331,A732,'Odoo Items'!$C$5:$C$4331,"&lt;="&amp;Cover!$C$15),2)</f>
        <v>1644.55</v>
      </c>
      <c r="AA732">
        <f>COUNTIFS('Bank Lines'!$G$5:$G$1640,A732,'Bank Lines'!$J$5:$J$1640,1,'Bank Lines'!$C$5:$C$1640,"&lt;="&amp;Cover!$C$15)</f>
        <v>1</v>
      </c>
      <c r="AB732">
        <f>COUNTIFS('Odoo Items'!$J$5:$J$4331,A732,'Odoo Items'!$C$5:$C$4331,"&lt;="&amp;Cover!$C$15)</f>
        <v>1</v>
      </c>
      <c r="AC732" t="str">
        <f>IF(AND(AA732=0,AB732=0),"",IF(AA732=0,"ODOO-ONLY",IF(AB732=0,"BANK-ONLY","BOTH")))</f>
        <v>BOTH</v>
      </c>
      <c r="AD732" s="9">
        <f>IF(AC732="BOTH",ROUND(Y732-Z732,2),0)</f>
        <v>0</v>
      </c>
    </row>
    <row r="733">
      <c r="A733" t="inlineStr">
        <is>
          <t>G00729</t>
        </is>
      </c>
      <c r="B733" t="inlineStr">
        <is>
          <t>MER</t>
        </is>
      </c>
      <c r="C733" t="inlineStr">
        <is>
          <t>R08</t>
        </is>
      </c>
      <c r="D733" t="inlineStr">
        <is>
          <t>MATCH</t>
        </is>
      </c>
      <c r="E733" t="inlineStr"/>
      <c r="G733" t="inlineStr"/>
      <c r="H733">
        <f>COUNTIFS('Bank Lines'!$G$5:$G$1640,A733,'Bank Lines'!$J$5:$J$1640,1)</f>
        <v>1</v>
      </c>
      <c r="I733">
        <f>COUNTIFS('Odoo Items'!$J$5:$J$4331,A733)</f>
        <v>1</v>
      </c>
      <c r="J733" s="9">
        <f>ROUND(SUMIFS('Bank Lines'!$E$5:$E$1640,'Bank Lines'!$G$5:$G$1640,A733,'Bank Lines'!$J$5:$J$1640,1),2)</f>
        <v>2123.19</v>
      </c>
      <c r="K733" s="9">
        <f>ROUND(SUMIFS('Odoo Items'!$G$5:$G$4331,'Odoo Items'!$J$5:$J$4331,A733),2)</f>
        <v>2123.19</v>
      </c>
      <c r="L733" s="9">
        <f>ROUND(J733-K733,2)</f>
        <v>0</v>
      </c>
      <c r="M733" s="9">
        <f>ROUND(SUMIFS('Bank Lines'!$E$5:$E$1640,'Bank Lines'!$G$5:$G$1640,A733,'Bank Lines'!$J$5:$J$1640,1,'Bank Lines'!$C$5:$C$1640,"&lt;="&amp;Cover!$C$13),2)</f>
        <v>0</v>
      </c>
      <c r="N733" s="9">
        <f>ROUND(SUMIFS('Odoo Items'!$G$5:$G$4331,'Odoo Items'!$J$5:$J$4331,A733,'Odoo Items'!$C$5:$C$4331,"&lt;="&amp;Cover!$C$13),2)</f>
        <v>0</v>
      </c>
      <c r="O733">
        <f>COUNTIFS('Bank Lines'!$G$5:$G$1640,A733,'Bank Lines'!$J$5:$J$1640,1,'Bank Lines'!$C$5:$C$1640,"&lt;="&amp;Cover!$C$13)</f>
        <v>0</v>
      </c>
      <c r="P733">
        <f>COUNTIFS('Odoo Items'!$J$5:$J$4331,A733,'Odoo Items'!$C$5:$C$4331,"&lt;="&amp;Cover!$C$13)</f>
        <v>0</v>
      </c>
      <c r="Q733">
        <f>IF(AND(O733=0,P733=0),"",IF(O733=0,"ODOO-ONLY",IF(P733=0,"BANK-ONLY","BOTH")))</f>
      </c>
      <c r="R733" s="9">
        <f>IF(Q733="BOTH",ROUND(M733-N733,2),0)</f>
        <v>0</v>
      </c>
      <c r="S733" s="9">
        <f>ROUND(SUMIFS('Bank Lines'!$E$5:$E$1640,'Bank Lines'!$G$5:$G$1640,A733,'Bank Lines'!$J$5:$J$1640,1,'Bank Lines'!$C$5:$C$1640,"&lt;="&amp;Cover!$C$14),2)</f>
        <v>2123.19</v>
      </c>
      <c r="T733" s="9">
        <f>ROUND(SUMIFS('Odoo Items'!$G$5:$G$4331,'Odoo Items'!$J$5:$J$4331,A733,'Odoo Items'!$C$5:$C$4331,"&lt;="&amp;Cover!$C$14),2)</f>
        <v>2123.19</v>
      </c>
      <c r="U733">
        <f>COUNTIFS('Bank Lines'!$G$5:$G$1640,A733,'Bank Lines'!$J$5:$J$1640,1,'Bank Lines'!$C$5:$C$1640,"&lt;="&amp;Cover!$C$14)</f>
        <v>1</v>
      </c>
      <c r="V733">
        <f>COUNTIFS('Odoo Items'!$J$5:$J$4331,A733,'Odoo Items'!$C$5:$C$4331,"&lt;="&amp;Cover!$C$14)</f>
        <v>1</v>
      </c>
      <c r="W733" t="str">
        <f>IF(AND(U733=0,V733=0),"",IF(U733=0,"ODOO-ONLY",IF(V733=0,"BANK-ONLY","BOTH")))</f>
        <v>BOTH</v>
      </c>
      <c r="X733" s="9">
        <f>IF(W733="BOTH",ROUND(S733-T733,2),0)</f>
        <v>0</v>
      </c>
      <c r="Y733" s="9">
        <f>ROUND(SUMIFS('Bank Lines'!$E$5:$E$1640,'Bank Lines'!$G$5:$G$1640,A733,'Bank Lines'!$J$5:$J$1640,1,'Bank Lines'!$C$5:$C$1640,"&lt;="&amp;Cover!$C$15),2)</f>
        <v>2123.19</v>
      </c>
      <c r="Z733" s="9">
        <f>ROUND(SUMIFS('Odoo Items'!$G$5:$G$4331,'Odoo Items'!$J$5:$J$4331,A733,'Odoo Items'!$C$5:$C$4331,"&lt;="&amp;Cover!$C$15),2)</f>
        <v>2123.19</v>
      </c>
      <c r="AA733">
        <f>COUNTIFS('Bank Lines'!$G$5:$G$1640,A733,'Bank Lines'!$J$5:$J$1640,1,'Bank Lines'!$C$5:$C$1640,"&lt;="&amp;Cover!$C$15)</f>
        <v>1</v>
      </c>
      <c r="AB733">
        <f>COUNTIFS('Odoo Items'!$J$5:$J$4331,A733,'Odoo Items'!$C$5:$C$4331,"&lt;="&amp;Cover!$C$15)</f>
        <v>1</v>
      </c>
      <c r="AC733" t="str">
        <f>IF(AND(AA733=0,AB733=0),"",IF(AA733=0,"ODOO-ONLY",IF(AB733=0,"BANK-ONLY","BOTH")))</f>
        <v>BOTH</v>
      </c>
      <c r="AD733" s="9">
        <f>IF(AC733="BOTH",ROUND(Y733-Z733,2),0)</f>
        <v>0</v>
      </c>
    </row>
    <row r="734">
      <c r="A734" t="inlineStr">
        <is>
          <t>G00730</t>
        </is>
      </c>
      <c r="B734" t="inlineStr">
        <is>
          <t>MER</t>
        </is>
      </c>
      <c r="C734" t="inlineStr">
        <is>
          <t>R08</t>
        </is>
      </c>
      <c r="D734" t="inlineStr">
        <is>
          <t>MATCH</t>
        </is>
      </c>
      <c r="E734" t="inlineStr"/>
      <c r="G734" t="inlineStr"/>
      <c r="H734">
        <f>COUNTIFS('Bank Lines'!$G$5:$G$1640,A734,'Bank Lines'!$J$5:$J$1640,1)</f>
        <v>1</v>
      </c>
      <c r="I734">
        <f>COUNTIFS('Odoo Items'!$J$5:$J$4331,A734)</f>
        <v>1</v>
      </c>
      <c r="J734" s="9">
        <f>ROUND(SUMIFS('Bank Lines'!$E$5:$E$1640,'Bank Lines'!$G$5:$G$1640,A734,'Bank Lines'!$J$5:$J$1640,1),2)</f>
        <v>1992.08</v>
      </c>
      <c r="K734" s="9">
        <f>ROUND(SUMIFS('Odoo Items'!$G$5:$G$4331,'Odoo Items'!$J$5:$J$4331,A734),2)</f>
        <v>1992.08</v>
      </c>
      <c r="L734" s="9">
        <f>ROUND(J734-K734,2)</f>
        <v>0</v>
      </c>
      <c r="M734" s="9">
        <f>ROUND(SUMIFS('Bank Lines'!$E$5:$E$1640,'Bank Lines'!$G$5:$G$1640,A734,'Bank Lines'!$J$5:$J$1640,1,'Bank Lines'!$C$5:$C$1640,"&lt;="&amp;Cover!$C$13),2)</f>
        <v>0</v>
      </c>
      <c r="N734" s="9">
        <f>ROUND(SUMIFS('Odoo Items'!$G$5:$G$4331,'Odoo Items'!$J$5:$J$4331,A734,'Odoo Items'!$C$5:$C$4331,"&lt;="&amp;Cover!$C$13),2)</f>
        <v>0</v>
      </c>
      <c r="O734">
        <f>COUNTIFS('Bank Lines'!$G$5:$G$1640,A734,'Bank Lines'!$J$5:$J$1640,1,'Bank Lines'!$C$5:$C$1640,"&lt;="&amp;Cover!$C$13)</f>
        <v>0</v>
      </c>
      <c r="P734">
        <f>COUNTIFS('Odoo Items'!$J$5:$J$4331,A734,'Odoo Items'!$C$5:$C$4331,"&lt;="&amp;Cover!$C$13)</f>
        <v>0</v>
      </c>
      <c r="Q734">
        <f>IF(AND(O734=0,P734=0),"",IF(O734=0,"ODOO-ONLY",IF(P734=0,"BANK-ONLY","BOTH")))</f>
      </c>
      <c r="R734" s="9">
        <f>IF(Q734="BOTH",ROUND(M734-N734,2),0)</f>
        <v>0</v>
      </c>
      <c r="S734" s="9">
        <f>ROUND(SUMIFS('Bank Lines'!$E$5:$E$1640,'Bank Lines'!$G$5:$G$1640,A734,'Bank Lines'!$J$5:$J$1640,1,'Bank Lines'!$C$5:$C$1640,"&lt;="&amp;Cover!$C$14),2)</f>
        <v>1992.08</v>
      </c>
      <c r="T734" s="9">
        <f>ROUND(SUMIFS('Odoo Items'!$G$5:$G$4331,'Odoo Items'!$J$5:$J$4331,A734,'Odoo Items'!$C$5:$C$4331,"&lt;="&amp;Cover!$C$14),2)</f>
        <v>1992.08</v>
      </c>
      <c r="U734">
        <f>COUNTIFS('Bank Lines'!$G$5:$G$1640,A734,'Bank Lines'!$J$5:$J$1640,1,'Bank Lines'!$C$5:$C$1640,"&lt;="&amp;Cover!$C$14)</f>
        <v>1</v>
      </c>
      <c r="V734">
        <f>COUNTIFS('Odoo Items'!$J$5:$J$4331,A734,'Odoo Items'!$C$5:$C$4331,"&lt;="&amp;Cover!$C$14)</f>
        <v>1</v>
      </c>
      <c r="W734" t="str">
        <f>IF(AND(U734=0,V734=0),"",IF(U734=0,"ODOO-ONLY",IF(V734=0,"BANK-ONLY","BOTH")))</f>
        <v>BOTH</v>
      </c>
      <c r="X734" s="9">
        <f>IF(W734="BOTH",ROUND(S734-T734,2),0)</f>
        <v>0</v>
      </c>
      <c r="Y734" s="9">
        <f>ROUND(SUMIFS('Bank Lines'!$E$5:$E$1640,'Bank Lines'!$G$5:$G$1640,A734,'Bank Lines'!$J$5:$J$1640,1,'Bank Lines'!$C$5:$C$1640,"&lt;="&amp;Cover!$C$15),2)</f>
        <v>1992.08</v>
      </c>
      <c r="Z734" s="9">
        <f>ROUND(SUMIFS('Odoo Items'!$G$5:$G$4331,'Odoo Items'!$J$5:$J$4331,A734,'Odoo Items'!$C$5:$C$4331,"&lt;="&amp;Cover!$C$15),2)</f>
        <v>1992.08</v>
      </c>
      <c r="AA734">
        <f>COUNTIFS('Bank Lines'!$G$5:$G$1640,A734,'Bank Lines'!$J$5:$J$1640,1,'Bank Lines'!$C$5:$C$1640,"&lt;="&amp;Cover!$C$15)</f>
        <v>1</v>
      </c>
      <c r="AB734">
        <f>COUNTIFS('Odoo Items'!$J$5:$J$4331,A734,'Odoo Items'!$C$5:$C$4331,"&lt;="&amp;Cover!$C$15)</f>
        <v>1</v>
      </c>
      <c r="AC734" t="str">
        <f>IF(AND(AA734=0,AB734=0),"",IF(AA734=0,"ODOO-ONLY",IF(AB734=0,"BANK-ONLY","BOTH")))</f>
        <v>BOTH</v>
      </c>
      <c r="AD734" s="9">
        <f>IF(AC734="BOTH",ROUND(Y734-Z734,2),0)</f>
        <v>0</v>
      </c>
    </row>
    <row r="735">
      <c r="A735" t="inlineStr">
        <is>
          <t>G00731</t>
        </is>
      </c>
      <c r="B735" t="inlineStr">
        <is>
          <t>MER</t>
        </is>
      </c>
      <c r="C735" t="inlineStr">
        <is>
          <t>R08</t>
        </is>
      </c>
      <c r="D735" t="inlineStr">
        <is>
          <t>MATCH</t>
        </is>
      </c>
      <c r="E735" t="inlineStr"/>
      <c r="G735" t="inlineStr"/>
      <c r="H735">
        <f>COUNTIFS('Bank Lines'!$G$5:$G$1640,A735,'Bank Lines'!$J$5:$J$1640,1)</f>
        <v>1</v>
      </c>
      <c r="I735">
        <f>COUNTIFS('Odoo Items'!$J$5:$J$4331,A735)</f>
        <v>1</v>
      </c>
      <c r="J735" s="9">
        <f>ROUND(SUMIFS('Bank Lines'!$E$5:$E$1640,'Bank Lines'!$G$5:$G$1640,A735,'Bank Lines'!$J$5:$J$1640,1),2)</f>
        <v>2475.5</v>
      </c>
      <c r="K735" s="9">
        <f>ROUND(SUMIFS('Odoo Items'!$G$5:$G$4331,'Odoo Items'!$J$5:$J$4331,A735),2)</f>
        <v>2475.5</v>
      </c>
      <c r="L735" s="9">
        <f>ROUND(J735-K735,2)</f>
        <v>0</v>
      </c>
      <c r="M735" s="9">
        <f>ROUND(SUMIFS('Bank Lines'!$E$5:$E$1640,'Bank Lines'!$G$5:$G$1640,A735,'Bank Lines'!$J$5:$J$1640,1,'Bank Lines'!$C$5:$C$1640,"&lt;="&amp;Cover!$C$13),2)</f>
        <v>0</v>
      </c>
      <c r="N735" s="9">
        <f>ROUND(SUMIFS('Odoo Items'!$G$5:$G$4331,'Odoo Items'!$J$5:$J$4331,A735,'Odoo Items'!$C$5:$C$4331,"&lt;="&amp;Cover!$C$13),2)</f>
        <v>0</v>
      </c>
      <c r="O735">
        <f>COUNTIFS('Bank Lines'!$G$5:$G$1640,A735,'Bank Lines'!$J$5:$J$1640,1,'Bank Lines'!$C$5:$C$1640,"&lt;="&amp;Cover!$C$13)</f>
        <v>0</v>
      </c>
      <c r="P735">
        <f>COUNTIFS('Odoo Items'!$J$5:$J$4331,A735,'Odoo Items'!$C$5:$C$4331,"&lt;="&amp;Cover!$C$13)</f>
        <v>0</v>
      </c>
      <c r="Q735">
        <f>IF(AND(O735=0,P735=0),"",IF(O735=0,"ODOO-ONLY",IF(P735=0,"BANK-ONLY","BOTH")))</f>
      </c>
      <c r="R735" s="9">
        <f>IF(Q735="BOTH",ROUND(M735-N735,2),0)</f>
        <v>0</v>
      </c>
      <c r="S735" s="9">
        <f>ROUND(SUMIFS('Bank Lines'!$E$5:$E$1640,'Bank Lines'!$G$5:$G$1640,A735,'Bank Lines'!$J$5:$J$1640,1,'Bank Lines'!$C$5:$C$1640,"&lt;="&amp;Cover!$C$14),2)</f>
        <v>2475.5</v>
      </c>
      <c r="T735" s="9">
        <f>ROUND(SUMIFS('Odoo Items'!$G$5:$G$4331,'Odoo Items'!$J$5:$J$4331,A735,'Odoo Items'!$C$5:$C$4331,"&lt;="&amp;Cover!$C$14),2)</f>
        <v>2475.5</v>
      </c>
      <c r="U735">
        <f>COUNTIFS('Bank Lines'!$G$5:$G$1640,A735,'Bank Lines'!$J$5:$J$1640,1,'Bank Lines'!$C$5:$C$1640,"&lt;="&amp;Cover!$C$14)</f>
        <v>1</v>
      </c>
      <c r="V735">
        <f>COUNTIFS('Odoo Items'!$J$5:$J$4331,A735,'Odoo Items'!$C$5:$C$4331,"&lt;="&amp;Cover!$C$14)</f>
        <v>1</v>
      </c>
      <c r="W735" t="str">
        <f>IF(AND(U735=0,V735=0),"",IF(U735=0,"ODOO-ONLY",IF(V735=0,"BANK-ONLY","BOTH")))</f>
        <v>BOTH</v>
      </c>
      <c r="X735" s="9">
        <f>IF(W735="BOTH",ROUND(S735-T735,2),0)</f>
        <v>0</v>
      </c>
      <c r="Y735" s="9">
        <f>ROUND(SUMIFS('Bank Lines'!$E$5:$E$1640,'Bank Lines'!$G$5:$G$1640,A735,'Bank Lines'!$J$5:$J$1640,1,'Bank Lines'!$C$5:$C$1640,"&lt;="&amp;Cover!$C$15),2)</f>
        <v>2475.5</v>
      </c>
      <c r="Z735" s="9">
        <f>ROUND(SUMIFS('Odoo Items'!$G$5:$G$4331,'Odoo Items'!$J$5:$J$4331,A735,'Odoo Items'!$C$5:$C$4331,"&lt;="&amp;Cover!$C$15),2)</f>
        <v>2475.5</v>
      </c>
      <c r="AA735">
        <f>COUNTIFS('Bank Lines'!$G$5:$G$1640,A735,'Bank Lines'!$J$5:$J$1640,1,'Bank Lines'!$C$5:$C$1640,"&lt;="&amp;Cover!$C$15)</f>
        <v>1</v>
      </c>
      <c r="AB735">
        <f>COUNTIFS('Odoo Items'!$J$5:$J$4331,A735,'Odoo Items'!$C$5:$C$4331,"&lt;="&amp;Cover!$C$15)</f>
        <v>1</v>
      </c>
      <c r="AC735" t="str">
        <f>IF(AND(AA735=0,AB735=0),"",IF(AA735=0,"ODOO-ONLY",IF(AB735=0,"BANK-ONLY","BOTH")))</f>
        <v>BOTH</v>
      </c>
      <c r="AD735" s="9">
        <f>IF(AC735="BOTH",ROUND(Y735-Z735,2),0)</f>
        <v>0</v>
      </c>
    </row>
    <row r="736">
      <c r="A736" t="inlineStr">
        <is>
          <t>G00732</t>
        </is>
      </c>
      <c r="B736" t="inlineStr">
        <is>
          <t>MER</t>
        </is>
      </c>
      <c r="C736" t="inlineStr">
        <is>
          <t>R08</t>
        </is>
      </c>
      <c r="D736" t="inlineStr">
        <is>
          <t>MATCH</t>
        </is>
      </c>
      <c r="E736" t="inlineStr"/>
      <c r="G736" t="inlineStr"/>
      <c r="H736">
        <f>COUNTIFS('Bank Lines'!$G$5:$G$1640,A736,'Bank Lines'!$J$5:$J$1640,1)</f>
        <v>1</v>
      </c>
      <c r="I736">
        <f>COUNTIFS('Odoo Items'!$J$5:$J$4331,A736)</f>
        <v>1</v>
      </c>
      <c r="J736" s="9">
        <f>ROUND(SUMIFS('Bank Lines'!$E$5:$E$1640,'Bank Lines'!$G$5:$G$1640,A736,'Bank Lines'!$J$5:$J$1640,1),2)</f>
        <v>2151.12</v>
      </c>
      <c r="K736" s="9">
        <f>ROUND(SUMIFS('Odoo Items'!$G$5:$G$4331,'Odoo Items'!$J$5:$J$4331,A736),2)</f>
        <v>2151.12</v>
      </c>
      <c r="L736" s="9">
        <f>ROUND(J736-K736,2)</f>
        <v>0</v>
      </c>
      <c r="M736" s="9">
        <f>ROUND(SUMIFS('Bank Lines'!$E$5:$E$1640,'Bank Lines'!$G$5:$G$1640,A736,'Bank Lines'!$J$5:$J$1640,1,'Bank Lines'!$C$5:$C$1640,"&lt;="&amp;Cover!$C$13),2)</f>
        <v>0</v>
      </c>
      <c r="N736" s="9">
        <f>ROUND(SUMIFS('Odoo Items'!$G$5:$G$4331,'Odoo Items'!$J$5:$J$4331,A736,'Odoo Items'!$C$5:$C$4331,"&lt;="&amp;Cover!$C$13),2)</f>
        <v>0</v>
      </c>
      <c r="O736">
        <f>COUNTIFS('Bank Lines'!$G$5:$G$1640,A736,'Bank Lines'!$J$5:$J$1640,1,'Bank Lines'!$C$5:$C$1640,"&lt;="&amp;Cover!$C$13)</f>
        <v>0</v>
      </c>
      <c r="P736">
        <f>COUNTIFS('Odoo Items'!$J$5:$J$4331,A736,'Odoo Items'!$C$5:$C$4331,"&lt;="&amp;Cover!$C$13)</f>
        <v>0</v>
      </c>
      <c r="Q736">
        <f>IF(AND(O736=0,P736=0),"",IF(O736=0,"ODOO-ONLY",IF(P736=0,"BANK-ONLY","BOTH")))</f>
      </c>
      <c r="R736" s="9">
        <f>IF(Q736="BOTH",ROUND(M736-N736,2),0)</f>
        <v>0</v>
      </c>
      <c r="S736" s="9">
        <f>ROUND(SUMIFS('Bank Lines'!$E$5:$E$1640,'Bank Lines'!$G$5:$G$1640,A736,'Bank Lines'!$J$5:$J$1640,1,'Bank Lines'!$C$5:$C$1640,"&lt;="&amp;Cover!$C$14),2)</f>
        <v>2151.12</v>
      </c>
      <c r="T736" s="9">
        <f>ROUND(SUMIFS('Odoo Items'!$G$5:$G$4331,'Odoo Items'!$J$5:$J$4331,A736,'Odoo Items'!$C$5:$C$4331,"&lt;="&amp;Cover!$C$14),2)</f>
        <v>2151.12</v>
      </c>
      <c r="U736">
        <f>COUNTIFS('Bank Lines'!$G$5:$G$1640,A736,'Bank Lines'!$J$5:$J$1640,1,'Bank Lines'!$C$5:$C$1640,"&lt;="&amp;Cover!$C$14)</f>
        <v>1</v>
      </c>
      <c r="V736">
        <f>COUNTIFS('Odoo Items'!$J$5:$J$4331,A736,'Odoo Items'!$C$5:$C$4331,"&lt;="&amp;Cover!$C$14)</f>
        <v>1</v>
      </c>
      <c r="W736" t="str">
        <f>IF(AND(U736=0,V736=0),"",IF(U736=0,"ODOO-ONLY",IF(V736=0,"BANK-ONLY","BOTH")))</f>
        <v>BOTH</v>
      </c>
      <c r="X736" s="9">
        <f>IF(W736="BOTH",ROUND(S736-T736,2),0)</f>
        <v>0</v>
      </c>
      <c r="Y736" s="9">
        <f>ROUND(SUMIFS('Bank Lines'!$E$5:$E$1640,'Bank Lines'!$G$5:$G$1640,A736,'Bank Lines'!$J$5:$J$1640,1,'Bank Lines'!$C$5:$C$1640,"&lt;="&amp;Cover!$C$15),2)</f>
        <v>2151.12</v>
      </c>
      <c r="Z736" s="9">
        <f>ROUND(SUMIFS('Odoo Items'!$G$5:$G$4331,'Odoo Items'!$J$5:$J$4331,A736,'Odoo Items'!$C$5:$C$4331,"&lt;="&amp;Cover!$C$15),2)</f>
        <v>2151.12</v>
      </c>
      <c r="AA736">
        <f>COUNTIFS('Bank Lines'!$G$5:$G$1640,A736,'Bank Lines'!$J$5:$J$1640,1,'Bank Lines'!$C$5:$C$1640,"&lt;="&amp;Cover!$C$15)</f>
        <v>1</v>
      </c>
      <c r="AB736">
        <f>COUNTIFS('Odoo Items'!$J$5:$J$4331,A736,'Odoo Items'!$C$5:$C$4331,"&lt;="&amp;Cover!$C$15)</f>
        <v>1</v>
      </c>
      <c r="AC736" t="str">
        <f>IF(AND(AA736=0,AB736=0),"",IF(AA736=0,"ODOO-ONLY",IF(AB736=0,"BANK-ONLY","BOTH")))</f>
        <v>BOTH</v>
      </c>
      <c r="AD736" s="9">
        <f>IF(AC736="BOTH",ROUND(Y736-Z736,2),0)</f>
        <v>0</v>
      </c>
    </row>
    <row r="737">
      <c r="A737" t="inlineStr">
        <is>
          <t>G00733</t>
        </is>
      </c>
      <c r="B737" t="inlineStr">
        <is>
          <t>MER</t>
        </is>
      </c>
      <c r="C737" t="inlineStr">
        <is>
          <t>R08</t>
        </is>
      </c>
      <c r="D737" t="inlineStr">
        <is>
          <t>MATCH</t>
        </is>
      </c>
      <c r="E737" t="inlineStr"/>
      <c r="G737" t="inlineStr"/>
      <c r="H737">
        <f>COUNTIFS('Bank Lines'!$G$5:$G$1640,A737,'Bank Lines'!$J$5:$J$1640,1)</f>
        <v>1</v>
      </c>
      <c r="I737">
        <f>COUNTIFS('Odoo Items'!$J$5:$J$4331,A737)</f>
        <v>1</v>
      </c>
      <c r="J737" s="9">
        <f>ROUND(SUMIFS('Bank Lines'!$E$5:$E$1640,'Bank Lines'!$G$5:$G$1640,A737,'Bank Lines'!$J$5:$J$1640,1),2)</f>
        <v>1933.6</v>
      </c>
      <c r="K737" s="9">
        <f>ROUND(SUMIFS('Odoo Items'!$G$5:$G$4331,'Odoo Items'!$J$5:$J$4331,A737),2)</f>
        <v>1933.6</v>
      </c>
      <c r="L737" s="9">
        <f>ROUND(J737-K737,2)</f>
        <v>0</v>
      </c>
      <c r="M737" s="9">
        <f>ROUND(SUMIFS('Bank Lines'!$E$5:$E$1640,'Bank Lines'!$G$5:$G$1640,A737,'Bank Lines'!$J$5:$J$1640,1,'Bank Lines'!$C$5:$C$1640,"&lt;="&amp;Cover!$C$13),2)</f>
        <v>0</v>
      </c>
      <c r="N737" s="9">
        <f>ROUND(SUMIFS('Odoo Items'!$G$5:$G$4331,'Odoo Items'!$J$5:$J$4331,A737,'Odoo Items'!$C$5:$C$4331,"&lt;="&amp;Cover!$C$13),2)</f>
        <v>0</v>
      </c>
      <c r="O737">
        <f>COUNTIFS('Bank Lines'!$G$5:$G$1640,A737,'Bank Lines'!$J$5:$J$1640,1,'Bank Lines'!$C$5:$C$1640,"&lt;="&amp;Cover!$C$13)</f>
        <v>0</v>
      </c>
      <c r="P737">
        <f>COUNTIFS('Odoo Items'!$J$5:$J$4331,A737,'Odoo Items'!$C$5:$C$4331,"&lt;="&amp;Cover!$C$13)</f>
        <v>0</v>
      </c>
      <c r="Q737">
        <f>IF(AND(O737=0,P737=0),"",IF(O737=0,"ODOO-ONLY",IF(P737=0,"BANK-ONLY","BOTH")))</f>
      </c>
      <c r="R737" s="9">
        <f>IF(Q737="BOTH",ROUND(M737-N737,2),0)</f>
        <v>0</v>
      </c>
      <c r="S737" s="9">
        <f>ROUND(SUMIFS('Bank Lines'!$E$5:$E$1640,'Bank Lines'!$G$5:$G$1640,A737,'Bank Lines'!$J$5:$J$1640,1,'Bank Lines'!$C$5:$C$1640,"&lt;="&amp;Cover!$C$14),2)</f>
        <v>1933.6</v>
      </c>
      <c r="T737" s="9">
        <f>ROUND(SUMIFS('Odoo Items'!$G$5:$G$4331,'Odoo Items'!$J$5:$J$4331,A737,'Odoo Items'!$C$5:$C$4331,"&lt;="&amp;Cover!$C$14),2)</f>
        <v>1933.6</v>
      </c>
      <c r="U737">
        <f>COUNTIFS('Bank Lines'!$G$5:$G$1640,A737,'Bank Lines'!$J$5:$J$1640,1,'Bank Lines'!$C$5:$C$1640,"&lt;="&amp;Cover!$C$14)</f>
        <v>1</v>
      </c>
      <c r="V737">
        <f>COUNTIFS('Odoo Items'!$J$5:$J$4331,A737,'Odoo Items'!$C$5:$C$4331,"&lt;="&amp;Cover!$C$14)</f>
        <v>1</v>
      </c>
      <c r="W737" t="str">
        <f>IF(AND(U737=0,V737=0),"",IF(U737=0,"ODOO-ONLY",IF(V737=0,"BANK-ONLY","BOTH")))</f>
        <v>BOTH</v>
      </c>
      <c r="X737" s="9">
        <f>IF(W737="BOTH",ROUND(S737-T737,2),0)</f>
        <v>0</v>
      </c>
      <c r="Y737" s="9">
        <f>ROUND(SUMIFS('Bank Lines'!$E$5:$E$1640,'Bank Lines'!$G$5:$G$1640,A737,'Bank Lines'!$J$5:$J$1640,1,'Bank Lines'!$C$5:$C$1640,"&lt;="&amp;Cover!$C$15),2)</f>
        <v>1933.6</v>
      </c>
      <c r="Z737" s="9">
        <f>ROUND(SUMIFS('Odoo Items'!$G$5:$G$4331,'Odoo Items'!$J$5:$J$4331,A737,'Odoo Items'!$C$5:$C$4331,"&lt;="&amp;Cover!$C$15),2)</f>
        <v>1933.6</v>
      </c>
      <c r="AA737">
        <f>COUNTIFS('Bank Lines'!$G$5:$G$1640,A737,'Bank Lines'!$J$5:$J$1640,1,'Bank Lines'!$C$5:$C$1640,"&lt;="&amp;Cover!$C$15)</f>
        <v>1</v>
      </c>
      <c r="AB737">
        <f>COUNTIFS('Odoo Items'!$J$5:$J$4331,A737,'Odoo Items'!$C$5:$C$4331,"&lt;="&amp;Cover!$C$15)</f>
        <v>1</v>
      </c>
      <c r="AC737" t="str">
        <f>IF(AND(AA737=0,AB737=0),"",IF(AA737=0,"ODOO-ONLY",IF(AB737=0,"BANK-ONLY","BOTH")))</f>
        <v>BOTH</v>
      </c>
      <c r="AD737" s="9">
        <f>IF(AC737="BOTH",ROUND(Y737-Z737,2),0)</f>
        <v>0</v>
      </c>
    </row>
    <row r="738">
      <c r="A738" t="inlineStr">
        <is>
          <t>G00734</t>
        </is>
      </c>
      <c r="B738" t="inlineStr">
        <is>
          <t>MER</t>
        </is>
      </c>
      <c r="C738" t="inlineStr">
        <is>
          <t>R08</t>
        </is>
      </c>
      <c r="D738" t="inlineStr">
        <is>
          <t>MATCH</t>
        </is>
      </c>
      <c r="E738" t="inlineStr"/>
      <c r="G738" t="inlineStr"/>
      <c r="H738">
        <f>COUNTIFS('Bank Lines'!$G$5:$G$1640,A738,'Bank Lines'!$J$5:$J$1640,1)</f>
        <v>1</v>
      </c>
      <c r="I738">
        <f>COUNTIFS('Odoo Items'!$J$5:$J$4331,A738)</f>
        <v>1</v>
      </c>
      <c r="J738" s="9">
        <f>ROUND(SUMIFS('Bank Lines'!$E$5:$E$1640,'Bank Lines'!$G$5:$G$1640,A738,'Bank Lines'!$J$5:$J$1640,1),2)</f>
        <v>675.44</v>
      </c>
      <c r="K738" s="9">
        <f>ROUND(SUMIFS('Odoo Items'!$G$5:$G$4331,'Odoo Items'!$J$5:$J$4331,A738),2)</f>
        <v>675.44</v>
      </c>
      <c r="L738" s="9">
        <f>ROUND(J738-K738,2)</f>
        <v>0</v>
      </c>
      <c r="M738" s="9">
        <f>ROUND(SUMIFS('Bank Lines'!$E$5:$E$1640,'Bank Lines'!$G$5:$G$1640,A738,'Bank Lines'!$J$5:$J$1640,1,'Bank Lines'!$C$5:$C$1640,"&lt;="&amp;Cover!$C$13),2)</f>
        <v>0</v>
      </c>
      <c r="N738" s="9">
        <f>ROUND(SUMIFS('Odoo Items'!$G$5:$G$4331,'Odoo Items'!$J$5:$J$4331,A738,'Odoo Items'!$C$5:$C$4331,"&lt;="&amp;Cover!$C$13),2)</f>
        <v>0</v>
      </c>
      <c r="O738">
        <f>COUNTIFS('Bank Lines'!$G$5:$G$1640,A738,'Bank Lines'!$J$5:$J$1640,1,'Bank Lines'!$C$5:$C$1640,"&lt;="&amp;Cover!$C$13)</f>
        <v>0</v>
      </c>
      <c r="P738">
        <f>COUNTIFS('Odoo Items'!$J$5:$J$4331,A738,'Odoo Items'!$C$5:$C$4331,"&lt;="&amp;Cover!$C$13)</f>
        <v>0</v>
      </c>
      <c r="Q738">
        <f>IF(AND(O738=0,P738=0),"",IF(O738=0,"ODOO-ONLY",IF(P738=0,"BANK-ONLY","BOTH")))</f>
      </c>
      <c r="R738" s="9">
        <f>IF(Q738="BOTH",ROUND(M738-N738,2),0)</f>
        <v>0</v>
      </c>
      <c r="S738" s="9">
        <f>ROUND(SUMIFS('Bank Lines'!$E$5:$E$1640,'Bank Lines'!$G$5:$G$1640,A738,'Bank Lines'!$J$5:$J$1640,1,'Bank Lines'!$C$5:$C$1640,"&lt;="&amp;Cover!$C$14),2)</f>
        <v>675.44</v>
      </c>
      <c r="T738" s="9">
        <f>ROUND(SUMIFS('Odoo Items'!$G$5:$G$4331,'Odoo Items'!$J$5:$J$4331,A738,'Odoo Items'!$C$5:$C$4331,"&lt;="&amp;Cover!$C$14),2)</f>
        <v>675.44</v>
      </c>
      <c r="U738">
        <f>COUNTIFS('Bank Lines'!$G$5:$G$1640,A738,'Bank Lines'!$J$5:$J$1640,1,'Bank Lines'!$C$5:$C$1640,"&lt;="&amp;Cover!$C$14)</f>
        <v>1</v>
      </c>
      <c r="V738">
        <f>COUNTIFS('Odoo Items'!$J$5:$J$4331,A738,'Odoo Items'!$C$5:$C$4331,"&lt;="&amp;Cover!$C$14)</f>
        <v>1</v>
      </c>
      <c r="W738" t="str">
        <f>IF(AND(U738=0,V738=0),"",IF(U738=0,"ODOO-ONLY",IF(V738=0,"BANK-ONLY","BOTH")))</f>
        <v>BOTH</v>
      </c>
      <c r="X738" s="9">
        <f>IF(W738="BOTH",ROUND(S738-T738,2),0)</f>
        <v>0</v>
      </c>
      <c r="Y738" s="9">
        <f>ROUND(SUMIFS('Bank Lines'!$E$5:$E$1640,'Bank Lines'!$G$5:$G$1640,A738,'Bank Lines'!$J$5:$J$1640,1,'Bank Lines'!$C$5:$C$1640,"&lt;="&amp;Cover!$C$15),2)</f>
        <v>675.44</v>
      </c>
      <c r="Z738" s="9">
        <f>ROUND(SUMIFS('Odoo Items'!$G$5:$G$4331,'Odoo Items'!$J$5:$J$4331,A738,'Odoo Items'!$C$5:$C$4331,"&lt;="&amp;Cover!$C$15),2)</f>
        <v>675.44</v>
      </c>
      <c r="AA738">
        <f>COUNTIFS('Bank Lines'!$G$5:$G$1640,A738,'Bank Lines'!$J$5:$J$1640,1,'Bank Lines'!$C$5:$C$1640,"&lt;="&amp;Cover!$C$15)</f>
        <v>1</v>
      </c>
      <c r="AB738">
        <f>COUNTIFS('Odoo Items'!$J$5:$J$4331,A738,'Odoo Items'!$C$5:$C$4331,"&lt;="&amp;Cover!$C$15)</f>
        <v>1</v>
      </c>
      <c r="AC738" t="str">
        <f>IF(AND(AA738=0,AB738=0),"",IF(AA738=0,"ODOO-ONLY",IF(AB738=0,"BANK-ONLY","BOTH")))</f>
        <v>BOTH</v>
      </c>
      <c r="AD738" s="9">
        <f>IF(AC738="BOTH",ROUND(Y738-Z738,2),0)</f>
        <v>0</v>
      </c>
    </row>
    <row r="739">
      <c r="A739" t="inlineStr">
        <is>
          <t>G00735</t>
        </is>
      </c>
      <c r="B739" t="inlineStr">
        <is>
          <t>MER</t>
        </is>
      </c>
      <c r="C739" t="inlineStr">
        <is>
          <t>R08</t>
        </is>
      </c>
      <c r="D739" t="inlineStr">
        <is>
          <t>MATCH</t>
        </is>
      </c>
      <c r="E739" t="inlineStr"/>
      <c r="G739" t="inlineStr"/>
      <c r="H739">
        <f>COUNTIFS('Bank Lines'!$G$5:$G$1640,A739,'Bank Lines'!$J$5:$J$1640,1)</f>
        <v>1</v>
      </c>
      <c r="I739">
        <f>COUNTIFS('Odoo Items'!$J$5:$J$4331,A739)</f>
        <v>1</v>
      </c>
      <c r="J739" s="9">
        <f>ROUND(SUMIFS('Bank Lines'!$E$5:$E$1640,'Bank Lines'!$G$5:$G$1640,A739,'Bank Lines'!$J$5:$J$1640,1),2)</f>
        <v>750.39</v>
      </c>
      <c r="K739" s="9">
        <f>ROUND(SUMIFS('Odoo Items'!$G$5:$G$4331,'Odoo Items'!$J$5:$J$4331,A739),2)</f>
        <v>750.39</v>
      </c>
      <c r="L739" s="9">
        <f>ROUND(J739-K739,2)</f>
        <v>0</v>
      </c>
      <c r="M739" s="9">
        <f>ROUND(SUMIFS('Bank Lines'!$E$5:$E$1640,'Bank Lines'!$G$5:$G$1640,A739,'Bank Lines'!$J$5:$J$1640,1,'Bank Lines'!$C$5:$C$1640,"&lt;="&amp;Cover!$C$13),2)</f>
        <v>0</v>
      </c>
      <c r="N739" s="9">
        <f>ROUND(SUMIFS('Odoo Items'!$G$5:$G$4331,'Odoo Items'!$J$5:$J$4331,A739,'Odoo Items'!$C$5:$C$4331,"&lt;="&amp;Cover!$C$13),2)</f>
        <v>0</v>
      </c>
      <c r="O739">
        <f>COUNTIFS('Bank Lines'!$G$5:$G$1640,A739,'Bank Lines'!$J$5:$J$1640,1,'Bank Lines'!$C$5:$C$1640,"&lt;="&amp;Cover!$C$13)</f>
        <v>0</v>
      </c>
      <c r="P739">
        <f>COUNTIFS('Odoo Items'!$J$5:$J$4331,A739,'Odoo Items'!$C$5:$C$4331,"&lt;="&amp;Cover!$C$13)</f>
        <v>0</v>
      </c>
      <c r="Q739">
        <f>IF(AND(O739=0,P739=0),"",IF(O739=0,"ODOO-ONLY",IF(P739=0,"BANK-ONLY","BOTH")))</f>
      </c>
      <c r="R739" s="9">
        <f>IF(Q739="BOTH",ROUND(M739-N739,2),0)</f>
        <v>0</v>
      </c>
      <c r="S739" s="9">
        <f>ROUND(SUMIFS('Bank Lines'!$E$5:$E$1640,'Bank Lines'!$G$5:$G$1640,A739,'Bank Lines'!$J$5:$J$1640,1,'Bank Lines'!$C$5:$C$1640,"&lt;="&amp;Cover!$C$14),2)</f>
        <v>750.39</v>
      </c>
      <c r="T739" s="9">
        <f>ROUND(SUMIFS('Odoo Items'!$G$5:$G$4331,'Odoo Items'!$J$5:$J$4331,A739,'Odoo Items'!$C$5:$C$4331,"&lt;="&amp;Cover!$C$14),2)</f>
        <v>750.39</v>
      </c>
      <c r="U739">
        <f>COUNTIFS('Bank Lines'!$G$5:$G$1640,A739,'Bank Lines'!$J$5:$J$1640,1,'Bank Lines'!$C$5:$C$1640,"&lt;="&amp;Cover!$C$14)</f>
        <v>1</v>
      </c>
      <c r="V739">
        <f>COUNTIFS('Odoo Items'!$J$5:$J$4331,A739,'Odoo Items'!$C$5:$C$4331,"&lt;="&amp;Cover!$C$14)</f>
        <v>1</v>
      </c>
      <c r="W739" t="str">
        <f>IF(AND(U739=0,V739=0),"",IF(U739=0,"ODOO-ONLY",IF(V739=0,"BANK-ONLY","BOTH")))</f>
        <v>BOTH</v>
      </c>
      <c r="X739" s="9">
        <f>IF(W739="BOTH",ROUND(S739-T739,2),0)</f>
        <v>0</v>
      </c>
      <c r="Y739" s="9">
        <f>ROUND(SUMIFS('Bank Lines'!$E$5:$E$1640,'Bank Lines'!$G$5:$G$1640,A739,'Bank Lines'!$J$5:$J$1640,1,'Bank Lines'!$C$5:$C$1640,"&lt;="&amp;Cover!$C$15),2)</f>
        <v>750.39</v>
      </c>
      <c r="Z739" s="9">
        <f>ROUND(SUMIFS('Odoo Items'!$G$5:$G$4331,'Odoo Items'!$J$5:$J$4331,A739,'Odoo Items'!$C$5:$C$4331,"&lt;="&amp;Cover!$C$15),2)</f>
        <v>750.39</v>
      </c>
      <c r="AA739">
        <f>COUNTIFS('Bank Lines'!$G$5:$G$1640,A739,'Bank Lines'!$J$5:$J$1640,1,'Bank Lines'!$C$5:$C$1640,"&lt;="&amp;Cover!$C$15)</f>
        <v>1</v>
      </c>
      <c r="AB739">
        <f>COUNTIFS('Odoo Items'!$J$5:$J$4331,A739,'Odoo Items'!$C$5:$C$4331,"&lt;="&amp;Cover!$C$15)</f>
        <v>1</v>
      </c>
      <c r="AC739" t="str">
        <f>IF(AND(AA739=0,AB739=0),"",IF(AA739=0,"ODOO-ONLY",IF(AB739=0,"BANK-ONLY","BOTH")))</f>
        <v>BOTH</v>
      </c>
      <c r="AD739" s="9">
        <f>IF(AC739="BOTH",ROUND(Y739-Z739,2),0)</f>
        <v>0</v>
      </c>
    </row>
    <row r="740">
      <c r="A740" t="inlineStr">
        <is>
          <t>G00736</t>
        </is>
      </c>
      <c r="B740" t="inlineStr">
        <is>
          <t>MER</t>
        </is>
      </c>
      <c r="C740" t="inlineStr">
        <is>
          <t>R08</t>
        </is>
      </c>
      <c r="D740" t="inlineStr">
        <is>
          <t>MATCH</t>
        </is>
      </c>
      <c r="E740" t="inlineStr"/>
      <c r="G740" t="inlineStr"/>
      <c r="H740">
        <f>COUNTIFS('Bank Lines'!$G$5:$G$1640,A740,'Bank Lines'!$J$5:$J$1640,1)</f>
        <v>1</v>
      </c>
      <c r="I740">
        <f>COUNTIFS('Odoo Items'!$J$5:$J$4331,A740)</f>
        <v>1</v>
      </c>
      <c r="J740" s="9">
        <f>ROUND(SUMIFS('Bank Lines'!$E$5:$E$1640,'Bank Lines'!$G$5:$G$1640,A740,'Bank Lines'!$J$5:$J$1640,1),2)</f>
        <v>722.33</v>
      </c>
      <c r="K740" s="9">
        <f>ROUND(SUMIFS('Odoo Items'!$G$5:$G$4331,'Odoo Items'!$J$5:$J$4331,A740),2)</f>
        <v>722.33</v>
      </c>
      <c r="L740" s="9">
        <f>ROUND(J740-K740,2)</f>
        <v>0</v>
      </c>
      <c r="M740" s="9">
        <f>ROUND(SUMIFS('Bank Lines'!$E$5:$E$1640,'Bank Lines'!$G$5:$G$1640,A740,'Bank Lines'!$J$5:$J$1640,1,'Bank Lines'!$C$5:$C$1640,"&lt;="&amp;Cover!$C$13),2)</f>
        <v>0</v>
      </c>
      <c r="N740" s="9">
        <f>ROUND(SUMIFS('Odoo Items'!$G$5:$G$4331,'Odoo Items'!$J$5:$J$4331,A740,'Odoo Items'!$C$5:$C$4331,"&lt;="&amp;Cover!$C$13),2)</f>
        <v>0</v>
      </c>
      <c r="O740">
        <f>COUNTIFS('Bank Lines'!$G$5:$G$1640,A740,'Bank Lines'!$J$5:$J$1640,1,'Bank Lines'!$C$5:$C$1640,"&lt;="&amp;Cover!$C$13)</f>
        <v>0</v>
      </c>
      <c r="P740">
        <f>COUNTIFS('Odoo Items'!$J$5:$J$4331,A740,'Odoo Items'!$C$5:$C$4331,"&lt;="&amp;Cover!$C$13)</f>
        <v>0</v>
      </c>
      <c r="Q740">
        <f>IF(AND(O740=0,P740=0),"",IF(O740=0,"ODOO-ONLY",IF(P740=0,"BANK-ONLY","BOTH")))</f>
      </c>
      <c r="R740" s="9">
        <f>IF(Q740="BOTH",ROUND(M740-N740,2),0)</f>
        <v>0</v>
      </c>
      <c r="S740" s="9">
        <f>ROUND(SUMIFS('Bank Lines'!$E$5:$E$1640,'Bank Lines'!$G$5:$G$1640,A740,'Bank Lines'!$J$5:$J$1640,1,'Bank Lines'!$C$5:$C$1640,"&lt;="&amp;Cover!$C$14),2)</f>
        <v>722.33</v>
      </c>
      <c r="T740" s="9">
        <f>ROUND(SUMIFS('Odoo Items'!$G$5:$G$4331,'Odoo Items'!$J$5:$J$4331,A740,'Odoo Items'!$C$5:$C$4331,"&lt;="&amp;Cover!$C$14),2)</f>
        <v>722.33</v>
      </c>
      <c r="U740">
        <f>COUNTIFS('Bank Lines'!$G$5:$G$1640,A740,'Bank Lines'!$J$5:$J$1640,1,'Bank Lines'!$C$5:$C$1640,"&lt;="&amp;Cover!$C$14)</f>
        <v>1</v>
      </c>
      <c r="V740">
        <f>COUNTIFS('Odoo Items'!$J$5:$J$4331,A740,'Odoo Items'!$C$5:$C$4331,"&lt;="&amp;Cover!$C$14)</f>
        <v>1</v>
      </c>
      <c r="W740" t="str">
        <f>IF(AND(U740=0,V740=0),"",IF(U740=0,"ODOO-ONLY",IF(V740=0,"BANK-ONLY","BOTH")))</f>
        <v>BOTH</v>
      </c>
      <c r="X740" s="9">
        <f>IF(W740="BOTH",ROUND(S740-T740,2),0)</f>
        <v>0</v>
      </c>
      <c r="Y740" s="9">
        <f>ROUND(SUMIFS('Bank Lines'!$E$5:$E$1640,'Bank Lines'!$G$5:$G$1640,A740,'Bank Lines'!$J$5:$J$1640,1,'Bank Lines'!$C$5:$C$1640,"&lt;="&amp;Cover!$C$15),2)</f>
        <v>722.33</v>
      </c>
      <c r="Z740" s="9">
        <f>ROUND(SUMIFS('Odoo Items'!$G$5:$G$4331,'Odoo Items'!$J$5:$J$4331,A740,'Odoo Items'!$C$5:$C$4331,"&lt;="&amp;Cover!$C$15),2)</f>
        <v>722.33</v>
      </c>
      <c r="AA740">
        <f>COUNTIFS('Bank Lines'!$G$5:$G$1640,A740,'Bank Lines'!$J$5:$J$1640,1,'Bank Lines'!$C$5:$C$1640,"&lt;="&amp;Cover!$C$15)</f>
        <v>1</v>
      </c>
      <c r="AB740">
        <f>COUNTIFS('Odoo Items'!$J$5:$J$4331,A740,'Odoo Items'!$C$5:$C$4331,"&lt;="&amp;Cover!$C$15)</f>
        <v>1</v>
      </c>
      <c r="AC740" t="str">
        <f>IF(AND(AA740=0,AB740=0),"",IF(AA740=0,"ODOO-ONLY",IF(AB740=0,"BANK-ONLY","BOTH")))</f>
        <v>BOTH</v>
      </c>
      <c r="AD740" s="9">
        <f>IF(AC740="BOTH",ROUND(Y740-Z740,2),0)</f>
        <v>0</v>
      </c>
    </row>
    <row r="741">
      <c r="A741" t="inlineStr">
        <is>
          <t>G00737</t>
        </is>
      </c>
      <c r="B741" t="inlineStr">
        <is>
          <t>MER</t>
        </is>
      </c>
      <c r="C741" t="inlineStr">
        <is>
          <t>R08</t>
        </is>
      </c>
      <c r="D741" t="inlineStr">
        <is>
          <t>MATCH</t>
        </is>
      </c>
      <c r="E741" t="inlineStr"/>
      <c r="G741" t="inlineStr"/>
      <c r="H741">
        <f>COUNTIFS('Bank Lines'!$G$5:$G$1640,A741,'Bank Lines'!$J$5:$J$1640,1)</f>
        <v>1</v>
      </c>
      <c r="I741">
        <f>COUNTIFS('Odoo Items'!$J$5:$J$4331,A741)</f>
        <v>1</v>
      </c>
      <c r="J741" s="9">
        <f>ROUND(SUMIFS('Bank Lines'!$E$5:$E$1640,'Bank Lines'!$G$5:$G$1640,A741,'Bank Lines'!$J$5:$J$1640,1),2)</f>
        <v>769.81</v>
      </c>
      <c r="K741" s="9">
        <f>ROUND(SUMIFS('Odoo Items'!$G$5:$G$4331,'Odoo Items'!$J$5:$J$4331,A741),2)</f>
        <v>769.81</v>
      </c>
      <c r="L741" s="9">
        <f>ROUND(J741-K741,2)</f>
        <v>0</v>
      </c>
      <c r="M741" s="9">
        <f>ROUND(SUMIFS('Bank Lines'!$E$5:$E$1640,'Bank Lines'!$G$5:$G$1640,A741,'Bank Lines'!$J$5:$J$1640,1,'Bank Lines'!$C$5:$C$1640,"&lt;="&amp;Cover!$C$13),2)</f>
        <v>0</v>
      </c>
      <c r="N741" s="9">
        <f>ROUND(SUMIFS('Odoo Items'!$G$5:$G$4331,'Odoo Items'!$J$5:$J$4331,A741,'Odoo Items'!$C$5:$C$4331,"&lt;="&amp;Cover!$C$13),2)</f>
        <v>0</v>
      </c>
      <c r="O741">
        <f>COUNTIFS('Bank Lines'!$G$5:$G$1640,A741,'Bank Lines'!$J$5:$J$1640,1,'Bank Lines'!$C$5:$C$1640,"&lt;="&amp;Cover!$C$13)</f>
        <v>0</v>
      </c>
      <c r="P741">
        <f>COUNTIFS('Odoo Items'!$J$5:$J$4331,A741,'Odoo Items'!$C$5:$C$4331,"&lt;="&amp;Cover!$C$13)</f>
        <v>0</v>
      </c>
      <c r="Q741">
        <f>IF(AND(O741=0,P741=0),"",IF(O741=0,"ODOO-ONLY",IF(P741=0,"BANK-ONLY","BOTH")))</f>
      </c>
      <c r="R741" s="9">
        <f>IF(Q741="BOTH",ROUND(M741-N741,2),0)</f>
        <v>0</v>
      </c>
      <c r="S741" s="9">
        <f>ROUND(SUMIFS('Bank Lines'!$E$5:$E$1640,'Bank Lines'!$G$5:$G$1640,A741,'Bank Lines'!$J$5:$J$1640,1,'Bank Lines'!$C$5:$C$1640,"&lt;="&amp;Cover!$C$14),2)</f>
        <v>769.81</v>
      </c>
      <c r="T741" s="9">
        <f>ROUND(SUMIFS('Odoo Items'!$G$5:$G$4331,'Odoo Items'!$J$5:$J$4331,A741,'Odoo Items'!$C$5:$C$4331,"&lt;="&amp;Cover!$C$14),2)</f>
        <v>769.81</v>
      </c>
      <c r="U741">
        <f>COUNTIFS('Bank Lines'!$G$5:$G$1640,A741,'Bank Lines'!$J$5:$J$1640,1,'Bank Lines'!$C$5:$C$1640,"&lt;="&amp;Cover!$C$14)</f>
        <v>1</v>
      </c>
      <c r="V741">
        <f>COUNTIFS('Odoo Items'!$J$5:$J$4331,A741,'Odoo Items'!$C$5:$C$4331,"&lt;="&amp;Cover!$C$14)</f>
        <v>1</v>
      </c>
      <c r="W741" t="str">
        <f>IF(AND(U741=0,V741=0),"",IF(U741=0,"ODOO-ONLY",IF(V741=0,"BANK-ONLY","BOTH")))</f>
        <v>BOTH</v>
      </c>
      <c r="X741" s="9">
        <f>IF(W741="BOTH",ROUND(S741-T741,2),0)</f>
        <v>0</v>
      </c>
      <c r="Y741" s="9">
        <f>ROUND(SUMIFS('Bank Lines'!$E$5:$E$1640,'Bank Lines'!$G$5:$G$1640,A741,'Bank Lines'!$J$5:$J$1640,1,'Bank Lines'!$C$5:$C$1640,"&lt;="&amp;Cover!$C$15),2)</f>
        <v>769.81</v>
      </c>
      <c r="Z741" s="9">
        <f>ROUND(SUMIFS('Odoo Items'!$G$5:$G$4331,'Odoo Items'!$J$5:$J$4331,A741,'Odoo Items'!$C$5:$C$4331,"&lt;="&amp;Cover!$C$15),2)</f>
        <v>769.81</v>
      </c>
      <c r="AA741">
        <f>COUNTIFS('Bank Lines'!$G$5:$G$1640,A741,'Bank Lines'!$J$5:$J$1640,1,'Bank Lines'!$C$5:$C$1640,"&lt;="&amp;Cover!$C$15)</f>
        <v>1</v>
      </c>
      <c r="AB741">
        <f>COUNTIFS('Odoo Items'!$J$5:$J$4331,A741,'Odoo Items'!$C$5:$C$4331,"&lt;="&amp;Cover!$C$15)</f>
        <v>1</v>
      </c>
      <c r="AC741" t="str">
        <f>IF(AND(AA741=0,AB741=0),"",IF(AA741=0,"ODOO-ONLY",IF(AB741=0,"BANK-ONLY","BOTH")))</f>
        <v>BOTH</v>
      </c>
      <c r="AD741" s="9">
        <f>IF(AC741="BOTH",ROUND(Y741-Z741,2),0)</f>
        <v>0</v>
      </c>
    </row>
    <row r="742">
      <c r="A742" t="inlineStr">
        <is>
          <t>G00738</t>
        </is>
      </c>
      <c r="B742" t="inlineStr">
        <is>
          <t>MER</t>
        </is>
      </c>
      <c r="C742" t="inlineStr">
        <is>
          <t>R04</t>
        </is>
      </c>
      <c r="D742" t="inlineStr">
        <is>
          <t>MATCH</t>
        </is>
      </c>
      <c r="E742" t="inlineStr"/>
      <c r="G742" t="inlineStr">
        <is>
          <t>Sweep, same amount</t>
        </is>
      </c>
      <c r="H742">
        <f>COUNTIFS('Bank Lines'!$G$5:$G$1640,A742,'Bank Lines'!$J$5:$J$1640,1)</f>
        <v>1</v>
      </c>
      <c r="I742">
        <f>COUNTIFS('Odoo Items'!$J$5:$J$4331,A742)</f>
        <v>1</v>
      </c>
      <c r="J742" s="9">
        <f>ROUND(SUMIFS('Bank Lines'!$E$5:$E$1640,'Bank Lines'!$G$5:$G$1640,A742,'Bank Lines'!$J$5:$J$1640,1),2)</f>
        <v>-30000</v>
      </c>
      <c r="K742" s="9">
        <f>ROUND(SUMIFS('Odoo Items'!$G$5:$G$4331,'Odoo Items'!$J$5:$J$4331,A742),2)</f>
        <v>-30000</v>
      </c>
      <c r="L742" s="9">
        <f>ROUND(J742-K742,2)</f>
        <v>0</v>
      </c>
      <c r="M742" s="9">
        <f>ROUND(SUMIFS('Bank Lines'!$E$5:$E$1640,'Bank Lines'!$G$5:$G$1640,A742,'Bank Lines'!$J$5:$J$1640,1,'Bank Lines'!$C$5:$C$1640,"&lt;="&amp;Cover!$C$13),2)</f>
        <v>0</v>
      </c>
      <c r="N742" s="9">
        <f>ROUND(SUMIFS('Odoo Items'!$G$5:$G$4331,'Odoo Items'!$J$5:$J$4331,A742,'Odoo Items'!$C$5:$C$4331,"&lt;="&amp;Cover!$C$13),2)</f>
        <v>0</v>
      </c>
      <c r="O742">
        <f>COUNTIFS('Bank Lines'!$G$5:$G$1640,A742,'Bank Lines'!$J$5:$J$1640,1,'Bank Lines'!$C$5:$C$1640,"&lt;="&amp;Cover!$C$13)</f>
        <v>0</v>
      </c>
      <c r="P742">
        <f>COUNTIFS('Odoo Items'!$J$5:$J$4331,A742,'Odoo Items'!$C$5:$C$4331,"&lt;="&amp;Cover!$C$13)</f>
        <v>0</v>
      </c>
      <c r="Q742">
        <f>IF(AND(O742=0,P742=0),"",IF(O742=0,"ODOO-ONLY",IF(P742=0,"BANK-ONLY","BOTH")))</f>
      </c>
      <c r="R742" s="9">
        <f>IF(Q742="BOTH",ROUND(M742-N742,2),0)</f>
        <v>0</v>
      </c>
      <c r="S742" s="9">
        <f>ROUND(SUMIFS('Bank Lines'!$E$5:$E$1640,'Bank Lines'!$G$5:$G$1640,A742,'Bank Lines'!$J$5:$J$1640,1,'Bank Lines'!$C$5:$C$1640,"&lt;="&amp;Cover!$C$14),2)</f>
        <v>-30000</v>
      </c>
      <c r="T742" s="9">
        <f>ROUND(SUMIFS('Odoo Items'!$G$5:$G$4331,'Odoo Items'!$J$5:$J$4331,A742,'Odoo Items'!$C$5:$C$4331,"&lt;="&amp;Cover!$C$14),2)</f>
        <v>-30000</v>
      </c>
      <c r="U742">
        <f>COUNTIFS('Bank Lines'!$G$5:$G$1640,A742,'Bank Lines'!$J$5:$J$1640,1,'Bank Lines'!$C$5:$C$1640,"&lt;="&amp;Cover!$C$14)</f>
        <v>1</v>
      </c>
      <c r="V742">
        <f>COUNTIFS('Odoo Items'!$J$5:$J$4331,A742,'Odoo Items'!$C$5:$C$4331,"&lt;="&amp;Cover!$C$14)</f>
        <v>1</v>
      </c>
      <c r="W742" t="str">
        <f>IF(AND(U742=0,V742=0),"",IF(U742=0,"ODOO-ONLY",IF(V742=0,"BANK-ONLY","BOTH")))</f>
        <v>BOTH</v>
      </c>
      <c r="X742" s="9">
        <f>IF(W742="BOTH",ROUND(S742-T742,2),0)</f>
        <v>0</v>
      </c>
      <c r="Y742" s="9">
        <f>ROUND(SUMIFS('Bank Lines'!$E$5:$E$1640,'Bank Lines'!$G$5:$G$1640,A742,'Bank Lines'!$J$5:$J$1640,1,'Bank Lines'!$C$5:$C$1640,"&lt;="&amp;Cover!$C$15),2)</f>
        <v>-30000</v>
      </c>
      <c r="Z742" s="9">
        <f>ROUND(SUMIFS('Odoo Items'!$G$5:$G$4331,'Odoo Items'!$J$5:$J$4331,A742,'Odoo Items'!$C$5:$C$4331,"&lt;="&amp;Cover!$C$15),2)</f>
        <v>-30000</v>
      </c>
      <c r="AA742">
        <f>COUNTIFS('Bank Lines'!$G$5:$G$1640,A742,'Bank Lines'!$J$5:$J$1640,1,'Bank Lines'!$C$5:$C$1640,"&lt;="&amp;Cover!$C$15)</f>
        <v>1</v>
      </c>
      <c r="AB742">
        <f>COUNTIFS('Odoo Items'!$J$5:$J$4331,A742,'Odoo Items'!$C$5:$C$4331,"&lt;="&amp;Cover!$C$15)</f>
        <v>1</v>
      </c>
      <c r="AC742" t="str">
        <f>IF(AND(AA742=0,AB742=0),"",IF(AA742=0,"ODOO-ONLY",IF(AB742=0,"BANK-ONLY","BOTH")))</f>
        <v>BOTH</v>
      </c>
      <c r="AD742" s="9">
        <f>IF(AC742="BOTH",ROUND(Y742-Z742,2),0)</f>
        <v>0</v>
      </c>
    </row>
    <row r="743">
      <c r="A743" t="inlineStr">
        <is>
          <t>G00739</t>
        </is>
      </c>
      <c r="B743" t="inlineStr">
        <is>
          <t>MER</t>
        </is>
      </c>
      <c r="C743" t="inlineStr">
        <is>
          <t>R08</t>
        </is>
      </c>
      <c r="D743" t="inlineStr">
        <is>
          <t>MATCH</t>
        </is>
      </c>
      <c r="E743" t="inlineStr"/>
      <c r="G743" t="inlineStr"/>
      <c r="H743">
        <f>COUNTIFS('Bank Lines'!$G$5:$G$1640,A743,'Bank Lines'!$J$5:$J$1640,1)</f>
        <v>1</v>
      </c>
      <c r="I743">
        <f>COUNTIFS('Odoo Items'!$J$5:$J$4331,A743)</f>
        <v>1</v>
      </c>
      <c r="J743" s="9">
        <f>ROUND(SUMIFS('Bank Lines'!$E$5:$E$1640,'Bank Lines'!$G$5:$G$1640,A743,'Bank Lines'!$J$5:$J$1640,1),2)</f>
        <v>2948.92</v>
      </c>
      <c r="K743" s="9">
        <f>ROUND(SUMIFS('Odoo Items'!$G$5:$G$4331,'Odoo Items'!$J$5:$J$4331,A743),2)</f>
        <v>2948.92</v>
      </c>
      <c r="L743" s="9">
        <f>ROUND(J743-K743,2)</f>
        <v>0</v>
      </c>
      <c r="M743" s="9">
        <f>ROUND(SUMIFS('Bank Lines'!$E$5:$E$1640,'Bank Lines'!$G$5:$G$1640,A743,'Bank Lines'!$J$5:$J$1640,1,'Bank Lines'!$C$5:$C$1640,"&lt;="&amp;Cover!$C$13),2)</f>
        <v>0</v>
      </c>
      <c r="N743" s="9">
        <f>ROUND(SUMIFS('Odoo Items'!$G$5:$G$4331,'Odoo Items'!$J$5:$J$4331,A743,'Odoo Items'!$C$5:$C$4331,"&lt;="&amp;Cover!$C$13),2)</f>
        <v>0</v>
      </c>
      <c r="O743">
        <f>COUNTIFS('Bank Lines'!$G$5:$G$1640,A743,'Bank Lines'!$J$5:$J$1640,1,'Bank Lines'!$C$5:$C$1640,"&lt;="&amp;Cover!$C$13)</f>
        <v>0</v>
      </c>
      <c r="P743">
        <f>COUNTIFS('Odoo Items'!$J$5:$J$4331,A743,'Odoo Items'!$C$5:$C$4331,"&lt;="&amp;Cover!$C$13)</f>
        <v>0</v>
      </c>
      <c r="Q743">
        <f>IF(AND(O743=0,P743=0),"",IF(O743=0,"ODOO-ONLY",IF(P743=0,"BANK-ONLY","BOTH")))</f>
      </c>
      <c r="R743" s="9">
        <f>IF(Q743="BOTH",ROUND(M743-N743,2),0)</f>
        <v>0</v>
      </c>
      <c r="S743" s="9">
        <f>ROUND(SUMIFS('Bank Lines'!$E$5:$E$1640,'Bank Lines'!$G$5:$G$1640,A743,'Bank Lines'!$J$5:$J$1640,1,'Bank Lines'!$C$5:$C$1640,"&lt;="&amp;Cover!$C$14),2)</f>
        <v>2948.92</v>
      </c>
      <c r="T743" s="9">
        <f>ROUND(SUMIFS('Odoo Items'!$G$5:$G$4331,'Odoo Items'!$J$5:$J$4331,A743,'Odoo Items'!$C$5:$C$4331,"&lt;="&amp;Cover!$C$14),2)</f>
        <v>2948.92</v>
      </c>
      <c r="U743">
        <f>COUNTIFS('Bank Lines'!$G$5:$G$1640,A743,'Bank Lines'!$J$5:$J$1640,1,'Bank Lines'!$C$5:$C$1640,"&lt;="&amp;Cover!$C$14)</f>
        <v>1</v>
      </c>
      <c r="V743">
        <f>COUNTIFS('Odoo Items'!$J$5:$J$4331,A743,'Odoo Items'!$C$5:$C$4331,"&lt;="&amp;Cover!$C$14)</f>
        <v>1</v>
      </c>
      <c r="W743" t="str">
        <f>IF(AND(U743=0,V743=0),"",IF(U743=0,"ODOO-ONLY",IF(V743=0,"BANK-ONLY","BOTH")))</f>
        <v>BOTH</v>
      </c>
      <c r="X743" s="9">
        <f>IF(W743="BOTH",ROUND(S743-T743,2),0)</f>
        <v>0</v>
      </c>
      <c r="Y743" s="9">
        <f>ROUND(SUMIFS('Bank Lines'!$E$5:$E$1640,'Bank Lines'!$G$5:$G$1640,A743,'Bank Lines'!$J$5:$J$1640,1,'Bank Lines'!$C$5:$C$1640,"&lt;="&amp;Cover!$C$15),2)</f>
        <v>2948.92</v>
      </c>
      <c r="Z743" s="9">
        <f>ROUND(SUMIFS('Odoo Items'!$G$5:$G$4331,'Odoo Items'!$J$5:$J$4331,A743,'Odoo Items'!$C$5:$C$4331,"&lt;="&amp;Cover!$C$15),2)</f>
        <v>2948.92</v>
      </c>
      <c r="AA743">
        <f>COUNTIFS('Bank Lines'!$G$5:$G$1640,A743,'Bank Lines'!$J$5:$J$1640,1,'Bank Lines'!$C$5:$C$1640,"&lt;="&amp;Cover!$C$15)</f>
        <v>1</v>
      </c>
      <c r="AB743">
        <f>COUNTIFS('Odoo Items'!$J$5:$J$4331,A743,'Odoo Items'!$C$5:$C$4331,"&lt;="&amp;Cover!$C$15)</f>
        <v>1</v>
      </c>
      <c r="AC743" t="str">
        <f>IF(AND(AA743=0,AB743=0),"",IF(AA743=0,"ODOO-ONLY",IF(AB743=0,"BANK-ONLY","BOTH")))</f>
        <v>BOTH</v>
      </c>
      <c r="AD743" s="9">
        <f>IF(AC743="BOTH",ROUND(Y743-Z743,2),0)</f>
        <v>0</v>
      </c>
    </row>
    <row r="744">
      <c r="A744" t="inlineStr">
        <is>
          <t>G00740</t>
        </is>
      </c>
      <c r="B744" t="inlineStr">
        <is>
          <t>MER</t>
        </is>
      </c>
      <c r="C744" t="inlineStr">
        <is>
          <t>R08</t>
        </is>
      </c>
      <c r="D744" t="inlineStr">
        <is>
          <t>MATCH</t>
        </is>
      </c>
      <c r="E744" t="inlineStr"/>
      <c r="G744" t="inlineStr"/>
      <c r="H744">
        <f>COUNTIFS('Bank Lines'!$G$5:$G$1640,A744,'Bank Lines'!$J$5:$J$1640,1)</f>
        <v>1</v>
      </c>
      <c r="I744">
        <f>COUNTIFS('Odoo Items'!$J$5:$J$4331,A744)</f>
        <v>1</v>
      </c>
      <c r="J744" s="9">
        <f>ROUND(SUMIFS('Bank Lines'!$E$5:$E$1640,'Bank Lines'!$G$5:$G$1640,A744,'Bank Lines'!$J$5:$J$1640,1),2)</f>
        <v>3123.45</v>
      </c>
      <c r="K744" s="9">
        <f>ROUND(SUMIFS('Odoo Items'!$G$5:$G$4331,'Odoo Items'!$J$5:$J$4331,A744),2)</f>
        <v>3123.45</v>
      </c>
      <c r="L744" s="9">
        <f>ROUND(J744-K744,2)</f>
        <v>0</v>
      </c>
      <c r="M744" s="9">
        <f>ROUND(SUMIFS('Bank Lines'!$E$5:$E$1640,'Bank Lines'!$G$5:$G$1640,A744,'Bank Lines'!$J$5:$J$1640,1,'Bank Lines'!$C$5:$C$1640,"&lt;="&amp;Cover!$C$13),2)</f>
        <v>0</v>
      </c>
      <c r="N744" s="9">
        <f>ROUND(SUMIFS('Odoo Items'!$G$5:$G$4331,'Odoo Items'!$J$5:$J$4331,A744,'Odoo Items'!$C$5:$C$4331,"&lt;="&amp;Cover!$C$13),2)</f>
        <v>0</v>
      </c>
      <c r="O744">
        <f>COUNTIFS('Bank Lines'!$G$5:$G$1640,A744,'Bank Lines'!$J$5:$J$1640,1,'Bank Lines'!$C$5:$C$1640,"&lt;="&amp;Cover!$C$13)</f>
        <v>0</v>
      </c>
      <c r="P744">
        <f>COUNTIFS('Odoo Items'!$J$5:$J$4331,A744,'Odoo Items'!$C$5:$C$4331,"&lt;="&amp;Cover!$C$13)</f>
        <v>0</v>
      </c>
      <c r="Q744">
        <f>IF(AND(O744=0,P744=0),"",IF(O744=0,"ODOO-ONLY",IF(P744=0,"BANK-ONLY","BOTH")))</f>
      </c>
      <c r="R744" s="9">
        <f>IF(Q744="BOTH",ROUND(M744-N744,2),0)</f>
        <v>0</v>
      </c>
      <c r="S744" s="9">
        <f>ROUND(SUMIFS('Bank Lines'!$E$5:$E$1640,'Bank Lines'!$G$5:$G$1640,A744,'Bank Lines'!$J$5:$J$1640,1,'Bank Lines'!$C$5:$C$1640,"&lt;="&amp;Cover!$C$14),2)</f>
        <v>3123.45</v>
      </c>
      <c r="T744" s="9">
        <f>ROUND(SUMIFS('Odoo Items'!$G$5:$G$4331,'Odoo Items'!$J$5:$J$4331,A744,'Odoo Items'!$C$5:$C$4331,"&lt;="&amp;Cover!$C$14),2)</f>
        <v>3123.45</v>
      </c>
      <c r="U744">
        <f>COUNTIFS('Bank Lines'!$G$5:$G$1640,A744,'Bank Lines'!$J$5:$J$1640,1,'Bank Lines'!$C$5:$C$1640,"&lt;="&amp;Cover!$C$14)</f>
        <v>1</v>
      </c>
      <c r="V744">
        <f>COUNTIFS('Odoo Items'!$J$5:$J$4331,A744,'Odoo Items'!$C$5:$C$4331,"&lt;="&amp;Cover!$C$14)</f>
        <v>1</v>
      </c>
      <c r="W744" t="str">
        <f>IF(AND(U744=0,V744=0),"",IF(U744=0,"ODOO-ONLY",IF(V744=0,"BANK-ONLY","BOTH")))</f>
        <v>BOTH</v>
      </c>
      <c r="X744" s="9">
        <f>IF(W744="BOTH",ROUND(S744-T744,2),0)</f>
        <v>0</v>
      </c>
      <c r="Y744" s="9">
        <f>ROUND(SUMIFS('Bank Lines'!$E$5:$E$1640,'Bank Lines'!$G$5:$G$1640,A744,'Bank Lines'!$J$5:$J$1640,1,'Bank Lines'!$C$5:$C$1640,"&lt;="&amp;Cover!$C$15),2)</f>
        <v>3123.45</v>
      </c>
      <c r="Z744" s="9">
        <f>ROUND(SUMIFS('Odoo Items'!$G$5:$G$4331,'Odoo Items'!$J$5:$J$4331,A744,'Odoo Items'!$C$5:$C$4331,"&lt;="&amp;Cover!$C$15),2)</f>
        <v>3123.45</v>
      </c>
      <c r="AA744">
        <f>COUNTIFS('Bank Lines'!$G$5:$G$1640,A744,'Bank Lines'!$J$5:$J$1640,1,'Bank Lines'!$C$5:$C$1640,"&lt;="&amp;Cover!$C$15)</f>
        <v>1</v>
      </c>
      <c r="AB744">
        <f>COUNTIFS('Odoo Items'!$J$5:$J$4331,A744,'Odoo Items'!$C$5:$C$4331,"&lt;="&amp;Cover!$C$15)</f>
        <v>1</v>
      </c>
      <c r="AC744" t="str">
        <f>IF(AND(AA744=0,AB744=0),"",IF(AA744=0,"ODOO-ONLY",IF(AB744=0,"BANK-ONLY","BOTH")))</f>
        <v>BOTH</v>
      </c>
      <c r="AD744" s="9">
        <f>IF(AC744="BOTH",ROUND(Y744-Z744,2),0)</f>
        <v>0</v>
      </c>
    </row>
    <row r="745">
      <c r="A745" t="inlineStr">
        <is>
          <t>G00741</t>
        </is>
      </c>
      <c r="B745" t="inlineStr">
        <is>
          <t>MER</t>
        </is>
      </c>
      <c r="C745" t="inlineStr">
        <is>
          <t>R08</t>
        </is>
      </c>
      <c r="D745" t="inlineStr">
        <is>
          <t>MATCH</t>
        </is>
      </c>
      <c r="E745" t="inlineStr"/>
      <c r="G745" t="inlineStr"/>
      <c r="H745">
        <f>COUNTIFS('Bank Lines'!$G$5:$G$1640,A745,'Bank Lines'!$J$5:$J$1640,1)</f>
        <v>1</v>
      </c>
      <c r="I745">
        <f>COUNTIFS('Odoo Items'!$J$5:$J$4331,A745)</f>
        <v>1</v>
      </c>
      <c r="J745" s="9">
        <f>ROUND(SUMIFS('Bank Lines'!$E$5:$E$1640,'Bank Lines'!$G$5:$G$1640,A745,'Bank Lines'!$J$5:$J$1640,1),2)</f>
        <v>1623.14</v>
      </c>
      <c r="K745" s="9">
        <f>ROUND(SUMIFS('Odoo Items'!$G$5:$G$4331,'Odoo Items'!$J$5:$J$4331,A745),2)</f>
        <v>1623.14</v>
      </c>
      <c r="L745" s="9">
        <f>ROUND(J745-K745,2)</f>
        <v>0</v>
      </c>
      <c r="M745" s="9">
        <f>ROUND(SUMIFS('Bank Lines'!$E$5:$E$1640,'Bank Lines'!$G$5:$G$1640,A745,'Bank Lines'!$J$5:$J$1640,1,'Bank Lines'!$C$5:$C$1640,"&lt;="&amp;Cover!$C$13),2)</f>
        <v>0</v>
      </c>
      <c r="N745" s="9">
        <f>ROUND(SUMIFS('Odoo Items'!$G$5:$G$4331,'Odoo Items'!$J$5:$J$4331,A745,'Odoo Items'!$C$5:$C$4331,"&lt;="&amp;Cover!$C$13),2)</f>
        <v>0</v>
      </c>
      <c r="O745">
        <f>COUNTIFS('Bank Lines'!$G$5:$G$1640,A745,'Bank Lines'!$J$5:$J$1640,1,'Bank Lines'!$C$5:$C$1640,"&lt;="&amp;Cover!$C$13)</f>
        <v>0</v>
      </c>
      <c r="P745">
        <f>COUNTIFS('Odoo Items'!$J$5:$J$4331,A745,'Odoo Items'!$C$5:$C$4331,"&lt;="&amp;Cover!$C$13)</f>
        <v>0</v>
      </c>
      <c r="Q745">
        <f>IF(AND(O745=0,P745=0),"",IF(O745=0,"ODOO-ONLY",IF(P745=0,"BANK-ONLY","BOTH")))</f>
      </c>
      <c r="R745" s="9">
        <f>IF(Q745="BOTH",ROUND(M745-N745,2),0)</f>
        <v>0</v>
      </c>
      <c r="S745" s="9">
        <f>ROUND(SUMIFS('Bank Lines'!$E$5:$E$1640,'Bank Lines'!$G$5:$G$1640,A745,'Bank Lines'!$J$5:$J$1640,1,'Bank Lines'!$C$5:$C$1640,"&lt;="&amp;Cover!$C$14),2)</f>
        <v>1623.14</v>
      </c>
      <c r="T745" s="9">
        <f>ROUND(SUMIFS('Odoo Items'!$G$5:$G$4331,'Odoo Items'!$J$5:$J$4331,A745,'Odoo Items'!$C$5:$C$4331,"&lt;="&amp;Cover!$C$14),2)</f>
        <v>1623.14</v>
      </c>
      <c r="U745">
        <f>COUNTIFS('Bank Lines'!$G$5:$G$1640,A745,'Bank Lines'!$J$5:$J$1640,1,'Bank Lines'!$C$5:$C$1640,"&lt;="&amp;Cover!$C$14)</f>
        <v>1</v>
      </c>
      <c r="V745">
        <f>COUNTIFS('Odoo Items'!$J$5:$J$4331,A745,'Odoo Items'!$C$5:$C$4331,"&lt;="&amp;Cover!$C$14)</f>
        <v>1</v>
      </c>
      <c r="W745" t="str">
        <f>IF(AND(U745=0,V745=0),"",IF(U745=0,"ODOO-ONLY",IF(V745=0,"BANK-ONLY","BOTH")))</f>
        <v>BOTH</v>
      </c>
      <c r="X745" s="9">
        <f>IF(W745="BOTH",ROUND(S745-T745,2),0)</f>
        <v>0</v>
      </c>
      <c r="Y745" s="9">
        <f>ROUND(SUMIFS('Bank Lines'!$E$5:$E$1640,'Bank Lines'!$G$5:$G$1640,A745,'Bank Lines'!$J$5:$J$1640,1,'Bank Lines'!$C$5:$C$1640,"&lt;="&amp;Cover!$C$15),2)</f>
        <v>1623.14</v>
      </c>
      <c r="Z745" s="9">
        <f>ROUND(SUMIFS('Odoo Items'!$G$5:$G$4331,'Odoo Items'!$J$5:$J$4331,A745,'Odoo Items'!$C$5:$C$4331,"&lt;="&amp;Cover!$C$15),2)</f>
        <v>1623.14</v>
      </c>
      <c r="AA745">
        <f>COUNTIFS('Bank Lines'!$G$5:$G$1640,A745,'Bank Lines'!$J$5:$J$1640,1,'Bank Lines'!$C$5:$C$1640,"&lt;="&amp;Cover!$C$15)</f>
        <v>1</v>
      </c>
      <c r="AB745">
        <f>COUNTIFS('Odoo Items'!$J$5:$J$4331,A745,'Odoo Items'!$C$5:$C$4331,"&lt;="&amp;Cover!$C$15)</f>
        <v>1</v>
      </c>
      <c r="AC745" t="str">
        <f>IF(AND(AA745=0,AB745=0),"",IF(AA745=0,"ODOO-ONLY",IF(AB745=0,"BANK-ONLY","BOTH")))</f>
        <v>BOTH</v>
      </c>
      <c r="AD745" s="9">
        <f>IF(AC745="BOTH",ROUND(Y745-Z745,2),0)</f>
        <v>0</v>
      </c>
    </row>
    <row r="746">
      <c r="A746" t="inlineStr">
        <is>
          <t>G00742</t>
        </is>
      </c>
      <c r="B746" t="inlineStr">
        <is>
          <t>MER</t>
        </is>
      </c>
      <c r="C746" t="inlineStr">
        <is>
          <t>R08</t>
        </is>
      </c>
      <c r="D746" t="inlineStr">
        <is>
          <t>MATCH</t>
        </is>
      </c>
      <c r="E746" t="inlineStr"/>
      <c r="G746" t="inlineStr"/>
      <c r="H746">
        <f>COUNTIFS('Bank Lines'!$G$5:$G$1640,A746,'Bank Lines'!$J$5:$J$1640,1)</f>
        <v>1</v>
      </c>
      <c r="I746">
        <f>COUNTIFS('Odoo Items'!$J$5:$J$4331,A746)</f>
        <v>1</v>
      </c>
      <c r="J746" s="9">
        <f>ROUND(SUMIFS('Bank Lines'!$E$5:$E$1640,'Bank Lines'!$G$5:$G$1640,A746,'Bank Lines'!$J$5:$J$1640,1),2)</f>
        <v>1754.28</v>
      </c>
      <c r="K746" s="9">
        <f>ROUND(SUMIFS('Odoo Items'!$G$5:$G$4331,'Odoo Items'!$J$5:$J$4331,A746),2)</f>
        <v>1754.28</v>
      </c>
      <c r="L746" s="9">
        <f>ROUND(J746-K746,2)</f>
        <v>0</v>
      </c>
      <c r="M746" s="9">
        <f>ROUND(SUMIFS('Bank Lines'!$E$5:$E$1640,'Bank Lines'!$G$5:$G$1640,A746,'Bank Lines'!$J$5:$J$1640,1,'Bank Lines'!$C$5:$C$1640,"&lt;="&amp;Cover!$C$13),2)</f>
        <v>0</v>
      </c>
      <c r="N746" s="9">
        <f>ROUND(SUMIFS('Odoo Items'!$G$5:$G$4331,'Odoo Items'!$J$5:$J$4331,A746,'Odoo Items'!$C$5:$C$4331,"&lt;="&amp;Cover!$C$13),2)</f>
        <v>0</v>
      </c>
      <c r="O746">
        <f>COUNTIFS('Bank Lines'!$G$5:$G$1640,A746,'Bank Lines'!$J$5:$J$1640,1,'Bank Lines'!$C$5:$C$1640,"&lt;="&amp;Cover!$C$13)</f>
        <v>0</v>
      </c>
      <c r="P746">
        <f>COUNTIFS('Odoo Items'!$J$5:$J$4331,A746,'Odoo Items'!$C$5:$C$4331,"&lt;="&amp;Cover!$C$13)</f>
        <v>0</v>
      </c>
      <c r="Q746">
        <f>IF(AND(O746=0,P746=0),"",IF(O746=0,"ODOO-ONLY",IF(P746=0,"BANK-ONLY","BOTH")))</f>
      </c>
      <c r="R746" s="9">
        <f>IF(Q746="BOTH",ROUND(M746-N746,2),0)</f>
        <v>0</v>
      </c>
      <c r="S746" s="9">
        <f>ROUND(SUMIFS('Bank Lines'!$E$5:$E$1640,'Bank Lines'!$G$5:$G$1640,A746,'Bank Lines'!$J$5:$J$1640,1,'Bank Lines'!$C$5:$C$1640,"&lt;="&amp;Cover!$C$14),2)</f>
        <v>1754.28</v>
      </c>
      <c r="T746" s="9">
        <f>ROUND(SUMIFS('Odoo Items'!$G$5:$G$4331,'Odoo Items'!$J$5:$J$4331,A746,'Odoo Items'!$C$5:$C$4331,"&lt;="&amp;Cover!$C$14),2)</f>
        <v>1754.28</v>
      </c>
      <c r="U746">
        <f>COUNTIFS('Bank Lines'!$G$5:$G$1640,A746,'Bank Lines'!$J$5:$J$1640,1,'Bank Lines'!$C$5:$C$1640,"&lt;="&amp;Cover!$C$14)</f>
        <v>1</v>
      </c>
      <c r="V746">
        <f>COUNTIFS('Odoo Items'!$J$5:$J$4331,A746,'Odoo Items'!$C$5:$C$4331,"&lt;="&amp;Cover!$C$14)</f>
        <v>1</v>
      </c>
      <c r="W746" t="str">
        <f>IF(AND(U746=0,V746=0),"",IF(U746=0,"ODOO-ONLY",IF(V746=0,"BANK-ONLY","BOTH")))</f>
        <v>BOTH</v>
      </c>
      <c r="X746" s="9">
        <f>IF(W746="BOTH",ROUND(S746-T746,2),0)</f>
        <v>0</v>
      </c>
      <c r="Y746" s="9">
        <f>ROUND(SUMIFS('Bank Lines'!$E$5:$E$1640,'Bank Lines'!$G$5:$G$1640,A746,'Bank Lines'!$J$5:$J$1640,1,'Bank Lines'!$C$5:$C$1640,"&lt;="&amp;Cover!$C$15),2)</f>
        <v>1754.28</v>
      </c>
      <c r="Z746" s="9">
        <f>ROUND(SUMIFS('Odoo Items'!$G$5:$G$4331,'Odoo Items'!$J$5:$J$4331,A746,'Odoo Items'!$C$5:$C$4331,"&lt;="&amp;Cover!$C$15),2)</f>
        <v>1754.28</v>
      </c>
      <c r="AA746">
        <f>COUNTIFS('Bank Lines'!$G$5:$G$1640,A746,'Bank Lines'!$J$5:$J$1640,1,'Bank Lines'!$C$5:$C$1640,"&lt;="&amp;Cover!$C$15)</f>
        <v>1</v>
      </c>
      <c r="AB746">
        <f>COUNTIFS('Odoo Items'!$J$5:$J$4331,A746,'Odoo Items'!$C$5:$C$4331,"&lt;="&amp;Cover!$C$15)</f>
        <v>1</v>
      </c>
      <c r="AC746" t="str">
        <f>IF(AND(AA746=0,AB746=0),"",IF(AA746=0,"ODOO-ONLY",IF(AB746=0,"BANK-ONLY","BOTH")))</f>
        <v>BOTH</v>
      </c>
      <c r="AD746" s="9">
        <f>IF(AC746="BOTH",ROUND(Y746-Z746,2),0)</f>
        <v>0</v>
      </c>
    </row>
    <row r="747">
      <c r="A747" t="inlineStr">
        <is>
          <t>G00743</t>
        </is>
      </c>
      <c r="B747" t="inlineStr">
        <is>
          <t>MER</t>
        </is>
      </c>
      <c r="C747" t="inlineStr">
        <is>
          <t>R08</t>
        </is>
      </c>
      <c r="D747" t="inlineStr">
        <is>
          <t>MATCH</t>
        </is>
      </c>
      <c r="E747" t="inlineStr"/>
      <c r="G747" t="inlineStr"/>
      <c r="H747">
        <f>COUNTIFS('Bank Lines'!$G$5:$G$1640,A747,'Bank Lines'!$J$5:$J$1640,1)</f>
        <v>1</v>
      </c>
      <c r="I747">
        <f>COUNTIFS('Odoo Items'!$J$5:$J$4331,A747)</f>
        <v>1</v>
      </c>
      <c r="J747" s="9">
        <f>ROUND(SUMIFS('Bank Lines'!$E$5:$E$1640,'Bank Lines'!$G$5:$G$1640,A747,'Bank Lines'!$J$5:$J$1640,1),2)</f>
        <v>3581.86</v>
      </c>
      <c r="K747" s="9">
        <f>ROUND(SUMIFS('Odoo Items'!$G$5:$G$4331,'Odoo Items'!$J$5:$J$4331,A747),2)</f>
        <v>3581.86</v>
      </c>
      <c r="L747" s="9">
        <f>ROUND(J747-K747,2)</f>
        <v>0</v>
      </c>
      <c r="M747" s="9">
        <f>ROUND(SUMIFS('Bank Lines'!$E$5:$E$1640,'Bank Lines'!$G$5:$G$1640,A747,'Bank Lines'!$J$5:$J$1640,1,'Bank Lines'!$C$5:$C$1640,"&lt;="&amp;Cover!$C$13),2)</f>
        <v>0</v>
      </c>
      <c r="N747" s="9">
        <f>ROUND(SUMIFS('Odoo Items'!$G$5:$G$4331,'Odoo Items'!$J$5:$J$4331,A747,'Odoo Items'!$C$5:$C$4331,"&lt;="&amp;Cover!$C$13),2)</f>
        <v>0</v>
      </c>
      <c r="O747">
        <f>COUNTIFS('Bank Lines'!$G$5:$G$1640,A747,'Bank Lines'!$J$5:$J$1640,1,'Bank Lines'!$C$5:$C$1640,"&lt;="&amp;Cover!$C$13)</f>
        <v>0</v>
      </c>
      <c r="P747">
        <f>COUNTIFS('Odoo Items'!$J$5:$J$4331,A747,'Odoo Items'!$C$5:$C$4331,"&lt;="&amp;Cover!$C$13)</f>
        <v>0</v>
      </c>
      <c r="Q747">
        <f>IF(AND(O747=0,P747=0),"",IF(O747=0,"ODOO-ONLY",IF(P747=0,"BANK-ONLY","BOTH")))</f>
      </c>
      <c r="R747" s="9">
        <f>IF(Q747="BOTH",ROUND(M747-N747,2),0)</f>
        <v>0</v>
      </c>
      <c r="S747" s="9">
        <f>ROUND(SUMIFS('Bank Lines'!$E$5:$E$1640,'Bank Lines'!$G$5:$G$1640,A747,'Bank Lines'!$J$5:$J$1640,1,'Bank Lines'!$C$5:$C$1640,"&lt;="&amp;Cover!$C$14),2)</f>
        <v>3581.86</v>
      </c>
      <c r="T747" s="9">
        <f>ROUND(SUMIFS('Odoo Items'!$G$5:$G$4331,'Odoo Items'!$J$5:$J$4331,A747,'Odoo Items'!$C$5:$C$4331,"&lt;="&amp;Cover!$C$14),2)</f>
        <v>3581.86</v>
      </c>
      <c r="U747">
        <f>COUNTIFS('Bank Lines'!$G$5:$G$1640,A747,'Bank Lines'!$J$5:$J$1640,1,'Bank Lines'!$C$5:$C$1640,"&lt;="&amp;Cover!$C$14)</f>
        <v>1</v>
      </c>
      <c r="V747">
        <f>COUNTIFS('Odoo Items'!$J$5:$J$4331,A747,'Odoo Items'!$C$5:$C$4331,"&lt;="&amp;Cover!$C$14)</f>
        <v>1</v>
      </c>
      <c r="W747" t="str">
        <f>IF(AND(U747=0,V747=0),"",IF(U747=0,"ODOO-ONLY",IF(V747=0,"BANK-ONLY","BOTH")))</f>
        <v>BOTH</v>
      </c>
      <c r="X747" s="9">
        <f>IF(W747="BOTH",ROUND(S747-T747,2),0)</f>
        <v>0</v>
      </c>
      <c r="Y747" s="9">
        <f>ROUND(SUMIFS('Bank Lines'!$E$5:$E$1640,'Bank Lines'!$G$5:$G$1640,A747,'Bank Lines'!$J$5:$J$1640,1,'Bank Lines'!$C$5:$C$1640,"&lt;="&amp;Cover!$C$15),2)</f>
        <v>3581.86</v>
      </c>
      <c r="Z747" s="9">
        <f>ROUND(SUMIFS('Odoo Items'!$G$5:$G$4331,'Odoo Items'!$J$5:$J$4331,A747,'Odoo Items'!$C$5:$C$4331,"&lt;="&amp;Cover!$C$15),2)</f>
        <v>3581.86</v>
      </c>
      <c r="AA747">
        <f>COUNTIFS('Bank Lines'!$G$5:$G$1640,A747,'Bank Lines'!$J$5:$J$1640,1,'Bank Lines'!$C$5:$C$1640,"&lt;="&amp;Cover!$C$15)</f>
        <v>1</v>
      </c>
      <c r="AB747">
        <f>COUNTIFS('Odoo Items'!$J$5:$J$4331,A747,'Odoo Items'!$C$5:$C$4331,"&lt;="&amp;Cover!$C$15)</f>
        <v>1</v>
      </c>
      <c r="AC747" t="str">
        <f>IF(AND(AA747=0,AB747=0),"",IF(AA747=0,"ODOO-ONLY",IF(AB747=0,"BANK-ONLY","BOTH")))</f>
        <v>BOTH</v>
      </c>
      <c r="AD747" s="9">
        <f>IF(AC747="BOTH",ROUND(Y747-Z747,2),0)</f>
        <v>0</v>
      </c>
    </row>
    <row r="748">
      <c r="A748" t="inlineStr">
        <is>
          <t>G00744</t>
        </is>
      </c>
      <c r="B748" t="inlineStr">
        <is>
          <t>MER</t>
        </is>
      </c>
      <c r="C748" t="inlineStr">
        <is>
          <t>R08</t>
        </is>
      </c>
      <c r="D748" t="inlineStr">
        <is>
          <t>MATCH</t>
        </is>
      </c>
      <c r="E748" t="inlineStr"/>
      <c r="G748" t="inlineStr"/>
      <c r="H748">
        <f>COUNTIFS('Bank Lines'!$G$5:$G$1640,A748,'Bank Lines'!$J$5:$J$1640,1)</f>
        <v>1</v>
      </c>
      <c r="I748">
        <f>COUNTIFS('Odoo Items'!$J$5:$J$4331,A748)</f>
        <v>1</v>
      </c>
      <c r="J748" s="9">
        <f>ROUND(SUMIFS('Bank Lines'!$E$5:$E$1640,'Bank Lines'!$G$5:$G$1640,A748,'Bank Lines'!$J$5:$J$1640,1),2)</f>
        <v>3214.33</v>
      </c>
      <c r="K748" s="9">
        <f>ROUND(SUMIFS('Odoo Items'!$G$5:$G$4331,'Odoo Items'!$J$5:$J$4331,A748),2)</f>
        <v>3214.33</v>
      </c>
      <c r="L748" s="9">
        <f>ROUND(J748-K748,2)</f>
        <v>0</v>
      </c>
      <c r="M748" s="9">
        <f>ROUND(SUMIFS('Bank Lines'!$E$5:$E$1640,'Bank Lines'!$G$5:$G$1640,A748,'Bank Lines'!$J$5:$J$1640,1,'Bank Lines'!$C$5:$C$1640,"&lt;="&amp;Cover!$C$13),2)</f>
        <v>0</v>
      </c>
      <c r="N748" s="9">
        <f>ROUND(SUMIFS('Odoo Items'!$G$5:$G$4331,'Odoo Items'!$J$5:$J$4331,A748,'Odoo Items'!$C$5:$C$4331,"&lt;="&amp;Cover!$C$13),2)</f>
        <v>0</v>
      </c>
      <c r="O748">
        <f>COUNTIFS('Bank Lines'!$G$5:$G$1640,A748,'Bank Lines'!$J$5:$J$1640,1,'Bank Lines'!$C$5:$C$1640,"&lt;="&amp;Cover!$C$13)</f>
        <v>0</v>
      </c>
      <c r="P748">
        <f>COUNTIFS('Odoo Items'!$J$5:$J$4331,A748,'Odoo Items'!$C$5:$C$4331,"&lt;="&amp;Cover!$C$13)</f>
        <v>0</v>
      </c>
      <c r="Q748">
        <f>IF(AND(O748=0,P748=0),"",IF(O748=0,"ODOO-ONLY",IF(P748=0,"BANK-ONLY","BOTH")))</f>
      </c>
      <c r="R748" s="9">
        <f>IF(Q748="BOTH",ROUND(M748-N748,2),0)</f>
        <v>0</v>
      </c>
      <c r="S748" s="9">
        <f>ROUND(SUMIFS('Bank Lines'!$E$5:$E$1640,'Bank Lines'!$G$5:$G$1640,A748,'Bank Lines'!$J$5:$J$1640,1,'Bank Lines'!$C$5:$C$1640,"&lt;="&amp;Cover!$C$14),2)</f>
        <v>3214.33</v>
      </c>
      <c r="T748" s="9">
        <f>ROUND(SUMIFS('Odoo Items'!$G$5:$G$4331,'Odoo Items'!$J$5:$J$4331,A748,'Odoo Items'!$C$5:$C$4331,"&lt;="&amp;Cover!$C$14),2)</f>
        <v>3214.33</v>
      </c>
      <c r="U748">
        <f>COUNTIFS('Bank Lines'!$G$5:$G$1640,A748,'Bank Lines'!$J$5:$J$1640,1,'Bank Lines'!$C$5:$C$1640,"&lt;="&amp;Cover!$C$14)</f>
        <v>1</v>
      </c>
      <c r="V748">
        <f>COUNTIFS('Odoo Items'!$J$5:$J$4331,A748,'Odoo Items'!$C$5:$C$4331,"&lt;="&amp;Cover!$C$14)</f>
        <v>1</v>
      </c>
      <c r="W748" t="str">
        <f>IF(AND(U748=0,V748=0),"",IF(U748=0,"ODOO-ONLY",IF(V748=0,"BANK-ONLY","BOTH")))</f>
        <v>BOTH</v>
      </c>
      <c r="X748" s="9">
        <f>IF(W748="BOTH",ROUND(S748-T748,2),0)</f>
        <v>0</v>
      </c>
      <c r="Y748" s="9">
        <f>ROUND(SUMIFS('Bank Lines'!$E$5:$E$1640,'Bank Lines'!$G$5:$G$1640,A748,'Bank Lines'!$J$5:$J$1640,1,'Bank Lines'!$C$5:$C$1640,"&lt;="&amp;Cover!$C$15),2)</f>
        <v>3214.33</v>
      </c>
      <c r="Z748" s="9">
        <f>ROUND(SUMIFS('Odoo Items'!$G$5:$G$4331,'Odoo Items'!$J$5:$J$4331,A748,'Odoo Items'!$C$5:$C$4331,"&lt;="&amp;Cover!$C$15),2)</f>
        <v>3214.33</v>
      </c>
      <c r="AA748">
        <f>COUNTIFS('Bank Lines'!$G$5:$G$1640,A748,'Bank Lines'!$J$5:$J$1640,1,'Bank Lines'!$C$5:$C$1640,"&lt;="&amp;Cover!$C$15)</f>
        <v>1</v>
      </c>
      <c r="AB748">
        <f>COUNTIFS('Odoo Items'!$J$5:$J$4331,A748,'Odoo Items'!$C$5:$C$4331,"&lt;="&amp;Cover!$C$15)</f>
        <v>1</v>
      </c>
      <c r="AC748" t="str">
        <f>IF(AND(AA748=0,AB748=0),"",IF(AA748=0,"ODOO-ONLY",IF(AB748=0,"BANK-ONLY","BOTH")))</f>
        <v>BOTH</v>
      </c>
      <c r="AD748" s="9">
        <f>IF(AC748="BOTH",ROUND(Y748-Z748,2),0)</f>
        <v>0</v>
      </c>
    </row>
    <row r="749">
      <c r="A749" t="inlineStr">
        <is>
          <t>G00745</t>
        </is>
      </c>
      <c r="B749" t="inlineStr">
        <is>
          <t>MER</t>
        </is>
      </c>
      <c r="C749" t="inlineStr">
        <is>
          <t>R08</t>
        </is>
      </c>
      <c r="D749" t="inlineStr">
        <is>
          <t>MATCH</t>
        </is>
      </c>
      <c r="E749" t="inlineStr"/>
      <c r="G749" t="inlineStr"/>
      <c r="H749">
        <f>COUNTIFS('Bank Lines'!$G$5:$G$1640,A749,'Bank Lines'!$J$5:$J$1640,1)</f>
        <v>1</v>
      </c>
      <c r="I749">
        <f>COUNTIFS('Odoo Items'!$J$5:$J$4331,A749)</f>
        <v>1</v>
      </c>
      <c r="J749" s="9">
        <f>ROUND(SUMIFS('Bank Lines'!$E$5:$E$1640,'Bank Lines'!$G$5:$G$1640,A749,'Bank Lines'!$J$5:$J$1640,1),2)</f>
        <v>2430.35</v>
      </c>
      <c r="K749" s="9">
        <f>ROUND(SUMIFS('Odoo Items'!$G$5:$G$4331,'Odoo Items'!$J$5:$J$4331,A749),2)</f>
        <v>2430.35</v>
      </c>
      <c r="L749" s="9">
        <f>ROUND(J749-K749,2)</f>
        <v>0</v>
      </c>
      <c r="M749" s="9">
        <f>ROUND(SUMIFS('Bank Lines'!$E$5:$E$1640,'Bank Lines'!$G$5:$G$1640,A749,'Bank Lines'!$J$5:$J$1640,1,'Bank Lines'!$C$5:$C$1640,"&lt;="&amp;Cover!$C$13),2)</f>
        <v>0</v>
      </c>
      <c r="N749" s="9">
        <f>ROUND(SUMIFS('Odoo Items'!$G$5:$G$4331,'Odoo Items'!$J$5:$J$4331,A749,'Odoo Items'!$C$5:$C$4331,"&lt;="&amp;Cover!$C$13),2)</f>
        <v>0</v>
      </c>
      <c r="O749">
        <f>COUNTIFS('Bank Lines'!$G$5:$G$1640,A749,'Bank Lines'!$J$5:$J$1640,1,'Bank Lines'!$C$5:$C$1640,"&lt;="&amp;Cover!$C$13)</f>
        <v>0</v>
      </c>
      <c r="P749">
        <f>COUNTIFS('Odoo Items'!$J$5:$J$4331,A749,'Odoo Items'!$C$5:$C$4331,"&lt;="&amp;Cover!$C$13)</f>
        <v>0</v>
      </c>
      <c r="Q749">
        <f>IF(AND(O749=0,P749=0),"",IF(O749=0,"ODOO-ONLY",IF(P749=0,"BANK-ONLY","BOTH")))</f>
      </c>
      <c r="R749" s="9">
        <f>IF(Q749="BOTH",ROUND(M749-N749,2),0)</f>
        <v>0</v>
      </c>
      <c r="S749" s="9">
        <f>ROUND(SUMIFS('Bank Lines'!$E$5:$E$1640,'Bank Lines'!$G$5:$G$1640,A749,'Bank Lines'!$J$5:$J$1640,1,'Bank Lines'!$C$5:$C$1640,"&lt;="&amp;Cover!$C$14),2)</f>
        <v>2430.35</v>
      </c>
      <c r="T749" s="9">
        <f>ROUND(SUMIFS('Odoo Items'!$G$5:$G$4331,'Odoo Items'!$J$5:$J$4331,A749,'Odoo Items'!$C$5:$C$4331,"&lt;="&amp;Cover!$C$14),2)</f>
        <v>2430.35</v>
      </c>
      <c r="U749">
        <f>COUNTIFS('Bank Lines'!$G$5:$G$1640,A749,'Bank Lines'!$J$5:$J$1640,1,'Bank Lines'!$C$5:$C$1640,"&lt;="&amp;Cover!$C$14)</f>
        <v>1</v>
      </c>
      <c r="V749">
        <f>COUNTIFS('Odoo Items'!$J$5:$J$4331,A749,'Odoo Items'!$C$5:$C$4331,"&lt;="&amp;Cover!$C$14)</f>
        <v>1</v>
      </c>
      <c r="W749" t="str">
        <f>IF(AND(U749=0,V749=0),"",IF(U749=0,"ODOO-ONLY",IF(V749=0,"BANK-ONLY","BOTH")))</f>
        <v>BOTH</v>
      </c>
      <c r="X749" s="9">
        <f>IF(W749="BOTH",ROUND(S749-T749,2),0)</f>
        <v>0</v>
      </c>
      <c r="Y749" s="9">
        <f>ROUND(SUMIFS('Bank Lines'!$E$5:$E$1640,'Bank Lines'!$G$5:$G$1640,A749,'Bank Lines'!$J$5:$J$1640,1,'Bank Lines'!$C$5:$C$1640,"&lt;="&amp;Cover!$C$15),2)</f>
        <v>2430.35</v>
      </c>
      <c r="Z749" s="9">
        <f>ROUND(SUMIFS('Odoo Items'!$G$5:$G$4331,'Odoo Items'!$J$5:$J$4331,A749,'Odoo Items'!$C$5:$C$4331,"&lt;="&amp;Cover!$C$15),2)</f>
        <v>2430.35</v>
      </c>
      <c r="AA749">
        <f>COUNTIFS('Bank Lines'!$G$5:$G$1640,A749,'Bank Lines'!$J$5:$J$1640,1,'Bank Lines'!$C$5:$C$1640,"&lt;="&amp;Cover!$C$15)</f>
        <v>1</v>
      </c>
      <c r="AB749">
        <f>COUNTIFS('Odoo Items'!$J$5:$J$4331,A749,'Odoo Items'!$C$5:$C$4331,"&lt;="&amp;Cover!$C$15)</f>
        <v>1</v>
      </c>
      <c r="AC749" t="str">
        <f>IF(AND(AA749=0,AB749=0),"",IF(AA749=0,"ODOO-ONLY",IF(AB749=0,"BANK-ONLY","BOTH")))</f>
        <v>BOTH</v>
      </c>
      <c r="AD749" s="9">
        <f>IF(AC749="BOTH",ROUND(Y749-Z749,2),0)</f>
        <v>0</v>
      </c>
    </row>
    <row r="750">
      <c r="A750" t="inlineStr">
        <is>
          <t>G00746</t>
        </is>
      </c>
      <c r="B750" t="inlineStr">
        <is>
          <t>MER</t>
        </is>
      </c>
      <c r="C750" t="inlineStr">
        <is>
          <t>R08</t>
        </is>
      </c>
      <c r="D750" t="inlineStr">
        <is>
          <t>MATCH</t>
        </is>
      </c>
      <c r="E750" t="inlineStr"/>
      <c r="G750" t="inlineStr"/>
      <c r="H750">
        <f>COUNTIFS('Bank Lines'!$G$5:$G$1640,A750,'Bank Lines'!$J$5:$J$1640,1)</f>
        <v>1</v>
      </c>
      <c r="I750">
        <f>COUNTIFS('Odoo Items'!$J$5:$J$4331,A750)</f>
        <v>1</v>
      </c>
      <c r="J750" s="9">
        <f>ROUND(SUMIFS('Bank Lines'!$E$5:$E$1640,'Bank Lines'!$G$5:$G$1640,A750,'Bank Lines'!$J$5:$J$1640,1),2)</f>
        <v>2329.59</v>
      </c>
      <c r="K750" s="9">
        <f>ROUND(SUMIFS('Odoo Items'!$G$5:$G$4331,'Odoo Items'!$J$5:$J$4331,A750),2)</f>
        <v>2329.59</v>
      </c>
      <c r="L750" s="9">
        <f>ROUND(J750-K750,2)</f>
        <v>0</v>
      </c>
      <c r="M750" s="9">
        <f>ROUND(SUMIFS('Bank Lines'!$E$5:$E$1640,'Bank Lines'!$G$5:$G$1640,A750,'Bank Lines'!$J$5:$J$1640,1,'Bank Lines'!$C$5:$C$1640,"&lt;="&amp;Cover!$C$13),2)</f>
        <v>0</v>
      </c>
      <c r="N750" s="9">
        <f>ROUND(SUMIFS('Odoo Items'!$G$5:$G$4331,'Odoo Items'!$J$5:$J$4331,A750,'Odoo Items'!$C$5:$C$4331,"&lt;="&amp;Cover!$C$13),2)</f>
        <v>0</v>
      </c>
      <c r="O750">
        <f>COUNTIFS('Bank Lines'!$G$5:$G$1640,A750,'Bank Lines'!$J$5:$J$1640,1,'Bank Lines'!$C$5:$C$1640,"&lt;="&amp;Cover!$C$13)</f>
        <v>0</v>
      </c>
      <c r="P750">
        <f>COUNTIFS('Odoo Items'!$J$5:$J$4331,A750,'Odoo Items'!$C$5:$C$4331,"&lt;="&amp;Cover!$C$13)</f>
        <v>0</v>
      </c>
      <c r="Q750">
        <f>IF(AND(O750=0,P750=0),"",IF(O750=0,"ODOO-ONLY",IF(P750=0,"BANK-ONLY","BOTH")))</f>
      </c>
      <c r="R750" s="9">
        <f>IF(Q750="BOTH",ROUND(M750-N750,2),0)</f>
        <v>0</v>
      </c>
      <c r="S750" s="9">
        <f>ROUND(SUMIFS('Bank Lines'!$E$5:$E$1640,'Bank Lines'!$G$5:$G$1640,A750,'Bank Lines'!$J$5:$J$1640,1,'Bank Lines'!$C$5:$C$1640,"&lt;="&amp;Cover!$C$14),2)</f>
        <v>2329.59</v>
      </c>
      <c r="T750" s="9">
        <f>ROUND(SUMIFS('Odoo Items'!$G$5:$G$4331,'Odoo Items'!$J$5:$J$4331,A750,'Odoo Items'!$C$5:$C$4331,"&lt;="&amp;Cover!$C$14),2)</f>
        <v>2329.59</v>
      </c>
      <c r="U750">
        <f>COUNTIFS('Bank Lines'!$G$5:$G$1640,A750,'Bank Lines'!$J$5:$J$1640,1,'Bank Lines'!$C$5:$C$1640,"&lt;="&amp;Cover!$C$14)</f>
        <v>1</v>
      </c>
      <c r="V750">
        <f>COUNTIFS('Odoo Items'!$J$5:$J$4331,A750,'Odoo Items'!$C$5:$C$4331,"&lt;="&amp;Cover!$C$14)</f>
        <v>1</v>
      </c>
      <c r="W750" t="str">
        <f>IF(AND(U750=0,V750=0),"",IF(U750=0,"ODOO-ONLY",IF(V750=0,"BANK-ONLY","BOTH")))</f>
        <v>BOTH</v>
      </c>
      <c r="X750" s="9">
        <f>IF(W750="BOTH",ROUND(S750-T750,2),0)</f>
        <v>0</v>
      </c>
      <c r="Y750" s="9">
        <f>ROUND(SUMIFS('Bank Lines'!$E$5:$E$1640,'Bank Lines'!$G$5:$G$1640,A750,'Bank Lines'!$J$5:$J$1640,1,'Bank Lines'!$C$5:$C$1640,"&lt;="&amp;Cover!$C$15),2)</f>
        <v>2329.59</v>
      </c>
      <c r="Z750" s="9">
        <f>ROUND(SUMIFS('Odoo Items'!$G$5:$G$4331,'Odoo Items'!$J$5:$J$4331,A750,'Odoo Items'!$C$5:$C$4331,"&lt;="&amp;Cover!$C$15),2)</f>
        <v>2329.59</v>
      </c>
      <c r="AA750">
        <f>COUNTIFS('Bank Lines'!$G$5:$G$1640,A750,'Bank Lines'!$J$5:$J$1640,1,'Bank Lines'!$C$5:$C$1640,"&lt;="&amp;Cover!$C$15)</f>
        <v>1</v>
      </c>
      <c r="AB750">
        <f>COUNTIFS('Odoo Items'!$J$5:$J$4331,A750,'Odoo Items'!$C$5:$C$4331,"&lt;="&amp;Cover!$C$15)</f>
        <v>1</v>
      </c>
      <c r="AC750" t="str">
        <f>IF(AND(AA750=0,AB750=0),"",IF(AA750=0,"ODOO-ONLY",IF(AB750=0,"BANK-ONLY","BOTH")))</f>
        <v>BOTH</v>
      </c>
      <c r="AD750" s="9">
        <f>IF(AC750="BOTH",ROUND(Y750-Z750,2),0)</f>
        <v>0</v>
      </c>
    </row>
    <row r="751">
      <c r="A751" t="inlineStr">
        <is>
          <t>G00747</t>
        </is>
      </c>
      <c r="B751" t="inlineStr">
        <is>
          <t>MER</t>
        </is>
      </c>
      <c r="C751" t="inlineStr">
        <is>
          <t>R08</t>
        </is>
      </c>
      <c r="D751" t="inlineStr">
        <is>
          <t>MATCH</t>
        </is>
      </c>
      <c r="E751" t="inlineStr"/>
      <c r="G751" t="inlineStr"/>
      <c r="H751">
        <f>COUNTIFS('Bank Lines'!$G$5:$G$1640,A751,'Bank Lines'!$J$5:$J$1640,1)</f>
        <v>1</v>
      </c>
      <c r="I751">
        <f>COUNTIFS('Odoo Items'!$J$5:$J$4331,A751)</f>
        <v>1</v>
      </c>
      <c r="J751" s="9">
        <f>ROUND(SUMIFS('Bank Lines'!$E$5:$E$1640,'Bank Lines'!$G$5:$G$1640,A751,'Bank Lines'!$J$5:$J$1640,1),2)</f>
        <v>3130.18</v>
      </c>
      <c r="K751" s="9">
        <f>ROUND(SUMIFS('Odoo Items'!$G$5:$G$4331,'Odoo Items'!$J$5:$J$4331,A751),2)</f>
        <v>3130.18</v>
      </c>
      <c r="L751" s="9">
        <f>ROUND(J751-K751,2)</f>
        <v>0</v>
      </c>
      <c r="M751" s="9">
        <f>ROUND(SUMIFS('Bank Lines'!$E$5:$E$1640,'Bank Lines'!$G$5:$G$1640,A751,'Bank Lines'!$J$5:$J$1640,1,'Bank Lines'!$C$5:$C$1640,"&lt;="&amp;Cover!$C$13),2)</f>
        <v>0</v>
      </c>
      <c r="N751" s="9">
        <f>ROUND(SUMIFS('Odoo Items'!$G$5:$G$4331,'Odoo Items'!$J$5:$J$4331,A751,'Odoo Items'!$C$5:$C$4331,"&lt;="&amp;Cover!$C$13),2)</f>
        <v>0</v>
      </c>
      <c r="O751">
        <f>COUNTIFS('Bank Lines'!$G$5:$G$1640,A751,'Bank Lines'!$J$5:$J$1640,1,'Bank Lines'!$C$5:$C$1640,"&lt;="&amp;Cover!$C$13)</f>
        <v>0</v>
      </c>
      <c r="P751">
        <f>COUNTIFS('Odoo Items'!$J$5:$J$4331,A751,'Odoo Items'!$C$5:$C$4331,"&lt;="&amp;Cover!$C$13)</f>
        <v>0</v>
      </c>
      <c r="Q751">
        <f>IF(AND(O751=0,P751=0),"",IF(O751=0,"ODOO-ONLY",IF(P751=0,"BANK-ONLY","BOTH")))</f>
      </c>
      <c r="R751" s="9">
        <f>IF(Q751="BOTH",ROUND(M751-N751,2),0)</f>
        <v>0</v>
      </c>
      <c r="S751" s="9">
        <f>ROUND(SUMIFS('Bank Lines'!$E$5:$E$1640,'Bank Lines'!$G$5:$G$1640,A751,'Bank Lines'!$J$5:$J$1640,1,'Bank Lines'!$C$5:$C$1640,"&lt;="&amp;Cover!$C$14),2)</f>
        <v>3130.18</v>
      </c>
      <c r="T751" s="9">
        <f>ROUND(SUMIFS('Odoo Items'!$G$5:$G$4331,'Odoo Items'!$J$5:$J$4331,A751,'Odoo Items'!$C$5:$C$4331,"&lt;="&amp;Cover!$C$14),2)</f>
        <v>3130.18</v>
      </c>
      <c r="U751">
        <f>COUNTIFS('Bank Lines'!$G$5:$G$1640,A751,'Bank Lines'!$J$5:$J$1640,1,'Bank Lines'!$C$5:$C$1640,"&lt;="&amp;Cover!$C$14)</f>
        <v>1</v>
      </c>
      <c r="V751">
        <f>COUNTIFS('Odoo Items'!$J$5:$J$4331,A751,'Odoo Items'!$C$5:$C$4331,"&lt;="&amp;Cover!$C$14)</f>
        <v>1</v>
      </c>
      <c r="W751" t="str">
        <f>IF(AND(U751=0,V751=0),"",IF(U751=0,"ODOO-ONLY",IF(V751=0,"BANK-ONLY","BOTH")))</f>
        <v>BOTH</v>
      </c>
      <c r="X751" s="9">
        <f>IF(W751="BOTH",ROUND(S751-T751,2),0)</f>
        <v>0</v>
      </c>
      <c r="Y751" s="9">
        <f>ROUND(SUMIFS('Bank Lines'!$E$5:$E$1640,'Bank Lines'!$G$5:$G$1640,A751,'Bank Lines'!$J$5:$J$1640,1,'Bank Lines'!$C$5:$C$1640,"&lt;="&amp;Cover!$C$15),2)</f>
        <v>3130.18</v>
      </c>
      <c r="Z751" s="9">
        <f>ROUND(SUMIFS('Odoo Items'!$G$5:$G$4331,'Odoo Items'!$J$5:$J$4331,A751,'Odoo Items'!$C$5:$C$4331,"&lt;="&amp;Cover!$C$15),2)</f>
        <v>3130.18</v>
      </c>
      <c r="AA751">
        <f>COUNTIFS('Bank Lines'!$G$5:$G$1640,A751,'Bank Lines'!$J$5:$J$1640,1,'Bank Lines'!$C$5:$C$1640,"&lt;="&amp;Cover!$C$15)</f>
        <v>1</v>
      </c>
      <c r="AB751">
        <f>COUNTIFS('Odoo Items'!$J$5:$J$4331,A751,'Odoo Items'!$C$5:$C$4331,"&lt;="&amp;Cover!$C$15)</f>
        <v>1</v>
      </c>
      <c r="AC751" t="str">
        <f>IF(AND(AA751=0,AB751=0),"",IF(AA751=0,"ODOO-ONLY",IF(AB751=0,"BANK-ONLY","BOTH")))</f>
        <v>BOTH</v>
      </c>
      <c r="AD751" s="9">
        <f>IF(AC751="BOTH",ROUND(Y751-Z751,2),0)</f>
        <v>0</v>
      </c>
    </row>
    <row r="752">
      <c r="A752" t="inlineStr">
        <is>
          <t>G00748</t>
        </is>
      </c>
      <c r="B752" t="inlineStr">
        <is>
          <t>MER</t>
        </is>
      </c>
      <c r="C752" t="inlineStr">
        <is>
          <t>R08</t>
        </is>
      </c>
      <c r="D752" t="inlineStr">
        <is>
          <t>MATCH</t>
        </is>
      </c>
      <c r="E752" t="inlineStr"/>
      <c r="G752" t="inlineStr"/>
      <c r="H752">
        <f>COUNTIFS('Bank Lines'!$G$5:$G$1640,A752,'Bank Lines'!$J$5:$J$1640,1)</f>
        <v>1</v>
      </c>
      <c r="I752">
        <f>COUNTIFS('Odoo Items'!$J$5:$J$4331,A752)</f>
        <v>1</v>
      </c>
      <c r="J752" s="9">
        <f>ROUND(SUMIFS('Bank Lines'!$E$5:$E$1640,'Bank Lines'!$G$5:$G$1640,A752,'Bank Lines'!$J$5:$J$1640,1),2)</f>
        <v>3596.75</v>
      </c>
      <c r="K752" s="9">
        <f>ROUND(SUMIFS('Odoo Items'!$G$5:$G$4331,'Odoo Items'!$J$5:$J$4331,A752),2)</f>
        <v>3596.75</v>
      </c>
      <c r="L752" s="9">
        <f>ROUND(J752-K752,2)</f>
        <v>0</v>
      </c>
      <c r="M752" s="9">
        <f>ROUND(SUMIFS('Bank Lines'!$E$5:$E$1640,'Bank Lines'!$G$5:$G$1640,A752,'Bank Lines'!$J$5:$J$1640,1,'Bank Lines'!$C$5:$C$1640,"&lt;="&amp;Cover!$C$13),2)</f>
        <v>0</v>
      </c>
      <c r="N752" s="9">
        <f>ROUND(SUMIFS('Odoo Items'!$G$5:$G$4331,'Odoo Items'!$J$5:$J$4331,A752,'Odoo Items'!$C$5:$C$4331,"&lt;="&amp;Cover!$C$13),2)</f>
        <v>0</v>
      </c>
      <c r="O752">
        <f>COUNTIFS('Bank Lines'!$G$5:$G$1640,A752,'Bank Lines'!$J$5:$J$1640,1,'Bank Lines'!$C$5:$C$1640,"&lt;="&amp;Cover!$C$13)</f>
        <v>0</v>
      </c>
      <c r="P752">
        <f>COUNTIFS('Odoo Items'!$J$5:$J$4331,A752,'Odoo Items'!$C$5:$C$4331,"&lt;="&amp;Cover!$C$13)</f>
        <v>0</v>
      </c>
      <c r="Q752">
        <f>IF(AND(O752=0,P752=0),"",IF(O752=0,"ODOO-ONLY",IF(P752=0,"BANK-ONLY","BOTH")))</f>
      </c>
      <c r="R752" s="9">
        <f>IF(Q752="BOTH",ROUND(M752-N752,2),0)</f>
        <v>0</v>
      </c>
      <c r="S752" s="9">
        <f>ROUND(SUMIFS('Bank Lines'!$E$5:$E$1640,'Bank Lines'!$G$5:$G$1640,A752,'Bank Lines'!$J$5:$J$1640,1,'Bank Lines'!$C$5:$C$1640,"&lt;="&amp;Cover!$C$14),2)</f>
        <v>3596.75</v>
      </c>
      <c r="T752" s="9">
        <f>ROUND(SUMIFS('Odoo Items'!$G$5:$G$4331,'Odoo Items'!$J$5:$J$4331,A752,'Odoo Items'!$C$5:$C$4331,"&lt;="&amp;Cover!$C$14),2)</f>
        <v>3596.75</v>
      </c>
      <c r="U752">
        <f>COUNTIFS('Bank Lines'!$G$5:$G$1640,A752,'Bank Lines'!$J$5:$J$1640,1,'Bank Lines'!$C$5:$C$1640,"&lt;="&amp;Cover!$C$14)</f>
        <v>1</v>
      </c>
      <c r="V752">
        <f>COUNTIFS('Odoo Items'!$J$5:$J$4331,A752,'Odoo Items'!$C$5:$C$4331,"&lt;="&amp;Cover!$C$14)</f>
        <v>1</v>
      </c>
      <c r="W752" t="str">
        <f>IF(AND(U752=0,V752=0),"",IF(U752=0,"ODOO-ONLY",IF(V752=0,"BANK-ONLY","BOTH")))</f>
        <v>BOTH</v>
      </c>
      <c r="X752" s="9">
        <f>IF(W752="BOTH",ROUND(S752-T752,2),0)</f>
        <v>0</v>
      </c>
      <c r="Y752" s="9">
        <f>ROUND(SUMIFS('Bank Lines'!$E$5:$E$1640,'Bank Lines'!$G$5:$G$1640,A752,'Bank Lines'!$J$5:$J$1640,1,'Bank Lines'!$C$5:$C$1640,"&lt;="&amp;Cover!$C$15),2)</f>
        <v>3596.75</v>
      </c>
      <c r="Z752" s="9">
        <f>ROUND(SUMIFS('Odoo Items'!$G$5:$G$4331,'Odoo Items'!$J$5:$J$4331,A752,'Odoo Items'!$C$5:$C$4331,"&lt;="&amp;Cover!$C$15),2)</f>
        <v>3596.75</v>
      </c>
      <c r="AA752">
        <f>COUNTIFS('Bank Lines'!$G$5:$G$1640,A752,'Bank Lines'!$J$5:$J$1640,1,'Bank Lines'!$C$5:$C$1640,"&lt;="&amp;Cover!$C$15)</f>
        <v>1</v>
      </c>
      <c r="AB752">
        <f>COUNTIFS('Odoo Items'!$J$5:$J$4331,A752,'Odoo Items'!$C$5:$C$4331,"&lt;="&amp;Cover!$C$15)</f>
        <v>1</v>
      </c>
      <c r="AC752" t="str">
        <f>IF(AND(AA752=0,AB752=0),"",IF(AA752=0,"ODOO-ONLY",IF(AB752=0,"BANK-ONLY","BOTH")))</f>
        <v>BOTH</v>
      </c>
      <c r="AD752" s="9">
        <f>IF(AC752="BOTH",ROUND(Y752-Z752,2),0)</f>
        <v>0</v>
      </c>
    </row>
    <row r="753">
      <c r="A753" t="inlineStr">
        <is>
          <t>G00749</t>
        </is>
      </c>
      <c r="B753" t="inlineStr">
        <is>
          <t>MER</t>
        </is>
      </c>
      <c r="C753" t="inlineStr">
        <is>
          <t>R08</t>
        </is>
      </c>
      <c r="D753" t="inlineStr">
        <is>
          <t>MATCH</t>
        </is>
      </c>
      <c r="E753" t="inlineStr"/>
      <c r="G753" t="inlineStr"/>
      <c r="H753">
        <f>COUNTIFS('Bank Lines'!$G$5:$G$1640,A753,'Bank Lines'!$J$5:$J$1640,1)</f>
        <v>1</v>
      </c>
      <c r="I753">
        <f>COUNTIFS('Odoo Items'!$J$5:$J$4331,A753)</f>
        <v>1</v>
      </c>
      <c r="J753" s="9">
        <f>ROUND(SUMIFS('Bank Lines'!$E$5:$E$1640,'Bank Lines'!$G$5:$G$1640,A753,'Bank Lines'!$J$5:$J$1640,1),2)</f>
        <v>1846.54</v>
      </c>
      <c r="K753" s="9">
        <f>ROUND(SUMIFS('Odoo Items'!$G$5:$G$4331,'Odoo Items'!$J$5:$J$4331,A753),2)</f>
        <v>1846.54</v>
      </c>
      <c r="L753" s="9">
        <f>ROUND(J753-K753,2)</f>
        <v>0</v>
      </c>
      <c r="M753" s="9">
        <f>ROUND(SUMIFS('Bank Lines'!$E$5:$E$1640,'Bank Lines'!$G$5:$G$1640,A753,'Bank Lines'!$J$5:$J$1640,1,'Bank Lines'!$C$5:$C$1640,"&lt;="&amp;Cover!$C$13),2)</f>
        <v>0</v>
      </c>
      <c r="N753" s="9">
        <f>ROUND(SUMIFS('Odoo Items'!$G$5:$G$4331,'Odoo Items'!$J$5:$J$4331,A753,'Odoo Items'!$C$5:$C$4331,"&lt;="&amp;Cover!$C$13),2)</f>
        <v>0</v>
      </c>
      <c r="O753">
        <f>COUNTIFS('Bank Lines'!$G$5:$G$1640,A753,'Bank Lines'!$J$5:$J$1640,1,'Bank Lines'!$C$5:$C$1640,"&lt;="&amp;Cover!$C$13)</f>
        <v>0</v>
      </c>
      <c r="P753">
        <f>COUNTIFS('Odoo Items'!$J$5:$J$4331,A753,'Odoo Items'!$C$5:$C$4331,"&lt;="&amp;Cover!$C$13)</f>
        <v>0</v>
      </c>
      <c r="Q753">
        <f>IF(AND(O753=0,P753=0),"",IF(O753=0,"ODOO-ONLY",IF(P753=0,"BANK-ONLY","BOTH")))</f>
      </c>
      <c r="R753" s="9">
        <f>IF(Q753="BOTH",ROUND(M753-N753,2),0)</f>
        <v>0</v>
      </c>
      <c r="S753" s="9">
        <f>ROUND(SUMIFS('Bank Lines'!$E$5:$E$1640,'Bank Lines'!$G$5:$G$1640,A753,'Bank Lines'!$J$5:$J$1640,1,'Bank Lines'!$C$5:$C$1640,"&lt;="&amp;Cover!$C$14),2)</f>
        <v>1846.54</v>
      </c>
      <c r="T753" s="9">
        <f>ROUND(SUMIFS('Odoo Items'!$G$5:$G$4331,'Odoo Items'!$J$5:$J$4331,A753,'Odoo Items'!$C$5:$C$4331,"&lt;="&amp;Cover!$C$14),2)</f>
        <v>1846.54</v>
      </c>
      <c r="U753">
        <f>COUNTIFS('Bank Lines'!$G$5:$G$1640,A753,'Bank Lines'!$J$5:$J$1640,1,'Bank Lines'!$C$5:$C$1640,"&lt;="&amp;Cover!$C$14)</f>
        <v>1</v>
      </c>
      <c r="V753">
        <f>COUNTIFS('Odoo Items'!$J$5:$J$4331,A753,'Odoo Items'!$C$5:$C$4331,"&lt;="&amp;Cover!$C$14)</f>
        <v>1</v>
      </c>
      <c r="W753" t="str">
        <f>IF(AND(U753=0,V753=0),"",IF(U753=0,"ODOO-ONLY",IF(V753=0,"BANK-ONLY","BOTH")))</f>
        <v>BOTH</v>
      </c>
      <c r="X753" s="9">
        <f>IF(W753="BOTH",ROUND(S753-T753,2),0)</f>
        <v>0</v>
      </c>
      <c r="Y753" s="9">
        <f>ROUND(SUMIFS('Bank Lines'!$E$5:$E$1640,'Bank Lines'!$G$5:$G$1640,A753,'Bank Lines'!$J$5:$J$1640,1,'Bank Lines'!$C$5:$C$1640,"&lt;="&amp;Cover!$C$15),2)</f>
        <v>1846.54</v>
      </c>
      <c r="Z753" s="9">
        <f>ROUND(SUMIFS('Odoo Items'!$G$5:$G$4331,'Odoo Items'!$J$5:$J$4331,A753,'Odoo Items'!$C$5:$C$4331,"&lt;="&amp;Cover!$C$15),2)</f>
        <v>1846.54</v>
      </c>
      <c r="AA753">
        <f>COUNTIFS('Bank Lines'!$G$5:$G$1640,A753,'Bank Lines'!$J$5:$J$1640,1,'Bank Lines'!$C$5:$C$1640,"&lt;="&amp;Cover!$C$15)</f>
        <v>1</v>
      </c>
      <c r="AB753">
        <f>COUNTIFS('Odoo Items'!$J$5:$J$4331,A753,'Odoo Items'!$C$5:$C$4331,"&lt;="&amp;Cover!$C$15)</f>
        <v>1</v>
      </c>
      <c r="AC753" t="str">
        <f>IF(AND(AA753=0,AB753=0),"",IF(AA753=0,"ODOO-ONLY",IF(AB753=0,"BANK-ONLY","BOTH")))</f>
        <v>BOTH</v>
      </c>
      <c r="AD753" s="9">
        <f>IF(AC753="BOTH",ROUND(Y753-Z753,2),0)</f>
        <v>0</v>
      </c>
    </row>
    <row r="754">
      <c r="A754" t="inlineStr">
        <is>
          <t>G00750</t>
        </is>
      </c>
      <c r="B754" t="inlineStr">
        <is>
          <t>MER</t>
        </is>
      </c>
      <c r="C754" t="inlineStr">
        <is>
          <t>R08</t>
        </is>
      </c>
      <c r="D754" t="inlineStr">
        <is>
          <t>MATCH</t>
        </is>
      </c>
      <c r="E754" t="inlineStr"/>
      <c r="G754" t="inlineStr"/>
      <c r="H754">
        <f>COUNTIFS('Bank Lines'!$G$5:$G$1640,A754,'Bank Lines'!$J$5:$J$1640,1)</f>
        <v>1</v>
      </c>
      <c r="I754">
        <f>COUNTIFS('Odoo Items'!$J$5:$J$4331,A754)</f>
        <v>1</v>
      </c>
      <c r="J754" s="9">
        <f>ROUND(SUMIFS('Bank Lines'!$E$5:$E$1640,'Bank Lines'!$G$5:$G$1640,A754,'Bank Lines'!$J$5:$J$1640,1),2)</f>
        <v>1043.67</v>
      </c>
      <c r="K754" s="9">
        <f>ROUND(SUMIFS('Odoo Items'!$G$5:$G$4331,'Odoo Items'!$J$5:$J$4331,A754),2)</f>
        <v>1043.67</v>
      </c>
      <c r="L754" s="9">
        <f>ROUND(J754-K754,2)</f>
        <v>0</v>
      </c>
      <c r="M754" s="9">
        <f>ROUND(SUMIFS('Bank Lines'!$E$5:$E$1640,'Bank Lines'!$G$5:$G$1640,A754,'Bank Lines'!$J$5:$J$1640,1,'Bank Lines'!$C$5:$C$1640,"&lt;="&amp;Cover!$C$13),2)</f>
        <v>0</v>
      </c>
      <c r="N754" s="9">
        <f>ROUND(SUMIFS('Odoo Items'!$G$5:$G$4331,'Odoo Items'!$J$5:$J$4331,A754,'Odoo Items'!$C$5:$C$4331,"&lt;="&amp;Cover!$C$13),2)</f>
        <v>0</v>
      </c>
      <c r="O754">
        <f>COUNTIFS('Bank Lines'!$G$5:$G$1640,A754,'Bank Lines'!$J$5:$J$1640,1,'Bank Lines'!$C$5:$C$1640,"&lt;="&amp;Cover!$C$13)</f>
        <v>0</v>
      </c>
      <c r="P754">
        <f>COUNTIFS('Odoo Items'!$J$5:$J$4331,A754,'Odoo Items'!$C$5:$C$4331,"&lt;="&amp;Cover!$C$13)</f>
        <v>0</v>
      </c>
      <c r="Q754">
        <f>IF(AND(O754=0,P754=0),"",IF(O754=0,"ODOO-ONLY",IF(P754=0,"BANK-ONLY","BOTH")))</f>
      </c>
      <c r="R754" s="9">
        <f>IF(Q754="BOTH",ROUND(M754-N754,2),0)</f>
        <v>0</v>
      </c>
      <c r="S754" s="9">
        <f>ROUND(SUMIFS('Bank Lines'!$E$5:$E$1640,'Bank Lines'!$G$5:$G$1640,A754,'Bank Lines'!$J$5:$J$1640,1,'Bank Lines'!$C$5:$C$1640,"&lt;="&amp;Cover!$C$14),2)</f>
        <v>1043.67</v>
      </c>
      <c r="T754" s="9">
        <f>ROUND(SUMIFS('Odoo Items'!$G$5:$G$4331,'Odoo Items'!$J$5:$J$4331,A754,'Odoo Items'!$C$5:$C$4331,"&lt;="&amp;Cover!$C$14),2)</f>
        <v>1043.67</v>
      </c>
      <c r="U754">
        <f>COUNTIFS('Bank Lines'!$G$5:$G$1640,A754,'Bank Lines'!$J$5:$J$1640,1,'Bank Lines'!$C$5:$C$1640,"&lt;="&amp;Cover!$C$14)</f>
        <v>1</v>
      </c>
      <c r="V754">
        <f>COUNTIFS('Odoo Items'!$J$5:$J$4331,A754,'Odoo Items'!$C$5:$C$4331,"&lt;="&amp;Cover!$C$14)</f>
        <v>1</v>
      </c>
      <c r="W754" t="str">
        <f>IF(AND(U754=0,V754=0),"",IF(U754=0,"ODOO-ONLY",IF(V754=0,"BANK-ONLY","BOTH")))</f>
        <v>BOTH</v>
      </c>
      <c r="X754" s="9">
        <f>IF(W754="BOTH",ROUND(S754-T754,2),0)</f>
        <v>0</v>
      </c>
      <c r="Y754" s="9">
        <f>ROUND(SUMIFS('Bank Lines'!$E$5:$E$1640,'Bank Lines'!$G$5:$G$1640,A754,'Bank Lines'!$J$5:$J$1640,1,'Bank Lines'!$C$5:$C$1640,"&lt;="&amp;Cover!$C$15),2)</f>
        <v>1043.67</v>
      </c>
      <c r="Z754" s="9">
        <f>ROUND(SUMIFS('Odoo Items'!$G$5:$G$4331,'Odoo Items'!$J$5:$J$4331,A754,'Odoo Items'!$C$5:$C$4331,"&lt;="&amp;Cover!$C$15),2)</f>
        <v>1043.67</v>
      </c>
      <c r="AA754">
        <f>COUNTIFS('Bank Lines'!$G$5:$G$1640,A754,'Bank Lines'!$J$5:$J$1640,1,'Bank Lines'!$C$5:$C$1640,"&lt;="&amp;Cover!$C$15)</f>
        <v>1</v>
      </c>
      <c r="AB754">
        <f>COUNTIFS('Odoo Items'!$J$5:$J$4331,A754,'Odoo Items'!$C$5:$C$4331,"&lt;="&amp;Cover!$C$15)</f>
        <v>1</v>
      </c>
      <c r="AC754" t="str">
        <f>IF(AND(AA754=0,AB754=0),"",IF(AA754=0,"ODOO-ONLY",IF(AB754=0,"BANK-ONLY","BOTH")))</f>
        <v>BOTH</v>
      </c>
      <c r="AD754" s="9">
        <f>IF(AC754="BOTH",ROUND(Y754-Z754,2),0)</f>
        <v>0</v>
      </c>
    </row>
    <row r="755">
      <c r="A755" t="inlineStr">
        <is>
          <t>G00751</t>
        </is>
      </c>
      <c r="B755" t="inlineStr">
        <is>
          <t>MER</t>
        </is>
      </c>
      <c r="C755" t="inlineStr">
        <is>
          <t>R08</t>
        </is>
      </c>
      <c r="D755" t="inlineStr">
        <is>
          <t>MATCH</t>
        </is>
      </c>
      <c r="E755" t="inlineStr"/>
      <c r="G755" t="inlineStr"/>
      <c r="H755">
        <f>COUNTIFS('Bank Lines'!$G$5:$G$1640,A755,'Bank Lines'!$J$5:$J$1640,1)</f>
        <v>1</v>
      </c>
      <c r="I755">
        <f>COUNTIFS('Odoo Items'!$J$5:$J$4331,A755)</f>
        <v>1</v>
      </c>
      <c r="J755" s="9">
        <f>ROUND(SUMIFS('Bank Lines'!$E$5:$E$1640,'Bank Lines'!$G$5:$G$1640,A755,'Bank Lines'!$J$5:$J$1640,1),2)</f>
        <v>2363.52</v>
      </c>
      <c r="K755" s="9">
        <f>ROUND(SUMIFS('Odoo Items'!$G$5:$G$4331,'Odoo Items'!$J$5:$J$4331,A755),2)</f>
        <v>2363.52</v>
      </c>
      <c r="L755" s="9">
        <f>ROUND(J755-K755,2)</f>
        <v>0</v>
      </c>
      <c r="M755" s="9">
        <f>ROUND(SUMIFS('Bank Lines'!$E$5:$E$1640,'Bank Lines'!$G$5:$G$1640,A755,'Bank Lines'!$J$5:$J$1640,1,'Bank Lines'!$C$5:$C$1640,"&lt;="&amp;Cover!$C$13),2)</f>
        <v>0</v>
      </c>
      <c r="N755" s="9">
        <f>ROUND(SUMIFS('Odoo Items'!$G$5:$G$4331,'Odoo Items'!$J$5:$J$4331,A755,'Odoo Items'!$C$5:$C$4331,"&lt;="&amp;Cover!$C$13),2)</f>
        <v>0</v>
      </c>
      <c r="O755">
        <f>COUNTIFS('Bank Lines'!$G$5:$G$1640,A755,'Bank Lines'!$J$5:$J$1640,1,'Bank Lines'!$C$5:$C$1640,"&lt;="&amp;Cover!$C$13)</f>
        <v>0</v>
      </c>
      <c r="P755">
        <f>COUNTIFS('Odoo Items'!$J$5:$J$4331,A755,'Odoo Items'!$C$5:$C$4331,"&lt;="&amp;Cover!$C$13)</f>
        <v>0</v>
      </c>
      <c r="Q755">
        <f>IF(AND(O755=0,P755=0),"",IF(O755=0,"ODOO-ONLY",IF(P755=0,"BANK-ONLY","BOTH")))</f>
      </c>
      <c r="R755" s="9">
        <f>IF(Q755="BOTH",ROUND(M755-N755,2),0)</f>
        <v>0</v>
      </c>
      <c r="S755" s="9">
        <f>ROUND(SUMIFS('Bank Lines'!$E$5:$E$1640,'Bank Lines'!$G$5:$G$1640,A755,'Bank Lines'!$J$5:$J$1640,1,'Bank Lines'!$C$5:$C$1640,"&lt;="&amp;Cover!$C$14),2)</f>
        <v>2363.52</v>
      </c>
      <c r="T755" s="9">
        <f>ROUND(SUMIFS('Odoo Items'!$G$5:$G$4331,'Odoo Items'!$J$5:$J$4331,A755,'Odoo Items'!$C$5:$C$4331,"&lt;="&amp;Cover!$C$14),2)</f>
        <v>2363.52</v>
      </c>
      <c r="U755">
        <f>COUNTIFS('Bank Lines'!$G$5:$G$1640,A755,'Bank Lines'!$J$5:$J$1640,1,'Bank Lines'!$C$5:$C$1640,"&lt;="&amp;Cover!$C$14)</f>
        <v>1</v>
      </c>
      <c r="V755">
        <f>COUNTIFS('Odoo Items'!$J$5:$J$4331,A755,'Odoo Items'!$C$5:$C$4331,"&lt;="&amp;Cover!$C$14)</f>
        <v>1</v>
      </c>
      <c r="W755" t="str">
        <f>IF(AND(U755=0,V755=0),"",IF(U755=0,"ODOO-ONLY",IF(V755=0,"BANK-ONLY","BOTH")))</f>
        <v>BOTH</v>
      </c>
      <c r="X755" s="9">
        <f>IF(W755="BOTH",ROUND(S755-T755,2),0)</f>
        <v>0</v>
      </c>
      <c r="Y755" s="9">
        <f>ROUND(SUMIFS('Bank Lines'!$E$5:$E$1640,'Bank Lines'!$G$5:$G$1640,A755,'Bank Lines'!$J$5:$J$1640,1,'Bank Lines'!$C$5:$C$1640,"&lt;="&amp;Cover!$C$15),2)</f>
        <v>2363.52</v>
      </c>
      <c r="Z755" s="9">
        <f>ROUND(SUMIFS('Odoo Items'!$G$5:$G$4331,'Odoo Items'!$J$5:$J$4331,A755,'Odoo Items'!$C$5:$C$4331,"&lt;="&amp;Cover!$C$15),2)</f>
        <v>2363.52</v>
      </c>
      <c r="AA755">
        <f>COUNTIFS('Bank Lines'!$G$5:$G$1640,A755,'Bank Lines'!$J$5:$J$1640,1,'Bank Lines'!$C$5:$C$1640,"&lt;="&amp;Cover!$C$15)</f>
        <v>1</v>
      </c>
      <c r="AB755">
        <f>COUNTIFS('Odoo Items'!$J$5:$J$4331,A755,'Odoo Items'!$C$5:$C$4331,"&lt;="&amp;Cover!$C$15)</f>
        <v>1</v>
      </c>
      <c r="AC755" t="str">
        <f>IF(AND(AA755=0,AB755=0),"",IF(AA755=0,"ODOO-ONLY",IF(AB755=0,"BANK-ONLY","BOTH")))</f>
        <v>BOTH</v>
      </c>
      <c r="AD755" s="9">
        <f>IF(AC755="BOTH",ROUND(Y755-Z755,2),0)</f>
        <v>0</v>
      </c>
    </row>
    <row r="756">
      <c r="A756" t="inlineStr">
        <is>
          <t>G00752</t>
        </is>
      </c>
      <c r="B756" t="inlineStr">
        <is>
          <t>MER</t>
        </is>
      </c>
      <c r="C756" t="inlineStr">
        <is>
          <t>R08</t>
        </is>
      </c>
      <c r="D756" t="inlineStr">
        <is>
          <t>MATCH</t>
        </is>
      </c>
      <c r="E756" t="inlineStr"/>
      <c r="G756" t="inlineStr"/>
      <c r="H756">
        <f>COUNTIFS('Bank Lines'!$G$5:$G$1640,A756,'Bank Lines'!$J$5:$J$1640,1)</f>
        <v>1</v>
      </c>
      <c r="I756">
        <f>COUNTIFS('Odoo Items'!$J$5:$J$4331,A756)</f>
        <v>1</v>
      </c>
      <c r="J756" s="9">
        <f>ROUND(SUMIFS('Bank Lines'!$E$5:$E$1640,'Bank Lines'!$G$5:$G$1640,A756,'Bank Lines'!$J$5:$J$1640,1),2)</f>
        <v>1602.45</v>
      </c>
      <c r="K756" s="9">
        <f>ROUND(SUMIFS('Odoo Items'!$G$5:$G$4331,'Odoo Items'!$J$5:$J$4331,A756),2)</f>
        <v>1602.45</v>
      </c>
      <c r="L756" s="9">
        <f>ROUND(J756-K756,2)</f>
        <v>0</v>
      </c>
      <c r="M756" s="9">
        <f>ROUND(SUMIFS('Bank Lines'!$E$5:$E$1640,'Bank Lines'!$G$5:$G$1640,A756,'Bank Lines'!$J$5:$J$1640,1,'Bank Lines'!$C$5:$C$1640,"&lt;="&amp;Cover!$C$13),2)</f>
        <v>0</v>
      </c>
      <c r="N756" s="9">
        <f>ROUND(SUMIFS('Odoo Items'!$G$5:$G$4331,'Odoo Items'!$J$5:$J$4331,A756,'Odoo Items'!$C$5:$C$4331,"&lt;="&amp;Cover!$C$13),2)</f>
        <v>0</v>
      </c>
      <c r="O756">
        <f>COUNTIFS('Bank Lines'!$G$5:$G$1640,A756,'Bank Lines'!$J$5:$J$1640,1,'Bank Lines'!$C$5:$C$1640,"&lt;="&amp;Cover!$C$13)</f>
        <v>0</v>
      </c>
      <c r="P756">
        <f>COUNTIFS('Odoo Items'!$J$5:$J$4331,A756,'Odoo Items'!$C$5:$C$4331,"&lt;="&amp;Cover!$C$13)</f>
        <v>0</v>
      </c>
      <c r="Q756">
        <f>IF(AND(O756=0,P756=0),"",IF(O756=0,"ODOO-ONLY",IF(P756=0,"BANK-ONLY","BOTH")))</f>
      </c>
      <c r="R756" s="9">
        <f>IF(Q756="BOTH",ROUND(M756-N756,2),0)</f>
        <v>0</v>
      </c>
      <c r="S756" s="9">
        <f>ROUND(SUMIFS('Bank Lines'!$E$5:$E$1640,'Bank Lines'!$G$5:$G$1640,A756,'Bank Lines'!$J$5:$J$1640,1,'Bank Lines'!$C$5:$C$1640,"&lt;="&amp;Cover!$C$14),2)</f>
        <v>1602.45</v>
      </c>
      <c r="T756" s="9">
        <f>ROUND(SUMIFS('Odoo Items'!$G$5:$G$4331,'Odoo Items'!$J$5:$J$4331,A756,'Odoo Items'!$C$5:$C$4331,"&lt;="&amp;Cover!$C$14),2)</f>
        <v>1602.45</v>
      </c>
      <c r="U756">
        <f>COUNTIFS('Bank Lines'!$G$5:$G$1640,A756,'Bank Lines'!$J$5:$J$1640,1,'Bank Lines'!$C$5:$C$1640,"&lt;="&amp;Cover!$C$14)</f>
        <v>1</v>
      </c>
      <c r="V756">
        <f>COUNTIFS('Odoo Items'!$J$5:$J$4331,A756,'Odoo Items'!$C$5:$C$4331,"&lt;="&amp;Cover!$C$14)</f>
        <v>1</v>
      </c>
      <c r="W756" t="str">
        <f>IF(AND(U756=0,V756=0),"",IF(U756=0,"ODOO-ONLY",IF(V756=0,"BANK-ONLY","BOTH")))</f>
        <v>BOTH</v>
      </c>
      <c r="X756" s="9">
        <f>IF(W756="BOTH",ROUND(S756-T756,2),0)</f>
        <v>0</v>
      </c>
      <c r="Y756" s="9">
        <f>ROUND(SUMIFS('Bank Lines'!$E$5:$E$1640,'Bank Lines'!$G$5:$G$1640,A756,'Bank Lines'!$J$5:$J$1640,1,'Bank Lines'!$C$5:$C$1640,"&lt;="&amp;Cover!$C$15),2)</f>
        <v>1602.45</v>
      </c>
      <c r="Z756" s="9">
        <f>ROUND(SUMIFS('Odoo Items'!$G$5:$G$4331,'Odoo Items'!$J$5:$J$4331,A756,'Odoo Items'!$C$5:$C$4331,"&lt;="&amp;Cover!$C$15),2)</f>
        <v>1602.45</v>
      </c>
      <c r="AA756">
        <f>COUNTIFS('Bank Lines'!$G$5:$G$1640,A756,'Bank Lines'!$J$5:$J$1640,1,'Bank Lines'!$C$5:$C$1640,"&lt;="&amp;Cover!$C$15)</f>
        <v>1</v>
      </c>
      <c r="AB756">
        <f>COUNTIFS('Odoo Items'!$J$5:$J$4331,A756,'Odoo Items'!$C$5:$C$4331,"&lt;="&amp;Cover!$C$15)</f>
        <v>1</v>
      </c>
      <c r="AC756" t="str">
        <f>IF(AND(AA756=0,AB756=0),"",IF(AA756=0,"ODOO-ONLY",IF(AB756=0,"BANK-ONLY","BOTH")))</f>
        <v>BOTH</v>
      </c>
      <c r="AD756" s="9">
        <f>IF(AC756="BOTH",ROUND(Y756-Z756,2),0)</f>
        <v>0</v>
      </c>
    </row>
    <row r="757">
      <c r="A757" t="inlineStr">
        <is>
          <t>G00753</t>
        </is>
      </c>
      <c r="B757" t="inlineStr">
        <is>
          <t>MER</t>
        </is>
      </c>
      <c r="C757" t="inlineStr">
        <is>
          <t>R08</t>
        </is>
      </c>
      <c r="D757" t="inlineStr">
        <is>
          <t>MATCH</t>
        </is>
      </c>
      <c r="E757" t="inlineStr"/>
      <c r="G757" t="inlineStr"/>
      <c r="H757">
        <f>COUNTIFS('Bank Lines'!$G$5:$G$1640,A757,'Bank Lines'!$J$5:$J$1640,1)</f>
        <v>1</v>
      </c>
      <c r="I757">
        <f>COUNTIFS('Odoo Items'!$J$5:$J$4331,A757)</f>
        <v>1</v>
      </c>
      <c r="J757" s="9">
        <f>ROUND(SUMIFS('Bank Lines'!$E$5:$E$1640,'Bank Lines'!$G$5:$G$1640,A757,'Bank Lines'!$J$5:$J$1640,1),2)</f>
        <v>2371.32</v>
      </c>
      <c r="K757" s="9">
        <f>ROUND(SUMIFS('Odoo Items'!$G$5:$G$4331,'Odoo Items'!$J$5:$J$4331,A757),2)</f>
        <v>2371.32</v>
      </c>
      <c r="L757" s="9">
        <f>ROUND(J757-K757,2)</f>
        <v>0</v>
      </c>
      <c r="M757" s="9">
        <f>ROUND(SUMIFS('Bank Lines'!$E$5:$E$1640,'Bank Lines'!$G$5:$G$1640,A757,'Bank Lines'!$J$5:$J$1640,1,'Bank Lines'!$C$5:$C$1640,"&lt;="&amp;Cover!$C$13),2)</f>
        <v>0</v>
      </c>
      <c r="N757" s="9">
        <f>ROUND(SUMIFS('Odoo Items'!$G$5:$G$4331,'Odoo Items'!$J$5:$J$4331,A757,'Odoo Items'!$C$5:$C$4331,"&lt;="&amp;Cover!$C$13),2)</f>
        <v>0</v>
      </c>
      <c r="O757">
        <f>COUNTIFS('Bank Lines'!$G$5:$G$1640,A757,'Bank Lines'!$J$5:$J$1640,1,'Bank Lines'!$C$5:$C$1640,"&lt;="&amp;Cover!$C$13)</f>
        <v>0</v>
      </c>
      <c r="P757">
        <f>COUNTIFS('Odoo Items'!$J$5:$J$4331,A757,'Odoo Items'!$C$5:$C$4331,"&lt;="&amp;Cover!$C$13)</f>
        <v>0</v>
      </c>
      <c r="Q757">
        <f>IF(AND(O757=0,P757=0),"",IF(O757=0,"ODOO-ONLY",IF(P757=0,"BANK-ONLY","BOTH")))</f>
      </c>
      <c r="R757" s="9">
        <f>IF(Q757="BOTH",ROUND(M757-N757,2),0)</f>
        <v>0</v>
      </c>
      <c r="S757" s="9">
        <f>ROUND(SUMIFS('Bank Lines'!$E$5:$E$1640,'Bank Lines'!$G$5:$G$1640,A757,'Bank Lines'!$J$5:$J$1640,1,'Bank Lines'!$C$5:$C$1640,"&lt;="&amp;Cover!$C$14),2)</f>
        <v>2371.32</v>
      </c>
      <c r="T757" s="9">
        <f>ROUND(SUMIFS('Odoo Items'!$G$5:$G$4331,'Odoo Items'!$J$5:$J$4331,A757,'Odoo Items'!$C$5:$C$4331,"&lt;="&amp;Cover!$C$14),2)</f>
        <v>2371.32</v>
      </c>
      <c r="U757">
        <f>COUNTIFS('Bank Lines'!$G$5:$G$1640,A757,'Bank Lines'!$J$5:$J$1640,1,'Bank Lines'!$C$5:$C$1640,"&lt;="&amp;Cover!$C$14)</f>
        <v>1</v>
      </c>
      <c r="V757">
        <f>COUNTIFS('Odoo Items'!$J$5:$J$4331,A757,'Odoo Items'!$C$5:$C$4331,"&lt;="&amp;Cover!$C$14)</f>
        <v>1</v>
      </c>
      <c r="W757" t="str">
        <f>IF(AND(U757=0,V757=0),"",IF(U757=0,"ODOO-ONLY",IF(V757=0,"BANK-ONLY","BOTH")))</f>
        <v>BOTH</v>
      </c>
      <c r="X757" s="9">
        <f>IF(W757="BOTH",ROUND(S757-T757,2),0)</f>
        <v>0</v>
      </c>
      <c r="Y757" s="9">
        <f>ROUND(SUMIFS('Bank Lines'!$E$5:$E$1640,'Bank Lines'!$G$5:$G$1640,A757,'Bank Lines'!$J$5:$J$1640,1,'Bank Lines'!$C$5:$C$1640,"&lt;="&amp;Cover!$C$15),2)</f>
        <v>2371.32</v>
      </c>
      <c r="Z757" s="9">
        <f>ROUND(SUMIFS('Odoo Items'!$G$5:$G$4331,'Odoo Items'!$J$5:$J$4331,A757,'Odoo Items'!$C$5:$C$4331,"&lt;="&amp;Cover!$C$15),2)</f>
        <v>2371.32</v>
      </c>
      <c r="AA757">
        <f>COUNTIFS('Bank Lines'!$G$5:$G$1640,A757,'Bank Lines'!$J$5:$J$1640,1,'Bank Lines'!$C$5:$C$1640,"&lt;="&amp;Cover!$C$15)</f>
        <v>1</v>
      </c>
      <c r="AB757">
        <f>COUNTIFS('Odoo Items'!$J$5:$J$4331,A757,'Odoo Items'!$C$5:$C$4331,"&lt;="&amp;Cover!$C$15)</f>
        <v>1</v>
      </c>
      <c r="AC757" t="str">
        <f>IF(AND(AA757=0,AB757=0),"",IF(AA757=0,"ODOO-ONLY",IF(AB757=0,"BANK-ONLY","BOTH")))</f>
        <v>BOTH</v>
      </c>
      <c r="AD757" s="9">
        <f>IF(AC757="BOTH",ROUND(Y757-Z757,2),0)</f>
        <v>0</v>
      </c>
    </row>
    <row r="758">
      <c r="A758" t="inlineStr">
        <is>
          <t>G00754</t>
        </is>
      </c>
      <c r="B758" t="inlineStr">
        <is>
          <t>MER</t>
        </is>
      </c>
      <c r="C758" t="inlineStr">
        <is>
          <t>R08</t>
        </is>
      </c>
      <c r="D758" t="inlineStr">
        <is>
          <t>MATCH</t>
        </is>
      </c>
      <c r="E758" t="inlineStr"/>
      <c r="G758" t="inlineStr"/>
      <c r="H758">
        <f>COUNTIFS('Bank Lines'!$G$5:$G$1640,A758,'Bank Lines'!$J$5:$J$1640,1)</f>
        <v>1</v>
      </c>
      <c r="I758">
        <f>COUNTIFS('Odoo Items'!$J$5:$J$4331,A758)</f>
        <v>1</v>
      </c>
      <c r="J758" s="9">
        <f>ROUND(SUMIFS('Bank Lines'!$E$5:$E$1640,'Bank Lines'!$G$5:$G$1640,A758,'Bank Lines'!$J$5:$J$1640,1),2)</f>
        <v>2941.92</v>
      </c>
      <c r="K758" s="9">
        <f>ROUND(SUMIFS('Odoo Items'!$G$5:$G$4331,'Odoo Items'!$J$5:$J$4331,A758),2)</f>
        <v>2941.92</v>
      </c>
      <c r="L758" s="9">
        <f>ROUND(J758-K758,2)</f>
        <v>0</v>
      </c>
      <c r="M758" s="9">
        <f>ROUND(SUMIFS('Bank Lines'!$E$5:$E$1640,'Bank Lines'!$G$5:$G$1640,A758,'Bank Lines'!$J$5:$J$1640,1,'Bank Lines'!$C$5:$C$1640,"&lt;="&amp;Cover!$C$13),2)</f>
        <v>0</v>
      </c>
      <c r="N758" s="9">
        <f>ROUND(SUMIFS('Odoo Items'!$G$5:$G$4331,'Odoo Items'!$J$5:$J$4331,A758,'Odoo Items'!$C$5:$C$4331,"&lt;="&amp;Cover!$C$13),2)</f>
        <v>0</v>
      </c>
      <c r="O758">
        <f>COUNTIFS('Bank Lines'!$G$5:$G$1640,A758,'Bank Lines'!$J$5:$J$1640,1,'Bank Lines'!$C$5:$C$1640,"&lt;="&amp;Cover!$C$13)</f>
        <v>0</v>
      </c>
      <c r="P758">
        <f>COUNTIFS('Odoo Items'!$J$5:$J$4331,A758,'Odoo Items'!$C$5:$C$4331,"&lt;="&amp;Cover!$C$13)</f>
        <v>0</v>
      </c>
      <c r="Q758">
        <f>IF(AND(O758=0,P758=0),"",IF(O758=0,"ODOO-ONLY",IF(P758=0,"BANK-ONLY","BOTH")))</f>
      </c>
      <c r="R758" s="9">
        <f>IF(Q758="BOTH",ROUND(M758-N758,2),0)</f>
        <v>0</v>
      </c>
      <c r="S758" s="9">
        <f>ROUND(SUMIFS('Bank Lines'!$E$5:$E$1640,'Bank Lines'!$G$5:$G$1640,A758,'Bank Lines'!$J$5:$J$1640,1,'Bank Lines'!$C$5:$C$1640,"&lt;="&amp;Cover!$C$14),2)</f>
        <v>2941.92</v>
      </c>
      <c r="T758" s="9">
        <f>ROUND(SUMIFS('Odoo Items'!$G$5:$G$4331,'Odoo Items'!$J$5:$J$4331,A758,'Odoo Items'!$C$5:$C$4331,"&lt;="&amp;Cover!$C$14),2)</f>
        <v>2941.92</v>
      </c>
      <c r="U758">
        <f>COUNTIFS('Bank Lines'!$G$5:$G$1640,A758,'Bank Lines'!$J$5:$J$1640,1,'Bank Lines'!$C$5:$C$1640,"&lt;="&amp;Cover!$C$14)</f>
        <v>1</v>
      </c>
      <c r="V758">
        <f>COUNTIFS('Odoo Items'!$J$5:$J$4331,A758,'Odoo Items'!$C$5:$C$4331,"&lt;="&amp;Cover!$C$14)</f>
        <v>1</v>
      </c>
      <c r="W758" t="str">
        <f>IF(AND(U758=0,V758=0),"",IF(U758=0,"ODOO-ONLY",IF(V758=0,"BANK-ONLY","BOTH")))</f>
        <v>BOTH</v>
      </c>
      <c r="X758" s="9">
        <f>IF(W758="BOTH",ROUND(S758-T758,2),0)</f>
        <v>0</v>
      </c>
      <c r="Y758" s="9">
        <f>ROUND(SUMIFS('Bank Lines'!$E$5:$E$1640,'Bank Lines'!$G$5:$G$1640,A758,'Bank Lines'!$J$5:$J$1640,1,'Bank Lines'!$C$5:$C$1640,"&lt;="&amp;Cover!$C$15),2)</f>
        <v>2941.92</v>
      </c>
      <c r="Z758" s="9">
        <f>ROUND(SUMIFS('Odoo Items'!$G$5:$G$4331,'Odoo Items'!$J$5:$J$4331,A758,'Odoo Items'!$C$5:$C$4331,"&lt;="&amp;Cover!$C$15),2)</f>
        <v>2941.92</v>
      </c>
      <c r="AA758">
        <f>COUNTIFS('Bank Lines'!$G$5:$G$1640,A758,'Bank Lines'!$J$5:$J$1640,1,'Bank Lines'!$C$5:$C$1640,"&lt;="&amp;Cover!$C$15)</f>
        <v>1</v>
      </c>
      <c r="AB758">
        <f>COUNTIFS('Odoo Items'!$J$5:$J$4331,A758,'Odoo Items'!$C$5:$C$4331,"&lt;="&amp;Cover!$C$15)</f>
        <v>1</v>
      </c>
      <c r="AC758" t="str">
        <f>IF(AND(AA758=0,AB758=0),"",IF(AA758=0,"ODOO-ONLY",IF(AB758=0,"BANK-ONLY","BOTH")))</f>
        <v>BOTH</v>
      </c>
      <c r="AD758" s="9">
        <f>IF(AC758="BOTH",ROUND(Y758-Z758,2),0)</f>
        <v>0</v>
      </c>
    </row>
    <row r="759">
      <c r="A759" t="inlineStr">
        <is>
          <t>G00755</t>
        </is>
      </c>
      <c r="B759" t="inlineStr">
        <is>
          <t>MER</t>
        </is>
      </c>
      <c r="C759" t="inlineStr">
        <is>
          <t>R08</t>
        </is>
      </c>
      <c r="D759" t="inlineStr">
        <is>
          <t>MATCH</t>
        </is>
      </c>
      <c r="E759" t="inlineStr"/>
      <c r="G759" t="inlineStr"/>
      <c r="H759">
        <f>COUNTIFS('Bank Lines'!$G$5:$G$1640,A759,'Bank Lines'!$J$5:$J$1640,1)</f>
        <v>1</v>
      </c>
      <c r="I759">
        <f>COUNTIFS('Odoo Items'!$J$5:$J$4331,A759)</f>
        <v>1</v>
      </c>
      <c r="J759" s="9">
        <f>ROUND(SUMIFS('Bank Lines'!$E$5:$E$1640,'Bank Lines'!$G$5:$G$1640,A759,'Bank Lines'!$J$5:$J$1640,1),2)</f>
        <v>3356.9</v>
      </c>
      <c r="K759" s="9">
        <f>ROUND(SUMIFS('Odoo Items'!$G$5:$G$4331,'Odoo Items'!$J$5:$J$4331,A759),2)</f>
        <v>3356.9</v>
      </c>
      <c r="L759" s="9">
        <f>ROUND(J759-K759,2)</f>
        <v>0</v>
      </c>
      <c r="M759" s="9">
        <f>ROUND(SUMIFS('Bank Lines'!$E$5:$E$1640,'Bank Lines'!$G$5:$G$1640,A759,'Bank Lines'!$J$5:$J$1640,1,'Bank Lines'!$C$5:$C$1640,"&lt;="&amp;Cover!$C$13),2)</f>
        <v>0</v>
      </c>
      <c r="N759" s="9">
        <f>ROUND(SUMIFS('Odoo Items'!$G$5:$G$4331,'Odoo Items'!$J$5:$J$4331,A759,'Odoo Items'!$C$5:$C$4331,"&lt;="&amp;Cover!$C$13),2)</f>
        <v>0</v>
      </c>
      <c r="O759">
        <f>COUNTIFS('Bank Lines'!$G$5:$G$1640,A759,'Bank Lines'!$J$5:$J$1640,1,'Bank Lines'!$C$5:$C$1640,"&lt;="&amp;Cover!$C$13)</f>
        <v>0</v>
      </c>
      <c r="P759">
        <f>COUNTIFS('Odoo Items'!$J$5:$J$4331,A759,'Odoo Items'!$C$5:$C$4331,"&lt;="&amp;Cover!$C$13)</f>
        <v>0</v>
      </c>
      <c r="Q759">
        <f>IF(AND(O759=0,P759=0),"",IF(O759=0,"ODOO-ONLY",IF(P759=0,"BANK-ONLY","BOTH")))</f>
      </c>
      <c r="R759" s="9">
        <f>IF(Q759="BOTH",ROUND(M759-N759,2),0)</f>
        <v>0</v>
      </c>
      <c r="S759" s="9">
        <f>ROUND(SUMIFS('Bank Lines'!$E$5:$E$1640,'Bank Lines'!$G$5:$G$1640,A759,'Bank Lines'!$J$5:$J$1640,1,'Bank Lines'!$C$5:$C$1640,"&lt;="&amp;Cover!$C$14),2)</f>
        <v>3356.9</v>
      </c>
      <c r="T759" s="9">
        <f>ROUND(SUMIFS('Odoo Items'!$G$5:$G$4331,'Odoo Items'!$J$5:$J$4331,A759,'Odoo Items'!$C$5:$C$4331,"&lt;="&amp;Cover!$C$14),2)</f>
        <v>3356.9</v>
      </c>
      <c r="U759">
        <f>COUNTIFS('Bank Lines'!$G$5:$G$1640,A759,'Bank Lines'!$J$5:$J$1640,1,'Bank Lines'!$C$5:$C$1640,"&lt;="&amp;Cover!$C$14)</f>
        <v>1</v>
      </c>
      <c r="V759">
        <f>COUNTIFS('Odoo Items'!$J$5:$J$4331,A759,'Odoo Items'!$C$5:$C$4331,"&lt;="&amp;Cover!$C$14)</f>
        <v>1</v>
      </c>
      <c r="W759" t="str">
        <f>IF(AND(U759=0,V759=0),"",IF(U759=0,"ODOO-ONLY",IF(V759=0,"BANK-ONLY","BOTH")))</f>
        <v>BOTH</v>
      </c>
      <c r="X759" s="9">
        <f>IF(W759="BOTH",ROUND(S759-T759,2),0)</f>
        <v>0</v>
      </c>
      <c r="Y759" s="9">
        <f>ROUND(SUMIFS('Bank Lines'!$E$5:$E$1640,'Bank Lines'!$G$5:$G$1640,A759,'Bank Lines'!$J$5:$J$1640,1,'Bank Lines'!$C$5:$C$1640,"&lt;="&amp;Cover!$C$15),2)</f>
        <v>3356.9</v>
      </c>
      <c r="Z759" s="9">
        <f>ROUND(SUMIFS('Odoo Items'!$G$5:$G$4331,'Odoo Items'!$J$5:$J$4331,A759,'Odoo Items'!$C$5:$C$4331,"&lt;="&amp;Cover!$C$15),2)</f>
        <v>3356.9</v>
      </c>
      <c r="AA759">
        <f>COUNTIFS('Bank Lines'!$G$5:$G$1640,A759,'Bank Lines'!$J$5:$J$1640,1,'Bank Lines'!$C$5:$C$1640,"&lt;="&amp;Cover!$C$15)</f>
        <v>1</v>
      </c>
      <c r="AB759">
        <f>COUNTIFS('Odoo Items'!$J$5:$J$4331,A759,'Odoo Items'!$C$5:$C$4331,"&lt;="&amp;Cover!$C$15)</f>
        <v>1</v>
      </c>
      <c r="AC759" t="str">
        <f>IF(AND(AA759=0,AB759=0),"",IF(AA759=0,"ODOO-ONLY",IF(AB759=0,"BANK-ONLY","BOTH")))</f>
        <v>BOTH</v>
      </c>
      <c r="AD759" s="9">
        <f>IF(AC759="BOTH",ROUND(Y759-Z759,2),0)</f>
        <v>0</v>
      </c>
    </row>
    <row r="760">
      <c r="A760" t="inlineStr">
        <is>
          <t>G00756</t>
        </is>
      </c>
      <c r="B760" t="inlineStr">
        <is>
          <t>MER</t>
        </is>
      </c>
      <c r="C760" t="inlineStr">
        <is>
          <t>R08</t>
        </is>
      </c>
      <c r="D760" t="inlineStr">
        <is>
          <t>MATCH</t>
        </is>
      </c>
      <c r="E760" t="inlineStr"/>
      <c r="G760" t="inlineStr"/>
      <c r="H760">
        <f>COUNTIFS('Bank Lines'!$G$5:$G$1640,A760,'Bank Lines'!$J$5:$J$1640,1)</f>
        <v>1</v>
      </c>
      <c r="I760">
        <f>COUNTIFS('Odoo Items'!$J$5:$J$4331,A760)</f>
        <v>1</v>
      </c>
      <c r="J760" s="9">
        <f>ROUND(SUMIFS('Bank Lines'!$E$5:$E$1640,'Bank Lines'!$G$5:$G$1640,A760,'Bank Lines'!$J$5:$J$1640,1),2)</f>
        <v>901.64</v>
      </c>
      <c r="K760" s="9">
        <f>ROUND(SUMIFS('Odoo Items'!$G$5:$G$4331,'Odoo Items'!$J$5:$J$4331,A760),2)</f>
        <v>901.64</v>
      </c>
      <c r="L760" s="9">
        <f>ROUND(J760-K760,2)</f>
        <v>0</v>
      </c>
      <c r="M760" s="9">
        <f>ROUND(SUMIFS('Bank Lines'!$E$5:$E$1640,'Bank Lines'!$G$5:$G$1640,A760,'Bank Lines'!$J$5:$J$1640,1,'Bank Lines'!$C$5:$C$1640,"&lt;="&amp;Cover!$C$13),2)</f>
        <v>0</v>
      </c>
      <c r="N760" s="9">
        <f>ROUND(SUMIFS('Odoo Items'!$G$5:$G$4331,'Odoo Items'!$J$5:$J$4331,A760,'Odoo Items'!$C$5:$C$4331,"&lt;="&amp;Cover!$C$13),2)</f>
        <v>0</v>
      </c>
      <c r="O760">
        <f>COUNTIFS('Bank Lines'!$G$5:$G$1640,A760,'Bank Lines'!$J$5:$J$1640,1,'Bank Lines'!$C$5:$C$1640,"&lt;="&amp;Cover!$C$13)</f>
        <v>0</v>
      </c>
      <c r="P760">
        <f>COUNTIFS('Odoo Items'!$J$5:$J$4331,A760,'Odoo Items'!$C$5:$C$4331,"&lt;="&amp;Cover!$C$13)</f>
        <v>0</v>
      </c>
      <c r="Q760">
        <f>IF(AND(O760=0,P760=0),"",IF(O760=0,"ODOO-ONLY",IF(P760=0,"BANK-ONLY","BOTH")))</f>
      </c>
      <c r="R760" s="9">
        <f>IF(Q760="BOTH",ROUND(M760-N760,2),0)</f>
        <v>0</v>
      </c>
      <c r="S760" s="9">
        <f>ROUND(SUMIFS('Bank Lines'!$E$5:$E$1640,'Bank Lines'!$G$5:$G$1640,A760,'Bank Lines'!$J$5:$J$1640,1,'Bank Lines'!$C$5:$C$1640,"&lt;="&amp;Cover!$C$14),2)</f>
        <v>901.64</v>
      </c>
      <c r="T760" s="9">
        <f>ROUND(SUMIFS('Odoo Items'!$G$5:$G$4331,'Odoo Items'!$J$5:$J$4331,A760,'Odoo Items'!$C$5:$C$4331,"&lt;="&amp;Cover!$C$14),2)</f>
        <v>901.64</v>
      </c>
      <c r="U760">
        <f>COUNTIFS('Bank Lines'!$G$5:$G$1640,A760,'Bank Lines'!$J$5:$J$1640,1,'Bank Lines'!$C$5:$C$1640,"&lt;="&amp;Cover!$C$14)</f>
        <v>1</v>
      </c>
      <c r="V760">
        <f>COUNTIFS('Odoo Items'!$J$5:$J$4331,A760,'Odoo Items'!$C$5:$C$4331,"&lt;="&amp;Cover!$C$14)</f>
        <v>1</v>
      </c>
      <c r="W760" t="str">
        <f>IF(AND(U760=0,V760=0),"",IF(U760=0,"ODOO-ONLY",IF(V760=0,"BANK-ONLY","BOTH")))</f>
        <v>BOTH</v>
      </c>
      <c r="X760" s="9">
        <f>IF(W760="BOTH",ROUND(S760-T760,2),0)</f>
        <v>0</v>
      </c>
      <c r="Y760" s="9">
        <f>ROUND(SUMIFS('Bank Lines'!$E$5:$E$1640,'Bank Lines'!$G$5:$G$1640,A760,'Bank Lines'!$J$5:$J$1640,1,'Bank Lines'!$C$5:$C$1640,"&lt;="&amp;Cover!$C$15),2)</f>
        <v>901.64</v>
      </c>
      <c r="Z760" s="9">
        <f>ROUND(SUMIFS('Odoo Items'!$G$5:$G$4331,'Odoo Items'!$J$5:$J$4331,A760,'Odoo Items'!$C$5:$C$4331,"&lt;="&amp;Cover!$C$15),2)</f>
        <v>901.64</v>
      </c>
      <c r="AA760">
        <f>COUNTIFS('Bank Lines'!$G$5:$G$1640,A760,'Bank Lines'!$J$5:$J$1640,1,'Bank Lines'!$C$5:$C$1640,"&lt;="&amp;Cover!$C$15)</f>
        <v>1</v>
      </c>
      <c r="AB760">
        <f>COUNTIFS('Odoo Items'!$J$5:$J$4331,A760,'Odoo Items'!$C$5:$C$4331,"&lt;="&amp;Cover!$C$15)</f>
        <v>1</v>
      </c>
      <c r="AC760" t="str">
        <f>IF(AND(AA760=0,AB760=0),"",IF(AA760=0,"ODOO-ONLY",IF(AB760=0,"BANK-ONLY","BOTH")))</f>
        <v>BOTH</v>
      </c>
      <c r="AD760" s="9">
        <f>IF(AC760="BOTH",ROUND(Y760-Z760,2),0)</f>
        <v>0</v>
      </c>
    </row>
    <row r="761">
      <c r="A761" t="inlineStr">
        <is>
          <t>G00757</t>
        </is>
      </c>
      <c r="B761" t="inlineStr">
        <is>
          <t>MER</t>
        </is>
      </c>
      <c r="C761" t="inlineStr">
        <is>
          <t>R08</t>
        </is>
      </c>
      <c r="D761" t="inlineStr">
        <is>
          <t>MATCH</t>
        </is>
      </c>
      <c r="E761" t="inlineStr"/>
      <c r="G761" t="inlineStr"/>
      <c r="H761">
        <f>COUNTIFS('Bank Lines'!$G$5:$G$1640,A761,'Bank Lines'!$J$5:$J$1640,1)</f>
        <v>1</v>
      </c>
      <c r="I761">
        <f>COUNTIFS('Odoo Items'!$J$5:$J$4331,A761)</f>
        <v>1</v>
      </c>
      <c r="J761" s="9">
        <f>ROUND(SUMIFS('Bank Lines'!$E$5:$E$1640,'Bank Lines'!$G$5:$G$1640,A761,'Bank Lines'!$J$5:$J$1640,1),2)</f>
        <v>2823.68</v>
      </c>
      <c r="K761" s="9">
        <f>ROUND(SUMIFS('Odoo Items'!$G$5:$G$4331,'Odoo Items'!$J$5:$J$4331,A761),2)</f>
        <v>2823.68</v>
      </c>
      <c r="L761" s="9">
        <f>ROUND(J761-K761,2)</f>
        <v>0</v>
      </c>
      <c r="M761" s="9">
        <f>ROUND(SUMIFS('Bank Lines'!$E$5:$E$1640,'Bank Lines'!$G$5:$G$1640,A761,'Bank Lines'!$J$5:$J$1640,1,'Bank Lines'!$C$5:$C$1640,"&lt;="&amp;Cover!$C$13),2)</f>
        <v>0</v>
      </c>
      <c r="N761" s="9">
        <f>ROUND(SUMIFS('Odoo Items'!$G$5:$G$4331,'Odoo Items'!$J$5:$J$4331,A761,'Odoo Items'!$C$5:$C$4331,"&lt;="&amp;Cover!$C$13),2)</f>
        <v>0</v>
      </c>
      <c r="O761">
        <f>COUNTIFS('Bank Lines'!$G$5:$G$1640,A761,'Bank Lines'!$J$5:$J$1640,1,'Bank Lines'!$C$5:$C$1640,"&lt;="&amp;Cover!$C$13)</f>
        <v>0</v>
      </c>
      <c r="P761">
        <f>COUNTIFS('Odoo Items'!$J$5:$J$4331,A761,'Odoo Items'!$C$5:$C$4331,"&lt;="&amp;Cover!$C$13)</f>
        <v>0</v>
      </c>
      <c r="Q761">
        <f>IF(AND(O761=0,P761=0),"",IF(O761=0,"ODOO-ONLY",IF(P761=0,"BANK-ONLY","BOTH")))</f>
      </c>
      <c r="R761" s="9">
        <f>IF(Q761="BOTH",ROUND(M761-N761,2),0)</f>
        <v>0</v>
      </c>
      <c r="S761" s="9">
        <f>ROUND(SUMIFS('Bank Lines'!$E$5:$E$1640,'Bank Lines'!$G$5:$G$1640,A761,'Bank Lines'!$J$5:$J$1640,1,'Bank Lines'!$C$5:$C$1640,"&lt;="&amp;Cover!$C$14),2)</f>
        <v>2823.68</v>
      </c>
      <c r="T761" s="9">
        <f>ROUND(SUMIFS('Odoo Items'!$G$5:$G$4331,'Odoo Items'!$J$5:$J$4331,A761,'Odoo Items'!$C$5:$C$4331,"&lt;="&amp;Cover!$C$14),2)</f>
        <v>2823.68</v>
      </c>
      <c r="U761">
        <f>COUNTIFS('Bank Lines'!$G$5:$G$1640,A761,'Bank Lines'!$J$5:$J$1640,1,'Bank Lines'!$C$5:$C$1640,"&lt;="&amp;Cover!$C$14)</f>
        <v>1</v>
      </c>
      <c r="V761">
        <f>COUNTIFS('Odoo Items'!$J$5:$J$4331,A761,'Odoo Items'!$C$5:$C$4331,"&lt;="&amp;Cover!$C$14)</f>
        <v>1</v>
      </c>
      <c r="W761" t="str">
        <f>IF(AND(U761=0,V761=0),"",IF(U761=0,"ODOO-ONLY",IF(V761=0,"BANK-ONLY","BOTH")))</f>
        <v>BOTH</v>
      </c>
      <c r="X761" s="9">
        <f>IF(W761="BOTH",ROUND(S761-T761,2),0)</f>
        <v>0</v>
      </c>
      <c r="Y761" s="9">
        <f>ROUND(SUMIFS('Bank Lines'!$E$5:$E$1640,'Bank Lines'!$G$5:$G$1640,A761,'Bank Lines'!$J$5:$J$1640,1,'Bank Lines'!$C$5:$C$1640,"&lt;="&amp;Cover!$C$15),2)</f>
        <v>2823.68</v>
      </c>
      <c r="Z761" s="9">
        <f>ROUND(SUMIFS('Odoo Items'!$G$5:$G$4331,'Odoo Items'!$J$5:$J$4331,A761,'Odoo Items'!$C$5:$C$4331,"&lt;="&amp;Cover!$C$15),2)</f>
        <v>2823.68</v>
      </c>
      <c r="AA761">
        <f>COUNTIFS('Bank Lines'!$G$5:$G$1640,A761,'Bank Lines'!$J$5:$J$1640,1,'Bank Lines'!$C$5:$C$1640,"&lt;="&amp;Cover!$C$15)</f>
        <v>1</v>
      </c>
      <c r="AB761">
        <f>COUNTIFS('Odoo Items'!$J$5:$J$4331,A761,'Odoo Items'!$C$5:$C$4331,"&lt;="&amp;Cover!$C$15)</f>
        <v>1</v>
      </c>
      <c r="AC761" t="str">
        <f>IF(AND(AA761=0,AB761=0),"",IF(AA761=0,"ODOO-ONLY",IF(AB761=0,"BANK-ONLY","BOTH")))</f>
        <v>BOTH</v>
      </c>
      <c r="AD761" s="9">
        <f>IF(AC761="BOTH",ROUND(Y761-Z761,2),0)</f>
        <v>0</v>
      </c>
    </row>
    <row r="762">
      <c r="A762" t="inlineStr">
        <is>
          <t>G00758</t>
        </is>
      </c>
      <c r="B762" t="inlineStr">
        <is>
          <t>MER</t>
        </is>
      </c>
      <c r="C762" t="inlineStr">
        <is>
          <t>R08</t>
        </is>
      </c>
      <c r="D762" t="inlineStr">
        <is>
          <t>MATCH</t>
        </is>
      </c>
      <c r="E762" t="inlineStr"/>
      <c r="G762" t="inlineStr"/>
      <c r="H762">
        <f>COUNTIFS('Bank Lines'!$G$5:$G$1640,A762,'Bank Lines'!$J$5:$J$1640,1)</f>
        <v>1</v>
      </c>
      <c r="I762">
        <f>COUNTIFS('Odoo Items'!$J$5:$J$4331,A762)</f>
        <v>1</v>
      </c>
      <c r="J762" s="9">
        <f>ROUND(SUMIFS('Bank Lines'!$E$5:$E$1640,'Bank Lines'!$G$5:$G$1640,A762,'Bank Lines'!$J$5:$J$1640,1),2)</f>
        <v>3417.18</v>
      </c>
      <c r="K762" s="9">
        <f>ROUND(SUMIFS('Odoo Items'!$G$5:$G$4331,'Odoo Items'!$J$5:$J$4331,A762),2)</f>
        <v>3417.18</v>
      </c>
      <c r="L762" s="9">
        <f>ROUND(J762-K762,2)</f>
        <v>0</v>
      </c>
      <c r="M762" s="9">
        <f>ROUND(SUMIFS('Bank Lines'!$E$5:$E$1640,'Bank Lines'!$G$5:$G$1640,A762,'Bank Lines'!$J$5:$J$1640,1,'Bank Lines'!$C$5:$C$1640,"&lt;="&amp;Cover!$C$13),2)</f>
        <v>0</v>
      </c>
      <c r="N762" s="9">
        <f>ROUND(SUMIFS('Odoo Items'!$G$5:$G$4331,'Odoo Items'!$J$5:$J$4331,A762,'Odoo Items'!$C$5:$C$4331,"&lt;="&amp;Cover!$C$13),2)</f>
        <v>0</v>
      </c>
      <c r="O762">
        <f>COUNTIFS('Bank Lines'!$G$5:$G$1640,A762,'Bank Lines'!$J$5:$J$1640,1,'Bank Lines'!$C$5:$C$1640,"&lt;="&amp;Cover!$C$13)</f>
        <v>0</v>
      </c>
      <c r="P762">
        <f>COUNTIFS('Odoo Items'!$J$5:$J$4331,A762,'Odoo Items'!$C$5:$C$4331,"&lt;="&amp;Cover!$C$13)</f>
        <v>0</v>
      </c>
      <c r="Q762">
        <f>IF(AND(O762=0,P762=0),"",IF(O762=0,"ODOO-ONLY",IF(P762=0,"BANK-ONLY","BOTH")))</f>
      </c>
      <c r="R762" s="9">
        <f>IF(Q762="BOTH",ROUND(M762-N762,2),0)</f>
        <v>0</v>
      </c>
      <c r="S762" s="9">
        <f>ROUND(SUMIFS('Bank Lines'!$E$5:$E$1640,'Bank Lines'!$G$5:$G$1640,A762,'Bank Lines'!$J$5:$J$1640,1,'Bank Lines'!$C$5:$C$1640,"&lt;="&amp;Cover!$C$14),2)</f>
        <v>3417.18</v>
      </c>
      <c r="T762" s="9">
        <f>ROUND(SUMIFS('Odoo Items'!$G$5:$G$4331,'Odoo Items'!$J$5:$J$4331,A762,'Odoo Items'!$C$5:$C$4331,"&lt;="&amp;Cover!$C$14),2)</f>
        <v>3417.18</v>
      </c>
      <c r="U762">
        <f>COUNTIFS('Bank Lines'!$G$5:$G$1640,A762,'Bank Lines'!$J$5:$J$1640,1,'Bank Lines'!$C$5:$C$1640,"&lt;="&amp;Cover!$C$14)</f>
        <v>1</v>
      </c>
      <c r="V762">
        <f>COUNTIFS('Odoo Items'!$J$5:$J$4331,A762,'Odoo Items'!$C$5:$C$4331,"&lt;="&amp;Cover!$C$14)</f>
        <v>1</v>
      </c>
      <c r="W762" t="str">
        <f>IF(AND(U762=0,V762=0),"",IF(U762=0,"ODOO-ONLY",IF(V762=0,"BANK-ONLY","BOTH")))</f>
        <v>BOTH</v>
      </c>
      <c r="X762" s="9">
        <f>IF(W762="BOTH",ROUND(S762-T762,2),0)</f>
        <v>0</v>
      </c>
      <c r="Y762" s="9">
        <f>ROUND(SUMIFS('Bank Lines'!$E$5:$E$1640,'Bank Lines'!$G$5:$G$1640,A762,'Bank Lines'!$J$5:$J$1640,1,'Bank Lines'!$C$5:$C$1640,"&lt;="&amp;Cover!$C$15),2)</f>
        <v>3417.18</v>
      </c>
      <c r="Z762" s="9">
        <f>ROUND(SUMIFS('Odoo Items'!$G$5:$G$4331,'Odoo Items'!$J$5:$J$4331,A762,'Odoo Items'!$C$5:$C$4331,"&lt;="&amp;Cover!$C$15),2)</f>
        <v>3417.18</v>
      </c>
      <c r="AA762">
        <f>COUNTIFS('Bank Lines'!$G$5:$G$1640,A762,'Bank Lines'!$J$5:$J$1640,1,'Bank Lines'!$C$5:$C$1640,"&lt;="&amp;Cover!$C$15)</f>
        <v>1</v>
      </c>
      <c r="AB762">
        <f>COUNTIFS('Odoo Items'!$J$5:$J$4331,A762,'Odoo Items'!$C$5:$C$4331,"&lt;="&amp;Cover!$C$15)</f>
        <v>1</v>
      </c>
      <c r="AC762" t="str">
        <f>IF(AND(AA762=0,AB762=0),"",IF(AA762=0,"ODOO-ONLY",IF(AB762=0,"BANK-ONLY","BOTH")))</f>
        <v>BOTH</v>
      </c>
      <c r="AD762" s="9">
        <f>IF(AC762="BOTH",ROUND(Y762-Z762,2),0)</f>
        <v>0</v>
      </c>
    </row>
    <row r="763">
      <c r="A763" t="inlineStr">
        <is>
          <t>G00759</t>
        </is>
      </c>
      <c r="B763" t="inlineStr">
        <is>
          <t>MER</t>
        </is>
      </c>
      <c r="C763" t="inlineStr">
        <is>
          <t>R08</t>
        </is>
      </c>
      <c r="D763" t="inlineStr">
        <is>
          <t>MATCH</t>
        </is>
      </c>
      <c r="E763" t="inlineStr"/>
      <c r="G763" t="inlineStr"/>
      <c r="H763">
        <f>COUNTIFS('Bank Lines'!$G$5:$G$1640,A763,'Bank Lines'!$J$5:$J$1640,1)</f>
        <v>1</v>
      </c>
      <c r="I763">
        <f>COUNTIFS('Odoo Items'!$J$5:$J$4331,A763)</f>
        <v>1</v>
      </c>
      <c r="J763" s="9">
        <f>ROUND(SUMIFS('Bank Lines'!$E$5:$E$1640,'Bank Lines'!$G$5:$G$1640,A763,'Bank Lines'!$J$5:$J$1640,1),2)</f>
        <v>1176.51</v>
      </c>
      <c r="K763" s="9">
        <f>ROUND(SUMIFS('Odoo Items'!$G$5:$G$4331,'Odoo Items'!$J$5:$J$4331,A763),2)</f>
        <v>1176.51</v>
      </c>
      <c r="L763" s="9">
        <f>ROUND(J763-K763,2)</f>
        <v>0</v>
      </c>
      <c r="M763" s="9">
        <f>ROUND(SUMIFS('Bank Lines'!$E$5:$E$1640,'Bank Lines'!$G$5:$G$1640,A763,'Bank Lines'!$J$5:$J$1640,1,'Bank Lines'!$C$5:$C$1640,"&lt;="&amp;Cover!$C$13),2)</f>
        <v>0</v>
      </c>
      <c r="N763" s="9">
        <f>ROUND(SUMIFS('Odoo Items'!$G$5:$G$4331,'Odoo Items'!$J$5:$J$4331,A763,'Odoo Items'!$C$5:$C$4331,"&lt;="&amp;Cover!$C$13),2)</f>
        <v>0</v>
      </c>
      <c r="O763">
        <f>COUNTIFS('Bank Lines'!$G$5:$G$1640,A763,'Bank Lines'!$J$5:$J$1640,1,'Bank Lines'!$C$5:$C$1640,"&lt;="&amp;Cover!$C$13)</f>
        <v>0</v>
      </c>
      <c r="P763">
        <f>COUNTIFS('Odoo Items'!$J$5:$J$4331,A763,'Odoo Items'!$C$5:$C$4331,"&lt;="&amp;Cover!$C$13)</f>
        <v>0</v>
      </c>
      <c r="Q763">
        <f>IF(AND(O763=0,P763=0),"",IF(O763=0,"ODOO-ONLY",IF(P763=0,"BANK-ONLY","BOTH")))</f>
      </c>
      <c r="R763" s="9">
        <f>IF(Q763="BOTH",ROUND(M763-N763,2),0)</f>
        <v>0</v>
      </c>
      <c r="S763" s="9">
        <f>ROUND(SUMIFS('Bank Lines'!$E$5:$E$1640,'Bank Lines'!$G$5:$G$1640,A763,'Bank Lines'!$J$5:$J$1640,1,'Bank Lines'!$C$5:$C$1640,"&lt;="&amp;Cover!$C$14),2)</f>
        <v>1176.51</v>
      </c>
      <c r="T763" s="9">
        <f>ROUND(SUMIFS('Odoo Items'!$G$5:$G$4331,'Odoo Items'!$J$5:$J$4331,A763,'Odoo Items'!$C$5:$C$4331,"&lt;="&amp;Cover!$C$14),2)</f>
        <v>1176.51</v>
      </c>
      <c r="U763">
        <f>COUNTIFS('Bank Lines'!$G$5:$G$1640,A763,'Bank Lines'!$J$5:$J$1640,1,'Bank Lines'!$C$5:$C$1640,"&lt;="&amp;Cover!$C$14)</f>
        <v>1</v>
      </c>
      <c r="V763">
        <f>COUNTIFS('Odoo Items'!$J$5:$J$4331,A763,'Odoo Items'!$C$5:$C$4331,"&lt;="&amp;Cover!$C$14)</f>
        <v>1</v>
      </c>
      <c r="W763" t="str">
        <f>IF(AND(U763=0,V763=0),"",IF(U763=0,"ODOO-ONLY",IF(V763=0,"BANK-ONLY","BOTH")))</f>
        <v>BOTH</v>
      </c>
      <c r="X763" s="9">
        <f>IF(W763="BOTH",ROUND(S763-T763,2),0)</f>
        <v>0</v>
      </c>
      <c r="Y763" s="9">
        <f>ROUND(SUMIFS('Bank Lines'!$E$5:$E$1640,'Bank Lines'!$G$5:$G$1640,A763,'Bank Lines'!$J$5:$J$1640,1,'Bank Lines'!$C$5:$C$1640,"&lt;="&amp;Cover!$C$15),2)</f>
        <v>1176.51</v>
      </c>
      <c r="Z763" s="9">
        <f>ROUND(SUMIFS('Odoo Items'!$G$5:$G$4331,'Odoo Items'!$J$5:$J$4331,A763,'Odoo Items'!$C$5:$C$4331,"&lt;="&amp;Cover!$C$15),2)</f>
        <v>1176.51</v>
      </c>
      <c r="AA763">
        <f>COUNTIFS('Bank Lines'!$G$5:$G$1640,A763,'Bank Lines'!$J$5:$J$1640,1,'Bank Lines'!$C$5:$C$1640,"&lt;="&amp;Cover!$C$15)</f>
        <v>1</v>
      </c>
      <c r="AB763">
        <f>COUNTIFS('Odoo Items'!$J$5:$J$4331,A763,'Odoo Items'!$C$5:$C$4331,"&lt;="&amp;Cover!$C$15)</f>
        <v>1</v>
      </c>
      <c r="AC763" t="str">
        <f>IF(AND(AA763=0,AB763=0),"",IF(AA763=0,"ODOO-ONLY",IF(AB763=0,"BANK-ONLY","BOTH")))</f>
        <v>BOTH</v>
      </c>
      <c r="AD763" s="9">
        <f>IF(AC763="BOTH",ROUND(Y763-Z763,2),0)</f>
        <v>0</v>
      </c>
    </row>
    <row r="764">
      <c r="A764" t="inlineStr">
        <is>
          <t>G00760</t>
        </is>
      </c>
      <c r="B764" t="inlineStr">
        <is>
          <t>MER</t>
        </is>
      </c>
      <c r="C764" t="inlineStr">
        <is>
          <t>R08</t>
        </is>
      </c>
      <c r="D764" t="inlineStr">
        <is>
          <t>MATCH</t>
        </is>
      </c>
      <c r="E764" t="inlineStr"/>
      <c r="G764" t="inlineStr"/>
      <c r="H764">
        <f>COUNTIFS('Bank Lines'!$G$5:$G$1640,A764,'Bank Lines'!$J$5:$J$1640,1)</f>
        <v>1</v>
      </c>
      <c r="I764">
        <f>COUNTIFS('Odoo Items'!$J$5:$J$4331,A764)</f>
        <v>1</v>
      </c>
      <c r="J764" s="9">
        <f>ROUND(SUMIFS('Bank Lines'!$E$5:$E$1640,'Bank Lines'!$G$5:$G$1640,A764,'Bank Lines'!$J$5:$J$1640,1),2)</f>
        <v>1078.15</v>
      </c>
      <c r="K764" s="9">
        <f>ROUND(SUMIFS('Odoo Items'!$G$5:$G$4331,'Odoo Items'!$J$5:$J$4331,A764),2)</f>
        <v>1078.15</v>
      </c>
      <c r="L764" s="9">
        <f>ROUND(J764-K764,2)</f>
        <v>0</v>
      </c>
      <c r="M764" s="9">
        <f>ROUND(SUMIFS('Bank Lines'!$E$5:$E$1640,'Bank Lines'!$G$5:$G$1640,A764,'Bank Lines'!$J$5:$J$1640,1,'Bank Lines'!$C$5:$C$1640,"&lt;="&amp;Cover!$C$13),2)</f>
        <v>0</v>
      </c>
      <c r="N764" s="9">
        <f>ROUND(SUMIFS('Odoo Items'!$G$5:$G$4331,'Odoo Items'!$J$5:$J$4331,A764,'Odoo Items'!$C$5:$C$4331,"&lt;="&amp;Cover!$C$13),2)</f>
        <v>0</v>
      </c>
      <c r="O764">
        <f>COUNTIFS('Bank Lines'!$G$5:$G$1640,A764,'Bank Lines'!$J$5:$J$1640,1,'Bank Lines'!$C$5:$C$1640,"&lt;="&amp;Cover!$C$13)</f>
        <v>0</v>
      </c>
      <c r="P764">
        <f>COUNTIFS('Odoo Items'!$J$5:$J$4331,A764,'Odoo Items'!$C$5:$C$4331,"&lt;="&amp;Cover!$C$13)</f>
        <v>0</v>
      </c>
      <c r="Q764">
        <f>IF(AND(O764=0,P764=0),"",IF(O764=0,"ODOO-ONLY",IF(P764=0,"BANK-ONLY","BOTH")))</f>
      </c>
      <c r="R764" s="9">
        <f>IF(Q764="BOTH",ROUND(M764-N764,2),0)</f>
        <v>0</v>
      </c>
      <c r="S764" s="9">
        <f>ROUND(SUMIFS('Bank Lines'!$E$5:$E$1640,'Bank Lines'!$G$5:$G$1640,A764,'Bank Lines'!$J$5:$J$1640,1,'Bank Lines'!$C$5:$C$1640,"&lt;="&amp;Cover!$C$14),2)</f>
        <v>1078.15</v>
      </c>
      <c r="T764" s="9">
        <f>ROUND(SUMIFS('Odoo Items'!$G$5:$G$4331,'Odoo Items'!$J$5:$J$4331,A764,'Odoo Items'!$C$5:$C$4331,"&lt;="&amp;Cover!$C$14),2)</f>
        <v>1078.15</v>
      </c>
      <c r="U764">
        <f>COUNTIFS('Bank Lines'!$G$5:$G$1640,A764,'Bank Lines'!$J$5:$J$1640,1,'Bank Lines'!$C$5:$C$1640,"&lt;="&amp;Cover!$C$14)</f>
        <v>1</v>
      </c>
      <c r="V764">
        <f>COUNTIFS('Odoo Items'!$J$5:$J$4331,A764,'Odoo Items'!$C$5:$C$4331,"&lt;="&amp;Cover!$C$14)</f>
        <v>1</v>
      </c>
      <c r="W764" t="str">
        <f>IF(AND(U764=0,V764=0),"",IF(U764=0,"ODOO-ONLY",IF(V764=0,"BANK-ONLY","BOTH")))</f>
        <v>BOTH</v>
      </c>
      <c r="X764" s="9">
        <f>IF(W764="BOTH",ROUND(S764-T764,2),0)</f>
        <v>0</v>
      </c>
      <c r="Y764" s="9">
        <f>ROUND(SUMIFS('Bank Lines'!$E$5:$E$1640,'Bank Lines'!$G$5:$G$1640,A764,'Bank Lines'!$J$5:$J$1640,1,'Bank Lines'!$C$5:$C$1640,"&lt;="&amp;Cover!$C$15),2)</f>
        <v>1078.15</v>
      </c>
      <c r="Z764" s="9">
        <f>ROUND(SUMIFS('Odoo Items'!$G$5:$G$4331,'Odoo Items'!$J$5:$J$4331,A764,'Odoo Items'!$C$5:$C$4331,"&lt;="&amp;Cover!$C$15),2)</f>
        <v>1078.15</v>
      </c>
      <c r="AA764">
        <f>COUNTIFS('Bank Lines'!$G$5:$G$1640,A764,'Bank Lines'!$J$5:$J$1640,1,'Bank Lines'!$C$5:$C$1640,"&lt;="&amp;Cover!$C$15)</f>
        <v>1</v>
      </c>
      <c r="AB764">
        <f>COUNTIFS('Odoo Items'!$J$5:$J$4331,A764,'Odoo Items'!$C$5:$C$4331,"&lt;="&amp;Cover!$C$15)</f>
        <v>1</v>
      </c>
      <c r="AC764" t="str">
        <f>IF(AND(AA764=0,AB764=0),"",IF(AA764=0,"ODOO-ONLY",IF(AB764=0,"BANK-ONLY","BOTH")))</f>
        <v>BOTH</v>
      </c>
      <c r="AD764" s="9">
        <f>IF(AC764="BOTH",ROUND(Y764-Z764,2),0)</f>
        <v>0</v>
      </c>
    </row>
    <row r="765">
      <c r="A765" t="inlineStr">
        <is>
          <t>G00761</t>
        </is>
      </c>
      <c r="B765" t="inlineStr">
        <is>
          <t>MER</t>
        </is>
      </c>
      <c r="C765" t="inlineStr">
        <is>
          <t>R08</t>
        </is>
      </c>
      <c r="D765" t="inlineStr">
        <is>
          <t>MATCH</t>
        </is>
      </c>
      <c r="E765" t="inlineStr"/>
      <c r="G765" t="inlineStr"/>
      <c r="H765">
        <f>COUNTIFS('Bank Lines'!$G$5:$G$1640,A765,'Bank Lines'!$J$5:$J$1640,1)</f>
        <v>1</v>
      </c>
      <c r="I765">
        <f>COUNTIFS('Odoo Items'!$J$5:$J$4331,A765)</f>
        <v>1</v>
      </c>
      <c r="J765" s="9">
        <f>ROUND(SUMIFS('Bank Lines'!$E$5:$E$1640,'Bank Lines'!$G$5:$G$1640,A765,'Bank Lines'!$J$5:$J$1640,1),2)</f>
        <v>980.45</v>
      </c>
      <c r="K765" s="9">
        <f>ROUND(SUMIFS('Odoo Items'!$G$5:$G$4331,'Odoo Items'!$J$5:$J$4331,A765),2)</f>
        <v>980.45</v>
      </c>
      <c r="L765" s="9">
        <f>ROUND(J765-K765,2)</f>
        <v>0</v>
      </c>
      <c r="M765" s="9">
        <f>ROUND(SUMIFS('Bank Lines'!$E$5:$E$1640,'Bank Lines'!$G$5:$G$1640,A765,'Bank Lines'!$J$5:$J$1640,1,'Bank Lines'!$C$5:$C$1640,"&lt;="&amp;Cover!$C$13),2)</f>
        <v>0</v>
      </c>
      <c r="N765" s="9">
        <f>ROUND(SUMIFS('Odoo Items'!$G$5:$G$4331,'Odoo Items'!$J$5:$J$4331,A765,'Odoo Items'!$C$5:$C$4331,"&lt;="&amp;Cover!$C$13),2)</f>
        <v>0</v>
      </c>
      <c r="O765">
        <f>COUNTIFS('Bank Lines'!$G$5:$G$1640,A765,'Bank Lines'!$J$5:$J$1640,1,'Bank Lines'!$C$5:$C$1640,"&lt;="&amp;Cover!$C$13)</f>
        <v>0</v>
      </c>
      <c r="P765">
        <f>COUNTIFS('Odoo Items'!$J$5:$J$4331,A765,'Odoo Items'!$C$5:$C$4331,"&lt;="&amp;Cover!$C$13)</f>
        <v>0</v>
      </c>
      <c r="Q765">
        <f>IF(AND(O765=0,P765=0),"",IF(O765=0,"ODOO-ONLY",IF(P765=0,"BANK-ONLY","BOTH")))</f>
      </c>
      <c r="R765" s="9">
        <f>IF(Q765="BOTH",ROUND(M765-N765,2),0)</f>
        <v>0</v>
      </c>
      <c r="S765" s="9">
        <f>ROUND(SUMIFS('Bank Lines'!$E$5:$E$1640,'Bank Lines'!$G$5:$G$1640,A765,'Bank Lines'!$J$5:$J$1640,1,'Bank Lines'!$C$5:$C$1640,"&lt;="&amp;Cover!$C$14),2)</f>
        <v>980.45</v>
      </c>
      <c r="T765" s="9">
        <f>ROUND(SUMIFS('Odoo Items'!$G$5:$G$4331,'Odoo Items'!$J$5:$J$4331,A765,'Odoo Items'!$C$5:$C$4331,"&lt;="&amp;Cover!$C$14),2)</f>
        <v>980.45</v>
      </c>
      <c r="U765">
        <f>COUNTIFS('Bank Lines'!$G$5:$G$1640,A765,'Bank Lines'!$J$5:$J$1640,1,'Bank Lines'!$C$5:$C$1640,"&lt;="&amp;Cover!$C$14)</f>
        <v>1</v>
      </c>
      <c r="V765">
        <f>COUNTIFS('Odoo Items'!$J$5:$J$4331,A765,'Odoo Items'!$C$5:$C$4331,"&lt;="&amp;Cover!$C$14)</f>
        <v>1</v>
      </c>
      <c r="W765" t="str">
        <f>IF(AND(U765=0,V765=0),"",IF(U765=0,"ODOO-ONLY",IF(V765=0,"BANK-ONLY","BOTH")))</f>
        <v>BOTH</v>
      </c>
      <c r="X765" s="9">
        <f>IF(W765="BOTH",ROUND(S765-T765,2),0)</f>
        <v>0</v>
      </c>
      <c r="Y765" s="9">
        <f>ROUND(SUMIFS('Bank Lines'!$E$5:$E$1640,'Bank Lines'!$G$5:$G$1640,A765,'Bank Lines'!$J$5:$J$1640,1,'Bank Lines'!$C$5:$C$1640,"&lt;="&amp;Cover!$C$15),2)</f>
        <v>980.45</v>
      </c>
      <c r="Z765" s="9">
        <f>ROUND(SUMIFS('Odoo Items'!$G$5:$G$4331,'Odoo Items'!$J$5:$J$4331,A765,'Odoo Items'!$C$5:$C$4331,"&lt;="&amp;Cover!$C$15),2)</f>
        <v>980.45</v>
      </c>
      <c r="AA765">
        <f>COUNTIFS('Bank Lines'!$G$5:$G$1640,A765,'Bank Lines'!$J$5:$J$1640,1,'Bank Lines'!$C$5:$C$1640,"&lt;="&amp;Cover!$C$15)</f>
        <v>1</v>
      </c>
      <c r="AB765">
        <f>COUNTIFS('Odoo Items'!$J$5:$J$4331,A765,'Odoo Items'!$C$5:$C$4331,"&lt;="&amp;Cover!$C$15)</f>
        <v>1</v>
      </c>
      <c r="AC765" t="str">
        <f>IF(AND(AA765=0,AB765=0),"",IF(AA765=0,"ODOO-ONLY",IF(AB765=0,"BANK-ONLY","BOTH")))</f>
        <v>BOTH</v>
      </c>
      <c r="AD765" s="9">
        <f>IF(AC765="BOTH",ROUND(Y765-Z765,2),0)</f>
        <v>0</v>
      </c>
    </row>
    <row r="766">
      <c r="A766" t="inlineStr">
        <is>
          <t>G00762</t>
        </is>
      </c>
      <c r="B766" t="inlineStr">
        <is>
          <t>MER</t>
        </is>
      </c>
      <c r="C766" t="inlineStr">
        <is>
          <t>R08</t>
        </is>
      </c>
      <c r="D766" t="inlineStr">
        <is>
          <t>MATCH</t>
        </is>
      </c>
      <c r="E766" t="inlineStr"/>
      <c r="G766" t="inlineStr"/>
      <c r="H766">
        <f>COUNTIFS('Bank Lines'!$G$5:$G$1640,A766,'Bank Lines'!$J$5:$J$1640,1)</f>
        <v>1</v>
      </c>
      <c r="I766">
        <f>COUNTIFS('Odoo Items'!$J$5:$J$4331,A766)</f>
        <v>1</v>
      </c>
      <c r="J766" s="9">
        <f>ROUND(SUMIFS('Bank Lines'!$E$5:$E$1640,'Bank Lines'!$G$5:$G$1640,A766,'Bank Lines'!$J$5:$J$1640,1),2)</f>
        <v>1239.16</v>
      </c>
      <c r="K766" s="9">
        <f>ROUND(SUMIFS('Odoo Items'!$G$5:$G$4331,'Odoo Items'!$J$5:$J$4331,A766),2)</f>
        <v>1239.16</v>
      </c>
      <c r="L766" s="9">
        <f>ROUND(J766-K766,2)</f>
        <v>0</v>
      </c>
      <c r="M766" s="9">
        <f>ROUND(SUMIFS('Bank Lines'!$E$5:$E$1640,'Bank Lines'!$G$5:$G$1640,A766,'Bank Lines'!$J$5:$J$1640,1,'Bank Lines'!$C$5:$C$1640,"&lt;="&amp;Cover!$C$13),2)</f>
        <v>0</v>
      </c>
      <c r="N766" s="9">
        <f>ROUND(SUMIFS('Odoo Items'!$G$5:$G$4331,'Odoo Items'!$J$5:$J$4331,A766,'Odoo Items'!$C$5:$C$4331,"&lt;="&amp;Cover!$C$13),2)</f>
        <v>0</v>
      </c>
      <c r="O766">
        <f>COUNTIFS('Bank Lines'!$G$5:$G$1640,A766,'Bank Lines'!$J$5:$J$1640,1,'Bank Lines'!$C$5:$C$1640,"&lt;="&amp;Cover!$C$13)</f>
        <v>0</v>
      </c>
      <c r="P766">
        <f>COUNTIFS('Odoo Items'!$J$5:$J$4331,A766,'Odoo Items'!$C$5:$C$4331,"&lt;="&amp;Cover!$C$13)</f>
        <v>0</v>
      </c>
      <c r="Q766">
        <f>IF(AND(O766=0,P766=0),"",IF(O766=0,"ODOO-ONLY",IF(P766=0,"BANK-ONLY","BOTH")))</f>
      </c>
      <c r="R766" s="9">
        <f>IF(Q766="BOTH",ROUND(M766-N766,2),0)</f>
        <v>0</v>
      </c>
      <c r="S766" s="9">
        <f>ROUND(SUMIFS('Bank Lines'!$E$5:$E$1640,'Bank Lines'!$G$5:$G$1640,A766,'Bank Lines'!$J$5:$J$1640,1,'Bank Lines'!$C$5:$C$1640,"&lt;="&amp;Cover!$C$14),2)</f>
        <v>1239.16</v>
      </c>
      <c r="T766" s="9">
        <f>ROUND(SUMIFS('Odoo Items'!$G$5:$G$4331,'Odoo Items'!$J$5:$J$4331,A766,'Odoo Items'!$C$5:$C$4331,"&lt;="&amp;Cover!$C$14),2)</f>
        <v>1239.16</v>
      </c>
      <c r="U766">
        <f>COUNTIFS('Bank Lines'!$G$5:$G$1640,A766,'Bank Lines'!$J$5:$J$1640,1,'Bank Lines'!$C$5:$C$1640,"&lt;="&amp;Cover!$C$14)</f>
        <v>1</v>
      </c>
      <c r="V766">
        <f>COUNTIFS('Odoo Items'!$J$5:$J$4331,A766,'Odoo Items'!$C$5:$C$4331,"&lt;="&amp;Cover!$C$14)</f>
        <v>1</v>
      </c>
      <c r="W766" t="str">
        <f>IF(AND(U766=0,V766=0),"",IF(U766=0,"ODOO-ONLY",IF(V766=0,"BANK-ONLY","BOTH")))</f>
        <v>BOTH</v>
      </c>
      <c r="X766" s="9">
        <f>IF(W766="BOTH",ROUND(S766-T766,2),0)</f>
        <v>0</v>
      </c>
      <c r="Y766" s="9">
        <f>ROUND(SUMIFS('Bank Lines'!$E$5:$E$1640,'Bank Lines'!$G$5:$G$1640,A766,'Bank Lines'!$J$5:$J$1640,1,'Bank Lines'!$C$5:$C$1640,"&lt;="&amp;Cover!$C$15),2)</f>
        <v>1239.16</v>
      </c>
      <c r="Z766" s="9">
        <f>ROUND(SUMIFS('Odoo Items'!$G$5:$G$4331,'Odoo Items'!$J$5:$J$4331,A766,'Odoo Items'!$C$5:$C$4331,"&lt;="&amp;Cover!$C$15),2)</f>
        <v>1239.16</v>
      </c>
      <c r="AA766">
        <f>COUNTIFS('Bank Lines'!$G$5:$G$1640,A766,'Bank Lines'!$J$5:$J$1640,1,'Bank Lines'!$C$5:$C$1640,"&lt;="&amp;Cover!$C$15)</f>
        <v>1</v>
      </c>
      <c r="AB766">
        <f>COUNTIFS('Odoo Items'!$J$5:$J$4331,A766,'Odoo Items'!$C$5:$C$4331,"&lt;="&amp;Cover!$C$15)</f>
        <v>1</v>
      </c>
      <c r="AC766" t="str">
        <f>IF(AND(AA766=0,AB766=0),"",IF(AA766=0,"ODOO-ONLY",IF(AB766=0,"BANK-ONLY","BOTH")))</f>
        <v>BOTH</v>
      </c>
      <c r="AD766" s="9">
        <f>IF(AC766="BOTH",ROUND(Y766-Z766,2),0)</f>
        <v>0</v>
      </c>
    </row>
    <row r="767">
      <c r="A767" t="inlineStr">
        <is>
          <t>G00763</t>
        </is>
      </c>
      <c r="B767" t="inlineStr">
        <is>
          <t>MER</t>
        </is>
      </c>
      <c r="C767" t="inlineStr">
        <is>
          <t>R04</t>
        </is>
      </c>
      <c r="D767" t="inlineStr">
        <is>
          <t>MATCH</t>
        </is>
      </c>
      <c r="E767" t="inlineStr"/>
      <c r="G767" t="inlineStr">
        <is>
          <t>Sweep, same amount</t>
        </is>
      </c>
      <c r="H767">
        <f>COUNTIFS('Bank Lines'!$G$5:$G$1640,A767,'Bank Lines'!$J$5:$J$1640,1)</f>
        <v>1</v>
      </c>
      <c r="I767">
        <f>COUNTIFS('Odoo Items'!$J$5:$J$4331,A767)</f>
        <v>1</v>
      </c>
      <c r="J767" s="9">
        <f>ROUND(SUMIFS('Bank Lines'!$E$5:$E$1640,'Bank Lines'!$G$5:$G$1640,A767,'Bank Lines'!$J$5:$J$1640,1),2)</f>
        <v>-34000</v>
      </c>
      <c r="K767" s="9">
        <f>ROUND(SUMIFS('Odoo Items'!$G$5:$G$4331,'Odoo Items'!$J$5:$J$4331,A767),2)</f>
        <v>-34000</v>
      </c>
      <c r="L767" s="9">
        <f>ROUND(J767-K767,2)</f>
        <v>0</v>
      </c>
      <c r="M767" s="9">
        <f>ROUND(SUMIFS('Bank Lines'!$E$5:$E$1640,'Bank Lines'!$G$5:$G$1640,A767,'Bank Lines'!$J$5:$J$1640,1,'Bank Lines'!$C$5:$C$1640,"&lt;="&amp;Cover!$C$13),2)</f>
        <v>0</v>
      </c>
      <c r="N767" s="9">
        <f>ROUND(SUMIFS('Odoo Items'!$G$5:$G$4331,'Odoo Items'!$J$5:$J$4331,A767,'Odoo Items'!$C$5:$C$4331,"&lt;="&amp;Cover!$C$13),2)</f>
        <v>0</v>
      </c>
      <c r="O767">
        <f>COUNTIFS('Bank Lines'!$G$5:$G$1640,A767,'Bank Lines'!$J$5:$J$1640,1,'Bank Lines'!$C$5:$C$1640,"&lt;="&amp;Cover!$C$13)</f>
        <v>0</v>
      </c>
      <c r="P767">
        <f>COUNTIFS('Odoo Items'!$J$5:$J$4331,A767,'Odoo Items'!$C$5:$C$4331,"&lt;="&amp;Cover!$C$13)</f>
        <v>0</v>
      </c>
      <c r="Q767">
        <f>IF(AND(O767=0,P767=0),"",IF(O767=0,"ODOO-ONLY",IF(P767=0,"BANK-ONLY","BOTH")))</f>
      </c>
      <c r="R767" s="9">
        <f>IF(Q767="BOTH",ROUND(M767-N767,2),0)</f>
        <v>0</v>
      </c>
      <c r="S767" s="9">
        <f>ROUND(SUMIFS('Bank Lines'!$E$5:$E$1640,'Bank Lines'!$G$5:$G$1640,A767,'Bank Lines'!$J$5:$J$1640,1,'Bank Lines'!$C$5:$C$1640,"&lt;="&amp;Cover!$C$14),2)</f>
        <v>-34000</v>
      </c>
      <c r="T767" s="9">
        <f>ROUND(SUMIFS('Odoo Items'!$G$5:$G$4331,'Odoo Items'!$J$5:$J$4331,A767,'Odoo Items'!$C$5:$C$4331,"&lt;="&amp;Cover!$C$14),2)</f>
        <v>-34000</v>
      </c>
      <c r="U767">
        <f>COUNTIFS('Bank Lines'!$G$5:$G$1640,A767,'Bank Lines'!$J$5:$J$1640,1,'Bank Lines'!$C$5:$C$1640,"&lt;="&amp;Cover!$C$14)</f>
        <v>1</v>
      </c>
      <c r="V767">
        <f>COUNTIFS('Odoo Items'!$J$5:$J$4331,A767,'Odoo Items'!$C$5:$C$4331,"&lt;="&amp;Cover!$C$14)</f>
        <v>1</v>
      </c>
      <c r="W767" t="str">
        <f>IF(AND(U767=0,V767=0),"",IF(U767=0,"ODOO-ONLY",IF(V767=0,"BANK-ONLY","BOTH")))</f>
        <v>BOTH</v>
      </c>
      <c r="X767" s="9">
        <f>IF(W767="BOTH",ROUND(S767-T767,2),0)</f>
        <v>0</v>
      </c>
      <c r="Y767" s="9">
        <f>ROUND(SUMIFS('Bank Lines'!$E$5:$E$1640,'Bank Lines'!$G$5:$G$1640,A767,'Bank Lines'!$J$5:$J$1640,1,'Bank Lines'!$C$5:$C$1640,"&lt;="&amp;Cover!$C$15),2)</f>
        <v>-34000</v>
      </c>
      <c r="Z767" s="9">
        <f>ROUND(SUMIFS('Odoo Items'!$G$5:$G$4331,'Odoo Items'!$J$5:$J$4331,A767,'Odoo Items'!$C$5:$C$4331,"&lt;="&amp;Cover!$C$15),2)</f>
        <v>-34000</v>
      </c>
      <c r="AA767">
        <f>COUNTIFS('Bank Lines'!$G$5:$G$1640,A767,'Bank Lines'!$J$5:$J$1640,1,'Bank Lines'!$C$5:$C$1640,"&lt;="&amp;Cover!$C$15)</f>
        <v>1</v>
      </c>
      <c r="AB767">
        <f>COUNTIFS('Odoo Items'!$J$5:$J$4331,A767,'Odoo Items'!$C$5:$C$4331,"&lt;="&amp;Cover!$C$15)</f>
        <v>1</v>
      </c>
      <c r="AC767" t="str">
        <f>IF(AND(AA767=0,AB767=0),"",IF(AA767=0,"ODOO-ONLY",IF(AB767=0,"BANK-ONLY","BOTH")))</f>
        <v>BOTH</v>
      </c>
      <c r="AD767" s="9">
        <f>IF(AC767="BOTH",ROUND(Y767-Z767,2),0)</f>
        <v>0</v>
      </c>
    </row>
    <row r="768">
      <c r="A768" t="inlineStr">
        <is>
          <t>G00764</t>
        </is>
      </c>
      <c r="B768" t="inlineStr">
        <is>
          <t>MER</t>
        </is>
      </c>
      <c r="C768" t="inlineStr">
        <is>
          <t>R08</t>
        </is>
      </c>
      <c r="D768" t="inlineStr">
        <is>
          <t>MATCH</t>
        </is>
      </c>
      <c r="E768" t="inlineStr"/>
      <c r="G768" t="inlineStr"/>
      <c r="H768">
        <f>COUNTIFS('Bank Lines'!$G$5:$G$1640,A768,'Bank Lines'!$J$5:$J$1640,1)</f>
        <v>1</v>
      </c>
      <c r="I768">
        <f>COUNTIFS('Odoo Items'!$J$5:$J$4331,A768)</f>
        <v>1</v>
      </c>
      <c r="J768" s="9">
        <f>ROUND(SUMIFS('Bank Lines'!$E$5:$E$1640,'Bank Lines'!$G$5:$G$1640,A768,'Bank Lines'!$J$5:$J$1640,1),2)</f>
        <v>2914.25</v>
      </c>
      <c r="K768" s="9">
        <f>ROUND(SUMIFS('Odoo Items'!$G$5:$G$4331,'Odoo Items'!$J$5:$J$4331,A768),2)</f>
        <v>2914.25</v>
      </c>
      <c r="L768" s="9">
        <f>ROUND(J768-K768,2)</f>
        <v>0</v>
      </c>
      <c r="M768" s="9">
        <f>ROUND(SUMIFS('Bank Lines'!$E$5:$E$1640,'Bank Lines'!$G$5:$G$1640,A768,'Bank Lines'!$J$5:$J$1640,1,'Bank Lines'!$C$5:$C$1640,"&lt;="&amp;Cover!$C$13),2)</f>
        <v>0</v>
      </c>
      <c r="N768" s="9">
        <f>ROUND(SUMIFS('Odoo Items'!$G$5:$G$4331,'Odoo Items'!$J$5:$J$4331,A768,'Odoo Items'!$C$5:$C$4331,"&lt;="&amp;Cover!$C$13),2)</f>
        <v>0</v>
      </c>
      <c r="O768">
        <f>COUNTIFS('Bank Lines'!$G$5:$G$1640,A768,'Bank Lines'!$J$5:$J$1640,1,'Bank Lines'!$C$5:$C$1640,"&lt;="&amp;Cover!$C$13)</f>
        <v>0</v>
      </c>
      <c r="P768">
        <f>COUNTIFS('Odoo Items'!$J$5:$J$4331,A768,'Odoo Items'!$C$5:$C$4331,"&lt;="&amp;Cover!$C$13)</f>
        <v>0</v>
      </c>
      <c r="Q768">
        <f>IF(AND(O768=0,P768=0),"",IF(O768=0,"ODOO-ONLY",IF(P768=0,"BANK-ONLY","BOTH")))</f>
      </c>
      <c r="R768" s="9">
        <f>IF(Q768="BOTH",ROUND(M768-N768,2),0)</f>
        <v>0</v>
      </c>
      <c r="S768" s="9">
        <f>ROUND(SUMIFS('Bank Lines'!$E$5:$E$1640,'Bank Lines'!$G$5:$G$1640,A768,'Bank Lines'!$J$5:$J$1640,1,'Bank Lines'!$C$5:$C$1640,"&lt;="&amp;Cover!$C$14),2)</f>
        <v>2914.25</v>
      </c>
      <c r="T768" s="9">
        <f>ROUND(SUMIFS('Odoo Items'!$G$5:$G$4331,'Odoo Items'!$J$5:$J$4331,A768,'Odoo Items'!$C$5:$C$4331,"&lt;="&amp;Cover!$C$14),2)</f>
        <v>2914.25</v>
      </c>
      <c r="U768">
        <f>COUNTIFS('Bank Lines'!$G$5:$G$1640,A768,'Bank Lines'!$J$5:$J$1640,1,'Bank Lines'!$C$5:$C$1640,"&lt;="&amp;Cover!$C$14)</f>
        <v>1</v>
      </c>
      <c r="V768">
        <f>COUNTIFS('Odoo Items'!$J$5:$J$4331,A768,'Odoo Items'!$C$5:$C$4331,"&lt;="&amp;Cover!$C$14)</f>
        <v>1</v>
      </c>
      <c r="W768" t="str">
        <f>IF(AND(U768=0,V768=0),"",IF(U768=0,"ODOO-ONLY",IF(V768=0,"BANK-ONLY","BOTH")))</f>
        <v>BOTH</v>
      </c>
      <c r="X768" s="9">
        <f>IF(W768="BOTH",ROUND(S768-T768,2),0)</f>
        <v>0</v>
      </c>
      <c r="Y768" s="9">
        <f>ROUND(SUMIFS('Bank Lines'!$E$5:$E$1640,'Bank Lines'!$G$5:$G$1640,A768,'Bank Lines'!$J$5:$J$1640,1,'Bank Lines'!$C$5:$C$1640,"&lt;="&amp;Cover!$C$15),2)</f>
        <v>2914.25</v>
      </c>
      <c r="Z768" s="9">
        <f>ROUND(SUMIFS('Odoo Items'!$G$5:$G$4331,'Odoo Items'!$J$5:$J$4331,A768,'Odoo Items'!$C$5:$C$4331,"&lt;="&amp;Cover!$C$15),2)</f>
        <v>2914.25</v>
      </c>
      <c r="AA768">
        <f>COUNTIFS('Bank Lines'!$G$5:$G$1640,A768,'Bank Lines'!$J$5:$J$1640,1,'Bank Lines'!$C$5:$C$1640,"&lt;="&amp;Cover!$C$15)</f>
        <v>1</v>
      </c>
      <c r="AB768">
        <f>COUNTIFS('Odoo Items'!$J$5:$J$4331,A768,'Odoo Items'!$C$5:$C$4331,"&lt;="&amp;Cover!$C$15)</f>
        <v>1</v>
      </c>
      <c r="AC768" t="str">
        <f>IF(AND(AA768=0,AB768=0),"",IF(AA768=0,"ODOO-ONLY",IF(AB768=0,"BANK-ONLY","BOTH")))</f>
        <v>BOTH</v>
      </c>
      <c r="AD768" s="9">
        <f>IF(AC768="BOTH",ROUND(Y768-Z768,2),0)</f>
        <v>0</v>
      </c>
    </row>
    <row r="769">
      <c r="A769" t="inlineStr">
        <is>
          <t>G00765</t>
        </is>
      </c>
      <c r="B769" t="inlineStr">
        <is>
          <t>MER</t>
        </is>
      </c>
      <c r="C769" t="inlineStr">
        <is>
          <t>R08</t>
        </is>
      </c>
      <c r="D769" t="inlineStr">
        <is>
          <t>MATCH</t>
        </is>
      </c>
      <c r="E769" t="inlineStr"/>
      <c r="G769" t="inlineStr"/>
      <c r="H769">
        <f>COUNTIFS('Bank Lines'!$G$5:$G$1640,A769,'Bank Lines'!$J$5:$J$1640,1)</f>
        <v>1</v>
      </c>
      <c r="I769">
        <f>COUNTIFS('Odoo Items'!$J$5:$J$4331,A769)</f>
        <v>1</v>
      </c>
      <c r="J769" s="9">
        <f>ROUND(SUMIFS('Bank Lines'!$E$5:$E$1640,'Bank Lines'!$G$5:$G$1640,A769,'Bank Lines'!$J$5:$J$1640,1),2)</f>
        <v>3278.09</v>
      </c>
      <c r="K769" s="9">
        <f>ROUND(SUMIFS('Odoo Items'!$G$5:$G$4331,'Odoo Items'!$J$5:$J$4331,A769),2)</f>
        <v>3278.09</v>
      </c>
      <c r="L769" s="9">
        <f>ROUND(J769-K769,2)</f>
        <v>0</v>
      </c>
      <c r="M769" s="9">
        <f>ROUND(SUMIFS('Bank Lines'!$E$5:$E$1640,'Bank Lines'!$G$5:$G$1640,A769,'Bank Lines'!$J$5:$J$1640,1,'Bank Lines'!$C$5:$C$1640,"&lt;="&amp;Cover!$C$13),2)</f>
        <v>0</v>
      </c>
      <c r="N769" s="9">
        <f>ROUND(SUMIFS('Odoo Items'!$G$5:$G$4331,'Odoo Items'!$J$5:$J$4331,A769,'Odoo Items'!$C$5:$C$4331,"&lt;="&amp;Cover!$C$13),2)</f>
        <v>0</v>
      </c>
      <c r="O769">
        <f>COUNTIFS('Bank Lines'!$G$5:$G$1640,A769,'Bank Lines'!$J$5:$J$1640,1,'Bank Lines'!$C$5:$C$1640,"&lt;="&amp;Cover!$C$13)</f>
        <v>0</v>
      </c>
      <c r="P769">
        <f>COUNTIFS('Odoo Items'!$J$5:$J$4331,A769,'Odoo Items'!$C$5:$C$4331,"&lt;="&amp;Cover!$C$13)</f>
        <v>0</v>
      </c>
      <c r="Q769">
        <f>IF(AND(O769=0,P769=0),"",IF(O769=0,"ODOO-ONLY",IF(P769=0,"BANK-ONLY","BOTH")))</f>
      </c>
      <c r="R769" s="9">
        <f>IF(Q769="BOTH",ROUND(M769-N769,2),0)</f>
        <v>0</v>
      </c>
      <c r="S769" s="9">
        <f>ROUND(SUMIFS('Bank Lines'!$E$5:$E$1640,'Bank Lines'!$G$5:$G$1640,A769,'Bank Lines'!$J$5:$J$1640,1,'Bank Lines'!$C$5:$C$1640,"&lt;="&amp;Cover!$C$14),2)</f>
        <v>3278.09</v>
      </c>
      <c r="T769" s="9">
        <f>ROUND(SUMIFS('Odoo Items'!$G$5:$G$4331,'Odoo Items'!$J$5:$J$4331,A769,'Odoo Items'!$C$5:$C$4331,"&lt;="&amp;Cover!$C$14),2)</f>
        <v>3278.09</v>
      </c>
      <c r="U769">
        <f>COUNTIFS('Bank Lines'!$G$5:$G$1640,A769,'Bank Lines'!$J$5:$J$1640,1,'Bank Lines'!$C$5:$C$1640,"&lt;="&amp;Cover!$C$14)</f>
        <v>1</v>
      </c>
      <c r="V769">
        <f>COUNTIFS('Odoo Items'!$J$5:$J$4331,A769,'Odoo Items'!$C$5:$C$4331,"&lt;="&amp;Cover!$C$14)</f>
        <v>1</v>
      </c>
      <c r="W769" t="str">
        <f>IF(AND(U769=0,V769=0),"",IF(U769=0,"ODOO-ONLY",IF(V769=0,"BANK-ONLY","BOTH")))</f>
        <v>BOTH</v>
      </c>
      <c r="X769" s="9">
        <f>IF(W769="BOTH",ROUND(S769-T769,2),0)</f>
        <v>0</v>
      </c>
      <c r="Y769" s="9">
        <f>ROUND(SUMIFS('Bank Lines'!$E$5:$E$1640,'Bank Lines'!$G$5:$G$1640,A769,'Bank Lines'!$J$5:$J$1640,1,'Bank Lines'!$C$5:$C$1640,"&lt;="&amp;Cover!$C$15),2)</f>
        <v>3278.09</v>
      </c>
      <c r="Z769" s="9">
        <f>ROUND(SUMIFS('Odoo Items'!$G$5:$G$4331,'Odoo Items'!$J$5:$J$4331,A769,'Odoo Items'!$C$5:$C$4331,"&lt;="&amp;Cover!$C$15),2)</f>
        <v>3278.09</v>
      </c>
      <c r="AA769">
        <f>COUNTIFS('Bank Lines'!$G$5:$G$1640,A769,'Bank Lines'!$J$5:$J$1640,1,'Bank Lines'!$C$5:$C$1640,"&lt;="&amp;Cover!$C$15)</f>
        <v>1</v>
      </c>
      <c r="AB769">
        <f>COUNTIFS('Odoo Items'!$J$5:$J$4331,A769,'Odoo Items'!$C$5:$C$4331,"&lt;="&amp;Cover!$C$15)</f>
        <v>1</v>
      </c>
      <c r="AC769" t="str">
        <f>IF(AND(AA769=0,AB769=0),"",IF(AA769=0,"ODOO-ONLY",IF(AB769=0,"BANK-ONLY","BOTH")))</f>
        <v>BOTH</v>
      </c>
      <c r="AD769" s="9">
        <f>IF(AC769="BOTH",ROUND(Y769-Z769,2),0)</f>
        <v>0</v>
      </c>
    </row>
    <row r="770">
      <c r="A770" t="inlineStr">
        <is>
          <t>G00766</t>
        </is>
      </c>
      <c r="B770" t="inlineStr">
        <is>
          <t>MER</t>
        </is>
      </c>
      <c r="C770" t="inlineStr">
        <is>
          <t>R08</t>
        </is>
      </c>
      <c r="D770" t="inlineStr">
        <is>
          <t>MATCH</t>
        </is>
      </c>
      <c r="E770" t="inlineStr"/>
      <c r="G770" t="inlineStr"/>
      <c r="H770">
        <f>COUNTIFS('Bank Lines'!$G$5:$G$1640,A770,'Bank Lines'!$J$5:$J$1640,1)</f>
        <v>1</v>
      </c>
      <c r="I770">
        <f>COUNTIFS('Odoo Items'!$J$5:$J$4331,A770)</f>
        <v>1</v>
      </c>
      <c r="J770" s="9">
        <f>ROUND(SUMIFS('Bank Lines'!$E$5:$E$1640,'Bank Lines'!$G$5:$G$1640,A770,'Bank Lines'!$J$5:$J$1640,1),2)</f>
        <v>2185.24</v>
      </c>
      <c r="K770" s="9">
        <f>ROUND(SUMIFS('Odoo Items'!$G$5:$G$4331,'Odoo Items'!$J$5:$J$4331,A770),2)</f>
        <v>2185.24</v>
      </c>
      <c r="L770" s="9">
        <f>ROUND(J770-K770,2)</f>
        <v>0</v>
      </c>
      <c r="M770" s="9">
        <f>ROUND(SUMIFS('Bank Lines'!$E$5:$E$1640,'Bank Lines'!$G$5:$G$1640,A770,'Bank Lines'!$J$5:$J$1640,1,'Bank Lines'!$C$5:$C$1640,"&lt;="&amp;Cover!$C$13),2)</f>
        <v>0</v>
      </c>
      <c r="N770" s="9">
        <f>ROUND(SUMIFS('Odoo Items'!$G$5:$G$4331,'Odoo Items'!$J$5:$J$4331,A770,'Odoo Items'!$C$5:$C$4331,"&lt;="&amp;Cover!$C$13),2)</f>
        <v>0</v>
      </c>
      <c r="O770">
        <f>COUNTIFS('Bank Lines'!$G$5:$G$1640,A770,'Bank Lines'!$J$5:$J$1640,1,'Bank Lines'!$C$5:$C$1640,"&lt;="&amp;Cover!$C$13)</f>
        <v>0</v>
      </c>
      <c r="P770">
        <f>COUNTIFS('Odoo Items'!$J$5:$J$4331,A770,'Odoo Items'!$C$5:$C$4331,"&lt;="&amp;Cover!$C$13)</f>
        <v>0</v>
      </c>
      <c r="Q770">
        <f>IF(AND(O770=0,P770=0),"",IF(O770=0,"ODOO-ONLY",IF(P770=0,"BANK-ONLY","BOTH")))</f>
      </c>
      <c r="R770" s="9">
        <f>IF(Q770="BOTH",ROUND(M770-N770,2),0)</f>
        <v>0</v>
      </c>
      <c r="S770" s="9">
        <f>ROUND(SUMIFS('Bank Lines'!$E$5:$E$1640,'Bank Lines'!$G$5:$G$1640,A770,'Bank Lines'!$J$5:$J$1640,1,'Bank Lines'!$C$5:$C$1640,"&lt;="&amp;Cover!$C$14),2)</f>
        <v>2185.24</v>
      </c>
      <c r="T770" s="9">
        <f>ROUND(SUMIFS('Odoo Items'!$G$5:$G$4331,'Odoo Items'!$J$5:$J$4331,A770,'Odoo Items'!$C$5:$C$4331,"&lt;="&amp;Cover!$C$14),2)</f>
        <v>2185.24</v>
      </c>
      <c r="U770">
        <f>COUNTIFS('Bank Lines'!$G$5:$G$1640,A770,'Bank Lines'!$J$5:$J$1640,1,'Bank Lines'!$C$5:$C$1640,"&lt;="&amp;Cover!$C$14)</f>
        <v>1</v>
      </c>
      <c r="V770">
        <f>COUNTIFS('Odoo Items'!$J$5:$J$4331,A770,'Odoo Items'!$C$5:$C$4331,"&lt;="&amp;Cover!$C$14)</f>
        <v>1</v>
      </c>
      <c r="W770" t="str">
        <f>IF(AND(U770=0,V770=0),"",IF(U770=0,"ODOO-ONLY",IF(V770=0,"BANK-ONLY","BOTH")))</f>
        <v>BOTH</v>
      </c>
      <c r="X770" s="9">
        <f>IF(W770="BOTH",ROUND(S770-T770,2),0)</f>
        <v>0</v>
      </c>
      <c r="Y770" s="9">
        <f>ROUND(SUMIFS('Bank Lines'!$E$5:$E$1640,'Bank Lines'!$G$5:$G$1640,A770,'Bank Lines'!$J$5:$J$1640,1,'Bank Lines'!$C$5:$C$1640,"&lt;="&amp;Cover!$C$15),2)</f>
        <v>2185.24</v>
      </c>
      <c r="Z770" s="9">
        <f>ROUND(SUMIFS('Odoo Items'!$G$5:$G$4331,'Odoo Items'!$J$5:$J$4331,A770,'Odoo Items'!$C$5:$C$4331,"&lt;="&amp;Cover!$C$15),2)</f>
        <v>2185.24</v>
      </c>
      <c r="AA770">
        <f>COUNTIFS('Bank Lines'!$G$5:$G$1640,A770,'Bank Lines'!$J$5:$J$1640,1,'Bank Lines'!$C$5:$C$1640,"&lt;="&amp;Cover!$C$15)</f>
        <v>1</v>
      </c>
      <c r="AB770">
        <f>COUNTIFS('Odoo Items'!$J$5:$J$4331,A770,'Odoo Items'!$C$5:$C$4331,"&lt;="&amp;Cover!$C$15)</f>
        <v>1</v>
      </c>
      <c r="AC770" t="str">
        <f>IF(AND(AA770=0,AB770=0),"",IF(AA770=0,"ODOO-ONLY",IF(AB770=0,"BANK-ONLY","BOTH")))</f>
        <v>BOTH</v>
      </c>
      <c r="AD770" s="9">
        <f>IF(AC770="BOTH",ROUND(Y770-Z770,2),0)</f>
        <v>0</v>
      </c>
    </row>
    <row r="771">
      <c r="A771" t="inlineStr">
        <is>
          <t>G00767</t>
        </is>
      </c>
      <c r="B771" t="inlineStr">
        <is>
          <t>MER</t>
        </is>
      </c>
      <c r="C771" t="inlineStr">
        <is>
          <t>R08</t>
        </is>
      </c>
      <c r="D771" t="inlineStr">
        <is>
          <t>MATCH</t>
        </is>
      </c>
      <c r="E771" t="inlineStr"/>
      <c r="G771" t="inlineStr"/>
      <c r="H771">
        <f>COUNTIFS('Bank Lines'!$G$5:$G$1640,A771,'Bank Lines'!$J$5:$J$1640,1)</f>
        <v>1</v>
      </c>
      <c r="I771">
        <f>COUNTIFS('Odoo Items'!$J$5:$J$4331,A771)</f>
        <v>1</v>
      </c>
      <c r="J771" s="9">
        <f>ROUND(SUMIFS('Bank Lines'!$E$5:$E$1640,'Bank Lines'!$G$5:$G$1640,A771,'Bank Lines'!$J$5:$J$1640,1),2)</f>
        <v>3116.43</v>
      </c>
      <c r="K771" s="9">
        <f>ROUND(SUMIFS('Odoo Items'!$G$5:$G$4331,'Odoo Items'!$J$5:$J$4331,A771),2)</f>
        <v>3116.43</v>
      </c>
      <c r="L771" s="9">
        <f>ROUND(J771-K771,2)</f>
        <v>0</v>
      </c>
      <c r="M771" s="9">
        <f>ROUND(SUMIFS('Bank Lines'!$E$5:$E$1640,'Bank Lines'!$G$5:$G$1640,A771,'Bank Lines'!$J$5:$J$1640,1,'Bank Lines'!$C$5:$C$1640,"&lt;="&amp;Cover!$C$13),2)</f>
        <v>0</v>
      </c>
      <c r="N771" s="9">
        <f>ROUND(SUMIFS('Odoo Items'!$G$5:$G$4331,'Odoo Items'!$J$5:$J$4331,A771,'Odoo Items'!$C$5:$C$4331,"&lt;="&amp;Cover!$C$13),2)</f>
        <v>0</v>
      </c>
      <c r="O771">
        <f>COUNTIFS('Bank Lines'!$G$5:$G$1640,A771,'Bank Lines'!$J$5:$J$1640,1,'Bank Lines'!$C$5:$C$1640,"&lt;="&amp;Cover!$C$13)</f>
        <v>0</v>
      </c>
      <c r="P771">
        <f>COUNTIFS('Odoo Items'!$J$5:$J$4331,A771,'Odoo Items'!$C$5:$C$4331,"&lt;="&amp;Cover!$C$13)</f>
        <v>0</v>
      </c>
      <c r="Q771">
        <f>IF(AND(O771=0,P771=0),"",IF(O771=0,"ODOO-ONLY",IF(P771=0,"BANK-ONLY","BOTH")))</f>
      </c>
      <c r="R771" s="9">
        <f>IF(Q771="BOTH",ROUND(M771-N771,2),0)</f>
        <v>0</v>
      </c>
      <c r="S771" s="9">
        <f>ROUND(SUMIFS('Bank Lines'!$E$5:$E$1640,'Bank Lines'!$G$5:$G$1640,A771,'Bank Lines'!$J$5:$J$1640,1,'Bank Lines'!$C$5:$C$1640,"&lt;="&amp;Cover!$C$14),2)</f>
        <v>3116.43</v>
      </c>
      <c r="T771" s="9">
        <f>ROUND(SUMIFS('Odoo Items'!$G$5:$G$4331,'Odoo Items'!$J$5:$J$4331,A771,'Odoo Items'!$C$5:$C$4331,"&lt;="&amp;Cover!$C$14),2)</f>
        <v>3116.43</v>
      </c>
      <c r="U771">
        <f>COUNTIFS('Bank Lines'!$G$5:$G$1640,A771,'Bank Lines'!$J$5:$J$1640,1,'Bank Lines'!$C$5:$C$1640,"&lt;="&amp;Cover!$C$14)</f>
        <v>1</v>
      </c>
      <c r="V771">
        <f>COUNTIFS('Odoo Items'!$J$5:$J$4331,A771,'Odoo Items'!$C$5:$C$4331,"&lt;="&amp;Cover!$C$14)</f>
        <v>1</v>
      </c>
      <c r="W771" t="str">
        <f>IF(AND(U771=0,V771=0),"",IF(U771=0,"ODOO-ONLY",IF(V771=0,"BANK-ONLY","BOTH")))</f>
        <v>BOTH</v>
      </c>
      <c r="X771" s="9">
        <f>IF(W771="BOTH",ROUND(S771-T771,2),0)</f>
        <v>0</v>
      </c>
      <c r="Y771" s="9">
        <f>ROUND(SUMIFS('Bank Lines'!$E$5:$E$1640,'Bank Lines'!$G$5:$G$1640,A771,'Bank Lines'!$J$5:$J$1640,1,'Bank Lines'!$C$5:$C$1640,"&lt;="&amp;Cover!$C$15),2)</f>
        <v>3116.43</v>
      </c>
      <c r="Z771" s="9">
        <f>ROUND(SUMIFS('Odoo Items'!$G$5:$G$4331,'Odoo Items'!$J$5:$J$4331,A771,'Odoo Items'!$C$5:$C$4331,"&lt;="&amp;Cover!$C$15),2)</f>
        <v>3116.43</v>
      </c>
      <c r="AA771">
        <f>COUNTIFS('Bank Lines'!$G$5:$G$1640,A771,'Bank Lines'!$J$5:$J$1640,1,'Bank Lines'!$C$5:$C$1640,"&lt;="&amp;Cover!$C$15)</f>
        <v>1</v>
      </c>
      <c r="AB771">
        <f>COUNTIFS('Odoo Items'!$J$5:$J$4331,A771,'Odoo Items'!$C$5:$C$4331,"&lt;="&amp;Cover!$C$15)</f>
        <v>1</v>
      </c>
      <c r="AC771" t="str">
        <f>IF(AND(AA771=0,AB771=0),"",IF(AA771=0,"ODOO-ONLY",IF(AB771=0,"BANK-ONLY","BOTH")))</f>
        <v>BOTH</v>
      </c>
      <c r="AD771" s="9">
        <f>IF(AC771="BOTH",ROUND(Y771-Z771,2),0)</f>
        <v>0</v>
      </c>
    </row>
    <row r="772">
      <c r="A772" t="inlineStr">
        <is>
          <t>G00768</t>
        </is>
      </c>
      <c r="B772" t="inlineStr">
        <is>
          <t>MER</t>
        </is>
      </c>
      <c r="C772" t="inlineStr">
        <is>
          <t>R08</t>
        </is>
      </c>
      <c r="D772" t="inlineStr">
        <is>
          <t>MATCH</t>
        </is>
      </c>
      <c r="E772" t="inlineStr"/>
      <c r="G772" t="inlineStr"/>
      <c r="H772">
        <f>COUNTIFS('Bank Lines'!$G$5:$G$1640,A772,'Bank Lines'!$J$5:$J$1640,1)</f>
        <v>1</v>
      </c>
      <c r="I772">
        <f>COUNTIFS('Odoo Items'!$J$5:$J$4331,A772)</f>
        <v>1</v>
      </c>
      <c r="J772" s="9">
        <f>ROUND(SUMIFS('Bank Lines'!$E$5:$E$1640,'Bank Lines'!$G$5:$G$1640,A772,'Bank Lines'!$J$5:$J$1640,1),2)</f>
        <v>1951.34</v>
      </c>
      <c r="K772" s="9">
        <f>ROUND(SUMIFS('Odoo Items'!$G$5:$G$4331,'Odoo Items'!$J$5:$J$4331,A772),2)</f>
        <v>1951.34</v>
      </c>
      <c r="L772" s="9">
        <f>ROUND(J772-K772,2)</f>
        <v>0</v>
      </c>
      <c r="M772" s="9">
        <f>ROUND(SUMIFS('Bank Lines'!$E$5:$E$1640,'Bank Lines'!$G$5:$G$1640,A772,'Bank Lines'!$J$5:$J$1640,1,'Bank Lines'!$C$5:$C$1640,"&lt;="&amp;Cover!$C$13),2)</f>
        <v>0</v>
      </c>
      <c r="N772" s="9">
        <f>ROUND(SUMIFS('Odoo Items'!$G$5:$G$4331,'Odoo Items'!$J$5:$J$4331,A772,'Odoo Items'!$C$5:$C$4331,"&lt;="&amp;Cover!$C$13),2)</f>
        <v>0</v>
      </c>
      <c r="O772">
        <f>COUNTIFS('Bank Lines'!$G$5:$G$1640,A772,'Bank Lines'!$J$5:$J$1640,1,'Bank Lines'!$C$5:$C$1640,"&lt;="&amp;Cover!$C$13)</f>
        <v>0</v>
      </c>
      <c r="P772">
        <f>COUNTIFS('Odoo Items'!$J$5:$J$4331,A772,'Odoo Items'!$C$5:$C$4331,"&lt;="&amp;Cover!$C$13)</f>
        <v>0</v>
      </c>
      <c r="Q772">
        <f>IF(AND(O772=0,P772=0),"",IF(O772=0,"ODOO-ONLY",IF(P772=0,"BANK-ONLY","BOTH")))</f>
      </c>
      <c r="R772" s="9">
        <f>IF(Q772="BOTH",ROUND(M772-N772,2),0)</f>
        <v>0</v>
      </c>
      <c r="S772" s="9">
        <f>ROUND(SUMIFS('Bank Lines'!$E$5:$E$1640,'Bank Lines'!$G$5:$G$1640,A772,'Bank Lines'!$J$5:$J$1640,1,'Bank Lines'!$C$5:$C$1640,"&lt;="&amp;Cover!$C$14),2)</f>
        <v>1951.34</v>
      </c>
      <c r="T772" s="9">
        <f>ROUND(SUMIFS('Odoo Items'!$G$5:$G$4331,'Odoo Items'!$J$5:$J$4331,A772,'Odoo Items'!$C$5:$C$4331,"&lt;="&amp;Cover!$C$14),2)</f>
        <v>1951.34</v>
      </c>
      <c r="U772">
        <f>COUNTIFS('Bank Lines'!$G$5:$G$1640,A772,'Bank Lines'!$J$5:$J$1640,1,'Bank Lines'!$C$5:$C$1640,"&lt;="&amp;Cover!$C$14)</f>
        <v>1</v>
      </c>
      <c r="V772">
        <f>COUNTIFS('Odoo Items'!$J$5:$J$4331,A772,'Odoo Items'!$C$5:$C$4331,"&lt;="&amp;Cover!$C$14)</f>
        <v>1</v>
      </c>
      <c r="W772" t="str">
        <f>IF(AND(U772=0,V772=0),"",IF(U772=0,"ODOO-ONLY",IF(V772=0,"BANK-ONLY","BOTH")))</f>
        <v>BOTH</v>
      </c>
      <c r="X772" s="9">
        <f>IF(W772="BOTH",ROUND(S772-T772,2),0)</f>
        <v>0</v>
      </c>
      <c r="Y772" s="9">
        <f>ROUND(SUMIFS('Bank Lines'!$E$5:$E$1640,'Bank Lines'!$G$5:$G$1640,A772,'Bank Lines'!$J$5:$J$1640,1,'Bank Lines'!$C$5:$C$1640,"&lt;="&amp;Cover!$C$15),2)</f>
        <v>1951.34</v>
      </c>
      <c r="Z772" s="9">
        <f>ROUND(SUMIFS('Odoo Items'!$G$5:$G$4331,'Odoo Items'!$J$5:$J$4331,A772,'Odoo Items'!$C$5:$C$4331,"&lt;="&amp;Cover!$C$15),2)</f>
        <v>1951.34</v>
      </c>
      <c r="AA772">
        <f>COUNTIFS('Bank Lines'!$G$5:$G$1640,A772,'Bank Lines'!$J$5:$J$1640,1,'Bank Lines'!$C$5:$C$1640,"&lt;="&amp;Cover!$C$15)</f>
        <v>1</v>
      </c>
      <c r="AB772">
        <f>COUNTIFS('Odoo Items'!$J$5:$J$4331,A772,'Odoo Items'!$C$5:$C$4331,"&lt;="&amp;Cover!$C$15)</f>
        <v>1</v>
      </c>
      <c r="AC772" t="str">
        <f>IF(AND(AA772=0,AB772=0),"",IF(AA772=0,"ODOO-ONLY",IF(AB772=0,"BANK-ONLY","BOTH")))</f>
        <v>BOTH</v>
      </c>
      <c r="AD772" s="9">
        <f>IF(AC772="BOTH",ROUND(Y772-Z772,2),0)</f>
        <v>0</v>
      </c>
    </row>
    <row r="773">
      <c r="A773" t="inlineStr">
        <is>
          <t>G00769</t>
        </is>
      </c>
      <c r="B773" t="inlineStr">
        <is>
          <t>MER</t>
        </is>
      </c>
      <c r="C773" t="inlineStr">
        <is>
          <t>R08</t>
        </is>
      </c>
      <c r="D773" t="inlineStr">
        <is>
          <t>MATCH</t>
        </is>
      </c>
      <c r="E773" t="inlineStr"/>
      <c r="G773" t="inlineStr"/>
      <c r="H773">
        <f>COUNTIFS('Bank Lines'!$G$5:$G$1640,A773,'Bank Lines'!$J$5:$J$1640,1)</f>
        <v>1</v>
      </c>
      <c r="I773">
        <f>COUNTIFS('Odoo Items'!$J$5:$J$4331,A773)</f>
        <v>1</v>
      </c>
      <c r="J773" s="9">
        <f>ROUND(SUMIFS('Bank Lines'!$E$5:$E$1640,'Bank Lines'!$G$5:$G$1640,A773,'Bank Lines'!$J$5:$J$1640,1),2)</f>
        <v>2320.37</v>
      </c>
      <c r="K773" s="9">
        <f>ROUND(SUMIFS('Odoo Items'!$G$5:$G$4331,'Odoo Items'!$J$5:$J$4331,A773),2)</f>
        <v>2320.37</v>
      </c>
      <c r="L773" s="9">
        <f>ROUND(J773-K773,2)</f>
        <v>0</v>
      </c>
      <c r="M773" s="9">
        <f>ROUND(SUMIFS('Bank Lines'!$E$5:$E$1640,'Bank Lines'!$G$5:$G$1640,A773,'Bank Lines'!$J$5:$J$1640,1,'Bank Lines'!$C$5:$C$1640,"&lt;="&amp;Cover!$C$13),2)</f>
        <v>0</v>
      </c>
      <c r="N773" s="9">
        <f>ROUND(SUMIFS('Odoo Items'!$G$5:$G$4331,'Odoo Items'!$J$5:$J$4331,A773,'Odoo Items'!$C$5:$C$4331,"&lt;="&amp;Cover!$C$13),2)</f>
        <v>0</v>
      </c>
      <c r="O773">
        <f>COUNTIFS('Bank Lines'!$G$5:$G$1640,A773,'Bank Lines'!$J$5:$J$1640,1,'Bank Lines'!$C$5:$C$1640,"&lt;="&amp;Cover!$C$13)</f>
        <v>0</v>
      </c>
      <c r="P773">
        <f>COUNTIFS('Odoo Items'!$J$5:$J$4331,A773,'Odoo Items'!$C$5:$C$4331,"&lt;="&amp;Cover!$C$13)</f>
        <v>0</v>
      </c>
      <c r="Q773">
        <f>IF(AND(O773=0,P773=0),"",IF(O773=0,"ODOO-ONLY",IF(P773=0,"BANK-ONLY","BOTH")))</f>
      </c>
      <c r="R773" s="9">
        <f>IF(Q773="BOTH",ROUND(M773-N773,2),0)</f>
        <v>0</v>
      </c>
      <c r="S773" s="9">
        <f>ROUND(SUMIFS('Bank Lines'!$E$5:$E$1640,'Bank Lines'!$G$5:$G$1640,A773,'Bank Lines'!$J$5:$J$1640,1,'Bank Lines'!$C$5:$C$1640,"&lt;="&amp;Cover!$C$14),2)</f>
        <v>2320.37</v>
      </c>
      <c r="T773" s="9">
        <f>ROUND(SUMIFS('Odoo Items'!$G$5:$G$4331,'Odoo Items'!$J$5:$J$4331,A773,'Odoo Items'!$C$5:$C$4331,"&lt;="&amp;Cover!$C$14),2)</f>
        <v>2320.37</v>
      </c>
      <c r="U773">
        <f>COUNTIFS('Bank Lines'!$G$5:$G$1640,A773,'Bank Lines'!$J$5:$J$1640,1,'Bank Lines'!$C$5:$C$1640,"&lt;="&amp;Cover!$C$14)</f>
        <v>1</v>
      </c>
      <c r="V773">
        <f>COUNTIFS('Odoo Items'!$J$5:$J$4331,A773,'Odoo Items'!$C$5:$C$4331,"&lt;="&amp;Cover!$C$14)</f>
        <v>1</v>
      </c>
      <c r="W773" t="str">
        <f>IF(AND(U773=0,V773=0),"",IF(U773=0,"ODOO-ONLY",IF(V773=0,"BANK-ONLY","BOTH")))</f>
        <v>BOTH</v>
      </c>
      <c r="X773" s="9">
        <f>IF(W773="BOTH",ROUND(S773-T773,2),0)</f>
        <v>0</v>
      </c>
      <c r="Y773" s="9">
        <f>ROUND(SUMIFS('Bank Lines'!$E$5:$E$1640,'Bank Lines'!$G$5:$G$1640,A773,'Bank Lines'!$J$5:$J$1640,1,'Bank Lines'!$C$5:$C$1640,"&lt;="&amp;Cover!$C$15),2)</f>
        <v>2320.37</v>
      </c>
      <c r="Z773" s="9">
        <f>ROUND(SUMIFS('Odoo Items'!$G$5:$G$4331,'Odoo Items'!$J$5:$J$4331,A773,'Odoo Items'!$C$5:$C$4331,"&lt;="&amp;Cover!$C$15),2)</f>
        <v>2320.37</v>
      </c>
      <c r="AA773">
        <f>COUNTIFS('Bank Lines'!$G$5:$G$1640,A773,'Bank Lines'!$J$5:$J$1640,1,'Bank Lines'!$C$5:$C$1640,"&lt;="&amp;Cover!$C$15)</f>
        <v>1</v>
      </c>
      <c r="AB773">
        <f>COUNTIFS('Odoo Items'!$J$5:$J$4331,A773,'Odoo Items'!$C$5:$C$4331,"&lt;="&amp;Cover!$C$15)</f>
        <v>1</v>
      </c>
      <c r="AC773" t="str">
        <f>IF(AND(AA773=0,AB773=0),"",IF(AA773=0,"ODOO-ONLY",IF(AB773=0,"BANK-ONLY","BOTH")))</f>
        <v>BOTH</v>
      </c>
      <c r="AD773" s="9">
        <f>IF(AC773="BOTH",ROUND(Y773-Z773,2),0)</f>
        <v>0</v>
      </c>
    </row>
    <row r="774">
      <c r="A774" t="inlineStr">
        <is>
          <t>G00770</t>
        </is>
      </c>
      <c r="B774" t="inlineStr">
        <is>
          <t>MER</t>
        </is>
      </c>
      <c r="C774" t="inlineStr">
        <is>
          <t>R08</t>
        </is>
      </c>
      <c r="D774" t="inlineStr">
        <is>
          <t>MATCH</t>
        </is>
      </c>
      <c r="E774" t="inlineStr"/>
      <c r="G774" t="inlineStr"/>
      <c r="H774">
        <f>COUNTIFS('Bank Lines'!$G$5:$G$1640,A774,'Bank Lines'!$J$5:$J$1640,1)</f>
        <v>1</v>
      </c>
      <c r="I774">
        <f>COUNTIFS('Odoo Items'!$J$5:$J$4331,A774)</f>
        <v>1</v>
      </c>
      <c r="J774" s="9">
        <f>ROUND(SUMIFS('Bank Lines'!$E$5:$E$1640,'Bank Lines'!$G$5:$G$1640,A774,'Bank Lines'!$J$5:$J$1640,1),2)</f>
        <v>1845.94</v>
      </c>
      <c r="K774" s="9">
        <f>ROUND(SUMIFS('Odoo Items'!$G$5:$G$4331,'Odoo Items'!$J$5:$J$4331,A774),2)</f>
        <v>1845.94</v>
      </c>
      <c r="L774" s="9">
        <f>ROUND(J774-K774,2)</f>
        <v>0</v>
      </c>
      <c r="M774" s="9">
        <f>ROUND(SUMIFS('Bank Lines'!$E$5:$E$1640,'Bank Lines'!$G$5:$G$1640,A774,'Bank Lines'!$J$5:$J$1640,1,'Bank Lines'!$C$5:$C$1640,"&lt;="&amp;Cover!$C$13),2)</f>
        <v>0</v>
      </c>
      <c r="N774" s="9">
        <f>ROUND(SUMIFS('Odoo Items'!$G$5:$G$4331,'Odoo Items'!$J$5:$J$4331,A774,'Odoo Items'!$C$5:$C$4331,"&lt;="&amp;Cover!$C$13),2)</f>
        <v>0</v>
      </c>
      <c r="O774">
        <f>COUNTIFS('Bank Lines'!$G$5:$G$1640,A774,'Bank Lines'!$J$5:$J$1640,1,'Bank Lines'!$C$5:$C$1640,"&lt;="&amp;Cover!$C$13)</f>
        <v>0</v>
      </c>
      <c r="P774">
        <f>COUNTIFS('Odoo Items'!$J$5:$J$4331,A774,'Odoo Items'!$C$5:$C$4331,"&lt;="&amp;Cover!$C$13)</f>
        <v>0</v>
      </c>
      <c r="Q774">
        <f>IF(AND(O774=0,P774=0),"",IF(O774=0,"ODOO-ONLY",IF(P774=0,"BANK-ONLY","BOTH")))</f>
      </c>
      <c r="R774" s="9">
        <f>IF(Q774="BOTH",ROUND(M774-N774,2),0)</f>
        <v>0</v>
      </c>
      <c r="S774" s="9">
        <f>ROUND(SUMIFS('Bank Lines'!$E$5:$E$1640,'Bank Lines'!$G$5:$G$1640,A774,'Bank Lines'!$J$5:$J$1640,1,'Bank Lines'!$C$5:$C$1640,"&lt;="&amp;Cover!$C$14),2)</f>
        <v>1845.94</v>
      </c>
      <c r="T774" s="9">
        <f>ROUND(SUMIFS('Odoo Items'!$G$5:$G$4331,'Odoo Items'!$J$5:$J$4331,A774,'Odoo Items'!$C$5:$C$4331,"&lt;="&amp;Cover!$C$14),2)</f>
        <v>1845.94</v>
      </c>
      <c r="U774">
        <f>COUNTIFS('Bank Lines'!$G$5:$G$1640,A774,'Bank Lines'!$J$5:$J$1640,1,'Bank Lines'!$C$5:$C$1640,"&lt;="&amp;Cover!$C$14)</f>
        <v>1</v>
      </c>
      <c r="V774">
        <f>COUNTIFS('Odoo Items'!$J$5:$J$4331,A774,'Odoo Items'!$C$5:$C$4331,"&lt;="&amp;Cover!$C$14)</f>
        <v>1</v>
      </c>
      <c r="W774" t="str">
        <f>IF(AND(U774=0,V774=0),"",IF(U774=0,"ODOO-ONLY",IF(V774=0,"BANK-ONLY","BOTH")))</f>
        <v>BOTH</v>
      </c>
      <c r="X774" s="9">
        <f>IF(W774="BOTH",ROUND(S774-T774,2),0)</f>
        <v>0</v>
      </c>
      <c r="Y774" s="9">
        <f>ROUND(SUMIFS('Bank Lines'!$E$5:$E$1640,'Bank Lines'!$G$5:$G$1640,A774,'Bank Lines'!$J$5:$J$1640,1,'Bank Lines'!$C$5:$C$1640,"&lt;="&amp;Cover!$C$15),2)</f>
        <v>1845.94</v>
      </c>
      <c r="Z774" s="9">
        <f>ROUND(SUMIFS('Odoo Items'!$G$5:$G$4331,'Odoo Items'!$J$5:$J$4331,A774,'Odoo Items'!$C$5:$C$4331,"&lt;="&amp;Cover!$C$15),2)</f>
        <v>1845.94</v>
      </c>
      <c r="AA774">
        <f>COUNTIFS('Bank Lines'!$G$5:$G$1640,A774,'Bank Lines'!$J$5:$J$1640,1,'Bank Lines'!$C$5:$C$1640,"&lt;="&amp;Cover!$C$15)</f>
        <v>1</v>
      </c>
      <c r="AB774">
        <f>COUNTIFS('Odoo Items'!$J$5:$J$4331,A774,'Odoo Items'!$C$5:$C$4331,"&lt;="&amp;Cover!$C$15)</f>
        <v>1</v>
      </c>
      <c r="AC774" t="str">
        <f>IF(AND(AA774=0,AB774=0),"",IF(AA774=0,"ODOO-ONLY",IF(AB774=0,"BANK-ONLY","BOTH")))</f>
        <v>BOTH</v>
      </c>
      <c r="AD774" s="9">
        <f>IF(AC774="BOTH",ROUND(Y774-Z774,2),0)</f>
        <v>0</v>
      </c>
    </row>
    <row r="775">
      <c r="A775" t="inlineStr">
        <is>
          <t>G00771</t>
        </is>
      </c>
      <c r="B775" t="inlineStr">
        <is>
          <t>MER</t>
        </is>
      </c>
      <c r="C775" t="inlineStr">
        <is>
          <t>R08</t>
        </is>
      </c>
      <c r="D775" t="inlineStr">
        <is>
          <t>MATCH</t>
        </is>
      </c>
      <c r="E775" t="inlineStr"/>
      <c r="G775" t="inlineStr"/>
      <c r="H775">
        <f>COUNTIFS('Bank Lines'!$G$5:$G$1640,A775,'Bank Lines'!$J$5:$J$1640,1)</f>
        <v>1</v>
      </c>
      <c r="I775">
        <f>COUNTIFS('Odoo Items'!$J$5:$J$4331,A775)</f>
        <v>1</v>
      </c>
      <c r="J775" s="9">
        <f>ROUND(SUMIFS('Bank Lines'!$E$5:$E$1640,'Bank Lines'!$G$5:$G$1640,A775,'Bank Lines'!$J$5:$J$1640,1),2)</f>
        <v>3486.21</v>
      </c>
      <c r="K775" s="9">
        <f>ROUND(SUMIFS('Odoo Items'!$G$5:$G$4331,'Odoo Items'!$J$5:$J$4331,A775),2)</f>
        <v>3486.21</v>
      </c>
      <c r="L775" s="9">
        <f>ROUND(J775-K775,2)</f>
        <v>0</v>
      </c>
      <c r="M775" s="9">
        <f>ROUND(SUMIFS('Bank Lines'!$E$5:$E$1640,'Bank Lines'!$G$5:$G$1640,A775,'Bank Lines'!$J$5:$J$1640,1,'Bank Lines'!$C$5:$C$1640,"&lt;="&amp;Cover!$C$13),2)</f>
        <v>0</v>
      </c>
      <c r="N775" s="9">
        <f>ROUND(SUMIFS('Odoo Items'!$G$5:$G$4331,'Odoo Items'!$J$5:$J$4331,A775,'Odoo Items'!$C$5:$C$4331,"&lt;="&amp;Cover!$C$13),2)</f>
        <v>0</v>
      </c>
      <c r="O775">
        <f>COUNTIFS('Bank Lines'!$G$5:$G$1640,A775,'Bank Lines'!$J$5:$J$1640,1,'Bank Lines'!$C$5:$C$1640,"&lt;="&amp;Cover!$C$13)</f>
        <v>0</v>
      </c>
      <c r="P775">
        <f>COUNTIFS('Odoo Items'!$J$5:$J$4331,A775,'Odoo Items'!$C$5:$C$4331,"&lt;="&amp;Cover!$C$13)</f>
        <v>0</v>
      </c>
      <c r="Q775">
        <f>IF(AND(O775=0,P775=0),"",IF(O775=0,"ODOO-ONLY",IF(P775=0,"BANK-ONLY","BOTH")))</f>
      </c>
      <c r="R775" s="9">
        <f>IF(Q775="BOTH",ROUND(M775-N775,2),0)</f>
        <v>0</v>
      </c>
      <c r="S775" s="9">
        <f>ROUND(SUMIFS('Bank Lines'!$E$5:$E$1640,'Bank Lines'!$G$5:$G$1640,A775,'Bank Lines'!$J$5:$J$1640,1,'Bank Lines'!$C$5:$C$1640,"&lt;="&amp;Cover!$C$14),2)</f>
        <v>3486.21</v>
      </c>
      <c r="T775" s="9">
        <f>ROUND(SUMIFS('Odoo Items'!$G$5:$G$4331,'Odoo Items'!$J$5:$J$4331,A775,'Odoo Items'!$C$5:$C$4331,"&lt;="&amp;Cover!$C$14),2)</f>
        <v>3486.21</v>
      </c>
      <c r="U775">
        <f>COUNTIFS('Bank Lines'!$G$5:$G$1640,A775,'Bank Lines'!$J$5:$J$1640,1,'Bank Lines'!$C$5:$C$1640,"&lt;="&amp;Cover!$C$14)</f>
        <v>1</v>
      </c>
      <c r="V775">
        <f>COUNTIFS('Odoo Items'!$J$5:$J$4331,A775,'Odoo Items'!$C$5:$C$4331,"&lt;="&amp;Cover!$C$14)</f>
        <v>1</v>
      </c>
      <c r="W775" t="str">
        <f>IF(AND(U775=0,V775=0),"",IF(U775=0,"ODOO-ONLY",IF(V775=0,"BANK-ONLY","BOTH")))</f>
        <v>BOTH</v>
      </c>
      <c r="X775" s="9">
        <f>IF(W775="BOTH",ROUND(S775-T775,2),0)</f>
        <v>0</v>
      </c>
      <c r="Y775" s="9">
        <f>ROUND(SUMIFS('Bank Lines'!$E$5:$E$1640,'Bank Lines'!$G$5:$G$1640,A775,'Bank Lines'!$J$5:$J$1640,1,'Bank Lines'!$C$5:$C$1640,"&lt;="&amp;Cover!$C$15),2)</f>
        <v>3486.21</v>
      </c>
      <c r="Z775" s="9">
        <f>ROUND(SUMIFS('Odoo Items'!$G$5:$G$4331,'Odoo Items'!$J$5:$J$4331,A775,'Odoo Items'!$C$5:$C$4331,"&lt;="&amp;Cover!$C$15),2)</f>
        <v>3486.21</v>
      </c>
      <c r="AA775">
        <f>COUNTIFS('Bank Lines'!$G$5:$G$1640,A775,'Bank Lines'!$J$5:$J$1640,1,'Bank Lines'!$C$5:$C$1640,"&lt;="&amp;Cover!$C$15)</f>
        <v>1</v>
      </c>
      <c r="AB775">
        <f>COUNTIFS('Odoo Items'!$J$5:$J$4331,A775,'Odoo Items'!$C$5:$C$4331,"&lt;="&amp;Cover!$C$15)</f>
        <v>1</v>
      </c>
      <c r="AC775" t="str">
        <f>IF(AND(AA775=0,AB775=0),"",IF(AA775=0,"ODOO-ONLY",IF(AB775=0,"BANK-ONLY","BOTH")))</f>
        <v>BOTH</v>
      </c>
      <c r="AD775" s="9">
        <f>IF(AC775="BOTH",ROUND(Y775-Z775,2),0)</f>
        <v>0</v>
      </c>
    </row>
    <row r="776">
      <c r="A776" t="inlineStr">
        <is>
          <t>G00772</t>
        </is>
      </c>
      <c r="B776" t="inlineStr">
        <is>
          <t>MER</t>
        </is>
      </c>
      <c r="C776" t="inlineStr">
        <is>
          <t>R08</t>
        </is>
      </c>
      <c r="D776" t="inlineStr">
        <is>
          <t>MATCH</t>
        </is>
      </c>
      <c r="E776" t="inlineStr"/>
      <c r="G776" t="inlineStr"/>
      <c r="H776">
        <f>COUNTIFS('Bank Lines'!$G$5:$G$1640,A776,'Bank Lines'!$J$5:$J$1640,1)</f>
        <v>1</v>
      </c>
      <c r="I776">
        <f>COUNTIFS('Odoo Items'!$J$5:$J$4331,A776)</f>
        <v>1</v>
      </c>
      <c r="J776" s="9">
        <f>ROUND(SUMIFS('Bank Lines'!$E$5:$E$1640,'Bank Lines'!$G$5:$G$1640,A776,'Bank Lines'!$J$5:$J$1640,1),2)</f>
        <v>1013.54</v>
      </c>
      <c r="K776" s="9">
        <f>ROUND(SUMIFS('Odoo Items'!$G$5:$G$4331,'Odoo Items'!$J$5:$J$4331,A776),2)</f>
        <v>1013.54</v>
      </c>
      <c r="L776" s="9">
        <f>ROUND(J776-K776,2)</f>
        <v>0</v>
      </c>
      <c r="M776" s="9">
        <f>ROUND(SUMIFS('Bank Lines'!$E$5:$E$1640,'Bank Lines'!$G$5:$G$1640,A776,'Bank Lines'!$J$5:$J$1640,1,'Bank Lines'!$C$5:$C$1640,"&lt;="&amp;Cover!$C$13),2)</f>
        <v>0</v>
      </c>
      <c r="N776" s="9">
        <f>ROUND(SUMIFS('Odoo Items'!$G$5:$G$4331,'Odoo Items'!$J$5:$J$4331,A776,'Odoo Items'!$C$5:$C$4331,"&lt;="&amp;Cover!$C$13),2)</f>
        <v>0</v>
      </c>
      <c r="O776">
        <f>COUNTIFS('Bank Lines'!$G$5:$G$1640,A776,'Bank Lines'!$J$5:$J$1640,1,'Bank Lines'!$C$5:$C$1640,"&lt;="&amp;Cover!$C$13)</f>
        <v>0</v>
      </c>
      <c r="P776">
        <f>COUNTIFS('Odoo Items'!$J$5:$J$4331,A776,'Odoo Items'!$C$5:$C$4331,"&lt;="&amp;Cover!$C$13)</f>
        <v>0</v>
      </c>
      <c r="Q776">
        <f>IF(AND(O776=0,P776=0),"",IF(O776=0,"ODOO-ONLY",IF(P776=0,"BANK-ONLY","BOTH")))</f>
      </c>
      <c r="R776" s="9">
        <f>IF(Q776="BOTH",ROUND(M776-N776,2),0)</f>
        <v>0</v>
      </c>
      <c r="S776" s="9">
        <f>ROUND(SUMIFS('Bank Lines'!$E$5:$E$1640,'Bank Lines'!$G$5:$G$1640,A776,'Bank Lines'!$J$5:$J$1640,1,'Bank Lines'!$C$5:$C$1640,"&lt;="&amp;Cover!$C$14),2)</f>
        <v>1013.54</v>
      </c>
      <c r="T776" s="9">
        <f>ROUND(SUMIFS('Odoo Items'!$G$5:$G$4331,'Odoo Items'!$J$5:$J$4331,A776,'Odoo Items'!$C$5:$C$4331,"&lt;="&amp;Cover!$C$14),2)</f>
        <v>1013.54</v>
      </c>
      <c r="U776">
        <f>COUNTIFS('Bank Lines'!$G$5:$G$1640,A776,'Bank Lines'!$J$5:$J$1640,1,'Bank Lines'!$C$5:$C$1640,"&lt;="&amp;Cover!$C$14)</f>
        <v>1</v>
      </c>
      <c r="V776">
        <f>COUNTIFS('Odoo Items'!$J$5:$J$4331,A776,'Odoo Items'!$C$5:$C$4331,"&lt;="&amp;Cover!$C$14)</f>
        <v>1</v>
      </c>
      <c r="W776" t="str">
        <f>IF(AND(U776=0,V776=0),"",IF(U776=0,"ODOO-ONLY",IF(V776=0,"BANK-ONLY","BOTH")))</f>
        <v>BOTH</v>
      </c>
      <c r="X776" s="9">
        <f>IF(W776="BOTH",ROUND(S776-T776,2),0)</f>
        <v>0</v>
      </c>
      <c r="Y776" s="9">
        <f>ROUND(SUMIFS('Bank Lines'!$E$5:$E$1640,'Bank Lines'!$G$5:$G$1640,A776,'Bank Lines'!$J$5:$J$1640,1,'Bank Lines'!$C$5:$C$1640,"&lt;="&amp;Cover!$C$15),2)</f>
        <v>1013.54</v>
      </c>
      <c r="Z776" s="9">
        <f>ROUND(SUMIFS('Odoo Items'!$G$5:$G$4331,'Odoo Items'!$J$5:$J$4331,A776,'Odoo Items'!$C$5:$C$4331,"&lt;="&amp;Cover!$C$15),2)</f>
        <v>1013.54</v>
      </c>
      <c r="AA776">
        <f>COUNTIFS('Bank Lines'!$G$5:$G$1640,A776,'Bank Lines'!$J$5:$J$1640,1,'Bank Lines'!$C$5:$C$1640,"&lt;="&amp;Cover!$C$15)</f>
        <v>1</v>
      </c>
      <c r="AB776">
        <f>COUNTIFS('Odoo Items'!$J$5:$J$4331,A776,'Odoo Items'!$C$5:$C$4331,"&lt;="&amp;Cover!$C$15)</f>
        <v>1</v>
      </c>
      <c r="AC776" t="str">
        <f>IF(AND(AA776=0,AB776=0),"",IF(AA776=0,"ODOO-ONLY",IF(AB776=0,"BANK-ONLY","BOTH")))</f>
        <v>BOTH</v>
      </c>
      <c r="AD776" s="9">
        <f>IF(AC776="BOTH",ROUND(Y776-Z776,2),0)</f>
        <v>0</v>
      </c>
    </row>
    <row r="777">
      <c r="A777" t="inlineStr">
        <is>
          <t>G00773</t>
        </is>
      </c>
      <c r="B777" t="inlineStr">
        <is>
          <t>MER</t>
        </is>
      </c>
      <c r="C777" t="inlineStr">
        <is>
          <t>R08</t>
        </is>
      </c>
      <c r="D777" t="inlineStr">
        <is>
          <t>MATCH</t>
        </is>
      </c>
      <c r="E777" t="inlineStr"/>
      <c r="G777" t="inlineStr"/>
      <c r="H777">
        <f>COUNTIFS('Bank Lines'!$G$5:$G$1640,A777,'Bank Lines'!$J$5:$J$1640,1)</f>
        <v>1</v>
      </c>
      <c r="I777">
        <f>COUNTIFS('Odoo Items'!$J$5:$J$4331,A777)</f>
        <v>1</v>
      </c>
      <c r="J777" s="9">
        <f>ROUND(SUMIFS('Bank Lines'!$E$5:$E$1640,'Bank Lines'!$G$5:$G$1640,A777,'Bank Lines'!$J$5:$J$1640,1),2)</f>
        <v>1756.48</v>
      </c>
      <c r="K777" s="9">
        <f>ROUND(SUMIFS('Odoo Items'!$G$5:$G$4331,'Odoo Items'!$J$5:$J$4331,A777),2)</f>
        <v>1756.48</v>
      </c>
      <c r="L777" s="9">
        <f>ROUND(J777-K777,2)</f>
        <v>0</v>
      </c>
      <c r="M777" s="9">
        <f>ROUND(SUMIFS('Bank Lines'!$E$5:$E$1640,'Bank Lines'!$G$5:$G$1640,A777,'Bank Lines'!$J$5:$J$1640,1,'Bank Lines'!$C$5:$C$1640,"&lt;="&amp;Cover!$C$13),2)</f>
        <v>0</v>
      </c>
      <c r="N777" s="9">
        <f>ROUND(SUMIFS('Odoo Items'!$G$5:$G$4331,'Odoo Items'!$J$5:$J$4331,A777,'Odoo Items'!$C$5:$C$4331,"&lt;="&amp;Cover!$C$13),2)</f>
        <v>0</v>
      </c>
      <c r="O777">
        <f>COUNTIFS('Bank Lines'!$G$5:$G$1640,A777,'Bank Lines'!$J$5:$J$1640,1,'Bank Lines'!$C$5:$C$1640,"&lt;="&amp;Cover!$C$13)</f>
        <v>0</v>
      </c>
      <c r="P777">
        <f>COUNTIFS('Odoo Items'!$J$5:$J$4331,A777,'Odoo Items'!$C$5:$C$4331,"&lt;="&amp;Cover!$C$13)</f>
        <v>0</v>
      </c>
      <c r="Q777">
        <f>IF(AND(O777=0,P777=0),"",IF(O777=0,"ODOO-ONLY",IF(P777=0,"BANK-ONLY","BOTH")))</f>
      </c>
      <c r="R777" s="9">
        <f>IF(Q777="BOTH",ROUND(M777-N777,2),0)</f>
        <v>0</v>
      </c>
      <c r="S777" s="9">
        <f>ROUND(SUMIFS('Bank Lines'!$E$5:$E$1640,'Bank Lines'!$G$5:$G$1640,A777,'Bank Lines'!$J$5:$J$1640,1,'Bank Lines'!$C$5:$C$1640,"&lt;="&amp;Cover!$C$14),2)</f>
        <v>1756.48</v>
      </c>
      <c r="T777" s="9">
        <f>ROUND(SUMIFS('Odoo Items'!$G$5:$G$4331,'Odoo Items'!$J$5:$J$4331,A777,'Odoo Items'!$C$5:$C$4331,"&lt;="&amp;Cover!$C$14),2)</f>
        <v>1756.48</v>
      </c>
      <c r="U777">
        <f>COUNTIFS('Bank Lines'!$G$5:$G$1640,A777,'Bank Lines'!$J$5:$J$1640,1,'Bank Lines'!$C$5:$C$1640,"&lt;="&amp;Cover!$C$14)</f>
        <v>1</v>
      </c>
      <c r="V777">
        <f>COUNTIFS('Odoo Items'!$J$5:$J$4331,A777,'Odoo Items'!$C$5:$C$4331,"&lt;="&amp;Cover!$C$14)</f>
        <v>1</v>
      </c>
      <c r="W777" t="str">
        <f>IF(AND(U777=0,V777=0),"",IF(U777=0,"ODOO-ONLY",IF(V777=0,"BANK-ONLY","BOTH")))</f>
        <v>BOTH</v>
      </c>
      <c r="X777" s="9">
        <f>IF(W777="BOTH",ROUND(S777-T777,2),0)</f>
        <v>0</v>
      </c>
      <c r="Y777" s="9">
        <f>ROUND(SUMIFS('Bank Lines'!$E$5:$E$1640,'Bank Lines'!$G$5:$G$1640,A777,'Bank Lines'!$J$5:$J$1640,1,'Bank Lines'!$C$5:$C$1640,"&lt;="&amp;Cover!$C$15),2)</f>
        <v>1756.48</v>
      </c>
      <c r="Z777" s="9">
        <f>ROUND(SUMIFS('Odoo Items'!$G$5:$G$4331,'Odoo Items'!$J$5:$J$4331,A777,'Odoo Items'!$C$5:$C$4331,"&lt;="&amp;Cover!$C$15),2)</f>
        <v>1756.48</v>
      </c>
      <c r="AA777">
        <f>COUNTIFS('Bank Lines'!$G$5:$G$1640,A777,'Bank Lines'!$J$5:$J$1640,1,'Bank Lines'!$C$5:$C$1640,"&lt;="&amp;Cover!$C$15)</f>
        <v>1</v>
      </c>
      <c r="AB777">
        <f>COUNTIFS('Odoo Items'!$J$5:$J$4331,A777,'Odoo Items'!$C$5:$C$4331,"&lt;="&amp;Cover!$C$15)</f>
        <v>1</v>
      </c>
      <c r="AC777" t="str">
        <f>IF(AND(AA777=0,AB777=0),"",IF(AA777=0,"ODOO-ONLY",IF(AB777=0,"BANK-ONLY","BOTH")))</f>
        <v>BOTH</v>
      </c>
      <c r="AD777" s="9">
        <f>IF(AC777="BOTH",ROUND(Y777-Z777,2),0)</f>
        <v>0</v>
      </c>
    </row>
    <row r="778">
      <c r="A778" t="inlineStr">
        <is>
          <t>G00774</t>
        </is>
      </c>
      <c r="B778" t="inlineStr">
        <is>
          <t>MER</t>
        </is>
      </c>
      <c r="C778" t="inlineStr">
        <is>
          <t>R08</t>
        </is>
      </c>
      <c r="D778" t="inlineStr">
        <is>
          <t>MATCH</t>
        </is>
      </c>
      <c r="E778" t="inlineStr"/>
      <c r="G778" t="inlineStr"/>
      <c r="H778">
        <f>COUNTIFS('Bank Lines'!$G$5:$G$1640,A778,'Bank Lines'!$J$5:$J$1640,1)</f>
        <v>1</v>
      </c>
      <c r="I778">
        <f>COUNTIFS('Odoo Items'!$J$5:$J$4331,A778)</f>
        <v>1</v>
      </c>
      <c r="J778" s="9">
        <f>ROUND(SUMIFS('Bank Lines'!$E$5:$E$1640,'Bank Lines'!$G$5:$G$1640,A778,'Bank Lines'!$J$5:$J$1640,1),2)</f>
        <v>2265.32</v>
      </c>
      <c r="K778" s="9">
        <f>ROUND(SUMIFS('Odoo Items'!$G$5:$G$4331,'Odoo Items'!$J$5:$J$4331,A778),2)</f>
        <v>2265.32</v>
      </c>
      <c r="L778" s="9">
        <f>ROUND(J778-K778,2)</f>
        <v>0</v>
      </c>
      <c r="M778" s="9">
        <f>ROUND(SUMIFS('Bank Lines'!$E$5:$E$1640,'Bank Lines'!$G$5:$G$1640,A778,'Bank Lines'!$J$5:$J$1640,1,'Bank Lines'!$C$5:$C$1640,"&lt;="&amp;Cover!$C$13),2)</f>
        <v>0</v>
      </c>
      <c r="N778" s="9">
        <f>ROUND(SUMIFS('Odoo Items'!$G$5:$G$4331,'Odoo Items'!$J$5:$J$4331,A778,'Odoo Items'!$C$5:$C$4331,"&lt;="&amp;Cover!$C$13),2)</f>
        <v>0</v>
      </c>
      <c r="O778">
        <f>COUNTIFS('Bank Lines'!$G$5:$G$1640,A778,'Bank Lines'!$J$5:$J$1640,1,'Bank Lines'!$C$5:$C$1640,"&lt;="&amp;Cover!$C$13)</f>
        <v>0</v>
      </c>
      <c r="P778">
        <f>COUNTIFS('Odoo Items'!$J$5:$J$4331,A778,'Odoo Items'!$C$5:$C$4331,"&lt;="&amp;Cover!$C$13)</f>
        <v>0</v>
      </c>
      <c r="Q778">
        <f>IF(AND(O778=0,P778=0),"",IF(O778=0,"ODOO-ONLY",IF(P778=0,"BANK-ONLY","BOTH")))</f>
      </c>
      <c r="R778" s="9">
        <f>IF(Q778="BOTH",ROUND(M778-N778,2),0)</f>
        <v>0</v>
      </c>
      <c r="S778" s="9">
        <f>ROUND(SUMIFS('Bank Lines'!$E$5:$E$1640,'Bank Lines'!$G$5:$G$1640,A778,'Bank Lines'!$J$5:$J$1640,1,'Bank Lines'!$C$5:$C$1640,"&lt;="&amp;Cover!$C$14),2)</f>
        <v>2265.32</v>
      </c>
      <c r="T778" s="9">
        <f>ROUND(SUMIFS('Odoo Items'!$G$5:$G$4331,'Odoo Items'!$J$5:$J$4331,A778,'Odoo Items'!$C$5:$C$4331,"&lt;="&amp;Cover!$C$14),2)</f>
        <v>2265.32</v>
      </c>
      <c r="U778">
        <f>COUNTIFS('Bank Lines'!$G$5:$G$1640,A778,'Bank Lines'!$J$5:$J$1640,1,'Bank Lines'!$C$5:$C$1640,"&lt;="&amp;Cover!$C$14)</f>
        <v>1</v>
      </c>
      <c r="V778">
        <f>COUNTIFS('Odoo Items'!$J$5:$J$4331,A778,'Odoo Items'!$C$5:$C$4331,"&lt;="&amp;Cover!$C$14)</f>
        <v>1</v>
      </c>
      <c r="W778" t="str">
        <f>IF(AND(U778=0,V778=0),"",IF(U778=0,"ODOO-ONLY",IF(V778=0,"BANK-ONLY","BOTH")))</f>
        <v>BOTH</v>
      </c>
      <c r="X778" s="9">
        <f>IF(W778="BOTH",ROUND(S778-T778,2),0)</f>
        <v>0</v>
      </c>
      <c r="Y778" s="9">
        <f>ROUND(SUMIFS('Bank Lines'!$E$5:$E$1640,'Bank Lines'!$G$5:$G$1640,A778,'Bank Lines'!$J$5:$J$1640,1,'Bank Lines'!$C$5:$C$1640,"&lt;="&amp;Cover!$C$15),2)</f>
        <v>2265.32</v>
      </c>
      <c r="Z778" s="9">
        <f>ROUND(SUMIFS('Odoo Items'!$G$5:$G$4331,'Odoo Items'!$J$5:$J$4331,A778,'Odoo Items'!$C$5:$C$4331,"&lt;="&amp;Cover!$C$15),2)</f>
        <v>2265.32</v>
      </c>
      <c r="AA778">
        <f>COUNTIFS('Bank Lines'!$G$5:$G$1640,A778,'Bank Lines'!$J$5:$J$1640,1,'Bank Lines'!$C$5:$C$1640,"&lt;="&amp;Cover!$C$15)</f>
        <v>1</v>
      </c>
      <c r="AB778">
        <f>COUNTIFS('Odoo Items'!$J$5:$J$4331,A778,'Odoo Items'!$C$5:$C$4331,"&lt;="&amp;Cover!$C$15)</f>
        <v>1</v>
      </c>
      <c r="AC778" t="str">
        <f>IF(AND(AA778=0,AB778=0),"",IF(AA778=0,"ODOO-ONLY",IF(AB778=0,"BANK-ONLY","BOTH")))</f>
        <v>BOTH</v>
      </c>
      <c r="AD778" s="9">
        <f>IF(AC778="BOTH",ROUND(Y778-Z778,2),0)</f>
        <v>0</v>
      </c>
    </row>
    <row r="779">
      <c r="A779" t="inlineStr">
        <is>
          <t>G00775</t>
        </is>
      </c>
      <c r="B779" t="inlineStr">
        <is>
          <t>MER</t>
        </is>
      </c>
      <c r="C779" t="inlineStr">
        <is>
          <t>R08</t>
        </is>
      </c>
      <c r="D779" t="inlineStr">
        <is>
          <t>MATCH</t>
        </is>
      </c>
      <c r="E779" t="inlineStr"/>
      <c r="G779" t="inlineStr"/>
      <c r="H779">
        <f>COUNTIFS('Bank Lines'!$G$5:$G$1640,A779,'Bank Lines'!$J$5:$J$1640,1)</f>
        <v>1</v>
      </c>
      <c r="I779">
        <f>COUNTIFS('Odoo Items'!$J$5:$J$4331,A779)</f>
        <v>1</v>
      </c>
      <c r="J779" s="9">
        <f>ROUND(SUMIFS('Bank Lines'!$E$5:$E$1640,'Bank Lines'!$G$5:$G$1640,A779,'Bank Lines'!$J$5:$J$1640,1),2)</f>
        <v>3057.39</v>
      </c>
      <c r="K779" s="9">
        <f>ROUND(SUMIFS('Odoo Items'!$G$5:$G$4331,'Odoo Items'!$J$5:$J$4331,A779),2)</f>
        <v>3057.39</v>
      </c>
      <c r="L779" s="9">
        <f>ROUND(J779-K779,2)</f>
        <v>0</v>
      </c>
      <c r="M779" s="9">
        <f>ROUND(SUMIFS('Bank Lines'!$E$5:$E$1640,'Bank Lines'!$G$5:$G$1640,A779,'Bank Lines'!$J$5:$J$1640,1,'Bank Lines'!$C$5:$C$1640,"&lt;="&amp;Cover!$C$13),2)</f>
        <v>0</v>
      </c>
      <c r="N779" s="9">
        <f>ROUND(SUMIFS('Odoo Items'!$G$5:$G$4331,'Odoo Items'!$J$5:$J$4331,A779,'Odoo Items'!$C$5:$C$4331,"&lt;="&amp;Cover!$C$13),2)</f>
        <v>0</v>
      </c>
      <c r="O779">
        <f>COUNTIFS('Bank Lines'!$G$5:$G$1640,A779,'Bank Lines'!$J$5:$J$1640,1,'Bank Lines'!$C$5:$C$1640,"&lt;="&amp;Cover!$C$13)</f>
        <v>0</v>
      </c>
      <c r="P779">
        <f>COUNTIFS('Odoo Items'!$J$5:$J$4331,A779,'Odoo Items'!$C$5:$C$4331,"&lt;="&amp;Cover!$C$13)</f>
        <v>0</v>
      </c>
      <c r="Q779">
        <f>IF(AND(O779=0,P779=0),"",IF(O779=0,"ODOO-ONLY",IF(P779=0,"BANK-ONLY","BOTH")))</f>
      </c>
      <c r="R779" s="9">
        <f>IF(Q779="BOTH",ROUND(M779-N779,2),0)</f>
        <v>0</v>
      </c>
      <c r="S779" s="9">
        <f>ROUND(SUMIFS('Bank Lines'!$E$5:$E$1640,'Bank Lines'!$G$5:$G$1640,A779,'Bank Lines'!$J$5:$J$1640,1,'Bank Lines'!$C$5:$C$1640,"&lt;="&amp;Cover!$C$14),2)</f>
        <v>3057.39</v>
      </c>
      <c r="T779" s="9">
        <f>ROUND(SUMIFS('Odoo Items'!$G$5:$G$4331,'Odoo Items'!$J$5:$J$4331,A779,'Odoo Items'!$C$5:$C$4331,"&lt;="&amp;Cover!$C$14),2)</f>
        <v>3057.39</v>
      </c>
      <c r="U779">
        <f>COUNTIFS('Bank Lines'!$G$5:$G$1640,A779,'Bank Lines'!$J$5:$J$1640,1,'Bank Lines'!$C$5:$C$1640,"&lt;="&amp;Cover!$C$14)</f>
        <v>1</v>
      </c>
      <c r="V779">
        <f>COUNTIFS('Odoo Items'!$J$5:$J$4331,A779,'Odoo Items'!$C$5:$C$4331,"&lt;="&amp;Cover!$C$14)</f>
        <v>1</v>
      </c>
      <c r="W779" t="str">
        <f>IF(AND(U779=0,V779=0),"",IF(U779=0,"ODOO-ONLY",IF(V779=0,"BANK-ONLY","BOTH")))</f>
        <v>BOTH</v>
      </c>
      <c r="X779" s="9">
        <f>IF(W779="BOTH",ROUND(S779-T779,2),0)</f>
        <v>0</v>
      </c>
      <c r="Y779" s="9">
        <f>ROUND(SUMIFS('Bank Lines'!$E$5:$E$1640,'Bank Lines'!$G$5:$G$1640,A779,'Bank Lines'!$J$5:$J$1640,1,'Bank Lines'!$C$5:$C$1640,"&lt;="&amp;Cover!$C$15),2)</f>
        <v>3057.39</v>
      </c>
      <c r="Z779" s="9">
        <f>ROUND(SUMIFS('Odoo Items'!$G$5:$G$4331,'Odoo Items'!$J$5:$J$4331,A779,'Odoo Items'!$C$5:$C$4331,"&lt;="&amp;Cover!$C$15),2)</f>
        <v>3057.39</v>
      </c>
      <c r="AA779">
        <f>COUNTIFS('Bank Lines'!$G$5:$G$1640,A779,'Bank Lines'!$J$5:$J$1640,1,'Bank Lines'!$C$5:$C$1640,"&lt;="&amp;Cover!$C$15)</f>
        <v>1</v>
      </c>
      <c r="AB779">
        <f>COUNTIFS('Odoo Items'!$J$5:$J$4331,A779,'Odoo Items'!$C$5:$C$4331,"&lt;="&amp;Cover!$C$15)</f>
        <v>1</v>
      </c>
      <c r="AC779" t="str">
        <f>IF(AND(AA779=0,AB779=0),"",IF(AA779=0,"ODOO-ONLY",IF(AB779=0,"BANK-ONLY","BOTH")))</f>
        <v>BOTH</v>
      </c>
      <c r="AD779" s="9">
        <f>IF(AC779="BOTH",ROUND(Y779-Z779,2),0)</f>
        <v>0</v>
      </c>
    </row>
    <row r="780">
      <c r="A780" t="inlineStr">
        <is>
          <t>G00776</t>
        </is>
      </c>
      <c r="B780" t="inlineStr">
        <is>
          <t>MER</t>
        </is>
      </c>
      <c r="C780" t="inlineStr">
        <is>
          <t>R08</t>
        </is>
      </c>
      <c r="D780" t="inlineStr">
        <is>
          <t>MATCH</t>
        </is>
      </c>
      <c r="E780" t="inlineStr"/>
      <c r="G780" t="inlineStr"/>
      <c r="H780">
        <f>COUNTIFS('Bank Lines'!$G$5:$G$1640,A780,'Bank Lines'!$J$5:$J$1640,1)</f>
        <v>1</v>
      </c>
      <c r="I780">
        <f>COUNTIFS('Odoo Items'!$J$5:$J$4331,A780)</f>
        <v>1</v>
      </c>
      <c r="J780" s="9">
        <f>ROUND(SUMIFS('Bank Lines'!$E$5:$E$1640,'Bank Lines'!$G$5:$G$1640,A780,'Bank Lines'!$J$5:$J$1640,1),2)</f>
        <v>1520.87</v>
      </c>
      <c r="K780" s="9">
        <f>ROUND(SUMIFS('Odoo Items'!$G$5:$G$4331,'Odoo Items'!$J$5:$J$4331,A780),2)</f>
        <v>1520.87</v>
      </c>
      <c r="L780" s="9">
        <f>ROUND(J780-K780,2)</f>
        <v>0</v>
      </c>
      <c r="M780" s="9">
        <f>ROUND(SUMIFS('Bank Lines'!$E$5:$E$1640,'Bank Lines'!$G$5:$G$1640,A780,'Bank Lines'!$J$5:$J$1640,1,'Bank Lines'!$C$5:$C$1640,"&lt;="&amp;Cover!$C$13),2)</f>
        <v>0</v>
      </c>
      <c r="N780" s="9">
        <f>ROUND(SUMIFS('Odoo Items'!$G$5:$G$4331,'Odoo Items'!$J$5:$J$4331,A780,'Odoo Items'!$C$5:$C$4331,"&lt;="&amp;Cover!$C$13),2)</f>
        <v>0</v>
      </c>
      <c r="O780">
        <f>COUNTIFS('Bank Lines'!$G$5:$G$1640,A780,'Bank Lines'!$J$5:$J$1640,1,'Bank Lines'!$C$5:$C$1640,"&lt;="&amp;Cover!$C$13)</f>
        <v>0</v>
      </c>
      <c r="P780">
        <f>COUNTIFS('Odoo Items'!$J$5:$J$4331,A780,'Odoo Items'!$C$5:$C$4331,"&lt;="&amp;Cover!$C$13)</f>
        <v>0</v>
      </c>
      <c r="Q780">
        <f>IF(AND(O780=0,P780=0),"",IF(O780=0,"ODOO-ONLY",IF(P780=0,"BANK-ONLY","BOTH")))</f>
      </c>
      <c r="R780" s="9">
        <f>IF(Q780="BOTH",ROUND(M780-N780,2),0)</f>
        <v>0</v>
      </c>
      <c r="S780" s="9">
        <f>ROUND(SUMIFS('Bank Lines'!$E$5:$E$1640,'Bank Lines'!$G$5:$G$1640,A780,'Bank Lines'!$J$5:$J$1640,1,'Bank Lines'!$C$5:$C$1640,"&lt;="&amp;Cover!$C$14),2)</f>
        <v>1520.87</v>
      </c>
      <c r="T780" s="9">
        <f>ROUND(SUMIFS('Odoo Items'!$G$5:$G$4331,'Odoo Items'!$J$5:$J$4331,A780,'Odoo Items'!$C$5:$C$4331,"&lt;="&amp;Cover!$C$14),2)</f>
        <v>1520.87</v>
      </c>
      <c r="U780">
        <f>COUNTIFS('Bank Lines'!$G$5:$G$1640,A780,'Bank Lines'!$J$5:$J$1640,1,'Bank Lines'!$C$5:$C$1640,"&lt;="&amp;Cover!$C$14)</f>
        <v>1</v>
      </c>
      <c r="V780">
        <f>COUNTIFS('Odoo Items'!$J$5:$J$4331,A780,'Odoo Items'!$C$5:$C$4331,"&lt;="&amp;Cover!$C$14)</f>
        <v>1</v>
      </c>
      <c r="W780" t="str">
        <f>IF(AND(U780=0,V780=0),"",IF(U780=0,"ODOO-ONLY",IF(V780=0,"BANK-ONLY","BOTH")))</f>
        <v>BOTH</v>
      </c>
      <c r="X780" s="9">
        <f>IF(W780="BOTH",ROUND(S780-T780,2),0)</f>
        <v>0</v>
      </c>
      <c r="Y780" s="9">
        <f>ROUND(SUMIFS('Bank Lines'!$E$5:$E$1640,'Bank Lines'!$G$5:$G$1640,A780,'Bank Lines'!$J$5:$J$1640,1,'Bank Lines'!$C$5:$C$1640,"&lt;="&amp;Cover!$C$15),2)</f>
        <v>1520.87</v>
      </c>
      <c r="Z780" s="9">
        <f>ROUND(SUMIFS('Odoo Items'!$G$5:$G$4331,'Odoo Items'!$J$5:$J$4331,A780,'Odoo Items'!$C$5:$C$4331,"&lt;="&amp;Cover!$C$15),2)</f>
        <v>1520.87</v>
      </c>
      <c r="AA780">
        <f>COUNTIFS('Bank Lines'!$G$5:$G$1640,A780,'Bank Lines'!$J$5:$J$1640,1,'Bank Lines'!$C$5:$C$1640,"&lt;="&amp;Cover!$C$15)</f>
        <v>1</v>
      </c>
      <c r="AB780">
        <f>COUNTIFS('Odoo Items'!$J$5:$J$4331,A780,'Odoo Items'!$C$5:$C$4331,"&lt;="&amp;Cover!$C$15)</f>
        <v>1</v>
      </c>
      <c r="AC780" t="str">
        <f>IF(AND(AA780=0,AB780=0),"",IF(AA780=0,"ODOO-ONLY",IF(AB780=0,"BANK-ONLY","BOTH")))</f>
        <v>BOTH</v>
      </c>
      <c r="AD780" s="9">
        <f>IF(AC780="BOTH",ROUND(Y780-Z780,2),0)</f>
        <v>0</v>
      </c>
    </row>
    <row r="781">
      <c r="A781" t="inlineStr">
        <is>
          <t>G00777</t>
        </is>
      </c>
      <c r="B781" t="inlineStr">
        <is>
          <t>MER</t>
        </is>
      </c>
      <c r="C781" t="inlineStr">
        <is>
          <t>R08</t>
        </is>
      </c>
      <c r="D781" t="inlineStr">
        <is>
          <t>MATCH</t>
        </is>
      </c>
      <c r="E781" t="inlineStr"/>
      <c r="G781" t="inlineStr"/>
      <c r="H781">
        <f>COUNTIFS('Bank Lines'!$G$5:$G$1640,A781,'Bank Lines'!$J$5:$J$1640,1)</f>
        <v>1</v>
      </c>
      <c r="I781">
        <f>COUNTIFS('Odoo Items'!$J$5:$J$4331,A781)</f>
        <v>1</v>
      </c>
      <c r="J781" s="9">
        <f>ROUND(SUMIFS('Bank Lines'!$E$5:$E$1640,'Bank Lines'!$G$5:$G$1640,A781,'Bank Lines'!$J$5:$J$1640,1),2)</f>
        <v>2121.36</v>
      </c>
      <c r="K781" s="9">
        <f>ROUND(SUMIFS('Odoo Items'!$G$5:$G$4331,'Odoo Items'!$J$5:$J$4331,A781),2)</f>
        <v>2121.36</v>
      </c>
      <c r="L781" s="9">
        <f>ROUND(J781-K781,2)</f>
        <v>0</v>
      </c>
      <c r="M781" s="9">
        <f>ROUND(SUMIFS('Bank Lines'!$E$5:$E$1640,'Bank Lines'!$G$5:$G$1640,A781,'Bank Lines'!$J$5:$J$1640,1,'Bank Lines'!$C$5:$C$1640,"&lt;="&amp;Cover!$C$13),2)</f>
        <v>0</v>
      </c>
      <c r="N781" s="9">
        <f>ROUND(SUMIFS('Odoo Items'!$G$5:$G$4331,'Odoo Items'!$J$5:$J$4331,A781,'Odoo Items'!$C$5:$C$4331,"&lt;="&amp;Cover!$C$13),2)</f>
        <v>0</v>
      </c>
      <c r="O781">
        <f>COUNTIFS('Bank Lines'!$G$5:$G$1640,A781,'Bank Lines'!$J$5:$J$1640,1,'Bank Lines'!$C$5:$C$1640,"&lt;="&amp;Cover!$C$13)</f>
        <v>0</v>
      </c>
      <c r="P781">
        <f>COUNTIFS('Odoo Items'!$J$5:$J$4331,A781,'Odoo Items'!$C$5:$C$4331,"&lt;="&amp;Cover!$C$13)</f>
        <v>0</v>
      </c>
      <c r="Q781">
        <f>IF(AND(O781=0,P781=0),"",IF(O781=0,"ODOO-ONLY",IF(P781=0,"BANK-ONLY","BOTH")))</f>
      </c>
      <c r="R781" s="9">
        <f>IF(Q781="BOTH",ROUND(M781-N781,2),0)</f>
        <v>0</v>
      </c>
      <c r="S781" s="9">
        <f>ROUND(SUMIFS('Bank Lines'!$E$5:$E$1640,'Bank Lines'!$G$5:$G$1640,A781,'Bank Lines'!$J$5:$J$1640,1,'Bank Lines'!$C$5:$C$1640,"&lt;="&amp;Cover!$C$14),2)</f>
        <v>2121.36</v>
      </c>
      <c r="T781" s="9">
        <f>ROUND(SUMIFS('Odoo Items'!$G$5:$G$4331,'Odoo Items'!$J$5:$J$4331,A781,'Odoo Items'!$C$5:$C$4331,"&lt;="&amp;Cover!$C$14),2)</f>
        <v>2121.36</v>
      </c>
      <c r="U781">
        <f>COUNTIFS('Bank Lines'!$G$5:$G$1640,A781,'Bank Lines'!$J$5:$J$1640,1,'Bank Lines'!$C$5:$C$1640,"&lt;="&amp;Cover!$C$14)</f>
        <v>1</v>
      </c>
      <c r="V781">
        <f>COUNTIFS('Odoo Items'!$J$5:$J$4331,A781,'Odoo Items'!$C$5:$C$4331,"&lt;="&amp;Cover!$C$14)</f>
        <v>1</v>
      </c>
      <c r="W781" t="str">
        <f>IF(AND(U781=0,V781=0),"",IF(U781=0,"ODOO-ONLY",IF(V781=0,"BANK-ONLY","BOTH")))</f>
        <v>BOTH</v>
      </c>
      <c r="X781" s="9">
        <f>IF(W781="BOTH",ROUND(S781-T781,2),0)</f>
        <v>0</v>
      </c>
      <c r="Y781" s="9">
        <f>ROUND(SUMIFS('Bank Lines'!$E$5:$E$1640,'Bank Lines'!$G$5:$G$1640,A781,'Bank Lines'!$J$5:$J$1640,1,'Bank Lines'!$C$5:$C$1640,"&lt;="&amp;Cover!$C$15),2)</f>
        <v>2121.36</v>
      </c>
      <c r="Z781" s="9">
        <f>ROUND(SUMIFS('Odoo Items'!$G$5:$G$4331,'Odoo Items'!$J$5:$J$4331,A781,'Odoo Items'!$C$5:$C$4331,"&lt;="&amp;Cover!$C$15),2)</f>
        <v>2121.36</v>
      </c>
      <c r="AA781">
        <f>COUNTIFS('Bank Lines'!$G$5:$G$1640,A781,'Bank Lines'!$J$5:$J$1640,1,'Bank Lines'!$C$5:$C$1640,"&lt;="&amp;Cover!$C$15)</f>
        <v>1</v>
      </c>
      <c r="AB781">
        <f>COUNTIFS('Odoo Items'!$J$5:$J$4331,A781,'Odoo Items'!$C$5:$C$4331,"&lt;="&amp;Cover!$C$15)</f>
        <v>1</v>
      </c>
      <c r="AC781" t="str">
        <f>IF(AND(AA781=0,AB781=0),"",IF(AA781=0,"ODOO-ONLY",IF(AB781=0,"BANK-ONLY","BOTH")))</f>
        <v>BOTH</v>
      </c>
      <c r="AD781" s="9">
        <f>IF(AC781="BOTH",ROUND(Y781-Z781,2),0)</f>
        <v>0</v>
      </c>
    </row>
    <row r="782">
      <c r="A782" t="inlineStr">
        <is>
          <t>G00778</t>
        </is>
      </c>
      <c r="B782" t="inlineStr">
        <is>
          <t>MER</t>
        </is>
      </c>
      <c r="C782" t="inlineStr">
        <is>
          <t>R08</t>
        </is>
      </c>
      <c r="D782" t="inlineStr">
        <is>
          <t>MATCH</t>
        </is>
      </c>
      <c r="E782" t="inlineStr"/>
      <c r="G782" t="inlineStr"/>
      <c r="H782">
        <f>COUNTIFS('Bank Lines'!$G$5:$G$1640,A782,'Bank Lines'!$J$5:$J$1640,1)</f>
        <v>1</v>
      </c>
      <c r="I782">
        <f>COUNTIFS('Odoo Items'!$J$5:$J$4331,A782)</f>
        <v>1</v>
      </c>
      <c r="J782" s="9">
        <f>ROUND(SUMIFS('Bank Lines'!$E$5:$E$1640,'Bank Lines'!$G$5:$G$1640,A782,'Bank Lines'!$J$5:$J$1640,1),2)</f>
        <v>2942.02</v>
      </c>
      <c r="K782" s="9">
        <f>ROUND(SUMIFS('Odoo Items'!$G$5:$G$4331,'Odoo Items'!$J$5:$J$4331,A782),2)</f>
        <v>2942.02</v>
      </c>
      <c r="L782" s="9">
        <f>ROUND(J782-K782,2)</f>
        <v>0</v>
      </c>
      <c r="M782" s="9">
        <f>ROUND(SUMIFS('Bank Lines'!$E$5:$E$1640,'Bank Lines'!$G$5:$G$1640,A782,'Bank Lines'!$J$5:$J$1640,1,'Bank Lines'!$C$5:$C$1640,"&lt;="&amp;Cover!$C$13),2)</f>
        <v>0</v>
      </c>
      <c r="N782" s="9">
        <f>ROUND(SUMIFS('Odoo Items'!$G$5:$G$4331,'Odoo Items'!$J$5:$J$4331,A782,'Odoo Items'!$C$5:$C$4331,"&lt;="&amp;Cover!$C$13),2)</f>
        <v>0</v>
      </c>
      <c r="O782">
        <f>COUNTIFS('Bank Lines'!$G$5:$G$1640,A782,'Bank Lines'!$J$5:$J$1640,1,'Bank Lines'!$C$5:$C$1640,"&lt;="&amp;Cover!$C$13)</f>
        <v>0</v>
      </c>
      <c r="P782">
        <f>COUNTIFS('Odoo Items'!$J$5:$J$4331,A782,'Odoo Items'!$C$5:$C$4331,"&lt;="&amp;Cover!$C$13)</f>
        <v>0</v>
      </c>
      <c r="Q782">
        <f>IF(AND(O782=0,P782=0),"",IF(O782=0,"ODOO-ONLY",IF(P782=0,"BANK-ONLY","BOTH")))</f>
      </c>
      <c r="R782" s="9">
        <f>IF(Q782="BOTH",ROUND(M782-N782,2),0)</f>
        <v>0</v>
      </c>
      <c r="S782" s="9">
        <f>ROUND(SUMIFS('Bank Lines'!$E$5:$E$1640,'Bank Lines'!$G$5:$G$1640,A782,'Bank Lines'!$J$5:$J$1640,1,'Bank Lines'!$C$5:$C$1640,"&lt;="&amp;Cover!$C$14),2)</f>
        <v>2942.02</v>
      </c>
      <c r="T782" s="9">
        <f>ROUND(SUMIFS('Odoo Items'!$G$5:$G$4331,'Odoo Items'!$J$5:$J$4331,A782,'Odoo Items'!$C$5:$C$4331,"&lt;="&amp;Cover!$C$14),2)</f>
        <v>2942.02</v>
      </c>
      <c r="U782">
        <f>COUNTIFS('Bank Lines'!$G$5:$G$1640,A782,'Bank Lines'!$J$5:$J$1640,1,'Bank Lines'!$C$5:$C$1640,"&lt;="&amp;Cover!$C$14)</f>
        <v>1</v>
      </c>
      <c r="V782">
        <f>COUNTIFS('Odoo Items'!$J$5:$J$4331,A782,'Odoo Items'!$C$5:$C$4331,"&lt;="&amp;Cover!$C$14)</f>
        <v>1</v>
      </c>
      <c r="W782" t="str">
        <f>IF(AND(U782=0,V782=0),"",IF(U782=0,"ODOO-ONLY",IF(V782=0,"BANK-ONLY","BOTH")))</f>
        <v>BOTH</v>
      </c>
      <c r="X782" s="9">
        <f>IF(W782="BOTH",ROUND(S782-T782,2),0)</f>
        <v>0</v>
      </c>
      <c r="Y782" s="9">
        <f>ROUND(SUMIFS('Bank Lines'!$E$5:$E$1640,'Bank Lines'!$G$5:$G$1640,A782,'Bank Lines'!$J$5:$J$1640,1,'Bank Lines'!$C$5:$C$1640,"&lt;="&amp;Cover!$C$15),2)</f>
        <v>2942.02</v>
      </c>
      <c r="Z782" s="9">
        <f>ROUND(SUMIFS('Odoo Items'!$G$5:$G$4331,'Odoo Items'!$J$5:$J$4331,A782,'Odoo Items'!$C$5:$C$4331,"&lt;="&amp;Cover!$C$15),2)</f>
        <v>2942.02</v>
      </c>
      <c r="AA782">
        <f>COUNTIFS('Bank Lines'!$G$5:$G$1640,A782,'Bank Lines'!$J$5:$J$1640,1,'Bank Lines'!$C$5:$C$1640,"&lt;="&amp;Cover!$C$15)</f>
        <v>1</v>
      </c>
      <c r="AB782">
        <f>COUNTIFS('Odoo Items'!$J$5:$J$4331,A782,'Odoo Items'!$C$5:$C$4331,"&lt;="&amp;Cover!$C$15)</f>
        <v>1</v>
      </c>
      <c r="AC782" t="str">
        <f>IF(AND(AA782=0,AB782=0),"",IF(AA782=0,"ODOO-ONLY",IF(AB782=0,"BANK-ONLY","BOTH")))</f>
        <v>BOTH</v>
      </c>
      <c r="AD782" s="9">
        <f>IF(AC782="BOTH",ROUND(Y782-Z782,2),0)</f>
        <v>0</v>
      </c>
    </row>
    <row r="783">
      <c r="A783" t="inlineStr">
        <is>
          <t>G00779</t>
        </is>
      </c>
      <c r="B783" t="inlineStr">
        <is>
          <t>MER</t>
        </is>
      </c>
      <c r="C783" t="inlineStr">
        <is>
          <t>R08</t>
        </is>
      </c>
      <c r="D783" t="inlineStr">
        <is>
          <t>MATCH</t>
        </is>
      </c>
      <c r="E783" t="inlineStr"/>
      <c r="G783" t="inlineStr"/>
      <c r="H783">
        <f>COUNTIFS('Bank Lines'!$G$5:$G$1640,A783,'Bank Lines'!$J$5:$J$1640,1)</f>
        <v>1</v>
      </c>
      <c r="I783">
        <f>COUNTIFS('Odoo Items'!$J$5:$J$4331,A783)</f>
        <v>1</v>
      </c>
      <c r="J783" s="9">
        <f>ROUND(SUMIFS('Bank Lines'!$E$5:$E$1640,'Bank Lines'!$G$5:$G$1640,A783,'Bank Lines'!$J$5:$J$1640,1),2)</f>
        <v>3297.65</v>
      </c>
      <c r="K783" s="9">
        <f>ROUND(SUMIFS('Odoo Items'!$G$5:$G$4331,'Odoo Items'!$J$5:$J$4331,A783),2)</f>
        <v>3297.65</v>
      </c>
      <c r="L783" s="9">
        <f>ROUND(J783-K783,2)</f>
        <v>0</v>
      </c>
      <c r="M783" s="9">
        <f>ROUND(SUMIFS('Bank Lines'!$E$5:$E$1640,'Bank Lines'!$G$5:$G$1640,A783,'Bank Lines'!$J$5:$J$1640,1,'Bank Lines'!$C$5:$C$1640,"&lt;="&amp;Cover!$C$13),2)</f>
        <v>0</v>
      </c>
      <c r="N783" s="9">
        <f>ROUND(SUMIFS('Odoo Items'!$G$5:$G$4331,'Odoo Items'!$J$5:$J$4331,A783,'Odoo Items'!$C$5:$C$4331,"&lt;="&amp;Cover!$C$13),2)</f>
        <v>0</v>
      </c>
      <c r="O783">
        <f>COUNTIFS('Bank Lines'!$G$5:$G$1640,A783,'Bank Lines'!$J$5:$J$1640,1,'Bank Lines'!$C$5:$C$1640,"&lt;="&amp;Cover!$C$13)</f>
        <v>0</v>
      </c>
      <c r="P783">
        <f>COUNTIFS('Odoo Items'!$J$5:$J$4331,A783,'Odoo Items'!$C$5:$C$4331,"&lt;="&amp;Cover!$C$13)</f>
        <v>0</v>
      </c>
      <c r="Q783">
        <f>IF(AND(O783=0,P783=0),"",IF(O783=0,"ODOO-ONLY",IF(P783=0,"BANK-ONLY","BOTH")))</f>
      </c>
      <c r="R783" s="9">
        <f>IF(Q783="BOTH",ROUND(M783-N783,2),0)</f>
        <v>0</v>
      </c>
      <c r="S783" s="9">
        <f>ROUND(SUMIFS('Bank Lines'!$E$5:$E$1640,'Bank Lines'!$G$5:$G$1640,A783,'Bank Lines'!$J$5:$J$1640,1,'Bank Lines'!$C$5:$C$1640,"&lt;="&amp;Cover!$C$14),2)</f>
        <v>3297.65</v>
      </c>
      <c r="T783" s="9">
        <f>ROUND(SUMIFS('Odoo Items'!$G$5:$G$4331,'Odoo Items'!$J$5:$J$4331,A783,'Odoo Items'!$C$5:$C$4331,"&lt;="&amp;Cover!$C$14),2)</f>
        <v>3297.65</v>
      </c>
      <c r="U783">
        <f>COUNTIFS('Bank Lines'!$G$5:$G$1640,A783,'Bank Lines'!$J$5:$J$1640,1,'Bank Lines'!$C$5:$C$1640,"&lt;="&amp;Cover!$C$14)</f>
        <v>1</v>
      </c>
      <c r="V783">
        <f>COUNTIFS('Odoo Items'!$J$5:$J$4331,A783,'Odoo Items'!$C$5:$C$4331,"&lt;="&amp;Cover!$C$14)</f>
        <v>1</v>
      </c>
      <c r="W783" t="str">
        <f>IF(AND(U783=0,V783=0),"",IF(U783=0,"ODOO-ONLY",IF(V783=0,"BANK-ONLY","BOTH")))</f>
        <v>BOTH</v>
      </c>
      <c r="X783" s="9">
        <f>IF(W783="BOTH",ROUND(S783-T783,2),0)</f>
        <v>0</v>
      </c>
      <c r="Y783" s="9">
        <f>ROUND(SUMIFS('Bank Lines'!$E$5:$E$1640,'Bank Lines'!$G$5:$G$1640,A783,'Bank Lines'!$J$5:$J$1640,1,'Bank Lines'!$C$5:$C$1640,"&lt;="&amp;Cover!$C$15),2)</f>
        <v>3297.65</v>
      </c>
      <c r="Z783" s="9">
        <f>ROUND(SUMIFS('Odoo Items'!$G$5:$G$4331,'Odoo Items'!$J$5:$J$4331,A783,'Odoo Items'!$C$5:$C$4331,"&lt;="&amp;Cover!$C$15),2)</f>
        <v>3297.65</v>
      </c>
      <c r="AA783">
        <f>COUNTIFS('Bank Lines'!$G$5:$G$1640,A783,'Bank Lines'!$J$5:$J$1640,1,'Bank Lines'!$C$5:$C$1640,"&lt;="&amp;Cover!$C$15)</f>
        <v>1</v>
      </c>
      <c r="AB783">
        <f>COUNTIFS('Odoo Items'!$J$5:$J$4331,A783,'Odoo Items'!$C$5:$C$4331,"&lt;="&amp;Cover!$C$15)</f>
        <v>1</v>
      </c>
      <c r="AC783" t="str">
        <f>IF(AND(AA783=0,AB783=0),"",IF(AA783=0,"ODOO-ONLY",IF(AB783=0,"BANK-ONLY","BOTH")))</f>
        <v>BOTH</v>
      </c>
      <c r="AD783" s="9">
        <f>IF(AC783="BOTH",ROUND(Y783-Z783,2),0)</f>
        <v>0</v>
      </c>
    </row>
    <row r="784">
      <c r="A784" t="inlineStr">
        <is>
          <t>G00780</t>
        </is>
      </c>
      <c r="B784" t="inlineStr">
        <is>
          <t>MER</t>
        </is>
      </c>
      <c r="C784" t="inlineStr">
        <is>
          <t>R08</t>
        </is>
      </c>
      <c r="D784" t="inlineStr">
        <is>
          <t>MATCH</t>
        </is>
      </c>
      <c r="E784" t="inlineStr"/>
      <c r="G784" t="inlineStr"/>
      <c r="H784">
        <f>COUNTIFS('Bank Lines'!$G$5:$G$1640,A784,'Bank Lines'!$J$5:$J$1640,1)</f>
        <v>1</v>
      </c>
      <c r="I784">
        <f>COUNTIFS('Odoo Items'!$J$5:$J$4331,A784)</f>
        <v>1</v>
      </c>
      <c r="J784" s="9">
        <f>ROUND(SUMIFS('Bank Lines'!$E$5:$E$1640,'Bank Lines'!$G$5:$G$1640,A784,'Bank Lines'!$J$5:$J$1640,1),2)</f>
        <v>2847.44</v>
      </c>
      <c r="K784" s="9">
        <f>ROUND(SUMIFS('Odoo Items'!$G$5:$G$4331,'Odoo Items'!$J$5:$J$4331,A784),2)</f>
        <v>2847.44</v>
      </c>
      <c r="L784" s="9">
        <f>ROUND(J784-K784,2)</f>
        <v>0</v>
      </c>
      <c r="M784" s="9">
        <f>ROUND(SUMIFS('Bank Lines'!$E$5:$E$1640,'Bank Lines'!$G$5:$G$1640,A784,'Bank Lines'!$J$5:$J$1640,1,'Bank Lines'!$C$5:$C$1640,"&lt;="&amp;Cover!$C$13),2)</f>
        <v>0</v>
      </c>
      <c r="N784" s="9">
        <f>ROUND(SUMIFS('Odoo Items'!$G$5:$G$4331,'Odoo Items'!$J$5:$J$4331,A784,'Odoo Items'!$C$5:$C$4331,"&lt;="&amp;Cover!$C$13),2)</f>
        <v>0</v>
      </c>
      <c r="O784">
        <f>COUNTIFS('Bank Lines'!$G$5:$G$1640,A784,'Bank Lines'!$J$5:$J$1640,1,'Bank Lines'!$C$5:$C$1640,"&lt;="&amp;Cover!$C$13)</f>
        <v>0</v>
      </c>
      <c r="P784">
        <f>COUNTIFS('Odoo Items'!$J$5:$J$4331,A784,'Odoo Items'!$C$5:$C$4331,"&lt;="&amp;Cover!$C$13)</f>
        <v>0</v>
      </c>
      <c r="Q784">
        <f>IF(AND(O784=0,P784=0),"",IF(O784=0,"ODOO-ONLY",IF(P784=0,"BANK-ONLY","BOTH")))</f>
      </c>
      <c r="R784" s="9">
        <f>IF(Q784="BOTH",ROUND(M784-N784,2),0)</f>
        <v>0</v>
      </c>
      <c r="S784" s="9">
        <f>ROUND(SUMIFS('Bank Lines'!$E$5:$E$1640,'Bank Lines'!$G$5:$G$1640,A784,'Bank Lines'!$J$5:$J$1640,1,'Bank Lines'!$C$5:$C$1640,"&lt;="&amp;Cover!$C$14),2)</f>
        <v>2847.44</v>
      </c>
      <c r="T784" s="9">
        <f>ROUND(SUMIFS('Odoo Items'!$G$5:$G$4331,'Odoo Items'!$J$5:$J$4331,A784,'Odoo Items'!$C$5:$C$4331,"&lt;="&amp;Cover!$C$14),2)</f>
        <v>2847.44</v>
      </c>
      <c r="U784">
        <f>COUNTIFS('Bank Lines'!$G$5:$G$1640,A784,'Bank Lines'!$J$5:$J$1640,1,'Bank Lines'!$C$5:$C$1640,"&lt;="&amp;Cover!$C$14)</f>
        <v>1</v>
      </c>
      <c r="V784">
        <f>COUNTIFS('Odoo Items'!$J$5:$J$4331,A784,'Odoo Items'!$C$5:$C$4331,"&lt;="&amp;Cover!$C$14)</f>
        <v>1</v>
      </c>
      <c r="W784" t="str">
        <f>IF(AND(U784=0,V784=0),"",IF(U784=0,"ODOO-ONLY",IF(V784=0,"BANK-ONLY","BOTH")))</f>
        <v>BOTH</v>
      </c>
      <c r="X784" s="9">
        <f>IF(W784="BOTH",ROUND(S784-T784,2),0)</f>
        <v>0</v>
      </c>
      <c r="Y784" s="9">
        <f>ROUND(SUMIFS('Bank Lines'!$E$5:$E$1640,'Bank Lines'!$G$5:$G$1640,A784,'Bank Lines'!$J$5:$J$1640,1,'Bank Lines'!$C$5:$C$1640,"&lt;="&amp;Cover!$C$15),2)</f>
        <v>2847.44</v>
      </c>
      <c r="Z784" s="9">
        <f>ROUND(SUMIFS('Odoo Items'!$G$5:$G$4331,'Odoo Items'!$J$5:$J$4331,A784,'Odoo Items'!$C$5:$C$4331,"&lt;="&amp;Cover!$C$15),2)</f>
        <v>2847.44</v>
      </c>
      <c r="AA784">
        <f>COUNTIFS('Bank Lines'!$G$5:$G$1640,A784,'Bank Lines'!$J$5:$J$1640,1,'Bank Lines'!$C$5:$C$1640,"&lt;="&amp;Cover!$C$15)</f>
        <v>1</v>
      </c>
      <c r="AB784">
        <f>COUNTIFS('Odoo Items'!$J$5:$J$4331,A784,'Odoo Items'!$C$5:$C$4331,"&lt;="&amp;Cover!$C$15)</f>
        <v>1</v>
      </c>
      <c r="AC784" t="str">
        <f>IF(AND(AA784=0,AB784=0),"",IF(AA784=0,"ODOO-ONLY",IF(AB784=0,"BANK-ONLY","BOTH")))</f>
        <v>BOTH</v>
      </c>
      <c r="AD784" s="9">
        <f>IF(AC784="BOTH",ROUND(Y784-Z784,2),0)</f>
        <v>0</v>
      </c>
    </row>
    <row r="785">
      <c r="A785" t="inlineStr">
        <is>
          <t>G00781</t>
        </is>
      </c>
      <c r="B785" t="inlineStr">
        <is>
          <t>MER</t>
        </is>
      </c>
      <c r="C785" t="inlineStr">
        <is>
          <t>R08</t>
        </is>
      </c>
      <c r="D785" t="inlineStr">
        <is>
          <t>MATCH</t>
        </is>
      </c>
      <c r="E785" t="inlineStr"/>
      <c r="G785" t="inlineStr"/>
      <c r="H785">
        <f>COUNTIFS('Bank Lines'!$G$5:$G$1640,A785,'Bank Lines'!$J$5:$J$1640,1)</f>
        <v>1</v>
      </c>
      <c r="I785">
        <f>COUNTIFS('Odoo Items'!$J$5:$J$4331,A785)</f>
        <v>1</v>
      </c>
      <c r="J785" s="9">
        <f>ROUND(SUMIFS('Bank Lines'!$E$5:$E$1640,'Bank Lines'!$G$5:$G$1640,A785,'Bank Lines'!$J$5:$J$1640,1),2)</f>
        <v>2967.71</v>
      </c>
      <c r="K785" s="9">
        <f>ROUND(SUMIFS('Odoo Items'!$G$5:$G$4331,'Odoo Items'!$J$5:$J$4331,A785),2)</f>
        <v>2967.71</v>
      </c>
      <c r="L785" s="9">
        <f>ROUND(J785-K785,2)</f>
        <v>0</v>
      </c>
      <c r="M785" s="9">
        <f>ROUND(SUMIFS('Bank Lines'!$E$5:$E$1640,'Bank Lines'!$G$5:$G$1640,A785,'Bank Lines'!$J$5:$J$1640,1,'Bank Lines'!$C$5:$C$1640,"&lt;="&amp;Cover!$C$13),2)</f>
        <v>0</v>
      </c>
      <c r="N785" s="9">
        <f>ROUND(SUMIFS('Odoo Items'!$G$5:$G$4331,'Odoo Items'!$J$5:$J$4331,A785,'Odoo Items'!$C$5:$C$4331,"&lt;="&amp;Cover!$C$13),2)</f>
        <v>0</v>
      </c>
      <c r="O785">
        <f>COUNTIFS('Bank Lines'!$G$5:$G$1640,A785,'Bank Lines'!$J$5:$J$1640,1,'Bank Lines'!$C$5:$C$1640,"&lt;="&amp;Cover!$C$13)</f>
        <v>0</v>
      </c>
      <c r="P785">
        <f>COUNTIFS('Odoo Items'!$J$5:$J$4331,A785,'Odoo Items'!$C$5:$C$4331,"&lt;="&amp;Cover!$C$13)</f>
        <v>0</v>
      </c>
      <c r="Q785">
        <f>IF(AND(O785=0,P785=0),"",IF(O785=0,"ODOO-ONLY",IF(P785=0,"BANK-ONLY","BOTH")))</f>
      </c>
      <c r="R785" s="9">
        <f>IF(Q785="BOTH",ROUND(M785-N785,2),0)</f>
        <v>0</v>
      </c>
      <c r="S785" s="9">
        <f>ROUND(SUMIFS('Bank Lines'!$E$5:$E$1640,'Bank Lines'!$G$5:$G$1640,A785,'Bank Lines'!$J$5:$J$1640,1,'Bank Lines'!$C$5:$C$1640,"&lt;="&amp;Cover!$C$14),2)</f>
        <v>2967.71</v>
      </c>
      <c r="T785" s="9">
        <f>ROUND(SUMIFS('Odoo Items'!$G$5:$G$4331,'Odoo Items'!$J$5:$J$4331,A785,'Odoo Items'!$C$5:$C$4331,"&lt;="&amp;Cover!$C$14),2)</f>
        <v>2967.71</v>
      </c>
      <c r="U785">
        <f>COUNTIFS('Bank Lines'!$G$5:$G$1640,A785,'Bank Lines'!$J$5:$J$1640,1,'Bank Lines'!$C$5:$C$1640,"&lt;="&amp;Cover!$C$14)</f>
        <v>1</v>
      </c>
      <c r="V785">
        <f>COUNTIFS('Odoo Items'!$J$5:$J$4331,A785,'Odoo Items'!$C$5:$C$4331,"&lt;="&amp;Cover!$C$14)</f>
        <v>1</v>
      </c>
      <c r="W785" t="str">
        <f>IF(AND(U785=0,V785=0),"",IF(U785=0,"ODOO-ONLY",IF(V785=0,"BANK-ONLY","BOTH")))</f>
        <v>BOTH</v>
      </c>
      <c r="X785" s="9">
        <f>IF(W785="BOTH",ROUND(S785-T785,2),0)</f>
        <v>0</v>
      </c>
      <c r="Y785" s="9">
        <f>ROUND(SUMIFS('Bank Lines'!$E$5:$E$1640,'Bank Lines'!$G$5:$G$1640,A785,'Bank Lines'!$J$5:$J$1640,1,'Bank Lines'!$C$5:$C$1640,"&lt;="&amp;Cover!$C$15),2)</f>
        <v>2967.71</v>
      </c>
      <c r="Z785" s="9">
        <f>ROUND(SUMIFS('Odoo Items'!$G$5:$G$4331,'Odoo Items'!$J$5:$J$4331,A785,'Odoo Items'!$C$5:$C$4331,"&lt;="&amp;Cover!$C$15),2)</f>
        <v>2967.71</v>
      </c>
      <c r="AA785">
        <f>COUNTIFS('Bank Lines'!$G$5:$G$1640,A785,'Bank Lines'!$J$5:$J$1640,1,'Bank Lines'!$C$5:$C$1640,"&lt;="&amp;Cover!$C$15)</f>
        <v>1</v>
      </c>
      <c r="AB785">
        <f>COUNTIFS('Odoo Items'!$J$5:$J$4331,A785,'Odoo Items'!$C$5:$C$4331,"&lt;="&amp;Cover!$C$15)</f>
        <v>1</v>
      </c>
      <c r="AC785" t="str">
        <f>IF(AND(AA785=0,AB785=0),"",IF(AA785=0,"ODOO-ONLY",IF(AB785=0,"BANK-ONLY","BOTH")))</f>
        <v>BOTH</v>
      </c>
      <c r="AD785" s="9">
        <f>IF(AC785="BOTH",ROUND(Y785-Z785,2),0)</f>
        <v>0</v>
      </c>
    </row>
    <row r="786">
      <c r="A786" t="inlineStr">
        <is>
          <t>G00782</t>
        </is>
      </c>
      <c r="B786" t="inlineStr">
        <is>
          <t>MER</t>
        </is>
      </c>
      <c r="C786" t="inlineStr">
        <is>
          <t>R08</t>
        </is>
      </c>
      <c r="D786" t="inlineStr">
        <is>
          <t>MATCH</t>
        </is>
      </c>
      <c r="E786" t="inlineStr"/>
      <c r="G786" t="inlineStr"/>
      <c r="H786">
        <f>COUNTIFS('Bank Lines'!$G$5:$G$1640,A786,'Bank Lines'!$J$5:$J$1640,1)</f>
        <v>1</v>
      </c>
      <c r="I786">
        <f>COUNTIFS('Odoo Items'!$J$5:$J$4331,A786)</f>
        <v>1</v>
      </c>
      <c r="J786" s="9">
        <f>ROUND(SUMIFS('Bank Lines'!$E$5:$E$1640,'Bank Lines'!$G$5:$G$1640,A786,'Bank Lines'!$J$5:$J$1640,1),2)</f>
        <v>2059.58</v>
      </c>
      <c r="K786" s="9">
        <f>ROUND(SUMIFS('Odoo Items'!$G$5:$G$4331,'Odoo Items'!$J$5:$J$4331,A786),2)</f>
        <v>2059.58</v>
      </c>
      <c r="L786" s="9">
        <f>ROUND(J786-K786,2)</f>
        <v>0</v>
      </c>
      <c r="M786" s="9">
        <f>ROUND(SUMIFS('Bank Lines'!$E$5:$E$1640,'Bank Lines'!$G$5:$G$1640,A786,'Bank Lines'!$J$5:$J$1640,1,'Bank Lines'!$C$5:$C$1640,"&lt;="&amp;Cover!$C$13),2)</f>
        <v>0</v>
      </c>
      <c r="N786" s="9">
        <f>ROUND(SUMIFS('Odoo Items'!$G$5:$G$4331,'Odoo Items'!$J$5:$J$4331,A786,'Odoo Items'!$C$5:$C$4331,"&lt;="&amp;Cover!$C$13),2)</f>
        <v>0</v>
      </c>
      <c r="O786">
        <f>COUNTIFS('Bank Lines'!$G$5:$G$1640,A786,'Bank Lines'!$J$5:$J$1640,1,'Bank Lines'!$C$5:$C$1640,"&lt;="&amp;Cover!$C$13)</f>
        <v>0</v>
      </c>
      <c r="P786">
        <f>COUNTIFS('Odoo Items'!$J$5:$J$4331,A786,'Odoo Items'!$C$5:$C$4331,"&lt;="&amp;Cover!$C$13)</f>
        <v>0</v>
      </c>
      <c r="Q786">
        <f>IF(AND(O786=0,P786=0),"",IF(O786=0,"ODOO-ONLY",IF(P786=0,"BANK-ONLY","BOTH")))</f>
      </c>
      <c r="R786" s="9">
        <f>IF(Q786="BOTH",ROUND(M786-N786,2),0)</f>
        <v>0</v>
      </c>
      <c r="S786" s="9">
        <f>ROUND(SUMIFS('Bank Lines'!$E$5:$E$1640,'Bank Lines'!$G$5:$G$1640,A786,'Bank Lines'!$J$5:$J$1640,1,'Bank Lines'!$C$5:$C$1640,"&lt;="&amp;Cover!$C$14),2)</f>
        <v>2059.58</v>
      </c>
      <c r="T786" s="9">
        <f>ROUND(SUMIFS('Odoo Items'!$G$5:$G$4331,'Odoo Items'!$J$5:$J$4331,A786,'Odoo Items'!$C$5:$C$4331,"&lt;="&amp;Cover!$C$14),2)</f>
        <v>2059.58</v>
      </c>
      <c r="U786">
        <f>COUNTIFS('Bank Lines'!$G$5:$G$1640,A786,'Bank Lines'!$J$5:$J$1640,1,'Bank Lines'!$C$5:$C$1640,"&lt;="&amp;Cover!$C$14)</f>
        <v>1</v>
      </c>
      <c r="V786">
        <f>COUNTIFS('Odoo Items'!$J$5:$J$4331,A786,'Odoo Items'!$C$5:$C$4331,"&lt;="&amp;Cover!$C$14)</f>
        <v>1</v>
      </c>
      <c r="W786" t="str">
        <f>IF(AND(U786=0,V786=0),"",IF(U786=0,"ODOO-ONLY",IF(V786=0,"BANK-ONLY","BOTH")))</f>
        <v>BOTH</v>
      </c>
      <c r="X786" s="9">
        <f>IF(W786="BOTH",ROUND(S786-T786,2),0)</f>
        <v>0</v>
      </c>
      <c r="Y786" s="9">
        <f>ROUND(SUMIFS('Bank Lines'!$E$5:$E$1640,'Bank Lines'!$G$5:$G$1640,A786,'Bank Lines'!$J$5:$J$1640,1,'Bank Lines'!$C$5:$C$1640,"&lt;="&amp;Cover!$C$15),2)</f>
        <v>2059.58</v>
      </c>
      <c r="Z786" s="9">
        <f>ROUND(SUMIFS('Odoo Items'!$G$5:$G$4331,'Odoo Items'!$J$5:$J$4331,A786,'Odoo Items'!$C$5:$C$4331,"&lt;="&amp;Cover!$C$15),2)</f>
        <v>2059.58</v>
      </c>
      <c r="AA786">
        <f>COUNTIFS('Bank Lines'!$G$5:$G$1640,A786,'Bank Lines'!$J$5:$J$1640,1,'Bank Lines'!$C$5:$C$1640,"&lt;="&amp;Cover!$C$15)</f>
        <v>1</v>
      </c>
      <c r="AB786">
        <f>COUNTIFS('Odoo Items'!$J$5:$J$4331,A786,'Odoo Items'!$C$5:$C$4331,"&lt;="&amp;Cover!$C$15)</f>
        <v>1</v>
      </c>
      <c r="AC786" t="str">
        <f>IF(AND(AA786=0,AB786=0),"",IF(AA786=0,"ODOO-ONLY",IF(AB786=0,"BANK-ONLY","BOTH")))</f>
        <v>BOTH</v>
      </c>
      <c r="AD786" s="9">
        <f>IF(AC786="BOTH",ROUND(Y786-Z786,2),0)</f>
        <v>0</v>
      </c>
    </row>
    <row r="787">
      <c r="A787" t="inlineStr">
        <is>
          <t>G00783</t>
        </is>
      </c>
      <c r="B787" t="inlineStr">
        <is>
          <t>MER</t>
        </is>
      </c>
      <c r="C787" t="inlineStr">
        <is>
          <t>R08</t>
        </is>
      </c>
      <c r="D787" t="inlineStr">
        <is>
          <t>MATCH</t>
        </is>
      </c>
      <c r="E787" t="inlineStr"/>
      <c r="G787" t="inlineStr"/>
      <c r="H787">
        <f>COUNTIFS('Bank Lines'!$G$5:$G$1640,A787,'Bank Lines'!$J$5:$J$1640,1)</f>
        <v>1</v>
      </c>
      <c r="I787">
        <f>COUNTIFS('Odoo Items'!$J$5:$J$4331,A787)</f>
        <v>1</v>
      </c>
      <c r="J787" s="9">
        <f>ROUND(SUMIFS('Bank Lines'!$E$5:$E$1640,'Bank Lines'!$G$5:$G$1640,A787,'Bank Lines'!$J$5:$J$1640,1),2)</f>
        <v>965.84</v>
      </c>
      <c r="K787" s="9">
        <f>ROUND(SUMIFS('Odoo Items'!$G$5:$G$4331,'Odoo Items'!$J$5:$J$4331,A787),2)</f>
        <v>965.84</v>
      </c>
      <c r="L787" s="9">
        <f>ROUND(J787-K787,2)</f>
        <v>0</v>
      </c>
      <c r="M787" s="9">
        <f>ROUND(SUMIFS('Bank Lines'!$E$5:$E$1640,'Bank Lines'!$G$5:$G$1640,A787,'Bank Lines'!$J$5:$J$1640,1,'Bank Lines'!$C$5:$C$1640,"&lt;="&amp;Cover!$C$13),2)</f>
        <v>0</v>
      </c>
      <c r="N787" s="9">
        <f>ROUND(SUMIFS('Odoo Items'!$G$5:$G$4331,'Odoo Items'!$J$5:$J$4331,A787,'Odoo Items'!$C$5:$C$4331,"&lt;="&amp;Cover!$C$13),2)</f>
        <v>0</v>
      </c>
      <c r="O787">
        <f>COUNTIFS('Bank Lines'!$G$5:$G$1640,A787,'Bank Lines'!$J$5:$J$1640,1,'Bank Lines'!$C$5:$C$1640,"&lt;="&amp;Cover!$C$13)</f>
        <v>0</v>
      </c>
      <c r="P787">
        <f>COUNTIFS('Odoo Items'!$J$5:$J$4331,A787,'Odoo Items'!$C$5:$C$4331,"&lt;="&amp;Cover!$C$13)</f>
        <v>0</v>
      </c>
      <c r="Q787">
        <f>IF(AND(O787=0,P787=0),"",IF(O787=0,"ODOO-ONLY",IF(P787=0,"BANK-ONLY","BOTH")))</f>
      </c>
      <c r="R787" s="9">
        <f>IF(Q787="BOTH",ROUND(M787-N787,2),0)</f>
        <v>0</v>
      </c>
      <c r="S787" s="9">
        <f>ROUND(SUMIFS('Bank Lines'!$E$5:$E$1640,'Bank Lines'!$G$5:$G$1640,A787,'Bank Lines'!$J$5:$J$1640,1,'Bank Lines'!$C$5:$C$1640,"&lt;="&amp;Cover!$C$14),2)</f>
        <v>965.84</v>
      </c>
      <c r="T787" s="9">
        <f>ROUND(SUMIFS('Odoo Items'!$G$5:$G$4331,'Odoo Items'!$J$5:$J$4331,A787,'Odoo Items'!$C$5:$C$4331,"&lt;="&amp;Cover!$C$14),2)</f>
        <v>965.84</v>
      </c>
      <c r="U787">
        <f>COUNTIFS('Bank Lines'!$G$5:$G$1640,A787,'Bank Lines'!$J$5:$J$1640,1,'Bank Lines'!$C$5:$C$1640,"&lt;="&amp;Cover!$C$14)</f>
        <v>1</v>
      </c>
      <c r="V787">
        <f>COUNTIFS('Odoo Items'!$J$5:$J$4331,A787,'Odoo Items'!$C$5:$C$4331,"&lt;="&amp;Cover!$C$14)</f>
        <v>1</v>
      </c>
      <c r="W787" t="str">
        <f>IF(AND(U787=0,V787=0),"",IF(U787=0,"ODOO-ONLY",IF(V787=0,"BANK-ONLY","BOTH")))</f>
        <v>BOTH</v>
      </c>
      <c r="X787" s="9">
        <f>IF(W787="BOTH",ROUND(S787-T787,2),0)</f>
        <v>0</v>
      </c>
      <c r="Y787" s="9">
        <f>ROUND(SUMIFS('Bank Lines'!$E$5:$E$1640,'Bank Lines'!$G$5:$G$1640,A787,'Bank Lines'!$J$5:$J$1640,1,'Bank Lines'!$C$5:$C$1640,"&lt;="&amp;Cover!$C$15),2)</f>
        <v>965.84</v>
      </c>
      <c r="Z787" s="9">
        <f>ROUND(SUMIFS('Odoo Items'!$G$5:$G$4331,'Odoo Items'!$J$5:$J$4331,A787,'Odoo Items'!$C$5:$C$4331,"&lt;="&amp;Cover!$C$15),2)</f>
        <v>965.84</v>
      </c>
      <c r="AA787">
        <f>COUNTIFS('Bank Lines'!$G$5:$G$1640,A787,'Bank Lines'!$J$5:$J$1640,1,'Bank Lines'!$C$5:$C$1640,"&lt;="&amp;Cover!$C$15)</f>
        <v>1</v>
      </c>
      <c r="AB787">
        <f>COUNTIFS('Odoo Items'!$J$5:$J$4331,A787,'Odoo Items'!$C$5:$C$4331,"&lt;="&amp;Cover!$C$15)</f>
        <v>1</v>
      </c>
      <c r="AC787" t="str">
        <f>IF(AND(AA787=0,AB787=0),"",IF(AA787=0,"ODOO-ONLY",IF(AB787=0,"BANK-ONLY","BOTH")))</f>
        <v>BOTH</v>
      </c>
      <c r="AD787" s="9">
        <f>IF(AC787="BOTH",ROUND(Y787-Z787,2),0)</f>
        <v>0</v>
      </c>
    </row>
    <row r="788">
      <c r="A788" t="inlineStr">
        <is>
          <t>G00784</t>
        </is>
      </c>
      <c r="B788" t="inlineStr">
        <is>
          <t>MER</t>
        </is>
      </c>
      <c r="C788" t="inlineStr">
        <is>
          <t>R08</t>
        </is>
      </c>
      <c r="D788" t="inlineStr">
        <is>
          <t>MATCH</t>
        </is>
      </c>
      <c r="E788" t="inlineStr"/>
      <c r="G788" t="inlineStr"/>
      <c r="H788">
        <f>COUNTIFS('Bank Lines'!$G$5:$G$1640,A788,'Bank Lines'!$J$5:$J$1640,1)</f>
        <v>1</v>
      </c>
      <c r="I788">
        <f>COUNTIFS('Odoo Items'!$J$5:$J$4331,A788)</f>
        <v>1</v>
      </c>
      <c r="J788" s="9">
        <f>ROUND(SUMIFS('Bank Lines'!$E$5:$E$1640,'Bank Lines'!$G$5:$G$1640,A788,'Bank Lines'!$J$5:$J$1640,1),2)</f>
        <v>618.68</v>
      </c>
      <c r="K788" s="9">
        <f>ROUND(SUMIFS('Odoo Items'!$G$5:$G$4331,'Odoo Items'!$J$5:$J$4331,A788),2)</f>
        <v>618.68</v>
      </c>
      <c r="L788" s="9">
        <f>ROUND(J788-K788,2)</f>
        <v>0</v>
      </c>
      <c r="M788" s="9">
        <f>ROUND(SUMIFS('Bank Lines'!$E$5:$E$1640,'Bank Lines'!$G$5:$G$1640,A788,'Bank Lines'!$J$5:$J$1640,1,'Bank Lines'!$C$5:$C$1640,"&lt;="&amp;Cover!$C$13),2)</f>
        <v>0</v>
      </c>
      <c r="N788" s="9">
        <f>ROUND(SUMIFS('Odoo Items'!$G$5:$G$4331,'Odoo Items'!$J$5:$J$4331,A788,'Odoo Items'!$C$5:$C$4331,"&lt;="&amp;Cover!$C$13),2)</f>
        <v>0</v>
      </c>
      <c r="O788">
        <f>COUNTIFS('Bank Lines'!$G$5:$G$1640,A788,'Bank Lines'!$J$5:$J$1640,1,'Bank Lines'!$C$5:$C$1640,"&lt;="&amp;Cover!$C$13)</f>
        <v>0</v>
      </c>
      <c r="P788">
        <f>COUNTIFS('Odoo Items'!$J$5:$J$4331,A788,'Odoo Items'!$C$5:$C$4331,"&lt;="&amp;Cover!$C$13)</f>
        <v>0</v>
      </c>
      <c r="Q788">
        <f>IF(AND(O788=0,P788=0),"",IF(O788=0,"ODOO-ONLY",IF(P788=0,"BANK-ONLY","BOTH")))</f>
      </c>
      <c r="R788" s="9">
        <f>IF(Q788="BOTH",ROUND(M788-N788,2),0)</f>
        <v>0</v>
      </c>
      <c r="S788" s="9">
        <f>ROUND(SUMIFS('Bank Lines'!$E$5:$E$1640,'Bank Lines'!$G$5:$G$1640,A788,'Bank Lines'!$J$5:$J$1640,1,'Bank Lines'!$C$5:$C$1640,"&lt;="&amp;Cover!$C$14),2)</f>
        <v>618.68</v>
      </c>
      <c r="T788" s="9">
        <f>ROUND(SUMIFS('Odoo Items'!$G$5:$G$4331,'Odoo Items'!$J$5:$J$4331,A788,'Odoo Items'!$C$5:$C$4331,"&lt;="&amp;Cover!$C$14),2)</f>
        <v>618.68</v>
      </c>
      <c r="U788">
        <f>COUNTIFS('Bank Lines'!$G$5:$G$1640,A788,'Bank Lines'!$J$5:$J$1640,1,'Bank Lines'!$C$5:$C$1640,"&lt;="&amp;Cover!$C$14)</f>
        <v>1</v>
      </c>
      <c r="V788">
        <f>COUNTIFS('Odoo Items'!$J$5:$J$4331,A788,'Odoo Items'!$C$5:$C$4331,"&lt;="&amp;Cover!$C$14)</f>
        <v>1</v>
      </c>
      <c r="W788" t="str">
        <f>IF(AND(U788=0,V788=0),"",IF(U788=0,"ODOO-ONLY",IF(V788=0,"BANK-ONLY","BOTH")))</f>
        <v>BOTH</v>
      </c>
      <c r="X788" s="9">
        <f>IF(W788="BOTH",ROUND(S788-T788,2),0)</f>
        <v>0</v>
      </c>
      <c r="Y788" s="9">
        <f>ROUND(SUMIFS('Bank Lines'!$E$5:$E$1640,'Bank Lines'!$G$5:$G$1640,A788,'Bank Lines'!$J$5:$J$1640,1,'Bank Lines'!$C$5:$C$1640,"&lt;="&amp;Cover!$C$15),2)</f>
        <v>618.68</v>
      </c>
      <c r="Z788" s="9">
        <f>ROUND(SUMIFS('Odoo Items'!$G$5:$G$4331,'Odoo Items'!$J$5:$J$4331,A788,'Odoo Items'!$C$5:$C$4331,"&lt;="&amp;Cover!$C$15),2)</f>
        <v>618.68</v>
      </c>
      <c r="AA788">
        <f>COUNTIFS('Bank Lines'!$G$5:$G$1640,A788,'Bank Lines'!$J$5:$J$1640,1,'Bank Lines'!$C$5:$C$1640,"&lt;="&amp;Cover!$C$15)</f>
        <v>1</v>
      </c>
      <c r="AB788">
        <f>COUNTIFS('Odoo Items'!$J$5:$J$4331,A788,'Odoo Items'!$C$5:$C$4331,"&lt;="&amp;Cover!$C$15)</f>
        <v>1</v>
      </c>
      <c r="AC788" t="str">
        <f>IF(AND(AA788=0,AB788=0),"",IF(AA788=0,"ODOO-ONLY",IF(AB788=0,"BANK-ONLY","BOTH")))</f>
        <v>BOTH</v>
      </c>
      <c r="AD788" s="9">
        <f>IF(AC788="BOTH",ROUND(Y788-Z788,2),0)</f>
        <v>0</v>
      </c>
    </row>
    <row r="789">
      <c r="A789" t="inlineStr">
        <is>
          <t>G00785</t>
        </is>
      </c>
      <c r="B789" t="inlineStr">
        <is>
          <t>MER</t>
        </is>
      </c>
      <c r="C789" t="inlineStr">
        <is>
          <t>R08</t>
        </is>
      </c>
      <c r="D789" t="inlineStr">
        <is>
          <t>MATCH</t>
        </is>
      </c>
      <c r="E789" t="inlineStr"/>
      <c r="G789" t="inlineStr"/>
      <c r="H789">
        <f>COUNTIFS('Bank Lines'!$G$5:$G$1640,A789,'Bank Lines'!$J$5:$J$1640,1)</f>
        <v>1</v>
      </c>
      <c r="I789">
        <f>COUNTIFS('Odoo Items'!$J$5:$J$4331,A789)</f>
        <v>1</v>
      </c>
      <c r="J789" s="9">
        <f>ROUND(SUMIFS('Bank Lines'!$E$5:$E$1640,'Bank Lines'!$G$5:$G$1640,A789,'Bank Lines'!$J$5:$J$1640,1),2)</f>
        <v>1230.35</v>
      </c>
      <c r="K789" s="9">
        <f>ROUND(SUMIFS('Odoo Items'!$G$5:$G$4331,'Odoo Items'!$J$5:$J$4331,A789),2)</f>
        <v>1230.35</v>
      </c>
      <c r="L789" s="9">
        <f>ROUND(J789-K789,2)</f>
        <v>0</v>
      </c>
      <c r="M789" s="9">
        <f>ROUND(SUMIFS('Bank Lines'!$E$5:$E$1640,'Bank Lines'!$G$5:$G$1640,A789,'Bank Lines'!$J$5:$J$1640,1,'Bank Lines'!$C$5:$C$1640,"&lt;="&amp;Cover!$C$13),2)</f>
        <v>0</v>
      </c>
      <c r="N789" s="9">
        <f>ROUND(SUMIFS('Odoo Items'!$G$5:$G$4331,'Odoo Items'!$J$5:$J$4331,A789,'Odoo Items'!$C$5:$C$4331,"&lt;="&amp;Cover!$C$13),2)</f>
        <v>0</v>
      </c>
      <c r="O789">
        <f>COUNTIFS('Bank Lines'!$G$5:$G$1640,A789,'Bank Lines'!$J$5:$J$1640,1,'Bank Lines'!$C$5:$C$1640,"&lt;="&amp;Cover!$C$13)</f>
        <v>0</v>
      </c>
      <c r="P789">
        <f>COUNTIFS('Odoo Items'!$J$5:$J$4331,A789,'Odoo Items'!$C$5:$C$4331,"&lt;="&amp;Cover!$C$13)</f>
        <v>0</v>
      </c>
      <c r="Q789">
        <f>IF(AND(O789=0,P789=0),"",IF(O789=0,"ODOO-ONLY",IF(P789=0,"BANK-ONLY","BOTH")))</f>
      </c>
      <c r="R789" s="9">
        <f>IF(Q789="BOTH",ROUND(M789-N789,2),0)</f>
        <v>0</v>
      </c>
      <c r="S789" s="9">
        <f>ROUND(SUMIFS('Bank Lines'!$E$5:$E$1640,'Bank Lines'!$G$5:$G$1640,A789,'Bank Lines'!$J$5:$J$1640,1,'Bank Lines'!$C$5:$C$1640,"&lt;="&amp;Cover!$C$14),2)</f>
        <v>1230.35</v>
      </c>
      <c r="T789" s="9">
        <f>ROUND(SUMIFS('Odoo Items'!$G$5:$G$4331,'Odoo Items'!$J$5:$J$4331,A789,'Odoo Items'!$C$5:$C$4331,"&lt;="&amp;Cover!$C$14),2)</f>
        <v>1230.35</v>
      </c>
      <c r="U789">
        <f>COUNTIFS('Bank Lines'!$G$5:$G$1640,A789,'Bank Lines'!$J$5:$J$1640,1,'Bank Lines'!$C$5:$C$1640,"&lt;="&amp;Cover!$C$14)</f>
        <v>1</v>
      </c>
      <c r="V789">
        <f>COUNTIFS('Odoo Items'!$J$5:$J$4331,A789,'Odoo Items'!$C$5:$C$4331,"&lt;="&amp;Cover!$C$14)</f>
        <v>1</v>
      </c>
      <c r="W789" t="str">
        <f>IF(AND(U789=0,V789=0),"",IF(U789=0,"ODOO-ONLY",IF(V789=0,"BANK-ONLY","BOTH")))</f>
        <v>BOTH</v>
      </c>
      <c r="X789" s="9">
        <f>IF(W789="BOTH",ROUND(S789-T789,2),0)</f>
        <v>0</v>
      </c>
      <c r="Y789" s="9">
        <f>ROUND(SUMIFS('Bank Lines'!$E$5:$E$1640,'Bank Lines'!$G$5:$G$1640,A789,'Bank Lines'!$J$5:$J$1640,1,'Bank Lines'!$C$5:$C$1640,"&lt;="&amp;Cover!$C$15),2)</f>
        <v>1230.35</v>
      </c>
      <c r="Z789" s="9">
        <f>ROUND(SUMIFS('Odoo Items'!$G$5:$G$4331,'Odoo Items'!$J$5:$J$4331,A789,'Odoo Items'!$C$5:$C$4331,"&lt;="&amp;Cover!$C$15),2)</f>
        <v>1230.35</v>
      </c>
      <c r="AA789">
        <f>COUNTIFS('Bank Lines'!$G$5:$G$1640,A789,'Bank Lines'!$J$5:$J$1640,1,'Bank Lines'!$C$5:$C$1640,"&lt;="&amp;Cover!$C$15)</f>
        <v>1</v>
      </c>
      <c r="AB789">
        <f>COUNTIFS('Odoo Items'!$J$5:$J$4331,A789,'Odoo Items'!$C$5:$C$4331,"&lt;="&amp;Cover!$C$15)</f>
        <v>1</v>
      </c>
      <c r="AC789" t="str">
        <f>IF(AND(AA789=0,AB789=0),"",IF(AA789=0,"ODOO-ONLY",IF(AB789=0,"BANK-ONLY","BOTH")))</f>
        <v>BOTH</v>
      </c>
      <c r="AD789" s="9">
        <f>IF(AC789="BOTH",ROUND(Y789-Z789,2),0)</f>
        <v>0</v>
      </c>
    </row>
    <row r="790">
      <c r="A790" t="inlineStr">
        <is>
          <t>G00786</t>
        </is>
      </c>
      <c r="B790" t="inlineStr">
        <is>
          <t>MER</t>
        </is>
      </c>
      <c r="C790" t="inlineStr">
        <is>
          <t>R08</t>
        </is>
      </c>
      <c r="D790" t="inlineStr">
        <is>
          <t>MATCH</t>
        </is>
      </c>
      <c r="E790" t="inlineStr"/>
      <c r="G790" t="inlineStr"/>
      <c r="H790">
        <f>COUNTIFS('Bank Lines'!$G$5:$G$1640,A790,'Bank Lines'!$J$5:$J$1640,1)</f>
        <v>1</v>
      </c>
      <c r="I790">
        <f>COUNTIFS('Odoo Items'!$J$5:$J$4331,A790)</f>
        <v>1</v>
      </c>
      <c r="J790" s="9">
        <f>ROUND(SUMIFS('Bank Lines'!$E$5:$E$1640,'Bank Lines'!$G$5:$G$1640,A790,'Bank Lines'!$J$5:$J$1640,1),2)</f>
        <v>888.41</v>
      </c>
      <c r="K790" s="9">
        <f>ROUND(SUMIFS('Odoo Items'!$G$5:$G$4331,'Odoo Items'!$J$5:$J$4331,A790),2)</f>
        <v>888.41</v>
      </c>
      <c r="L790" s="9">
        <f>ROUND(J790-K790,2)</f>
        <v>0</v>
      </c>
      <c r="M790" s="9">
        <f>ROUND(SUMIFS('Bank Lines'!$E$5:$E$1640,'Bank Lines'!$G$5:$G$1640,A790,'Bank Lines'!$J$5:$J$1640,1,'Bank Lines'!$C$5:$C$1640,"&lt;="&amp;Cover!$C$13),2)</f>
        <v>0</v>
      </c>
      <c r="N790" s="9">
        <f>ROUND(SUMIFS('Odoo Items'!$G$5:$G$4331,'Odoo Items'!$J$5:$J$4331,A790,'Odoo Items'!$C$5:$C$4331,"&lt;="&amp;Cover!$C$13),2)</f>
        <v>0</v>
      </c>
      <c r="O790">
        <f>COUNTIFS('Bank Lines'!$G$5:$G$1640,A790,'Bank Lines'!$J$5:$J$1640,1,'Bank Lines'!$C$5:$C$1640,"&lt;="&amp;Cover!$C$13)</f>
        <v>0</v>
      </c>
      <c r="P790">
        <f>COUNTIFS('Odoo Items'!$J$5:$J$4331,A790,'Odoo Items'!$C$5:$C$4331,"&lt;="&amp;Cover!$C$13)</f>
        <v>0</v>
      </c>
      <c r="Q790">
        <f>IF(AND(O790=0,P790=0),"",IF(O790=0,"ODOO-ONLY",IF(P790=0,"BANK-ONLY","BOTH")))</f>
      </c>
      <c r="R790" s="9">
        <f>IF(Q790="BOTH",ROUND(M790-N790,2),0)</f>
        <v>0</v>
      </c>
      <c r="S790" s="9">
        <f>ROUND(SUMIFS('Bank Lines'!$E$5:$E$1640,'Bank Lines'!$G$5:$G$1640,A790,'Bank Lines'!$J$5:$J$1640,1,'Bank Lines'!$C$5:$C$1640,"&lt;="&amp;Cover!$C$14),2)</f>
        <v>888.41</v>
      </c>
      <c r="T790" s="9">
        <f>ROUND(SUMIFS('Odoo Items'!$G$5:$G$4331,'Odoo Items'!$J$5:$J$4331,A790,'Odoo Items'!$C$5:$C$4331,"&lt;="&amp;Cover!$C$14),2)</f>
        <v>888.41</v>
      </c>
      <c r="U790">
        <f>COUNTIFS('Bank Lines'!$G$5:$G$1640,A790,'Bank Lines'!$J$5:$J$1640,1,'Bank Lines'!$C$5:$C$1640,"&lt;="&amp;Cover!$C$14)</f>
        <v>1</v>
      </c>
      <c r="V790">
        <f>COUNTIFS('Odoo Items'!$J$5:$J$4331,A790,'Odoo Items'!$C$5:$C$4331,"&lt;="&amp;Cover!$C$14)</f>
        <v>1</v>
      </c>
      <c r="W790" t="str">
        <f>IF(AND(U790=0,V790=0),"",IF(U790=0,"ODOO-ONLY",IF(V790=0,"BANK-ONLY","BOTH")))</f>
        <v>BOTH</v>
      </c>
      <c r="X790" s="9">
        <f>IF(W790="BOTH",ROUND(S790-T790,2),0)</f>
        <v>0</v>
      </c>
      <c r="Y790" s="9">
        <f>ROUND(SUMIFS('Bank Lines'!$E$5:$E$1640,'Bank Lines'!$G$5:$G$1640,A790,'Bank Lines'!$J$5:$J$1640,1,'Bank Lines'!$C$5:$C$1640,"&lt;="&amp;Cover!$C$15),2)</f>
        <v>888.41</v>
      </c>
      <c r="Z790" s="9">
        <f>ROUND(SUMIFS('Odoo Items'!$G$5:$G$4331,'Odoo Items'!$J$5:$J$4331,A790,'Odoo Items'!$C$5:$C$4331,"&lt;="&amp;Cover!$C$15),2)</f>
        <v>888.41</v>
      </c>
      <c r="AA790">
        <f>COUNTIFS('Bank Lines'!$G$5:$G$1640,A790,'Bank Lines'!$J$5:$J$1640,1,'Bank Lines'!$C$5:$C$1640,"&lt;="&amp;Cover!$C$15)</f>
        <v>1</v>
      </c>
      <c r="AB790">
        <f>COUNTIFS('Odoo Items'!$J$5:$J$4331,A790,'Odoo Items'!$C$5:$C$4331,"&lt;="&amp;Cover!$C$15)</f>
        <v>1</v>
      </c>
      <c r="AC790" t="str">
        <f>IF(AND(AA790=0,AB790=0),"",IF(AA790=0,"ODOO-ONLY",IF(AB790=0,"BANK-ONLY","BOTH")))</f>
        <v>BOTH</v>
      </c>
      <c r="AD790" s="9">
        <f>IF(AC790="BOTH",ROUND(Y790-Z790,2),0)</f>
        <v>0</v>
      </c>
    </row>
    <row r="791">
      <c r="A791" t="inlineStr">
        <is>
          <t>G00787</t>
        </is>
      </c>
      <c r="B791" t="inlineStr">
        <is>
          <t>MER</t>
        </is>
      </c>
      <c r="C791" t="inlineStr">
        <is>
          <t>R08</t>
        </is>
      </c>
      <c r="D791" t="inlineStr">
        <is>
          <t>MATCH</t>
        </is>
      </c>
      <c r="E791" t="inlineStr"/>
      <c r="G791" t="inlineStr"/>
      <c r="H791">
        <f>COUNTIFS('Bank Lines'!$G$5:$G$1640,A791,'Bank Lines'!$J$5:$J$1640,1)</f>
        <v>1</v>
      </c>
      <c r="I791">
        <f>COUNTIFS('Odoo Items'!$J$5:$J$4331,A791)</f>
        <v>1</v>
      </c>
      <c r="J791" s="9">
        <f>ROUND(SUMIFS('Bank Lines'!$E$5:$E$1640,'Bank Lines'!$G$5:$G$1640,A791,'Bank Lines'!$J$5:$J$1640,1),2)</f>
        <v>761.37</v>
      </c>
      <c r="K791" s="9">
        <f>ROUND(SUMIFS('Odoo Items'!$G$5:$G$4331,'Odoo Items'!$J$5:$J$4331,A791),2)</f>
        <v>761.37</v>
      </c>
      <c r="L791" s="9">
        <f>ROUND(J791-K791,2)</f>
        <v>0</v>
      </c>
      <c r="M791" s="9">
        <f>ROUND(SUMIFS('Bank Lines'!$E$5:$E$1640,'Bank Lines'!$G$5:$G$1640,A791,'Bank Lines'!$J$5:$J$1640,1,'Bank Lines'!$C$5:$C$1640,"&lt;="&amp;Cover!$C$13),2)</f>
        <v>0</v>
      </c>
      <c r="N791" s="9">
        <f>ROUND(SUMIFS('Odoo Items'!$G$5:$G$4331,'Odoo Items'!$J$5:$J$4331,A791,'Odoo Items'!$C$5:$C$4331,"&lt;="&amp;Cover!$C$13),2)</f>
        <v>0</v>
      </c>
      <c r="O791">
        <f>COUNTIFS('Bank Lines'!$G$5:$G$1640,A791,'Bank Lines'!$J$5:$J$1640,1,'Bank Lines'!$C$5:$C$1640,"&lt;="&amp;Cover!$C$13)</f>
        <v>0</v>
      </c>
      <c r="P791">
        <f>COUNTIFS('Odoo Items'!$J$5:$J$4331,A791,'Odoo Items'!$C$5:$C$4331,"&lt;="&amp;Cover!$C$13)</f>
        <v>0</v>
      </c>
      <c r="Q791">
        <f>IF(AND(O791=0,P791=0),"",IF(O791=0,"ODOO-ONLY",IF(P791=0,"BANK-ONLY","BOTH")))</f>
      </c>
      <c r="R791" s="9">
        <f>IF(Q791="BOTH",ROUND(M791-N791,2),0)</f>
        <v>0</v>
      </c>
      <c r="S791" s="9">
        <f>ROUND(SUMIFS('Bank Lines'!$E$5:$E$1640,'Bank Lines'!$G$5:$G$1640,A791,'Bank Lines'!$J$5:$J$1640,1,'Bank Lines'!$C$5:$C$1640,"&lt;="&amp;Cover!$C$14),2)</f>
        <v>761.37</v>
      </c>
      <c r="T791" s="9">
        <f>ROUND(SUMIFS('Odoo Items'!$G$5:$G$4331,'Odoo Items'!$J$5:$J$4331,A791,'Odoo Items'!$C$5:$C$4331,"&lt;="&amp;Cover!$C$14),2)</f>
        <v>761.37</v>
      </c>
      <c r="U791">
        <f>COUNTIFS('Bank Lines'!$G$5:$G$1640,A791,'Bank Lines'!$J$5:$J$1640,1,'Bank Lines'!$C$5:$C$1640,"&lt;="&amp;Cover!$C$14)</f>
        <v>1</v>
      </c>
      <c r="V791">
        <f>COUNTIFS('Odoo Items'!$J$5:$J$4331,A791,'Odoo Items'!$C$5:$C$4331,"&lt;="&amp;Cover!$C$14)</f>
        <v>1</v>
      </c>
      <c r="W791" t="str">
        <f>IF(AND(U791=0,V791=0),"",IF(U791=0,"ODOO-ONLY",IF(V791=0,"BANK-ONLY","BOTH")))</f>
        <v>BOTH</v>
      </c>
      <c r="X791" s="9">
        <f>IF(W791="BOTH",ROUND(S791-T791,2),0)</f>
        <v>0</v>
      </c>
      <c r="Y791" s="9">
        <f>ROUND(SUMIFS('Bank Lines'!$E$5:$E$1640,'Bank Lines'!$G$5:$G$1640,A791,'Bank Lines'!$J$5:$J$1640,1,'Bank Lines'!$C$5:$C$1640,"&lt;="&amp;Cover!$C$15),2)</f>
        <v>761.37</v>
      </c>
      <c r="Z791" s="9">
        <f>ROUND(SUMIFS('Odoo Items'!$G$5:$G$4331,'Odoo Items'!$J$5:$J$4331,A791,'Odoo Items'!$C$5:$C$4331,"&lt;="&amp;Cover!$C$15),2)</f>
        <v>761.37</v>
      </c>
      <c r="AA791">
        <f>COUNTIFS('Bank Lines'!$G$5:$G$1640,A791,'Bank Lines'!$J$5:$J$1640,1,'Bank Lines'!$C$5:$C$1640,"&lt;="&amp;Cover!$C$15)</f>
        <v>1</v>
      </c>
      <c r="AB791">
        <f>COUNTIFS('Odoo Items'!$J$5:$J$4331,A791,'Odoo Items'!$C$5:$C$4331,"&lt;="&amp;Cover!$C$15)</f>
        <v>1</v>
      </c>
      <c r="AC791" t="str">
        <f>IF(AND(AA791=0,AB791=0),"",IF(AA791=0,"ODOO-ONLY",IF(AB791=0,"BANK-ONLY","BOTH")))</f>
        <v>BOTH</v>
      </c>
      <c r="AD791" s="9">
        <f>IF(AC791="BOTH",ROUND(Y791-Z791,2),0)</f>
        <v>0</v>
      </c>
    </row>
    <row r="792">
      <c r="A792" t="inlineStr">
        <is>
          <t>G00788</t>
        </is>
      </c>
      <c r="B792" t="inlineStr">
        <is>
          <t>MER</t>
        </is>
      </c>
      <c r="C792" t="inlineStr">
        <is>
          <t>R04</t>
        </is>
      </c>
      <c r="D792" t="inlineStr">
        <is>
          <t>MATCH</t>
        </is>
      </c>
      <c r="E792" t="inlineStr"/>
      <c r="G792" t="inlineStr">
        <is>
          <t>Sweep, same amount</t>
        </is>
      </c>
      <c r="H792">
        <f>COUNTIFS('Bank Lines'!$G$5:$G$1640,A792,'Bank Lines'!$J$5:$J$1640,1)</f>
        <v>1</v>
      </c>
      <c r="I792">
        <f>COUNTIFS('Odoo Items'!$J$5:$J$4331,A792)</f>
        <v>1</v>
      </c>
      <c r="J792" s="9">
        <f>ROUND(SUMIFS('Bank Lines'!$E$5:$E$1640,'Bank Lines'!$G$5:$G$1640,A792,'Bank Lines'!$J$5:$J$1640,1),2)</f>
        <v>-34000</v>
      </c>
      <c r="K792" s="9">
        <f>ROUND(SUMIFS('Odoo Items'!$G$5:$G$4331,'Odoo Items'!$J$5:$J$4331,A792),2)</f>
        <v>-34000</v>
      </c>
      <c r="L792" s="9">
        <f>ROUND(J792-K792,2)</f>
        <v>0</v>
      </c>
      <c r="M792" s="9">
        <f>ROUND(SUMIFS('Bank Lines'!$E$5:$E$1640,'Bank Lines'!$G$5:$G$1640,A792,'Bank Lines'!$J$5:$J$1640,1,'Bank Lines'!$C$5:$C$1640,"&lt;="&amp;Cover!$C$13),2)</f>
        <v>0</v>
      </c>
      <c r="N792" s="9">
        <f>ROUND(SUMIFS('Odoo Items'!$G$5:$G$4331,'Odoo Items'!$J$5:$J$4331,A792,'Odoo Items'!$C$5:$C$4331,"&lt;="&amp;Cover!$C$13),2)</f>
        <v>0</v>
      </c>
      <c r="O792">
        <f>COUNTIFS('Bank Lines'!$G$5:$G$1640,A792,'Bank Lines'!$J$5:$J$1640,1,'Bank Lines'!$C$5:$C$1640,"&lt;="&amp;Cover!$C$13)</f>
        <v>0</v>
      </c>
      <c r="P792">
        <f>COUNTIFS('Odoo Items'!$J$5:$J$4331,A792,'Odoo Items'!$C$5:$C$4331,"&lt;="&amp;Cover!$C$13)</f>
        <v>0</v>
      </c>
      <c r="Q792">
        <f>IF(AND(O792=0,P792=0),"",IF(O792=0,"ODOO-ONLY",IF(P792=0,"BANK-ONLY","BOTH")))</f>
      </c>
      <c r="R792" s="9">
        <f>IF(Q792="BOTH",ROUND(M792-N792,2),0)</f>
        <v>0</v>
      </c>
      <c r="S792" s="9">
        <f>ROUND(SUMIFS('Bank Lines'!$E$5:$E$1640,'Bank Lines'!$G$5:$G$1640,A792,'Bank Lines'!$J$5:$J$1640,1,'Bank Lines'!$C$5:$C$1640,"&lt;="&amp;Cover!$C$14),2)</f>
        <v>-34000</v>
      </c>
      <c r="T792" s="9">
        <f>ROUND(SUMIFS('Odoo Items'!$G$5:$G$4331,'Odoo Items'!$J$5:$J$4331,A792,'Odoo Items'!$C$5:$C$4331,"&lt;="&amp;Cover!$C$14),2)</f>
        <v>-34000</v>
      </c>
      <c r="U792">
        <f>COUNTIFS('Bank Lines'!$G$5:$G$1640,A792,'Bank Lines'!$J$5:$J$1640,1,'Bank Lines'!$C$5:$C$1640,"&lt;="&amp;Cover!$C$14)</f>
        <v>1</v>
      </c>
      <c r="V792">
        <f>COUNTIFS('Odoo Items'!$J$5:$J$4331,A792,'Odoo Items'!$C$5:$C$4331,"&lt;="&amp;Cover!$C$14)</f>
        <v>1</v>
      </c>
      <c r="W792" t="str">
        <f>IF(AND(U792=0,V792=0),"",IF(U792=0,"ODOO-ONLY",IF(V792=0,"BANK-ONLY","BOTH")))</f>
        <v>BOTH</v>
      </c>
      <c r="X792" s="9">
        <f>IF(W792="BOTH",ROUND(S792-T792,2),0)</f>
        <v>0</v>
      </c>
      <c r="Y792" s="9">
        <f>ROUND(SUMIFS('Bank Lines'!$E$5:$E$1640,'Bank Lines'!$G$5:$G$1640,A792,'Bank Lines'!$J$5:$J$1640,1,'Bank Lines'!$C$5:$C$1640,"&lt;="&amp;Cover!$C$15),2)</f>
        <v>-34000</v>
      </c>
      <c r="Z792" s="9">
        <f>ROUND(SUMIFS('Odoo Items'!$G$5:$G$4331,'Odoo Items'!$J$5:$J$4331,A792,'Odoo Items'!$C$5:$C$4331,"&lt;="&amp;Cover!$C$15),2)</f>
        <v>-34000</v>
      </c>
      <c r="AA792">
        <f>COUNTIFS('Bank Lines'!$G$5:$G$1640,A792,'Bank Lines'!$J$5:$J$1640,1,'Bank Lines'!$C$5:$C$1640,"&lt;="&amp;Cover!$C$15)</f>
        <v>1</v>
      </c>
      <c r="AB792">
        <f>COUNTIFS('Odoo Items'!$J$5:$J$4331,A792,'Odoo Items'!$C$5:$C$4331,"&lt;="&amp;Cover!$C$15)</f>
        <v>1</v>
      </c>
      <c r="AC792" t="str">
        <f>IF(AND(AA792=0,AB792=0),"",IF(AA792=0,"ODOO-ONLY",IF(AB792=0,"BANK-ONLY","BOTH")))</f>
        <v>BOTH</v>
      </c>
      <c r="AD792" s="9">
        <f>IF(AC792="BOTH",ROUND(Y792-Z792,2),0)</f>
        <v>0</v>
      </c>
    </row>
    <row r="793">
      <c r="A793" t="inlineStr">
        <is>
          <t>G00789</t>
        </is>
      </c>
      <c r="B793" t="inlineStr">
        <is>
          <t>MER</t>
        </is>
      </c>
      <c r="C793" t="inlineStr">
        <is>
          <t>R08</t>
        </is>
      </c>
      <c r="D793" t="inlineStr">
        <is>
          <t>MATCH</t>
        </is>
      </c>
      <c r="E793" t="inlineStr"/>
      <c r="G793" t="inlineStr"/>
      <c r="H793">
        <f>COUNTIFS('Bank Lines'!$G$5:$G$1640,A793,'Bank Lines'!$J$5:$J$1640,1)</f>
        <v>1</v>
      </c>
      <c r="I793">
        <f>COUNTIFS('Odoo Items'!$J$5:$J$4331,A793)</f>
        <v>1</v>
      </c>
      <c r="J793" s="9">
        <f>ROUND(SUMIFS('Bank Lines'!$E$5:$E$1640,'Bank Lines'!$G$5:$G$1640,A793,'Bank Lines'!$J$5:$J$1640,1),2)</f>
        <v>1842.76</v>
      </c>
      <c r="K793" s="9">
        <f>ROUND(SUMIFS('Odoo Items'!$G$5:$G$4331,'Odoo Items'!$J$5:$J$4331,A793),2)</f>
        <v>1842.76</v>
      </c>
      <c r="L793" s="9">
        <f>ROUND(J793-K793,2)</f>
        <v>0</v>
      </c>
      <c r="M793" s="9">
        <f>ROUND(SUMIFS('Bank Lines'!$E$5:$E$1640,'Bank Lines'!$G$5:$G$1640,A793,'Bank Lines'!$J$5:$J$1640,1,'Bank Lines'!$C$5:$C$1640,"&lt;="&amp;Cover!$C$13),2)</f>
        <v>0</v>
      </c>
      <c r="N793" s="9">
        <f>ROUND(SUMIFS('Odoo Items'!$G$5:$G$4331,'Odoo Items'!$J$5:$J$4331,A793,'Odoo Items'!$C$5:$C$4331,"&lt;="&amp;Cover!$C$13),2)</f>
        <v>0</v>
      </c>
      <c r="O793">
        <f>COUNTIFS('Bank Lines'!$G$5:$G$1640,A793,'Bank Lines'!$J$5:$J$1640,1,'Bank Lines'!$C$5:$C$1640,"&lt;="&amp;Cover!$C$13)</f>
        <v>0</v>
      </c>
      <c r="P793">
        <f>COUNTIFS('Odoo Items'!$J$5:$J$4331,A793,'Odoo Items'!$C$5:$C$4331,"&lt;="&amp;Cover!$C$13)</f>
        <v>0</v>
      </c>
      <c r="Q793">
        <f>IF(AND(O793=0,P793=0),"",IF(O793=0,"ODOO-ONLY",IF(P793=0,"BANK-ONLY","BOTH")))</f>
      </c>
      <c r="R793" s="9">
        <f>IF(Q793="BOTH",ROUND(M793-N793,2),0)</f>
        <v>0</v>
      </c>
      <c r="S793" s="9">
        <f>ROUND(SUMIFS('Bank Lines'!$E$5:$E$1640,'Bank Lines'!$G$5:$G$1640,A793,'Bank Lines'!$J$5:$J$1640,1,'Bank Lines'!$C$5:$C$1640,"&lt;="&amp;Cover!$C$14),2)</f>
        <v>0</v>
      </c>
      <c r="T793" s="9">
        <f>ROUND(SUMIFS('Odoo Items'!$G$5:$G$4331,'Odoo Items'!$J$5:$J$4331,A793,'Odoo Items'!$C$5:$C$4331,"&lt;="&amp;Cover!$C$14),2)</f>
        <v>1842.76</v>
      </c>
      <c r="U793">
        <f>COUNTIFS('Bank Lines'!$G$5:$G$1640,A793,'Bank Lines'!$J$5:$J$1640,1,'Bank Lines'!$C$5:$C$1640,"&lt;="&amp;Cover!$C$14)</f>
        <v>0</v>
      </c>
      <c r="V793">
        <f>COUNTIFS('Odoo Items'!$J$5:$J$4331,A793,'Odoo Items'!$C$5:$C$4331,"&lt;="&amp;Cover!$C$14)</f>
        <v>1</v>
      </c>
      <c r="W793" t="str">
        <f>IF(AND(U793=0,V793=0),"",IF(U793=0,"ODOO-ONLY",IF(V793=0,"BANK-ONLY","BOTH")))</f>
        <v>ODOO-ONLY</v>
      </c>
      <c r="X793" s="9">
        <f>IF(W793="BOTH",ROUND(S793-T793,2),0)</f>
        <v>0</v>
      </c>
      <c r="Y793" s="9">
        <f>ROUND(SUMIFS('Bank Lines'!$E$5:$E$1640,'Bank Lines'!$G$5:$G$1640,A793,'Bank Lines'!$J$5:$J$1640,1,'Bank Lines'!$C$5:$C$1640,"&lt;="&amp;Cover!$C$15),2)</f>
        <v>1842.76</v>
      </c>
      <c r="Z793" s="9">
        <f>ROUND(SUMIFS('Odoo Items'!$G$5:$G$4331,'Odoo Items'!$J$5:$J$4331,A793,'Odoo Items'!$C$5:$C$4331,"&lt;="&amp;Cover!$C$15),2)</f>
        <v>1842.76</v>
      </c>
      <c r="AA793">
        <f>COUNTIFS('Bank Lines'!$G$5:$G$1640,A793,'Bank Lines'!$J$5:$J$1640,1,'Bank Lines'!$C$5:$C$1640,"&lt;="&amp;Cover!$C$15)</f>
        <v>1</v>
      </c>
      <c r="AB793">
        <f>COUNTIFS('Odoo Items'!$J$5:$J$4331,A793,'Odoo Items'!$C$5:$C$4331,"&lt;="&amp;Cover!$C$15)</f>
        <v>1</v>
      </c>
      <c r="AC793" t="str">
        <f>IF(AND(AA793=0,AB793=0),"",IF(AA793=0,"ODOO-ONLY",IF(AB793=0,"BANK-ONLY","BOTH")))</f>
        <v>BOTH</v>
      </c>
      <c r="AD793" s="9">
        <f>IF(AC793="BOTH",ROUND(Y793-Z793,2),0)</f>
        <v>0</v>
      </c>
    </row>
    <row r="794">
      <c r="A794" t="inlineStr">
        <is>
          <t>G00790</t>
        </is>
      </c>
      <c r="B794" t="inlineStr">
        <is>
          <t>MER</t>
        </is>
      </c>
      <c r="C794" t="inlineStr">
        <is>
          <t>R08</t>
        </is>
      </c>
      <c r="D794" t="inlineStr">
        <is>
          <t>MATCH</t>
        </is>
      </c>
      <c r="E794" t="inlineStr"/>
      <c r="G794" t="inlineStr"/>
      <c r="H794">
        <f>COUNTIFS('Bank Lines'!$G$5:$G$1640,A794,'Bank Lines'!$J$5:$J$1640,1)</f>
        <v>1</v>
      </c>
      <c r="I794">
        <f>COUNTIFS('Odoo Items'!$J$5:$J$4331,A794)</f>
        <v>1</v>
      </c>
      <c r="J794" s="9">
        <f>ROUND(SUMIFS('Bank Lines'!$E$5:$E$1640,'Bank Lines'!$G$5:$G$1640,A794,'Bank Lines'!$J$5:$J$1640,1),2)</f>
        <v>2750.41</v>
      </c>
      <c r="K794" s="9">
        <f>ROUND(SUMIFS('Odoo Items'!$G$5:$G$4331,'Odoo Items'!$J$5:$J$4331,A794),2)</f>
        <v>2750.41</v>
      </c>
      <c r="L794" s="9">
        <f>ROUND(J794-K794,2)</f>
        <v>0</v>
      </c>
      <c r="M794" s="9">
        <f>ROUND(SUMIFS('Bank Lines'!$E$5:$E$1640,'Bank Lines'!$G$5:$G$1640,A794,'Bank Lines'!$J$5:$J$1640,1,'Bank Lines'!$C$5:$C$1640,"&lt;="&amp;Cover!$C$13),2)</f>
        <v>0</v>
      </c>
      <c r="N794" s="9">
        <f>ROUND(SUMIFS('Odoo Items'!$G$5:$G$4331,'Odoo Items'!$J$5:$J$4331,A794,'Odoo Items'!$C$5:$C$4331,"&lt;="&amp;Cover!$C$13),2)</f>
        <v>0</v>
      </c>
      <c r="O794">
        <f>COUNTIFS('Bank Lines'!$G$5:$G$1640,A794,'Bank Lines'!$J$5:$J$1640,1,'Bank Lines'!$C$5:$C$1640,"&lt;="&amp;Cover!$C$13)</f>
        <v>0</v>
      </c>
      <c r="P794">
        <f>COUNTIFS('Odoo Items'!$J$5:$J$4331,A794,'Odoo Items'!$C$5:$C$4331,"&lt;="&amp;Cover!$C$13)</f>
        <v>0</v>
      </c>
      <c r="Q794">
        <f>IF(AND(O794=0,P794=0),"",IF(O794=0,"ODOO-ONLY",IF(P794=0,"BANK-ONLY","BOTH")))</f>
      </c>
      <c r="R794" s="9">
        <f>IF(Q794="BOTH",ROUND(M794-N794,2),0)</f>
        <v>0</v>
      </c>
      <c r="S794" s="9">
        <f>ROUND(SUMIFS('Bank Lines'!$E$5:$E$1640,'Bank Lines'!$G$5:$G$1640,A794,'Bank Lines'!$J$5:$J$1640,1,'Bank Lines'!$C$5:$C$1640,"&lt;="&amp;Cover!$C$14),2)</f>
        <v>0</v>
      </c>
      <c r="T794" s="9">
        <f>ROUND(SUMIFS('Odoo Items'!$G$5:$G$4331,'Odoo Items'!$J$5:$J$4331,A794,'Odoo Items'!$C$5:$C$4331,"&lt;="&amp;Cover!$C$14),2)</f>
        <v>2750.41</v>
      </c>
      <c r="U794">
        <f>COUNTIFS('Bank Lines'!$G$5:$G$1640,A794,'Bank Lines'!$J$5:$J$1640,1,'Bank Lines'!$C$5:$C$1640,"&lt;="&amp;Cover!$C$14)</f>
        <v>0</v>
      </c>
      <c r="V794">
        <f>COUNTIFS('Odoo Items'!$J$5:$J$4331,A794,'Odoo Items'!$C$5:$C$4331,"&lt;="&amp;Cover!$C$14)</f>
        <v>1</v>
      </c>
      <c r="W794" t="str">
        <f>IF(AND(U794=0,V794=0),"",IF(U794=0,"ODOO-ONLY",IF(V794=0,"BANK-ONLY","BOTH")))</f>
        <v>ODOO-ONLY</v>
      </c>
      <c r="X794" s="9">
        <f>IF(W794="BOTH",ROUND(S794-T794,2),0)</f>
        <v>0</v>
      </c>
      <c r="Y794" s="9">
        <f>ROUND(SUMIFS('Bank Lines'!$E$5:$E$1640,'Bank Lines'!$G$5:$G$1640,A794,'Bank Lines'!$J$5:$J$1640,1,'Bank Lines'!$C$5:$C$1640,"&lt;="&amp;Cover!$C$15),2)</f>
        <v>2750.41</v>
      </c>
      <c r="Z794" s="9">
        <f>ROUND(SUMIFS('Odoo Items'!$G$5:$G$4331,'Odoo Items'!$J$5:$J$4331,A794,'Odoo Items'!$C$5:$C$4331,"&lt;="&amp;Cover!$C$15),2)</f>
        <v>2750.41</v>
      </c>
      <c r="AA794">
        <f>COUNTIFS('Bank Lines'!$G$5:$G$1640,A794,'Bank Lines'!$J$5:$J$1640,1,'Bank Lines'!$C$5:$C$1640,"&lt;="&amp;Cover!$C$15)</f>
        <v>1</v>
      </c>
      <c r="AB794">
        <f>COUNTIFS('Odoo Items'!$J$5:$J$4331,A794,'Odoo Items'!$C$5:$C$4331,"&lt;="&amp;Cover!$C$15)</f>
        <v>1</v>
      </c>
      <c r="AC794" t="str">
        <f>IF(AND(AA794=0,AB794=0),"",IF(AA794=0,"ODOO-ONLY",IF(AB794=0,"BANK-ONLY","BOTH")))</f>
        <v>BOTH</v>
      </c>
      <c r="AD794" s="9">
        <f>IF(AC794="BOTH",ROUND(Y794-Z794,2),0)</f>
        <v>0</v>
      </c>
    </row>
    <row r="795">
      <c r="A795" t="inlineStr">
        <is>
          <t>G00791</t>
        </is>
      </c>
      <c r="B795" t="inlineStr">
        <is>
          <t>MER</t>
        </is>
      </c>
      <c r="C795" t="inlineStr">
        <is>
          <t>R08</t>
        </is>
      </c>
      <c r="D795" t="inlineStr">
        <is>
          <t>MATCH</t>
        </is>
      </c>
      <c r="E795" t="inlineStr"/>
      <c r="G795" t="inlineStr"/>
      <c r="H795">
        <f>COUNTIFS('Bank Lines'!$G$5:$G$1640,A795,'Bank Lines'!$J$5:$J$1640,1)</f>
        <v>1</v>
      </c>
      <c r="I795">
        <f>COUNTIFS('Odoo Items'!$J$5:$J$4331,A795)</f>
        <v>1</v>
      </c>
      <c r="J795" s="9">
        <f>ROUND(SUMIFS('Bank Lines'!$E$5:$E$1640,'Bank Lines'!$G$5:$G$1640,A795,'Bank Lines'!$J$5:$J$1640,1),2)</f>
        <v>1533.04</v>
      </c>
      <c r="K795" s="9">
        <f>ROUND(SUMIFS('Odoo Items'!$G$5:$G$4331,'Odoo Items'!$J$5:$J$4331,A795),2)</f>
        <v>1533.04</v>
      </c>
      <c r="L795" s="9">
        <f>ROUND(J795-K795,2)</f>
        <v>0</v>
      </c>
      <c r="M795" s="9">
        <f>ROUND(SUMIFS('Bank Lines'!$E$5:$E$1640,'Bank Lines'!$G$5:$G$1640,A795,'Bank Lines'!$J$5:$J$1640,1,'Bank Lines'!$C$5:$C$1640,"&lt;="&amp;Cover!$C$13),2)</f>
        <v>0</v>
      </c>
      <c r="N795" s="9">
        <f>ROUND(SUMIFS('Odoo Items'!$G$5:$G$4331,'Odoo Items'!$J$5:$J$4331,A795,'Odoo Items'!$C$5:$C$4331,"&lt;="&amp;Cover!$C$13),2)</f>
        <v>0</v>
      </c>
      <c r="O795">
        <f>COUNTIFS('Bank Lines'!$G$5:$G$1640,A795,'Bank Lines'!$J$5:$J$1640,1,'Bank Lines'!$C$5:$C$1640,"&lt;="&amp;Cover!$C$13)</f>
        <v>0</v>
      </c>
      <c r="P795">
        <f>COUNTIFS('Odoo Items'!$J$5:$J$4331,A795,'Odoo Items'!$C$5:$C$4331,"&lt;="&amp;Cover!$C$13)</f>
        <v>0</v>
      </c>
      <c r="Q795">
        <f>IF(AND(O795=0,P795=0),"",IF(O795=0,"ODOO-ONLY",IF(P795=0,"BANK-ONLY","BOTH")))</f>
      </c>
      <c r="R795" s="9">
        <f>IF(Q795="BOTH",ROUND(M795-N795,2),0)</f>
        <v>0</v>
      </c>
      <c r="S795" s="9">
        <f>ROUND(SUMIFS('Bank Lines'!$E$5:$E$1640,'Bank Lines'!$G$5:$G$1640,A795,'Bank Lines'!$J$5:$J$1640,1,'Bank Lines'!$C$5:$C$1640,"&lt;="&amp;Cover!$C$14),2)</f>
        <v>0</v>
      </c>
      <c r="T795" s="9">
        <f>ROUND(SUMIFS('Odoo Items'!$G$5:$G$4331,'Odoo Items'!$J$5:$J$4331,A795,'Odoo Items'!$C$5:$C$4331,"&lt;="&amp;Cover!$C$14),2)</f>
        <v>1533.04</v>
      </c>
      <c r="U795">
        <f>COUNTIFS('Bank Lines'!$G$5:$G$1640,A795,'Bank Lines'!$J$5:$J$1640,1,'Bank Lines'!$C$5:$C$1640,"&lt;="&amp;Cover!$C$14)</f>
        <v>0</v>
      </c>
      <c r="V795">
        <f>COUNTIFS('Odoo Items'!$J$5:$J$4331,A795,'Odoo Items'!$C$5:$C$4331,"&lt;="&amp;Cover!$C$14)</f>
        <v>1</v>
      </c>
      <c r="W795" t="str">
        <f>IF(AND(U795=0,V795=0),"",IF(U795=0,"ODOO-ONLY",IF(V795=0,"BANK-ONLY","BOTH")))</f>
        <v>ODOO-ONLY</v>
      </c>
      <c r="X795" s="9">
        <f>IF(W795="BOTH",ROUND(S795-T795,2),0)</f>
        <v>0</v>
      </c>
      <c r="Y795" s="9">
        <f>ROUND(SUMIFS('Bank Lines'!$E$5:$E$1640,'Bank Lines'!$G$5:$G$1640,A795,'Bank Lines'!$J$5:$J$1640,1,'Bank Lines'!$C$5:$C$1640,"&lt;="&amp;Cover!$C$15),2)</f>
        <v>1533.04</v>
      </c>
      <c r="Z795" s="9">
        <f>ROUND(SUMIFS('Odoo Items'!$G$5:$G$4331,'Odoo Items'!$J$5:$J$4331,A795,'Odoo Items'!$C$5:$C$4331,"&lt;="&amp;Cover!$C$15),2)</f>
        <v>1533.04</v>
      </c>
      <c r="AA795">
        <f>COUNTIFS('Bank Lines'!$G$5:$G$1640,A795,'Bank Lines'!$J$5:$J$1640,1,'Bank Lines'!$C$5:$C$1640,"&lt;="&amp;Cover!$C$15)</f>
        <v>1</v>
      </c>
      <c r="AB795">
        <f>COUNTIFS('Odoo Items'!$J$5:$J$4331,A795,'Odoo Items'!$C$5:$C$4331,"&lt;="&amp;Cover!$C$15)</f>
        <v>1</v>
      </c>
      <c r="AC795" t="str">
        <f>IF(AND(AA795=0,AB795=0),"",IF(AA795=0,"ODOO-ONLY",IF(AB795=0,"BANK-ONLY","BOTH")))</f>
        <v>BOTH</v>
      </c>
      <c r="AD795" s="9">
        <f>IF(AC795="BOTH",ROUND(Y795-Z795,2),0)</f>
        <v>0</v>
      </c>
    </row>
    <row r="796">
      <c r="A796" t="inlineStr">
        <is>
          <t>G00792</t>
        </is>
      </c>
      <c r="B796" t="inlineStr">
        <is>
          <t>MER</t>
        </is>
      </c>
      <c r="C796" t="inlineStr">
        <is>
          <t>R08</t>
        </is>
      </c>
      <c r="D796" t="inlineStr">
        <is>
          <t>MATCH</t>
        </is>
      </c>
      <c r="E796" t="inlineStr"/>
      <c r="G796" t="inlineStr"/>
      <c r="H796">
        <f>COUNTIFS('Bank Lines'!$G$5:$G$1640,A796,'Bank Lines'!$J$5:$J$1640,1)</f>
        <v>1</v>
      </c>
      <c r="I796">
        <f>COUNTIFS('Odoo Items'!$J$5:$J$4331,A796)</f>
        <v>1</v>
      </c>
      <c r="J796" s="9">
        <f>ROUND(SUMIFS('Bank Lines'!$E$5:$E$1640,'Bank Lines'!$G$5:$G$1640,A796,'Bank Lines'!$J$5:$J$1640,1),2)</f>
        <v>1893.23</v>
      </c>
      <c r="K796" s="9">
        <f>ROUND(SUMIFS('Odoo Items'!$G$5:$G$4331,'Odoo Items'!$J$5:$J$4331,A796),2)</f>
        <v>1893.23</v>
      </c>
      <c r="L796" s="9">
        <f>ROUND(J796-K796,2)</f>
        <v>0</v>
      </c>
      <c r="M796" s="9">
        <f>ROUND(SUMIFS('Bank Lines'!$E$5:$E$1640,'Bank Lines'!$G$5:$G$1640,A796,'Bank Lines'!$J$5:$J$1640,1,'Bank Lines'!$C$5:$C$1640,"&lt;="&amp;Cover!$C$13),2)</f>
        <v>0</v>
      </c>
      <c r="N796" s="9">
        <f>ROUND(SUMIFS('Odoo Items'!$G$5:$G$4331,'Odoo Items'!$J$5:$J$4331,A796,'Odoo Items'!$C$5:$C$4331,"&lt;="&amp;Cover!$C$13),2)</f>
        <v>0</v>
      </c>
      <c r="O796">
        <f>COUNTIFS('Bank Lines'!$G$5:$G$1640,A796,'Bank Lines'!$J$5:$J$1640,1,'Bank Lines'!$C$5:$C$1640,"&lt;="&amp;Cover!$C$13)</f>
        <v>0</v>
      </c>
      <c r="P796">
        <f>COUNTIFS('Odoo Items'!$J$5:$J$4331,A796,'Odoo Items'!$C$5:$C$4331,"&lt;="&amp;Cover!$C$13)</f>
        <v>0</v>
      </c>
      <c r="Q796">
        <f>IF(AND(O796=0,P796=0),"",IF(O796=0,"ODOO-ONLY",IF(P796=0,"BANK-ONLY","BOTH")))</f>
      </c>
      <c r="R796" s="9">
        <f>IF(Q796="BOTH",ROUND(M796-N796,2),0)</f>
        <v>0</v>
      </c>
      <c r="S796" s="9">
        <f>ROUND(SUMIFS('Bank Lines'!$E$5:$E$1640,'Bank Lines'!$G$5:$G$1640,A796,'Bank Lines'!$J$5:$J$1640,1,'Bank Lines'!$C$5:$C$1640,"&lt;="&amp;Cover!$C$14),2)</f>
        <v>0</v>
      </c>
      <c r="T796" s="9">
        <f>ROUND(SUMIFS('Odoo Items'!$G$5:$G$4331,'Odoo Items'!$J$5:$J$4331,A796,'Odoo Items'!$C$5:$C$4331,"&lt;="&amp;Cover!$C$14),2)</f>
        <v>1893.23</v>
      </c>
      <c r="U796">
        <f>COUNTIFS('Bank Lines'!$G$5:$G$1640,A796,'Bank Lines'!$J$5:$J$1640,1,'Bank Lines'!$C$5:$C$1640,"&lt;="&amp;Cover!$C$14)</f>
        <v>0</v>
      </c>
      <c r="V796">
        <f>COUNTIFS('Odoo Items'!$J$5:$J$4331,A796,'Odoo Items'!$C$5:$C$4331,"&lt;="&amp;Cover!$C$14)</f>
        <v>1</v>
      </c>
      <c r="W796" t="str">
        <f>IF(AND(U796=0,V796=0),"",IF(U796=0,"ODOO-ONLY",IF(V796=0,"BANK-ONLY","BOTH")))</f>
        <v>ODOO-ONLY</v>
      </c>
      <c r="X796" s="9">
        <f>IF(W796="BOTH",ROUND(S796-T796,2),0)</f>
        <v>0</v>
      </c>
      <c r="Y796" s="9">
        <f>ROUND(SUMIFS('Bank Lines'!$E$5:$E$1640,'Bank Lines'!$G$5:$G$1640,A796,'Bank Lines'!$J$5:$J$1640,1,'Bank Lines'!$C$5:$C$1640,"&lt;="&amp;Cover!$C$15),2)</f>
        <v>1893.23</v>
      </c>
      <c r="Z796" s="9">
        <f>ROUND(SUMIFS('Odoo Items'!$G$5:$G$4331,'Odoo Items'!$J$5:$J$4331,A796,'Odoo Items'!$C$5:$C$4331,"&lt;="&amp;Cover!$C$15),2)</f>
        <v>1893.23</v>
      </c>
      <c r="AA796">
        <f>COUNTIFS('Bank Lines'!$G$5:$G$1640,A796,'Bank Lines'!$J$5:$J$1640,1,'Bank Lines'!$C$5:$C$1640,"&lt;="&amp;Cover!$C$15)</f>
        <v>1</v>
      </c>
      <c r="AB796">
        <f>COUNTIFS('Odoo Items'!$J$5:$J$4331,A796,'Odoo Items'!$C$5:$C$4331,"&lt;="&amp;Cover!$C$15)</f>
        <v>1</v>
      </c>
      <c r="AC796" t="str">
        <f>IF(AND(AA796=0,AB796=0),"",IF(AA796=0,"ODOO-ONLY",IF(AB796=0,"BANK-ONLY","BOTH")))</f>
        <v>BOTH</v>
      </c>
      <c r="AD796" s="9">
        <f>IF(AC796="BOTH",ROUND(Y796-Z796,2),0)</f>
        <v>0</v>
      </c>
    </row>
    <row r="797">
      <c r="A797" t="inlineStr">
        <is>
          <t>G00793</t>
        </is>
      </c>
      <c r="B797" t="inlineStr">
        <is>
          <t>MER</t>
        </is>
      </c>
      <c r="C797" t="inlineStr">
        <is>
          <t>R08</t>
        </is>
      </c>
      <c r="D797" t="inlineStr">
        <is>
          <t>MATCH</t>
        </is>
      </c>
      <c r="E797" t="inlineStr"/>
      <c r="G797" t="inlineStr"/>
      <c r="H797">
        <f>COUNTIFS('Bank Lines'!$G$5:$G$1640,A797,'Bank Lines'!$J$5:$J$1640,1)</f>
        <v>1</v>
      </c>
      <c r="I797">
        <f>COUNTIFS('Odoo Items'!$J$5:$J$4331,A797)</f>
        <v>1</v>
      </c>
      <c r="J797" s="9">
        <f>ROUND(SUMIFS('Bank Lines'!$E$5:$E$1640,'Bank Lines'!$G$5:$G$1640,A797,'Bank Lines'!$J$5:$J$1640,1),2)</f>
        <v>1964.83</v>
      </c>
      <c r="K797" s="9">
        <f>ROUND(SUMIFS('Odoo Items'!$G$5:$G$4331,'Odoo Items'!$J$5:$J$4331,A797),2)</f>
        <v>1964.83</v>
      </c>
      <c r="L797" s="9">
        <f>ROUND(J797-K797,2)</f>
        <v>0</v>
      </c>
      <c r="M797" s="9">
        <f>ROUND(SUMIFS('Bank Lines'!$E$5:$E$1640,'Bank Lines'!$G$5:$G$1640,A797,'Bank Lines'!$J$5:$J$1640,1,'Bank Lines'!$C$5:$C$1640,"&lt;="&amp;Cover!$C$13),2)</f>
        <v>0</v>
      </c>
      <c r="N797" s="9">
        <f>ROUND(SUMIFS('Odoo Items'!$G$5:$G$4331,'Odoo Items'!$J$5:$J$4331,A797,'Odoo Items'!$C$5:$C$4331,"&lt;="&amp;Cover!$C$13),2)</f>
        <v>0</v>
      </c>
      <c r="O797">
        <f>COUNTIFS('Bank Lines'!$G$5:$G$1640,A797,'Bank Lines'!$J$5:$J$1640,1,'Bank Lines'!$C$5:$C$1640,"&lt;="&amp;Cover!$C$13)</f>
        <v>0</v>
      </c>
      <c r="P797">
        <f>COUNTIFS('Odoo Items'!$J$5:$J$4331,A797,'Odoo Items'!$C$5:$C$4331,"&lt;="&amp;Cover!$C$13)</f>
        <v>0</v>
      </c>
      <c r="Q797">
        <f>IF(AND(O797=0,P797=0),"",IF(O797=0,"ODOO-ONLY",IF(P797=0,"BANK-ONLY","BOTH")))</f>
      </c>
      <c r="R797" s="9">
        <f>IF(Q797="BOTH",ROUND(M797-N797,2),0)</f>
        <v>0</v>
      </c>
      <c r="S797" s="9">
        <f>ROUND(SUMIFS('Bank Lines'!$E$5:$E$1640,'Bank Lines'!$G$5:$G$1640,A797,'Bank Lines'!$J$5:$J$1640,1,'Bank Lines'!$C$5:$C$1640,"&lt;="&amp;Cover!$C$14),2)</f>
        <v>0</v>
      </c>
      <c r="T797" s="9">
        <f>ROUND(SUMIFS('Odoo Items'!$G$5:$G$4331,'Odoo Items'!$J$5:$J$4331,A797,'Odoo Items'!$C$5:$C$4331,"&lt;="&amp;Cover!$C$14),2)</f>
        <v>0</v>
      </c>
      <c r="U797">
        <f>COUNTIFS('Bank Lines'!$G$5:$G$1640,A797,'Bank Lines'!$J$5:$J$1640,1,'Bank Lines'!$C$5:$C$1640,"&lt;="&amp;Cover!$C$14)</f>
        <v>0</v>
      </c>
      <c r="V797">
        <f>COUNTIFS('Odoo Items'!$J$5:$J$4331,A797,'Odoo Items'!$C$5:$C$4331,"&lt;="&amp;Cover!$C$14)</f>
        <v>0</v>
      </c>
      <c r="W797">
        <f>IF(AND(U797=0,V797=0),"",IF(U797=0,"ODOO-ONLY",IF(V797=0,"BANK-ONLY","BOTH")))</f>
      </c>
      <c r="X797" s="9">
        <f>IF(W797="BOTH",ROUND(S797-T797,2),0)</f>
        <v>0</v>
      </c>
      <c r="Y797" s="9">
        <f>ROUND(SUMIFS('Bank Lines'!$E$5:$E$1640,'Bank Lines'!$G$5:$G$1640,A797,'Bank Lines'!$J$5:$J$1640,1,'Bank Lines'!$C$5:$C$1640,"&lt;="&amp;Cover!$C$15),2)</f>
        <v>1964.83</v>
      </c>
      <c r="Z797" s="9">
        <f>ROUND(SUMIFS('Odoo Items'!$G$5:$G$4331,'Odoo Items'!$J$5:$J$4331,A797,'Odoo Items'!$C$5:$C$4331,"&lt;="&amp;Cover!$C$15),2)</f>
        <v>1964.83</v>
      </c>
      <c r="AA797">
        <f>COUNTIFS('Bank Lines'!$G$5:$G$1640,A797,'Bank Lines'!$J$5:$J$1640,1,'Bank Lines'!$C$5:$C$1640,"&lt;="&amp;Cover!$C$15)</f>
        <v>1</v>
      </c>
      <c r="AB797">
        <f>COUNTIFS('Odoo Items'!$J$5:$J$4331,A797,'Odoo Items'!$C$5:$C$4331,"&lt;="&amp;Cover!$C$15)</f>
        <v>1</v>
      </c>
      <c r="AC797" t="str">
        <f>IF(AND(AA797=0,AB797=0),"",IF(AA797=0,"ODOO-ONLY",IF(AB797=0,"BANK-ONLY","BOTH")))</f>
        <v>BOTH</v>
      </c>
      <c r="AD797" s="9">
        <f>IF(AC797="BOTH",ROUND(Y797-Z797,2),0)</f>
        <v>0</v>
      </c>
    </row>
    <row r="798">
      <c r="A798" t="inlineStr">
        <is>
          <t>G00794</t>
        </is>
      </c>
      <c r="B798" t="inlineStr">
        <is>
          <t>MER</t>
        </is>
      </c>
      <c r="C798" t="inlineStr">
        <is>
          <t>R08</t>
        </is>
      </c>
      <c r="D798" t="inlineStr">
        <is>
          <t>MATCH</t>
        </is>
      </c>
      <c r="E798" t="inlineStr"/>
      <c r="G798" t="inlineStr"/>
      <c r="H798">
        <f>COUNTIFS('Bank Lines'!$G$5:$G$1640,A798,'Bank Lines'!$J$5:$J$1640,1)</f>
        <v>1</v>
      </c>
      <c r="I798">
        <f>COUNTIFS('Odoo Items'!$J$5:$J$4331,A798)</f>
        <v>1</v>
      </c>
      <c r="J798" s="9">
        <f>ROUND(SUMIFS('Bank Lines'!$E$5:$E$1640,'Bank Lines'!$G$5:$G$1640,A798,'Bank Lines'!$J$5:$J$1640,1),2)</f>
        <v>2541.52</v>
      </c>
      <c r="K798" s="9">
        <f>ROUND(SUMIFS('Odoo Items'!$G$5:$G$4331,'Odoo Items'!$J$5:$J$4331,A798),2)</f>
        <v>2541.52</v>
      </c>
      <c r="L798" s="9">
        <f>ROUND(J798-K798,2)</f>
        <v>0</v>
      </c>
      <c r="M798" s="9">
        <f>ROUND(SUMIFS('Bank Lines'!$E$5:$E$1640,'Bank Lines'!$G$5:$G$1640,A798,'Bank Lines'!$J$5:$J$1640,1,'Bank Lines'!$C$5:$C$1640,"&lt;="&amp;Cover!$C$13),2)</f>
        <v>0</v>
      </c>
      <c r="N798" s="9">
        <f>ROUND(SUMIFS('Odoo Items'!$G$5:$G$4331,'Odoo Items'!$J$5:$J$4331,A798,'Odoo Items'!$C$5:$C$4331,"&lt;="&amp;Cover!$C$13),2)</f>
        <v>0</v>
      </c>
      <c r="O798">
        <f>COUNTIFS('Bank Lines'!$G$5:$G$1640,A798,'Bank Lines'!$J$5:$J$1640,1,'Bank Lines'!$C$5:$C$1640,"&lt;="&amp;Cover!$C$13)</f>
        <v>0</v>
      </c>
      <c r="P798">
        <f>COUNTIFS('Odoo Items'!$J$5:$J$4331,A798,'Odoo Items'!$C$5:$C$4331,"&lt;="&amp;Cover!$C$13)</f>
        <v>0</v>
      </c>
      <c r="Q798">
        <f>IF(AND(O798=0,P798=0),"",IF(O798=0,"ODOO-ONLY",IF(P798=0,"BANK-ONLY","BOTH")))</f>
      </c>
      <c r="R798" s="9">
        <f>IF(Q798="BOTH",ROUND(M798-N798,2),0)</f>
        <v>0</v>
      </c>
      <c r="S798" s="9">
        <f>ROUND(SUMIFS('Bank Lines'!$E$5:$E$1640,'Bank Lines'!$G$5:$G$1640,A798,'Bank Lines'!$J$5:$J$1640,1,'Bank Lines'!$C$5:$C$1640,"&lt;="&amp;Cover!$C$14),2)</f>
        <v>0</v>
      </c>
      <c r="T798" s="9">
        <f>ROUND(SUMIFS('Odoo Items'!$G$5:$G$4331,'Odoo Items'!$J$5:$J$4331,A798,'Odoo Items'!$C$5:$C$4331,"&lt;="&amp;Cover!$C$14),2)</f>
        <v>0</v>
      </c>
      <c r="U798">
        <f>COUNTIFS('Bank Lines'!$G$5:$G$1640,A798,'Bank Lines'!$J$5:$J$1640,1,'Bank Lines'!$C$5:$C$1640,"&lt;="&amp;Cover!$C$14)</f>
        <v>0</v>
      </c>
      <c r="V798">
        <f>COUNTIFS('Odoo Items'!$J$5:$J$4331,A798,'Odoo Items'!$C$5:$C$4331,"&lt;="&amp;Cover!$C$14)</f>
        <v>0</v>
      </c>
      <c r="W798">
        <f>IF(AND(U798=0,V798=0),"",IF(U798=0,"ODOO-ONLY",IF(V798=0,"BANK-ONLY","BOTH")))</f>
      </c>
      <c r="X798" s="9">
        <f>IF(W798="BOTH",ROUND(S798-T798,2),0)</f>
        <v>0</v>
      </c>
      <c r="Y798" s="9">
        <f>ROUND(SUMIFS('Bank Lines'!$E$5:$E$1640,'Bank Lines'!$G$5:$G$1640,A798,'Bank Lines'!$J$5:$J$1640,1,'Bank Lines'!$C$5:$C$1640,"&lt;="&amp;Cover!$C$15),2)</f>
        <v>2541.52</v>
      </c>
      <c r="Z798" s="9">
        <f>ROUND(SUMIFS('Odoo Items'!$G$5:$G$4331,'Odoo Items'!$J$5:$J$4331,A798,'Odoo Items'!$C$5:$C$4331,"&lt;="&amp;Cover!$C$15),2)</f>
        <v>2541.52</v>
      </c>
      <c r="AA798">
        <f>COUNTIFS('Bank Lines'!$G$5:$G$1640,A798,'Bank Lines'!$J$5:$J$1640,1,'Bank Lines'!$C$5:$C$1640,"&lt;="&amp;Cover!$C$15)</f>
        <v>1</v>
      </c>
      <c r="AB798">
        <f>COUNTIFS('Odoo Items'!$J$5:$J$4331,A798,'Odoo Items'!$C$5:$C$4331,"&lt;="&amp;Cover!$C$15)</f>
        <v>1</v>
      </c>
      <c r="AC798" t="str">
        <f>IF(AND(AA798=0,AB798=0),"",IF(AA798=0,"ODOO-ONLY",IF(AB798=0,"BANK-ONLY","BOTH")))</f>
        <v>BOTH</v>
      </c>
      <c r="AD798" s="9">
        <f>IF(AC798="BOTH",ROUND(Y798-Z798,2),0)</f>
        <v>0</v>
      </c>
    </row>
    <row r="799">
      <c r="A799" t="inlineStr">
        <is>
          <t>G00795</t>
        </is>
      </c>
      <c r="B799" t="inlineStr">
        <is>
          <t>MER</t>
        </is>
      </c>
      <c r="C799" t="inlineStr">
        <is>
          <t>R08</t>
        </is>
      </c>
      <c r="D799" t="inlineStr">
        <is>
          <t>MATCH</t>
        </is>
      </c>
      <c r="E799" t="inlineStr"/>
      <c r="G799" t="inlineStr"/>
      <c r="H799">
        <f>COUNTIFS('Bank Lines'!$G$5:$G$1640,A799,'Bank Lines'!$J$5:$J$1640,1)</f>
        <v>1</v>
      </c>
      <c r="I799">
        <f>COUNTIFS('Odoo Items'!$J$5:$J$4331,A799)</f>
        <v>1</v>
      </c>
      <c r="J799" s="9">
        <f>ROUND(SUMIFS('Bank Lines'!$E$5:$E$1640,'Bank Lines'!$G$5:$G$1640,A799,'Bank Lines'!$J$5:$J$1640,1),2)</f>
        <v>2405.91</v>
      </c>
      <c r="K799" s="9">
        <f>ROUND(SUMIFS('Odoo Items'!$G$5:$G$4331,'Odoo Items'!$J$5:$J$4331,A799),2)</f>
        <v>2405.91</v>
      </c>
      <c r="L799" s="9">
        <f>ROUND(J799-K799,2)</f>
        <v>0</v>
      </c>
      <c r="M799" s="9">
        <f>ROUND(SUMIFS('Bank Lines'!$E$5:$E$1640,'Bank Lines'!$G$5:$G$1640,A799,'Bank Lines'!$J$5:$J$1640,1,'Bank Lines'!$C$5:$C$1640,"&lt;="&amp;Cover!$C$13),2)</f>
        <v>0</v>
      </c>
      <c r="N799" s="9">
        <f>ROUND(SUMIFS('Odoo Items'!$G$5:$G$4331,'Odoo Items'!$J$5:$J$4331,A799,'Odoo Items'!$C$5:$C$4331,"&lt;="&amp;Cover!$C$13),2)</f>
        <v>0</v>
      </c>
      <c r="O799">
        <f>COUNTIFS('Bank Lines'!$G$5:$G$1640,A799,'Bank Lines'!$J$5:$J$1640,1,'Bank Lines'!$C$5:$C$1640,"&lt;="&amp;Cover!$C$13)</f>
        <v>0</v>
      </c>
      <c r="P799">
        <f>COUNTIFS('Odoo Items'!$J$5:$J$4331,A799,'Odoo Items'!$C$5:$C$4331,"&lt;="&amp;Cover!$C$13)</f>
        <v>0</v>
      </c>
      <c r="Q799">
        <f>IF(AND(O799=0,P799=0),"",IF(O799=0,"ODOO-ONLY",IF(P799=0,"BANK-ONLY","BOTH")))</f>
      </c>
      <c r="R799" s="9">
        <f>IF(Q799="BOTH",ROUND(M799-N799,2),0)</f>
        <v>0</v>
      </c>
      <c r="S799" s="9">
        <f>ROUND(SUMIFS('Bank Lines'!$E$5:$E$1640,'Bank Lines'!$G$5:$G$1640,A799,'Bank Lines'!$J$5:$J$1640,1,'Bank Lines'!$C$5:$C$1640,"&lt;="&amp;Cover!$C$14),2)</f>
        <v>0</v>
      </c>
      <c r="T799" s="9">
        <f>ROUND(SUMIFS('Odoo Items'!$G$5:$G$4331,'Odoo Items'!$J$5:$J$4331,A799,'Odoo Items'!$C$5:$C$4331,"&lt;="&amp;Cover!$C$14),2)</f>
        <v>0</v>
      </c>
      <c r="U799">
        <f>COUNTIFS('Bank Lines'!$G$5:$G$1640,A799,'Bank Lines'!$J$5:$J$1640,1,'Bank Lines'!$C$5:$C$1640,"&lt;="&amp;Cover!$C$14)</f>
        <v>0</v>
      </c>
      <c r="V799">
        <f>COUNTIFS('Odoo Items'!$J$5:$J$4331,A799,'Odoo Items'!$C$5:$C$4331,"&lt;="&amp;Cover!$C$14)</f>
        <v>0</v>
      </c>
      <c r="W799">
        <f>IF(AND(U799=0,V799=0),"",IF(U799=0,"ODOO-ONLY",IF(V799=0,"BANK-ONLY","BOTH")))</f>
      </c>
      <c r="X799" s="9">
        <f>IF(W799="BOTH",ROUND(S799-T799,2),0)</f>
        <v>0</v>
      </c>
      <c r="Y799" s="9">
        <f>ROUND(SUMIFS('Bank Lines'!$E$5:$E$1640,'Bank Lines'!$G$5:$G$1640,A799,'Bank Lines'!$J$5:$J$1640,1,'Bank Lines'!$C$5:$C$1640,"&lt;="&amp;Cover!$C$15),2)</f>
        <v>2405.91</v>
      </c>
      <c r="Z799" s="9">
        <f>ROUND(SUMIFS('Odoo Items'!$G$5:$G$4331,'Odoo Items'!$J$5:$J$4331,A799,'Odoo Items'!$C$5:$C$4331,"&lt;="&amp;Cover!$C$15),2)</f>
        <v>2405.91</v>
      </c>
      <c r="AA799">
        <f>COUNTIFS('Bank Lines'!$G$5:$G$1640,A799,'Bank Lines'!$J$5:$J$1640,1,'Bank Lines'!$C$5:$C$1640,"&lt;="&amp;Cover!$C$15)</f>
        <v>1</v>
      </c>
      <c r="AB799">
        <f>COUNTIFS('Odoo Items'!$J$5:$J$4331,A799,'Odoo Items'!$C$5:$C$4331,"&lt;="&amp;Cover!$C$15)</f>
        <v>1</v>
      </c>
      <c r="AC799" t="str">
        <f>IF(AND(AA799=0,AB799=0),"",IF(AA799=0,"ODOO-ONLY",IF(AB799=0,"BANK-ONLY","BOTH")))</f>
        <v>BOTH</v>
      </c>
      <c r="AD799" s="9">
        <f>IF(AC799="BOTH",ROUND(Y799-Z799,2),0)</f>
        <v>0</v>
      </c>
    </row>
    <row r="800">
      <c r="A800" t="inlineStr">
        <is>
          <t>G00796</t>
        </is>
      </c>
      <c r="B800" t="inlineStr">
        <is>
          <t>MER</t>
        </is>
      </c>
      <c r="C800" t="inlineStr">
        <is>
          <t>R08</t>
        </is>
      </c>
      <c r="D800" t="inlineStr">
        <is>
          <t>MATCH</t>
        </is>
      </c>
      <c r="E800" t="inlineStr"/>
      <c r="G800" t="inlineStr"/>
      <c r="H800">
        <f>COUNTIFS('Bank Lines'!$G$5:$G$1640,A800,'Bank Lines'!$J$5:$J$1640,1)</f>
        <v>1</v>
      </c>
      <c r="I800">
        <f>COUNTIFS('Odoo Items'!$J$5:$J$4331,A800)</f>
        <v>1</v>
      </c>
      <c r="J800" s="9">
        <f>ROUND(SUMIFS('Bank Lines'!$E$5:$E$1640,'Bank Lines'!$G$5:$G$1640,A800,'Bank Lines'!$J$5:$J$1640,1),2)</f>
        <v>2938.79</v>
      </c>
      <c r="K800" s="9">
        <f>ROUND(SUMIFS('Odoo Items'!$G$5:$G$4331,'Odoo Items'!$J$5:$J$4331,A800),2)</f>
        <v>2938.79</v>
      </c>
      <c r="L800" s="9">
        <f>ROUND(J800-K800,2)</f>
        <v>0</v>
      </c>
      <c r="M800" s="9">
        <f>ROUND(SUMIFS('Bank Lines'!$E$5:$E$1640,'Bank Lines'!$G$5:$G$1640,A800,'Bank Lines'!$J$5:$J$1640,1,'Bank Lines'!$C$5:$C$1640,"&lt;="&amp;Cover!$C$13),2)</f>
        <v>0</v>
      </c>
      <c r="N800" s="9">
        <f>ROUND(SUMIFS('Odoo Items'!$G$5:$G$4331,'Odoo Items'!$J$5:$J$4331,A800,'Odoo Items'!$C$5:$C$4331,"&lt;="&amp;Cover!$C$13),2)</f>
        <v>0</v>
      </c>
      <c r="O800">
        <f>COUNTIFS('Bank Lines'!$G$5:$G$1640,A800,'Bank Lines'!$J$5:$J$1640,1,'Bank Lines'!$C$5:$C$1640,"&lt;="&amp;Cover!$C$13)</f>
        <v>0</v>
      </c>
      <c r="P800">
        <f>COUNTIFS('Odoo Items'!$J$5:$J$4331,A800,'Odoo Items'!$C$5:$C$4331,"&lt;="&amp;Cover!$C$13)</f>
        <v>0</v>
      </c>
      <c r="Q800">
        <f>IF(AND(O800=0,P800=0),"",IF(O800=0,"ODOO-ONLY",IF(P800=0,"BANK-ONLY","BOTH")))</f>
      </c>
      <c r="R800" s="9">
        <f>IF(Q800="BOTH",ROUND(M800-N800,2),0)</f>
        <v>0</v>
      </c>
      <c r="S800" s="9">
        <f>ROUND(SUMIFS('Bank Lines'!$E$5:$E$1640,'Bank Lines'!$G$5:$G$1640,A800,'Bank Lines'!$J$5:$J$1640,1,'Bank Lines'!$C$5:$C$1640,"&lt;="&amp;Cover!$C$14),2)</f>
        <v>0</v>
      </c>
      <c r="T800" s="9">
        <f>ROUND(SUMIFS('Odoo Items'!$G$5:$G$4331,'Odoo Items'!$J$5:$J$4331,A800,'Odoo Items'!$C$5:$C$4331,"&lt;="&amp;Cover!$C$14),2)</f>
        <v>0</v>
      </c>
      <c r="U800">
        <f>COUNTIFS('Bank Lines'!$G$5:$G$1640,A800,'Bank Lines'!$J$5:$J$1640,1,'Bank Lines'!$C$5:$C$1640,"&lt;="&amp;Cover!$C$14)</f>
        <v>0</v>
      </c>
      <c r="V800">
        <f>COUNTIFS('Odoo Items'!$J$5:$J$4331,A800,'Odoo Items'!$C$5:$C$4331,"&lt;="&amp;Cover!$C$14)</f>
        <v>0</v>
      </c>
      <c r="W800">
        <f>IF(AND(U800=0,V800=0),"",IF(U800=0,"ODOO-ONLY",IF(V800=0,"BANK-ONLY","BOTH")))</f>
      </c>
      <c r="X800" s="9">
        <f>IF(W800="BOTH",ROUND(S800-T800,2),0)</f>
        <v>0</v>
      </c>
      <c r="Y800" s="9">
        <f>ROUND(SUMIFS('Bank Lines'!$E$5:$E$1640,'Bank Lines'!$G$5:$G$1640,A800,'Bank Lines'!$J$5:$J$1640,1,'Bank Lines'!$C$5:$C$1640,"&lt;="&amp;Cover!$C$15),2)</f>
        <v>2938.79</v>
      </c>
      <c r="Z800" s="9">
        <f>ROUND(SUMIFS('Odoo Items'!$G$5:$G$4331,'Odoo Items'!$J$5:$J$4331,A800,'Odoo Items'!$C$5:$C$4331,"&lt;="&amp;Cover!$C$15),2)</f>
        <v>2938.79</v>
      </c>
      <c r="AA800">
        <f>COUNTIFS('Bank Lines'!$G$5:$G$1640,A800,'Bank Lines'!$J$5:$J$1640,1,'Bank Lines'!$C$5:$C$1640,"&lt;="&amp;Cover!$C$15)</f>
        <v>1</v>
      </c>
      <c r="AB800">
        <f>COUNTIFS('Odoo Items'!$J$5:$J$4331,A800,'Odoo Items'!$C$5:$C$4331,"&lt;="&amp;Cover!$C$15)</f>
        <v>1</v>
      </c>
      <c r="AC800" t="str">
        <f>IF(AND(AA800=0,AB800=0),"",IF(AA800=0,"ODOO-ONLY",IF(AB800=0,"BANK-ONLY","BOTH")))</f>
        <v>BOTH</v>
      </c>
      <c r="AD800" s="9">
        <f>IF(AC800="BOTH",ROUND(Y800-Z800,2),0)</f>
        <v>0</v>
      </c>
    </row>
    <row r="801">
      <c r="A801" t="inlineStr">
        <is>
          <t>G00797</t>
        </is>
      </c>
      <c r="B801" t="inlineStr">
        <is>
          <t>MER</t>
        </is>
      </c>
      <c r="C801" t="inlineStr">
        <is>
          <t>R08</t>
        </is>
      </c>
      <c r="D801" t="inlineStr">
        <is>
          <t>MATCH</t>
        </is>
      </c>
      <c r="E801" t="inlineStr"/>
      <c r="G801" t="inlineStr"/>
      <c r="H801">
        <f>COUNTIFS('Bank Lines'!$G$5:$G$1640,A801,'Bank Lines'!$J$5:$J$1640,1)</f>
        <v>1</v>
      </c>
      <c r="I801">
        <f>COUNTIFS('Odoo Items'!$J$5:$J$4331,A801)</f>
        <v>1</v>
      </c>
      <c r="J801" s="9">
        <f>ROUND(SUMIFS('Bank Lines'!$E$5:$E$1640,'Bank Lines'!$G$5:$G$1640,A801,'Bank Lines'!$J$5:$J$1640,1),2)</f>
        <v>3294.98</v>
      </c>
      <c r="K801" s="9">
        <f>ROUND(SUMIFS('Odoo Items'!$G$5:$G$4331,'Odoo Items'!$J$5:$J$4331,A801),2)</f>
        <v>3294.98</v>
      </c>
      <c r="L801" s="9">
        <f>ROUND(J801-K801,2)</f>
        <v>0</v>
      </c>
      <c r="M801" s="9">
        <f>ROUND(SUMIFS('Bank Lines'!$E$5:$E$1640,'Bank Lines'!$G$5:$G$1640,A801,'Bank Lines'!$J$5:$J$1640,1,'Bank Lines'!$C$5:$C$1640,"&lt;="&amp;Cover!$C$13),2)</f>
        <v>0</v>
      </c>
      <c r="N801" s="9">
        <f>ROUND(SUMIFS('Odoo Items'!$G$5:$G$4331,'Odoo Items'!$J$5:$J$4331,A801,'Odoo Items'!$C$5:$C$4331,"&lt;="&amp;Cover!$C$13),2)</f>
        <v>0</v>
      </c>
      <c r="O801">
        <f>COUNTIFS('Bank Lines'!$G$5:$G$1640,A801,'Bank Lines'!$J$5:$J$1640,1,'Bank Lines'!$C$5:$C$1640,"&lt;="&amp;Cover!$C$13)</f>
        <v>0</v>
      </c>
      <c r="P801">
        <f>COUNTIFS('Odoo Items'!$J$5:$J$4331,A801,'Odoo Items'!$C$5:$C$4331,"&lt;="&amp;Cover!$C$13)</f>
        <v>0</v>
      </c>
      <c r="Q801">
        <f>IF(AND(O801=0,P801=0),"",IF(O801=0,"ODOO-ONLY",IF(P801=0,"BANK-ONLY","BOTH")))</f>
      </c>
      <c r="R801" s="9">
        <f>IF(Q801="BOTH",ROUND(M801-N801,2),0)</f>
        <v>0</v>
      </c>
      <c r="S801" s="9">
        <f>ROUND(SUMIFS('Bank Lines'!$E$5:$E$1640,'Bank Lines'!$G$5:$G$1640,A801,'Bank Lines'!$J$5:$J$1640,1,'Bank Lines'!$C$5:$C$1640,"&lt;="&amp;Cover!$C$14),2)</f>
        <v>0</v>
      </c>
      <c r="T801" s="9">
        <f>ROUND(SUMIFS('Odoo Items'!$G$5:$G$4331,'Odoo Items'!$J$5:$J$4331,A801,'Odoo Items'!$C$5:$C$4331,"&lt;="&amp;Cover!$C$14),2)</f>
        <v>0</v>
      </c>
      <c r="U801">
        <f>COUNTIFS('Bank Lines'!$G$5:$G$1640,A801,'Bank Lines'!$J$5:$J$1640,1,'Bank Lines'!$C$5:$C$1640,"&lt;="&amp;Cover!$C$14)</f>
        <v>0</v>
      </c>
      <c r="V801">
        <f>COUNTIFS('Odoo Items'!$J$5:$J$4331,A801,'Odoo Items'!$C$5:$C$4331,"&lt;="&amp;Cover!$C$14)</f>
        <v>0</v>
      </c>
      <c r="W801">
        <f>IF(AND(U801=0,V801=0),"",IF(U801=0,"ODOO-ONLY",IF(V801=0,"BANK-ONLY","BOTH")))</f>
      </c>
      <c r="X801" s="9">
        <f>IF(W801="BOTH",ROUND(S801-T801,2),0)</f>
        <v>0</v>
      </c>
      <c r="Y801" s="9">
        <f>ROUND(SUMIFS('Bank Lines'!$E$5:$E$1640,'Bank Lines'!$G$5:$G$1640,A801,'Bank Lines'!$J$5:$J$1640,1,'Bank Lines'!$C$5:$C$1640,"&lt;="&amp;Cover!$C$15),2)</f>
        <v>3294.98</v>
      </c>
      <c r="Z801" s="9">
        <f>ROUND(SUMIFS('Odoo Items'!$G$5:$G$4331,'Odoo Items'!$J$5:$J$4331,A801,'Odoo Items'!$C$5:$C$4331,"&lt;="&amp;Cover!$C$15),2)</f>
        <v>3294.98</v>
      </c>
      <c r="AA801">
        <f>COUNTIFS('Bank Lines'!$G$5:$G$1640,A801,'Bank Lines'!$J$5:$J$1640,1,'Bank Lines'!$C$5:$C$1640,"&lt;="&amp;Cover!$C$15)</f>
        <v>1</v>
      </c>
      <c r="AB801">
        <f>COUNTIFS('Odoo Items'!$J$5:$J$4331,A801,'Odoo Items'!$C$5:$C$4331,"&lt;="&amp;Cover!$C$15)</f>
        <v>1</v>
      </c>
      <c r="AC801" t="str">
        <f>IF(AND(AA801=0,AB801=0),"",IF(AA801=0,"ODOO-ONLY",IF(AB801=0,"BANK-ONLY","BOTH")))</f>
        <v>BOTH</v>
      </c>
      <c r="AD801" s="9">
        <f>IF(AC801="BOTH",ROUND(Y801-Z801,2),0)</f>
        <v>0</v>
      </c>
    </row>
    <row r="802">
      <c r="A802" t="inlineStr">
        <is>
          <t>G00798</t>
        </is>
      </c>
      <c r="B802" t="inlineStr">
        <is>
          <t>MER</t>
        </is>
      </c>
      <c r="C802" t="inlineStr">
        <is>
          <t>R08</t>
        </is>
      </c>
      <c r="D802" t="inlineStr">
        <is>
          <t>MATCH</t>
        </is>
      </c>
      <c r="E802" t="inlineStr"/>
      <c r="G802" t="inlineStr"/>
      <c r="H802">
        <f>COUNTIFS('Bank Lines'!$G$5:$G$1640,A802,'Bank Lines'!$J$5:$J$1640,1)</f>
        <v>1</v>
      </c>
      <c r="I802">
        <f>COUNTIFS('Odoo Items'!$J$5:$J$4331,A802)</f>
        <v>1</v>
      </c>
      <c r="J802" s="9">
        <f>ROUND(SUMIFS('Bank Lines'!$E$5:$E$1640,'Bank Lines'!$G$5:$G$1640,A802,'Bank Lines'!$J$5:$J$1640,1),2)</f>
        <v>2902.09</v>
      </c>
      <c r="K802" s="9">
        <f>ROUND(SUMIFS('Odoo Items'!$G$5:$G$4331,'Odoo Items'!$J$5:$J$4331,A802),2)</f>
        <v>2902.09</v>
      </c>
      <c r="L802" s="9">
        <f>ROUND(J802-K802,2)</f>
        <v>0</v>
      </c>
      <c r="M802" s="9">
        <f>ROUND(SUMIFS('Bank Lines'!$E$5:$E$1640,'Bank Lines'!$G$5:$G$1640,A802,'Bank Lines'!$J$5:$J$1640,1,'Bank Lines'!$C$5:$C$1640,"&lt;="&amp;Cover!$C$13),2)</f>
        <v>0</v>
      </c>
      <c r="N802" s="9">
        <f>ROUND(SUMIFS('Odoo Items'!$G$5:$G$4331,'Odoo Items'!$J$5:$J$4331,A802,'Odoo Items'!$C$5:$C$4331,"&lt;="&amp;Cover!$C$13),2)</f>
        <v>0</v>
      </c>
      <c r="O802">
        <f>COUNTIFS('Bank Lines'!$G$5:$G$1640,A802,'Bank Lines'!$J$5:$J$1640,1,'Bank Lines'!$C$5:$C$1640,"&lt;="&amp;Cover!$C$13)</f>
        <v>0</v>
      </c>
      <c r="P802">
        <f>COUNTIFS('Odoo Items'!$J$5:$J$4331,A802,'Odoo Items'!$C$5:$C$4331,"&lt;="&amp;Cover!$C$13)</f>
        <v>0</v>
      </c>
      <c r="Q802">
        <f>IF(AND(O802=0,P802=0),"",IF(O802=0,"ODOO-ONLY",IF(P802=0,"BANK-ONLY","BOTH")))</f>
      </c>
      <c r="R802" s="9">
        <f>IF(Q802="BOTH",ROUND(M802-N802,2),0)</f>
        <v>0</v>
      </c>
      <c r="S802" s="9">
        <f>ROUND(SUMIFS('Bank Lines'!$E$5:$E$1640,'Bank Lines'!$G$5:$G$1640,A802,'Bank Lines'!$J$5:$J$1640,1,'Bank Lines'!$C$5:$C$1640,"&lt;="&amp;Cover!$C$14),2)</f>
        <v>0</v>
      </c>
      <c r="T802" s="9">
        <f>ROUND(SUMIFS('Odoo Items'!$G$5:$G$4331,'Odoo Items'!$J$5:$J$4331,A802,'Odoo Items'!$C$5:$C$4331,"&lt;="&amp;Cover!$C$14),2)</f>
        <v>0</v>
      </c>
      <c r="U802">
        <f>COUNTIFS('Bank Lines'!$G$5:$G$1640,A802,'Bank Lines'!$J$5:$J$1640,1,'Bank Lines'!$C$5:$C$1640,"&lt;="&amp;Cover!$C$14)</f>
        <v>0</v>
      </c>
      <c r="V802">
        <f>COUNTIFS('Odoo Items'!$J$5:$J$4331,A802,'Odoo Items'!$C$5:$C$4331,"&lt;="&amp;Cover!$C$14)</f>
        <v>0</v>
      </c>
      <c r="W802">
        <f>IF(AND(U802=0,V802=0),"",IF(U802=0,"ODOO-ONLY",IF(V802=0,"BANK-ONLY","BOTH")))</f>
      </c>
      <c r="X802" s="9">
        <f>IF(W802="BOTH",ROUND(S802-T802,2),0)</f>
        <v>0</v>
      </c>
      <c r="Y802" s="9">
        <f>ROUND(SUMIFS('Bank Lines'!$E$5:$E$1640,'Bank Lines'!$G$5:$G$1640,A802,'Bank Lines'!$J$5:$J$1640,1,'Bank Lines'!$C$5:$C$1640,"&lt;="&amp;Cover!$C$15),2)</f>
        <v>2902.09</v>
      </c>
      <c r="Z802" s="9">
        <f>ROUND(SUMIFS('Odoo Items'!$G$5:$G$4331,'Odoo Items'!$J$5:$J$4331,A802,'Odoo Items'!$C$5:$C$4331,"&lt;="&amp;Cover!$C$15),2)</f>
        <v>2902.09</v>
      </c>
      <c r="AA802">
        <f>COUNTIFS('Bank Lines'!$G$5:$G$1640,A802,'Bank Lines'!$J$5:$J$1640,1,'Bank Lines'!$C$5:$C$1640,"&lt;="&amp;Cover!$C$15)</f>
        <v>1</v>
      </c>
      <c r="AB802">
        <f>COUNTIFS('Odoo Items'!$J$5:$J$4331,A802,'Odoo Items'!$C$5:$C$4331,"&lt;="&amp;Cover!$C$15)</f>
        <v>1</v>
      </c>
      <c r="AC802" t="str">
        <f>IF(AND(AA802=0,AB802=0),"",IF(AA802=0,"ODOO-ONLY",IF(AB802=0,"BANK-ONLY","BOTH")))</f>
        <v>BOTH</v>
      </c>
      <c r="AD802" s="9">
        <f>IF(AC802="BOTH",ROUND(Y802-Z802,2),0)</f>
        <v>0</v>
      </c>
    </row>
    <row r="803">
      <c r="A803" t="inlineStr">
        <is>
          <t>G00799</t>
        </is>
      </c>
      <c r="B803" t="inlineStr">
        <is>
          <t>MER</t>
        </is>
      </c>
      <c r="C803" t="inlineStr">
        <is>
          <t>R08</t>
        </is>
      </c>
      <c r="D803" t="inlineStr">
        <is>
          <t>MATCH</t>
        </is>
      </c>
      <c r="E803" t="inlineStr"/>
      <c r="G803" t="inlineStr"/>
      <c r="H803">
        <f>COUNTIFS('Bank Lines'!$G$5:$G$1640,A803,'Bank Lines'!$J$5:$J$1640,1)</f>
        <v>1</v>
      </c>
      <c r="I803">
        <f>COUNTIFS('Odoo Items'!$J$5:$J$4331,A803)</f>
        <v>1</v>
      </c>
      <c r="J803" s="9">
        <f>ROUND(SUMIFS('Bank Lines'!$E$5:$E$1640,'Bank Lines'!$G$5:$G$1640,A803,'Bank Lines'!$J$5:$J$1640,1),2)</f>
        <v>1242.76</v>
      </c>
      <c r="K803" s="9">
        <f>ROUND(SUMIFS('Odoo Items'!$G$5:$G$4331,'Odoo Items'!$J$5:$J$4331,A803),2)</f>
        <v>1242.76</v>
      </c>
      <c r="L803" s="9">
        <f>ROUND(J803-K803,2)</f>
        <v>0</v>
      </c>
      <c r="M803" s="9">
        <f>ROUND(SUMIFS('Bank Lines'!$E$5:$E$1640,'Bank Lines'!$G$5:$G$1640,A803,'Bank Lines'!$J$5:$J$1640,1,'Bank Lines'!$C$5:$C$1640,"&lt;="&amp;Cover!$C$13),2)</f>
        <v>0</v>
      </c>
      <c r="N803" s="9">
        <f>ROUND(SUMIFS('Odoo Items'!$G$5:$G$4331,'Odoo Items'!$J$5:$J$4331,A803,'Odoo Items'!$C$5:$C$4331,"&lt;="&amp;Cover!$C$13),2)</f>
        <v>0</v>
      </c>
      <c r="O803">
        <f>COUNTIFS('Bank Lines'!$G$5:$G$1640,A803,'Bank Lines'!$J$5:$J$1640,1,'Bank Lines'!$C$5:$C$1640,"&lt;="&amp;Cover!$C$13)</f>
        <v>0</v>
      </c>
      <c r="P803">
        <f>COUNTIFS('Odoo Items'!$J$5:$J$4331,A803,'Odoo Items'!$C$5:$C$4331,"&lt;="&amp;Cover!$C$13)</f>
        <v>0</v>
      </c>
      <c r="Q803">
        <f>IF(AND(O803=0,P803=0),"",IF(O803=0,"ODOO-ONLY",IF(P803=0,"BANK-ONLY","BOTH")))</f>
      </c>
      <c r="R803" s="9">
        <f>IF(Q803="BOTH",ROUND(M803-N803,2),0)</f>
        <v>0</v>
      </c>
      <c r="S803" s="9">
        <f>ROUND(SUMIFS('Bank Lines'!$E$5:$E$1640,'Bank Lines'!$G$5:$G$1640,A803,'Bank Lines'!$J$5:$J$1640,1,'Bank Lines'!$C$5:$C$1640,"&lt;="&amp;Cover!$C$14),2)</f>
        <v>0</v>
      </c>
      <c r="T803" s="9">
        <f>ROUND(SUMIFS('Odoo Items'!$G$5:$G$4331,'Odoo Items'!$J$5:$J$4331,A803,'Odoo Items'!$C$5:$C$4331,"&lt;="&amp;Cover!$C$14),2)</f>
        <v>0</v>
      </c>
      <c r="U803">
        <f>COUNTIFS('Bank Lines'!$G$5:$G$1640,A803,'Bank Lines'!$J$5:$J$1640,1,'Bank Lines'!$C$5:$C$1640,"&lt;="&amp;Cover!$C$14)</f>
        <v>0</v>
      </c>
      <c r="V803">
        <f>COUNTIFS('Odoo Items'!$J$5:$J$4331,A803,'Odoo Items'!$C$5:$C$4331,"&lt;="&amp;Cover!$C$14)</f>
        <v>0</v>
      </c>
      <c r="W803">
        <f>IF(AND(U803=0,V803=0),"",IF(U803=0,"ODOO-ONLY",IF(V803=0,"BANK-ONLY","BOTH")))</f>
      </c>
      <c r="X803" s="9">
        <f>IF(W803="BOTH",ROUND(S803-T803,2),0)</f>
        <v>0</v>
      </c>
      <c r="Y803" s="9">
        <f>ROUND(SUMIFS('Bank Lines'!$E$5:$E$1640,'Bank Lines'!$G$5:$G$1640,A803,'Bank Lines'!$J$5:$J$1640,1,'Bank Lines'!$C$5:$C$1640,"&lt;="&amp;Cover!$C$15),2)</f>
        <v>1242.76</v>
      </c>
      <c r="Z803" s="9">
        <f>ROUND(SUMIFS('Odoo Items'!$G$5:$G$4331,'Odoo Items'!$J$5:$J$4331,A803,'Odoo Items'!$C$5:$C$4331,"&lt;="&amp;Cover!$C$15),2)</f>
        <v>1242.76</v>
      </c>
      <c r="AA803">
        <f>COUNTIFS('Bank Lines'!$G$5:$G$1640,A803,'Bank Lines'!$J$5:$J$1640,1,'Bank Lines'!$C$5:$C$1640,"&lt;="&amp;Cover!$C$15)</f>
        <v>1</v>
      </c>
      <c r="AB803">
        <f>COUNTIFS('Odoo Items'!$J$5:$J$4331,A803,'Odoo Items'!$C$5:$C$4331,"&lt;="&amp;Cover!$C$15)</f>
        <v>1</v>
      </c>
      <c r="AC803" t="str">
        <f>IF(AND(AA803=0,AB803=0),"",IF(AA803=0,"ODOO-ONLY",IF(AB803=0,"BANK-ONLY","BOTH")))</f>
        <v>BOTH</v>
      </c>
      <c r="AD803" s="9">
        <f>IF(AC803="BOTH",ROUND(Y803-Z803,2),0)</f>
        <v>0</v>
      </c>
    </row>
    <row r="804">
      <c r="A804" t="inlineStr">
        <is>
          <t>G00800</t>
        </is>
      </c>
      <c r="B804" t="inlineStr">
        <is>
          <t>MER</t>
        </is>
      </c>
      <c r="C804" t="inlineStr">
        <is>
          <t>R08</t>
        </is>
      </c>
      <c r="D804" t="inlineStr">
        <is>
          <t>MATCH</t>
        </is>
      </c>
      <c r="E804" t="inlineStr"/>
      <c r="G804" t="inlineStr"/>
      <c r="H804">
        <f>COUNTIFS('Bank Lines'!$G$5:$G$1640,A804,'Bank Lines'!$J$5:$J$1640,1)</f>
        <v>1</v>
      </c>
      <c r="I804">
        <f>COUNTIFS('Odoo Items'!$J$5:$J$4331,A804)</f>
        <v>1</v>
      </c>
      <c r="J804" s="9">
        <f>ROUND(SUMIFS('Bank Lines'!$E$5:$E$1640,'Bank Lines'!$G$5:$G$1640,A804,'Bank Lines'!$J$5:$J$1640,1),2)</f>
        <v>1104.46</v>
      </c>
      <c r="K804" s="9">
        <f>ROUND(SUMIFS('Odoo Items'!$G$5:$G$4331,'Odoo Items'!$J$5:$J$4331,A804),2)</f>
        <v>1104.46</v>
      </c>
      <c r="L804" s="9">
        <f>ROUND(J804-K804,2)</f>
        <v>0</v>
      </c>
      <c r="M804" s="9">
        <f>ROUND(SUMIFS('Bank Lines'!$E$5:$E$1640,'Bank Lines'!$G$5:$G$1640,A804,'Bank Lines'!$J$5:$J$1640,1,'Bank Lines'!$C$5:$C$1640,"&lt;="&amp;Cover!$C$13),2)</f>
        <v>0</v>
      </c>
      <c r="N804" s="9">
        <f>ROUND(SUMIFS('Odoo Items'!$G$5:$G$4331,'Odoo Items'!$J$5:$J$4331,A804,'Odoo Items'!$C$5:$C$4331,"&lt;="&amp;Cover!$C$13),2)</f>
        <v>0</v>
      </c>
      <c r="O804">
        <f>COUNTIFS('Bank Lines'!$G$5:$G$1640,A804,'Bank Lines'!$J$5:$J$1640,1,'Bank Lines'!$C$5:$C$1640,"&lt;="&amp;Cover!$C$13)</f>
        <v>0</v>
      </c>
      <c r="P804">
        <f>COUNTIFS('Odoo Items'!$J$5:$J$4331,A804,'Odoo Items'!$C$5:$C$4331,"&lt;="&amp;Cover!$C$13)</f>
        <v>0</v>
      </c>
      <c r="Q804">
        <f>IF(AND(O804=0,P804=0),"",IF(O804=0,"ODOO-ONLY",IF(P804=0,"BANK-ONLY","BOTH")))</f>
      </c>
      <c r="R804" s="9">
        <f>IF(Q804="BOTH",ROUND(M804-N804,2),0)</f>
        <v>0</v>
      </c>
      <c r="S804" s="9">
        <f>ROUND(SUMIFS('Bank Lines'!$E$5:$E$1640,'Bank Lines'!$G$5:$G$1640,A804,'Bank Lines'!$J$5:$J$1640,1,'Bank Lines'!$C$5:$C$1640,"&lt;="&amp;Cover!$C$14),2)</f>
        <v>0</v>
      </c>
      <c r="T804" s="9">
        <f>ROUND(SUMIFS('Odoo Items'!$G$5:$G$4331,'Odoo Items'!$J$5:$J$4331,A804,'Odoo Items'!$C$5:$C$4331,"&lt;="&amp;Cover!$C$14),2)</f>
        <v>0</v>
      </c>
      <c r="U804">
        <f>COUNTIFS('Bank Lines'!$G$5:$G$1640,A804,'Bank Lines'!$J$5:$J$1640,1,'Bank Lines'!$C$5:$C$1640,"&lt;="&amp;Cover!$C$14)</f>
        <v>0</v>
      </c>
      <c r="V804">
        <f>COUNTIFS('Odoo Items'!$J$5:$J$4331,A804,'Odoo Items'!$C$5:$C$4331,"&lt;="&amp;Cover!$C$14)</f>
        <v>0</v>
      </c>
      <c r="W804">
        <f>IF(AND(U804=0,V804=0),"",IF(U804=0,"ODOO-ONLY",IF(V804=0,"BANK-ONLY","BOTH")))</f>
      </c>
      <c r="X804" s="9">
        <f>IF(W804="BOTH",ROUND(S804-T804,2),0)</f>
        <v>0</v>
      </c>
      <c r="Y804" s="9">
        <f>ROUND(SUMIFS('Bank Lines'!$E$5:$E$1640,'Bank Lines'!$G$5:$G$1640,A804,'Bank Lines'!$J$5:$J$1640,1,'Bank Lines'!$C$5:$C$1640,"&lt;="&amp;Cover!$C$15),2)</f>
        <v>1104.46</v>
      </c>
      <c r="Z804" s="9">
        <f>ROUND(SUMIFS('Odoo Items'!$G$5:$G$4331,'Odoo Items'!$J$5:$J$4331,A804,'Odoo Items'!$C$5:$C$4331,"&lt;="&amp;Cover!$C$15),2)</f>
        <v>1104.46</v>
      </c>
      <c r="AA804">
        <f>COUNTIFS('Bank Lines'!$G$5:$G$1640,A804,'Bank Lines'!$J$5:$J$1640,1,'Bank Lines'!$C$5:$C$1640,"&lt;="&amp;Cover!$C$15)</f>
        <v>1</v>
      </c>
      <c r="AB804">
        <f>COUNTIFS('Odoo Items'!$J$5:$J$4331,A804,'Odoo Items'!$C$5:$C$4331,"&lt;="&amp;Cover!$C$15)</f>
        <v>1</v>
      </c>
      <c r="AC804" t="str">
        <f>IF(AND(AA804=0,AB804=0),"",IF(AA804=0,"ODOO-ONLY",IF(AB804=0,"BANK-ONLY","BOTH")))</f>
        <v>BOTH</v>
      </c>
      <c r="AD804" s="9">
        <f>IF(AC804="BOTH",ROUND(Y804-Z804,2),0)</f>
        <v>0</v>
      </c>
    </row>
    <row r="805">
      <c r="A805" t="inlineStr">
        <is>
          <t>G00801</t>
        </is>
      </c>
      <c r="B805" t="inlineStr">
        <is>
          <t>MER</t>
        </is>
      </c>
      <c r="C805" t="inlineStr">
        <is>
          <t>R08</t>
        </is>
      </c>
      <c r="D805" t="inlineStr">
        <is>
          <t>MATCH</t>
        </is>
      </c>
      <c r="E805" t="inlineStr"/>
      <c r="G805" t="inlineStr"/>
      <c r="H805">
        <f>COUNTIFS('Bank Lines'!$G$5:$G$1640,A805,'Bank Lines'!$J$5:$J$1640,1)</f>
        <v>1</v>
      </c>
      <c r="I805">
        <f>COUNTIFS('Odoo Items'!$J$5:$J$4331,A805)</f>
        <v>1</v>
      </c>
      <c r="J805" s="9">
        <f>ROUND(SUMIFS('Bank Lines'!$E$5:$E$1640,'Bank Lines'!$G$5:$G$1640,A805,'Bank Lines'!$J$5:$J$1640,1),2)</f>
        <v>1002.01</v>
      </c>
      <c r="K805" s="9">
        <f>ROUND(SUMIFS('Odoo Items'!$G$5:$G$4331,'Odoo Items'!$J$5:$J$4331,A805),2)</f>
        <v>1002.01</v>
      </c>
      <c r="L805" s="9">
        <f>ROUND(J805-K805,2)</f>
        <v>0</v>
      </c>
      <c r="M805" s="9">
        <f>ROUND(SUMIFS('Bank Lines'!$E$5:$E$1640,'Bank Lines'!$G$5:$G$1640,A805,'Bank Lines'!$J$5:$J$1640,1,'Bank Lines'!$C$5:$C$1640,"&lt;="&amp;Cover!$C$13),2)</f>
        <v>0</v>
      </c>
      <c r="N805" s="9">
        <f>ROUND(SUMIFS('Odoo Items'!$G$5:$G$4331,'Odoo Items'!$J$5:$J$4331,A805,'Odoo Items'!$C$5:$C$4331,"&lt;="&amp;Cover!$C$13),2)</f>
        <v>0</v>
      </c>
      <c r="O805">
        <f>COUNTIFS('Bank Lines'!$G$5:$G$1640,A805,'Bank Lines'!$J$5:$J$1640,1,'Bank Lines'!$C$5:$C$1640,"&lt;="&amp;Cover!$C$13)</f>
        <v>0</v>
      </c>
      <c r="P805">
        <f>COUNTIFS('Odoo Items'!$J$5:$J$4331,A805,'Odoo Items'!$C$5:$C$4331,"&lt;="&amp;Cover!$C$13)</f>
        <v>0</v>
      </c>
      <c r="Q805">
        <f>IF(AND(O805=0,P805=0),"",IF(O805=0,"ODOO-ONLY",IF(P805=0,"BANK-ONLY","BOTH")))</f>
      </c>
      <c r="R805" s="9">
        <f>IF(Q805="BOTH",ROUND(M805-N805,2),0)</f>
        <v>0</v>
      </c>
      <c r="S805" s="9">
        <f>ROUND(SUMIFS('Bank Lines'!$E$5:$E$1640,'Bank Lines'!$G$5:$G$1640,A805,'Bank Lines'!$J$5:$J$1640,1,'Bank Lines'!$C$5:$C$1640,"&lt;="&amp;Cover!$C$14),2)</f>
        <v>0</v>
      </c>
      <c r="T805" s="9">
        <f>ROUND(SUMIFS('Odoo Items'!$G$5:$G$4331,'Odoo Items'!$J$5:$J$4331,A805,'Odoo Items'!$C$5:$C$4331,"&lt;="&amp;Cover!$C$14),2)</f>
        <v>0</v>
      </c>
      <c r="U805">
        <f>COUNTIFS('Bank Lines'!$G$5:$G$1640,A805,'Bank Lines'!$J$5:$J$1640,1,'Bank Lines'!$C$5:$C$1640,"&lt;="&amp;Cover!$C$14)</f>
        <v>0</v>
      </c>
      <c r="V805">
        <f>COUNTIFS('Odoo Items'!$J$5:$J$4331,A805,'Odoo Items'!$C$5:$C$4331,"&lt;="&amp;Cover!$C$14)</f>
        <v>0</v>
      </c>
      <c r="W805">
        <f>IF(AND(U805=0,V805=0),"",IF(U805=0,"ODOO-ONLY",IF(V805=0,"BANK-ONLY","BOTH")))</f>
      </c>
      <c r="X805" s="9">
        <f>IF(W805="BOTH",ROUND(S805-T805,2),0)</f>
        <v>0</v>
      </c>
      <c r="Y805" s="9">
        <f>ROUND(SUMIFS('Bank Lines'!$E$5:$E$1640,'Bank Lines'!$G$5:$G$1640,A805,'Bank Lines'!$J$5:$J$1640,1,'Bank Lines'!$C$5:$C$1640,"&lt;="&amp;Cover!$C$15),2)</f>
        <v>1002.01</v>
      </c>
      <c r="Z805" s="9">
        <f>ROUND(SUMIFS('Odoo Items'!$G$5:$G$4331,'Odoo Items'!$J$5:$J$4331,A805,'Odoo Items'!$C$5:$C$4331,"&lt;="&amp;Cover!$C$15),2)</f>
        <v>1002.01</v>
      </c>
      <c r="AA805">
        <f>COUNTIFS('Bank Lines'!$G$5:$G$1640,A805,'Bank Lines'!$J$5:$J$1640,1,'Bank Lines'!$C$5:$C$1640,"&lt;="&amp;Cover!$C$15)</f>
        <v>1</v>
      </c>
      <c r="AB805">
        <f>COUNTIFS('Odoo Items'!$J$5:$J$4331,A805,'Odoo Items'!$C$5:$C$4331,"&lt;="&amp;Cover!$C$15)</f>
        <v>1</v>
      </c>
      <c r="AC805" t="str">
        <f>IF(AND(AA805=0,AB805=0),"",IF(AA805=0,"ODOO-ONLY",IF(AB805=0,"BANK-ONLY","BOTH")))</f>
        <v>BOTH</v>
      </c>
      <c r="AD805" s="9">
        <f>IF(AC805="BOTH",ROUND(Y805-Z805,2),0)</f>
        <v>0</v>
      </c>
    </row>
    <row r="806">
      <c r="A806" t="inlineStr">
        <is>
          <t>G00802</t>
        </is>
      </c>
      <c r="B806" t="inlineStr">
        <is>
          <t>MER</t>
        </is>
      </c>
      <c r="C806" t="inlineStr">
        <is>
          <t>R08</t>
        </is>
      </c>
      <c r="D806" t="inlineStr">
        <is>
          <t>MATCH</t>
        </is>
      </c>
      <c r="E806" t="inlineStr"/>
      <c r="G806" t="inlineStr"/>
      <c r="H806">
        <f>COUNTIFS('Bank Lines'!$G$5:$G$1640,A806,'Bank Lines'!$J$5:$J$1640,1)</f>
        <v>1</v>
      </c>
      <c r="I806">
        <f>COUNTIFS('Odoo Items'!$J$5:$J$4331,A806)</f>
        <v>1</v>
      </c>
      <c r="J806" s="9">
        <f>ROUND(SUMIFS('Bank Lines'!$E$5:$E$1640,'Bank Lines'!$G$5:$G$1640,A806,'Bank Lines'!$J$5:$J$1640,1),2)</f>
        <v>2689.72</v>
      </c>
      <c r="K806" s="9">
        <f>ROUND(SUMIFS('Odoo Items'!$G$5:$G$4331,'Odoo Items'!$J$5:$J$4331,A806),2)</f>
        <v>2689.72</v>
      </c>
      <c r="L806" s="9">
        <f>ROUND(J806-K806,2)</f>
        <v>0</v>
      </c>
      <c r="M806" s="9">
        <f>ROUND(SUMIFS('Bank Lines'!$E$5:$E$1640,'Bank Lines'!$G$5:$G$1640,A806,'Bank Lines'!$J$5:$J$1640,1,'Bank Lines'!$C$5:$C$1640,"&lt;="&amp;Cover!$C$13),2)</f>
        <v>0</v>
      </c>
      <c r="N806" s="9">
        <f>ROUND(SUMIFS('Odoo Items'!$G$5:$G$4331,'Odoo Items'!$J$5:$J$4331,A806,'Odoo Items'!$C$5:$C$4331,"&lt;="&amp;Cover!$C$13),2)</f>
        <v>0</v>
      </c>
      <c r="O806">
        <f>COUNTIFS('Bank Lines'!$G$5:$G$1640,A806,'Bank Lines'!$J$5:$J$1640,1,'Bank Lines'!$C$5:$C$1640,"&lt;="&amp;Cover!$C$13)</f>
        <v>0</v>
      </c>
      <c r="P806">
        <f>COUNTIFS('Odoo Items'!$J$5:$J$4331,A806,'Odoo Items'!$C$5:$C$4331,"&lt;="&amp;Cover!$C$13)</f>
        <v>0</v>
      </c>
      <c r="Q806">
        <f>IF(AND(O806=0,P806=0),"",IF(O806=0,"ODOO-ONLY",IF(P806=0,"BANK-ONLY","BOTH")))</f>
      </c>
      <c r="R806" s="9">
        <f>IF(Q806="BOTH",ROUND(M806-N806,2),0)</f>
        <v>0</v>
      </c>
      <c r="S806" s="9">
        <f>ROUND(SUMIFS('Bank Lines'!$E$5:$E$1640,'Bank Lines'!$G$5:$G$1640,A806,'Bank Lines'!$J$5:$J$1640,1,'Bank Lines'!$C$5:$C$1640,"&lt;="&amp;Cover!$C$14),2)</f>
        <v>0</v>
      </c>
      <c r="T806" s="9">
        <f>ROUND(SUMIFS('Odoo Items'!$G$5:$G$4331,'Odoo Items'!$J$5:$J$4331,A806,'Odoo Items'!$C$5:$C$4331,"&lt;="&amp;Cover!$C$14),2)</f>
        <v>0</v>
      </c>
      <c r="U806">
        <f>COUNTIFS('Bank Lines'!$G$5:$G$1640,A806,'Bank Lines'!$J$5:$J$1640,1,'Bank Lines'!$C$5:$C$1640,"&lt;="&amp;Cover!$C$14)</f>
        <v>0</v>
      </c>
      <c r="V806">
        <f>COUNTIFS('Odoo Items'!$J$5:$J$4331,A806,'Odoo Items'!$C$5:$C$4331,"&lt;="&amp;Cover!$C$14)</f>
        <v>0</v>
      </c>
      <c r="W806">
        <f>IF(AND(U806=0,V806=0),"",IF(U806=0,"ODOO-ONLY",IF(V806=0,"BANK-ONLY","BOTH")))</f>
      </c>
      <c r="X806" s="9">
        <f>IF(W806="BOTH",ROUND(S806-T806,2),0)</f>
        <v>0</v>
      </c>
      <c r="Y806" s="9">
        <f>ROUND(SUMIFS('Bank Lines'!$E$5:$E$1640,'Bank Lines'!$G$5:$G$1640,A806,'Bank Lines'!$J$5:$J$1640,1,'Bank Lines'!$C$5:$C$1640,"&lt;="&amp;Cover!$C$15),2)</f>
        <v>2689.72</v>
      </c>
      <c r="Z806" s="9">
        <f>ROUND(SUMIFS('Odoo Items'!$G$5:$G$4331,'Odoo Items'!$J$5:$J$4331,A806,'Odoo Items'!$C$5:$C$4331,"&lt;="&amp;Cover!$C$15),2)</f>
        <v>2689.72</v>
      </c>
      <c r="AA806">
        <f>COUNTIFS('Bank Lines'!$G$5:$G$1640,A806,'Bank Lines'!$J$5:$J$1640,1,'Bank Lines'!$C$5:$C$1640,"&lt;="&amp;Cover!$C$15)</f>
        <v>1</v>
      </c>
      <c r="AB806">
        <f>COUNTIFS('Odoo Items'!$J$5:$J$4331,A806,'Odoo Items'!$C$5:$C$4331,"&lt;="&amp;Cover!$C$15)</f>
        <v>1</v>
      </c>
      <c r="AC806" t="str">
        <f>IF(AND(AA806=0,AB806=0),"",IF(AA806=0,"ODOO-ONLY",IF(AB806=0,"BANK-ONLY","BOTH")))</f>
        <v>BOTH</v>
      </c>
      <c r="AD806" s="9">
        <f>IF(AC806="BOTH",ROUND(Y806-Z806,2),0)</f>
        <v>0</v>
      </c>
    </row>
    <row r="807">
      <c r="A807" t="inlineStr">
        <is>
          <t>G00803</t>
        </is>
      </c>
      <c r="B807" t="inlineStr">
        <is>
          <t>MER</t>
        </is>
      </c>
      <c r="C807" t="inlineStr">
        <is>
          <t>R08</t>
        </is>
      </c>
      <c r="D807" t="inlineStr">
        <is>
          <t>MATCH</t>
        </is>
      </c>
      <c r="E807" t="inlineStr"/>
      <c r="G807" t="inlineStr"/>
      <c r="H807">
        <f>COUNTIFS('Bank Lines'!$G$5:$G$1640,A807,'Bank Lines'!$J$5:$J$1640,1)</f>
        <v>1</v>
      </c>
      <c r="I807">
        <f>COUNTIFS('Odoo Items'!$J$5:$J$4331,A807)</f>
        <v>1</v>
      </c>
      <c r="J807" s="9">
        <f>ROUND(SUMIFS('Bank Lines'!$E$5:$E$1640,'Bank Lines'!$G$5:$G$1640,A807,'Bank Lines'!$J$5:$J$1640,1),2)</f>
        <v>2353.84</v>
      </c>
      <c r="K807" s="9">
        <f>ROUND(SUMIFS('Odoo Items'!$G$5:$G$4331,'Odoo Items'!$J$5:$J$4331,A807),2)</f>
        <v>2353.84</v>
      </c>
      <c r="L807" s="9">
        <f>ROUND(J807-K807,2)</f>
        <v>0</v>
      </c>
      <c r="M807" s="9">
        <f>ROUND(SUMIFS('Bank Lines'!$E$5:$E$1640,'Bank Lines'!$G$5:$G$1640,A807,'Bank Lines'!$J$5:$J$1640,1,'Bank Lines'!$C$5:$C$1640,"&lt;="&amp;Cover!$C$13),2)</f>
        <v>0</v>
      </c>
      <c r="N807" s="9">
        <f>ROUND(SUMIFS('Odoo Items'!$G$5:$G$4331,'Odoo Items'!$J$5:$J$4331,A807,'Odoo Items'!$C$5:$C$4331,"&lt;="&amp;Cover!$C$13),2)</f>
        <v>0</v>
      </c>
      <c r="O807">
        <f>COUNTIFS('Bank Lines'!$G$5:$G$1640,A807,'Bank Lines'!$J$5:$J$1640,1,'Bank Lines'!$C$5:$C$1640,"&lt;="&amp;Cover!$C$13)</f>
        <v>0</v>
      </c>
      <c r="P807">
        <f>COUNTIFS('Odoo Items'!$J$5:$J$4331,A807,'Odoo Items'!$C$5:$C$4331,"&lt;="&amp;Cover!$C$13)</f>
        <v>0</v>
      </c>
      <c r="Q807">
        <f>IF(AND(O807=0,P807=0),"",IF(O807=0,"ODOO-ONLY",IF(P807=0,"BANK-ONLY","BOTH")))</f>
      </c>
      <c r="R807" s="9">
        <f>IF(Q807="BOTH",ROUND(M807-N807,2),0)</f>
        <v>0</v>
      </c>
      <c r="S807" s="9">
        <f>ROUND(SUMIFS('Bank Lines'!$E$5:$E$1640,'Bank Lines'!$G$5:$G$1640,A807,'Bank Lines'!$J$5:$J$1640,1,'Bank Lines'!$C$5:$C$1640,"&lt;="&amp;Cover!$C$14),2)</f>
        <v>0</v>
      </c>
      <c r="T807" s="9">
        <f>ROUND(SUMIFS('Odoo Items'!$G$5:$G$4331,'Odoo Items'!$J$5:$J$4331,A807,'Odoo Items'!$C$5:$C$4331,"&lt;="&amp;Cover!$C$14),2)</f>
        <v>0</v>
      </c>
      <c r="U807">
        <f>COUNTIFS('Bank Lines'!$G$5:$G$1640,A807,'Bank Lines'!$J$5:$J$1640,1,'Bank Lines'!$C$5:$C$1640,"&lt;="&amp;Cover!$C$14)</f>
        <v>0</v>
      </c>
      <c r="V807">
        <f>COUNTIFS('Odoo Items'!$J$5:$J$4331,A807,'Odoo Items'!$C$5:$C$4331,"&lt;="&amp;Cover!$C$14)</f>
        <v>0</v>
      </c>
      <c r="W807">
        <f>IF(AND(U807=0,V807=0),"",IF(U807=0,"ODOO-ONLY",IF(V807=0,"BANK-ONLY","BOTH")))</f>
      </c>
      <c r="X807" s="9">
        <f>IF(W807="BOTH",ROUND(S807-T807,2),0)</f>
        <v>0</v>
      </c>
      <c r="Y807" s="9">
        <f>ROUND(SUMIFS('Bank Lines'!$E$5:$E$1640,'Bank Lines'!$G$5:$G$1640,A807,'Bank Lines'!$J$5:$J$1640,1,'Bank Lines'!$C$5:$C$1640,"&lt;="&amp;Cover!$C$15),2)</f>
        <v>2353.84</v>
      </c>
      <c r="Z807" s="9">
        <f>ROUND(SUMIFS('Odoo Items'!$G$5:$G$4331,'Odoo Items'!$J$5:$J$4331,A807,'Odoo Items'!$C$5:$C$4331,"&lt;="&amp;Cover!$C$15),2)</f>
        <v>2353.84</v>
      </c>
      <c r="AA807">
        <f>COUNTIFS('Bank Lines'!$G$5:$G$1640,A807,'Bank Lines'!$J$5:$J$1640,1,'Bank Lines'!$C$5:$C$1640,"&lt;="&amp;Cover!$C$15)</f>
        <v>1</v>
      </c>
      <c r="AB807">
        <f>COUNTIFS('Odoo Items'!$J$5:$J$4331,A807,'Odoo Items'!$C$5:$C$4331,"&lt;="&amp;Cover!$C$15)</f>
        <v>1</v>
      </c>
      <c r="AC807" t="str">
        <f>IF(AND(AA807=0,AB807=0),"",IF(AA807=0,"ODOO-ONLY",IF(AB807=0,"BANK-ONLY","BOTH")))</f>
        <v>BOTH</v>
      </c>
      <c r="AD807" s="9">
        <f>IF(AC807="BOTH",ROUND(Y807-Z807,2),0)</f>
        <v>0</v>
      </c>
    </row>
    <row r="808">
      <c r="A808" t="inlineStr">
        <is>
          <t>G00804</t>
        </is>
      </c>
      <c r="B808" t="inlineStr">
        <is>
          <t>MER</t>
        </is>
      </c>
      <c r="C808" t="inlineStr">
        <is>
          <t>R08</t>
        </is>
      </c>
      <c r="D808" t="inlineStr">
        <is>
          <t>MATCH</t>
        </is>
      </c>
      <c r="E808" t="inlineStr"/>
      <c r="G808" t="inlineStr"/>
      <c r="H808">
        <f>COUNTIFS('Bank Lines'!$G$5:$G$1640,A808,'Bank Lines'!$J$5:$J$1640,1)</f>
        <v>1</v>
      </c>
      <c r="I808">
        <f>COUNTIFS('Odoo Items'!$J$5:$J$4331,A808)</f>
        <v>1</v>
      </c>
      <c r="J808" s="9">
        <f>ROUND(SUMIFS('Bank Lines'!$E$5:$E$1640,'Bank Lines'!$G$5:$G$1640,A808,'Bank Lines'!$J$5:$J$1640,1),2)</f>
        <v>3249.06</v>
      </c>
      <c r="K808" s="9">
        <f>ROUND(SUMIFS('Odoo Items'!$G$5:$G$4331,'Odoo Items'!$J$5:$J$4331,A808),2)</f>
        <v>3249.06</v>
      </c>
      <c r="L808" s="9">
        <f>ROUND(J808-K808,2)</f>
        <v>0</v>
      </c>
      <c r="M808" s="9">
        <f>ROUND(SUMIFS('Bank Lines'!$E$5:$E$1640,'Bank Lines'!$G$5:$G$1640,A808,'Bank Lines'!$J$5:$J$1640,1,'Bank Lines'!$C$5:$C$1640,"&lt;="&amp;Cover!$C$13),2)</f>
        <v>0</v>
      </c>
      <c r="N808" s="9">
        <f>ROUND(SUMIFS('Odoo Items'!$G$5:$G$4331,'Odoo Items'!$J$5:$J$4331,A808,'Odoo Items'!$C$5:$C$4331,"&lt;="&amp;Cover!$C$13),2)</f>
        <v>0</v>
      </c>
      <c r="O808">
        <f>COUNTIFS('Bank Lines'!$G$5:$G$1640,A808,'Bank Lines'!$J$5:$J$1640,1,'Bank Lines'!$C$5:$C$1640,"&lt;="&amp;Cover!$C$13)</f>
        <v>0</v>
      </c>
      <c r="P808">
        <f>COUNTIFS('Odoo Items'!$J$5:$J$4331,A808,'Odoo Items'!$C$5:$C$4331,"&lt;="&amp;Cover!$C$13)</f>
        <v>0</v>
      </c>
      <c r="Q808">
        <f>IF(AND(O808=0,P808=0),"",IF(O808=0,"ODOO-ONLY",IF(P808=0,"BANK-ONLY","BOTH")))</f>
      </c>
      <c r="R808" s="9">
        <f>IF(Q808="BOTH",ROUND(M808-N808,2),0)</f>
        <v>0</v>
      </c>
      <c r="S808" s="9">
        <f>ROUND(SUMIFS('Bank Lines'!$E$5:$E$1640,'Bank Lines'!$G$5:$G$1640,A808,'Bank Lines'!$J$5:$J$1640,1,'Bank Lines'!$C$5:$C$1640,"&lt;="&amp;Cover!$C$14),2)</f>
        <v>0</v>
      </c>
      <c r="T808" s="9">
        <f>ROUND(SUMIFS('Odoo Items'!$G$5:$G$4331,'Odoo Items'!$J$5:$J$4331,A808,'Odoo Items'!$C$5:$C$4331,"&lt;="&amp;Cover!$C$14),2)</f>
        <v>0</v>
      </c>
      <c r="U808">
        <f>COUNTIFS('Bank Lines'!$G$5:$G$1640,A808,'Bank Lines'!$J$5:$J$1640,1,'Bank Lines'!$C$5:$C$1640,"&lt;="&amp;Cover!$C$14)</f>
        <v>0</v>
      </c>
      <c r="V808">
        <f>COUNTIFS('Odoo Items'!$J$5:$J$4331,A808,'Odoo Items'!$C$5:$C$4331,"&lt;="&amp;Cover!$C$14)</f>
        <v>0</v>
      </c>
      <c r="W808">
        <f>IF(AND(U808=0,V808=0),"",IF(U808=0,"ODOO-ONLY",IF(V808=0,"BANK-ONLY","BOTH")))</f>
      </c>
      <c r="X808" s="9">
        <f>IF(W808="BOTH",ROUND(S808-T808,2),0)</f>
        <v>0</v>
      </c>
      <c r="Y808" s="9">
        <f>ROUND(SUMIFS('Bank Lines'!$E$5:$E$1640,'Bank Lines'!$G$5:$G$1640,A808,'Bank Lines'!$J$5:$J$1640,1,'Bank Lines'!$C$5:$C$1640,"&lt;="&amp;Cover!$C$15),2)</f>
        <v>3249.06</v>
      </c>
      <c r="Z808" s="9">
        <f>ROUND(SUMIFS('Odoo Items'!$G$5:$G$4331,'Odoo Items'!$J$5:$J$4331,A808,'Odoo Items'!$C$5:$C$4331,"&lt;="&amp;Cover!$C$15),2)</f>
        <v>3249.06</v>
      </c>
      <c r="AA808">
        <f>COUNTIFS('Bank Lines'!$G$5:$G$1640,A808,'Bank Lines'!$J$5:$J$1640,1,'Bank Lines'!$C$5:$C$1640,"&lt;="&amp;Cover!$C$15)</f>
        <v>1</v>
      </c>
      <c r="AB808">
        <f>COUNTIFS('Odoo Items'!$J$5:$J$4331,A808,'Odoo Items'!$C$5:$C$4331,"&lt;="&amp;Cover!$C$15)</f>
        <v>1</v>
      </c>
      <c r="AC808" t="str">
        <f>IF(AND(AA808=0,AB808=0),"",IF(AA808=0,"ODOO-ONLY",IF(AB808=0,"BANK-ONLY","BOTH")))</f>
        <v>BOTH</v>
      </c>
      <c r="AD808" s="9">
        <f>IF(AC808="BOTH",ROUND(Y808-Z808,2),0)</f>
        <v>0</v>
      </c>
    </row>
    <row r="809">
      <c r="A809" t="inlineStr">
        <is>
          <t>G00805</t>
        </is>
      </c>
      <c r="B809" t="inlineStr">
        <is>
          <t>MER</t>
        </is>
      </c>
      <c r="C809" t="inlineStr">
        <is>
          <t>R08</t>
        </is>
      </c>
      <c r="D809" t="inlineStr">
        <is>
          <t>MATCH</t>
        </is>
      </c>
      <c r="E809" t="inlineStr"/>
      <c r="G809" t="inlineStr"/>
      <c r="H809">
        <f>COUNTIFS('Bank Lines'!$G$5:$G$1640,A809,'Bank Lines'!$J$5:$J$1640,1)</f>
        <v>1</v>
      </c>
      <c r="I809">
        <f>COUNTIFS('Odoo Items'!$J$5:$J$4331,A809)</f>
        <v>1</v>
      </c>
      <c r="J809" s="9">
        <f>ROUND(SUMIFS('Bank Lines'!$E$5:$E$1640,'Bank Lines'!$G$5:$G$1640,A809,'Bank Lines'!$J$5:$J$1640,1),2)</f>
        <v>2190.67</v>
      </c>
      <c r="K809" s="9">
        <f>ROUND(SUMIFS('Odoo Items'!$G$5:$G$4331,'Odoo Items'!$J$5:$J$4331,A809),2)</f>
        <v>2190.67</v>
      </c>
      <c r="L809" s="9">
        <f>ROUND(J809-K809,2)</f>
        <v>0</v>
      </c>
      <c r="M809" s="9">
        <f>ROUND(SUMIFS('Bank Lines'!$E$5:$E$1640,'Bank Lines'!$G$5:$G$1640,A809,'Bank Lines'!$J$5:$J$1640,1,'Bank Lines'!$C$5:$C$1640,"&lt;="&amp;Cover!$C$13),2)</f>
        <v>0</v>
      </c>
      <c r="N809" s="9">
        <f>ROUND(SUMIFS('Odoo Items'!$G$5:$G$4331,'Odoo Items'!$J$5:$J$4331,A809,'Odoo Items'!$C$5:$C$4331,"&lt;="&amp;Cover!$C$13),2)</f>
        <v>0</v>
      </c>
      <c r="O809">
        <f>COUNTIFS('Bank Lines'!$G$5:$G$1640,A809,'Bank Lines'!$J$5:$J$1640,1,'Bank Lines'!$C$5:$C$1640,"&lt;="&amp;Cover!$C$13)</f>
        <v>0</v>
      </c>
      <c r="P809">
        <f>COUNTIFS('Odoo Items'!$J$5:$J$4331,A809,'Odoo Items'!$C$5:$C$4331,"&lt;="&amp;Cover!$C$13)</f>
        <v>0</v>
      </c>
      <c r="Q809">
        <f>IF(AND(O809=0,P809=0),"",IF(O809=0,"ODOO-ONLY",IF(P809=0,"BANK-ONLY","BOTH")))</f>
      </c>
      <c r="R809" s="9">
        <f>IF(Q809="BOTH",ROUND(M809-N809,2),0)</f>
        <v>0</v>
      </c>
      <c r="S809" s="9">
        <f>ROUND(SUMIFS('Bank Lines'!$E$5:$E$1640,'Bank Lines'!$G$5:$G$1640,A809,'Bank Lines'!$J$5:$J$1640,1,'Bank Lines'!$C$5:$C$1640,"&lt;="&amp;Cover!$C$14),2)</f>
        <v>0</v>
      </c>
      <c r="T809" s="9">
        <f>ROUND(SUMIFS('Odoo Items'!$G$5:$G$4331,'Odoo Items'!$J$5:$J$4331,A809,'Odoo Items'!$C$5:$C$4331,"&lt;="&amp;Cover!$C$14),2)</f>
        <v>0</v>
      </c>
      <c r="U809">
        <f>COUNTIFS('Bank Lines'!$G$5:$G$1640,A809,'Bank Lines'!$J$5:$J$1640,1,'Bank Lines'!$C$5:$C$1640,"&lt;="&amp;Cover!$C$14)</f>
        <v>0</v>
      </c>
      <c r="V809">
        <f>COUNTIFS('Odoo Items'!$J$5:$J$4331,A809,'Odoo Items'!$C$5:$C$4331,"&lt;="&amp;Cover!$C$14)</f>
        <v>0</v>
      </c>
      <c r="W809">
        <f>IF(AND(U809=0,V809=0),"",IF(U809=0,"ODOO-ONLY",IF(V809=0,"BANK-ONLY","BOTH")))</f>
      </c>
      <c r="X809" s="9">
        <f>IF(W809="BOTH",ROUND(S809-T809,2),0)</f>
        <v>0</v>
      </c>
      <c r="Y809" s="9">
        <f>ROUND(SUMIFS('Bank Lines'!$E$5:$E$1640,'Bank Lines'!$G$5:$G$1640,A809,'Bank Lines'!$J$5:$J$1640,1,'Bank Lines'!$C$5:$C$1640,"&lt;="&amp;Cover!$C$15),2)</f>
        <v>2190.67</v>
      </c>
      <c r="Z809" s="9">
        <f>ROUND(SUMIFS('Odoo Items'!$G$5:$G$4331,'Odoo Items'!$J$5:$J$4331,A809,'Odoo Items'!$C$5:$C$4331,"&lt;="&amp;Cover!$C$15),2)</f>
        <v>2190.67</v>
      </c>
      <c r="AA809">
        <f>COUNTIFS('Bank Lines'!$G$5:$G$1640,A809,'Bank Lines'!$J$5:$J$1640,1,'Bank Lines'!$C$5:$C$1640,"&lt;="&amp;Cover!$C$15)</f>
        <v>1</v>
      </c>
      <c r="AB809">
        <f>COUNTIFS('Odoo Items'!$J$5:$J$4331,A809,'Odoo Items'!$C$5:$C$4331,"&lt;="&amp;Cover!$C$15)</f>
        <v>1</v>
      </c>
      <c r="AC809" t="str">
        <f>IF(AND(AA809=0,AB809=0),"",IF(AA809=0,"ODOO-ONLY",IF(AB809=0,"BANK-ONLY","BOTH")))</f>
        <v>BOTH</v>
      </c>
      <c r="AD809" s="9">
        <f>IF(AC809="BOTH",ROUND(Y809-Z809,2),0)</f>
        <v>0</v>
      </c>
    </row>
    <row r="810">
      <c r="A810" t="inlineStr">
        <is>
          <t>G00806</t>
        </is>
      </c>
      <c r="B810" t="inlineStr">
        <is>
          <t>MER</t>
        </is>
      </c>
      <c r="C810" t="inlineStr">
        <is>
          <t>R08</t>
        </is>
      </c>
      <c r="D810" t="inlineStr">
        <is>
          <t>MATCH</t>
        </is>
      </c>
      <c r="E810" t="inlineStr"/>
      <c r="G810" t="inlineStr"/>
      <c r="H810">
        <f>COUNTIFS('Bank Lines'!$G$5:$G$1640,A810,'Bank Lines'!$J$5:$J$1640,1)</f>
        <v>1</v>
      </c>
      <c r="I810">
        <f>COUNTIFS('Odoo Items'!$J$5:$J$4331,A810)</f>
        <v>1</v>
      </c>
      <c r="J810" s="9">
        <f>ROUND(SUMIFS('Bank Lines'!$E$5:$E$1640,'Bank Lines'!$G$5:$G$1640,A810,'Bank Lines'!$J$5:$J$1640,1),2)</f>
        <v>2376.6</v>
      </c>
      <c r="K810" s="9">
        <f>ROUND(SUMIFS('Odoo Items'!$G$5:$G$4331,'Odoo Items'!$J$5:$J$4331,A810),2)</f>
        <v>2376.6</v>
      </c>
      <c r="L810" s="9">
        <f>ROUND(J810-K810,2)</f>
        <v>0</v>
      </c>
      <c r="M810" s="9">
        <f>ROUND(SUMIFS('Bank Lines'!$E$5:$E$1640,'Bank Lines'!$G$5:$G$1640,A810,'Bank Lines'!$J$5:$J$1640,1,'Bank Lines'!$C$5:$C$1640,"&lt;="&amp;Cover!$C$13),2)</f>
        <v>0</v>
      </c>
      <c r="N810" s="9">
        <f>ROUND(SUMIFS('Odoo Items'!$G$5:$G$4331,'Odoo Items'!$J$5:$J$4331,A810,'Odoo Items'!$C$5:$C$4331,"&lt;="&amp;Cover!$C$13),2)</f>
        <v>0</v>
      </c>
      <c r="O810">
        <f>COUNTIFS('Bank Lines'!$G$5:$G$1640,A810,'Bank Lines'!$J$5:$J$1640,1,'Bank Lines'!$C$5:$C$1640,"&lt;="&amp;Cover!$C$13)</f>
        <v>0</v>
      </c>
      <c r="P810">
        <f>COUNTIFS('Odoo Items'!$J$5:$J$4331,A810,'Odoo Items'!$C$5:$C$4331,"&lt;="&amp;Cover!$C$13)</f>
        <v>0</v>
      </c>
      <c r="Q810">
        <f>IF(AND(O810=0,P810=0),"",IF(O810=0,"ODOO-ONLY",IF(P810=0,"BANK-ONLY","BOTH")))</f>
      </c>
      <c r="R810" s="9">
        <f>IF(Q810="BOTH",ROUND(M810-N810,2),0)</f>
        <v>0</v>
      </c>
      <c r="S810" s="9">
        <f>ROUND(SUMIFS('Bank Lines'!$E$5:$E$1640,'Bank Lines'!$G$5:$G$1640,A810,'Bank Lines'!$J$5:$J$1640,1,'Bank Lines'!$C$5:$C$1640,"&lt;="&amp;Cover!$C$14),2)</f>
        <v>0</v>
      </c>
      <c r="T810" s="9">
        <f>ROUND(SUMIFS('Odoo Items'!$G$5:$G$4331,'Odoo Items'!$J$5:$J$4331,A810,'Odoo Items'!$C$5:$C$4331,"&lt;="&amp;Cover!$C$14),2)</f>
        <v>0</v>
      </c>
      <c r="U810">
        <f>COUNTIFS('Bank Lines'!$G$5:$G$1640,A810,'Bank Lines'!$J$5:$J$1640,1,'Bank Lines'!$C$5:$C$1640,"&lt;="&amp;Cover!$C$14)</f>
        <v>0</v>
      </c>
      <c r="V810">
        <f>COUNTIFS('Odoo Items'!$J$5:$J$4331,A810,'Odoo Items'!$C$5:$C$4331,"&lt;="&amp;Cover!$C$14)</f>
        <v>0</v>
      </c>
      <c r="W810">
        <f>IF(AND(U810=0,V810=0),"",IF(U810=0,"ODOO-ONLY",IF(V810=0,"BANK-ONLY","BOTH")))</f>
      </c>
      <c r="X810" s="9">
        <f>IF(W810="BOTH",ROUND(S810-T810,2),0)</f>
        <v>0</v>
      </c>
      <c r="Y810" s="9">
        <f>ROUND(SUMIFS('Bank Lines'!$E$5:$E$1640,'Bank Lines'!$G$5:$G$1640,A810,'Bank Lines'!$J$5:$J$1640,1,'Bank Lines'!$C$5:$C$1640,"&lt;="&amp;Cover!$C$15),2)</f>
        <v>2376.6</v>
      </c>
      <c r="Z810" s="9">
        <f>ROUND(SUMIFS('Odoo Items'!$G$5:$G$4331,'Odoo Items'!$J$5:$J$4331,A810,'Odoo Items'!$C$5:$C$4331,"&lt;="&amp;Cover!$C$15),2)</f>
        <v>2376.6</v>
      </c>
      <c r="AA810">
        <f>COUNTIFS('Bank Lines'!$G$5:$G$1640,A810,'Bank Lines'!$J$5:$J$1640,1,'Bank Lines'!$C$5:$C$1640,"&lt;="&amp;Cover!$C$15)</f>
        <v>1</v>
      </c>
      <c r="AB810">
        <f>COUNTIFS('Odoo Items'!$J$5:$J$4331,A810,'Odoo Items'!$C$5:$C$4331,"&lt;="&amp;Cover!$C$15)</f>
        <v>1</v>
      </c>
      <c r="AC810" t="str">
        <f>IF(AND(AA810=0,AB810=0),"",IF(AA810=0,"ODOO-ONLY",IF(AB810=0,"BANK-ONLY","BOTH")))</f>
        <v>BOTH</v>
      </c>
      <c r="AD810" s="9">
        <f>IF(AC810="BOTH",ROUND(Y810-Z810,2),0)</f>
        <v>0</v>
      </c>
    </row>
    <row r="811">
      <c r="A811" t="inlineStr">
        <is>
          <t>G00807</t>
        </is>
      </c>
      <c r="B811" t="inlineStr">
        <is>
          <t>MER</t>
        </is>
      </c>
      <c r="C811" t="inlineStr">
        <is>
          <t>R08</t>
        </is>
      </c>
      <c r="D811" t="inlineStr">
        <is>
          <t>MATCH</t>
        </is>
      </c>
      <c r="E811" t="inlineStr"/>
      <c r="G811" t="inlineStr"/>
      <c r="H811">
        <f>COUNTIFS('Bank Lines'!$G$5:$G$1640,A811,'Bank Lines'!$J$5:$J$1640,1)</f>
        <v>1</v>
      </c>
      <c r="I811">
        <f>COUNTIFS('Odoo Items'!$J$5:$J$4331,A811)</f>
        <v>1</v>
      </c>
      <c r="J811" s="9">
        <f>ROUND(SUMIFS('Bank Lines'!$E$5:$E$1640,'Bank Lines'!$G$5:$G$1640,A811,'Bank Lines'!$J$5:$J$1640,1),2)</f>
        <v>2594.28</v>
      </c>
      <c r="K811" s="9">
        <f>ROUND(SUMIFS('Odoo Items'!$G$5:$G$4331,'Odoo Items'!$J$5:$J$4331,A811),2)</f>
        <v>2594.28</v>
      </c>
      <c r="L811" s="9">
        <f>ROUND(J811-K811,2)</f>
        <v>0</v>
      </c>
      <c r="M811" s="9">
        <f>ROUND(SUMIFS('Bank Lines'!$E$5:$E$1640,'Bank Lines'!$G$5:$G$1640,A811,'Bank Lines'!$J$5:$J$1640,1,'Bank Lines'!$C$5:$C$1640,"&lt;="&amp;Cover!$C$13),2)</f>
        <v>0</v>
      </c>
      <c r="N811" s="9">
        <f>ROUND(SUMIFS('Odoo Items'!$G$5:$G$4331,'Odoo Items'!$J$5:$J$4331,A811,'Odoo Items'!$C$5:$C$4331,"&lt;="&amp;Cover!$C$13),2)</f>
        <v>0</v>
      </c>
      <c r="O811">
        <f>COUNTIFS('Bank Lines'!$G$5:$G$1640,A811,'Bank Lines'!$J$5:$J$1640,1,'Bank Lines'!$C$5:$C$1640,"&lt;="&amp;Cover!$C$13)</f>
        <v>0</v>
      </c>
      <c r="P811">
        <f>COUNTIFS('Odoo Items'!$J$5:$J$4331,A811,'Odoo Items'!$C$5:$C$4331,"&lt;="&amp;Cover!$C$13)</f>
        <v>0</v>
      </c>
      <c r="Q811">
        <f>IF(AND(O811=0,P811=0),"",IF(O811=0,"ODOO-ONLY",IF(P811=0,"BANK-ONLY","BOTH")))</f>
      </c>
      <c r="R811" s="9">
        <f>IF(Q811="BOTH",ROUND(M811-N811,2),0)</f>
        <v>0</v>
      </c>
      <c r="S811" s="9">
        <f>ROUND(SUMIFS('Bank Lines'!$E$5:$E$1640,'Bank Lines'!$G$5:$G$1640,A811,'Bank Lines'!$J$5:$J$1640,1,'Bank Lines'!$C$5:$C$1640,"&lt;="&amp;Cover!$C$14),2)</f>
        <v>0</v>
      </c>
      <c r="T811" s="9">
        <f>ROUND(SUMIFS('Odoo Items'!$G$5:$G$4331,'Odoo Items'!$J$5:$J$4331,A811,'Odoo Items'!$C$5:$C$4331,"&lt;="&amp;Cover!$C$14),2)</f>
        <v>0</v>
      </c>
      <c r="U811">
        <f>COUNTIFS('Bank Lines'!$G$5:$G$1640,A811,'Bank Lines'!$J$5:$J$1640,1,'Bank Lines'!$C$5:$C$1640,"&lt;="&amp;Cover!$C$14)</f>
        <v>0</v>
      </c>
      <c r="V811">
        <f>COUNTIFS('Odoo Items'!$J$5:$J$4331,A811,'Odoo Items'!$C$5:$C$4331,"&lt;="&amp;Cover!$C$14)</f>
        <v>0</v>
      </c>
      <c r="W811">
        <f>IF(AND(U811=0,V811=0),"",IF(U811=0,"ODOO-ONLY",IF(V811=0,"BANK-ONLY","BOTH")))</f>
      </c>
      <c r="X811" s="9">
        <f>IF(W811="BOTH",ROUND(S811-T811,2),0)</f>
        <v>0</v>
      </c>
      <c r="Y811" s="9">
        <f>ROUND(SUMIFS('Bank Lines'!$E$5:$E$1640,'Bank Lines'!$G$5:$G$1640,A811,'Bank Lines'!$J$5:$J$1640,1,'Bank Lines'!$C$5:$C$1640,"&lt;="&amp;Cover!$C$15),2)</f>
        <v>2594.28</v>
      </c>
      <c r="Z811" s="9">
        <f>ROUND(SUMIFS('Odoo Items'!$G$5:$G$4331,'Odoo Items'!$J$5:$J$4331,A811,'Odoo Items'!$C$5:$C$4331,"&lt;="&amp;Cover!$C$15),2)</f>
        <v>2594.28</v>
      </c>
      <c r="AA811">
        <f>COUNTIFS('Bank Lines'!$G$5:$G$1640,A811,'Bank Lines'!$J$5:$J$1640,1,'Bank Lines'!$C$5:$C$1640,"&lt;="&amp;Cover!$C$15)</f>
        <v>1</v>
      </c>
      <c r="AB811">
        <f>COUNTIFS('Odoo Items'!$J$5:$J$4331,A811,'Odoo Items'!$C$5:$C$4331,"&lt;="&amp;Cover!$C$15)</f>
        <v>1</v>
      </c>
      <c r="AC811" t="str">
        <f>IF(AND(AA811=0,AB811=0),"",IF(AA811=0,"ODOO-ONLY",IF(AB811=0,"BANK-ONLY","BOTH")))</f>
        <v>BOTH</v>
      </c>
      <c r="AD811" s="9">
        <f>IF(AC811="BOTH",ROUND(Y811-Z811,2),0)</f>
        <v>0</v>
      </c>
    </row>
    <row r="812">
      <c r="A812" t="inlineStr">
        <is>
          <t>G00808</t>
        </is>
      </c>
      <c r="B812" t="inlineStr">
        <is>
          <t>MER</t>
        </is>
      </c>
      <c r="C812" t="inlineStr">
        <is>
          <t>R08</t>
        </is>
      </c>
      <c r="D812" t="inlineStr">
        <is>
          <t>MATCH</t>
        </is>
      </c>
      <c r="E812" t="inlineStr"/>
      <c r="G812" t="inlineStr"/>
      <c r="H812">
        <f>COUNTIFS('Bank Lines'!$G$5:$G$1640,A812,'Bank Lines'!$J$5:$J$1640,1)</f>
        <v>1</v>
      </c>
      <c r="I812">
        <f>COUNTIFS('Odoo Items'!$J$5:$J$4331,A812)</f>
        <v>1</v>
      </c>
      <c r="J812" s="9">
        <f>ROUND(SUMIFS('Bank Lines'!$E$5:$E$1640,'Bank Lines'!$G$5:$G$1640,A812,'Bank Lines'!$J$5:$J$1640,1),2)</f>
        <v>1962.87</v>
      </c>
      <c r="K812" s="9">
        <f>ROUND(SUMIFS('Odoo Items'!$G$5:$G$4331,'Odoo Items'!$J$5:$J$4331,A812),2)</f>
        <v>1962.87</v>
      </c>
      <c r="L812" s="9">
        <f>ROUND(J812-K812,2)</f>
        <v>0</v>
      </c>
      <c r="M812" s="9">
        <f>ROUND(SUMIFS('Bank Lines'!$E$5:$E$1640,'Bank Lines'!$G$5:$G$1640,A812,'Bank Lines'!$J$5:$J$1640,1,'Bank Lines'!$C$5:$C$1640,"&lt;="&amp;Cover!$C$13),2)</f>
        <v>0</v>
      </c>
      <c r="N812" s="9">
        <f>ROUND(SUMIFS('Odoo Items'!$G$5:$G$4331,'Odoo Items'!$J$5:$J$4331,A812,'Odoo Items'!$C$5:$C$4331,"&lt;="&amp;Cover!$C$13),2)</f>
        <v>0</v>
      </c>
      <c r="O812">
        <f>COUNTIFS('Bank Lines'!$G$5:$G$1640,A812,'Bank Lines'!$J$5:$J$1640,1,'Bank Lines'!$C$5:$C$1640,"&lt;="&amp;Cover!$C$13)</f>
        <v>0</v>
      </c>
      <c r="P812">
        <f>COUNTIFS('Odoo Items'!$J$5:$J$4331,A812,'Odoo Items'!$C$5:$C$4331,"&lt;="&amp;Cover!$C$13)</f>
        <v>0</v>
      </c>
      <c r="Q812">
        <f>IF(AND(O812=0,P812=0),"",IF(O812=0,"ODOO-ONLY",IF(P812=0,"BANK-ONLY","BOTH")))</f>
      </c>
      <c r="R812" s="9">
        <f>IF(Q812="BOTH",ROUND(M812-N812,2),0)</f>
        <v>0</v>
      </c>
      <c r="S812" s="9">
        <f>ROUND(SUMIFS('Bank Lines'!$E$5:$E$1640,'Bank Lines'!$G$5:$G$1640,A812,'Bank Lines'!$J$5:$J$1640,1,'Bank Lines'!$C$5:$C$1640,"&lt;="&amp;Cover!$C$14),2)</f>
        <v>0</v>
      </c>
      <c r="T812" s="9">
        <f>ROUND(SUMIFS('Odoo Items'!$G$5:$G$4331,'Odoo Items'!$J$5:$J$4331,A812,'Odoo Items'!$C$5:$C$4331,"&lt;="&amp;Cover!$C$14),2)</f>
        <v>0</v>
      </c>
      <c r="U812">
        <f>COUNTIFS('Bank Lines'!$G$5:$G$1640,A812,'Bank Lines'!$J$5:$J$1640,1,'Bank Lines'!$C$5:$C$1640,"&lt;="&amp;Cover!$C$14)</f>
        <v>0</v>
      </c>
      <c r="V812">
        <f>COUNTIFS('Odoo Items'!$J$5:$J$4331,A812,'Odoo Items'!$C$5:$C$4331,"&lt;="&amp;Cover!$C$14)</f>
        <v>0</v>
      </c>
      <c r="W812">
        <f>IF(AND(U812=0,V812=0),"",IF(U812=0,"ODOO-ONLY",IF(V812=0,"BANK-ONLY","BOTH")))</f>
      </c>
      <c r="X812" s="9">
        <f>IF(W812="BOTH",ROUND(S812-T812,2),0)</f>
        <v>0</v>
      </c>
      <c r="Y812" s="9">
        <f>ROUND(SUMIFS('Bank Lines'!$E$5:$E$1640,'Bank Lines'!$G$5:$G$1640,A812,'Bank Lines'!$J$5:$J$1640,1,'Bank Lines'!$C$5:$C$1640,"&lt;="&amp;Cover!$C$15),2)</f>
        <v>1962.87</v>
      </c>
      <c r="Z812" s="9">
        <f>ROUND(SUMIFS('Odoo Items'!$G$5:$G$4331,'Odoo Items'!$J$5:$J$4331,A812,'Odoo Items'!$C$5:$C$4331,"&lt;="&amp;Cover!$C$15),2)</f>
        <v>1962.87</v>
      </c>
      <c r="AA812">
        <f>COUNTIFS('Bank Lines'!$G$5:$G$1640,A812,'Bank Lines'!$J$5:$J$1640,1,'Bank Lines'!$C$5:$C$1640,"&lt;="&amp;Cover!$C$15)</f>
        <v>1</v>
      </c>
      <c r="AB812">
        <f>COUNTIFS('Odoo Items'!$J$5:$J$4331,A812,'Odoo Items'!$C$5:$C$4331,"&lt;="&amp;Cover!$C$15)</f>
        <v>1</v>
      </c>
      <c r="AC812" t="str">
        <f>IF(AND(AA812=0,AB812=0),"",IF(AA812=0,"ODOO-ONLY",IF(AB812=0,"BANK-ONLY","BOTH")))</f>
        <v>BOTH</v>
      </c>
      <c r="AD812" s="9">
        <f>IF(AC812="BOTH",ROUND(Y812-Z812,2),0)</f>
        <v>0</v>
      </c>
    </row>
    <row r="813">
      <c r="A813" t="inlineStr">
        <is>
          <t>G00809</t>
        </is>
      </c>
      <c r="B813" t="inlineStr">
        <is>
          <t>MER</t>
        </is>
      </c>
      <c r="C813" t="inlineStr">
        <is>
          <t>R08</t>
        </is>
      </c>
      <c r="D813" t="inlineStr">
        <is>
          <t>MATCH</t>
        </is>
      </c>
      <c r="E813" t="inlineStr"/>
      <c r="G813" t="inlineStr"/>
      <c r="H813">
        <f>COUNTIFS('Bank Lines'!$G$5:$G$1640,A813,'Bank Lines'!$J$5:$J$1640,1)</f>
        <v>1</v>
      </c>
      <c r="I813">
        <f>COUNTIFS('Odoo Items'!$J$5:$J$4331,A813)</f>
        <v>1</v>
      </c>
      <c r="J813" s="9">
        <f>ROUND(SUMIFS('Bank Lines'!$E$5:$E$1640,'Bank Lines'!$G$5:$G$1640,A813,'Bank Lines'!$J$5:$J$1640,1),2)</f>
        <v>1227.4</v>
      </c>
      <c r="K813" s="9">
        <f>ROUND(SUMIFS('Odoo Items'!$G$5:$G$4331,'Odoo Items'!$J$5:$J$4331,A813),2)</f>
        <v>1227.4</v>
      </c>
      <c r="L813" s="9">
        <f>ROUND(J813-K813,2)</f>
        <v>0</v>
      </c>
      <c r="M813" s="9">
        <f>ROUND(SUMIFS('Bank Lines'!$E$5:$E$1640,'Bank Lines'!$G$5:$G$1640,A813,'Bank Lines'!$J$5:$J$1640,1,'Bank Lines'!$C$5:$C$1640,"&lt;="&amp;Cover!$C$13),2)</f>
        <v>0</v>
      </c>
      <c r="N813" s="9">
        <f>ROUND(SUMIFS('Odoo Items'!$G$5:$G$4331,'Odoo Items'!$J$5:$J$4331,A813,'Odoo Items'!$C$5:$C$4331,"&lt;="&amp;Cover!$C$13),2)</f>
        <v>0</v>
      </c>
      <c r="O813">
        <f>COUNTIFS('Bank Lines'!$G$5:$G$1640,A813,'Bank Lines'!$J$5:$J$1640,1,'Bank Lines'!$C$5:$C$1640,"&lt;="&amp;Cover!$C$13)</f>
        <v>0</v>
      </c>
      <c r="P813">
        <f>COUNTIFS('Odoo Items'!$J$5:$J$4331,A813,'Odoo Items'!$C$5:$C$4331,"&lt;="&amp;Cover!$C$13)</f>
        <v>0</v>
      </c>
      <c r="Q813">
        <f>IF(AND(O813=0,P813=0),"",IF(O813=0,"ODOO-ONLY",IF(P813=0,"BANK-ONLY","BOTH")))</f>
      </c>
      <c r="R813" s="9">
        <f>IF(Q813="BOTH",ROUND(M813-N813,2),0)</f>
        <v>0</v>
      </c>
      <c r="S813" s="9">
        <f>ROUND(SUMIFS('Bank Lines'!$E$5:$E$1640,'Bank Lines'!$G$5:$G$1640,A813,'Bank Lines'!$J$5:$J$1640,1,'Bank Lines'!$C$5:$C$1640,"&lt;="&amp;Cover!$C$14),2)</f>
        <v>0</v>
      </c>
      <c r="T813" s="9">
        <f>ROUND(SUMIFS('Odoo Items'!$G$5:$G$4331,'Odoo Items'!$J$5:$J$4331,A813,'Odoo Items'!$C$5:$C$4331,"&lt;="&amp;Cover!$C$14),2)</f>
        <v>0</v>
      </c>
      <c r="U813">
        <f>COUNTIFS('Bank Lines'!$G$5:$G$1640,A813,'Bank Lines'!$J$5:$J$1640,1,'Bank Lines'!$C$5:$C$1640,"&lt;="&amp;Cover!$C$14)</f>
        <v>0</v>
      </c>
      <c r="V813">
        <f>COUNTIFS('Odoo Items'!$J$5:$J$4331,A813,'Odoo Items'!$C$5:$C$4331,"&lt;="&amp;Cover!$C$14)</f>
        <v>0</v>
      </c>
      <c r="W813">
        <f>IF(AND(U813=0,V813=0),"",IF(U813=0,"ODOO-ONLY",IF(V813=0,"BANK-ONLY","BOTH")))</f>
      </c>
      <c r="X813" s="9">
        <f>IF(W813="BOTH",ROUND(S813-T813,2),0)</f>
        <v>0</v>
      </c>
      <c r="Y813" s="9">
        <f>ROUND(SUMIFS('Bank Lines'!$E$5:$E$1640,'Bank Lines'!$G$5:$G$1640,A813,'Bank Lines'!$J$5:$J$1640,1,'Bank Lines'!$C$5:$C$1640,"&lt;="&amp;Cover!$C$15),2)</f>
        <v>1227.4</v>
      </c>
      <c r="Z813" s="9">
        <f>ROUND(SUMIFS('Odoo Items'!$G$5:$G$4331,'Odoo Items'!$J$5:$J$4331,A813,'Odoo Items'!$C$5:$C$4331,"&lt;="&amp;Cover!$C$15),2)</f>
        <v>1227.4</v>
      </c>
      <c r="AA813">
        <f>COUNTIFS('Bank Lines'!$G$5:$G$1640,A813,'Bank Lines'!$J$5:$J$1640,1,'Bank Lines'!$C$5:$C$1640,"&lt;="&amp;Cover!$C$15)</f>
        <v>1</v>
      </c>
      <c r="AB813">
        <f>COUNTIFS('Odoo Items'!$J$5:$J$4331,A813,'Odoo Items'!$C$5:$C$4331,"&lt;="&amp;Cover!$C$15)</f>
        <v>1</v>
      </c>
      <c r="AC813" t="str">
        <f>IF(AND(AA813=0,AB813=0),"",IF(AA813=0,"ODOO-ONLY",IF(AB813=0,"BANK-ONLY","BOTH")))</f>
        <v>BOTH</v>
      </c>
      <c r="AD813" s="9">
        <f>IF(AC813="BOTH",ROUND(Y813-Z813,2),0)</f>
        <v>0</v>
      </c>
    </row>
    <row r="814">
      <c r="A814" t="inlineStr">
        <is>
          <t>G00810</t>
        </is>
      </c>
      <c r="B814" t="inlineStr">
        <is>
          <t>MER</t>
        </is>
      </c>
      <c r="C814" t="inlineStr">
        <is>
          <t>R08</t>
        </is>
      </c>
      <c r="D814" t="inlineStr">
        <is>
          <t>MATCH</t>
        </is>
      </c>
      <c r="E814" t="inlineStr"/>
      <c r="G814" t="inlineStr"/>
      <c r="H814">
        <f>COUNTIFS('Bank Lines'!$G$5:$G$1640,A814,'Bank Lines'!$J$5:$J$1640,1)</f>
        <v>1</v>
      </c>
      <c r="I814">
        <f>COUNTIFS('Odoo Items'!$J$5:$J$4331,A814)</f>
        <v>1</v>
      </c>
      <c r="J814" s="9">
        <f>ROUND(SUMIFS('Bank Lines'!$E$5:$E$1640,'Bank Lines'!$G$5:$G$1640,A814,'Bank Lines'!$J$5:$J$1640,1),2)</f>
        <v>1132.06</v>
      </c>
      <c r="K814" s="9">
        <f>ROUND(SUMIFS('Odoo Items'!$G$5:$G$4331,'Odoo Items'!$J$5:$J$4331,A814),2)</f>
        <v>1132.06</v>
      </c>
      <c r="L814" s="9">
        <f>ROUND(J814-K814,2)</f>
        <v>0</v>
      </c>
      <c r="M814" s="9">
        <f>ROUND(SUMIFS('Bank Lines'!$E$5:$E$1640,'Bank Lines'!$G$5:$G$1640,A814,'Bank Lines'!$J$5:$J$1640,1,'Bank Lines'!$C$5:$C$1640,"&lt;="&amp;Cover!$C$13),2)</f>
        <v>0</v>
      </c>
      <c r="N814" s="9">
        <f>ROUND(SUMIFS('Odoo Items'!$G$5:$G$4331,'Odoo Items'!$J$5:$J$4331,A814,'Odoo Items'!$C$5:$C$4331,"&lt;="&amp;Cover!$C$13),2)</f>
        <v>0</v>
      </c>
      <c r="O814">
        <f>COUNTIFS('Bank Lines'!$G$5:$G$1640,A814,'Bank Lines'!$J$5:$J$1640,1,'Bank Lines'!$C$5:$C$1640,"&lt;="&amp;Cover!$C$13)</f>
        <v>0</v>
      </c>
      <c r="P814">
        <f>COUNTIFS('Odoo Items'!$J$5:$J$4331,A814,'Odoo Items'!$C$5:$C$4331,"&lt;="&amp;Cover!$C$13)</f>
        <v>0</v>
      </c>
      <c r="Q814">
        <f>IF(AND(O814=0,P814=0),"",IF(O814=0,"ODOO-ONLY",IF(P814=0,"BANK-ONLY","BOTH")))</f>
      </c>
      <c r="R814" s="9">
        <f>IF(Q814="BOTH",ROUND(M814-N814,2),0)</f>
        <v>0</v>
      </c>
      <c r="S814" s="9">
        <f>ROUND(SUMIFS('Bank Lines'!$E$5:$E$1640,'Bank Lines'!$G$5:$G$1640,A814,'Bank Lines'!$J$5:$J$1640,1,'Bank Lines'!$C$5:$C$1640,"&lt;="&amp;Cover!$C$14),2)</f>
        <v>0</v>
      </c>
      <c r="T814" s="9">
        <f>ROUND(SUMIFS('Odoo Items'!$G$5:$G$4331,'Odoo Items'!$J$5:$J$4331,A814,'Odoo Items'!$C$5:$C$4331,"&lt;="&amp;Cover!$C$14),2)</f>
        <v>0</v>
      </c>
      <c r="U814">
        <f>COUNTIFS('Bank Lines'!$G$5:$G$1640,A814,'Bank Lines'!$J$5:$J$1640,1,'Bank Lines'!$C$5:$C$1640,"&lt;="&amp;Cover!$C$14)</f>
        <v>0</v>
      </c>
      <c r="V814">
        <f>COUNTIFS('Odoo Items'!$J$5:$J$4331,A814,'Odoo Items'!$C$5:$C$4331,"&lt;="&amp;Cover!$C$14)</f>
        <v>0</v>
      </c>
      <c r="W814">
        <f>IF(AND(U814=0,V814=0),"",IF(U814=0,"ODOO-ONLY",IF(V814=0,"BANK-ONLY","BOTH")))</f>
      </c>
      <c r="X814" s="9">
        <f>IF(W814="BOTH",ROUND(S814-T814,2),0)</f>
        <v>0</v>
      </c>
      <c r="Y814" s="9">
        <f>ROUND(SUMIFS('Bank Lines'!$E$5:$E$1640,'Bank Lines'!$G$5:$G$1640,A814,'Bank Lines'!$J$5:$J$1640,1,'Bank Lines'!$C$5:$C$1640,"&lt;="&amp;Cover!$C$15),2)</f>
        <v>1132.06</v>
      </c>
      <c r="Z814" s="9">
        <f>ROUND(SUMIFS('Odoo Items'!$G$5:$G$4331,'Odoo Items'!$J$5:$J$4331,A814,'Odoo Items'!$C$5:$C$4331,"&lt;="&amp;Cover!$C$15),2)</f>
        <v>1132.06</v>
      </c>
      <c r="AA814">
        <f>COUNTIFS('Bank Lines'!$G$5:$G$1640,A814,'Bank Lines'!$J$5:$J$1640,1,'Bank Lines'!$C$5:$C$1640,"&lt;="&amp;Cover!$C$15)</f>
        <v>1</v>
      </c>
      <c r="AB814">
        <f>COUNTIFS('Odoo Items'!$J$5:$J$4331,A814,'Odoo Items'!$C$5:$C$4331,"&lt;="&amp;Cover!$C$15)</f>
        <v>1</v>
      </c>
      <c r="AC814" t="str">
        <f>IF(AND(AA814=0,AB814=0),"",IF(AA814=0,"ODOO-ONLY",IF(AB814=0,"BANK-ONLY","BOTH")))</f>
        <v>BOTH</v>
      </c>
      <c r="AD814" s="9">
        <f>IF(AC814="BOTH",ROUND(Y814-Z814,2),0)</f>
        <v>0</v>
      </c>
    </row>
    <row r="815">
      <c r="A815" t="inlineStr">
        <is>
          <t>G00811</t>
        </is>
      </c>
      <c r="B815" t="inlineStr">
        <is>
          <t>MER</t>
        </is>
      </c>
      <c r="C815" t="inlineStr">
        <is>
          <t>R08</t>
        </is>
      </c>
      <c r="D815" t="inlineStr">
        <is>
          <t>MATCH</t>
        </is>
      </c>
      <c r="E815" t="inlineStr"/>
      <c r="G815" t="inlineStr"/>
      <c r="H815">
        <f>COUNTIFS('Bank Lines'!$G$5:$G$1640,A815,'Bank Lines'!$J$5:$J$1640,1)</f>
        <v>1</v>
      </c>
      <c r="I815">
        <f>COUNTIFS('Odoo Items'!$J$5:$J$4331,A815)</f>
        <v>1</v>
      </c>
      <c r="J815" s="9">
        <f>ROUND(SUMIFS('Bank Lines'!$E$5:$E$1640,'Bank Lines'!$G$5:$G$1640,A815,'Bank Lines'!$J$5:$J$1640,1),2)</f>
        <v>1124.12</v>
      </c>
      <c r="K815" s="9">
        <f>ROUND(SUMIFS('Odoo Items'!$G$5:$G$4331,'Odoo Items'!$J$5:$J$4331,A815),2)</f>
        <v>1124.12</v>
      </c>
      <c r="L815" s="9">
        <f>ROUND(J815-K815,2)</f>
        <v>0</v>
      </c>
      <c r="M815" s="9">
        <f>ROUND(SUMIFS('Bank Lines'!$E$5:$E$1640,'Bank Lines'!$G$5:$G$1640,A815,'Bank Lines'!$J$5:$J$1640,1,'Bank Lines'!$C$5:$C$1640,"&lt;="&amp;Cover!$C$13),2)</f>
        <v>0</v>
      </c>
      <c r="N815" s="9">
        <f>ROUND(SUMIFS('Odoo Items'!$G$5:$G$4331,'Odoo Items'!$J$5:$J$4331,A815,'Odoo Items'!$C$5:$C$4331,"&lt;="&amp;Cover!$C$13),2)</f>
        <v>0</v>
      </c>
      <c r="O815">
        <f>COUNTIFS('Bank Lines'!$G$5:$G$1640,A815,'Bank Lines'!$J$5:$J$1640,1,'Bank Lines'!$C$5:$C$1640,"&lt;="&amp;Cover!$C$13)</f>
        <v>0</v>
      </c>
      <c r="P815">
        <f>COUNTIFS('Odoo Items'!$J$5:$J$4331,A815,'Odoo Items'!$C$5:$C$4331,"&lt;="&amp;Cover!$C$13)</f>
        <v>0</v>
      </c>
      <c r="Q815">
        <f>IF(AND(O815=0,P815=0),"",IF(O815=0,"ODOO-ONLY",IF(P815=0,"BANK-ONLY","BOTH")))</f>
      </c>
      <c r="R815" s="9">
        <f>IF(Q815="BOTH",ROUND(M815-N815,2),0)</f>
        <v>0</v>
      </c>
      <c r="S815" s="9">
        <f>ROUND(SUMIFS('Bank Lines'!$E$5:$E$1640,'Bank Lines'!$G$5:$G$1640,A815,'Bank Lines'!$J$5:$J$1640,1,'Bank Lines'!$C$5:$C$1640,"&lt;="&amp;Cover!$C$14),2)</f>
        <v>0</v>
      </c>
      <c r="T815" s="9">
        <f>ROUND(SUMIFS('Odoo Items'!$G$5:$G$4331,'Odoo Items'!$J$5:$J$4331,A815,'Odoo Items'!$C$5:$C$4331,"&lt;="&amp;Cover!$C$14),2)</f>
        <v>0</v>
      </c>
      <c r="U815">
        <f>COUNTIFS('Bank Lines'!$G$5:$G$1640,A815,'Bank Lines'!$J$5:$J$1640,1,'Bank Lines'!$C$5:$C$1640,"&lt;="&amp;Cover!$C$14)</f>
        <v>0</v>
      </c>
      <c r="V815">
        <f>COUNTIFS('Odoo Items'!$J$5:$J$4331,A815,'Odoo Items'!$C$5:$C$4331,"&lt;="&amp;Cover!$C$14)</f>
        <v>0</v>
      </c>
      <c r="W815">
        <f>IF(AND(U815=0,V815=0),"",IF(U815=0,"ODOO-ONLY",IF(V815=0,"BANK-ONLY","BOTH")))</f>
      </c>
      <c r="X815" s="9">
        <f>IF(W815="BOTH",ROUND(S815-T815,2),0)</f>
        <v>0</v>
      </c>
      <c r="Y815" s="9">
        <f>ROUND(SUMIFS('Bank Lines'!$E$5:$E$1640,'Bank Lines'!$G$5:$G$1640,A815,'Bank Lines'!$J$5:$J$1640,1,'Bank Lines'!$C$5:$C$1640,"&lt;="&amp;Cover!$C$15),2)</f>
        <v>1124.12</v>
      </c>
      <c r="Z815" s="9">
        <f>ROUND(SUMIFS('Odoo Items'!$G$5:$G$4331,'Odoo Items'!$J$5:$J$4331,A815,'Odoo Items'!$C$5:$C$4331,"&lt;="&amp;Cover!$C$15),2)</f>
        <v>1124.12</v>
      </c>
      <c r="AA815">
        <f>COUNTIFS('Bank Lines'!$G$5:$G$1640,A815,'Bank Lines'!$J$5:$J$1640,1,'Bank Lines'!$C$5:$C$1640,"&lt;="&amp;Cover!$C$15)</f>
        <v>1</v>
      </c>
      <c r="AB815">
        <f>COUNTIFS('Odoo Items'!$J$5:$J$4331,A815,'Odoo Items'!$C$5:$C$4331,"&lt;="&amp;Cover!$C$15)</f>
        <v>1</v>
      </c>
      <c r="AC815" t="str">
        <f>IF(AND(AA815=0,AB815=0),"",IF(AA815=0,"ODOO-ONLY",IF(AB815=0,"BANK-ONLY","BOTH")))</f>
        <v>BOTH</v>
      </c>
      <c r="AD815" s="9">
        <f>IF(AC815="BOTH",ROUND(Y815-Z815,2),0)</f>
        <v>0</v>
      </c>
    </row>
    <row r="816">
      <c r="A816" t="inlineStr">
        <is>
          <t>G00812</t>
        </is>
      </c>
      <c r="B816" t="inlineStr">
        <is>
          <t>MER</t>
        </is>
      </c>
      <c r="C816" t="inlineStr">
        <is>
          <t>R08</t>
        </is>
      </c>
      <c r="D816" t="inlineStr">
        <is>
          <t>MATCH</t>
        </is>
      </c>
      <c r="E816" t="inlineStr"/>
      <c r="G816" t="inlineStr"/>
      <c r="H816">
        <f>COUNTIFS('Bank Lines'!$G$5:$G$1640,A816,'Bank Lines'!$J$5:$J$1640,1)</f>
        <v>1</v>
      </c>
      <c r="I816">
        <f>COUNTIFS('Odoo Items'!$J$5:$J$4331,A816)</f>
        <v>1</v>
      </c>
      <c r="J816" s="9">
        <f>ROUND(SUMIFS('Bank Lines'!$E$5:$E$1640,'Bank Lines'!$G$5:$G$1640,A816,'Bank Lines'!$J$5:$J$1640,1),2)</f>
        <v>770.76</v>
      </c>
      <c r="K816" s="9">
        <f>ROUND(SUMIFS('Odoo Items'!$G$5:$G$4331,'Odoo Items'!$J$5:$J$4331,A816),2)</f>
        <v>770.76</v>
      </c>
      <c r="L816" s="9">
        <f>ROUND(J816-K816,2)</f>
        <v>0</v>
      </c>
      <c r="M816" s="9">
        <f>ROUND(SUMIFS('Bank Lines'!$E$5:$E$1640,'Bank Lines'!$G$5:$G$1640,A816,'Bank Lines'!$J$5:$J$1640,1,'Bank Lines'!$C$5:$C$1640,"&lt;="&amp;Cover!$C$13),2)</f>
        <v>0</v>
      </c>
      <c r="N816" s="9">
        <f>ROUND(SUMIFS('Odoo Items'!$G$5:$G$4331,'Odoo Items'!$J$5:$J$4331,A816,'Odoo Items'!$C$5:$C$4331,"&lt;="&amp;Cover!$C$13),2)</f>
        <v>0</v>
      </c>
      <c r="O816">
        <f>COUNTIFS('Bank Lines'!$G$5:$G$1640,A816,'Bank Lines'!$J$5:$J$1640,1,'Bank Lines'!$C$5:$C$1640,"&lt;="&amp;Cover!$C$13)</f>
        <v>0</v>
      </c>
      <c r="P816">
        <f>COUNTIFS('Odoo Items'!$J$5:$J$4331,A816,'Odoo Items'!$C$5:$C$4331,"&lt;="&amp;Cover!$C$13)</f>
        <v>0</v>
      </c>
      <c r="Q816">
        <f>IF(AND(O816=0,P816=0),"",IF(O816=0,"ODOO-ONLY",IF(P816=0,"BANK-ONLY","BOTH")))</f>
      </c>
      <c r="R816" s="9">
        <f>IF(Q816="BOTH",ROUND(M816-N816,2),0)</f>
        <v>0</v>
      </c>
      <c r="S816" s="9">
        <f>ROUND(SUMIFS('Bank Lines'!$E$5:$E$1640,'Bank Lines'!$G$5:$G$1640,A816,'Bank Lines'!$J$5:$J$1640,1,'Bank Lines'!$C$5:$C$1640,"&lt;="&amp;Cover!$C$14),2)</f>
        <v>0</v>
      </c>
      <c r="T816" s="9">
        <f>ROUND(SUMIFS('Odoo Items'!$G$5:$G$4331,'Odoo Items'!$J$5:$J$4331,A816,'Odoo Items'!$C$5:$C$4331,"&lt;="&amp;Cover!$C$14),2)</f>
        <v>0</v>
      </c>
      <c r="U816">
        <f>COUNTIFS('Bank Lines'!$G$5:$G$1640,A816,'Bank Lines'!$J$5:$J$1640,1,'Bank Lines'!$C$5:$C$1640,"&lt;="&amp;Cover!$C$14)</f>
        <v>0</v>
      </c>
      <c r="V816">
        <f>COUNTIFS('Odoo Items'!$J$5:$J$4331,A816,'Odoo Items'!$C$5:$C$4331,"&lt;="&amp;Cover!$C$14)</f>
        <v>0</v>
      </c>
      <c r="W816">
        <f>IF(AND(U816=0,V816=0),"",IF(U816=0,"ODOO-ONLY",IF(V816=0,"BANK-ONLY","BOTH")))</f>
      </c>
      <c r="X816" s="9">
        <f>IF(W816="BOTH",ROUND(S816-T816,2),0)</f>
        <v>0</v>
      </c>
      <c r="Y816" s="9">
        <f>ROUND(SUMIFS('Bank Lines'!$E$5:$E$1640,'Bank Lines'!$G$5:$G$1640,A816,'Bank Lines'!$J$5:$J$1640,1,'Bank Lines'!$C$5:$C$1640,"&lt;="&amp;Cover!$C$15),2)</f>
        <v>770.76</v>
      </c>
      <c r="Z816" s="9">
        <f>ROUND(SUMIFS('Odoo Items'!$G$5:$G$4331,'Odoo Items'!$J$5:$J$4331,A816,'Odoo Items'!$C$5:$C$4331,"&lt;="&amp;Cover!$C$15),2)</f>
        <v>770.76</v>
      </c>
      <c r="AA816">
        <f>COUNTIFS('Bank Lines'!$G$5:$G$1640,A816,'Bank Lines'!$J$5:$J$1640,1,'Bank Lines'!$C$5:$C$1640,"&lt;="&amp;Cover!$C$15)</f>
        <v>1</v>
      </c>
      <c r="AB816">
        <f>COUNTIFS('Odoo Items'!$J$5:$J$4331,A816,'Odoo Items'!$C$5:$C$4331,"&lt;="&amp;Cover!$C$15)</f>
        <v>1</v>
      </c>
      <c r="AC816" t="str">
        <f>IF(AND(AA816=0,AB816=0),"",IF(AA816=0,"ODOO-ONLY",IF(AB816=0,"BANK-ONLY","BOTH")))</f>
        <v>BOTH</v>
      </c>
      <c r="AD816" s="9">
        <f>IF(AC816="BOTH",ROUND(Y816-Z816,2),0)</f>
        <v>0</v>
      </c>
    </row>
    <row r="817">
      <c r="A817" t="inlineStr">
        <is>
          <t>G00813</t>
        </is>
      </c>
      <c r="B817" t="inlineStr">
        <is>
          <t>MER</t>
        </is>
      </c>
      <c r="C817" t="inlineStr">
        <is>
          <t>R04</t>
        </is>
      </c>
      <c r="D817" t="inlineStr">
        <is>
          <t>MATCH</t>
        </is>
      </c>
      <c r="E817" t="inlineStr"/>
      <c r="G817" t="inlineStr">
        <is>
          <t>Sweep, same amount</t>
        </is>
      </c>
      <c r="H817">
        <f>COUNTIFS('Bank Lines'!$G$5:$G$1640,A817,'Bank Lines'!$J$5:$J$1640,1)</f>
        <v>1</v>
      </c>
      <c r="I817">
        <f>COUNTIFS('Odoo Items'!$J$5:$J$4331,A817)</f>
        <v>1</v>
      </c>
      <c r="J817" s="9">
        <f>ROUND(SUMIFS('Bank Lines'!$E$5:$E$1640,'Bank Lines'!$G$5:$G$1640,A817,'Bank Lines'!$J$5:$J$1640,1),2)</f>
        <v>-22000</v>
      </c>
      <c r="K817" s="9">
        <f>ROUND(SUMIFS('Odoo Items'!$G$5:$G$4331,'Odoo Items'!$J$5:$J$4331,A817),2)</f>
        <v>-22000</v>
      </c>
      <c r="L817" s="9">
        <f>ROUND(J817-K817,2)</f>
        <v>0</v>
      </c>
      <c r="M817" s="9">
        <f>ROUND(SUMIFS('Bank Lines'!$E$5:$E$1640,'Bank Lines'!$G$5:$G$1640,A817,'Bank Lines'!$J$5:$J$1640,1,'Bank Lines'!$C$5:$C$1640,"&lt;="&amp;Cover!$C$13),2)</f>
        <v>0</v>
      </c>
      <c r="N817" s="9">
        <f>ROUND(SUMIFS('Odoo Items'!$G$5:$G$4331,'Odoo Items'!$J$5:$J$4331,A817,'Odoo Items'!$C$5:$C$4331,"&lt;="&amp;Cover!$C$13),2)</f>
        <v>0</v>
      </c>
      <c r="O817">
        <f>COUNTIFS('Bank Lines'!$G$5:$G$1640,A817,'Bank Lines'!$J$5:$J$1640,1,'Bank Lines'!$C$5:$C$1640,"&lt;="&amp;Cover!$C$13)</f>
        <v>0</v>
      </c>
      <c r="P817">
        <f>COUNTIFS('Odoo Items'!$J$5:$J$4331,A817,'Odoo Items'!$C$5:$C$4331,"&lt;="&amp;Cover!$C$13)</f>
        <v>0</v>
      </c>
      <c r="Q817">
        <f>IF(AND(O817=0,P817=0),"",IF(O817=0,"ODOO-ONLY",IF(P817=0,"BANK-ONLY","BOTH")))</f>
      </c>
      <c r="R817" s="9">
        <f>IF(Q817="BOTH",ROUND(M817-N817,2),0)</f>
        <v>0</v>
      </c>
      <c r="S817" s="9">
        <f>ROUND(SUMIFS('Bank Lines'!$E$5:$E$1640,'Bank Lines'!$G$5:$G$1640,A817,'Bank Lines'!$J$5:$J$1640,1,'Bank Lines'!$C$5:$C$1640,"&lt;="&amp;Cover!$C$14),2)</f>
        <v>0</v>
      </c>
      <c r="T817" s="9">
        <f>ROUND(SUMIFS('Odoo Items'!$G$5:$G$4331,'Odoo Items'!$J$5:$J$4331,A817,'Odoo Items'!$C$5:$C$4331,"&lt;="&amp;Cover!$C$14),2)</f>
        <v>0</v>
      </c>
      <c r="U817">
        <f>COUNTIFS('Bank Lines'!$G$5:$G$1640,A817,'Bank Lines'!$J$5:$J$1640,1,'Bank Lines'!$C$5:$C$1640,"&lt;="&amp;Cover!$C$14)</f>
        <v>0</v>
      </c>
      <c r="V817">
        <f>COUNTIFS('Odoo Items'!$J$5:$J$4331,A817,'Odoo Items'!$C$5:$C$4331,"&lt;="&amp;Cover!$C$14)</f>
        <v>0</v>
      </c>
      <c r="W817">
        <f>IF(AND(U817=0,V817=0),"",IF(U817=0,"ODOO-ONLY",IF(V817=0,"BANK-ONLY","BOTH")))</f>
      </c>
      <c r="X817" s="9">
        <f>IF(W817="BOTH",ROUND(S817-T817,2),0)</f>
        <v>0</v>
      </c>
      <c r="Y817" s="9">
        <f>ROUND(SUMIFS('Bank Lines'!$E$5:$E$1640,'Bank Lines'!$G$5:$G$1640,A817,'Bank Lines'!$J$5:$J$1640,1,'Bank Lines'!$C$5:$C$1640,"&lt;="&amp;Cover!$C$15),2)</f>
        <v>-22000</v>
      </c>
      <c r="Z817" s="9">
        <f>ROUND(SUMIFS('Odoo Items'!$G$5:$G$4331,'Odoo Items'!$J$5:$J$4331,A817,'Odoo Items'!$C$5:$C$4331,"&lt;="&amp;Cover!$C$15),2)</f>
        <v>-22000</v>
      </c>
      <c r="AA817">
        <f>COUNTIFS('Bank Lines'!$G$5:$G$1640,A817,'Bank Lines'!$J$5:$J$1640,1,'Bank Lines'!$C$5:$C$1640,"&lt;="&amp;Cover!$C$15)</f>
        <v>1</v>
      </c>
      <c r="AB817">
        <f>COUNTIFS('Odoo Items'!$J$5:$J$4331,A817,'Odoo Items'!$C$5:$C$4331,"&lt;="&amp;Cover!$C$15)</f>
        <v>1</v>
      </c>
      <c r="AC817" t="str">
        <f>IF(AND(AA817=0,AB817=0),"",IF(AA817=0,"ODOO-ONLY",IF(AB817=0,"BANK-ONLY","BOTH")))</f>
        <v>BOTH</v>
      </c>
      <c r="AD817" s="9">
        <f>IF(AC817="BOTH",ROUND(Y817-Z817,2),0)</f>
        <v>0</v>
      </c>
    </row>
    <row r="818">
      <c r="A818" t="inlineStr">
        <is>
          <t>G00814</t>
        </is>
      </c>
      <c r="B818" t="inlineStr">
        <is>
          <t>MER</t>
        </is>
      </c>
      <c r="C818" t="inlineStr">
        <is>
          <t>R08</t>
        </is>
      </c>
      <c r="D818" t="inlineStr">
        <is>
          <t>MATCH</t>
        </is>
      </c>
      <c r="E818" t="inlineStr"/>
      <c r="G818" t="inlineStr"/>
      <c r="H818">
        <f>COUNTIFS('Bank Lines'!$G$5:$G$1640,A818,'Bank Lines'!$J$5:$J$1640,1)</f>
        <v>1</v>
      </c>
      <c r="I818">
        <f>COUNTIFS('Odoo Items'!$J$5:$J$4331,A818)</f>
        <v>1</v>
      </c>
      <c r="J818" s="9">
        <f>ROUND(SUMIFS('Bank Lines'!$E$5:$E$1640,'Bank Lines'!$G$5:$G$1640,A818,'Bank Lines'!$J$5:$J$1640,1),2)</f>
        <v>1975.12</v>
      </c>
      <c r="K818" s="9">
        <f>ROUND(SUMIFS('Odoo Items'!$G$5:$G$4331,'Odoo Items'!$J$5:$J$4331,A818),2)</f>
        <v>1975.12</v>
      </c>
      <c r="L818" s="9">
        <f>ROUND(J818-K818,2)</f>
        <v>0</v>
      </c>
      <c r="M818" s="9">
        <f>ROUND(SUMIFS('Bank Lines'!$E$5:$E$1640,'Bank Lines'!$G$5:$G$1640,A818,'Bank Lines'!$J$5:$J$1640,1,'Bank Lines'!$C$5:$C$1640,"&lt;="&amp;Cover!$C$13),2)</f>
        <v>0</v>
      </c>
      <c r="N818" s="9">
        <f>ROUND(SUMIFS('Odoo Items'!$G$5:$G$4331,'Odoo Items'!$J$5:$J$4331,A818,'Odoo Items'!$C$5:$C$4331,"&lt;="&amp;Cover!$C$13),2)</f>
        <v>0</v>
      </c>
      <c r="O818">
        <f>COUNTIFS('Bank Lines'!$G$5:$G$1640,A818,'Bank Lines'!$J$5:$J$1640,1,'Bank Lines'!$C$5:$C$1640,"&lt;="&amp;Cover!$C$13)</f>
        <v>0</v>
      </c>
      <c r="P818">
        <f>COUNTIFS('Odoo Items'!$J$5:$J$4331,A818,'Odoo Items'!$C$5:$C$4331,"&lt;="&amp;Cover!$C$13)</f>
        <v>0</v>
      </c>
      <c r="Q818">
        <f>IF(AND(O818=0,P818=0),"",IF(O818=0,"ODOO-ONLY",IF(P818=0,"BANK-ONLY","BOTH")))</f>
      </c>
      <c r="R818" s="9">
        <f>IF(Q818="BOTH",ROUND(M818-N818,2),0)</f>
        <v>0</v>
      </c>
      <c r="S818" s="9">
        <f>ROUND(SUMIFS('Bank Lines'!$E$5:$E$1640,'Bank Lines'!$G$5:$G$1640,A818,'Bank Lines'!$J$5:$J$1640,1,'Bank Lines'!$C$5:$C$1640,"&lt;="&amp;Cover!$C$14),2)</f>
        <v>0</v>
      </c>
      <c r="T818" s="9">
        <f>ROUND(SUMIFS('Odoo Items'!$G$5:$G$4331,'Odoo Items'!$J$5:$J$4331,A818,'Odoo Items'!$C$5:$C$4331,"&lt;="&amp;Cover!$C$14),2)</f>
        <v>0</v>
      </c>
      <c r="U818">
        <f>COUNTIFS('Bank Lines'!$G$5:$G$1640,A818,'Bank Lines'!$J$5:$J$1640,1,'Bank Lines'!$C$5:$C$1640,"&lt;="&amp;Cover!$C$14)</f>
        <v>0</v>
      </c>
      <c r="V818">
        <f>COUNTIFS('Odoo Items'!$J$5:$J$4331,A818,'Odoo Items'!$C$5:$C$4331,"&lt;="&amp;Cover!$C$14)</f>
        <v>0</v>
      </c>
      <c r="W818">
        <f>IF(AND(U818=0,V818=0),"",IF(U818=0,"ODOO-ONLY",IF(V818=0,"BANK-ONLY","BOTH")))</f>
      </c>
      <c r="X818" s="9">
        <f>IF(W818="BOTH",ROUND(S818-T818,2),0)</f>
        <v>0</v>
      </c>
      <c r="Y818" s="9">
        <f>ROUND(SUMIFS('Bank Lines'!$E$5:$E$1640,'Bank Lines'!$G$5:$G$1640,A818,'Bank Lines'!$J$5:$J$1640,1,'Bank Lines'!$C$5:$C$1640,"&lt;="&amp;Cover!$C$15),2)</f>
        <v>1975.12</v>
      </c>
      <c r="Z818" s="9">
        <f>ROUND(SUMIFS('Odoo Items'!$G$5:$G$4331,'Odoo Items'!$J$5:$J$4331,A818,'Odoo Items'!$C$5:$C$4331,"&lt;="&amp;Cover!$C$15),2)</f>
        <v>1975.12</v>
      </c>
      <c r="AA818">
        <f>COUNTIFS('Bank Lines'!$G$5:$G$1640,A818,'Bank Lines'!$J$5:$J$1640,1,'Bank Lines'!$C$5:$C$1640,"&lt;="&amp;Cover!$C$15)</f>
        <v>1</v>
      </c>
      <c r="AB818">
        <f>COUNTIFS('Odoo Items'!$J$5:$J$4331,A818,'Odoo Items'!$C$5:$C$4331,"&lt;="&amp;Cover!$C$15)</f>
        <v>1</v>
      </c>
      <c r="AC818" t="str">
        <f>IF(AND(AA818=0,AB818=0),"",IF(AA818=0,"ODOO-ONLY",IF(AB818=0,"BANK-ONLY","BOTH")))</f>
        <v>BOTH</v>
      </c>
      <c r="AD818" s="9">
        <f>IF(AC818="BOTH",ROUND(Y818-Z818,2),0)</f>
        <v>0</v>
      </c>
    </row>
    <row r="819">
      <c r="A819" t="inlineStr">
        <is>
          <t>G00815</t>
        </is>
      </c>
      <c r="B819" t="inlineStr">
        <is>
          <t>MER</t>
        </is>
      </c>
      <c r="C819" t="inlineStr">
        <is>
          <t>R08</t>
        </is>
      </c>
      <c r="D819" t="inlineStr">
        <is>
          <t>MATCH</t>
        </is>
      </c>
      <c r="E819" t="inlineStr"/>
      <c r="G819" t="inlineStr"/>
      <c r="H819">
        <f>COUNTIFS('Bank Lines'!$G$5:$G$1640,A819,'Bank Lines'!$J$5:$J$1640,1)</f>
        <v>1</v>
      </c>
      <c r="I819">
        <f>COUNTIFS('Odoo Items'!$J$5:$J$4331,A819)</f>
        <v>1</v>
      </c>
      <c r="J819" s="9">
        <f>ROUND(SUMIFS('Bank Lines'!$E$5:$E$1640,'Bank Lines'!$G$5:$G$1640,A819,'Bank Lines'!$J$5:$J$1640,1),2)</f>
        <v>3427.46</v>
      </c>
      <c r="K819" s="9">
        <f>ROUND(SUMIFS('Odoo Items'!$G$5:$G$4331,'Odoo Items'!$J$5:$J$4331,A819),2)</f>
        <v>3427.46</v>
      </c>
      <c r="L819" s="9">
        <f>ROUND(J819-K819,2)</f>
        <v>0</v>
      </c>
      <c r="M819" s="9">
        <f>ROUND(SUMIFS('Bank Lines'!$E$5:$E$1640,'Bank Lines'!$G$5:$G$1640,A819,'Bank Lines'!$J$5:$J$1640,1,'Bank Lines'!$C$5:$C$1640,"&lt;="&amp;Cover!$C$13),2)</f>
        <v>0</v>
      </c>
      <c r="N819" s="9">
        <f>ROUND(SUMIFS('Odoo Items'!$G$5:$G$4331,'Odoo Items'!$J$5:$J$4331,A819,'Odoo Items'!$C$5:$C$4331,"&lt;="&amp;Cover!$C$13),2)</f>
        <v>0</v>
      </c>
      <c r="O819">
        <f>COUNTIFS('Bank Lines'!$G$5:$G$1640,A819,'Bank Lines'!$J$5:$J$1640,1,'Bank Lines'!$C$5:$C$1640,"&lt;="&amp;Cover!$C$13)</f>
        <v>0</v>
      </c>
      <c r="P819">
        <f>COUNTIFS('Odoo Items'!$J$5:$J$4331,A819,'Odoo Items'!$C$5:$C$4331,"&lt;="&amp;Cover!$C$13)</f>
        <v>0</v>
      </c>
      <c r="Q819">
        <f>IF(AND(O819=0,P819=0),"",IF(O819=0,"ODOO-ONLY",IF(P819=0,"BANK-ONLY","BOTH")))</f>
      </c>
      <c r="R819" s="9">
        <f>IF(Q819="BOTH",ROUND(M819-N819,2),0)</f>
        <v>0</v>
      </c>
      <c r="S819" s="9">
        <f>ROUND(SUMIFS('Bank Lines'!$E$5:$E$1640,'Bank Lines'!$G$5:$G$1640,A819,'Bank Lines'!$J$5:$J$1640,1,'Bank Lines'!$C$5:$C$1640,"&lt;="&amp;Cover!$C$14),2)</f>
        <v>0</v>
      </c>
      <c r="T819" s="9">
        <f>ROUND(SUMIFS('Odoo Items'!$G$5:$G$4331,'Odoo Items'!$J$5:$J$4331,A819,'Odoo Items'!$C$5:$C$4331,"&lt;="&amp;Cover!$C$14),2)</f>
        <v>0</v>
      </c>
      <c r="U819">
        <f>COUNTIFS('Bank Lines'!$G$5:$G$1640,A819,'Bank Lines'!$J$5:$J$1640,1,'Bank Lines'!$C$5:$C$1640,"&lt;="&amp;Cover!$C$14)</f>
        <v>0</v>
      </c>
      <c r="V819">
        <f>COUNTIFS('Odoo Items'!$J$5:$J$4331,A819,'Odoo Items'!$C$5:$C$4331,"&lt;="&amp;Cover!$C$14)</f>
        <v>0</v>
      </c>
      <c r="W819">
        <f>IF(AND(U819=0,V819=0),"",IF(U819=0,"ODOO-ONLY",IF(V819=0,"BANK-ONLY","BOTH")))</f>
      </c>
      <c r="X819" s="9">
        <f>IF(W819="BOTH",ROUND(S819-T819,2),0)</f>
        <v>0</v>
      </c>
      <c r="Y819" s="9">
        <f>ROUND(SUMIFS('Bank Lines'!$E$5:$E$1640,'Bank Lines'!$G$5:$G$1640,A819,'Bank Lines'!$J$5:$J$1640,1,'Bank Lines'!$C$5:$C$1640,"&lt;="&amp;Cover!$C$15),2)</f>
        <v>3427.46</v>
      </c>
      <c r="Z819" s="9">
        <f>ROUND(SUMIFS('Odoo Items'!$G$5:$G$4331,'Odoo Items'!$J$5:$J$4331,A819,'Odoo Items'!$C$5:$C$4331,"&lt;="&amp;Cover!$C$15),2)</f>
        <v>3427.46</v>
      </c>
      <c r="AA819">
        <f>COUNTIFS('Bank Lines'!$G$5:$G$1640,A819,'Bank Lines'!$J$5:$J$1640,1,'Bank Lines'!$C$5:$C$1640,"&lt;="&amp;Cover!$C$15)</f>
        <v>1</v>
      </c>
      <c r="AB819">
        <f>COUNTIFS('Odoo Items'!$J$5:$J$4331,A819,'Odoo Items'!$C$5:$C$4331,"&lt;="&amp;Cover!$C$15)</f>
        <v>1</v>
      </c>
      <c r="AC819" t="str">
        <f>IF(AND(AA819=0,AB819=0),"",IF(AA819=0,"ODOO-ONLY",IF(AB819=0,"BANK-ONLY","BOTH")))</f>
        <v>BOTH</v>
      </c>
      <c r="AD819" s="9">
        <f>IF(AC819="BOTH",ROUND(Y819-Z819,2),0)</f>
        <v>0</v>
      </c>
    </row>
    <row r="820">
      <c r="A820" t="inlineStr">
        <is>
          <t>G00816</t>
        </is>
      </c>
      <c r="B820" t="inlineStr">
        <is>
          <t>MER</t>
        </is>
      </c>
      <c r="C820" t="inlineStr">
        <is>
          <t>R08</t>
        </is>
      </c>
      <c r="D820" t="inlineStr">
        <is>
          <t>MATCH</t>
        </is>
      </c>
      <c r="E820" t="inlineStr"/>
      <c r="G820" t="inlineStr"/>
      <c r="H820">
        <f>COUNTIFS('Bank Lines'!$G$5:$G$1640,A820,'Bank Lines'!$J$5:$J$1640,1)</f>
        <v>1</v>
      </c>
      <c r="I820">
        <f>COUNTIFS('Odoo Items'!$J$5:$J$4331,A820)</f>
        <v>1</v>
      </c>
      <c r="J820" s="9">
        <f>ROUND(SUMIFS('Bank Lines'!$E$5:$E$1640,'Bank Lines'!$G$5:$G$1640,A820,'Bank Lines'!$J$5:$J$1640,1),2)</f>
        <v>3073.35</v>
      </c>
      <c r="K820" s="9">
        <f>ROUND(SUMIFS('Odoo Items'!$G$5:$G$4331,'Odoo Items'!$J$5:$J$4331,A820),2)</f>
        <v>3073.35</v>
      </c>
      <c r="L820" s="9">
        <f>ROUND(J820-K820,2)</f>
        <v>0</v>
      </c>
      <c r="M820" s="9">
        <f>ROUND(SUMIFS('Bank Lines'!$E$5:$E$1640,'Bank Lines'!$G$5:$G$1640,A820,'Bank Lines'!$J$5:$J$1640,1,'Bank Lines'!$C$5:$C$1640,"&lt;="&amp;Cover!$C$13),2)</f>
        <v>0</v>
      </c>
      <c r="N820" s="9">
        <f>ROUND(SUMIFS('Odoo Items'!$G$5:$G$4331,'Odoo Items'!$J$5:$J$4331,A820,'Odoo Items'!$C$5:$C$4331,"&lt;="&amp;Cover!$C$13),2)</f>
        <v>0</v>
      </c>
      <c r="O820">
        <f>COUNTIFS('Bank Lines'!$G$5:$G$1640,A820,'Bank Lines'!$J$5:$J$1640,1,'Bank Lines'!$C$5:$C$1640,"&lt;="&amp;Cover!$C$13)</f>
        <v>0</v>
      </c>
      <c r="P820">
        <f>COUNTIFS('Odoo Items'!$J$5:$J$4331,A820,'Odoo Items'!$C$5:$C$4331,"&lt;="&amp;Cover!$C$13)</f>
        <v>0</v>
      </c>
      <c r="Q820">
        <f>IF(AND(O820=0,P820=0),"",IF(O820=0,"ODOO-ONLY",IF(P820=0,"BANK-ONLY","BOTH")))</f>
      </c>
      <c r="R820" s="9">
        <f>IF(Q820="BOTH",ROUND(M820-N820,2),0)</f>
        <v>0</v>
      </c>
      <c r="S820" s="9">
        <f>ROUND(SUMIFS('Bank Lines'!$E$5:$E$1640,'Bank Lines'!$G$5:$G$1640,A820,'Bank Lines'!$J$5:$J$1640,1,'Bank Lines'!$C$5:$C$1640,"&lt;="&amp;Cover!$C$14),2)</f>
        <v>0</v>
      </c>
      <c r="T820" s="9">
        <f>ROUND(SUMIFS('Odoo Items'!$G$5:$G$4331,'Odoo Items'!$J$5:$J$4331,A820,'Odoo Items'!$C$5:$C$4331,"&lt;="&amp;Cover!$C$14),2)</f>
        <v>0</v>
      </c>
      <c r="U820">
        <f>COUNTIFS('Bank Lines'!$G$5:$G$1640,A820,'Bank Lines'!$J$5:$J$1640,1,'Bank Lines'!$C$5:$C$1640,"&lt;="&amp;Cover!$C$14)</f>
        <v>0</v>
      </c>
      <c r="V820">
        <f>COUNTIFS('Odoo Items'!$J$5:$J$4331,A820,'Odoo Items'!$C$5:$C$4331,"&lt;="&amp;Cover!$C$14)</f>
        <v>0</v>
      </c>
      <c r="W820">
        <f>IF(AND(U820=0,V820=0),"",IF(U820=0,"ODOO-ONLY",IF(V820=0,"BANK-ONLY","BOTH")))</f>
      </c>
      <c r="X820" s="9">
        <f>IF(W820="BOTH",ROUND(S820-T820,2),0)</f>
        <v>0</v>
      </c>
      <c r="Y820" s="9">
        <f>ROUND(SUMIFS('Bank Lines'!$E$5:$E$1640,'Bank Lines'!$G$5:$G$1640,A820,'Bank Lines'!$J$5:$J$1640,1,'Bank Lines'!$C$5:$C$1640,"&lt;="&amp;Cover!$C$15),2)</f>
        <v>3073.35</v>
      </c>
      <c r="Z820" s="9">
        <f>ROUND(SUMIFS('Odoo Items'!$G$5:$G$4331,'Odoo Items'!$J$5:$J$4331,A820,'Odoo Items'!$C$5:$C$4331,"&lt;="&amp;Cover!$C$15),2)</f>
        <v>3073.35</v>
      </c>
      <c r="AA820">
        <f>COUNTIFS('Bank Lines'!$G$5:$G$1640,A820,'Bank Lines'!$J$5:$J$1640,1,'Bank Lines'!$C$5:$C$1640,"&lt;="&amp;Cover!$C$15)</f>
        <v>1</v>
      </c>
      <c r="AB820">
        <f>COUNTIFS('Odoo Items'!$J$5:$J$4331,A820,'Odoo Items'!$C$5:$C$4331,"&lt;="&amp;Cover!$C$15)</f>
        <v>1</v>
      </c>
      <c r="AC820" t="str">
        <f>IF(AND(AA820=0,AB820=0),"",IF(AA820=0,"ODOO-ONLY",IF(AB820=0,"BANK-ONLY","BOTH")))</f>
        <v>BOTH</v>
      </c>
      <c r="AD820" s="9">
        <f>IF(AC820="BOTH",ROUND(Y820-Z820,2),0)</f>
        <v>0</v>
      </c>
    </row>
    <row r="821">
      <c r="A821" t="inlineStr">
        <is>
          <t>G00817</t>
        </is>
      </c>
      <c r="B821" t="inlineStr">
        <is>
          <t>MER</t>
        </is>
      </c>
      <c r="C821" t="inlineStr">
        <is>
          <t>R08</t>
        </is>
      </c>
      <c r="D821" t="inlineStr">
        <is>
          <t>MATCH</t>
        </is>
      </c>
      <c r="E821" t="inlineStr"/>
      <c r="G821" t="inlineStr"/>
      <c r="H821">
        <f>COUNTIFS('Bank Lines'!$G$5:$G$1640,A821,'Bank Lines'!$J$5:$J$1640,1)</f>
        <v>1</v>
      </c>
      <c r="I821">
        <f>COUNTIFS('Odoo Items'!$J$5:$J$4331,A821)</f>
        <v>1</v>
      </c>
      <c r="J821" s="9">
        <f>ROUND(SUMIFS('Bank Lines'!$E$5:$E$1640,'Bank Lines'!$G$5:$G$1640,A821,'Bank Lines'!$J$5:$J$1640,1),2)</f>
        <v>3514.85</v>
      </c>
      <c r="K821" s="9">
        <f>ROUND(SUMIFS('Odoo Items'!$G$5:$G$4331,'Odoo Items'!$J$5:$J$4331,A821),2)</f>
        <v>3514.85</v>
      </c>
      <c r="L821" s="9">
        <f>ROUND(J821-K821,2)</f>
        <v>0</v>
      </c>
      <c r="M821" s="9">
        <f>ROUND(SUMIFS('Bank Lines'!$E$5:$E$1640,'Bank Lines'!$G$5:$G$1640,A821,'Bank Lines'!$J$5:$J$1640,1,'Bank Lines'!$C$5:$C$1640,"&lt;="&amp;Cover!$C$13),2)</f>
        <v>0</v>
      </c>
      <c r="N821" s="9">
        <f>ROUND(SUMIFS('Odoo Items'!$G$5:$G$4331,'Odoo Items'!$J$5:$J$4331,A821,'Odoo Items'!$C$5:$C$4331,"&lt;="&amp;Cover!$C$13),2)</f>
        <v>0</v>
      </c>
      <c r="O821">
        <f>COUNTIFS('Bank Lines'!$G$5:$G$1640,A821,'Bank Lines'!$J$5:$J$1640,1,'Bank Lines'!$C$5:$C$1640,"&lt;="&amp;Cover!$C$13)</f>
        <v>0</v>
      </c>
      <c r="P821">
        <f>COUNTIFS('Odoo Items'!$J$5:$J$4331,A821,'Odoo Items'!$C$5:$C$4331,"&lt;="&amp;Cover!$C$13)</f>
        <v>0</v>
      </c>
      <c r="Q821">
        <f>IF(AND(O821=0,P821=0),"",IF(O821=0,"ODOO-ONLY",IF(P821=0,"BANK-ONLY","BOTH")))</f>
      </c>
      <c r="R821" s="9">
        <f>IF(Q821="BOTH",ROUND(M821-N821,2),0)</f>
        <v>0</v>
      </c>
      <c r="S821" s="9">
        <f>ROUND(SUMIFS('Bank Lines'!$E$5:$E$1640,'Bank Lines'!$G$5:$G$1640,A821,'Bank Lines'!$J$5:$J$1640,1,'Bank Lines'!$C$5:$C$1640,"&lt;="&amp;Cover!$C$14),2)</f>
        <v>0</v>
      </c>
      <c r="T821" s="9">
        <f>ROUND(SUMIFS('Odoo Items'!$G$5:$G$4331,'Odoo Items'!$J$5:$J$4331,A821,'Odoo Items'!$C$5:$C$4331,"&lt;="&amp;Cover!$C$14),2)</f>
        <v>0</v>
      </c>
      <c r="U821">
        <f>COUNTIFS('Bank Lines'!$G$5:$G$1640,A821,'Bank Lines'!$J$5:$J$1640,1,'Bank Lines'!$C$5:$C$1640,"&lt;="&amp;Cover!$C$14)</f>
        <v>0</v>
      </c>
      <c r="V821">
        <f>COUNTIFS('Odoo Items'!$J$5:$J$4331,A821,'Odoo Items'!$C$5:$C$4331,"&lt;="&amp;Cover!$C$14)</f>
        <v>0</v>
      </c>
      <c r="W821">
        <f>IF(AND(U821=0,V821=0),"",IF(U821=0,"ODOO-ONLY",IF(V821=0,"BANK-ONLY","BOTH")))</f>
      </c>
      <c r="X821" s="9">
        <f>IF(W821="BOTH",ROUND(S821-T821,2),0)</f>
        <v>0</v>
      </c>
      <c r="Y821" s="9">
        <f>ROUND(SUMIFS('Bank Lines'!$E$5:$E$1640,'Bank Lines'!$G$5:$G$1640,A821,'Bank Lines'!$J$5:$J$1640,1,'Bank Lines'!$C$5:$C$1640,"&lt;="&amp;Cover!$C$15),2)</f>
        <v>3514.85</v>
      </c>
      <c r="Z821" s="9">
        <f>ROUND(SUMIFS('Odoo Items'!$G$5:$G$4331,'Odoo Items'!$J$5:$J$4331,A821,'Odoo Items'!$C$5:$C$4331,"&lt;="&amp;Cover!$C$15),2)</f>
        <v>3514.85</v>
      </c>
      <c r="AA821">
        <f>COUNTIFS('Bank Lines'!$G$5:$G$1640,A821,'Bank Lines'!$J$5:$J$1640,1,'Bank Lines'!$C$5:$C$1640,"&lt;="&amp;Cover!$C$15)</f>
        <v>1</v>
      </c>
      <c r="AB821">
        <f>COUNTIFS('Odoo Items'!$J$5:$J$4331,A821,'Odoo Items'!$C$5:$C$4331,"&lt;="&amp;Cover!$C$15)</f>
        <v>1</v>
      </c>
      <c r="AC821" t="str">
        <f>IF(AND(AA821=0,AB821=0),"",IF(AA821=0,"ODOO-ONLY",IF(AB821=0,"BANK-ONLY","BOTH")))</f>
        <v>BOTH</v>
      </c>
      <c r="AD821" s="9">
        <f>IF(AC821="BOTH",ROUND(Y821-Z821,2),0)</f>
        <v>0</v>
      </c>
    </row>
    <row r="822">
      <c r="A822" t="inlineStr">
        <is>
          <t>G00818</t>
        </is>
      </c>
      <c r="B822" t="inlineStr">
        <is>
          <t>MER</t>
        </is>
      </c>
      <c r="C822" t="inlineStr">
        <is>
          <t>R08</t>
        </is>
      </c>
      <c r="D822" t="inlineStr">
        <is>
          <t>MATCH</t>
        </is>
      </c>
      <c r="E822" t="inlineStr"/>
      <c r="G822" t="inlineStr"/>
      <c r="H822">
        <f>COUNTIFS('Bank Lines'!$G$5:$G$1640,A822,'Bank Lines'!$J$5:$J$1640,1)</f>
        <v>1</v>
      </c>
      <c r="I822">
        <f>COUNTIFS('Odoo Items'!$J$5:$J$4331,A822)</f>
        <v>1</v>
      </c>
      <c r="J822" s="9">
        <f>ROUND(SUMIFS('Bank Lines'!$E$5:$E$1640,'Bank Lines'!$G$5:$G$1640,A822,'Bank Lines'!$J$5:$J$1640,1),2)</f>
        <v>1311.16</v>
      </c>
      <c r="K822" s="9">
        <f>ROUND(SUMIFS('Odoo Items'!$G$5:$G$4331,'Odoo Items'!$J$5:$J$4331,A822),2)</f>
        <v>1311.16</v>
      </c>
      <c r="L822" s="9">
        <f>ROUND(J822-K822,2)</f>
        <v>0</v>
      </c>
      <c r="M822" s="9">
        <f>ROUND(SUMIFS('Bank Lines'!$E$5:$E$1640,'Bank Lines'!$G$5:$G$1640,A822,'Bank Lines'!$J$5:$J$1640,1,'Bank Lines'!$C$5:$C$1640,"&lt;="&amp;Cover!$C$13),2)</f>
        <v>0</v>
      </c>
      <c r="N822" s="9">
        <f>ROUND(SUMIFS('Odoo Items'!$G$5:$G$4331,'Odoo Items'!$J$5:$J$4331,A822,'Odoo Items'!$C$5:$C$4331,"&lt;="&amp;Cover!$C$13),2)</f>
        <v>0</v>
      </c>
      <c r="O822">
        <f>COUNTIFS('Bank Lines'!$G$5:$G$1640,A822,'Bank Lines'!$J$5:$J$1640,1,'Bank Lines'!$C$5:$C$1640,"&lt;="&amp;Cover!$C$13)</f>
        <v>0</v>
      </c>
      <c r="P822">
        <f>COUNTIFS('Odoo Items'!$J$5:$J$4331,A822,'Odoo Items'!$C$5:$C$4331,"&lt;="&amp;Cover!$C$13)</f>
        <v>0</v>
      </c>
      <c r="Q822">
        <f>IF(AND(O822=0,P822=0),"",IF(O822=0,"ODOO-ONLY",IF(P822=0,"BANK-ONLY","BOTH")))</f>
      </c>
      <c r="R822" s="9">
        <f>IF(Q822="BOTH",ROUND(M822-N822,2),0)</f>
        <v>0</v>
      </c>
      <c r="S822" s="9">
        <f>ROUND(SUMIFS('Bank Lines'!$E$5:$E$1640,'Bank Lines'!$G$5:$G$1640,A822,'Bank Lines'!$J$5:$J$1640,1,'Bank Lines'!$C$5:$C$1640,"&lt;="&amp;Cover!$C$14),2)</f>
        <v>0</v>
      </c>
      <c r="T822" s="9">
        <f>ROUND(SUMIFS('Odoo Items'!$G$5:$G$4331,'Odoo Items'!$J$5:$J$4331,A822,'Odoo Items'!$C$5:$C$4331,"&lt;="&amp;Cover!$C$14),2)</f>
        <v>0</v>
      </c>
      <c r="U822">
        <f>COUNTIFS('Bank Lines'!$G$5:$G$1640,A822,'Bank Lines'!$J$5:$J$1640,1,'Bank Lines'!$C$5:$C$1640,"&lt;="&amp;Cover!$C$14)</f>
        <v>0</v>
      </c>
      <c r="V822">
        <f>COUNTIFS('Odoo Items'!$J$5:$J$4331,A822,'Odoo Items'!$C$5:$C$4331,"&lt;="&amp;Cover!$C$14)</f>
        <v>0</v>
      </c>
      <c r="W822">
        <f>IF(AND(U822=0,V822=0),"",IF(U822=0,"ODOO-ONLY",IF(V822=0,"BANK-ONLY","BOTH")))</f>
      </c>
      <c r="X822" s="9">
        <f>IF(W822="BOTH",ROUND(S822-T822,2),0)</f>
        <v>0</v>
      </c>
      <c r="Y822" s="9">
        <f>ROUND(SUMIFS('Bank Lines'!$E$5:$E$1640,'Bank Lines'!$G$5:$G$1640,A822,'Bank Lines'!$J$5:$J$1640,1,'Bank Lines'!$C$5:$C$1640,"&lt;="&amp;Cover!$C$15),2)</f>
        <v>1311.16</v>
      </c>
      <c r="Z822" s="9">
        <f>ROUND(SUMIFS('Odoo Items'!$G$5:$G$4331,'Odoo Items'!$J$5:$J$4331,A822,'Odoo Items'!$C$5:$C$4331,"&lt;="&amp;Cover!$C$15),2)</f>
        <v>1311.16</v>
      </c>
      <c r="AA822">
        <f>COUNTIFS('Bank Lines'!$G$5:$G$1640,A822,'Bank Lines'!$J$5:$J$1640,1,'Bank Lines'!$C$5:$C$1640,"&lt;="&amp;Cover!$C$15)</f>
        <v>1</v>
      </c>
      <c r="AB822">
        <f>COUNTIFS('Odoo Items'!$J$5:$J$4331,A822,'Odoo Items'!$C$5:$C$4331,"&lt;="&amp;Cover!$C$15)</f>
        <v>1</v>
      </c>
      <c r="AC822" t="str">
        <f>IF(AND(AA822=0,AB822=0),"",IF(AA822=0,"ODOO-ONLY",IF(AB822=0,"BANK-ONLY","BOTH")))</f>
        <v>BOTH</v>
      </c>
      <c r="AD822" s="9">
        <f>IF(AC822="BOTH",ROUND(Y822-Z822,2),0)</f>
        <v>0</v>
      </c>
    </row>
    <row r="823">
      <c r="A823" t="inlineStr">
        <is>
          <t>G00819</t>
        </is>
      </c>
      <c r="B823" t="inlineStr">
        <is>
          <t>MER</t>
        </is>
      </c>
      <c r="C823" t="inlineStr">
        <is>
          <t>R08</t>
        </is>
      </c>
      <c r="D823" t="inlineStr">
        <is>
          <t>MATCH</t>
        </is>
      </c>
      <c r="E823" t="inlineStr"/>
      <c r="G823" t="inlineStr"/>
      <c r="H823">
        <f>COUNTIFS('Bank Lines'!$G$5:$G$1640,A823,'Bank Lines'!$J$5:$J$1640,1)</f>
        <v>1</v>
      </c>
      <c r="I823">
        <f>COUNTIFS('Odoo Items'!$J$5:$J$4331,A823)</f>
        <v>1</v>
      </c>
      <c r="J823" s="9">
        <f>ROUND(SUMIFS('Bank Lines'!$E$5:$E$1640,'Bank Lines'!$G$5:$G$1640,A823,'Bank Lines'!$J$5:$J$1640,1),2)</f>
        <v>2193.51</v>
      </c>
      <c r="K823" s="9">
        <f>ROUND(SUMIFS('Odoo Items'!$G$5:$G$4331,'Odoo Items'!$J$5:$J$4331,A823),2)</f>
        <v>2193.51</v>
      </c>
      <c r="L823" s="9">
        <f>ROUND(J823-K823,2)</f>
        <v>0</v>
      </c>
      <c r="M823" s="9">
        <f>ROUND(SUMIFS('Bank Lines'!$E$5:$E$1640,'Bank Lines'!$G$5:$G$1640,A823,'Bank Lines'!$J$5:$J$1640,1,'Bank Lines'!$C$5:$C$1640,"&lt;="&amp;Cover!$C$13),2)</f>
        <v>0</v>
      </c>
      <c r="N823" s="9">
        <f>ROUND(SUMIFS('Odoo Items'!$G$5:$G$4331,'Odoo Items'!$J$5:$J$4331,A823,'Odoo Items'!$C$5:$C$4331,"&lt;="&amp;Cover!$C$13),2)</f>
        <v>0</v>
      </c>
      <c r="O823">
        <f>COUNTIFS('Bank Lines'!$G$5:$G$1640,A823,'Bank Lines'!$J$5:$J$1640,1,'Bank Lines'!$C$5:$C$1640,"&lt;="&amp;Cover!$C$13)</f>
        <v>0</v>
      </c>
      <c r="P823">
        <f>COUNTIFS('Odoo Items'!$J$5:$J$4331,A823,'Odoo Items'!$C$5:$C$4331,"&lt;="&amp;Cover!$C$13)</f>
        <v>0</v>
      </c>
      <c r="Q823">
        <f>IF(AND(O823=0,P823=0),"",IF(O823=0,"ODOO-ONLY",IF(P823=0,"BANK-ONLY","BOTH")))</f>
      </c>
      <c r="R823" s="9">
        <f>IF(Q823="BOTH",ROUND(M823-N823,2),0)</f>
        <v>0</v>
      </c>
      <c r="S823" s="9">
        <f>ROUND(SUMIFS('Bank Lines'!$E$5:$E$1640,'Bank Lines'!$G$5:$G$1640,A823,'Bank Lines'!$J$5:$J$1640,1,'Bank Lines'!$C$5:$C$1640,"&lt;="&amp;Cover!$C$14),2)</f>
        <v>0</v>
      </c>
      <c r="T823" s="9">
        <f>ROUND(SUMIFS('Odoo Items'!$G$5:$G$4331,'Odoo Items'!$J$5:$J$4331,A823,'Odoo Items'!$C$5:$C$4331,"&lt;="&amp;Cover!$C$14),2)</f>
        <v>0</v>
      </c>
      <c r="U823">
        <f>COUNTIFS('Bank Lines'!$G$5:$G$1640,A823,'Bank Lines'!$J$5:$J$1640,1,'Bank Lines'!$C$5:$C$1640,"&lt;="&amp;Cover!$C$14)</f>
        <v>0</v>
      </c>
      <c r="V823">
        <f>COUNTIFS('Odoo Items'!$J$5:$J$4331,A823,'Odoo Items'!$C$5:$C$4331,"&lt;="&amp;Cover!$C$14)</f>
        <v>0</v>
      </c>
      <c r="W823">
        <f>IF(AND(U823=0,V823=0),"",IF(U823=0,"ODOO-ONLY",IF(V823=0,"BANK-ONLY","BOTH")))</f>
      </c>
      <c r="X823" s="9">
        <f>IF(W823="BOTH",ROUND(S823-T823,2),0)</f>
        <v>0</v>
      </c>
      <c r="Y823" s="9">
        <f>ROUND(SUMIFS('Bank Lines'!$E$5:$E$1640,'Bank Lines'!$G$5:$G$1640,A823,'Bank Lines'!$J$5:$J$1640,1,'Bank Lines'!$C$5:$C$1640,"&lt;="&amp;Cover!$C$15),2)</f>
        <v>2193.51</v>
      </c>
      <c r="Z823" s="9">
        <f>ROUND(SUMIFS('Odoo Items'!$G$5:$G$4331,'Odoo Items'!$J$5:$J$4331,A823,'Odoo Items'!$C$5:$C$4331,"&lt;="&amp;Cover!$C$15),2)</f>
        <v>2193.51</v>
      </c>
      <c r="AA823">
        <f>COUNTIFS('Bank Lines'!$G$5:$G$1640,A823,'Bank Lines'!$J$5:$J$1640,1,'Bank Lines'!$C$5:$C$1640,"&lt;="&amp;Cover!$C$15)</f>
        <v>1</v>
      </c>
      <c r="AB823">
        <f>COUNTIFS('Odoo Items'!$J$5:$J$4331,A823,'Odoo Items'!$C$5:$C$4331,"&lt;="&amp;Cover!$C$15)</f>
        <v>1</v>
      </c>
      <c r="AC823" t="str">
        <f>IF(AND(AA823=0,AB823=0),"",IF(AA823=0,"ODOO-ONLY",IF(AB823=0,"BANK-ONLY","BOTH")))</f>
        <v>BOTH</v>
      </c>
      <c r="AD823" s="9">
        <f>IF(AC823="BOTH",ROUND(Y823-Z823,2),0)</f>
        <v>0</v>
      </c>
    </row>
    <row r="824">
      <c r="A824" t="inlineStr">
        <is>
          <t>G00820</t>
        </is>
      </c>
      <c r="B824" t="inlineStr">
        <is>
          <t>MER</t>
        </is>
      </c>
      <c r="C824" t="inlineStr">
        <is>
          <t>R08</t>
        </is>
      </c>
      <c r="D824" t="inlineStr">
        <is>
          <t>MATCH</t>
        </is>
      </c>
      <c r="E824" t="inlineStr"/>
      <c r="G824" t="inlineStr"/>
      <c r="H824">
        <f>COUNTIFS('Bank Lines'!$G$5:$G$1640,A824,'Bank Lines'!$J$5:$J$1640,1)</f>
        <v>1</v>
      </c>
      <c r="I824">
        <f>COUNTIFS('Odoo Items'!$J$5:$J$4331,A824)</f>
        <v>1</v>
      </c>
      <c r="J824" s="9">
        <f>ROUND(SUMIFS('Bank Lines'!$E$5:$E$1640,'Bank Lines'!$G$5:$G$1640,A824,'Bank Lines'!$J$5:$J$1640,1),2)</f>
        <v>3269.37</v>
      </c>
      <c r="K824" s="9">
        <f>ROUND(SUMIFS('Odoo Items'!$G$5:$G$4331,'Odoo Items'!$J$5:$J$4331,A824),2)</f>
        <v>3269.37</v>
      </c>
      <c r="L824" s="9">
        <f>ROUND(J824-K824,2)</f>
        <v>0</v>
      </c>
      <c r="M824" s="9">
        <f>ROUND(SUMIFS('Bank Lines'!$E$5:$E$1640,'Bank Lines'!$G$5:$G$1640,A824,'Bank Lines'!$J$5:$J$1640,1,'Bank Lines'!$C$5:$C$1640,"&lt;="&amp;Cover!$C$13),2)</f>
        <v>0</v>
      </c>
      <c r="N824" s="9">
        <f>ROUND(SUMIFS('Odoo Items'!$G$5:$G$4331,'Odoo Items'!$J$5:$J$4331,A824,'Odoo Items'!$C$5:$C$4331,"&lt;="&amp;Cover!$C$13),2)</f>
        <v>0</v>
      </c>
      <c r="O824">
        <f>COUNTIFS('Bank Lines'!$G$5:$G$1640,A824,'Bank Lines'!$J$5:$J$1640,1,'Bank Lines'!$C$5:$C$1640,"&lt;="&amp;Cover!$C$13)</f>
        <v>0</v>
      </c>
      <c r="P824">
        <f>COUNTIFS('Odoo Items'!$J$5:$J$4331,A824,'Odoo Items'!$C$5:$C$4331,"&lt;="&amp;Cover!$C$13)</f>
        <v>0</v>
      </c>
      <c r="Q824">
        <f>IF(AND(O824=0,P824=0),"",IF(O824=0,"ODOO-ONLY",IF(P824=0,"BANK-ONLY","BOTH")))</f>
      </c>
      <c r="R824" s="9">
        <f>IF(Q824="BOTH",ROUND(M824-N824,2),0)</f>
        <v>0</v>
      </c>
      <c r="S824" s="9">
        <f>ROUND(SUMIFS('Bank Lines'!$E$5:$E$1640,'Bank Lines'!$G$5:$G$1640,A824,'Bank Lines'!$J$5:$J$1640,1,'Bank Lines'!$C$5:$C$1640,"&lt;="&amp;Cover!$C$14),2)</f>
        <v>0</v>
      </c>
      <c r="T824" s="9">
        <f>ROUND(SUMIFS('Odoo Items'!$G$5:$G$4331,'Odoo Items'!$J$5:$J$4331,A824,'Odoo Items'!$C$5:$C$4331,"&lt;="&amp;Cover!$C$14),2)</f>
        <v>0</v>
      </c>
      <c r="U824">
        <f>COUNTIFS('Bank Lines'!$G$5:$G$1640,A824,'Bank Lines'!$J$5:$J$1640,1,'Bank Lines'!$C$5:$C$1640,"&lt;="&amp;Cover!$C$14)</f>
        <v>0</v>
      </c>
      <c r="V824">
        <f>COUNTIFS('Odoo Items'!$J$5:$J$4331,A824,'Odoo Items'!$C$5:$C$4331,"&lt;="&amp;Cover!$C$14)</f>
        <v>0</v>
      </c>
      <c r="W824">
        <f>IF(AND(U824=0,V824=0),"",IF(U824=0,"ODOO-ONLY",IF(V824=0,"BANK-ONLY","BOTH")))</f>
      </c>
      <c r="X824" s="9">
        <f>IF(W824="BOTH",ROUND(S824-T824,2),0)</f>
        <v>0</v>
      </c>
      <c r="Y824" s="9">
        <f>ROUND(SUMIFS('Bank Lines'!$E$5:$E$1640,'Bank Lines'!$G$5:$G$1640,A824,'Bank Lines'!$J$5:$J$1640,1,'Bank Lines'!$C$5:$C$1640,"&lt;="&amp;Cover!$C$15),2)</f>
        <v>3269.37</v>
      </c>
      <c r="Z824" s="9">
        <f>ROUND(SUMIFS('Odoo Items'!$G$5:$G$4331,'Odoo Items'!$J$5:$J$4331,A824,'Odoo Items'!$C$5:$C$4331,"&lt;="&amp;Cover!$C$15),2)</f>
        <v>3269.37</v>
      </c>
      <c r="AA824">
        <f>COUNTIFS('Bank Lines'!$G$5:$G$1640,A824,'Bank Lines'!$J$5:$J$1640,1,'Bank Lines'!$C$5:$C$1640,"&lt;="&amp;Cover!$C$15)</f>
        <v>1</v>
      </c>
      <c r="AB824">
        <f>COUNTIFS('Odoo Items'!$J$5:$J$4331,A824,'Odoo Items'!$C$5:$C$4331,"&lt;="&amp;Cover!$C$15)</f>
        <v>1</v>
      </c>
      <c r="AC824" t="str">
        <f>IF(AND(AA824=0,AB824=0),"",IF(AA824=0,"ODOO-ONLY",IF(AB824=0,"BANK-ONLY","BOTH")))</f>
        <v>BOTH</v>
      </c>
      <c r="AD824" s="9">
        <f>IF(AC824="BOTH",ROUND(Y824-Z824,2),0)</f>
        <v>0</v>
      </c>
    </row>
    <row r="825">
      <c r="A825" t="inlineStr">
        <is>
          <t>G00821</t>
        </is>
      </c>
      <c r="B825" t="inlineStr">
        <is>
          <t>MER</t>
        </is>
      </c>
      <c r="C825" t="inlineStr">
        <is>
          <t>R08</t>
        </is>
      </c>
      <c r="D825" t="inlineStr">
        <is>
          <t>MATCH</t>
        </is>
      </c>
      <c r="E825" t="inlineStr"/>
      <c r="G825" t="inlineStr"/>
      <c r="H825">
        <f>COUNTIFS('Bank Lines'!$G$5:$G$1640,A825,'Bank Lines'!$J$5:$J$1640,1)</f>
        <v>1</v>
      </c>
      <c r="I825">
        <f>COUNTIFS('Odoo Items'!$J$5:$J$4331,A825)</f>
        <v>1</v>
      </c>
      <c r="J825" s="9">
        <f>ROUND(SUMIFS('Bank Lines'!$E$5:$E$1640,'Bank Lines'!$G$5:$G$1640,A825,'Bank Lines'!$J$5:$J$1640,1),2)</f>
        <v>1995.11</v>
      </c>
      <c r="K825" s="9">
        <f>ROUND(SUMIFS('Odoo Items'!$G$5:$G$4331,'Odoo Items'!$J$5:$J$4331,A825),2)</f>
        <v>1995.11</v>
      </c>
      <c r="L825" s="9">
        <f>ROUND(J825-K825,2)</f>
        <v>0</v>
      </c>
      <c r="M825" s="9">
        <f>ROUND(SUMIFS('Bank Lines'!$E$5:$E$1640,'Bank Lines'!$G$5:$G$1640,A825,'Bank Lines'!$J$5:$J$1640,1,'Bank Lines'!$C$5:$C$1640,"&lt;="&amp;Cover!$C$13),2)</f>
        <v>0</v>
      </c>
      <c r="N825" s="9">
        <f>ROUND(SUMIFS('Odoo Items'!$G$5:$G$4331,'Odoo Items'!$J$5:$J$4331,A825,'Odoo Items'!$C$5:$C$4331,"&lt;="&amp;Cover!$C$13),2)</f>
        <v>0</v>
      </c>
      <c r="O825">
        <f>COUNTIFS('Bank Lines'!$G$5:$G$1640,A825,'Bank Lines'!$J$5:$J$1640,1,'Bank Lines'!$C$5:$C$1640,"&lt;="&amp;Cover!$C$13)</f>
        <v>0</v>
      </c>
      <c r="P825">
        <f>COUNTIFS('Odoo Items'!$J$5:$J$4331,A825,'Odoo Items'!$C$5:$C$4331,"&lt;="&amp;Cover!$C$13)</f>
        <v>0</v>
      </c>
      <c r="Q825">
        <f>IF(AND(O825=0,P825=0),"",IF(O825=0,"ODOO-ONLY",IF(P825=0,"BANK-ONLY","BOTH")))</f>
      </c>
      <c r="R825" s="9">
        <f>IF(Q825="BOTH",ROUND(M825-N825,2),0)</f>
        <v>0</v>
      </c>
      <c r="S825" s="9">
        <f>ROUND(SUMIFS('Bank Lines'!$E$5:$E$1640,'Bank Lines'!$G$5:$G$1640,A825,'Bank Lines'!$J$5:$J$1640,1,'Bank Lines'!$C$5:$C$1640,"&lt;="&amp;Cover!$C$14),2)</f>
        <v>0</v>
      </c>
      <c r="T825" s="9">
        <f>ROUND(SUMIFS('Odoo Items'!$G$5:$G$4331,'Odoo Items'!$J$5:$J$4331,A825,'Odoo Items'!$C$5:$C$4331,"&lt;="&amp;Cover!$C$14),2)</f>
        <v>0</v>
      </c>
      <c r="U825">
        <f>COUNTIFS('Bank Lines'!$G$5:$G$1640,A825,'Bank Lines'!$J$5:$J$1640,1,'Bank Lines'!$C$5:$C$1640,"&lt;="&amp;Cover!$C$14)</f>
        <v>0</v>
      </c>
      <c r="V825">
        <f>COUNTIFS('Odoo Items'!$J$5:$J$4331,A825,'Odoo Items'!$C$5:$C$4331,"&lt;="&amp;Cover!$C$14)</f>
        <v>0</v>
      </c>
      <c r="W825">
        <f>IF(AND(U825=0,V825=0),"",IF(U825=0,"ODOO-ONLY",IF(V825=0,"BANK-ONLY","BOTH")))</f>
      </c>
      <c r="X825" s="9">
        <f>IF(W825="BOTH",ROUND(S825-T825,2),0)</f>
        <v>0</v>
      </c>
      <c r="Y825" s="9">
        <f>ROUND(SUMIFS('Bank Lines'!$E$5:$E$1640,'Bank Lines'!$G$5:$G$1640,A825,'Bank Lines'!$J$5:$J$1640,1,'Bank Lines'!$C$5:$C$1640,"&lt;="&amp;Cover!$C$15),2)</f>
        <v>1995.11</v>
      </c>
      <c r="Z825" s="9">
        <f>ROUND(SUMIFS('Odoo Items'!$G$5:$G$4331,'Odoo Items'!$J$5:$J$4331,A825,'Odoo Items'!$C$5:$C$4331,"&lt;="&amp;Cover!$C$15),2)</f>
        <v>1995.11</v>
      </c>
      <c r="AA825">
        <f>COUNTIFS('Bank Lines'!$G$5:$G$1640,A825,'Bank Lines'!$J$5:$J$1640,1,'Bank Lines'!$C$5:$C$1640,"&lt;="&amp;Cover!$C$15)</f>
        <v>1</v>
      </c>
      <c r="AB825">
        <f>COUNTIFS('Odoo Items'!$J$5:$J$4331,A825,'Odoo Items'!$C$5:$C$4331,"&lt;="&amp;Cover!$C$15)</f>
        <v>1</v>
      </c>
      <c r="AC825" t="str">
        <f>IF(AND(AA825=0,AB825=0),"",IF(AA825=0,"ODOO-ONLY",IF(AB825=0,"BANK-ONLY","BOTH")))</f>
        <v>BOTH</v>
      </c>
      <c r="AD825" s="9">
        <f>IF(AC825="BOTH",ROUND(Y825-Z825,2),0)</f>
        <v>0</v>
      </c>
    </row>
    <row r="826">
      <c r="A826" t="inlineStr">
        <is>
          <t>G00822</t>
        </is>
      </c>
      <c r="B826" t="inlineStr">
        <is>
          <t>MER</t>
        </is>
      </c>
      <c r="C826" t="inlineStr">
        <is>
          <t>R08</t>
        </is>
      </c>
      <c r="D826" t="inlineStr">
        <is>
          <t>MATCH</t>
        </is>
      </c>
      <c r="E826" t="inlineStr"/>
      <c r="G826" t="inlineStr"/>
      <c r="H826">
        <f>COUNTIFS('Bank Lines'!$G$5:$G$1640,A826,'Bank Lines'!$J$5:$J$1640,1)</f>
        <v>1</v>
      </c>
      <c r="I826">
        <f>COUNTIFS('Odoo Items'!$J$5:$J$4331,A826)</f>
        <v>1</v>
      </c>
      <c r="J826" s="9">
        <f>ROUND(SUMIFS('Bank Lines'!$E$5:$E$1640,'Bank Lines'!$G$5:$G$1640,A826,'Bank Lines'!$J$5:$J$1640,1),2)</f>
        <v>1271.06</v>
      </c>
      <c r="K826" s="9">
        <f>ROUND(SUMIFS('Odoo Items'!$G$5:$G$4331,'Odoo Items'!$J$5:$J$4331,A826),2)</f>
        <v>1271.06</v>
      </c>
      <c r="L826" s="9">
        <f>ROUND(J826-K826,2)</f>
        <v>0</v>
      </c>
      <c r="M826" s="9">
        <f>ROUND(SUMIFS('Bank Lines'!$E$5:$E$1640,'Bank Lines'!$G$5:$G$1640,A826,'Bank Lines'!$J$5:$J$1640,1,'Bank Lines'!$C$5:$C$1640,"&lt;="&amp;Cover!$C$13),2)</f>
        <v>0</v>
      </c>
      <c r="N826" s="9">
        <f>ROUND(SUMIFS('Odoo Items'!$G$5:$G$4331,'Odoo Items'!$J$5:$J$4331,A826,'Odoo Items'!$C$5:$C$4331,"&lt;="&amp;Cover!$C$13),2)</f>
        <v>0</v>
      </c>
      <c r="O826">
        <f>COUNTIFS('Bank Lines'!$G$5:$G$1640,A826,'Bank Lines'!$J$5:$J$1640,1,'Bank Lines'!$C$5:$C$1640,"&lt;="&amp;Cover!$C$13)</f>
        <v>0</v>
      </c>
      <c r="P826">
        <f>COUNTIFS('Odoo Items'!$J$5:$J$4331,A826,'Odoo Items'!$C$5:$C$4331,"&lt;="&amp;Cover!$C$13)</f>
        <v>0</v>
      </c>
      <c r="Q826">
        <f>IF(AND(O826=0,P826=0),"",IF(O826=0,"ODOO-ONLY",IF(P826=0,"BANK-ONLY","BOTH")))</f>
      </c>
      <c r="R826" s="9">
        <f>IF(Q826="BOTH",ROUND(M826-N826,2),0)</f>
        <v>0</v>
      </c>
      <c r="S826" s="9">
        <f>ROUND(SUMIFS('Bank Lines'!$E$5:$E$1640,'Bank Lines'!$G$5:$G$1640,A826,'Bank Lines'!$J$5:$J$1640,1,'Bank Lines'!$C$5:$C$1640,"&lt;="&amp;Cover!$C$14),2)</f>
        <v>0</v>
      </c>
      <c r="T826" s="9">
        <f>ROUND(SUMIFS('Odoo Items'!$G$5:$G$4331,'Odoo Items'!$J$5:$J$4331,A826,'Odoo Items'!$C$5:$C$4331,"&lt;="&amp;Cover!$C$14),2)</f>
        <v>0</v>
      </c>
      <c r="U826">
        <f>COUNTIFS('Bank Lines'!$G$5:$G$1640,A826,'Bank Lines'!$J$5:$J$1640,1,'Bank Lines'!$C$5:$C$1640,"&lt;="&amp;Cover!$C$14)</f>
        <v>0</v>
      </c>
      <c r="V826">
        <f>COUNTIFS('Odoo Items'!$J$5:$J$4331,A826,'Odoo Items'!$C$5:$C$4331,"&lt;="&amp;Cover!$C$14)</f>
        <v>0</v>
      </c>
      <c r="W826">
        <f>IF(AND(U826=0,V826=0),"",IF(U826=0,"ODOO-ONLY",IF(V826=0,"BANK-ONLY","BOTH")))</f>
      </c>
      <c r="X826" s="9">
        <f>IF(W826="BOTH",ROUND(S826-T826,2),0)</f>
        <v>0</v>
      </c>
      <c r="Y826" s="9">
        <f>ROUND(SUMIFS('Bank Lines'!$E$5:$E$1640,'Bank Lines'!$G$5:$G$1640,A826,'Bank Lines'!$J$5:$J$1640,1,'Bank Lines'!$C$5:$C$1640,"&lt;="&amp;Cover!$C$15),2)</f>
        <v>1271.06</v>
      </c>
      <c r="Z826" s="9">
        <f>ROUND(SUMIFS('Odoo Items'!$G$5:$G$4331,'Odoo Items'!$J$5:$J$4331,A826,'Odoo Items'!$C$5:$C$4331,"&lt;="&amp;Cover!$C$15),2)</f>
        <v>1271.06</v>
      </c>
      <c r="AA826">
        <f>COUNTIFS('Bank Lines'!$G$5:$G$1640,A826,'Bank Lines'!$J$5:$J$1640,1,'Bank Lines'!$C$5:$C$1640,"&lt;="&amp;Cover!$C$15)</f>
        <v>1</v>
      </c>
      <c r="AB826">
        <f>COUNTIFS('Odoo Items'!$J$5:$J$4331,A826,'Odoo Items'!$C$5:$C$4331,"&lt;="&amp;Cover!$C$15)</f>
        <v>1</v>
      </c>
      <c r="AC826" t="str">
        <f>IF(AND(AA826=0,AB826=0),"",IF(AA826=0,"ODOO-ONLY",IF(AB826=0,"BANK-ONLY","BOTH")))</f>
        <v>BOTH</v>
      </c>
      <c r="AD826" s="9">
        <f>IF(AC826="BOTH",ROUND(Y826-Z826,2),0)</f>
        <v>0</v>
      </c>
    </row>
    <row r="827">
      <c r="A827" t="inlineStr">
        <is>
          <t>G00823</t>
        </is>
      </c>
      <c r="B827" t="inlineStr">
        <is>
          <t>MER</t>
        </is>
      </c>
      <c r="C827" t="inlineStr">
        <is>
          <t>R08</t>
        </is>
      </c>
      <c r="D827" t="inlineStr">
        <is>
          <t>MATCH</t>
        </is>
      </c>
      <c r="E827" t="inlineStr"/>
      <c r="G827" t="inlineStr"/>
      <c r="H827">
        <f>COUNTIFS('Bank Lines'!$G$5:$G$1640,A827,'Bank Lines'!$J$5:$J$1640,1)</f>
        <v>1</v>
      </c>
      <c r="I827">
        <f>COUNTIFS('Odoo Items'!$J$5:$J$4331,A827)</f>
        <v>1</v>
      </c>
      <c r="J827" s="9">
        <f>ROUND(SUMIFS('Bank Lines'!$E$5:$E$1640,'Bank Lines'!$G$5:$G$1640,A827,'Bank Lines'!$J$5:$J$1640,1),2)</f>
        <v>2537.92</v>
      </c>
      <c r="K827" s="9">
        <f>ROUND(SUMIFS('Odoo Items'!$G$5:$G$4331,'Odoo Items'!$J$5:$J$4331,A827),2)</f>
        <v>2537.92</v>
      </c>
      <c r="L827" s="9">
        <f>ROUND(J827-K827,2)</f>
        <v>0</v>
      </c>
      <c r="M827" s="9">
        <f>ROUND(SUMIFS('Bank Lines'!$E$5:$E$1640,'Bank Lines'!$G$5:$G$1640,A827,'Bank Lines'!$J$5:$J$1640,1,'Bank Lines'!$C$5:$C$1640,"&lt;="&amp;Cover!$C$13),2)</f>
        <v>0</v>
      </c>
      <c r="N827" s="9">
        <f>ROUND(SUMIFS('Odoo Items'!$G$5:$G$4331,'Odoo Items'!$J$5:$J$4331,A827,'Odoo Items'!$C$5:$C$4331,"&lt;="&amp;Cover!$C$13),2)</f>
        <v>0</v>
      </c>
      <c r="O827">
        <f>COUNTIFS('Bank Lines'!$G$5:$G$1640,A827,'Bank Lines'!$J$5:$J$1640,1,'Bank Lines'!$C$5:$C$1640,"&lt;="&amp;Cover!$C$13)</f>
        <v>0</v>
      </c>
      <c r="P827">
        <f>COUNTIFS('Odoo Items'!$J$5:$J$4331,A827,'Odoo Items'!$C$5:$C$4331,"&lt;="&amp;Cover!$C$13)</f>
        <v>0</v>
      </c>
      <c r="Q827">
        <f>IF(AND(O827=0,P827=0),"",IF(O827=0,"ODOO-ONLY",IF(P827=0,"BANK-ONLY","BOTH")))</f>
      </c>
      <c r="R827" s="9">
        <f>IF(Q827="BOTH",ROUND(M827-N827,2),0)</f>
        <v>0</v>
      </c>
      <c r="S827" s="9">
        <f>ROUND(SUMIFS('Bank Lines'!$E$5:$E$1640,'Bank Lines'!$G$5:$G$1640,A827,'Bank Lines'!$J$5:$J$1640,1,'Bank Lines'!$C$5:$C$1640,"&lt;="&amp;Cover!$C$14),2)</f>
        <v>0</v>
      </c>
      <c r="T827" s="9">
        <f>ROUND(SUMIFS('Odoo Items'!$G$5:$G$4331,'Odoo Items'!$J$5:$J$4331,A827,'Odoo Items'!$C$5:$C$4331,"&lt;="&amp;Cover!$C$14),2)</f>
        <v>0</v>
      </c>
      <c r="U827">
        <f>COUNTIFS('Bank Lines'!$G$5:$G$1640,A827,'Bank Lines'!$J$5:$J$1640,1,'Bank Lines'!$C$5:$C$1640,"&lt;="&amp;Cover!$C$14)</f>
        <v>0</v>
      </c>
      <c r="V827">
        <f>COUNTIFS('Odoo Items'!$J$5:$J$4331,A827,'Odoo Items'!$C$5:$C$4331,"&lt;="&amp;Cover!$C$14)</f>
        <v>0</v>
      </c>
      <c r="W827">
        <f>IF(AND(U827=0,V827=0),"",IF(U827=0,"ODOO-ONLY",IF(V827=0,"BANK-ONLY","BOTH")))</f>
      </c>
      <c r="X827" s="9">
        <f>IF(W827="BOTH",ROUND(S827-T827,2),0)</f>
        <v>0</v>
      </c>
      <c r="Y827" s="9">
        <f>ROUND(SUMIFS('Bank Lines'!$E$5:$E$1640,'Bank Lines'!$G$5:$G$1640,A827,'Bank Lines'!$J$5:$J$1640,1,'Bank Lines'!$C$5:$C$1640,"&lt;="&amp;Cover!$C$15),2)</f>
        <v>2537.92</v>
      </c>
      <c r="Z827" s="9">
        <f>ROUND(SUMIFS('Odoo Items'!$G$5:$G$4331,'Odoo Items'!$J$5:$J$4331,A827,'Odoo Items'!$C$5:$C$4331,"&lt;="&amp;Cover!$C$15),2)</f>
        <v>2537.92</v>
      </c>
      <c r="AA827">
        <f>COUNTIFS('Bank Lines'!$G$5:$G$1640,A827,'Bank Lines'!$J$5:$J$1640,1,'Bank Lines'!$C$5:$C$1640,"&lt;="&amp;Cover!$C$15)</f>
        <v>1</v>
      </c>
      <c r="AB827">
        <f>COUNTIFS('Odoo Items'!$J$5:$J$4331,A827,'Odoo Items'!$C$5:$C$4331,"&lt;="&amp;Cover!$C$15)</f>
        <v>1</v>
      </c>
      <c r="AC827" t="str">
        <f>IF(AND(AA827=0,AB827=0),"",IF(AA827=0,"ODOO-ONLY",IF(AB827=0,"BANK-ONLY","BOTH")))</f>
        <v>BOTH</v>
      </c>
      <c r="AD827" s="9">
        <f>IF(AC827="BOTH",ROUND(Y827-Z827,2),0)</f>
        <v>0</v>
      </c>
    </row>
    <row r="828">
      <c r="A828" t="inlineStr">
        <is>
          <t>G00824</t>
        </is>
      </c>
      <c r="B828" t="inlineStr">
        <is>
          <t>MER</t>
        </is>
      </c>
      <c r="C828" t="inlineStr">
        <is>
          <t>R08</t>
        </is>
      </c>
      <c r="D828" t="inlineStr">
        <is>
          <t>MATCH</t>
        </is>
      </c>
      <c r="E828" t="inlineStr"/>
      <c r="G828" t="inlineStr"/>
      <c r="H828">
        <f>COUNTIFS('Bank Lines'!$G$5:$G$1640,A828,'Bank Lines'!$J$5:$J$1640,1)</f>
        <v>1</v>
      </c>
      <c r="I828">
        <f>COUNTIFS('Odoo Items'!$J$5:$J$4331,A828)</f>
        <v>1</v>
      </c>
      <c r="J828" s="9">
        <f>ROUND(SUMIFS('Bank Lines'!$E$5:$E$1640,'Bank Lines'!$G$5:$G$1640,A828,'Bank Lines'!$J$5:$J$1640,1),2)</f>
        <v>1819.69</v>
      </c>
      <c r="K828" s="9">
        <f>ROUND(SUMIFS('Odoo Items'!$G$5:$G$4331,'Odoo Items'!$J$5:$J$4331,A828),2)</f>
        <v>1819.69</v>
      </c>
      <c r="L828" s="9">
        <f>ROUND(J828-K828,2)</f>
        <v>0</v>
      </c>
      <c r="M828" s="9">
        <f>ROUND(SUMIFS('Bank Lines'!$E$5:$E$1640,'Bank Lines'!$G$5:$G$1640,A828,'Bank Lines'!$J$5:$J$1640,1,'Bank Lines'!$C$5:$C$1640,"&lt;="&amp;Cover!$C$13),2)</f>
        <v>0</v>
      </c>
      <c r="N828" s="9">
        <f>ROUND(SUMIFS('Odoo Items'!$G$5:$G$4331,'Odoo Items'!$J$5:$J$4331,A828,'Odoo Items'!$C$5:$C$4331,"&lt;="&amp;Cover!$C$13),2)</f>
        <v>0</v>
      </c>
      <c r="O828">
        <f>COUNTIFS('Bank Lines'!$G$5:$G$1640,A828,'Bank Lines'!$J$5:$J$1640,1,'Bank Lines'!$C$5:$C$1640,"&lt;="&amp;Cover!$C$13)</f>
        <v>0</v>
      </c>
      <c r="P828">
        <f>COUNTIFS('Odoo Items'!$J$5:$J$4331,A828,'Odoo Items'!$C$5:$C$4331,"&lt;="&amp;Cover!$C$13)</f>
        <v>0</v>
      </c>
      <c r="Q828">
        <f>IF(AND(O828=0,P828=0),"",IF(O828=0,"ODOO-ONLY",IF(P828=0,"BANK-ONLY","BOTH")))</f>
      </c>
      <c r="R828" s="9">
        <f>IF(Q828="BOTH",ROUND(M828-N828,2),0)</f>
        <v>0</v>
      </c>
      <c r="S828" s="9">
        <f>ROUND(SUMIFS('Bank Lines'!$E$5:$E$1640,'Bank Lines'!$G$5:$G$1640,A828,'Bank Lines'!$J$5:$J$1640,1,'Bank Lines'!$C$5:$C$1640,"&lt;="&amp;Cover!$C$14),2)</f>
        <v>0</v>
      </c>
      <c r="T828" s="9">
        <f>ROUND(SUMIFS('Odoo Items'!$G$5:$G$4331,'Odoo Items'!$J$5:$J$4331,A828,'Odoo Items'!$C$5:$C$4331,"&lt;="&amp;Cover!$C$14),2)</f>
        <v>0</v>
      </c>
      <c r="U828">
        <f>COUNTIFS('Bank Lines'!$G$5:$G$1640,A828,'Bank Lines'!$J$5:$J$1640,1,'Bank Lines'!$C$5:$C$1640,"&lt;="&amp;Cover!$C$14)</f>
        <v>0</v>
      </c>
      <c r="V828">
        <f>COUNTIFS('Odoo Items'!$J$5:$J$4331,A828,'Odoo Items'!$C$5:$C$4331,"&lt;="&amp;Cover!$C$14)</f>
        <v>0</v>
      </c>
      <c r="W828">
        <f>IF(AND(U828=0,V828=0),"",IF(U828=0,"ODOO-ONLY",IF(V828=0,"BANK-ONLY","BOTH")))</f>
      </c>
      <c r="X828" s="9">
        <f>IF(W828="BOTH",ROUND(S828-T828,2),0)</f>
        <v>0</v>
      </c>
      <c r="Y828" s="9">
        <f>ROUND(SUMIFS('Bank Lines'!$E$5:$E$1640,'Bank Lines'!$G$5:$G$1640,A828,'Bank Lines'!$J$5:$J$1640,1,'Bank Lines'!$C$5:$C$1640,"&lt;="&amp;Cover!$C$15),2)</f>
        <v>1819.69</v>
      </c>
      <c r="Z828" s="9">
        <f>ROUND(SUMIFS('Odoo Items'!$G$5:$G$4331,'Odoo Items'!$J$5:$J$4331,A828,'Odoo Items'!$C$5:$C$4331,"&lt;="&amp;Cover!$C$15),2)</f>
        <v>1819.69</v>
      </c>
      <c r="AA828">
        <f>COUNTIFS('Bank Lines'!$G$5:$G$1640,A828,'Bank Lines'!$J$5:$J$1640,1,'Bank Lines'!$C$5:$C$1640,"&lt;="&amp;Cover!$C$15)</f>
        <v>1</v>
      </c>
      <c r="AB828">
        <f>COUNTIFS('Odoo Items'!$J$5:$J$4331,A828,'Odoo Items'!$C$5:$C$4331,"&lt;="&amp;Cover!$C$15)</f>
        <v>1</v>
      </c>
      <c r="AC828" t="str">
        <f>IF(AND(AA828=0,AB828=0),"",IF(AA828=0,"ODOO-ONLY",IF(AB828=0,"BANK-ONLY","BOTH")))</f>
        <v>BOTH</v>
      </c>
      <c r="AD828" s="9">
        <f>IF(AC828="BOTH",ROUND(Y828-Z828,2),0)</f>
        <v>0</v>
      </c>
    </row>
    <row r="829">
      <c r="A829" t="inlineStr">
        <is>
          <t>G00825</t>
        </is>
      </c>
      <c r="B829" t="inlineStr">
        <is>
          <t>MER</t>
        </is>
      </c>
      <c r="C829" t="inlineStr">
        <is>
          <t>R08</t>
        </is>
      </c>
      <c r="D829" t="inlineStr">
        <is>
          <t>MATCH</t>
        </is>
      </c>
      <c r="E829" t="inlineStr"/>
      <c r="G829" t="inlineStr"/>
      <c r="H829">
        <f>COUNTIFS('Bank Lines'!$G$5:$G$1640,A829,'Bank Lines'!$J$5:$J$1640,1)</f>
        <v>1</v>
      </c>
      <c r="I829">
        <f>COUNTIFS('Odoo Items'!$J$5:$J$4331,A829)</f>
        <v>1</v>
      </c>
      <c r="J829" s="9">
        <f>ROUND(SUMIFS('Bank Lines'!$E$5:$E$1640,'Bank Lines'!$G$5:$G$1640,A829,'Bank Lines'!$J$5:$J$1640,1),2)</f>
        <v>1936.42</v>
      </c>
      <c r="K829" s="9">
        <f>ROUND(SUMIFS('Odoo Items'!$G$5:$G$4331,'Odoo Items'!$J$5:$J$4331,A829),2)</f>
        <v>1936.42</v>
      </c>
      <c r="L829" s="9">
        <f>ROUND(J829-K829,2)</f>
        <v>0</v>
      </c>
      <c r="M829" s="9">
        <f>ROUND(SUMIFS('Bank Lines'!$E$5:$E$1640,'Bank Lines'!$G$5:$G$1640,A829,'Bank Lines'!$J$5:$J$1640,1,'Bank Lines'!$C$5:$C$1640,"&lt;="&amp;Cover!$C$13),2)</f>
        <v>0</v>
      </c>
      <c r="N829" s="9">
        <f>ROUND(SUMIFS('Odoo Items'!$G$5:$G$4331,'Odoo Items'!$J$5:$J$4331,A829,'Odoo Items'!$C$5:$C$4331,"&lt;="&amp;Cover!$C$13),2)</f>
        <v>0</v>
      </c>
      <c r="O829">
        <f>COUNTIFS('Bank Lines'!$G$5:$G$1640,A829,'Bank Lines'!$J$5:$J$1640,1,'Bank Lines'!$C$5:$C$1640,"&lt;="&amp;Cover!$C$13)</f>
        <v>0</v>
      </c>
      <c r="P829">
        <f>COUNTIFS('Odoo Items'!$J$5:$J$4331,A829,'Odoo Items'!$C$5:$C$4331,"&lt;="&amp;Cover!$C$13)</f>
        <v>0</v>
      </c>
      <c r="Q829">
        <f>IF(AND(O829=0,P829=0),"",IF(O829=0,"ODOO-ONLY",IF(P829=0,"BANK-ONLY","BOTH")))</f>
      </c>
      <c r="R829" s="9">
        <f>IF(Q829="BOTH",ROUND(M829-N829,2),0)</f>
        <v>0</v>
      </c>
      <c r="S829" s="9">
        <f>ROUND(SUMIFS('Bank Lines'!$E$5:$E$1640,'Bank Lines'!$G$5:$G$1640,A829,'Bank Lines'!$J$5:$J$1640,1,'Bank Lines'!$C$5:$C$1640,"&lt;="&amp;Cover!$C$14),2)</f>
        <v>0</v>
      </c>
      <c r="T829" s="9">
        <f>ROUND(SUMIFS('Odoo Items'!$G$5:$G$4331,'Odoo Items'!$J$5:$J$4331,A829,'Odoo Items'!$C$5:$C$4331,"&lt;="&amp;Cover!$C$14),2)</f>
        <v>0</v>
      </c>
      <c r="U829">
        <f>COUNTIFS('Bank Lines'!$G$5:$G$1640,A829,'Bank Lines'!$J$5:$J$1640,1,'Bank Lines'!$C$5:$C$1640,"&lt;="&amp;Cover!$C$14)</f>
        <v>0</v>
      </c>
      <c r="V829">
        <f>COUNTIFS('Odoo Items'!$J$5:$J$4331,A829,'Odoo Items'!$C$5:$C$4331,"&lt;="&amp;Cover!$C$14)</f>
        <v>0</v>
      </c>
      <c r="W829">
        <f>IF(AND(U829=0,V829=0),"",IF(U829=0,"ODOO-ONLY",IF(V829=0,"BANK-ONLY","BOTH")))</f>
      </c>
      <c r="X829" s="9">
        <f>IF(W829="BOTH",ROUND(S829-T829,2),0)</f>
        <v>0</v>
      </c>
      <c r="Y829" s="9">
        <f>ROUND(SUMIFS('Bank Lines'!$E$5:$E$1640,'Bank Lines'!$G$5:$G$1640,A829,'Bank Lines'!$J$5:$J$1640,1,'Bank Lines'!$C$5:$C$1640,"&lt;="&amp;Cover!$C$15),2)</f>
        <v>1936.42</v>
      </c>
      <c r="Z829" s="9">
        <f>ROUND(SUMIFS('Odoo Items'!$G$5:$G$4331,'Odoo Items'!$J$5:$J$4331,A829,'Odoo Items'!$C$5:$C$4331,"&lt;="&amp;Cover!$C$15),2)</f>
        <v>1936.42</v>
      </c>
      <c r="AA829">
        <f>COUNTIFS('Bank Lines'!$G$5:$G$1640,A829,'Bank Lines'!$J$5:$J$1640,1,'Bank Lines'!$C$5:$C$1640,"&lt;="&amp;Cover!$C$15)</f>
        <v>1</v>
      </c>
      <c r="AB829">
        <f>COUNTIFS('Odoo Items'!$J$5:$J$4331,A829,'Odoo Items'!$C$5:$C$4331,"&lt;="&amp;Cover!$C$15)</f>
        <v>1</v>
      </c>
      <c r="AC829" t="str">
        <f>IF(AND(AA829=0,AB829=0),"",IF(AA829=0,"ODOO-ONLY",IF(AB829=0,"BANK-ONLY","BOTH")))</f>
        <v>BOTH</v>
      </c>
      <c r="AD829" s="9">
        <f>IF(AC829="BOTH",ROUND(Y829-Z829,2),0)</f>
        <v>0</v>
      </c>
    </row>
    <row r="830">
      <c r="A830" t="inlineStr">
        <is>
          <t>G00826</t>
        </is>
      </c>
      <c r="B830" t="inlineStr">
        <is>
          <t>MER</t>
        </is>
      </c>
      <c r="C830" t="inlineStr">
        <is>
          <t>R08</t>
        </is>
      </c>
      <c r="D830" t="inlineStr">
        <is>
          <t>MATCH</t>
        </is>
      </c>
      <c r="E830" t="inlineStr"/>
      <c r="G830" t="inlineStr"/>
      <c r="H830">
        <f>COUNTIFS('Bank Lines'!$G$5:$G$1640,A830,'Bank Lines'!$J$5:$J$1640,1)</f>
        <v>1</v>
      </c>
      <c r="I830">
        <f>COUNTIFS('Odoo Items'!$J$5:$J$4331,A830)</f>
        <v>1</v>
      </c>
      <c r="J830" s="9">
        <f>ROUND(SUMIFS('Bank Lines'!$E$5:$E$1640,'Bank Lines'!$G$5:$G$1640,A830,'Bank Lines'!$J$5:$J$1640,1),2)</f>
        <v>1807.11</v>
      </c>
      <c r="K830" s="9">
        <f>ROUND(SUMIFS('Odoo Items'!$G$5:$G$4331,'Odoo Items'!$J$5:$J$4331,A830),2)</f>
        <v>1807.11</v>
      </c>
      <c r="L830" s="9">
        <f>ROUND(J830-K830,2)</f>
        <v>0</v>
      </c>
      <c r="M830" s="9">
        <f>ROUND(SUMIFS('Bank Lines'!$E$5:$E$1640,'Bank Lines'!$G$5:$G$1640,A830,'Bank Lines'!$J$5:$J$1640,1,'Bank Lines'!$C$5:$C$1640,"&lt;="&amp;Cover!$C$13),2)</f>
        <v>0</v>
      </c>
      <c r="N830" s="9">
        <f>ROUND(SUMIFS('Odoo Items'!$G$5:$G$4331,'Odoo Items'!$J$5:$J$4331,A830,'Odoo Items'!$C$5:$C$4331,"&lt;="&amp;Cover!$C$13),2)</f>
        <v>0</v>
      </c>
      <c r="O830">
        <f>COUNTIFS('Bank Lines'!$G$5:$G$1640,A830,'Bank Lines'!$J$5:$J$1640,1,'Bank Lines'!$C$5:$C$1640,"&lt;="&amp;Cover!$C$13)</f>
        <v>0</v>
      </c>
      <c r="P830">
        <f>COUNTIFS('Odoo Items'!$J$5:$J$4331,A830,'Odoo Items'!$C$5:$C$4331,"&lt;="&amp;Cover!$C$13)</f>
        <v>0</v>
      </c>
      <c r="Q830">
        <f>IF(AND(O830=0,P830=0),"",IF(O830=0,"ODOO-ONLY",IF(P830=0,"BANK-ONLY","BOTH")))</f>
      </c>
      <c r="R830" s="9">
        <f>IF(Q830="BOTH",ROUND(M830-N830,2),0)</f>
        <v>0</v>
      </c>
      <c r="S830" s="9">
        <f>ROUND(SUMIFS('Bank Lines'!$E$5:$E$1640,'Bank Lines'!$G$5:$G$1640,A830,'Bank Lines'!$J$5:$J$1640,1,'Bank Lines'!$C$5:$C$1640,"&lt;="&amp;Cover!$C$14),2)</f>
        <v>0</v>
      </c>
      <c r="T830" s="9">
        <f>ROUND(SUMIFS('Odoo Items'!$G$5:$G$4331,'Odoo Items'!$J$5:$J$4331,A830,'Odoo Items'!$C$5:$C$4331,"&lt;="&amp;Cover!$C$14),2)</f>
        <v>0</v>
      </c>
      <c r="U830">
        <f>COUNTIFS('Bank Lines'!$G$5:$G$1640,A830,'Bank Lines'!$J$5:$J$1640,1,'Bank Lines'!$C$5:$C$1640,"&lt;="&amp;Cover!$C$14)</f>
        <v>0</v>
      </c>
      <c r="V830">
        <f>COUNTIFS('Odoo Items'!$J$5:$J$4331,A830,'Odoo Items'!$C$5:$C$4331,"&lt;="&amp;Cover!$C$14)</f>
        <v>0</v>
      </c>
      <c r="W830">
        <f>IF(AND(U830=0,V830=0),"",IF(U830=0,"ODOO-ONLY",IF(V830=0,"BANK-ONLY","BOTH")))</f>
      </c>
      <c r="X830" s="9">
        <f>IF(W830="BOTH",ROUND(S830-T830,2),0)</f>
        <v>0</v>
      </c>
      <c r="Y830" s="9">
        <f>ROUND(SUMIFS('Bank Lines'!$E$5:$E$1640,'Bank Lines'!$G$5:$G$1640,A830,'Bank Lines'!$J$5:$J$1640,1,'Bank Lines'!$C$5:$C$1640,"&lt;="&amp;Cover!$C$15),2)</f>
        <v>1807.11</v>
      </c>
      <c r="Z830" s="9">
        <f>ROUND(SUMIFS('Odoo Items'!$G$5:$G$4331,'Odoo Items'!$J$5:$J$4331,A830,'Odoo Items'!$C$5:$C$4331,"&lt;="&amp;Cover!$C$15),2)</f>
        <v>1807.11</v>
      </c>
      <c r="AA830">
        <f>COUNTIFS('Bank Lines'!$G$5:$G$1640,A830,'Bank Lines'!$J$5:$J$1640,1,'Bank Lines'!$C$5:$C$1640,"&lt;="&amp;Cover!$C$15)</f>
        <v>1</v>
      </c>
      <c r="AB830">
        <f>COUNTIFS('Odoo Items'!$J$5:$J$4331,A830,'Odoo Items'!$C$5:$C$4331,"&lt;="&amp;Cover!$C$15)</f>
        <v>1</v>
      </c>
      <c r="AC830" t="str">
        <f>IF(AND(AA830=0,AB830=0),"",IF(AA830=0,"ODOO-ONLY",IF(AB830=0,"BANK-ONLY","BOTH")))</f>
        <v>BOTH</v>
      </c>
      <c r="AD830" s="9">
        <f>IF(AC830="BOTH",ROUND(Y830-Z830,2),0)</f>
        <v>0</v>
      </c>
    </row>
    <row r="831">
      <c r="A831" t="inlineStr">
        <is>
          <t>G00827</t>
        </is>
      </c>
      <c r="B831" t="inlineStr">
        <is>
          <t>MER</t>
        </is>
      </c>
      <c r="C831" t="inlineStr">
        <is>
          <t>R08</t>
        </is>
      </c>
      <c r="D831" t="inlineStr">
        <is>
          <t>MATCH</t>
        </is>
      </c>
      <c r="E831" t="inlineStr"/>
      <c r="G831" t="inlineStr"/>
      <c r="H831">
        <f>COUNTIFS('Bank Lines'!$G$5:$G$1640,A831,'Bank Lines'!$J$5:$J$1640,1)</f>
        <v>1</v>
      </c>
      <c r="I831">
        <f>COUNTIFS('Odoo Items'!$J$5:$J$4331,A831)</f>
        <v>1</v>
      </c>
      <c r="J831" s="9">
        <f>ROUND(SUMIFS('Bank Lines'!$E$5:$E$1640,'Bank Lines'!$G$5:$G$1640,A831,'Bank Lines'!$J$5:$J$1640,1),2)</f>
        <v>3591.46</v>
      </c>
      <c r="K831" s="9">
        <f>ROUND(SUMIFS('Odoo Items'!$G$5:$G$4331,'Odoo Items'!$J$5:$J$4331,A831),2)</f>
        <v>3591.46</v>
      </c>
      <c r="L831" s="9">
        <f>ROUND(J831-K831,2)</f>
        <v>0</v>
      </c>
      <c r="M831" s="9">
        <f>ROUND(SUMIFS('Bank Lines'!$E$5:$E$1640,'Bank Lines'!$G$5:$G$1640,A831,'Bank Lines'!$J$5:$J$1640,1,'Bank Lines'!$C$5:$C$1640,"&lt;="&amp;Cover!$C$13),2)</f>
        <v>0</v>
      </c>
      <c r="N831" s="9">
        <f>ROUND(SUMIFS('Odoo Items'!$G$5:$G$4331,'Odoo Items'!$J$5:$J$4331,A831,'Odoo Items'!$C$5:$C$4331,"&lt;="&amp;Cover!$C$13),2)</f>
        <v>0</v>
      </c>
      <c r="O831">
        <f>COUNTIFS('Bank Lines'!$G$5:$G$1640,A831,'Bank Lines'!$J$5:$J$1640,1,'Bank Lines'!$C$5:$C$1640,"&lt;="&amp;Cover!$C$13)</f>
        <v>0</v>
      </c>
      <c r="P831">
        <f>COUNTIFS('Odoo Items'!$J$5:$J$4331,A831,'Odoo Items'!$C$5:$C$4331,"&lt;="&amp;Cover!$C$13)</f>
        <v>0</v>
      </c>
      <c r="Q831">
        <f>IF(AND(O831=0,P831=0),"",IF(O831=0,"ODOO-ONLY",IF(P831=0,"BANK-ONLY","BOTH")))</f>
      </c>
      <c r="R831" s="9">
        <f>IF(Q831="BOTH",ROUND(M831-N831,2),0)</f>
        <v>0</v>
      </c>
      <c r="S831" s="9">
        <f>ROUND(SUMIFS('Bank Lines'!$E$5:$E$1640,'Bank Lines'!$G$5:$G$1640,A831,'Bank Lines'!$J$5:$J$1640,1,'Bank Lines'!$C$5:$C$1640,"&lt;="&amp;Cover!$C$14),2)</f>
        <v>0</v>
      </c>
      <c r="T831" s="9">
        <f>ROUND(SUMIFS('Odoo Items'!$G$5:$G$4331,'Odoo Items'!$J$5:$J$4331,A831,'Odoo Items'!$C$5:$C$4331,"&lt;="&amp;Cover!$C$14),2)</f>
        <v>0</v>
      </c>
      <c r="U831">
        <f>COUNTIFS('Bank Lines'!$G$5:$G$1640,A831,'Bank Lines'!$J$5:$J$1640,1,'Bank Lines'!$C$5:$C$1640,"&lt;="&amp;Cover!$C$14)</f>
        <v>0</v>
      </c>
      <c r="V831">
        <f>COUNTIFS('Odoo Items'!$J$5:$J$4331,A831,'Odoo Items'!$C$5:$C$4331,"&lt;="&amp;Cover!$C$14)</f>
        <v>0</v>
      </c>
      <c r="W831">
        <f>IF(AND(U831=0,V831=0),"",IF(U831=0,"ODOO-ONLY",IF(V831=0,"BANK-ONLY","BOTH")))</f>
      </c>
      <c r="X831" s="9">
        <f>IF(W831="BOTH",ROUND(S831-T831,2),0)</f>
        <v>0</v>
      </c>
      <c r="Y831" s="9">
        <f>ROUND(SUMIFS('Bank Lines'!$E$5:$E$1640,'Bank Lines'!$G$5:$G$1640,A831,'Bank Lines'!$J$5:$J$1640,1,'Bank Lines'!$C$5:$C$1640,"&lt;="&amp;Cover!$C$15),2)</f>
        <v>3591.46</v>
      </c>
      <c r="Z831" s="9">
        <f>ROUND(SUMIFS('Odoo Items'!$G$5:$G$4331,'Odoo Items'!$J$5:$J$4331,A831,'Odoo Items'!$C$5:$C$4331,"&lt;="&amp;Cover!$C$15),2)</f>
        <v>3591.46</v>
      </c>
      <c r="AA831">
        <f>COUNTIFS('Bank Lines'!$G$5:$G$1640,A831,'Bank Lines'!$J$5:$J$1640,1,'Bank Lines'!$C$5:$C$1640,"&lt;="&amp;Cover!$C$15)</f>
        <v>1</v>
      </c>
      <c r="AB831">
        <f>COUNTIFS('Odoo Items'!$J$5:$J$4331,A831,'Odoo Items'!$C$5:$C$4331,"&lt;="&amp;Cover!$C$15)</f>
        <v>1</v>
      </c>
      <c r="AC831" t="str">
        <f>IF(AND(AA831=0,AB831=0),"",IF(AA831=0,"ODOO-ONLY",IF(AB831=0,"BANK-ONLY","BOTH")))</f>
        <v>BOTH</v>
      </c>
      <c r="AD831" s="9">
        <f>IF(AC831="BOTH",ROUND(Y831-Z831,2),0)</f>
        <v>0</v>
      </c>
    </row>
    <row r="832">
      <c r="A832" t="inlineStr">
        <is>
          <t>G00828</t>
        </is>
      </c>
      <c r="B832" t="inlineStr">
        <is>
          <t>MER</t>
        </is>
      </c>
      <c r="C832" t="inlineStr">
        <is>
          <t>R08</t>
        </is>
      </c>
      <c r="D832" t="inlineStr">
        <is>
          <t>MATCH</t>
        </is>
      </c>
      <c r="E832" t="inlineStr"/>
      <c r="G832" t="inlineStr"/>
      <c r="H832">
        <f>COUNTIFS('Bank Lines'!$G$5:$G$1640,A832,'Bank Lines'!$J$5:$J$1640,1)</f>
        <v>1</v>
      </c>
      <c r="I832">
        <f>COUNTIFS('Odoo Items'!$J$5:$J$4331,A832)</f>
        <v>1</v>
      </c>
      <c r="J832" s="9">
        <f>ROUND(SUMIFS('Bank Lines'!$E$5:$E$1640,'Bank Lines'!$G$5:$G$1640,A832,'Bank Lines'!$J$5:$J$1640,1),2)</f>
        <v>2327.53</v>
      </c>
      <c r="K832" s="9">
        <f>ROUND(SUMIFS('Odoo Items'!$G$5:$G$4331,'Odoo Items'!$J$5:$J$4331,A832),2)</f>
        <v>2327.53</v>
      </c>
      <c r="L832" s="9">
        <f>ROUND(J832-K832,2)</f>
        <v>0</v>
      </c>
      <c r="M832" s="9">
        <f>ROUND(SUMIFS('Bank Lines'!$E$5:$E$1640,'Bank Lines'!$G$5:$G$1640,A832,'Bank Lines'!$J$5:$J$1640,1,'Bank Lines'!$C$5:$C$1640,"&lt;="&amp;Cover!$C$13),2)</f>
        <v>0</v>
      </c>
      <c r="N832" s="9">
        <f>ROUND(SUMIFS('Odoo Items'!$G$5:$G$4331,'Odoo Items'!$J$5:$J$4331,A832,'Odoo Items'!$C$5:$C$4331,"&lt;="&amp;Cover!$C$13),2)</f>
        <v>0</v>
      </c>
      <c r="O832">
        <f>COUNTIFS('Bank Lines'!$G$5:$G$1640,A832,'Bank Lines'!$J$5:$J$1640,1,'Bank Lines'!$C$5:$C$1640,"&lt;="&amp;Cover!$C$13)</f>
        <v>0</v>
      </c>
      <c r="P832">
        <f>COUNTIFS('Odoo Items'!$J$5:$J$4331,A832,'Odoo Items'!$C$5:$C$4331,"&lt;="&amp;Cover!$C$13)</f>
        <v>0</v>
      </c>
      <c r="Q832">
        <f>IF(AND(O832=0,P832=0),"",IF(O832=0,"ODOO-ONLY",IF(P832=0,"BANK-ONLY","BOTH")))</f>
      </c>
      <c r="R832" s="9">
        <f>IF(Q832="BOTH",ROUND(M832-N832,2),0)</f>
        <v>0</v>
      </c>
      <c r="S832" s="9">
        <f>ROUND(SUMIFS('Bank Lines'!$E$5:$E$1640,'Bank Lines'!$G$5:$G$1640,A832,'Bank Lines'!$J$5:$J$1640,1,'Bank Lines'!$C$5:$C$1640,"&lt;="&amp;Cover!$C$14),2)</f>
        <v>0</v>
      </c>
      <c r="T832" s="9">
        <f>ROUND(SUMIFS('Odoo Items'!$G$5:$G$4331,'Odoo Items'!$J$5:$J$4331,A832,'Odoo Items'!$C$5:$C$4331,"&lt;="&amp;Cover!$C$14),2)</f>
        <v>0</v>
      </c>
      <c r="U832">
        <f>COUNTIFS('Bank Lines'!$G$5:$G$1640,A832,'Bank Lines'!$J$5:$J$1640,1,'Bank Lines'!$C$5:$C$1640,"&lt;="&amp;Cover!$C$14)</f>
        <v>0</v>
      </c>
      <c r="V832">
        <f>COUNTIFS('Odoo Items'!$J$5:$J$4331,A832,'Odoo Items'!$C$5:$C$4331,"&lt;="&amp;Cover!$C$14)</f>
        <v>0</v>
      </c>
      <c r="W832">
        <f>IF(AND(U832=0,V832=0),"",IF(U832=0,"ODOO-ONLY",IF(V832=0,"BANK-ONLY","BOTH")))</f>
      </c>
      <c r="X832" s="9">
        <f>IF(W832="BOTH",ROUND(S832-T832,2),0)</f>
        <v>0</v>
      </c>
      <c r="Y832" s="9">
        <f>ROUND(SUMIFS('Bank Lines'!$E$5:$E$1640,'Bank Lines'!$G$5:$G$1640,A832,'Bank Lines'!$J$5:$J$1640,1,'Bank Lines'!$C$5:$C$1640,"&lt;="&amp;Cover!$C$15),2)</f>
        <v>2327.53</v>
      </c>
      <c r="Z832" s="9">
        <f>ROUND(SUMIFS('Odoo Items'!$G$5:$G$4331,'Odoo Items'!$J$5:$J$4331,A832,'Odoo Items'!$C$5:$C$4331,"&lt;="&amp;Cover!$C$15),2)</f>
        <v>2327.53</v>
      </c>
      <c r="AA832">
        <f>COUNTIFS('Bank Lines'!$G$5:$G$1640,A832,'Bank Lines'!$J$5:$J$1640,1,'Bank Lines'!$C$5:$C$1640,"&lt;="&amp;Cover!$C$15)</f>
        <v>1</v>
      </c>
      <c r="AB832">
        <f>COUNTIFS('Odoo Items'!$J$5:$J$4331,A832,'Odoo Items'!$C$5:$C$4331,"&lt;="&amp;Cover!$C$15)</f>
        <v>1</v>
      </c>
      <c r="AC832" t="str">
        <f>IF(AND(AA832=0,AB832=0),"",IF(AA832=0,"ODOO-ONLY",IF(AB832=0,"BANK-ONLY","BOTH")))</f>
        <v>BOTH</v>
      </c>
      <c r="AD832" s="9">
        <f>IF(AC832="BOTH",ROUND(Y832-Z832,2),0)</f>
        <v>0</v>
      </c>
    </row>
    <row r="833">
      <c r="A833" t="inlineStr">
        <is>
          <t>G00829</t>
        </is>
      </c>
      <c r="B833" t="inlineStr">
        <is>
          <t>MER</t>
        </is>
      </c>
      <c r="C833" t="inlineStr">
        <is>
          <t>R08</t>
        </is>
      </c>
      <c r="D833" t="inlineStr">
        <is>
          <t>MATCH</t>
        </is>
      </c>
      <c r="E833" t="inlineStr"/>
      <c r="G833" t="inlineStr"/>
      <c r="H833">
        <f>COUNTIFS('Bank Lines'!$G$5:$G$1640,A833,'Bank Lines'!$J$5:$J$1640,1)</f>
        <v>1</v>
      </c>
      <c r="I833">
        <f>COUNTIFS('Odoo Items'!$J$5:$J$4331,A833)</f>
        <v>1</v>
      </c>
      <c r="J833" s="9">
        <f>ROUND(SUMIFS('Bank Lines'!$E$5:$E$1640,'Bank Lines'!$G$5:$G$1640,A833,'Bank Lines'!$J$5:$J$1640,1),2)</f>
        <v>2802.42</v>
      </c>
      <c r="K833" s="9">
        <f>ROUND(SUMIFS('Odoo Items'!$G$5:$G$4331,'Odoo Items'!$J$5:$J$4331,A833),2)</f>
        <v>2802.42</v>
      </c>
      <c r="L833" s="9">
        <f>ROUND(J833-K833,2)</f>
        <v>0</v>
      </c>
      <c r="M833" s="9">
        <f>ROUND(SUMIFS('Bank Lines'!$E$5:$E$1640,'Bank Lines'!$G$5:$G$1640,A833,'Bank Lines'!$J$5:$J$1640,1,'Bank Lines'!$C$5:$C$1640,"&lt;="&amp;Cover!$C$13),2)</f>
        <v>0</v>
      </c>
      <c r="N833" s="9">
        <f>ROUND(SUMIFS('Odoo Items'!$G$5:$G$4331,'Odoo Items'!$J$5:$J$4331,A833,'Odoo Items'!$C$5:$C$4331,"&lt;="&amp;Cover!$C$13),2)</f>
        <v>0</v>
      </c>
      <c r="O833">
        <f>COUNTIFS('Bank Lines'!$G$5:$G$1640,A833,'Bank Lines'!$J$5:$J$1640,1,'Bank Lines'!$C$5:$C$1640,"&lt;="&amp;Cover!$C$13)</f>
        <v>0</v>
      </c>
      <c r="P833">
        <f>COUNTIFS('Odoo Items'!$J$5:$J$4331,A833,'Odoo Items'!$C$5:$C$4331,"&lt;="&amp;Cover!$C$13)</f>
        <v>0</v>
      </c>
      <c r="Q833">
        <f>IF(AND(O833=0,P833=0),"",IF(O833=0,"ODOO-ONLY",IF(P833=0,"BANK-ONLY","BOTH")))</f>
      </c>
      <c r="R833" s="9">
        <f>IF(Q833="BOTH",ROUND(M833-N833,2),0)</f>
        <v>0</v>
      </c>
      <c r="S833" s="9">
        <f>ROUND(SUMIFS('Bank Lines'!$E$5:$E$1640,'Bank Lines'!$G$5:$G$1640,A833,'Bank Lines'!$J$5:$J$1640,1,'Bank Lines'!$C$5:$C$1640,"&lt;="&amp;Cover!$C$14),2)</f>
        <v>0</v>
      </c>
      <c r="T833" s="9">
        <f>ROUND(SUMIFS('Odoo Items'!$G$5:$G$4331,'Odoo Items'!$J$5:$J$4331,A833,'Odoo Items'!$C$5:$C$4331,"&lt;="&amp;Cover!$C$14),2)</f>
        <v>0</v>
      </c>
      <c r="U833">
        <f>COUNTIFS('Bank Lines'!$G$5:$G$1640,A833,'Bank Lines'!$J$5:$J$1640,1,'Bank Lines'!$C$5:$C$1640,"&lt;="&amp;Cover!$C$14)</f>
        <v>0</v>
      </c>
      <c r="V833">
        <f>COUNTIFS('Odoo Items'!$J$5:$J$4331,A833,'Odoo Items'!$C$5:$C$4331,"&lt;="&amp;Cover!$C$14)</f>
        <v>0</v>
      </c>
      <c r="W833">
        <f>IF(AND(U833=0,V833=0),"",IF(U833=0,"ODOO-ONLY",IF(V833=0,"BANK-ONLY","BOTH")))</f>
      </c>
      <c r="X833" s="9">
        <f>IF(W833="BOTH",ROUND(S833-T833,2),0)</f>
        <v>0</v>
      </c>
      <c r="Y833" s="9">
        <f>ROUND(SUMIFS('Bank Lines'!$E$5:$E$1640,'Bank Lines'!$G$5:$G$1640,A833,'Bank Lines'!$J$5:$J$1640,1,'Bank Lines'!$C$5:$C$1640,"&lt;="&amp;Cover!$C$15),2)</f>
        <v>2802.42</v>
      </c>
      <c r="Z833" s="9">
        <f>ROUND(SUMIFS('Odoo Items'!$G$5:$G$4331,'Odoo Items'!$J$5:$J$4331,A833,'Odoo Items'!$C$5:$C$4331,"&lt;="&amp;Cover!$C$15),2)</f>
        <v>2802.42</v>
      </c>
      <c r="AA833">
        <f>COUNTIFS('Bank Lines'!$G$5:$G$1640,A833,'Bank Lines'!$J$5:$J$1640,1,'Bank Lines'!$C$5:$C$1640,"&lt;="&amp;Cover!$C$15)</f>
        <v>1</v>
      </c>
      <c r="AB833">
        <f>COUNTIFS('Odoo Items'!$J$5:$J$4331,A833,'Odoo Items'!$C$5:$C$4331,"&lt;="&amp;Cover!$C$15)</f>
        <v>1</v>
      </c>
      <c r="AC833" t="str">
        <f>IF(AND(AA833=0,AB833=0),"",IF(AA833=0,"ODOO-ONLY",IF(AB833=0,"BANK-ONLY","BOTH")))</f>
        <v>BOTH</v>
      </c>
      <c r="AD833" s="9">
        <f>IF(AC833="BOTH",ROUND(Y833-Z833,2),0)</f>
        <v>0</v>
      </c>
    </row>
    <row r="834">
      <c r="A834" t="inlineStr">
        <is>
          <t>G00830</t>
        </is>
      </c>
      <c r="B834" t="inlineStr">
        <is>
          <t>MER</t>
        </is>
      </c>
      <c r="C834" t="inlineStr">
        <is>
          <t>R08</t>
        </is>
      </c>
      <c r="D834" t="inlineStr">
        <is>
          <t>MATCH</t>
        </is>
      </c>
      <c r="E834" t="inlineStr"/>
      <c r="G834" t="inlineStr"/>
      <c r="H834">
        <f>COUNTIFS('Bank Lines'!$G$5:$G$1640,A834,'Bank Lines'!$J$5:$J$1640,1)</f>
        <v>1</v>
      </c>
      <c r="I834">
        <f>COUNTIFS('Odoo Items'!$J$5:$J$4331,A834)</f>
        <v>1</v>
      </c>
      <c r="J834" s="9">
        <f>ROUND(SUMIFS('Bank Lines'!$E$5:$E$1640,'Bank Lines'!$G$5:$G$1640,A834,'Bank Lines'!$J$5:$J$1640,1),2)</f>
        <v>2140.35</v>
      </c>
      <c r="K834" s="9">
        <f>ROUND(SUMIFS('Odoo Items'!$G$5:$G$4331,'Odoo Items'!$J$5:$J$4331,A834),2)</f>
        <v>2140.35</v>
      </c>
      <c r="L834" s="9">
        <f>ROUND(J834-K834,2)</f>
        <v>0</v>
      </c>
      <c r="M834" s="9">
        <f>ROUND(SUMIFS('Bank Lines'!$E$5:$E$1640,'Bank Lines'!$G$5:$G$1640,A834,'Bank Lines'!$J$5:$J$1640,1,'Bank Lines'!$C$5:$C$1640,"&lt;="&amp;Cover!$C$13),2)</f>
        <v>0</v>
      </c>
      <c r="N834" s="9">
        <f>ROUND(SUMIFS('Odoo Items'!$G$5:$G$4331,'Odoo Items'!$J$5:$J$4331,A834,'Odoo Items'!$C$5:$C$4331,"&lt;="&amp;Cover!$C$13),2)</f>
        <v>0</v>
      </c>
      <c r="O834">
        <f>COUNTIFS('Bank Lines'!$G$5:$G$1640,A834,'Bank Lines'!$J$5:$J$1640,1,'Bank Lines'!$C$5:$C$1640,"&lt;="&amp;Cover!$C$13)</f>
        <v>0</v>
      </c>
      <c r="P834">
        <f>COUNTIFS('Odoo Items'!$J$5:$J$4331,A834,'Odoo Items'!$C$5:$C$4331,"&lt;="&amp;Cover!$C$13)</f>
        <v>0</v>
      </c>
      <c r="Q834">
        <f>IF(AND(O834=0,P834=0),"",IF(O834=0,"ODOO-ONLY",IF(P834=0,"BANK-ONLY","BOTH")))</f>
      </c>
      <c r="R834" s="9">
        <f>IF(Q834="BOTH",ROUND(M834-N834,2),0)</f>
        <v>0</v>
      </c>
      <c r="S834" s="9">
        <f>ROUND(SUMIFS('Bank Lines'!$E$5:$E$1640,'Bank Lines'!$G$5:$G$1640,A834,'Bank Lines'!$J$5:$J$1640,1,'Bank Lines'!$C$5:$C$1640,"&lt;="&amp;Cover!$C$14),2)</f>
        <v>0</v>
      </c>
      <c r="T834" s="9">
        <f>ROUND(SUMIFS('Odoo Items'!$G$5:$G$4331,'Odoo Items'!$J$5:$J$4331,A834,'Odoo Items'!$C$5:$C$4331,"&lt;="&amp;Cover!$C$14),2)</f>
        <v>0</v>
      </c>
      <c r="U834">
        <f>COUNTIFS('Bank Lines'!$G$5:$G$1640,A834,'Bank Lines'!$J$5:$J$1640,1,'Bank Lines'!$C$5:$C$1640,"&lt;="&amp;Cover!$C$14)</f>
        <v>0</v>
      </c>
      <c r="V834">
        <f>COUNTIFS('Odoo Items'!$J$5:$J$4331,A834,'Odoo Items'!$C$5:$C$4331,"&lt;="&amp;Cover!$C$14)</f>
        <v>0</v>
      </c>
      <c r="W834">
        <f>IF(AND(U834=0,V834=0),"",IF(U834=0,"ODOO-ONLY",IF(V834=0,"BANK-ONLY","BOTH")))</f>
      </c>
      <c r="X834" s="9">
        <f>IF(W834="BOTH",ROUND(S834-T834,2),0)</f>
        <v>0</v>
      </c>
      <c r="Y834" s="9">
        <f>ROUND(SUMIFS('Bank Lines'!$E$5:$E$1640,'Bank Lines'!$G$5:$G$1640,A834,'Bank Lines'!$J$5:$J$1640,1,'Bank Lines'!$C$5:$C$1640,"&lt;="&amp;Cover!$C$15),2)</f>
        <v>2140.35</v>
      </c>
      <c r="Z834" s="9">
        <f>ROUND(SUMIFS('Odoo Items'!$G$5:$G$4331,'Odoo Items'!$J$5:$J$4331,A834,'Odoo Items'!$C$5:$C$4331,"&lt;="&amp;Cover!$C$15),2)</f>
        <v>2140.35</v>
      </c>
      <c r="AA834">
        <f>COUNTIFS('Bank Lines'!$G$5:$G$1640,A834,'Bank Lines'!$J$5:$J$1640,1,'Bank Lines'!$C$5:$C$1640,"&lt;="&amp;Cover!$C$15)</f>
        <v>1</v>
      </c>
      <c r="AB834">
        <f>COUNTIFS('Odoo Items'!$J$5:$J$4331,A834,'Odoo Items'!$C$5:$C$4331,"&lt;="&amp;Cover!$C$15)</f>
        <v>1</v>
      </c>
      <c r="AC834" t="str">
        <f>IF(AND(AA834=0,AB834=0),"",IF(AA834=0,"ODOO-ONLY",IF(AB834=0,"BANK-ONLY","BOTH")))</f>
        <v>BOTH</v>
      </c>
      <c r="AD834" s="9">
        <f>IF(AC834="BOTH",ROUND(Y834-Z834,2),0)</f>
        <v>0</v>
      </c>
    </row>
    <row r="835">
      <c r="A835" t="inlineStr">
        <is>
          <t>G00831</t>
        </is>
      </c>
      <c r="B835" t="inlineStr">
        <is>
          <t>MER</t>
        </is>
      </c>
      <c r="C835" t="inlineStr">
        <is>
          <t>R08</t>
        </is>
      </c>
      <c r="D835" t="inlineStr">
        <is>
          <t>MATCH</t>
        </is>
      </c>
      <c r="E835" t="inlineStr"/>
      <c r="G835" t="inlineStr"/>
      <c r="H835">
        <f>COUNTIFS('Bank Lines'!$G$5:$G$1640,A835,'Bank Lines'!$J$5:$J$1640,1)</f>
        <v>1</v>
      </c>
      <c r="I835">
        <f>COUNTIFS('Odoo Items'!$J$5:$J$4331,A835)</f>
        <v>1</v>
      </c>
      <c r="J835" s="9">
        <f>ROUND(SUMIFS('Bank Lines'!$E$5:$E$1640,'Bank Lines'!$G$5:$G$1640,A835,'Bank Lines'!$J$5:$J$1640,1),2)</f>
        <v>2754.28</v>
      </c>
      <c r="K835" s="9">
        <f>ROUND(SUMIFS('Odoo Items'!$G$5:$G$4331,'Odoo Items'!$J$5:$J$4331,A835),2)</f>
        <v>2754.28</v>
      </c>
      <c r="L835" s="9">
        <f>ROUND(J835-K835,2)</f>
        <v>0</v>
      </c>
      <c r="M835" s="9">
        <f>ROUND(SUMIFS('Bank Lines'!$E$5:$E$1640,'Bank Lines'!$G$5:$G$1640,A835,'Bank Lines'!$J$5:$J$1640,1,'Bank Lines'!$C$5:$C$1640,"&lt;="&amp;Cover!$C$13),2)</f>
        <v>0</v>
      </c>
      <c r="N835" s="9">
        <f>ROUND(SUMIFS('Odoo Items'!$G$5:$G$4331,'Odoo Items'!$J$5:$J$4331,A835,'Odoo Items'!$C$5:$C$4331,"&lt;="&amp;Cover!$C$13),2)</f>
        <v>0</v>
      </c>
      <c r="O835">
        <f>COUNTIFS('Bank Lines'!$G$5:$G$1640,A835,'Bank Lines'!$J$5:$J$1640,1,'Bank Lines'!$C$5:$C$1640,"&lt;="&amp;Cover!$C$13)</f>
        <v>0</v>
      </c>
      <c r="P835">
        <f>COUNTIFS('Odoo Items'!$J$5:$J$4331,A835,'Odoo Items'!$C$5:$C$4331,"&lt;="&amp;Cover!$C$13)</f>
        <v>0</v>
      </c>
      <c r="Q835">
        <f>IF(AND(O835=0,P835=0),"",IF(O835=0,"ODOO-ONLY",IF(P835=0,"BANK-ONLY","BOTH")))</f>
      </c>
      <c r="R835" s="9">
        <f>IF(Q835="BOTH",ROUND(M835-N835,2),0)</f>
        <v>0</v>
      </c>
      <c r="S835" s="9">
        <f>ROUND(SUMIFS('Bank Lines'!$E$5:$E$1640,'Bank Lines'!$G$5:$G$1640,A835,'Bank Lines'!$J$5:$J$1640,1,'Bank Lines'!$C$5:$C$1640,"&lt;="&amp;Cover!$C$14),2)</f>
        <v>0</v>
      </c>
      <c r="T835" s="9">
        <f>ROUND(SUMIFS('Odoo Items'!$G$5:$G$4331,'Odoo Items'!$J$5:$J$4331,A835,'Odoo Items'!$C$5:$C$4331,"&lt;="&amp;Cover!$C$14),2)</f>
        <v>0</v>
      </c>
      <c r="U835">
        <f>COUNTIFS('Bank Lines'!$G$5:$G$1640,A835,'Bank Lines'!$J$5:$J$1640,1,'Bank Lines'!$C$5:$C$1640,"&lt;="&amp;Cover!$C$14)</f>
        <v>0</v>
      </c>
      <c r="V835">
        <f>COUNTIFS('Odoo Items'!$J$5:$J$4331,A835,'Odoo Items'!$C$5:$C$4331,"&lt;="&amp;Cover!$C$14)</f>
        <v>0</v>
      </c>
      <c r="W835">
        <f>IF(AND(U835=0,V835=0),"",IF(U835=0,"ODOO-ONLY",IF(V835=0,"BANK-ONLY","BOTH")))</f>
      </c>
      <c r="X835" s="9">
        <f>IF(W835="BOTH",ROUND(S835-T835,2),0)</f>
        <v>0</v>
      </c>
      <c r="Y835" s="9">
        <f>ROUND(SUMIFS('Bank Lines'!$E$5:$E$1640,'Bank Lines'!$G$5:$G$1640,A835,'Bank Lines'!$J$5:$J$1640,1,'Bank Lines'!$C$5:$C$1640,"&lt;="&amp;Cover!$C$15),2)</f>
        <v>2754.28</v>
      </c>
      <c r="Z835" s="9">
        <f>ROUND(SUMIFS('Odoo Items'!$G$5:$G$4331,'Odoo Items'!$J$5:$J$4331,A835,'Odoo Items'!$C$5:$C$4331,"&lt;="&amp;Cover!$C$15),2)</f>
        <v>2754.28</v>
      </c>
      <c r="AA835">
        <f>COUNTIFS('Bank Lines'!$G$5:$G$1640,A835,'Bank Lines'!$J$5:$J$1640,1,'Bank Lines'!$C$5:$C$1640,"&lt;="&amp;Cover!$C$15)</f>
        <v>1</v>
      </c>
      <c r="AB835">
        <f>COUNTIFS('Odoo Items'!$J$5:$J$4331,A835,'Odoo Items'!$C$5:$C$4331,"&lt;="&amp;Cover!$C$15)</f>
        <v>1</v>
      </c>
      <c r="AC835" t="str">
        <f>IF(AND(AA835=0,AB835=0),"",IF(AA835=0,"ODOO-ONLY",IF(AB835=0,"BANK-ONLY","BOTH")))</f>
        <v>BOTH</v>
      </c>
      <c r="AD835" s="9">
        <f>IF(AC835="BOTH",ROUND(Y835-Z835,2),0)</f>
        <v>0</v>
      </c>
    </row>
    <row r="836">
      <c r="A836" t="inlineStr">
        <is>
          <t>G00832</t>
        </is>
      </c>
      <c r="B836" t="inlineStr">
        <is>
          <t>MER</t>
        </is>
      </c>
      <c r="C836" t="inlineStr">
        <is>
          <t>R08</t>
        </is>
      </c>
      <c r="D836" t="inlineStr">
        <is>
          <t>MATCH</t>
        </is>
      </c>
      <c r="E836" t="inlineStr"/>
      <c r="G836" t="inlineStr"/>
      <c r="H836">
        <f>COUNTIFS('Bank Lines'!$G$5:$G$1640,A836,'Bank Lines'!$J$5:$J$1640,1)</f>
        <v>1</v>
      </c>
      <c r="I836">
        <f>COUNTIFS('Odoo Items'!$J$5:$J$4331,A836)</f>
        <v>1</v>
      </c>
      <c r="J836" s="9">
        <f>ROUND(SUMIFS('Bank Lines'!$E$5:$E$1640,'Bank Lines'!$G$5:$G$1640,A836,'Bank Lines'!$J$5:$J$1640,1),2)</f>
        <v>3283.03</v>
      </c>
      <c r="K836" s="9">
        <f>ROUND(SUMIFS('Odoo Items'!$G$5:$G$4331,'Odoo Items'!$J$5:$J$4331,A836),2)</f>
        <v>3283.03</v>
      </c>
      <c r="L836" s="9">
        <f>ROUND(J836-K836,2)</f>
        <v>0</v>
      </c>
      <c r="M836" s="9">
        <f>ROUND(SUMIFS('Bank Lines'!$E$5:$E$1640,'Bank Lines'!$G$5:$G$1640,A836,'Bank Lines'!$J$5:$J$1640,1,'Bank Lines'!$C$5:$C$1640,"&lt;="&amp;Cover!$C$13),2)</f>
        <v>0</v>
      </c>
      <c r="N836" s="9">
        <f>ROUND(SUMIFS('Odoo Items'!$G$5:$G$4331,'Odoo Items'!$J$5:$J$4331,A836,'Odoo Items'!$C$5:$C$4331,"&lt;="&amp;Cover!$C$13),2)</f>
        <v>0</v>
      </c>
      <c r="O836">
        <f>COUNTIFS('Bank Lines'!$G$5:$G$1640,A836,'Bank Lines'!$J$5:$J$1640,1,'Bank Lines'!$C$5:$C$1640,"&lt;="&amp;Cover!$C$13)</f>
        <v>0</v>
      </c>
      <c r="P836">
        <f>COUNTIFS('Odoo Items'!$J$5:$J$4331,A836,'Odoo Items'!$C$5:$C$4331,"&lt;="&amp;Cover!$C$13)</f>
        <v>0</v>
      </c>
      <c r="Q836">
        <f>IF(AND(O836=0,P836=0),"",IF(O836=0,"ODOO-ONLY",IF(P836=0,"BANK-ONLY","BOTH")))</f>
      </c>
      <c r="R836" s="9">
        <f>IF(Q836="BOTH",ROUND(M836-N836,2),0)</f>
        <v>0</v>
      </c>
      <c r="S836" s="9">
        <f>ROUND(SUMIFS('Bank Lines'!$E$5:$E$1640,'Bank Lines'!$G$5:$G$1640,A836,'Bank Lines'!$J$5:$J$1640,1,'Bank Lines'!$C$5:$C$1640,"&lt;="&amp;Cover!$C$14),2)</f>
        <v>0</v>
      </c>
      <c r="T836" s="9">
        <f>ROUND(SUMIFS('Odoo Items'!$G$5:$G$4331,'Odoo Items'!$J$5:$J$4331,A836,'Odoo Items'!$C$5:$C$4331,"&lt;="&amp;Cover!$C$14),2)</f>
        <v>0</v>
      </c>
      <c r="U836">
        <f>COUNTIFS('Bank Lines'!$G$5:$G$1640,A836,'Bank Lines'!$J$5:$J$1640,1,'Bank Lines'!$C$5:$C$1640,"&lt;="&amp;Cover!$C$14)</f>
        <v>0</v>
      </c>
      <c r="V836">
        <f>COUNTIFS('Odoo Items'!$J$5:$J$4331,A836,'Odoo Items'!$C$5:$C$4331,"&lt;="&amp;Cover!$C$14)</f>
        <v>0</v>
      </c>
      <c r="W836">
        <f>IF(AND(U836=0,V836=0),"",IF(U836=0,"ODOO-ONLY",IF(V836=0,"BANK-ONLY","BOTH")))</f>
      </c>
      <c r="X836" s="9">
        <f>IF(W836="BOTH",ROUND(S836-T836,2),0)</f>
        <v>0</v>
      </c>
      <c r="Y836" s="9">
        <f>ROUND(SUMIFS('Bank Lines'!$E$5:$E$1640,'Bank Lines'!$G$5:$G$1640,A836,'Bank Lines'!$J$5:$J$1640,1,'Bank Lines'!$C$5:$C$1640,"&lt;="&amp;Cover!$C$15),2)</f>
        <v>3283.03</v>
      </c>
      <c r="Z836" s="9">
        <f>ROUND(SUMIFS('Odoo Items'!$G$5:$G$4331,'Odoo Items'!$J$5:$J$4331,A836,'Odoo Items'!$C$5:$C$4331,"&lt;="&amp;Cover!$C$15),2)</f>
        <v>3283.03</v>
      </c>
      <c r="AA836">
        <f>COUNTIFS('Bank Lines'!$G$5:$G$1640,A836,'Bank Lines'!$J$5:$J$1640,1,'Bank Lines'!$C$5:$C$1640,"&lt;="&amp;Cover!$C$15)</f>
        <v>1</v>
      </c>
      <c r="AB836">
        <f>COUNTIFS('Odoo Items'!$J$5:$J$4331,A836,'Odoo Items'!$C$5:$C$4331,"&lt;="&amp;Cover!$C$15)</f>
        <v>1</v>
      </c>
      <c r="AC836" t="str">
        <f>IF(AND(AA836=0,AB836=0),"",IF(AA836=0,"ODOO-ONLY",IF(AB836=0,"BANK-ONLY","BOTH")))</f>
        <v>BOTH</v>
      </c>
      <c r="AD836" s="9">
        <f>IF(AC836="BOTH",ROUND(Y836-Z836,2),0)</f>
        <v>0</v>
      </c>
    </row>
    <row r="837">
      <c r="A837" t="inlineStr">
        <is>
          <t>G00833</t>
        </is>
      </c>
      <c r="B837" t="inlineStr">
        <is>
          <t>MER</t>
        </is>
      </c>
      <c r="C837" t="inlineStr">
        <is>
          <t>R08</t>
        </is>
      </c>
      <c r="D837" t="inlineStr">
        <is>
          <t>MATCH</t>
        </is>
      </c>
      <c r="E837" t="inlineStr"/>
      <c r="G837" t="inlineStr"/>
      <c r="H837">
        <f>COUNTIFS('Bank Lines'!$G$5:$G$1640,A837,'Bank Lines'!$J$5:$J$1640,1)</f>
        <v>1</v>
      </c>
      <c r="I837">
        <f>COUNTIFS('Odoo Items'!$J$5:$J$4331,A837)</f>
        <v>1</v>
      </c>
      <c r="J837" s="9">
        <f>ROUND(SUMIFS('Bank Lines'!$E$5:$E$1640,'Bank Lines'!$G$5:$G$1640,A837,'Bank Lines'!$J$5:$J$1640,1),2)</f>
        <v>1324.91</v>
      </c>
      <c r="K837" s="9">
        <f>ROUND(SUMIFS('Odoo Items'!$G$5:$G$4331,'Odoo Items'!$J$5:$J$4331,A837),2)</f>
        <v>1324.91</v>
      </c>
      <c r="L837" s="9">
        <f>ROUND(J837-K837,2)</f>
        <v>0</v>
      </c>
      <c r="M837" s="9">
        <f>ROUND(SUMIFS('Bank Lines'!$E$5:$E$1640,'Bank Lines'!$G$5:$G$1640,A837,'Bank Lines'!$J$5:$J$1640,1,'Bank Lines'!$C$5:$C$1640,"&lt;="&amp;Cover!$C$13),2)</f>
        <v>0</v>
      </c>
      <c r="N837" s="9">
        <f>ROUND(SUMIFS('Odoo Items'!$G$5:$G$4331,'Odoo Items'!$J$5:$J$4331,A837,'Odoo Items'!$C$5:$C$4331,"&lt;="&amp;Cover!$C$13),2)</f>
        <v>0</v>
      </c>
      <c r="O837">
        <f>COUNTIFS('Bank Lines'!$G$5:$G$1640,A837,'Bank Lines'!$J$5:$J$1640,1,'Bank Lines'!$C$5:$C$1640,"&lt;="&amp;Cover!$C$13)</f>
        <v>0</v>
      </c>
      <c r="P837">
        <f>COUNTIFS('Odoo Items'!$J$5:$J$4331,A837,'Odoo Items'!$C$5:$C$4331,"&lt;="&amp;Cover!$C$13)</f>
        <v>0</v>
      </c>
      <c r="Q837">
        <f>IF(AND(O837=0,P837=0),"",IF(O837=0,"ODOO-ONLY",IF(P837=0,"BANK-ONLY","BOTH")))</f>
      </c>
      <c r="R837" s="9">
        <f>IF(Q837="BOTH",ROUND(M837-N837,2),0)</f>
        <v>0</v>
      </c>
      <c r="S837" s="9">
        <f>ROUND(SUMIFS('Bank Lines'!$E$5:$E$1640,'Bank Lines'!$G$5:$G$1640,A837,'Bank Lines'!$J$5:$J$1640,1,'Bank Lines'!$C$5:$C$1640,"&lt;="&amp;Cover!$C$14),2)</f>
        <v>0</v>
      </c>
      <c r="T837" s="9">
        <f>ROUND(SUMIFS('Odoo Items'!$G$5:$G$4331,'Odoo Items'!$J$5:$J$4331,A837,'Odoo Items'!$C$5:$C$4331,"&lt;="&amp;Cover!$C$14),2)</f>
        <v>0</v>
      </c>
      <c r="U837">
        <f>COUNTIFS('Bank Lines'!$G$5:$G$1640,A837,'Bank Lines'!$J$5:$J$1640,1,'Bank Lines'!$C$5:$C$1640,"&lt;="&amp;Cover!$C$14)</f>
        <v>0</v>
      </c>
      <c r="V837">
        <f>COUNTIFS('Odoo Items'!$J$5:$J$4331,A837,'Odoo Items'!$C$5:$C$4331,"&lt;="&amp;Cover!$C$14)</f>
        <v>0</v>
      </c>
      <c r="W837">
        <f>IF(AND(U837=0,V837=0),"",IF(U837=0,"ODOO-ONLY",IF(V837=0,"BANK-ONLY","BOTH")))</f>
      </c>
      <c r="X837" s="9">
        <f>IF(W837="BOTH",ROUND(S837-T837,2),0)</f>
        <v>0</v>
      </c>
      <c r="Y837" s="9">
        <f>ROUND(SUMIFS('Bank Lines'!$E$5:$E$1640,'Bank Lines'!$G$5:$G$1640,A837,'Bank Lines'!$J$5:$J$1640,1,'Bank Lines'!$C$5:$C$1640,"&lt;="&amp;Cover!$C$15),2)</f>
        <v>1324.91</v>
      </c>
      <c r="Z837" s="9">
        <f>ROUND(SUMIFS('Odoo Items'!$G$5:$G$4331,'Odoo Items'!$J$5:$J$4331,A837,'Odoo Items'!$C$5:$C$4331,"&lt;="&amp;Cover!$C$15),2)</f>
        <v>1324.91</v>
      </c>
      <c r="AA837">
        <f>COUNTIFS('Bank Lines'!$G$5:$G$1640,A837,'Bank Lines'!$J$5:$J$1640,1,'Bank Lines'!$C$5:$C$1640,"&lt;="&amp;Cover!$C$15)</f>
        <v>1</v>
      </c>
      <c r="AB837">
        <f>COUNTIFS('Odoo Items'!$J$5:$J$4331,A837,'Odoo Items'!$C$5:$C$4331,"&lt;="&amp;Cover!$C$15)</f>
        <v>1</v>
      </c>
      <c r="AC837" t="str">
        <f>IF(AND(AA837=0,AB837=0),"",IF(AA837=0,"ODOO-ONLY",IF(AB837=0,"BANK-ONLY","BOTH")))</f>
        <v>BOTH</v>
      </c>
      <c r="AD837" s="9">
        <f>IF(AC837="BOTH",ROUND(Y837-Z837,2),0)</f>
        <v>0</v>
      </c>
    </row>
    <row r="838">
      <c r="A838" t="inlineStr">
        <is>
          <t>G00834</t>
        </is>
      </c>
      <c r="B838" t="inlineStr">
        <is>
          <t>MER</t>
        </is>
      </c>
      <c r="C838" t="inlineStr">
        <is>
          <t>R08</t>
        </is>
      </c>
      <c r="D838" t="inlineStr">
        <is>
          <t>MATCH</t>
        </is>
      </c>
      <c r="E838" t="inlineStr"/>
      <c r="G838" t="inlineStr"/>
      <c r="H838">
        <f>COUNTIFS('Bank Lines'!$G$5:$G$1640,A838,'Bank Lines'!$J$5:$J$1640,1)</f>
        <v>1</v>
      </c>
      <c r="I838">
        <f>COUNTIFS('Odoo Items'!$J$5:$J$4331,A838)</f>
        <v>1</v>
      </c>
      <c r="J838" s="9">
        <f>ROUND(SUMIFS('Bank Lines'!$E$5:$E$1640,'Bank Lines'!$G$5:$G$1640,A838,'Bank Lines'!$J$5:$J$1640,1),2)</f>
        <v>1235.66</v>
      </c>
      <c r="K838" s="9">
        <f>ROUND(SUMIFS('Odoo Items'!$G$5:$G$4331,'Odoo Items'!$J$5:$J$4331,A838),2)</f>
        <v>1235.66</v>
      </c>
      <c r="L838" s="9">
        <f>ROUND(J838-K838,2)</f>
        <v>0</v>
      </c>
      <c r="M838" s="9">
        <f>ROUND(SUMIFS('Bank Lines'!$E$5:$E$1640,'Bank Lines'!$G$5:$G$1640,A838,'Bank Lines'!$J$5:$J$1640,1,'Bank Lines'!$C$5:$C$1640,"&lt;="&amp;Cover!$C$13),2)</f>
        <v>0</v>
      </c>
      <c r="N838" s="9">
        <f>ROUND(SUMIFS('Odoo Items'!$G$5:$G$4331,'Odoo Items'!$J$5:$J$4331,A838,'Odoo Items'!$C$5:$C$4331,"&lt;="&amp;Cover!$C$13),2)</f>
        <v>0</v>
      </c>
      <c r="O838">
        <f>COUNTIFS('Bank Lines'!$G$5:$G$1640,A838,'Bank Lines'!$J$5:$J$1640,1,'Bank Lines'!$C$5:$C$1640,"&lt;="&amp;Cover!$C$13)</f>
        <v>0</v>
      </c>
      <c r="P838">
        <f>COUNTIFS('Odoo Items'!$J$5:$J$4331,A838,'Odoo Items'!$C$5:$C$4331,"&lt;="&amp;Cover!$C$13)</f>
        <v>0</v>
      </c>
      <c r="Q838">
        <f>IF(AND(O838=0,P838=0),"",IF(O838=0,"ODOO-ONLY",IF(P838=0,"BANK-ONLY","BOTH")))</f>
      </c>
      <c r="R838" s="9">
        <f>IF(Q838="BOTH",ROUND(M838-N838,2),0)</f>
        <v>0</v>
      </c>
      <c r="S838" s="9">
        <f>ROUND(SUMIFS('Bank Lines'!$E$5:$E$1640,'Bank Lines'!$G$5:$G$1640,A838,'Bank Lines'!$J$5:$J$1640,1,'Bank Lines'!$C$5:$C$1640,"&lt;="&amp;Cover!$C$14),2)</f>
        <v>0</v>
      </c>
      <c r="T838" s="9">
        <f>ROUND(SUMIFS('Odoo Items'!$G$5:$G$4331,'Odoo Items'!$J$5:$J$4331,A838,'Odoo Items'!$C$5:$C$4331,"&lt;="&amp;Cover!$C$14),2)</f>
        <v>0</v>
      </c>
      <c r="U838">
        <f>COUNTIFS('Bank Lines'!$G$5:$G$1640,A838,'Bank Lines'!$J$5:$J$1640,1,'Bank Lines'!$C$5:$C$1640,"&lt;="&amp;Cover!$C$14)</f>
        <v>0</v>
      </c>
      <c r="V838">
        <f>COUNTIFS('Odoo Items'!$J$5:$J$4331,A838,'Odoo Items'!$C$5:$C$4331,"&lt;="&amp;Cover!$C$14)</f>
        <v>0</v>
      </c>
      <c r="W838">
        <f>IF(AND(U838=0,V838=0),"",IF(U838=0,"ODOO-ONLY",IF(V838=0,"BANK-ONLY","BOTH")))</f>
      </c>
      <c r="X838" s="9">
        <f>IF(W838="BOTH",ROUND(S838-T838,2),0)</f>
        <v>0</v>
      </c>
      <c r="Y838" s="9">
        <f>ROUND(SUMIFS('Bank Lines'!$E$5:$E$1640,'Bank Lines'!$G$5:$G$1640,A838,'Bank Lines'!$J$5:$J$1640,1,'Bank Lines'!$C$5:$C$1640,"&lt;="&amp;Cover!$C$15),2)</f>
        <v>1235.66</v>
      </c>
      <c r="Z838" s="9">
        <f>ROUND(SUMIFS('Odoo Items'!$G$5:$G$4331,'Odoo Items'!$J$5:$J$4331,A838,'Odoo Items'!$C$5:$C$4331,"&lt;="&amp;Cover!$C$15),2)</f>
        <v>1235.66</v>
      </c>
      <c r="AA838">
        <f>COUNTIFS('Bank Lines'!$G$5:$G$1640,A838,'Bank Lines'!$J$5:$J$1640,1,'Bank Lines'!$C$5:$C$1640,"&lt;="&amp;Cover!$C$15)</f>
        <v>1</v>
      </c>
      <c r="AB838">
        <f>COUNTIFS('Odoo Items'!$J$5:$J$4331,A838,'Odoo Items'!$C$5:$C$4331,"&lt;="&amp;Cover!$C$15)</f>
        <v>1</v>
      </c>
      <c r="AC838" t="str">
        <f>IF(AND(AA838=0,AB838=0),"",IF(AA838=0,"ODOO-ONLY",IF(AB838=0,"BANK-ONLY","BOTH")))</f>
        <v>BOTH</v>
      </c>
      <c r="AD838" s="9">
        <f>IF(AC838="BOTH",ROUND(Y838-Z838,2),0)</f>
        <v>0</v>
      </c>
    </row>
    <row r="839">
      <c r="A839" t="inlineStr">
        <is>
          <t>G00835</t>
        </is>
      </c>
      <c r="B839" t="inlineStr">
        <is>
          <t>MER</t>
        </is>
      </c>
      <c r="C839" t="inlineStr">
        <is>
          <t>R08</t>
        </is>
      </c>
      <c r="D839" t="inlineStr">
        <is>
          <t>MATCH</t>
        </is>
      </c>
      <c r="E839" t="inlineStr"/>
      <c r="G839" t="inlineStr"/>
      <c r="H839">
        <f>COUNTIFS('Bank Lines'!$G$5:$G$1640,A839,'Bank Lines'!$J$5:$J$1640,1)</f>
        <v>1</v>
      </c>
      <c r="I839">
        <f>COUNTIFS('Odoo Items'!$J$5:$J$4331,A839)</f>
        <v>1</v>
      </c>
      <c r="J839" s="9">
        <f>ROUND(SUMIFS('Bank Lines'!$E$5:$E$1640,'Bank Lines'!$G$5:$G$1640,A839,'Bank Lines'!$J$5:$J$1640,1),2)</f>
        <v>611.74</v>
      </c>
      <c r="K839" s="9">
        <f>ROUND(SUMIFS('Odoo Items'!$G$5:$G$4331,'Odoo Items'!$J$5:$J$4331,A839),2)</f>
        <v>611.74</v>
      </c>
      <c r="L839" s="9">
        <f>ROUND(J839-K839,2)</f>
        <v>0</v>
      </c>
      <c r="M839" s="9">
        <f>ROUND(SUMIFS('Bank Lines'!$E$5:$E$1640,'Bank Lines'!$G$5:$G$1640,A839,'Bank Lines'!$J$5:$J$1640,1,'Bank Lines'!$C$5:$C$1640,"&lt;="&amp;Cover!$C$13),2)</f>
        <v>0</v>
      </c>
      <c r="N839" s="9">
        <f>ROUND(SUMIFS('Odoo Items'!$G$5:$G$4331,'Odoo Items'!$J$5:$J$4331,A839,'Odoo Items'!$C$5:$C$4331,"&lt;="&amp;Cover!$C$13),2)</f>
        <v>0</v>
      </c>
      <c r="O839">
        <f>COUNTIFS('Bank Lines'!$G$5:$G$1640,A839,'Bank Lines'!$J$5:$J$1640,1,'Bank Lines'!$C$5:$C$1640,"&lt;="&amp;Cover!$C$13)</f>
        <v>0</v>
      </c>
      <c r="P839">
        <f>COUNTIFS('Odoo Items'!$J$5:$J$4331,A839,'Odoo Items'!$C$5:$C$4331,"&lt;="&amp;Cover!$C$13)</f>
        <v>0</v>
      </c>
      <c r="Q839">
        <f>IF(AND(O839=0,P839=0),"",IF(O839=0,"ODOO-ONLY",IF(P839=0,"BANK-ONLY","BOTH")))</f>
      </c>
      <c r="R839" s="9">
        <f>IF(Q839="BOTH",ROUND(M839-N839,2),0)</f>
        <v>0</v>
      </c>
      <c r="S839" s="9">
        <f>ROUND(SUMIFS('Bank Lines'!$E$5:$E$1640,'Bank Lines'!$G$5:$G$1640,A839,'Bank Lines'!$J$5:$J$1640,1,'Bank Lines'!$C$5:$C$1640,"&lt;="&amp;Cover!$C$14),2)</f>
        <v>0</v>
      </c>
      <c r="T839" s="9">
        <f>ROUND(SUMIFS('Odoo Items'!$G$5:$G$4331,'Odoo Items'!$J$5:$J$4331,A839,'Odoo Items'!$C$5:$C$4331,"&lt;="&amp;Cover!$C$14),2)</f>
        <v>0</v>
      </c>
      <c r="U839">
        <f>COUNTIFS('Bank Lines'!$G$5:$G$1640,A839,'Bank Lines'!$J$5:$J$1640,1,'Bank Lines'!$C$5:$C$1640,"&lt;="&amp;Cover!$C$14)</f>
        <v>0</v>
      </c>
      <c r="V839">
        <f>COUNTIFS('Odoo Items'!$J$5:$J$4331,A839,'Odoo Items'!$C$5:$C$4331,"&lt;="&amp;Cover!$C$14)</f>
        <v>0</v>
      </c>
      <c r="W839">
        <f>IF(AND(U839=0,V839=0),"",IF(U839=0,"ODOO-ONLY",IF(V839=0,"BANK-ONLY","BOTH")))</f>
      </c>
      <c r="X839" s="9">
        <f>IF(W839="BOTH",ROUND(S839-T839,2),0)</f>
        <v>0</v>
      </c>
      <c r="Y839" s="9">
        <f>ROUND(SUMIFS('Bank Lines'!$E$5:$E$1640,'Bank Lines'!$G$5:$G$1640,A839,'Bank Lines'!$J$5:$J$1640,1,'Bank Lines'!$C$5:$C$1640,"&lt;="&amp;Cover!$C$15),2)</f>
        <v>611.74</v>
      </c>
      <c r="Z839" s="9">
        <f>ROUND(SUMIFS('Odoo Items'!$G$5:$G$4331,'Odoo Items'!$J$5:$J$4331,A839,'Odoo Items'!$C$5:$C$4331,"&lt;="&amp;Cover!$C$15),2)</f>
        <v>611.74</v>
      </c>
      <c r="AA839">
        <f>COUNTIFS('Bank Lines'!$G$5:$G$1640,A839,'Bank Lines'!$J$5:$J$1640,1,'Bank Lines'!$C$5:$C$1640,"&lt;="&amp;Cover!$C$15)</f>
        <v>1</v>
      </c>
      <c r="AB839">
        <f>COUNTIFS('Odoo Items'!$J$5:$J$4331,A839,'Odoo Items'!$C$5:$C$4331,"&lt;="&amp;Cover!$C$15)</f>
        <v>1</v>
      </c>
      <c r="AC839" t="str">
        <f>IF(AND(AA839=0,AB839=0),"",IF(AA839=0,"ODOO-ONLY",IF(AB839=0,"BANK-ONLY","BOTH")))</f>
        <v>BOTH</v>
      </c>
      <c r="AD839" s="9">
        <f>IF(AC839="BOTH",ROUND(Y839-Z839,2),0)</f>
        <v>0</v>
      </c>
    </row>
    <row r="840">
      <c r="A840" t="inlineStr">
        <is>
          <t>G00836</t>
        </is>
      </c>
      <c r="B840" t="inlineStr">
        <is>
          <t>MER</t>
        </is>
      </c>
      <c r="C840" t="inlineStr">
        <is>
          <t>R08</t>
        </is>
      </c>
      <c r="D840" t="inlineStr">
        <is>
          <t>MATCH</t>
        </is>
      </c>
      <c r="E840" t="inlineStr"/>
      <c r="G840" t="inlineStr"/>
      <c r="H840">
        <f>COUNTIFS('Bank Lines'!$G$5:$G$1640,A840,'Bank Lines'!$J$5:$J$1640,1)</f>
        <v>1</v>
      </c>
      <c r="I840">
        <f>COUNTIFS('Odoo Items'!$J$5:$J$4331,A840)</f>
        <v>1</v>
      </c>
      <c r="J840" s="9">
        <f>ROUND(SUMIFS('Bank Lines'!$E$5:$E$1640,'Bank Lines'!$G$5:$G$1640,A840,'Bank Lines'!$J$5:$J$1640,1),2)</f>
        <v>668.3</v>
      </c>
      <c r="K840" s="9">
        <f>ROUND(SUMIFS('Odoo Items'!$G$5:$G$4331,'Odoo Items'!$J$5:$J$4331,A840),2)</f>
        <v>668.3</v>
      </c>
      <c r="L840" s="9">
        <f>ROUND(J840-K840,2)</f>
        <v>0</v>
      </c>
      <c r="M840" s="9">
        <f>ROUND(SUMIFS('Bank Lines'!$E$5:$E$1640,'Bank Lines'!$G$5:$G$1640,A840,'Bank Lines'!$J$5:$J$1640,1,'Bank Lines'!$C$5:$C$1640,"&lt;="&amp;Cover!$C$13),2)</f>
        <v>0</v>
      </c>
      <c r="N840" s="9">
        <f>ROUND(SUMIFS('Odoo Items'!$G$5:$G$4331,'Odoo Items'!$J$5:$J$4331,A840,'Odoo Items'!$C$5:$C$4331,"&lt;="&amp;Cover!$C$13),2)</f>
        <v>0</v>
      </c>
      <c r="O840">
        <f>COUNTIFS('Bank Lines'!$G$5:$G$1640,A840,'Bank Lines'!$J$5:$J$1640,1,'Bank Lines'!$C$5:$C$1640,"&lt;="&amp;Cover!$C$13)</f>
        <v>0</v>
      </c>
      <c r="P840">
        <f>COUNTIFS('Odoo Items'!$J$5:$J$4331,A840,'Odoo Items'!$C$5:$C$4331,"&lt;="&amp;Cover!$C$13)</f>
        <v>0</v>
      </c>
      <c r="Q840">
        <f>IF(AND(O840=0,P840=0),"",IF(O840=0,"ODOO-ONLY",IF(P840=0,"BANK-ONLY","BOTH")))</f>
      </c>
      <c r="R840" s="9">
        <f>IF(Q840="BOTH",ROUND(M840-N840,2),0)</f>
        <v>0</v>
      </c>
      <c r="S840" s="9">
        <f>ROUND(SUMIFS('Bank Lines'!$E$5:$E$1640,'Bank Lines'!$G$5:$G$1640,A840,'Bank Lines'!$J$5:$J$1640,1,'Bank Lines'!$C$5:$C$1640,"&lt;="&amp;Cover!$C$14),2)</f>
        <v>0</v>
      </c>
      <c r="T840" s="9">
        <f>ROUND(SUMIFS('Odoo Items'!$G$5:$G$4331,'Odoo Items'!$J$5:$J$4331,A840,'Odoo Items'!$C$5:$C$4331,"&lt;="&amp;Cover!$C$14),2)</f>
        <v>0</v>
      </c>
      <c r="U840">
        <f>COUNTIFS('Bank Lines'!$G$5:$G$1640,A840,'Bank Lines'!$J$5:$J$1640,1,'Bank Lines'!$C$5:$C$1640,"&lt;="&amp;Cover!$C$14)</f>
        <v>0</v>
      </c>
      <c r="V840">
        <f>COUNTIFS('Odoo Items'!$J$5:$J$4331,A840,'Odoo Items'!$C$5:$C$4331,"&lt;="&amp;Cover!$C$14)</f>
        <v>0</v>
      </c>
      <c r="W840">
        <f>IF(AND(U840=0,V840=0),"",IF(U840=0,"ODOO-ONLY",IF(V840=0,"BANK-ONLY","BOTH")))</f>
      </c>
      <c r="X840" s="9">
        <f>IF(W840="BOTH",ROUND(S840-T840,2),0)</f>
        <v>0</v>
      </c>
      <c r="Y840" s="9">
        <f>ROUND(SUMIFS('Bank Lines'!$E$5:$E$1640,'Bank Lines'!$G$5:$G$1640,A840,'Bank Lines'!$J$5:$J$1640,1,'Bank Lines'!$C$5:$C$1640,"&lt;="&amp;Cover!$C$15),2)</f>
        <v>668.3</v>
      </c>
      <c r="Z840" s="9">
        <f>ROUND(SUMIFS('Odoo Items'!$G$5:$G$4331,'Odoo Items'!$J$5:$J$4331,A840,'Odoo Items'!$C$5:$C$4331,"&lt;="&amp;Cover!$C$15),2)</f>
        <v>668.3</v>
      </c>
      <c r="AA840">
        <f>COUNTIFS('Bank Lines'!$G$5:$G$1640,A840,'Bank Lines'!$J$5:$J$1640,1,'Bank Lines'!$C$5:$C$1640,"&lt;="&amp;Cover!$C$15)</f>
        <v>1</v>
      </c>
      <c r="AB840">
        <f>COUNTIFS('Odoo Items'!$J$5:$J$4331,A840,'Odoo Items'!$C$5:$C$4331,"&lt;="&amp;Cover!$C$15)</f>
        <v>1</v>
      </c>
      <c r="AC840" t="str">
        <f>IF(AND(AA840=0,AB840=0),"",IF(AA840=0,"ODOO-ONLY",IF(AB840=0,"BANK-ONLY","BOTH")))</f>
        <v>BOTH</v>
      </c>
      <c r="AD840" s="9">
        <f>IF(AC840="BOTH",ROUND(Y840-Z840,2),0)</f>
        <v>0</v>
      </c>
    </row>
    <row r="841">
      <c r="A841" t="inlineStr">
        <is>
          <t>G00837</t>
        </is>
      </c>
      <c r="B841" t="inlineStr">
        <is>
          <t>MER</t>
        </is>
      </c>
      <c r="C841" t="inlineStr">
        <is>
          <t>R08</t>
        </is>
      </c>
      <c r="D841" t="inlineStr">
        <is>
          <t>MATCH</t>
        </is>
      </c>
      <c r="E841" t="inlineStr"/>
      <c r="G841" t="inlineStr"/>
      <c r="H841">
        <f>COUNTIFS('Bank Lines'!$G$5:$G$1640,A841,'Bank Lines'!$J$5:$J$1640,1)</f>
        <v>1</v>
      </c>
      <c r="I841">
        <f>COUNTIFS('Odoo Items'!$J$5:$J$4331,A841)</f>
        <v>1</v>
      </c>
      <c r="J841" s="9">
        <f>ROUND(SUMIFS('Bank Lines'!$E$5:$E$1640,'Bank Lines'!$G$5:$G$1640,A841,'Bank Lines'!$J$5:$J$1640,1),2)</f>
        <v>771.92</v>
      </c>
      <c r="K841" s="9">
        <f>ROUND(SUMIFS('Odoo Items'!$G$5:$G$4331,'Odoo Items'!$J$5:$J$4331,A841),2)</f>
        <v>771.92</v>
      </c>
      <c r="L841" s="9">
        <f>ROUND(J841-K841,2)</f>
        <v>0</v>
      </c>
      <c r="M841" s="9">
        <f>ROUND(SUMIFS('Bank Lines'!$E$5:$E$1640,'Bank Lines'!$G$5:$G$1640,A841,'Bank Lines'!$J$5:$J$1640,1,'Bank Lines'!$C$5:$C$1640,"&lt;="&amp;Cover!$C$13),2)</f>
        <v>0</v>
      </c>
      <c r="N841" s="9">
        <f>ROUND(SUMIFS('Odoo Items'!$G$5:$G$4331,'Odoo Items'!$J$5:$J$4331,A841,'Odoo Items'!$C$5:$C$4331,"&lt;="&amp;Cover!$C$13),2)</f>
        <v>0</v>
      </c>
      <c r="O841">
        <f>COUNTIFS('Bank Lines'!$G$5:$G$1640,A841,'Bank Lines'!$J$5:$J$1640,1,'Bank Lines'!$C$5:$C$1640,"&lt;="&amp;Cover!$C$13)</f>
        <v>0</v>
      </c>
      <c r="P841">
        <f>COUNTIFS('Odoo Items'!$J$5:$J$4331,A841,'Odoo Items'!$C$5:$C$4331,"&lt;="&amp;Cover!$C$13)</f>
        <v>0</v>
      </c>
      <c r="Q841">
        <f>IF(AND(O841=0,P841=0),"",IF(O841=0,"ODOO-ONLY",IF(P841=0,"BANK-ONLY","BOTH")))</f>
      </c>
      <c r="R841" s="9">
        <f>IF(Q841="BOTH",ROUND(M841-N841,2),0)</f>
        <v>0</v>
      </c>
      <c r="S841" s="9">
        <f>ROUND(SUMIFS('Bank Lines'!$E$5:$E$1640,'Bank Lines'!$G$5:$G$1640,A841,'Bank Lines'!$J$5:$J$1640,1,'Bank Lines'!$C$5:$C$1640,"&lt;="&amp;Cover!$C$14),2)</f>
        <v>0</v>
      </c>
      <c r="T841" s="9">
        <f>ROUND(SUMIFS('Odoo Items'!$G$5:$G$4331,'Odoo Items'!$J$5:$J$4331,A841,'Odoo Items'!$C$5:$C$4331,"&lt;="&amp;Cover!$C$14),2)</f>
        <v>0</v>
      </c>
      <c r="U841">
        <f>COUNTIFS('Bank Lines'!$G$5:$G$1640,A841,'Bank Lines'!$J$5:$J$1640,1,'Bank Lines'!$C$5:$C$1640,"&lt;="&amp;Cover!$C$14)</f>
        <v>0</v>
      </c>
      <c r="V841">
        <f>COUNTIFS('Odoo Items'!$J$5:$J$4331,A841,'Odoo Items'!$C$5:$C$4331,"&lt;="&amp;Cover!$C$14)</f>
        <v>0</v>
      </c>
      <c r="W841">
        <f>IF(AND(U841=0,V841=0),"",IF(U841=0,"ODOO-ONLY",IF(V841=0,"BANK-ONLY","BOTH")))</f>
      </c>
      <c r="X841" s="9">
        <f>IF(W841="BOTH",ROUND(S841-T841,2),0)</f>
        <v>0</v>
      </c>
      <c r="Y841" s="9">
        <f>ROUND(SUMIFS('Bank Lines'!$E$5:$E$1640,'Bank Lines'!$G$5:$G$1640,A841,'Bank Lines'!$J$5:$J$1640,1,'Bank Lines'!$C$5:$C$1640,"&lt;="&amp;Cover!$C$15),2)</f>
        <v>771.92</v>
      </c>
      <c r="Z841" s="9">
        <f>ROUND(SUMIFS('Odoo Items'!$G$5:$G$4331,'Odoo Items'!$J$5:$J$4331,A841,'Odoo Items'!$C$5:$C$4331,"&lt;="&amp;Cover!$C$15),2)</f>
        <v>771.92</v>
      </c>
      <c r="AA841">
        <f>COUNTIFS('Bank Lines'!$G$5:$G$1640,A841,'Bank Lines'!$J$5:$J$1640,1,'Bank Lines'!$C$5:$C$1640,"&lt;="&amp;Cover!$C$15)</f>
        <v>1</v>
      </c>
      <c r="AB841">
        <f>COUNTIFS('Odoo Items'!$J$5:$J$4331,A841,'Odoo Items'!$C$5:$C$4331,"&lt;="&amp;Cover!$C$15)</f>
        <v>1</v>
      </c>
      <c r="AC841" t="str">
        <f>IF(AND(AA841=0,AB841=0),"",IF(AA841=0,"ODOO-ONLY",IF(AB841=0,"BANK-ONLY","BOTH")))</f>
        <v>BOTH</v>
      </c>
      <c r="AD841" s="9">
        <f>IF(AC841="BOTH",ROUND(Y841-Z841,2),0)</f>
        <v>0</v>
      </c>
    </row>
    <row r="842">
      <c r="A842" t="inlineStr">
        <is>
          <t>G00838</t>
        </is>
      </c>
      <c r="B842" t="inlineStr">
        <is>
          <t>MER</t>
        </is>
      </c>
      <c r="C842" t="inlineStr">
        <is>
          <t>R04</t>
        </is>
      </c>
      <c r="D842" t="inlineStr">
        <is>
          <t>MATCH</t>
        </is>
      </c>
      <c r="E842" t="inlineStr"/>
      <c r="G842" t="inlineStr">
        <is>
          <t>Sweep, same amount</t>
        </is>
      </c>
      <c r="H842">
        <f>COUNTIFS('Bank Lines'!$G$5:$G$1640,A842,'Bank Lines'!$J$5:$J$1640,1)</f>
        <v>1</v>
      </c>
      <c r="I842">
        <f>COUNTIFS('Odoo Items'!$J$5:$J$4331,A842)</f>
        <v>1</v>
      </c>
      <c r="J842" s="9">
        <f>ROUND(SUMIFS('Bank Lines'!$E$5:$E$1640,'Bank Lines'!$G$5:$G$1640,A842,'Bank Lines'!$J$5:$J$1640,1),2)</f>
        <v>-22000</v>
      </c>
      <c r="K842" s="9">
        <f>ROUND(SUMIFS('Odoo Items'!$G$5:$G$4331,'Odoo Items'!$J$5:$J$4331,A842),2)</f>
        <v>-22000</v>
      </c>
      <c r="L842" s="9">
        <f>ROUND(J842-K842,2)</f>
        <v>0</v>
      </c>
      <c r="M842" s="9">
        <f>ROUND(SUMIFS('Bank Lines'!$E$5:$E$1640,'Bank Lines'!$G$5:$G$1640,A842,'Bank Lines'!$J$5:$J$1640,1,'Bank Lines'!$C$5:$C$1640,"&lt;="&amp;Cover!$C$13),2)</f>
        <v>0</v>
      </c>
      <c r="N842" s="9">
        <f>ROUND(SUMIFS('Odoo Items'!$G$5:$G$4331,'Odoo Items'!$J$5:$J$4331,A842,'Odoo Items'!$C$5:$C$4331,"&lt;="&amp;Cover!$C$13),2)</f>
        <v>0</v>
      </c>
      <c r="O842">
        <f>COUNTIFS('Bank Lines'!$G$5:$G$1640,A842,'Bank Lines'!$J$5:$J$1640,1,'Bank Lines'!$C$5:$C$1640,"&lt;="&amp;Cover!$C$13)</f>
        <v>0</v>
      </c>
      <c r="P842">
        <f>COUNTIFS('Odoo Items'!$J$5:$J$4331,A842,'Odoo Items'!$C$5:$C$4331,"&lt;="&amp;Cover!$C$13)</f>
        <v>0</v>
      </c>
      <c r="Q842">
        <f>IF(AND(O842=0,P842=0),"",IF(O842=0,"ODOO-ONLY",IF(P842=0,"BANK-ONLY","BOTH")))</f>
      </c>
      <c r="R842" s="9">
        <f>IF(Q842="BOTH",ROUND(M842-N842,2),0)</f>
        <v>0</v>
      </c>
      <c r="S842" s="9">
        <f>ROUND(SUMIFS('Bank Lines'!$E$5:$E$1640,'Bank Lines'!$G$5:$G$1640,A842,'Bank Lines'!$J$5:$J$1640,1,'Bank Lines'!$C$5:$C$1640,"&lt;="&amp;Cover!$C$14),2)</f>
        <v>0</v>
      </c>
      <c r="T842" s="9">
        <f>ROUND(SUMIFS('Odoo Items'!$G$5:$G$4331,'Odoo Items'!$J$5:$J$4331,A842,'Odoo Items'!$C$5:$C$4331,"&lt;="&amp;Cover!$C$14),2)</f>
        <v>0</v>
      </c>
      <c r="U842">
        <f>COUNTIFS('Bank Lines'!$G$5:$G$1640,A842,'Bank Lines'!$J$5:$J$1640,1,'Bank Lines'!$C$5:$C$1640,"&lt;="&amp;Cover!$C$14)</f>
        <v>0</v>
      </c>
      <c r="V842">
        <f>COUNTIFS('Odoo Items'!$J$5:$J$4331,A842,'Odoo Items'!$C$5:$C$4331,"&lt;="&amp;Cover!$C$14)</f>
        <v>0</v>
      </c>
      <c r="W842">
        <f>IF(AND(U842=0,V842=0),"",IF(U842=0,"ODOO-ONLY",IF(V842=0,"BANK-ONLY","BOTH")))</f>
      </c>
      <c r="X842" s="9">
        <f>IF(W842="BOTH",ROUND(S842-T842,2),0)</f>
        <v>0</v>
      </c>
      <c r="Y842" s="9">
        <f>ROUND(SUMIFS('Bank Lines'!$E$5:$E$1640,'Bank Lines'!$G$5:$G$1640,A842,'Bank Lines'!$J$5:$J$1640,1,'Bank Lines'!$C$5:$C$1640,"&lt;="&amp;Cover!$C$15),2)</f>
        <v>-22000</v>
      </c>
      <c r="Z842" s="9">
        <f>ROUND(SUMIFS('Odoo Items'!$G$5:$G$4331,'Odoo Items'!$J$5:$J$4331,A842,'Odoo Items'!$C$5:$C$4331,"&lt;="&amp;Cover!$C$15),2)</f>
        <v>-22000</v>
      </c>
      <c r="AA842">
        <f>COUNTIFS('Bank Lines'!$G$5:$G$1640,A842,'Bank Lines'!$J$5:$J$1640,1,'Bank Lines'!$C$5:$C$1640,"&lt;="&amp;Cover!$C$15)</f>
        <v>1</v>
      </c>
      <c r="AB842">
        <f>COUNTIFS('Odoo Items'!$J$5:$J$4331,A842,'Odoo Items'!$C$5:$C$4331,"&lt;="&amp;Cover!$C$15)</f>
        <v>1</v>
      </c>
      <c r="AC842" t="str">
        <f>IF(AND(AA842=0,AB842=0),"",IF(AA842=0,"ODOO-ONLY",IF(AB842=0,"BANK-ONLY","BOTH")))</f>
        <v>BOTH</v>
      </c>
      <c r="AD842" s="9">
        <f>IF(AC842="BOTH",ROUND(Y842-Z842,2),0)</f>
        <v>0</v>
      </c>
    </row>
    <row r="843">
      <c r="A843" t="inlineStr">
        <is>
          <t>G00839</t>
        </is>
      </c>
      <c r="B843" t="inlineStr">
        <is>
          <t>MER</t>
        </is>
      </c>
      <c r="C843" t="inlineStr">
        <is>
          <t>R08</t>
        </is>
      </c>
      <c r="D843" t="inlineStr">
        <is>
          <t>MATCH</t>
        </is>
      </c>
      <c r="E843" t="inlineStr"/>
      <c r="G843" t="inlineStr"/>
      <c r="H843">
        <f>COUNTIFS('Bank Lines'!$G$5:$G$1640,A843,'Bank Lines'!$J$5:$J$1640,1)</f>
        <v>1</v>
      </c>
      <c r="I843">
        <f>COUNTIFS('Odoo Items'!$J$5:$J$4331,A843)</f>
        <v>1</v>
      </c>
      <c r="J843" s="9">
        <f>ROUND(SUMIFS('Bank Lines'!$E$5:$E$1640,'Bank Lines'!$G$5:$G$1640,A843,'Bank Lines'!$J$5:$J$1640,1),2)</f>
        <v>2373.76</v>
      </c>
      <c r="K843" s="9">
        <f>ROUND(SUMIFS('Odoo Items'!$G$5:$G$4331,'Odoo Items'!$J$5:$J$4331,A843),2)</f>
        <v>2373.76</v>
      </c>
      <c r="L843" s="9">
        <f>ROUND(J843-K843,2)</f>
        <v>0</v>
      </c>
      <c r="M843" s="9">
        <f>ROUND(SUMIFS('Bank Lines'!$E$5:$E$1640,'Bank Lines'!$G$5:$G$1640,A843,'Bank Lines'!$J$5:$J$1640,1,'Bank Lines'!$C$5:$C$1640,"&lt;="&amp;Cover!$C$13),2)</f>
        <v>0</v>
      </c>
      <c r="N843" s="9">
        <f>ROUND(SUMIFS('Odoo Items'!$G$5:$G$4331,'Odoo Items'!$J$5:$J$4331,A843,'Odoo Items'!$C$5:$C$4331,"&lt;="&amp;Cover!$C$13),2)</f>
        <v>0</v>
      </c>
      <c r="O843">
        <f>COUNTIFS('Bank Lines'!$G$5:$G$1640,A843,'Bank Lines'!$J$5:$J$1640,1,'Bank Lines'!$C$5:$C$1640,"&lt;="&amp;Cover!$C$13)</f>
        <v>0</v>
      </c>
      <c r="P843">
        <f>COUNTIFS('Odoo Items'!$J$5:$J$4331,A843,'Odoo Items'!$C$5:$C$4331,"&lt;="&amp;Cover!$C$13)</f>
        <v>0</v>
      </c>
      <c r="Q843">
        <f>IF(AND(O843=0,P843=0),"",IF(O843=0,"ODOO-ONLY",IF(P843=0,"BANK-ONLY","BOTH")))</f>
      </c>
      <c r="R843" s="9">
        <f>IF(Q843="BOTH",ROUND(M843-N843,2),0)</f>
        <v>0</v>
      </c>
      <c r="S843" s="9">
        <f>ROUND(SUMIFS('Bank Lines'!$E$5:$E$1640,'Bank Lines'!$G$5:$G$1640,A843,'Bank Lines'!$J$5:$J$1640,1,'Bank Lines'!$C$5:$C$1640,"&lt;="&amp;Cover!$C$14),2)</f>
        <v>0</v>
      </c>
      <c r="T843" s="9">
        <f>ROUND(SUMIFS('Odoo Items'!$G$5:$G$4331,'Odoo Items'!$J$5:$J$4331,A843,'Odoo Items'!$C$5:$C$4331,"&lt;="&amp;Cover!$C$14),2)</f>
        <v>0</v>
      </c>
      <c r="U843">
        <f>COUNTIFS('Bank Lines'!$G$5:$G$1640,A843,'Bank Lines'!$J$5:$J$1640,1,'Bank Lines'!$C$5:$C$1640,"&lt;="&amp;Cover!$C$14)</f>
        <v>0</v>
      </c>
      <c r="V843">
        <f>COUNTIFS('Odoo Items'!$J$5:$J$4331,A843,'Odoo Items'!$C$5:$C$4331,"&lt;="&amp;Cover!$C$14)</f>
        <v>0</v>
      </c>
      <c r="W843">
        <f>IF(AND(U843=0,V843=0),"",IF(U843=0,"ODOO-ONLY",IF(V843=0,"BANK-ONLY","BOTH")))</f>
      </c>
      <c r="X843" s="9">
        <f>IF(W843="BOTH",ROUND(S843-T843,2),0)</f>
        <v>0</v>
      </c>
      <c r="Y843" s="9">
        <f>ROUND(SUMIFS('Bank Lines'!$E$5:$E$1640,'Bank Lines'!$G$5:$G$1640,A843,'Bank Lines'!$J$5:$J$1640,1,'Bank Lines'!$C$5:$C$1640,"&lt;="&amp;Cover!$C$15),2)</f>
        <v>2373.76</v>
      </c>
      <c r="Z843" s="9">
        <f>ROUND(SUMIFS('Odoo Items'!$G$5:$G$4331,'Odoo Items'!$J$5:$J$4331,A843,'Odoo Items'!$C$5:$C$4331,"&lt;="&amp;Cover!$C$15),2)</f>
        <v>2373.76</v>
      </c>
      <c r="AA843">
        <f>COUNTIFS('Bank Lines'!$G$5:$G$1640,A843,'Bank Lines'!$J$5:$J$1640,1,'Bank Lines'!$C$5:$C$1640,"&lt;="&amp;Cover!$C$15)</f>
        <v>1</v>
      </c>
      <c r="AB843">
        <f>COUNTIFS('Odoo Items'!$J$5:$J$4331,A843,'Odoo Items'!$C$5:$C$4331,"&lt;="&amp;Cover!$C$15)</f>
        <v>1</v>
      </c>
      <c r="AC843" t="str">
        <f>IF(AND(AA843=0,AB843=0),"",IF(AA843=0,"ODOO-ONLY",IF(AB843=0,"BANK-ONLY","BOTH")))</f>
        <v>BOTH</v>
      </c>
      <c r="AD843" s="9">
        <f>IF(AC843="BOTH",ROUND(Y843-Z843,2),0)</f>
        <v>0</v>
      </c>
    </row>
    <row r="844">
      <c r="A844" t="inlineStr">
        <is>
          <t>G00840</t>
        </is>
      </c>
      <c r="B844" t="inlineStr">
        <is>
          <t>MER</t>
        </is>
      </c>
      <c r="C844" t="inlineStr">
        <is>
          <t>R08</t>
        </is>
      </c>
      <c r="D844" t="inlineStr">
        <is>
          <t>MATCH</t>
        </is>
      </c>
      <c r="E844" t="inlineStr"/>
      <c r="G844" t="inlineStr"/>
      <c r="H844">
        <f>COUNTIFS('Bank Lines'!$G$5:$G$1640,A844,'Bank Lines'!$J$5:$J$1640,1)</f>
        <v>1</v>
      </c>
      <c r="I844">
        <f>COUNTIFS('Odoo Items'!$J$5:$J$4331,A844)</f>
        <v>1</v>
      </c>
      <c r="J844" s="9">
        <f>ROUND(SUMIFS('Bank Lines'!$E$5:$E$1640,'Bank Lines'!$G$5:$G$1640,A844,'Bank Lines'!$J$5:$J$1640,1),2)</f>
        <v>3311.3</v>
      </c>
      <c r="K844" s="9">
        <f>ROUND(SUMIFS('Odoo Items'!$G$5:$G$4331,'Odoo Items'!$J$5:$J$4331,A844),2)</f>
        <v>3311.3</v>
      </c>
      <c r="L844" s="9">
        <f>ROUND(J844-K844,2)</f>
        <v>0</v>
      </c>
      <c r="M844" s="9">
        <f>ROUND(SUMIFS('Bank Lines'!$E$5:$E$1640,'Bank Lines'!$G$5:$G$1640,A844,'Bank Lines'!$J$5:$J$1640,1,'Bank Lines'!$C$5:$C$1640,"&lt;="&amp;Cover!$C$13),2)</f>
        <v>0</v>
      </c>
      <c r="N844" s="9">
        <f>ROUND(SUMIFS('Odoo Items'!$G$5:$G$4331,'Odoo Items'!$J$5:$J$4331,A844,'Odoo Items'!$C$5:$C$4331,"&lt;="&amp;Cover!$C$13),2)</f>
        <v>0</v>
      </c>
      <c r="O844">
        <f>COUNTIFS('Bank Lines'!$G$5:$G$1640,A844,'Bank Lines'!$J$5:$J$1640,1,'Bank Lines'!$C$5:$C$1640,"&lt;="&amp;Cover!$C$13)</f>
        <v>0</v>
      </c>
      <c r="P844">
        <f>COUNTIFS('Odoo Items'!$J$5:$J$4331,A844,'Odoo Items'!$C$5:$C$4331,"&lt;="&amp;Cover!$C$13)</f>
        <v>0</v>
      </c>
      <c r="Q844">
        <f>IF(AND(O844=0,P844=0),"",IF(O844=0,"ODOO-ONLY",IF(P844=0,"BANK-ONLY","BOTH")))</f>
      </c>
      <c r="R844" s="9">
        <f>IF(Q844="BOTH",ROUND(M844-N844,2),0)</f>
        <v>0</v>
      </c>
      <c r="S844" s="9">
        <f>ROUND(SUMIFS('Bank Lines'!$E$5:$E$1640,'Bank Lines'!$G$5:$G$1640,A844,'Bank Lines'!$J$5:$J$1640,1,'Bank Lines'!$C$5:$C$1640,"&lt;="&amp;Cover!$C$14),2)</f>
        <v>0</v>
      </c>
      <c r="T844" s="9">
        <f>ROUND(SUMIFS('Odoo Items'!$G$5:$G$4331,'Odoo Items'!$J$5:$J$4331,A844,'Odoo Items'!$C$5:$C$4331,"&lt;="&amp;Cover!$C$14),2)</f>
        <v>0</v>
      </c>
      <c r="U844">
        <f>COUNTIFS('Bank Lines'!$G$5:$G$1640,A844,'Bank Lines'!$J$5:$J$1640,1,'Bank Lines'!$C$5:$C$1640,"&lt;="&amp;Cover!$C$14)</f>
        <v>0</v>
      </c>
      <c r="V844">
        <f>COUNTIFS('Odoo Items'!$J$5:$J$4331,A844,'Odoo Items'!$C$5:$C$4331,"&lt;="&amp;Cover!$C$14)</f>
        <v>0</v>
      </c>
      <c r="W844">
        <f>IF(AND(U844=0,V844=0),"",IF(U844=0,"ODOO-ONLY",IF(V844=0,"BANK-ONLY","BOTH")))</f>
      </c>
      <c r="X844" s="9">
        <f>IF(W844="BOTH",ROUND(S844-T844,2),0)</f>
        <v>0</v>
      </c>
      <c r="Y844" s="9">
        <f>ROUND(SUMIFS('Bank Lines'!$E$5:$E$1640,'Bank Lines'!$G$5:$G$1640,A844,'Bank Lines'!$J$5:$J$1640,1,'Bank Lines'!$C$5:$C$1640,"&lt;="&amp;Cover!$C$15),2)</f>
        <v>3311.3</v>
      </c>
      <c r="Z844" s="9">
        <f>ROUND(SUMIFS('Odoo Items'!$G$5:$G$4331,'Odoo Items'!$J$5:$J$4331,A844,'Odoo Items'!$C$5:$C$4331,"&lt;="&amp;Cover!$C$15),2)</f>
        <v>3311.3</v>
      </c>
      <c r="AA844">
        <f>COUNTIFS('Bank Lines'!$G$5:$G$1640,A844,'Bank Lines'!$J$5:$J$1640,1,'Bank Lines'!$C$5:$C$1640,"&lt;="&amp;Cover!$C$15)</f>
        <v>1</v>
      </c>
      <c r="AB844">
        <f>COUNTIFS('Odoo Items'!$J$5:$J$4331,A844,'Odoo Items'!$C$5:$C$4331,"&lt;="&amp;Cover!$C$15)</f>
        <v>1</v>
      </c>
      <c r="AC844" t="str">
        <f>IF(AND(AA844=0,AB844=0),"",IF(AA844=0,"ODOO-ONLY",IF(AB844=0,"BANK-ONLY","BOTH")))</f>
        <v>BOTH</v>
      </c>
      <c r="AD844" s="9">
        <f>IF(AC844="BOTH",ROUND(Y844-Z844,2),0)</f>
        <v>0</v>
      </c>
    </row>
    <row r="845">
      <c r="A845" t="inlineStr">
        <is>
          <t>G00841</t>
        </is>
      </c>
      <c r="B845" t="inlineStr">
        <is>
          <t>MER</t>
        </is>
      </c>
      <c r="C845" t="inlineStr">
        <is>
          <t>R08</t>
        </is>
      </c>
      <c r="D845" t="inlineStr">
        <is>
          <t>MATCH</t>
        </is>
      </c>
      <c r="E845" t="inlineStr"/>
      <c r="G845" t="inlineStr"/>
      <c r="H845">
        <f>COUNTIFS('Bank Lines'!$G$5:$G$1640,A845,'Bank Lines'!$J$5:$J$1640,1)</f>
        <v>1</v>
      </c>
      <c r="I845">
        <f>COUNTIFS('Odoo Items'!$J$5:$J$4331,A845)</f>
        <v>1</v>
      </c>
      <c r="J845" s="9">
        <f>ROUND(SUMIFS('Bank Lines'!$E$5:$E$1640,'Bank Lines'!$G$5:$G$1640,A845,'Bank Lines'!$J$5:$J$1640,1),2)</f>
        <v>1968.7</v>
      </c>
      <c r="K845" s="9">
        <f>ROUND(SUMIFS('Odoo Items'!$G$5:$G$4331,'Odoo Items'!$J$5:$J$4331,A845),2)</f>
        <v>1968.7</v>
      </c>
      <c r="L845" s="9">
        <f>ROUND(J845-K845,2)</f>
        <v>0</v>
      </c>
      <c r="M845" s="9">
        <f>ROUND(SUMIFS('Bank Lines'!$E$5:$E$1640,'Bank Lines'!$G$5:$G$1640,A845,'Bank Lines'!$J$5:$J$1640,1,'Bank Lines'!$C$5:$C$1640,"&lt;="&amp;Cover!$C$13),2)</f>
        <v>0</v>
      </c>
      <c r="N845" s="9">
        <f>ROUND(SUMIFS('Odoo Items'!$G$5:$G$4331,'Odoo Items'!$J$5:$J$4331,A845,'Odoo Items'!$C$5:$C$4331,"&lt;="&amp;Cover!$C$13),2)</f>
        <v>0</v>
      </c>
      <c r="O845">
        <f>COUNTIFS('Bank Lines'!$G$5:$G$1640,A845,'Bank Lines'!$J$5:$J$1640,1,'Bank Lines'!$C$5:$C$1640,"&lt;="&amp;Cover!$C$13)</f>
        <v>0</v>
      </c>
      <c r="P845">
        <f>COUNTIFS('Odoo Items'!$J$5:$J$4331,A845,'Odoo Items'!$C$5:$C$4331,"&lt;="&amp;Cover!$C$13)</f>
        <v>0</v>
      </c>
      <c r="Q845">
        <f>IF(AND(O845=0,P845=0),"",IF(O845=0,"ODOO-ONLY",IF(P845=0,"BANK-ONLY","BOTH")))</f>
      </c>
      <c r="R845" s="9">
        <f>IF(Q845="BOTH",ROUND(M845-N845,2),0)</f>
        <v>0</v>
      </c>
      <c r="S845" s="9">
        <f>ROUND(SUMIFS('Bank Lines'!$E$5:$E$1640,'Bank Lines'!$G$5:$G$1640,A845,'Bank Lines'!$J$5:$J$1640,1,'Bank Lines'!$C$5:$C$1640,"&lt;="&amp;Cover!$C$14),2)</f>
        <v>0</v>
      </c>
      <c r="T845" s="9">
        <f>ROUND(SUMIFS('Odoo Items'!$G$5:$G$4331,'Odoo Items'!$J$5:$J$4331,A845,'Odoo Items'!$C$5:$C$4331,"&lt;="&amp;Cover!$C$14),2)</f>
        <v>0</v>
      </c>
      <c r="U845">
        <f>COUNTIFS('Bank Lines'!$G$5:$G$1640,A845,'Bank Lines'!$J$5:$J$1640,1,'Bank Lines'!$C$5:$C$1640,"&lt;="&amp;Cover!$C$14)</f>
        <v>0</v>
      </c>
      <c r="V845">
        <f>COUNTIFS('Odoo Items'!$J$5:$J$4331,A845,'Odoo Items'!$C$5:$C$4331,"&lt;="&amp;Cover!$C$14)</f>
        <v>0</v>
      </c>
      <c r="W845">
        <f>IF(AND(U845=0,V845=0),"",IF(U845=0,"ODOO-ONLY",IF(V845=0,"BANK-ONLY","BOTH")))</f>
      </c>
      <c r="X845" s="9">
        <f>IF(W845="BOTH",ROUND(S845-T845,2),0)</f>
        <v>0</v>
      </c>
      <c r="Y845" s="9">
        <f>ROUND(SUMIFS('Bank Lines'!$E$5:$E$1640,'Bank Lines'!$G$5:$G$1640,A845,'Bank Lines'!$J$5:$J$1640,1,'Bank Lines'!$C$5:$C$1640,"&lt;="&amp;Cover!$C$15),2)</f>
        <v>1968.7</v>
      </c>
      <c r="Z845" s="9">
        <f>ROUND(SUMIFS('Odoo Items'!$G$5:$G$4331,'Odoo Items'!$J$5:$J$4331,A845,'Odoo Items'!$C$5:$C$4331,"&lt;="&amp;Cover!$C$15),2)</f>
        <v>1968.7</v>
      </c>
      <c r="AA845">
        <f>COUNTIFS('Bank Lines'!$G$5:$G$1640,A845,'Bank Lines'!$J$5:$J$1640,1,'Bank Lines'!$C$5:$C$1640,"&lt;="&amp;Cover!$C$15)</f>
        <v>1</v>
      </c>
      <c r="AB845">
        <f>COUNTIFS('Odoo Items'!$J$5:$J$4331,A845,'Odoo Items'!$C$5:$C$4331,"&lt;="&amp;Cover!$C$15)</f>
        <v>1</v>
      </c>
      <c r="AC845" t="str">
        <f>IF(AND(AA845=0,AB845=0),"",IF(AA845=0,"ODOO-ONLY",IF(AB845=0,"BANK-ONLY","BOTH")))</f>
        <v>BOTH</v>
      </c>
      <c r="AD845" s="9">
        <f>IF(AC845="BOTH",ROUND(Y845-Z845,2),0)</f>
        <v>0</v>
      </c>
    </row>
    <row r="846">
      <c r="A846" t="inlineStr">
        <is>
          <t>G00842</t>
        </is>
      </c>
      <c r="B846" t="inlineStr">
        <is>
          <t>MER</t>
        </is>
      </c>
      <c r="C846" t="inlineStr">
        <is>
          <t>R08</t>
        </is>
      </c>
      <c r="D846" t="inlineStr">
        <is>
          <t>MATCH</t>
        </is>
      </c>
      <c r="E846" t="inlineStr"/>
      <c r="G846" t="inlineStr"/>
      <c r="H846">
        <f>COUNTIFS('Bank Lines'!$G$5:$G$1640,A846,'Bank Lines'!$J$5:$J$1640,1)</f>
        <v>1</v>
      </c>
      <c r="I846">
        <f>COUNTIFS('Odoo Items'!$J$5:$J$4331,A846)</f>
        <v>1</v>
      </c>
      <c r="J846" s="9">
        <f>ROUND(SUMIFS('Bank Lines'!$E$5:$E$1640,'Bank Lines'!$G$5:$G$1640,A846,'Bank Lines'!$J$5:$J$1640,1),2)</f>
        <v>3399.74</v>
      </c>
      <c r="K846" s="9">
        <f>ROUND(SUMIFS('Odoo Items'!$G$5:$G$4331,'Odoo Items'!$J$5:$J$4331,A846),2)</f>
        <v>3399.74</v>
      </c>
      <c r="L846" s="9">
        <f>ROUND(J846-K846,2)</f>
        <v>0</v>
      </c>
      <c r="M846" s="9">
        <f>ROUND(SUMIFS('Bank Lines'!$E$5:$E$1640,'Bank Lines'!$G$5:$G$1640,A846,'Bank Lines'!$J$5:$J$1640,1,'Bank Lines'!$C$5:$C$1640,"&lt;="&amp;Cover!$C$13),2)</f>
        <v>0</v>
      </c>
      <c r="N846" s="9">
        <f>ROUND(SUMIFS('Odoo Items'!$G$5:$G$4331,'Odoo Items'!$J$5:$J$4331,A846,'Odoo Items'!$C$5:$C$4331,"&lt;="&amp;Cover!$C$13),2)</f>
        <v>0</v>
      </c>
      <c r="O846">
        <f>COUNTIFS('Bank Lines'!$G$5:$G$1640,A846,'Bank Lines'!$J$5:$J$1640,1,'Bank Lines'!$C$5:$C$1640,"&lt;="&amp;Cover!$C$13)</f>
        <v>0</v>
      </c>
      <c r="P846">
        <f>COUNTIFS('Odoo Items'!$J$5:$J$4331,A846,'Odoo Items'!$C$5:$C$4331,"&lt;="&amp;Cover!$C$13)</f>
        <v>0</v>
      </c>
      <c r="Q846">
        <f>IF(AND(O846=0,P846=0),"",IF(O846=0,"ODOO-ONLY",IF(P846=0,"BANK-ONLY","BOTH")))</f>
      </c>
      <c r="R846" s="9">
        <f>IF(Q846="BOTH",ROUND(M846-N846,2),0)</f>
        <v>0</v>
      </c>
      <c r="S846" s="9">
        <f>ROUND(SUMIFS('Bank Lines'!$E$5:$E$1640,'Bank Lines'!$G$5:$G$1640,A846,'Bank Lines'!$J$5:$J$1640,1,'Bank Lines'!$C$5:$C$1640,"&lt;="&amp;Cover!$C$14),2)</f>
        <v>0</v>
      </c>
      <c r="T846" s="9">
        <f>ROUND(SUMIFS('Odoo Items'!$G$5:$G$4331,'Odoo Items'!$J$5:$J$4331,A846,'Odoo Items'!$C$5:$C$4331,"&lt;="&amp;Cover!$C$14),2)</f>
        <v>0</v>
      </c>
      <c r="U846">
        <f>COUNTIFS('Bank Lines'!$G$5:$G$1640,A846,'Bank Lines'!$J$5:$J$1640,1,'Bank Lines'!$C$5:$C$1640,"&lt;="&amp;Cover!$C$14)</f>
        <v>0</v>
      </c>
      <c r="V846">
        <f>COUNTIFS('Odoo Items'!$J$5:$J$4331,A846,'Odoo Items'!$C$5:$C$4331,"&lt;="&amp;Cover!$C$14)</f>
        <v>0</v>
      </c>
      <c r="W846">
        <f>IF(AND(U846=0,V846=0),"",IF(U846=0,"ODOO-ONLY",IF(V846=0,"BANK-ONLY","BOTH")))</f>
      </c>
      <c r="X846" s="9">
        <f>IF(W846="BOTH",ROUND(S846-T846,2),0)</f>
        <v>0</v>
      </c>
      <c r="Y846" s="9">
        <f>ROUND(SUMIFS('Bank Lines'!$E$5:$E$1640,'Bank Lines'!$G$5:$G$1640,A846,'Bank Lines'!$J$5:$J$1640,1,'Bank Lines'!$C$5:$C$1640,"&lt;="&amp;Cover!$C$15),2)</f>
        <v>3399.74</v>
      </c>
      <c r="Z846" s="9">
        <f>ROUND(SUMIFS('Odoo Items'!$G$5:$G$4331,'Odoo Items'!$J$5:$J$4331,A846,'Odoo Items'!$C$5:$C$4331,"&lt;="&amp;Cover!$C$15),2)</f>
        <v>3399.74</v>
      </c>
      <c r="AA846">
        <f>COUNTIFS('Bank Lines'!$G$5:$G$1640,A846,'Bank Lines'!$J$5:$J$1640,1,'Bank Lines'!$C$5:$C$1640,"&lt;="&amp;Cover!$C$15)</f>
        <v>1</v>
      </c>
      <c r="AB846">
        <f>COUNTIFS('Odoo Items'!$J$5:$J$4331,A846,'Odoo Items'!$C$5:$C$4331,"&lt;="&amp;Cover!$C$15)</f>
        <v>1</v>
      </c>
      <c r="AC846" t="str">
        <f>IF(AND(AA846=0,AB846=0),"",IF(AA846=0,"ODOO-ONLY",IF(AB846=0,"BANK-ONLY","BOTH")))</f>
        <v>BOTH</v>
      </c>
      <c r="AD846" s="9">
        <f>IF(AC846="BOTH",ROUND(Y846-Z846,2),0)</f>
        <v>0</v>
      </c>
    </row>
    <row r="847">
      <c r="A847" t="inlineStr">
        <is>
          <t>G00843</t>
        </is>
      </c>
      <c r="B847" t="inlineStr">
        <is>
          <t>MER</t>
        </is>
      </c>
      <c r="C847" t="inlineStr">
        <is>
          <t>R08</t>
        </is>
      </c>
      <c r="D847" t="inlineStr">
        <is>
          <t>MATCH</t>
        </is>
      </c>
      <c r="E847" t="inlineStr"/>
      <c r="G847" t="inlineStr"/>
      <c r="H847">
        <f>COUNTIFS('Bank Lines'!$G$5:$G$1640,A847,'Bank Lines'!$J$5:$J$1640,1)</f>
        <v>1</v>
      </c>
      <c r="I847">
        <f>COUNTIFS('Odoo Items'!$J$5:$J$4331,A847)</f>
        <v>1</v>
      </c>
      <c r="J847" s="9">
        <f>ROUND(SUMIFS('Bank Lines'!$E$5:$E$1640,'Bank Lines'!$G$5:$G$1640,A847,'Bank Lines'!$J$5:$J$1640,1),2)</f>
        <v>2279</v>
      </c>
      <c r="K847" s="9">
        <f>ROUND(SUMIFS('Odoo Items'!$G$5:$G$4331,'Odoo Items'!$J$5:$J$4331,A847),2)</f>
        <v>2279</v>
      </c>
      <c r="L847" s="9">
        <f>ROUND(J847-K847,2)</f>
        <v>0</v>
      </c>
      <c r="M847" s="9">
        <f>ROUND(SUMIFS('Bank Lines'!$E$5:$E$1640,'Bank Lines'!$G$5:$G$1640,A847,'Bank Lines'!$J$5:$J$1640,1,'Bank Lines'!$C$5:$C$1640,"&lt;="&amp;Cover!$C$13),2)</f>
        <v>0</v>
      </c>
      <c r="N847" s="9">
        <f>ROUND(SUMIFS('Odoo Items'!$G$5:$G$4331,'Odoo Items'!$J$5:$J$4331,A847,'Odoo Items'!$C$5:$C$4331,"&lt;="&amp;Cover!$C$13),2)</f>
        <v>0</v>
      </c>
      <c r="O847">
        <f>COUNTIFS('Bank Lines'!$G$5:$G$1640,A847,'Bank Lines'!$J$5:$J$1640,1,'Bank Lines'!$C$5:$C$1640,"&lt;="&amp;Cover!$C$13)</f>
        <v>0</v>
      </c>
      <c r="P847">
        <f>COUNTIFS('Odoo Items'!$J$5:$J$4331,A847,'Odoo Items'!$C$5:$C$4331,"&lt;="&amp;Cover!$C$13)</f>
        <v>0</v>
      </c>
      <c r="Q847">
        <f>IF(AND(O847=0,P847=0),"",IF(O847=0,"ODOO-ONLY",IF(P847=0,"BANK-ONLY","BOTH")))</f>
      </c>
      <c r="R847" s="9">
        <f>IF(Q847="BOTH",ROUND(M847-N847,2),0)</f>
        <v>0</v>
      </c>
      <c r="S847" s="9">
        <f>ROUND(SUMIFS('Bank Lines'!$E$5:$E$1640,'Bank Lines'!$G$5:$G$1640,A847,'Bank Lines'!$J$5:$J$1640,1,'Bank Lines'!$C$5:$C$1640,"&lt;="&amp;Cover!$C$14),2)</f>
        <v>0</v>
      </c>
      <c r="T847" s="9">
        <f>ROUND(SUMIFS('Odoo Items'!$G$5:$G$4331,'Odoo Items'!$J$5:$J$4331,A847,'Odoo Items'!$C$5:$C$4331,"&lt;="&amp;Cover!$C$14),2)</f>
        <v>0</v>
      </c>
      <c r="U847">
        <f>COUNTIFS('Bank Lines'!$G$5:$G$1640,A847,'Bank Lines'!$J$5:$J$1640,1,'Bank Lines'!$C$5:$C$1640,"&lt;="&amp;Cover!$C$14)</f>
        <v>0</v>
      </c>
      <c r="V847">
        <f>COUNTIFS('Odoo Items'!$J$5:$J$4331,A847,'Odoo Items'!$C$5:$C$4331,"&lt;="&amp;Cover!$C$14)</f>
        <v>0</v>
      </c>
      <c r="W847">
        <f>IF(AND(U847=0,V847=0),"",IF(U847=0,"ODOO-ONLY",IF(V847=0,"BANK-ONLY","BOTH")))</f>
      </c>
      <c r="X847" s="9">
        <f>IF(W847="BOTH",ROUND(S847-T847,2),0)</f>
        <v>0</v>
      </c>
      <c r="Y847" s="9">
        <f>ROUND(SUMIFS('Bank Lines'!$E$5:$E$1640,'Bank Lines'!$G$5:$G$1640,A847,'Bank Lines'!$J$5:$J$1640,1,'Bank Lines'!$C$5:$C$1640,"&lt;="&amp;Cover!$C$15),2)</f>
        <v>2279</v>
      </c>
      <c r="Z847" s="9">
        <f>ROUND(SUMIFS('Odoo Items'!$G$5:$G$4331,'Odoo Items'!$J$5:$J$4331,A847,'Odoo Items'!$C$5:$C$4331,"&lt;="&amp;Cover!$C$15),2)</f>
        <v>2279</v>
      </c>
      <c r="AA847">
        <f>COUNTIFS('Bank Lines'!$G$5:$G$1640,A847,'Bank Lines'!$J$5:$J$1640,1,'Bank Lines'!$C$5:$C$1640,"&lt;="&amp;Cover!$C$15)</f>
        <v>1</v>
      </c>
      <c r="AB847">
        <f>COUNTIFS('Odoo Items'!$J$5:$J$4331,A847,'Odoo Items'!$C$5:$C$4331,"&lt;="&amp;Cover!$C$15)</f>
        <v>1</v>
      </c>
      <c r="AC847" t="str">
        <f>IF(AND(AA847=0,AB847=0),"",IF(AA847=0,"ODOO-ONLY",IF(AB847=0,"BANK-ONLY","BOTH")))</f>
        <v>BOTH</v>
      </c>
      <c r="AD847" s="9">
        <f>IF(AC847="BOTH",ROUND(Y847-Z847,2),0)</f>
        <v>0</v>
      </c>
    </row>
    <row r="848">
      <c r="A848" t="inlineStr">
        <is>
          <t>G00844</t>
        </is>
      </c>
      <c r="B848" t="inlineStr">
        <is>
          <t>MER</t>
        </is>
      </c>
      <c r="C848" t="inlineStr">
        <is>
          <t>R08</t>
        </is>
      </c>
      <c r="D848" t="inlineStr">
        <is>
          <t>MATCH</t>
        </is>
      </c>
      <c r="E848" t="inlineStr"/>
      <c r="G848" t="inlineStr"/>
      <c r="H848">
        <f>COUNTIFS('Bank Lines'!$G$5:$G$1640,A848,'Bank Lines'!$J$5:$J$1640,1)</f>
        <v>1</v>
      </c>
      <c r="I848">
        <f>COUNTIFS('Odoo Items'!$J$5:$J$4331,A848)</f>
        <v>1</v>
      </c>
      <c r="J848" s="9">
        <f>ROUND(SUMIFS('Bank Lines'!$E$5:$E$1640,'Bank Lines'!$G$5:$G$1640,A848,'Bank Lines'!$J$5:$J$1640,1),2)</f>
        <v>3310.02</v>
      </c>
      <c r="K848" s="9">
        <f>ROUND(SUMIFS('Odoo Items'!$G$5:$G$4331,'Odoo Items'!$J$5:$J$4331,A848),2)</f>
        <v>3310.02</v>
      </c>
      <c r="L848" s="9">
        <f>ROUND(J848-K848,2)</f>
        <v>0</v>
      </c>
      <c r="M848" s="9">
        <f>ROUND(SUMIFS('Bank Lines'!$E$5:$E$1640,'Bank Lines'!$G$5:$G$1640,A848,'Bank Lines'!$J$5:$J$1640,1,'Bank Lines'!$C$5:$C$1640,"&lt;="&amp;Cover!$C$13),2)</f>
        <v>0</v>
      </c>
      <c r="N848" s="9">
        <f>ROUND(SUMIFS('Odoo Items'!$G$5:$G$4331,'Odoo Items'!$J$5:$J$4331,A848,'Odoo Items'!$C$5:$C$4331,"&lt;="&amp;Cover!$C$13),2)</f>
        <v>0</v>
      </c>
      <c r="O848">
        <f>COUNTIFS('Bank Lines'!$G$5:$G$1640,A848,'Bank Lines'!$J$5:$J$1640,1,'Bank Lines'!$C$5:$C$1640,"&lt;="&amp;Cover!$C$13)</f>
        <v>0</v>
      </c>
      <c r="P848">
        <f>COUNTIFS('Odoo Items'!$J$5:$J$4331,A848,'Odoo Items'!$C$5:$C$4331,"&lt;="&amp;Cover!$C$13)</f>
        <v>0</v>
      </c>
      <c r="Q848">
        <f>IF(AND(O848=0,P848=0),"",IF(O848=0,"ODOO-ONLY",IF(P848=0,"BANK-ONLY","BOTH")))</f>
      </c>
      <c r="R848" s="9">
        <f>IF(Q848="BOTH",ROUND(M848-N848,2),0)</f>
        <v>0</v>
      </c>
      <c r="S848" s="9">
        <f>ROUND(SUMIFS('Bank Lines'!$E$5:$E$1640,'Bank Lines'!$G$5:$G$1640,A848,'Bank Lines'!$J$5:$J$1640,1,'Bank Lines'!$C$5:$C$1640,"&lt;="&amp;Cover!$C$14),2)</f>
        <v>0</v>
      </c>
      <c r="T848" s="9">
        <f>ROUND(SUMIFS('Odoo Items'!$G$5:$G$4331,'Odoo Items'!$J$5:$J$4331,A848,'Odoo Items'!$C$5:$C$4331,"&lt;="&amp;Cover!$C$14),2)</f>
        <v>0</v>
      </c>
      <c r="U848">
        <f>COUNTIFS('Bank Lines'!$G$5:$G$1640,A848,'Bank Lines'!$J$5:$J$1640,1,'Bank Lines'!$C$5:$C$1640,"&lt;="&amp;Cover!$C$14)</f>
        <v>0</v>
      </c>
      <c r="V848">
        <f>COUNTIFS('Odoo Items'!$J$5:$J$4331,A848,'Odoo Items'!$C$5:$C$4331,"&lt;="&amp;Cover!$C$14)</f>
        <v>0</v>
      </c>
      <c r="W848">
        <f>IF(AND(U848=0,V848=0),"",IF(U848=0,"ODOO-ONLY",IF(V848=0,"BANK-ONLY","BOTH")))</f>
      </c>
      <c r="X848" s="9">
        <f>IF(W848="BOTH",ROUND(S848-T848,2),0)</f>
        <v>0</v>
      </c>
      <c r="Y848" s="9">
        <f>ROUND(SUMIFS('Bank Lines'!$E$5:$E$1640,'Bank Lines'!$G$5:$G$1640,A848,'Bank Lines'!$J$5:$J$1640,1,'Bank Lines'!$C$5:$C$1640,"&lt;="&amp;Cover!$C$15),2)</f>
        <v>3310.02</v>
      </c>
      <c r="Z848" s="9">
        <f>ROUND(SUMIFS('Odoo Items'!$G$5:$G$4331,'Odoo Items'!$J$5:$J$4331,A848,'Odoo Items'!$C$5:$C$4331,"&lt;="&amp;Cover!$C$15),2)</f>
        <v>3310.02</v>
      </c>
      <c r="AA848">
        <f>COUNTIFS('Bank Lines'!$G$5:$G$1640,A848,'Bank Lines'!$J$5:$J$1640,1,'Bank Lines'!$C$5:$C$1640,"&lt;="&amp;Cover!$C$15)</f>
        <v>1</v>
      </c>
      <c r="AB848">
        <f>COUNTIFS('Odoo Items'!$J$5:$J$4331,A848,'Odoo Items'!$C$5:$C$4331,"&lt;="&amp;Cover!$C$15)</f>
        <v>1</v>
      </c>
      <c r="AC848" t="str">
        <f>IF(AND(AA848=0,AB848=0),"",IF(AA848=0,"ODOO-ONLY",IF(AB848=0,"BANK-ONLY","BOTH")))</f>
        <v>BOTH</v>
      </c>
      <c r="AD848" s="9">
        <f>IF(AC848="BOTH",ROUND(Y848-Z848,2),0)</f>
        <v>0</v>
      </c>
    </row>
    <row r="849">
      <c r="A849" t="inlineStr">
        <is>
          <t>G00845</t>
        </is>
      </c>
      <c r="B849" t="inlineStr">
        <is>
          <t>MER</t>
        </is>
      </c>
      <c r="C849" t="inlineStr">
        <is>
          <t>R08</t>
        </is>
      </c>
      <c r="D849" t="inlineStr">
        <is>
          <t>REFUND-GAP</t>
        </is>
      </c>
      <c r="E849" t="inlineStr"/>
      <c r="G849" t="inlineStr">
        <is>
          <t>Settlement -120.00 lower than POS takings: terminal refund not in POS export</t>
        </is>
      </c>
      <c r="H849">
        <f>COUNTIFS('Bank Lines'!$G$5:$G$1640,A849,'Bank Lines'!$J$5:$J$1640,1)</f>
        <v>1</v>
      </c>
      <c r="I849">
        <f>COUNTIFS('Odoo Items'!$J$5:$J$4331,A849)</f>
        <v>1</v>
      </c>
      <c r="J849" s="9">
        <f>ROUND(SUMIFS('Bank Lines'!$E$5:$E$1640,'Bank Lines'!$G$5:$G$1640,A849,'Bank Lines'!$J$5:$J$1640,1),2)</f>
        <v>2512.11</v>
      </c>
      <c r="K849" s="9">
        <f>ROUND(SUMIFS('Odoo Items'!$G$5:$G$4331,'Odoo Items'!$J$5:$J$4331,A849),2)</f>
        <v>2632.11</v>
      </c>
      <c r="L849" s="9">
        <f>ROUND(J849-K849,2)</f>
        <v>-120</v>
      </c>
      <c r="M849" s="9">
        <f>ROUND(SUMIFS('Bank Lines'!$E$5:$E$1640,'Bank Lines'!$G$5:$G$1640,A849,'Bank Lines'!$J$5:$J$1640,1,'Bank Lines'!$C$5:$C$1640,"&lt;="&amp;Cover!$C$13),2)</f>
        <v>0</v>
      </c>
      <c r="N849" s="9">
        <f>ROUND(SUMIFS('Odoo Items'!$G$5:$G$4331,'Odoo Items'!$J$5:$J$4331,A849,'Odoo Items'!$C$5:$C$4331,"&lt;="&amp;Cover!$C$13),2)</f>
        <v>0</v>
      </c>
      <c r="O849">
        <f>COUNTIFS('Bank Lines'!$G$5:$G$1640,A849,'Bank Lines'!$J$5:$J$1640,1,'Bank Lines'!$C$5:$C$1640,"&lt;="&amp;Cover!$C$13)</f>
        <v>0</v>
      </c>
      <c r="P849">
        <f>COUNTIFS('Odoo Items'!$J$5:$J$4331,A849,'Odoo Items'!$C$5:$C$4331,"&lt;="&amp;Cover!$C$13)</f>
        <v>0</v>
      </c>
      <c r="Q849">
        <f>IF(AND(O849=0,P849=0),"",IF(O849=0,"ODOO-ONLY",IF(P849=0,"BANK-ONLY","BOTH")))</f>
      </c>
      <c r="R849" s="9">
        <f>IF(Q849="BOTH",ROUND(M849-N849,2),0)</f>
        <v>0</v>
      </c>
      <c r="S849" s="9">
        <f>ROUND(SUMIFS('Bank Lines'!$E$5:$E$1640,'Bank Lines'!$G$5:$G$1640,A849,'Bank Lines'!$J$5:$J$1640,1,'Bank Lines'!$C$5:$C$1640,"&lt;="&amp;Cover!$C$14),2)</f>
        <v>0</v>
      </c>
      <c r="T849" s="9">
        <f>ROUND(SUMIFS('Odoo Items'!$G$5:$G$4331,'Odoo Items'!$J$5:$J$4331,A849,'Odoo Items'!$C$5:$C$4331,"&lt;="&amp;Cover!$C$14),2)</f>
        <v>0</v>
      </c>
      <c r="U849">
        <f>COUNTIFS('Bank Lines'!$G$5:$G$1640,A849,'Bank Lines'!$J$5:$J$1640,1,'Bank Lines'!$C$5:$C$1640,"&lt;="&amp;Cover!$C$14)</f>
        <v>0</v>
      </c>
      <c r="V849">
        <f>COUNTIFS('Odoo Items'!$J$5:$J$4331,A849,'Odoo Items'!$C$5:$C$4331,"&lt;="&amp;Cover!$C$14)</f>
        <v>0</v>
      </c>
      <c r="W849">
        <f>IF(AND(U849=0,V849=0),"",IF(U849=0,"ODOO-ONLY",IF(V849=0,"BANK-ONLY","BOTH")))</f>
      </c>
      <c r="X849" s="9">
        <f>IF(W849="BOTH",ROUND(S849-T849,2),0)</f>
        <v>0</v>
      </c>
      <c r="Y849" s="9">
        <f>ROUND(SUMIFS('Bank Lines'!$E$5:$E$1640,'Bank Lines'!$G$5:$G$1640,A849,'Bank Lines'!$J$5:$J$1640,1,'Bank Lines'!$C$5:$C$1640,"&lt;="&amp;Cover!$C$15),2)</f>
        <v>2512.11</v>
      </c>
      <c r="Z849" s="9">
        <f>ROUND(SUMIFS('Odoo Items'!$G$5:$G$4331,'Odoo Items'!$J$5:$J$4331,A849,'Odoo Items'!$C$5:$C$4331,"&lt;="&amp;Cover!$C$15),2)</f>
        <v>2632.11</v>
      </c>
      <c r="AA849">
        <f>COUNTIFS('Bank Lines'!$G$5:$G$1640,A849,'Bank Lines'!$J$5:$J$1640,1,'Bank Lines'!$C$5:$C$1640,"&lt;="&amp;Cover!$C$15)</f>
        <v>1</v>
      </c>
      <c r="AB849">
        <f>COUNTIFS('Odoo Items'!$J$5:$J$4331,A849,'Odoo Items'!$C$5:$C$4331,"&lt;="&amp;Cover!$C$15)</f>
        <v>1</v>
      </c>
      <c r="AC849" t="str">
        <f>IF(AND(AA849=0,AB849=0),"",IF(AA849=0,"ODOO-ONLY",IF(AB849=0,"BANK-ONLY","BOTH")))</f>
        <v>BOTH</v>
      </c>
      <c r="AD849" s="9">
        <f>IF(AC849="BOTH",ROUND(Y849-Z849,2),0)</f>
        <v>-120</v>
      </c>
    </row>
    <row r="850">
      <c r="A850" t="inlineStr">
        <is>
          <t>G00846</t>
        </is>
      </c>
      <c r="B850" t="inlineStr">
        <is>
          <t>MER</t>
        </is>
      </c>
      <c r="C850" t="inlineStr">
        <is>
          <t>R08</t>
        </is>
      </c>
      <c r="D850" t="inlineStr">
        <is>
          <t>MATCH</t>
        </is>
      </c>
      <c r="E850" t="inlineStr"/>
      <c r="G850" t="inlineStr"/>
      <c r="H850">
        <f>COUNTIFS('Bank Lines'!$G$5:$G$1640,A850,'Bank Lines'!$J$5:$J$1640,1)</f>
        <v>1</v>
      </c>
      <c r="I850">
        <f>COUNTIFS('Odoo Items'!$J$5:$J$4331,A850)</f>
        <v>1</v>
      </c>
      <c r="J850" s="9">
        <f>ROUND(SUMIFS('Bank Lines'!$E$5:$E$1640,'Bank Lines'!$G$5:$G$1640,A850,'Bank Lines'!$J$5:$J$1640,1),2)</f>
        <v>2793.04</v>
      </c>
      <c r="K850" s="9">
        <f>ROUND(SUMIFS('Odoo Items'!$G$5:$G$4331,'Odoo Items'!$J$5:$J$4331,A850),2)</f>
        <v>2793.04</v>
      </c>
      <c r="L850" s="9">
        <f>ROUND(J850-K850,2)</f>
        <v>0</v>
      </c>
      <c r="M850" s="9">
        <f>ROUND(SUMIFS('Bank Lines'!$E$5:$E$1640,'Bank Lines'!$G$5:$G$1640,A850,'Bank Lines'!$J$5:$J$1640,1,'Bank Lines'!$C$5:$C$1640,"&lt;="&amp;Cover!$C$13),2)</f>
        <v>0</v>
      </c>
      <c r="N850" s="9">
        <f>ROUND(SUMIFS('Odoo Items'!$G$5:$G$4331,'Odoo Items'!$J$5:$J$4331,A850,'Odoo Items'!$C$5:$C$4331,"&lt;="&amp;Cover!$C$13),2)</f>
        <v>0</v>
      </c>
      <c r="O850">
        <f>COUNTIFS('Bank Lines'!$G$5:$G$1640,A850,'Bank Lines'!$J$5:$J$1640,1,'Bank Lines'!$C$5:$C$1640,"&lt;="&amp;Cover!$C$13)</f>
        <v>0</v>
      </c>
      <c r="P850">
        <f>COUNTIFS('Odoo Items'!$J$5:$J$4331,A850,'Odoo Items'!$C$5:$C$4331,"&lt;="&amp;Cover!$C$13)</f>
        <v>0</v>
      </c>
      <c r="Q850">
        <f>IF(AND(O850=0,P850=0),"",IF(O850=0,"ODOO-ONLY",IF(P850=0,"BANK-ONLY","BOTH")))</f>
      </c>
      <c r="R850" s="9">
        <f>IF(Q850="BOTH",ROUND(M850-N850,2),0)</f>
        <v>0</v>
      </c>
      <c r="S850" s="9">
        <f>ROUND(SUMIFS('Bank Lines'!$E$5:$E$1640,'Bank Lines'!$G$5:$G$1640,A850,'Bank Lines'!$J$5:$J$1640,1,'Bank Lines'!$C$5:$C$1640,"&lt;="&amp;Cover!$C$14),2)</f>
        <v>0</v>
      </c>
      <c r="T850" s="9">
        <f>ROUND(SUMIFS('Odoo Items'!$G$5:$G$4331,'Odoo Items'!$J$5:$J$4331,A850,'Odoo Items'!$C$5:$C$4331,"&lt;="&amp;Cover!$C$14),2)</f>
        <v>0</v>
      </c>
      <c r="U850">
        <f>COUNTIFS('Bank Lines'!$G$5:$G$1640,A850,'Bank Lines'!$J$5:$J$1640,1,'Bank Lines'!$C$5:$C$1640,"&lt;="&amp;Cover!$C$14)</f>
        <v>0</v>
      </c>
      <c r="V850">
        <f>COUNTIFS('Odoo Items'!$J$5:$J$4331,A850,'Odoo Items'!$C$5:$C$4331,"&lt;="&amp;Cover!$C$14)</f>
        <v>0</v>
      </c>
      <c r="W850">
        <f>IF(AND(U850=0,V850=0),"",IF(U850=0,"ODOO-ONLY",IF(V850=0,"BANK-ONLY","BOTH")))</f>
      </c>
      <c r="X850" s="9">
        <f>IF(W850="BOTH",ROUND(S850-T850,2),0)</f>
        <v>0</v>
      </c>
      <c r="Y850" s="9">
        <f>ROUND(SUMIFS('Bank Lines'!$E$5:$E$1640,'Bank Lines'!$G$5:$G$1640,A850,'Bank Lines'!$J$5:$J$1640,1,'Bank Lines'!$C$5:$C$1640,"&lt;="&amp;Cover!$C$15),2)</f>
        <v>2793.04</v>
      </c>
      <c r="Z850" s="9">
        <f>ROUND(SUMIFS('Odoo Items'!$G$5:$G$4331,'Odoo Items'!$J$5:$J$4331,A850,'Odoo Items'!$C$5:$C$4331,"&lt;="&amp;Cover!$C$15),2)</f>
        <v>2793.04</v>
      </c>
      <c r="AA850">
        <f>COUNTIFS('Bank Lines'!$G$5:$G$1640,A850,'Bank Lines'!$J$5:$J$1640,1,'Bank Lines'!$C$5:$C$1640,"&lt;="&amp;Cover!$C$15)</f>
        <v>1</v>
      </c>
      <c r="AB850">
        <f>COUNTIFS('Odoo Items'!$J$5:$J$4331,A850,'Odoo Items'!$C$5:$C$4331,"&lt;="&amp;Cover!$C$15)</f>
        <v>1</v>
      </c>
      <c r="AC850" t="str">
        <f>IF(AND(AA850=0,AB850=0),"",IF(AA850=0,"ODOO-ONLY",IF(AB850=0,"BANK-ONLY","BOTH")))</f>
        <v>BOTH</v>
      </c>
      <c r="AD850" s="9">
        <f>IF(AC850="BOTH",ROUND(Y850-Z850,2),0)</f>
        <v>0</v>
      </c>
    </row>
    <row r="851">
      <c r="A851" t="inlineStr">
        <is>
          <t>G00847</t>
        </is>
      </c>
      <c r="B851" t="inlineStr">
        <is>
          <t>MER</t>
        </is>
      </c>
      <c r="C851" t="inlineStr">
        <is>
          <t>R08</t>
        </is>
      </c>
      <c r="D851" t="inlineStr">
        <is>
          <t>MATCH</t>
        </is>
      </c>
      <c r="E851" t="inlineStr"/>
      <c r="G851" t="inlineStr"/>
      <c r="H851">
        <f>COUNTIFS('Bank Lines'!$G$5:$G$1640,A851,'Bank Lines'!$J$5:$J$1640,1)</f>
        <v>1</v>
      </c>
      <c r="I851">
        <f>COUNTIFS('Odoo Items'!$J$5:$J$4331,A851)</f>
        <v>1</v>
      </c>
      <c r="J851" s="9">
        <f>ROUND(SUMIFS('Bank Lines'!$E$5:$E$1640,'Bank Lines'!$G$5:$G$1640,A851,'Bank Lines'!$J$5:$J$1640,1),2)</f>
        <v>2773.93</v>
      </c>
      <c r="K851" s="9">
        <f>ROUND(SUMIFS('Odoo Items'!$G$5:$G$4331,'Odoo Items'!$J$5:$J$4331,A851),2)</f>
        <v>2773.93</v>
      </c>
      <c r="L851" s="9">
        <f>ROUND(J851-K851,2)</f>
        <v>0</v>
      </c>
      <c r="M851" s="9">
        <f>ROUND(SUMIFS('Bank Lines'!$E$5:$E$1640,'Bank Lines'!$G$5:$G$1640,A851,'Bank Lines'!$J$5:$J$1640,1,'Bank Lines'!$C$5:$C$1640,"&lt;="&amp;Cover!$C$13),2)</f>
        <v>0</v>
      </c>
      <c r="N851" s="9">
        <f>ROUND(SUMIFS('Odoo Items'!$G$5:$G$4331,'Odoo Items'!$J$5:$J$4331,A851,'Odoo Items'!$C$5:$C$4331,"&lt;="&amp;Cover!$C$13),2)</f>
        <v>0</v>
      </c>
      <c r="O851">
        <f>COUNTIFS('Bank Lines'!$G$5:$G$1640,A851,'Bank Lines'!$J$5:$J$1640,1,'Bank Lines'!$C$5:$C$1640,"&lt;="&amp;Cover!$C$13)</f>
        <v>0</v>
      </c>
      <c r="P851">
        <f>COUNTIFS('Odoo Items'!$J$5:$J$4331,A851,'Odoo Items'!$C$5:$C$4331,"&lt;="&amp;Cover!$C$13)</f>
        <v>0</v>
      </c>
      <c r="Q851">
        <f>IF(AND(O851=0,P851=0),"",IF(O851=0,"ODOO-ONLY",IF(P851=0,"BANK-ONLY","BOTH")))</f>
      </c>
      <c r="R851" s="9">
        <f>IF(Q851="BOTH",ROUND(M851-N851,2),0)</f>
        <v>0</v>
      </c>
      <c r="S851" s="9">
        <f>ROUND(SUMIFS('Bank Lines'!$E$5:$E$1640,'Bank Lines'!$G$5:$G$1640,A851,'Bank Lines'!$J$5:$J$1640,1,'Bank Lines'!$C$5:$C$1640,"&lt;="&amp;Cover!$C$14),2)</f>
        <v>0</v>
      </c>
      <c r="T851" s="9">
        <f>ROUND(SUMIFS('Odoo Items'!$G$5:$G$4331,'Odoo Items'!$J$5:$J$4331,A851,'Odoo Items'!$C$5:$C$4331,"&lt;="&amp;Cover!$C$14),2)</f>
        <v>0</v>
      </c>
      <c r="U851">
        <f>COUNTIFS('Bank Lines'!$G$5:$G$1640,A851,'Bank Lines'!$J$5:$J$1640,1,'Bank Lines'!$C$5:$C$1640,"&lt;="&amp;Cover!$C$14)</f>
        <v>0</v>
      </c>
      <c r="V851">
        <f>COUNTIFS('Odoo Items'!$J$5:$J$4331,A851,'Odoo Items'!$C$5:$C$4331,"&lt;="&amp;Cover!$C$14)</f>
        <v>0</v>
      </c>
      <c r="W851">
        <f>IF(AND(U851=0,V851=0),"",IF(U851=0,"ODOO-ONLY",IF(V851=0,"BANK-ONLY","BOTH")))</f>
      </c>
      <c r="X851" s="9">
        <f>IF(W851="BOTH",ROUND(S851-T851,2),0)</f>
        <v>0</v>
      </c>
      <c r="Y851" s="9">
        <f>ROUND(SUMIFS('Bank Lines'!$E$5:$E$1640,'Bank Lines'!$G$5:$G$1640,A851,'Bank Lines'!$J$5:$J$1640,1,'Bank Lines'!$C$5:$C$1640,"&lt;="&amp;Cover!$C$15),2)</f>
        <v>2773.93</v>
      </c>
      <c r="Z851" s="9">
        <f>ROUND(SUMIFS('Odoo Items'!$G$5:$G$4331,'Odoo Items'!$J$5:$J$4331,A851,'Odoo Items'!$C$5:$C$4331,"&lt;="&amp;Cover!$C$15),2)</f>
        <v>2773.93</v>
      </c>
      <c r="AA851">
        <f>COUNTIFS('Bank Lines'!$G$5:$G$1640,A851,'Bank Lines'!$J$5:$J$1640,1,'Bank Lines'!$C$5:$C$1640,"&lt;="&amp;Cover!$C$15)</f>
        <v>1</v>
      </c>
      <c r="AB851">
        <f>COUNTIFS('Odoo Items'!$J$5:$J$4331,A851,'Odoo Items'!$C$5:$C$4331,"&lt;="&amp;Cover!$C$15)</f>
        <v>1</v>
      </c>
      <c r="AC851" t="str">
        <f>IF(AND(AA851=0,AB851=0),"",IF(AA851=0,"ODOO-ONLY",IF(AB851=0,"BANK-ONLY","BOTH")))</f>
        <v>BOTH</v>
      </c>
      <c r="AD851" s="9">
        <f>IF(AC851="BOTH",ROUND(Y851-Z851,2),0)</f>
        <v>0</v>
      </c>
    </row>
    <row r="852">
      <c r="A852" t="inlineStr">
        <is>
          <t>G00848</t>
        </is>
      </c>
      <c r="B852" t="inlineStr">
        <is>
          <t>MER</t>
        </is>
      </c>
      <c r="C852" t="inlineStr">
        <is>
          <t>R08</t>
        </is>
      </c>
      <c r="D852" t="inlineStr">
        <is>
          <t>MATCH</t>
        </is>
      </c>
      <c r="E852" t="inlineStr"/>
      <c r="G852" t="inlineStr"/>
      <c r="H852">
        <f>COUNTIFS('Bank Lines'!$G$5:$G$1640,A852,'Bank Lines'!$J$5:$J$1640,1)</f>
        <v>1</v>
      </c>
      <c r="I852">
        <f>COUNTIFS('Odoo Items'!$J$5:$J$4331,A852)</f>
        <v>1</v>
      </c>
      <c r="J852" s="9">
        <f>ROUND(SUMIFS('Bank Lines'!$E$5:$E$1640,'Bank Lines'!$G$5:$G$1640,A852,'Bank Lines'!$J$5:$J$1640,1),2)</f>
        <v>2304.01</v>
      </c>
      <c r="K852" s="9">
        <f>ROUND(SUMIFS('Odoo Items'!$G$5:$G$4331,'Odoo Items'!$J$5:$J$4331,A852),2)</f>
        <v>2304.01</v>
      </c>
      <c r="L852" s="9">
        <f>ROUND(J852-K852,2)</f>
        <v>0</v>
      </c>
      <c r="M852" s="9">
        <f>ROUND(SUMIFS('Bank Lines'!$E$5:$E$1640,'Bank Lines'!$G$5:$G$1640,A852,'Bank Lines'!$J$5:$J$1640,1,'Bank Lines'!$C$5:$C$1640,"&lt;="&amp;Cover!$C$13),2)</f>
        <v>0</v>
      </c>
      <c r="N852" s="9">
        <f>ROUND(SUMIFS('Odoo Items'!$G$5:$G$4331,'Odoo Items'!$J$5:$J$4331,A852,'Odoo Items'!$C$5:$C$4331,"&lt;="&amp;Cover!$C$13),2)</f>
        <v>0</v>
      </c>
      <c r="O852">
        <f>COUNTIFS('Bank Lines'!$G$5:$G$1640,A852,'Bank Lines'!$J$5:$J$1640,1,'Bank Lines'!$C$5:$C$1640,"&lt;="&amp;Cover!$C$13)</f>
        <v>0</v>
      </c>
      <c r="P852">
        <f>COUNTIFS('Odoo Items'!$J$5:$J$4331,A852,'Odoo Items'!$C$5:$C$4331,"&lt;="&amp;Cover!$C$13)</f>
        <v>0</v>
      </c>
      <c r="Q852">
        <f>IF(AND(O852=0,P852=0),"",IF(O852=0,"ODOO-ONLY",IF(P852=0,"BANK-ONLY","BOTH")))</f>
      </c>
      <c r="R852" s="9">
        <f>IF(Q852="BOTH",ROUND(M852-N852,2),0)</f>
        <v>0</v>
      </c>
      <c r="S852" s="9">
        <f>ROUND(SUMIFS('Bank Lines'!$E$5:$E$1640,'Bank Lines'!$G$5:$G$1640,A852,'Bank Lines'!$J$5:$J$1640,1,'Bank Lines'!$C$5:$C$1640,"&lt;="&amp;Cover!$C$14),2)</f>
        <v>0</v>
      </c>
      <c r="T852" s="9">
        <f>ROUND(SUMIFS('Odoo Items'!$G$5:$G$4331,'Odoo Items'!$J$5:$J$4331,A852,'Odoo Items'!$C$5:$C$4331,"&lt;="&amp;Cover!$C$14),2)</f>
        <v>0</v>
      </c>
      <c r="U852">
        <f>COUNTIFS('Bank Lines'!$G$5:$G$1640,A852,'Bank Lines'!$J$5:$J$1640,1,'Bank Lines'!$C$5:$C$1640,"&lt;="&amp;Cover!$C$14)</f>
        <v>0</v>
      </c>
      <c r="V852">
        <f>COUNTIFS('Odoo Items'!$J$5:$J$4331,A852,'Odoo Items'!$C$5:$C$4331,"&lt;="&amp;Cover!$C$14)</f>
        <v>0</v>
      </c>
      <c r="W852">
        <f>IF(AND(U852=0,V852=0),"",IF(U852=0,"ODOO-ONLY",IF(V852=0,"BANK-ONLY","BOTH")))</f>
      </c>
      <c r="X852" s="9">
        <f>IF(W852="BOTH",ROUND(S852-T852,2),0)</f>
        <v>0</v>
      </c>
      <c r="Y852" s="9">
        <f>ROUND(SUMIFS('Bank Lines'!$E$5:$E$1640,'Bank Lines'!$G$5:$G$1640,A852,'Bank Lines'!$J$5:$J$1640,1,'Bank Lines'!$C$5:$C$1640,"&lt;="&amp;Cover!$C$15),2)</f>
        <v>2304.01</v>
      </c>
      <c r="Z852" s="9">
        <f>ROUND(SUMIFS('Odoo Items'!$G$5:$G$4331,'Odoo Items'!$J$5:$J$4331,A852,'Odoo Items'!$C$5:$C$4331,"&lt;="&amp;Cover!$C$15),2)</f>
        <v>2304.01</v>
      </c>
      <c r="AA852">
        <f>COUNTIFS('Bank Lines'!$G$5:$G$1640,A852,'Bank Lines'!$J$5:$J$1640,1,'Bank Lines'!$C$5:$C$1640,"&lt;="&amp;Cover!$C$15)</f>
        <v>1</v>
      </c>
      <c r="AB852">
        <f>COUNTIFS('Odoo Items'!$J$5:$J$4331,A852,'Odoo Items'!$C$5:$C$4331,"&lt;="&amp;Cover!$C$15)</f>
        <v>1</v>
      </c>
      <c r="AC852" t="str">
        <f>IF(AND(AA852=0,AB852=0),"",IF(AA852=0,"ODOO-ONLY",IF(AB852=0,"BANK-ONLY","BOTH")))</f>
        <v>BOTH</v>
      </c>
      <c r="AD852" s="9">
        <f>IF(AC852="BOTH",ROUND(Y852-Z852,2),0)</f>
        <v>0</v>
      </c>
    </row>
    <row r="853">
      <c r="A853" t="inlineStr">
        <is>
          <t>G00849</t>
        </is>
      </c>
      <c r="B853" t="inlineStr">
        <is>
          <t>MER</t>
        </is>
      </c>
      <c r="C853" t="inlineStr">
        <is>
          <t>R08</t>
        </is>
      </c>
      <c r="D853" t="inlineStr">
        <is>
          <t>MATCH</t>
        </is>
      </c>
      <c r="E853" t="inlineStr"/>
      <c r="G853" t="inlineStr"/>
      <c r="H853">
        <f>COUNTIFS('Bank Lines'!$G$5:$G$1640,A853,'Bank Lines'!$J$5:$J$1640,1)</f>
        <v>1</v>
      </c>
      <c r="I853">
        <f>COUNTIFS('Odoo Items'!$J$5:$J$4331,A853)</f>
        <v>1</v>
      </c>
      <c r="J853" s="9">
        <f>ROUND(SUMIFS('Bank Lines'!$E$5:$E$1640,'Bank Lines'!$G$5:$G$1640,A853,'Bank Lines'!$J$5:$J$1640,1),2)</f>
        <v>1370.69</v>
      </c>
      <c r="K853" s="9">
        <f>ROUND(SUMIFS('Odoo Items'!$G$5:$G$4331,'Odoo Items'!$J$5:$J$4331,A853),2)</f>
        <v>1370.69</v>
      </c>
      <c r="L853" s="9">
        <f>ROUND(J853-K853,2)</f>
        <v>0</v>
      </c>
      <c r="M853" s="9">
        <f>ROUND(SUMIFS('Bank Lines'!$E$5:$E$1640,'Bank Lines'!$G$5:$G$1640,A853,'Bank Lines'!$J$5:$J$1640,1,'Bank Lines'!$C$5:$C$1640,"&lt;="&amp;Cover!$C$13),2)</f>
        <v>0</v>
      </c>
      <c r="N853" s="9">
        <f>ROUND(SUMIFS('Odoo Items'!$G$5:$G$4331,'Odoo Items'!$J$5:$J$4331,A853,'Odoo Items'!$C$5:$C$4331,"&lt;="&amp;Cover!$C$13),2)</f>
        <v>0</v>
      </c>
      <c r="O853">
        <f>COUNTIFS('Bank Lines'!$G$5:$G$1640,A853,'Bank Lines'!$J$5:$J$1640,1,'Bank Lines'!$C$5:$C$1640,"&lt;="&amp;Cover!$C$13)</f>
        <v>0</v>
      </c>
      <c r="P853">
        <f>COUNTIFS('Odoo Items'!$J$5:$J$4331,A853,'Odoo Items'!$C$5:$C$4331,"&lt;="&amp;Cover!$C$13)</f>
        <v>0</v>
      </c>
      <c r="Q853">
        <f>IF(AND(O853=0,P853=0),"",IF(O853=0,"ODOO-ONLY",IF(P853=0,"BANK-ONLY","BOTH")))</f>
      </c>
      <c r="R853" s="9">
        <f>IF(Q853="BOTH",ROUND(M853-N853,2),0)</f>
        <v>0</v>
      </c>
      <c r="S853" s="9">
        <f>ROUND(SUMIFS('Bank Lines'!$E$5:$E$1640,'Bank Lines'!$G$5:$G$1640,A853,'Bank Lines'!$J$5:$J$1640,1,'Bank Lines'!$C$5:$C$1640,"&lt;="&amp;Cover!$C$14),2)</f>
        <v>0</v>
      </c>
      <c r="T853" s="9">
        <f>ROUND(SUMIFS('Odoo Items'!$G$5:$G$4331,'Odoo Items'!$J$5:$J$4331,A853,'Odoo Items'!$C$5:$C$4331,"&lt;="&amp;Cover!$C$14),2)</f>
        <v>0</v>
      </c>
      <c r="U853">
        <f>COUNTIFS('Bank Lines'!$G$5:$G$1640,A853,'Bank Lines'!$J$5:$J$1640,1,'Bank Lines'!$C$5:$C$1640,"&lt;="&amp;Cover!$C$14)</f>
        <v>0</v>
      </c>
      <c r="V853">
        <f>COUNTIFS('Odoo Items'!$J$5:$J$4331,A853,'Odoo Items'!$C$5:$C$4331,"&lt;="&amp;Cover!$C$14)</f>
        <v>0</v>
      </c>
      <c r="W853">
        <f>IF(AND(U853=0,V853=0),"",IF(U853=0,"ODOO-ONLY",IF(V853=0,"BANK-ONLY","BOTH")))</f>
      </c>
      <c r="X853" s="9">
        <f>IF(W853="BOTH",ROUND(S853-T853,2),0)</f>
        <v>0</v>
      </c>
      <c r="Y853" s="9">
        <f>ROUND(SUMIFS('Bank Lines'!$E$5:$E$1640,'Bank Lines'!$G$5:$G$1640,A853,'Bank Lines'!$J$5:$J$1640,1,'Bank Lines'!$C$5:$C$1640,"&lt;="&amp;Cover!$C$15),2)</f>
        <v>1370.69</v>
      </c>
      <c r="Z853" s="9">
        <f>ROUND(SUMIFS('Odoo Items'!$G$5:$G$4331,'Odoo Items'!$J$5:$J$4331,A853,'Odoo Items'!$C$5:$C$4331,"&lt;="&amp;Cover!$C$15),2)</f>
        <v>1370.69</v>
      </c>
      <c r="AA853">
        <f>COUNTIFS('Bank Lines'!$G$5:$G$1640,A853,'Bank Lines'!$J$5:$J$1640,1,'Bank Lines'!$C$5:$C$1640,"&lt;="&amp;Cover!$C$15)</f>
        <v>1</v>
      </c>
      <c r="AB853">
        <f>COUNTIFS('Odoo Items'!$J$5:$J$4331,A853,'Odoo Items'!$C$5:$C$4331,"&lt;="&amp;Cover!$C$15)</f>
        <v>1</v>
      </c>
      <c r="AC853" t="str">
        <f>IF(AND(AA853=0,AB853=0),"",IF(AA853=0,"ODOO-ONLY",IF(AB853=0,"BANK-ONLY","BOTH")))</f>
        <v>BOTH</v>
      </c>
      <c r="AD853" s="9">
        <f>IF(AC853="BOTH",ROUND(Y853-Z853,2),0)</f>
        <v>0</v>
      </c>
    </row>
    <row r="854">
      <c r="A854" t="inlineStr">
        <is>
          <t>G00850</t>
        </is>
      </c>
      <c r="B854" t="inlineStr">
        <is>
          <t>MER</t>
        </is>
      </c>
      <c r="C854" t="inlineStr">
        <is>
          <t>R08</t>
        </is>
      </c>
      <c r="D854" t="inlineStr">
        <is>
          <t>MATCH</t>
        </is>
      </c>
      <c r="E854" t="inlineStr"/>
      <c r="G854" t="inlineStr"/>
      <c r="H854">
        <f>COUNTIFS('Bank Lines'!$G$5:$G$1640,A854,'Bank Lines'!$J$5:$J$1640,1)</f>
        <v>1</v>
      </c>
      <c r="I854">
        <f>COUNTIFS('Odoo Items'!$J$5:$J$4331,A854)</f>
        <v>1</v>
      </c>
      <c r="J854" s="9">
        <f>ROUND(SUMIFS('Bank Lines'!$E$5:$E$1640,'Bank Lines'!$G$5:$G$1640,A854,'Bank Lines'!$J$5:$J$1640,1),2)</f>
        <v>1241.51</v>
      </c>
      <c r="K854" s="9">
        <f>ROUND(SUMIFS('Odoo Items'!$G$5:$G$4331,'Odoo Items'!$J$5:$J$4331,A854),2)</f>
        <v>1241.51</v>
      </c>
      <c r="L854" s="9">
        <f>ROUND(J854-K854,2)</f>
        <v>0</v>
      </c>
      <c r="M854" s="9">
        <f>ROUND(SUMIFS('Bank Lines'!$E$5:$E$1640,'Bank Lines'!$G$5:$G$1640,A854,'Bank Lines'!$J$5:$J$1640,1,'Bank Lines'!$C$5:$C$1640,"&lt;="&amp;Cover!$C$13),2)</f>
        <v>0</v>
      </c>
      <c r="N854" s="9">
        <f>ROUND(SUMIFS('Odoo Items'!$G$5:$G$4331,'Odoo Items'!$J$5:$J$4331,A854,'Odoo Items'!$C$5:$C$4331,"&lt;="&amp;Cover!$C$13),2)</f>
        <v>0</v>
      </c>
      <c r="O854">
        <f>COUNTIFS('Bank Lines'!$G$5:$G$1640,A854,'Bank Lines'!$J$5:$J$1640,1,'Bank Lines'!$C$5:$C$1640,"&lt;="&amp;Cover!$C$13)</f>
        <v>0</v>
      </c>
      <c r="P854">
        <f>COUNTIFS('Odoo Items'!$J$5:$J$4331,A854,'Odoo Items'!$C$5:$C$4331,"&lt;="&amp;Cover!$C$13)</f>
        <v>0</v>
      </c>
      <c r="Q854">
        <f>IF(AND(O854=0,P854=0),"",IF(O854=0,"ODOO-ONLY",IF(P854=0,"BANK-ONLY","BOTH")))</f>
      </c>
      <c r="R854" s="9">
        <f>IF(Q854="BOTH",ROUND(M854-N854,2),0)</f>
        <v>0</v>
      </c>
      <c r="S854" s="9">
        <f>ROUND(SUMIFS('Bank Lines'!$E$5:$E$1640,'Bank Lines'!$G$5:$G$1640,A854,'Bank Lines'!$J$5:$J$1640,1,'Bank Lines'!$C$5:$C$1640,"&lt;="&amp;Cover!$C$14),2)</f>
        <v>0</v>
      </c>
      <c r="T854" s="9">
        <f>ROUND(SUMIFS('Odoo Items'!$G$5:$G$4331,'Odoo Items'!$J$5:$J$4331,A854,'Odoo Items'!$C$5:$C$4331,"&lt;="&amp;Cover!$C$14),2)</f>
        <v>0</v>
      </c>
      <c r="U854">
        <f>COUNTIFS('Bank Lines'!$G$5:$G$1640,A854,'Bank Lines'!$J$5:$J$1640,1,'Bank Lines'!$C$5:$C$1640,"&lt;="&amp;Cover!$C$14)</f>
        <v>0</v>
      </c>
      <c r="V854">
        <f>COUNTIFS('Odoo Items'!$J$5:$J$4331,A854,'Odoo Items'!$C$5:$C$4331,"&lt;="&amp;Cover!$C$14)</f>
        <v>0</v>
      </c>
      <c r="W854">
        <f>IF(AND(U854=0,V854=0),"",IF(U854=0,"ODOO-ONLY",IF(V854=0,"BANK-ONLY","BOTH")))</f>
      </c>
      <c r="X854" s="9">
        <f>IF(W854="BOTH",ROUND(S854-T854,2),0)</f>
        <v>0</v>
      </c>
      <c r="Y854" s="9">
        <f>ROUND(SUMIFS('Bank Lines'!$E$5:$E$1640,'Bank Lines'!$G$5:$G$1640,A854,'Bank Lines'!$J$5:$J$1640,1,'Bank Lines'!$C$5:$C$1640,"&lt;="&amp;Cover!$C$15),2)</f>
        <v>1241.51</v>
      </c>
      <c r="Z854" s="9">
        <f>ROUND(SUMIFS('Odoo Items'!$G$5:$G$4331,'Odoo Items'!$J$5:$J$4331,A854,'Odoo Items'!$C$5:$C$4331,"&lt;="&amp;Cover!$C$15),2)</f>
        <v>1241.51</v>
      </c>
      <c r="AA854">
        <f>COUNTIFS('Bank Lines'!$G$5:$G$1640,A854,'Bank Lines'!$J$5:$J$1640,1,'Bank Lines'!$C$5:$C$1640,"&lt;="&amp;Cover!$C$15)</f>
        <v>1</v>
      </c>
      <c r="AB854">
        <f>COUNTIFS('Odoo Items'!$J$5:$J$4331,A854,'Odoo Items'!$C$5:$C$4331,"&lt;="&amp;Cover!$C$15)</f>
        <v>1</v>
      </c>
      <c r="AC854" t="str">
        <f>IF(AND(AA854=0,AB854=0),"",IF(AA854=0,"ODOO-ONLY",IF(AB854=0,"BANK-ONLY","BOTH")))</f>
        <v>BOTH</v>
      </c>
      <c r="AD854" s="9">
        <f>IF(AC854="BOTH",ROUND(Y854-Z854,2),0)</f>
        <v>0</v>
      </c>
    </row>
    <row r="855">
      <c r="A855" t="inlineStr">
        <is>
          <t>G00851</t>
        </is>
      </c>
      <c r="B855" t="inlineStr">
        <is>
          <t>MER</t>
        </is>
      </c>
      <c r="C855" t="inlineStr">
        <is>
          <t>R08</t>
        </is>
      </c>
      <c r="D855" t="inlineStr">
        <is>
          <t>MATCH</t>
        </is>
      </c>
      <c r="E855" t="inlineStr"/>
      <c r="G855" t="inlineStr"/>
      <c r="H855">
        <f>COUNTIFS('Bank Lines'!$G$5:$G$1640,A855,'Bank Lines'!$J$5:$J$1640,1)</f>
        <v>1</v>
      </c>
      <c r="I855">
        <f>COUNTIFS('Odoo Items'!$J$5:$J$4331,A855)</f>
        <v>1</v>
      </c>
      <c r="J855" s="9">
        <f>ROUND(SUMIFS('Bank Lines'!$E$5:$E$1640,'Bank Lines'!$G$5:$G$1640,A855,'Bank Lines'!$J$5:$J$1640,1),2)</f>
        <v>1876.69</v>
      </c>
      <c r="K855" s="9">
        <f>ROUND(SUMIFS('Odoo Items'!$G$5:$G$4331,'Odoo Items'!$J$5:$J$4331,A855),2)</f>
        <v>1876.69</v>
      </c>
      <c r="L855" s="9">
        <f>ROUND(J855-K855,2)</f>
        <v>0</v>
      </c>
      <c r="M855" s="9">
        <f>ROUND(SUMIFS('Bank Lines'!$E$5:$E$1640,'Bank Lines'!$G$5:$G$1640,A855,'Bank Lines'!$J$5:$J$1640,1,'Bank Lines'!$C$5:$C$1640,"&lt;="&amp;Cover!$C$13),2)</f>
        <v>0</v>
      </c>
      <c r="N855" s="9">
        <f>ROUND(SUMIFS('Odoo Items'!$G$5:$G$4331,'Odoo Items'!$J$5:$J$4331,A855,'Odoo Items'!$C$5:$C$4331,"&lt;="&amp;Cover!$C$13),2)</f>
        <v>0</v>
      </c>
      <c r="O855">
        <f>COUNTIFS('Bank Lines'!$G$5:$G$1640,A855,'Bank Lines'!$J$5:$J$1640,1,'Bank Lines'!$C$5:$C$1640,"&lt;="&amp;Cover!$C$13)</f>
        <v>0</v>
      </c>
      <c r="P855">
        <f>COUNTIFS('Odoo Items'!$J$5:$J$4331,A855,'Odoo Items'!$C$5:$C$4331,"&lt;="&amp;Cover!$C$13)</f>
        <v>0</v>
      </c>
      <c r="Q855">
        <f>IF(AND(O855=0,P855=0),"",IF(O855=0,"ODOO-ONLY",IF(P855=0,"BANK-ONLY","BOTH")))</f>
      </c>
      <c r="R855" s="9">
        <f>IF(Q855="BOTH",ROUND(M855-N855,2),0)</f>
        <v>0</v>
      </c>
      <c r="S855" s="9">
        <f>ROUND(SUMIFS('Bank Lines'!$E$5:$E$1640,'Bank Lines'!$G$5:$G$1640,A855,'Bank Lines'!$J$5:$J$1640,1,'Bank Lines'!$C$5:$C$1640,"&lt;="&amp;Cover!$C$14),2)</f>
        <v>0</v>
      </c>
      <c r="T855" s="9">
        <f>ROUND(SUMIFS('Odoo Items'!$G$5:$G$4331,'Odoo Items'!$J$5:$J$4331,A855,'Odoo Items'!$C$5:$C$4331,"&lt;="&amp;Cover!$C$14),2)</f>
        <v>0</v>
      </c>
      <c r="U855">
        <f>COUNTIFS('Bank Lines'!$G$5:$G$1640,A855,'Bank Lines'!$J$5:$J$1640,1,'Bank Lines'!$C$5:$C$1640,"&lt;="&amp;Cover!$C$14)</f>
        <v>0</v>
      </c>
      <c r="V855">
        <f>COUNTIFS('Odoo Items'!$J$5:$J$4331,A855,'Odoo Items'!$C$5:$C$4331,"&lt;="&amp;Cover!$C$14)</f>
        <v>0</v>
      </c>
      <c r="W855">
        <f>IF(AND(U855=0,V855=0),"",IF(U855=0,"ODOO-ONLY",IF(V855=0,"BANK-ONLY","BOTH")))</f>
      </c>
      <c r="X855" s="9">
        <f>IF(W855="BOTH",ROUND(S855-T855,2),0)</f>
        <v>0</v>
      </c>
      <c r="Y855" s="9">
        <f>ROUND(SUMIFS('Bank Lines'!$E$5:$E$1640,'Bank Lines'!$G$5:$G$1640,A855,'Bank Lines'!$J$5:$J$1640,1,'Bank Lines'!$C$5:$C$1640,"&lt;="&amp;Cover!$C$15),2)</f>
        <v>1876.69</v>
      </c>
      <c r="Z855" s="9">
        <f>ROUND(SUMIFS('Odoo Items'!$G$5:$G$4331,'Odoo Items'!$J$5:$J$4331,A855,'Odoo Items'!$C$5:$C$4331,"&lt;="&amp;Cover!$C$15),2)</f>
        <v>1876.69</v>
      </c>
      <c r="AA855">
        <f>COUNTIFS('Bank Lines'!$G$5:$G$1640,A855,'Bank Lines'!$J$5:$J$1640,1,'Bank Lines'!$C$5:$C$1640,"&lt;="&amp;Cover!$C$15)</f>
        <v>1</v>
      </c>
      <c r="AB855">
        <f>COUNTIFS('Odoo Items'!$J$5:$J$4331,A855,'Odoo Items'!$C$5:$C$4331,"&lt;="&amp;Cover!$C$15)</f>
        <v>1</v>
      </c>
      <c r="AC855" t="str">
        <f>IF(AND(AA855=0,AB855=0),"",IF(AA855=0,"ODOO-ONLY",IF(AB855=0,"BANK-ONLY","BOTH")))</f>
        <v>BOTH</v>
      </c>
      <c r="AD855" s="9">
        <f>IF(AC855="BOTH",ROUND(Y855-Z855,2),0)</f>
        <v>0</v>
      </c>
    </row>
    <row r="856">
      <c r="A856" t="inlineStr">
        <is>
          <t>G00852</t>
        </is>
      </c>
      <c r="B856" t="inlineStr">
        <is>
          <t>MER</t>
        </is>
      </c>
      <c r="C856" t="inlineStr">
        <is>
          <t>R08</t>
        </is>
      </c>
      <c r="D856" t="inlineStr">
        <is>
          <t>MATCH</t>
        </is>
      </c>
      <c r="E856" t="inlineStr"/>
      <c r="G856" t="inlineStr"/>
      <c r="H856">
        <f>COUNTIFS('Bank Lines'!$G$5:$G$1640,A856,'Bank Lines'!$J$5:$J$1640,1)</f>
        <v>1</v>
      </c>
      <c r="I856">
        <f>COUNTIFS('Odoo Items'!$J$5:$J$4331,A856)</f>
        <v>1</v>
      </c>
      <c r="J856" s="9">
        <f>ROUND(SUMIFS('Bank Lines'!$E$5:$E$1640,'Bank Lines'!$G$5:$G$1640,A856,'Bank Lines'!$J$5:$J$1640,1),2)</f>
        <v>2976.13</v>
      </c>
      <c r="K856" s="9">
        <f>ROUND(SUMIFS('Odoo Items'!$G$5:$G$4331,'Odoo Items'!$J$5:$J$4331,A856),2)</f>
        <v>2976.13</v>
      </c>
      <c r="L856" s="9">
        <f>ROUND(J856-K856,2)</f>
        <v>0</v>
      </c>
      <c r="M856" s="9">
        <f>ROUND(SUMIFS('Bank Lines'!$E$5:$E$1640,'Bank Lines'!$G$5:$G$1640,A856,'Bank Lines'!$J$5:$J$1640,1,'Bank Lines'!$C$5:$C$1640,"&lt;="&amp;Cover!$C$13),2)</f>
        <v>0</v>
      </c>
      <c r="N856" s="9">
        <f>ROUND(SUMIFS('Odoo Items'!$G$5:$G$4331,'Odoo Items'!$J$5:$J$4331,A856,'Odoo Items'!$C$5:$C$4331,"&lt;="&amp;Cover!$C$13),2)</f>
        <v>0</v>
      </c>
      <c r="O856">
        <f>COUNTIFS('Bank Lines'!$G$5:$G$1640,A856,'Bank Lines'!$J$5:$J$1640,1,'Bank Lines'!$C$5:$C$1640,"&lt;="&amp;Cover!$C$13)</f>
        <v>0</v>
      </c>
      <c r="P856">
        <f>COUNTIFS('Odoo Items'!$J$5:$J$4331,A856,'Odoo Items'!$C$5:$C$4331,"&lt;="&amp;Cover!$C$13)</f>
        <v>0</v>
      </c>
      <c r="Q856">
        <f>IF(AND(O856=0,P856=0),"",IF(O856=0,"ODOO-ONLY",IF(P856=0,"BANK-ONLY","BOTH")))</f>
      </c>
      <c r="R856" s="9">
        <f>IF(Q856="BOTH",ROUND(M856-N856,2),0)</f>
        <v>0</v>
      </c>
      <c r="S856" s="9">
        <f>ROUND(SUMIFS('Bank Lines'!$E$5:$E$1640,'Bank Lines'!$G$5:$G$1640,A856,'Bank Lines'!$J$5:$J$1640,1,'Bank Lines'!$C$5:$C$1640,"&lt;="&amp;Cover!$C$14),2)</f>
        <v>0</v>
      </c>
      <c r="T856" s="9">
        <f>ROUND(SUMIFS('Odoo Items'!$G$5:$G$4331,'Odoo Items'!$J$5:$J$4331,A856,'Odoo Items'!$C$5:$C$4331,"&lt;="&amp;Cover!$C$14),2)</f>
        <v>0</v>
      </c>
      <c r="U856">
        <f>COUNTIFS('Bank Lines'!$G$5:$G$1640,A856,'Bank Lines'!$J$5:$J$1640,1,'Bank Lines'!$C$5:$C$1640,"&lt;="&amp;Cover!$C$14)</f>
        <v>0</v>
      </c>
      <c r="V856">
        <f>COUNTIFS('Odoo Items'!$J$5:$J$4331,A856,'Odoo Items'!$C$5:$C$4331,"&lt;="&amp;Cover!$C$14)</f>
        <v>0</v>
      </c>
      <c r="W856">
        <f>IF(AND(U856=0,V856=0),"",IF(U856=0,"ODOO-ONLY",IF(V856=0,"BANK-ONLY","BOTH")))</f>
      </c>
      <c r="X856" s="9">
        <f>IF(W856="BOTH",ROUND(S856-T856,2),0)</f>
        <v>0</v>
      </c>
      <c r="Y856" s="9">
        <f>ROUND(SUMIFS('Bank Lines'!$E$5:$E$1640,'Bank Lines'!$G$5:$G$1640,A856,'Bank Lines'!$J$5:$J$1640,1,'Bank Lines'!$C$5:$C$1640,"&lt;="&amp;Cover!$C$15),2)</f>
        <v>2976.13</v>
      </c>
      <c r="Z856" s="9">
        <f>ROUND(SUMIFS('Odoo Items'!$G$5:$G$4331,'Odoo Items'!$J$5:$J$4331,A856,'Odoo Items'!$C$5:$C$4331,"&lt;="&amp;Cover!$C$15),2)</f>
        <v>2976.13</v>
      </c>
      <c r="AA856">
        <f>COUNTIFS('Bank Lines'!$G$5:$G$1640,A856,'Bank Lines'!$J$5:$J$1640,1,'Bank Lines'!$C$5:$C$1640,"&lt;="&amp;Cover!$C$15)</f>
        <v>1</v>
      </c>
      <c r="AB856">
        <f>COUNTIFS('Odoo Items'!$J$5:$J$4331,A856,'Odoo Items'!$C$5:$C$4331,"&lt;="&amp;Cover!$C$15)</f>
        <v>1</v>
      </c>
      <c r="AC856" t="str">
        <f>IF(AND(AA856=0,AB856=0),"",IF(AA856=0,"ODOO-ONLY",IF(AB856=0,"BANK-ONLY","BOTH")))</f>
        <v>BOTH</v>
      </c>
      <c r="AD856" s="9">
        <f>IF(AC856="BOTH",ROUND(Y856-Z856,2),0)</f>
        <v>0</v>
      </c>
    </row>
    <row r="857">
      <c r="A857" t="inlineStr">
        <is>
          <t>G00853</t>
        </is>
      </c>
      <c r="B857" t="inlineStr">
        <is>
          <t>MER</t>
        </is>
      </c>
      <c r="C857" t="inlineStr">
        <is>
          <t>R08</t>
        </is>
      </c>
      <c r="D857" t="inlineStr">
        <is>
          <t>MATCH</t>
        </is>
      </c>
      <c r="E857" t="inlineStr"/>
      <c r="G857" t="inlineStr"/>
      <c r="H857">
        <f>COUNTIFS('Bank Lines'!$G$5:$G$1640,A857,'Bank Lines'!$J$5:$J$1640,1)</f>
        <v>1</v>
      </c>
      <c r="I857">
        <f>COUNTIFS('Odoo Items'!$J$5:$J$4331,A857)</f>
        <v>1</v>
      </c>
      <c r="J857" s="9">
        <f>ROUND(SUMIFS('Bank Lines'!$E$5:$E$1640,'Bank Lines'!$G$5:$G$1640,A857,'Bank Lines'!$J$5:$J$1640,1),2)</f>
        <v>3289.54</v>
      </c>
      <c r="K857" s="9">
        <f>ROUND(SUMIFS('Odoo Items'!$G$5:$G$4331,'Odoo Items'!$J$5:$J$4331,A857),2)</f>
        <v>3289.54</v>
      </c>
      <c r="L857" s="9">
        <f>ROUND(J857-K857,2)</f>
        <v>0</v>
      </c>
      <c r="M857" s="9">
        <f>ROUND(SUMIFS('Bank Lines'!$E$5:$E$1640,'Bank Lines'!$G$5:$G$1640,A857,'Bank Lines'!$J$5:$J$1640,1,'Bank Lines'!$C$5:$C$1640,"&lt;="&amp;Cover!$C$13),2)</f>
        <v>0</v>
      </c>
      <c r="N857" s="9">
        <f>ROUND(SUMIFS('Odoo Items'!$G$5:$G$4331,'Odoo Items'!$J$5:$J$4331,A857,'Odoo Items'!$C$5:$C$4331,"&lt;="&amp;Cover!$C$13),2)</f>
        <v>0</v>
      </c>
      <c r="O857">
        <f>COUNTIFS('Bank Lines'!$G$5:$G$1640,A857,'Bank Lines'!$J$5:$J$1640,1,'Bank Lines'!$C$5:$C$1640,"&lt;="&amp;Cover!$C$13)</f>
        <v>0</v>
      </c>
      <c r="P857">
        <f>COUNTIFS('Odoo Items'!$J$5:$J$4331,A857,'Odoo Items'!$C$5:$C$4331,"&lt;="&amp;Cover!$C$13)</f>
        <v>0</v>
      </c>
      <c r="Q857">
        <f>IF(AND(O857=0,P857=0),"",IF(O857=0,"ODOO-ONLY",IF(P857=0,"BANK-ONLY","BOTH")))</f>
      </c>
      <c r="R857" s="9">
        <f>IF(Q857="BOTH",ROUND(M857-N857,2),0)</f>
        <v>0</v>
      </c>
      <c r="S857" s="9">
        <f>ROUND(SUMIFS('Bank Lines'!$E$5:$E$1640,'Bank Lines'!$G$5:$G$1640,A857,'Bank Lines'!$J$5:$J$1640,1,'Bank Lines'!$C$5:$C$1640,"&lt;="&amp;Cover!$C$14),2)</f>
        <v>0</v>
      </c>
      <c r="T857" s="9">
        <f>ROUND(SUMIFS('Odoo Items'!$G$5:$G$4331,'Odoo Items'!$J$5:$J$4331,A857,'Odoo Items'!$C$5:$C$4331,"&lt;="&amp;Cover!$C$14),2)</f>
        <v>0</v>
      </c>
      <c r="U857">
        <f>COUNTIFS('Bank Lines'!$G$5:$G$1640,A857,'Bank Lines'!$J$5:$J$1640,1,'Bank Lines'!$C$5:$C$1640,"&lt;="&amp;Cover!$C$14)</f>
        <v>0</v>
      </c>
      <c r="V857">
        <f>COUNTIFS('Odoo Items'!$J$5:$J$4331,A857,'Odoo Items'!$C$5:$C$4331,"&lt;="&amp;Cover!$C$14)</f>
        <v>0</v>
      </c>
      <c r="W857">
        <f>IF(AND(U857=0,V857=0),"",IF(U857=0,"ODOO-ONLY",IF(V857=0,"BANK-ONLY","BOTH")))</f>
      </c>
      <c r="X857" s="9">
        <f>IF(W857="BOTH",ROUND(S857-T857,2),0)</f>
        <v>0</v>
      </c>
      <c r="Y857" s="9">
        <f>ROUND(SUMIFS('Bank Lines'!$E$5:$E$1640,'Bank Lines'!$G$5:$G$1640,A857,'Bank Lines'!$J$5:$J$1640,1,'Bank Lines'!$C$5:$C$1640,"&lt;="&amp;Cover!$C$15),2)</f>
        <v>3289.54</v>
      </c>
      <c r="Z857" s="9">
        <f>ROUND(SUMIFS('Odoo Items'!$G$5:$G$4331,'Odoo Items'!$J$5:$J$4331,A857,'Odoo Items'!$C$5:$C$4331,"&lt;="&amp;Cover!$C$15),2)</f>
        <v>3289.54</v>
      </c>
      <c r="AA857">
        <f>COUNTIFS('Bank Lines'!$G$5:$G$1640,A857,'Bank Lines'!$J$5:$J$1640,1,'Bank Lines'!$C$5:$C$1640,"&lt;="&amp;Cover!$C$15)</f>
        <v>1</v>
      </c>
      <c r="AB857">
        <f>COUNTIFS('Odoo Items'!$J$5:$J$4331,A857,'Odoo Items'!$C$5:$C$4331,"&lt;="&amp;Cover!$C$15)</f>
        <v>1</v>
      </c>
      <c r="AC857" t="str">
        <f>IF(AND(AA857=0,AB857=0),"",IF(AA857=0,"ODOO-ONLY",IF(AB857=0,"BANK-ONLY","BOTH")))</f>
        <v>BOTH</v>
      </c>
      <c r="AD857" s="9">
        <f>IF(AC857="BOTH",ROUND(Y857-Z857,2),0)</f>
        <v>0</v>
      </c>
    </row>
    <row r="858">
      <c r="A858" t="inlineStr">
        <is>
          <t>G00854</t>
        </is>
      </c>
      <c r="B858" t="inlineStr">
        <is>
          <t>MER</t>
        </is>
      </c>
      <c r="C858" t="inlineStr">
        <is>
          <t>R08</t>
        </is>
      </c>
      <c r="D858" t="inlineStr">
        <is>
          <t>MATCH</t>
        </is>
      </c>
      <c r="E858" t="inlineStr"/>
      <c r="G858" t="inlineStr"/>
      <c r="H858">
        <f>COUNTIFS('Bank Lines'!$G$5:$G$1640,A858,'Bank Lines'!$J$5:$J$1640,1)</f>
        <v>1</v>
      </c>
      <c r="I858">
        <f>COUNTIFS('Odoo Items'!$J$5:$J$4331,A858)</f>
        <v>1</v>
      </c>
      <c r="J858" s="9">
        <f>ROUND(SUMIFS('Bank Lines'!$E$5:$E$1640,'Bank Lines'!$G$5:$G$1640,A858,'Bank Lines'!$J$5:$J$1640,1),2)</f>
        <v>3368.6</v>
      </c>
      <c r="K858" s="9">
        <f>ROUND(SUMIFS('Odoo Items'!$G$5:$G$4331,'Odoo Items'!$J$5:$J$4331,A858),2)</f>
        <v>3368.6</v>
      </c>
      <c r="L858" s="9">
        <f>ROUND(J858-K858,2)</f>
        <v>0</v>
      </c>
      <c r="M858" s="9">
        <f>ROUND(SUMIFS('Bank Lines'!$E$5:$E$1640,'Bank Lines'!$G$5:$G$1640,A858,'Bank Lines'!$J$5:$J$1640,1,'Bank Lines'!$C$5:$C$1640,"&lt;="&amp;Cover!$C$13),2)</f>
        <v>0</v>
      </c>
      <c r="N858" s="9">
        <f>ROUND(SUMIFS('Odoo Items'!$G$5:$G$4331,'Odoo Items'!$J$5:$J$4331,A858,'Odoo Items'!$C$5:$C$4331,"&lt;="&amp;Cover!$C$13),2)</f>
        <v>0</v>
      </c>
      <c r="O858">
        <f>COUNTIFS('Bank Lines'!$G$5:$G$1640,A858,'Bank Lines'!$J$5:$J$1640,1,'Bank Lines'!$C$5:$C$1640,"&lt;="&amp;Cover!$C$13)</f>
        <v>0</v>
      </c>
      <c r="P858">
        <f>COUNTIFS('Odoo Items'!$J$5:$J$4331,A858,'Odoo Items'!$C$5:$C$4331,"&lt;="&amp;Cover!$C$13)</f>
        <v>0</v>
      </c>
      <c r="Q858">
        <f>IF(AND(O858=0,P858=0),"",IF(O858=0,"ODOO-ONLY",IF(P858=0,"BANK-ONLY","BOTH")))</f>
      </c>
      <c r="R858" s="9">
        <f>IF(Q858="BOTH",ROUND(M858-N858,2),0)</f>
        <v>0</v>
      </c>
      <c r="S858" s="9">
        <f>ROUND(SUMIFS('Bank Lines'!$E$5:$E$1640,'Bank Lines'!$G$5:$G$1640,A858,'Bank Lines'!$J$5:$J$1640,1,'Bank Lines'!$C$5:$C$1640,"&lt;="&amp;Cover!$C$14),2)</f>
        <v>0</v>
      </c>
      <c r="T858" s="9">
        <f>ROUND(SUMIFS('Odoo Items'!$G$5:$G$4331,'Odoo Items'!$J$5:$J$4331,A858,'Odoo Items'!$C$5:$C$4331,"&lt;="&amp;Cover!$C$14),2)</f>
        <v>0</v>
      </c>
      <c r="U858">
        <f>COUNTIFS('Bank Lines'!$G$5:$G$1640,A858,'Bank Lines'!$J$5:$J$1640,1,'Bank Lines'!$C$5:$C$1640,"&lt;="&amp;Cover!$C$14)</f>
        <v>0</v>
      </c>
      <c r="V858">
        <f>COUNTIFS('Odoo Items'!$J$5:$J$4331,A858,'Odoo Items'!$C$5:$C$4331,"&lt;="&amp;Cover!$C$14)</f>
        <v>0</v>
      </c>
      <c r="W858">
        <f>IF(AND(U858=0,V858=0),"",IF(U858=0,"ODOO-ONLY",IF(V858=0,"BANK-ONLY","BOTH")))</f>
      </c>
      <c r="X858" s="9">
        <f>IF(W858="BOTH",ROUND(S858-T858,2),0)</f>
        <v>0</v>
      </c>
      <c r="Y858" s="9">
        <f>ROUND(SUMIFS('Bank Lines'!$E$5:$E$1640,'Bank Lines'!$G$5:$G$1640,A858,'Bank Lines'!$J$5:$J$1640,1,'Bank Lines'!$C$5:$C$1640,"&lt;="&amp;Cover!$C$15),2)</f>
        <v>3368.6</v>
      </c>
      <c r="Z858" s="9">
        <f>ROUND(SUMIFS('Odoo Items'!$G$5:$G$4331,'Odoo Items'!$J$5:$J$4331,A858,'Odoo Items'!$C$5:$C$4331,"&lt;="&amp;Cover!$C$15),2)</f>
        <v>3368.6</v>
      </c>
      <c r="AA858">
        <f>COUNTIFS('Bank Lines'!$G$5:$G$1640,A858,'Bank Lines'!$J$5:$J$1640,1,'Bank Lines'!$C$5:$C$1640,"&lt;="&amp;Cover!$C$15)</f>
        <v>1</v>
      </c>
      <c r="AB858">
        <f>COUNTIFS('Odoo Items'!$J$5:$J$4331,A858,'Odoo Items'!$C$5:$C$4331,"&lt;="&amp;Cover!$C$15)</f>
        <v>1</v>
      </c>
      <c r="AC858" t="str">
        <f>IF(AND(AA858=0,AB858=0),"",IF(AA858=0,"ODOO-ONLY",IF(AB858=0,"BANK-ONLY","BOTH")))</f>
        <v>BOTH</v>
      </c>
      <c r="AD858" s="9">
        <f>IF(AC858="BOTH",ROUND(Y858-Z858,2),0)</f>
        <v>0</v>
      </c>
    </row>
    <row r="859">
      <c r="A859" t="inlineStr">
        <is>
          <t>G00855</t>
        </is>
      </c>
      <c r="B859" t="inlineStr">
        <is>
          <t>MER</t>
        </is>
      </c>
      <c r="C859" t="inlineStr">
        <is>
          <t>R08</t>
        </is>
      </c>
      <c r="D859" t="inlineStr">
        <is>
          <t>MATCH</t>
        </is>
      </c>
      <c r="E859" t="inlineStr"/>
      <c r="G859" t="inlineStr"/>
      <c r="H859">
        <f>COUNTIFS('Bank Lines'!$G$5:$G$1640,A859,'Bank Lines'!$J$5:$J$1640,1)</f>
        <v>1</v>
      </c>
      <c r="I859">
        <f>COUNTIFS('Odoo Items'!$J$5:$J$4331,A859)</f>
        <v>1</v>
      </c>
      <c r="J859" s="9">
        <f>ROUND(SUMIFS('Bank Lines'!$E$5:$E$1640,'Bank Lines'!$G$5:$G$1640,A859,'Bank Lines'!$J$5:$J$1640,1),2)</f>
        <v>3184.77</v>
      </c>
      <c r="K859" s="9">
        <f>ROUND(SUMIFS('Odoo Items'!$G$5:$G$4331,'Odoo Items'!$J$5:$J$4331,A859),2)</f>
        <v>3184.77</v>
      </c>
      <c r="L859" s="9">
        <f>ROUND(J859-K859,2)</f>
        <v>0</v>
      </c>
      <c r="M859" s="9">
        <f>ROUND(SUMIFS('Bank Lines'!$E$5:$E$1640,'Bank Lines'!$G$5:$G$1640,A859,'Bank Lines'!$J$5:$J$1640,1,'Bank Lines'!$C$5:$C$1640,"&lt;="&amp;Cover!$C$13),2)</f>
        <v>0</v>
      </c>
      <c r="N859" s="9">
        <f>ROUND(SUMIFS('Odoo Items'!$G$5:$G$4331,'Odoo Items'!$J$5:$J$4331,A859,'Odoo Items'!$C$5:$C$4331,"&lt;="&amp;Cover!$C$13),2)</f>
        <v>0</v>
      </c>
      <c r="O859">
        <f>COUNTIFS('Bank Lines'!$G$5:$G$1640,A859,'Bank Lines'!$J$5:$J$1640,1,'Bank Lines'!$C$5:$C$1640,"&lt;="&amp;Cover!$C$13)</f>
        <v>0</v>
      </c>
      <c r="P859">
        <f>COUNTIFS('Odoo Items'!$J$5:$J$4331,A859,'Odoo Items'!$C$5:$C$4331,"&lt;="&amp;Cover!$C$13)</f>
        <v>0</v>
      </c>
      <c r="Q859">
        <f>IF(AND(O859=0,P859=0),"",IF(O859=0,"ODOO-ONLY",IF(P859=0,"BANK-ONLY","BOTH")))</f>
      </c>
      <c r="R859" s="9">
        <f>IF(Q859="BOTH",ROUND(M859-N859,2),0)</f>
        <v>0</v>
      </c>
      <c r="S859" s="9">
        <f>ROUND(SUMIFS('Bank Lines'!$E$5:$E$1640,'Bank Lines'!$G$5:$G$1640,A859,'Bank Lines'!$J$5:$J$1640,1,'Bank Lines'!$C$5:$C$1640,"&lt;="&amp;Cover!$C$14),2)</f>
        <v>0</v>
      </c>
      <c r="T859" s="9">
        <f>ROUND(SUMIFS('Odoo Items'!$G$5:$G$4331,'Odoo Items'!$J$5:$J$4331,A859,'Odoo Items'!$C$5:$C$4331,"&lt;="&amp;Cover!$C$14),2)</f>
        <v>0</v>
      </c>
      <c r="U859">
        <f>COUNTIFS('Bank Lines'!$G$5:$G$1640,A859,'Bank Lines'!$J$5:$J$1640,1,'Bank Lines'!$C$5:$C$1640,"&lt;="&amp;Cover!$C$14)</f>
        <v>0</v>
      </c>
      <c r="V859">
        <f>COUNTIFS('Odoo Items'!$J$5:$J$4331,A859,'Odoo Items'!$C$5:$C$4331,"&lt;="&amp;Cover!$C$14)</f>
        <v>0</v>
      </c>
      <c r="W859">
        <f>IF(AND(U859=0,V859=0),"",IF(U859=0,"ODOO-ONLY",IF(V859=0,"BANK-ONLY","BOTH")))</f>
      </c>
      <c r="X859" s="9">
        <f>IF(W859="BOTH",ROUND(S859-T859,2),0)</f>
        <v>0</v>
      </c>
      <c r="Y859" s="9">
        <f>ROUND(SUMIFS('Bank Lines'!$E$5:$E$1640,'Bank Lines'!$G$5:$G$1640,A859,'Bank Lines'!$J$5:$J$1640,1,'Bank Lines'!$C$5:$C$1640,"&lt;="&amp;Cover!$C$15),2)</f>
        <v>3184.77</v>
      </c>
      <c r="Z859" s="9">
        <f>ROUND(SUMIFS('Odoo Items'!$G$5:$G$4331,'Odoo Items'!$J$5:$J$4331,A859,'Odoo Items'!$C$5:$C$4331,"&lt;="&amp;Cover!$C$15),2)</f>
        <v>3184.77</v>
      </c>
      <c r="AA859">
        <f>COUNTIFS('Bank Lines'!$G$5:$G$1640,A859,'Bank Lines'!$J$5:$J$1640,1,'Bank Lines'!$C$5:$C$1640,"&lt;="&amp;Cover!$C$15)</f>
        <v>1</v>
      </c>
      <c r="AB859">
        <f>COUNTIFS('Odoo Items'!$J$5:$J$4331,A859,'Odoo Items'!$C$5:$C$4331,"&lt;="&amp;Cover!$C$15)</f>
        <v>1</v>
      </c>
      <c r="AC859" t="str">
        <f>IF(AND(AA859=0,AB859=0),"",IF(AA859=0,"ODOO-ONLY",IF(AB859=0,"BANK-ONLY","BOTH")))</f>
        <v>BOTH</v>
      </c>
      <c r="AD859" s="9">
        <f>IF(AC859="BOTH",ROUND(Y859-Z859,2),0)</f>
        <v>0</v>
      </c>
    </row>
    <row r="860">
      <c r="A860" t="inlineStr">
        <is>
          <t>G00856</t>
        </is>
      </c>
      <c r="B860" t="inlineStr">
        <is>
          <t>MER</t>
        </is>
      </c>
      <c r="C860" t="inlineStr">
        <is>
          <t>R08</t>
        </is>
      </c>
      <c r="D860" t="inlineStr">
        <is>
          <t>MATCH</t>
        </is>
      </c>
      <c r="E860" t="inlineStr"/>
      <c r="G860" t="inlineStr"/>
      <c r="H860">
        <f>COUNTIFS('Bank Lines'!$G$5:$G$1640,A860,'Bank Lines'!$J$5:$J$1640,1)</f>
        <v>1</v>
      </c>
      <c r="I860">
        <f>COUNTIFS('Odoo Items'!$J$5:$J$4331,A860)</f>
        <v>1</v>
      </c>
      <c r="J860" s="9">
        <f>ROUND(SUMIFS('Bank Lines'!$E$5:$E$1640,'Bank Lines'!$G$5:$G$1640,A860,'Bank Lines'!$J$5:$J$1640,1),2)</f>
        <v>2229.7</v>
      </c>
      <c r="K860" s="9">
        <f>ROUND(SUMIFS('Odoo Items'!$G$5:$G$4331,'Odoo Items'!$J$5:$J$4331,A860),2)</f>
        <v>2229.7</v>
      </c>
      <c r="L860" s="9">
        <f>ROUND(J860-K860,2)</f>
        <v>0</v>
      </c>
      <c r="M860" s="9">
        <f>ROUND(SUMIFS('Bank Lines'!$E$5:$E$1640,'Bank Lines'!$G$5:$G$1640,A860,'Bank Lines'!$J$5:$J$1640,1,'Bank Lines'!$C$5:$C$1640,"&lt;="&amp;Cover!$C$13),2)</f>
        <v>0</v>
      </c>
      <c r="N860" s="9">
        <f>ROUND(SUMIFS('Odoo Items'!$G$5:$G$4331,'Odoo Items'!$J$5:$J$4331,A860,'Odoo Items'!$C$5:$C$4331,"&lt;="&amp;Cover!$C$13),2)</f>
        <v>0</v>
      </c>
      <c r="O860">
        <f>COUNTIFS('Bank Lines'!$G$5:$G$1640,A860,'Bank Lines'!$J$5:$J$1640,1,'Bank Lines'!$C$5:$C$1640,"&lt;="&amp;Cover!$C$13)</f>
        <v>0</v>
      </c>
      <c r="P860">
        <f>COUNTIFS('Odoo Items'!$J$5:$J$4331,A860,'Odoo Items'!$C$5:$C$4331,"&lt;="&amp;Cover!$C$13)</f>
        <v>0</v>
      </c>
      <c r="Q860">
        <f>IF(AND(O860=0,P860=0),"",IF(O860=0,"ODOO-ONLY",IF(P860=0,"BANK-ONLY","BOTH")))</f>
      </c>
      <c r="R860" s="9">
        <f>IF(Q860="BOTH",ROUND(M860-N860,2),0)</f>
        <v>0</v>
      </c>
      <c r="S860" s="9">
        <f>ROUND(SUMIFS('Bank Lines'!$E$5:$E$1640,'Bank Lines'!$G$5:$G$1640,A860,'Bank Lines'!$J$5:$J$1640,1,'Bank Lines'!$C$5:$C$1640,"&lt;="&amp;Cover!$C$14),2)</f>
        <v>0</v>
      </c>
      <c r="T860" s="9">
        <f>ROUND(SUMIFS('Odoo Items'!$G$5:$G$4331,'Odoo Items'!$J$5:$J$4331,A860,'Odoo Items'!$C$5:$C$4331,"&lt;="&amp;Cover!$C$14),2)</f>
        <v>0</v>
      </c>
      <c r="U860">
        <f>COUNTIFS('Bank Lines'!$G$5:$G$1640,A860,'Bank Lines'!$J$5:$J$1640,1,'Bank Lines'!$C$5:$C$1640,"&lt;="&amp;Cover!$C$14)</f>
        <v>0</v>
      </c>
      <c r="V860">
        <f>COUNTIFS('Odoo Items'!$J$5:$J$4331,A860,'Odoo Items'!$C$5:$C$4331,"&lt;="&amp;Cover!$C$14)</f>
        <v>0</v>
      </c>
      <c r="W860">
        <f>IF(AND(U860=0,V860=0),"",IF(U860=0,"ODOO-ONLY",IF(V860=0,"BANK-ONLY","BOTH")))</f>
      </c>
      <c r="X860" s="9">
        <f>IF(W860="BOTH",ROUND(S860-T860,2),0)</f>
        <v>0</v>
      </c>
      <c r="Y860" s="9">
        <f>ROUND(SUMIFS('Bank Lines'!$E$5:$E$1640,'Bank Lines'!$G$5:$G$1640,A860,'Bank Lines'!$J$5:$J$1640,1,'Bank Lines'!$C$5:$C$1640,"&lt;="&amp;Cover!$C$15),2)</f>
        <v>2229.7</v>
      </c>
      <c r="Z860" s="9">
        <f>ROUND(SUMIFS('Odoo Items'!$G$5:$G$4331,'Odoo Items'!$J$5:$J$4331,A860,'Odoo Items'!$C$5:$C$4331,"&lt;="&amp;Cover!$C$15),2)</f>
        <v>2229.7</v>
      </c>
      <c r="AA860">
        <f>COUNTIFS('Bank Lines'!$G$5:$G$1640,A860,'Bank Lines'!$J$5:$J$1640,1,'Bank Lines'!$C$5:$C$1640,"&lt;="&amp;Cover!$C$15)</f>
        <v>1</v>
      </c>
      <c r="AB860">
        <f>COUNTIFS('Odoo Items'!$J$5:$J$4331,A860,'Odoo Items'!$C$5:$C$4331,"&lt;="&amp;Cover!$C$15)</f>
        <v>1</v>
      </c>
      <c r="AC860" t="str">
        <f>IF(AND(AA860=0,AB860=0),"",IF(AA860=0,"ODOO-ONLY",IF(AB860=0,"BANK-ONLY","BOTH")))</f>
        <v>BOTH</v>
      </c>
      <c r="AD860" s="9">
        <f>IF(AC860="BOTH",ROUND(Y860-Z860,2),0)</f>
        <v>0</v>
      </c>
    </row>
    <row r="861">
      <c r="A861" t="inlineStr">
        <is>
          <t>G00857</t>
        </is>
      </c>
      <c r="B861" t="inlineStr">
        <is>
          <t>MER</t>
        </is>
      </c>
      <c r="C861" t="inlineStr">
        <is>
          <t>R08</t>
        </is>
      </c>
      <c r="D861" t="inlineStr">
        <is>
          <t>MATCH</t>
        </is>
      </c>
      <c r="E861" t="inlineStr"/>
      <c r="G861" t="inlineStr"/>
      <c r="H861">
        <f>COUNTIFS('Bank Lines'!$G$5:$G$1640,A861,'Bank Lines'!$J$5:$J$1640,1)</f>
        <v>1</v>
      </c>
      <c r="I861">
        <f>COUNTIFS('Odoo Items'!$J$5:$J$4331,A861)</f>
        <v>1</v>
      </c>
      <c r="J861" s="9">
        <f>ROUND(SUMIFS('Bank Lines'!$E$5:$E$1640,'Bank Lines'!$G$5:$G$1640,A861,'Bank Lines'!$J$5:$J$1640,1),2)</f>
        <v>1690.21</v>
      </c>
      <c r="K861" s="9">
        <f>ROUND(SUMIFS('Odoo Items'!$G$5:$G$4331,'Odoo Items'!$J$5:$J$4331,A861),2)</f>
        <v>1690.21</v>
      </c>
      <c r="L861" s="9">
        <f>ROUND(J861-K861,2)</f>
        <v>0</v>
      </c>
      <c r="M861" s="9">
        <f>ROUND(SUMIFS('Bank Lines'!$E$5:$E$1640,'Bank Lines'!$G$5:$G$1640,A861,'Bank Lines'!$J$5:$J$1640,1,'Bank Lines'!$C$5:$C$1640,"&lt;="&amp;Cover!$C$13),2)</f>
        <v>0</v>
      </c>
      <c r="N861" s="9">
        <f>ROUND(SUMIFS('Odoo Items'!$G$5:$G$4331,'Odoo Items'!$J$5:$J$4331,A861,'Odoo Items'!$C$5:$C$4331,"&lt;="&amp;Cover!$C$13),2)</f>
        <v>0</v>
      </c>
      <c r="O861">
        <f>COUNTIFS('Bank Lines'!$G$5:$G$1640,A861,'Bank Lines'!$J$5:$J$1640,1,'Bank Lines'!$C$5:$C$1640,"&lt;="&amp;Cover!$C$13)</f>
        <v>0</v>
      </c>
      <c r="P861">
        <f>COUNTIFS('Odoo Items'!$J$5:$J$4331,A861,'Odoo Items'!$C$5:$C$4331,"&lt;="&amp;Cover!$C$13)</f>
        <v>0</v>
      </c>
      <c r="Q861">
        <f>IF(AND(O861=0,P861=0),"",IF(O861=0,"ODOO-ONLY",IF(P861=0,"BANK-ONLY","BOTH")))</f>
      </c>
      <c r="R861" s="9">
        <f>IF(Q861="BOTH",ROUND(M861-N861,2),0)</f>
        <v>0</v>
      </c>
      <c r="S861" s="9">
        <f>ROUND(SUMIFS('Bank Lines'!$E$5:$E$1640,'Bank Lines'!$G$5:$G$1640,A861,'Bank Lines'!$J$5:$J$1640,1,'Bank Lines'!$C$5:$C$1640,"&lt;="&amp;Cover!$C$14),2)</f>
        <v>0</v>
      </c>
      <c r="T861" s="9">
        <f>ROUND(SUMIFS('Odoo Items'!$G$5:$G$4331,'Odoo Items'!$J$5:$J$4331,A861,'Odoo Items'!$C$5:$C$4331,"&lt;="&amp;Cover!$C$14),2)</f>
        <v>0</v>
      </c>
      <c r="U861">
        <f>COUNTIFS('Bank Lines'!$G$5:$G$1640,A861,'Bank Lines'!$J$5:$J$1640,1,'Bank Lines'!$C$5:$C$1640,"&lt;="&amp;Cover!$C$14)</f>
        <v>0</v>
      </c>
      <c r="V861">
        <f>COUNTIFS('Odoo Items'!$J$5:$J$4331,A861,'Odoo Items'!$C$5:$C$4331,"&lt;="&amp;Cover!$C$14)</f>
        <v>0</v>
      </c>
      <c r="W861">
        <f>IF(AND(U861=0,V861=0),"",IF(U861=0,"ODOO-ONLY",IF(V861=0,"BANK-ONLY","BOTH")))</f>
      </c>
      <c r="X861" s="9">
        <f>IF(W861="BOTH",ROUND(S861-T861,2),0)</f>
        <v>0</v>
      </c>
      <c r="Y861" s="9">
        <f>ROUND(SUMIFS('Bank Lines'!$E$5:$E$1640,'Bank Lines'!$G$5:$G$1640,A861,'Bank Lines'!$J$5:$J$1640,1,'Bank Lines'!$C$5:$C$1640,"&lt;="&amp;Cover!$C$15),2)</f>
        <v>1690.21</v>
      </c>
      <c r="Z861" s="9">
        <f>ROUND(SUMIFS('Odoo Items'!$G$5:$G$4331,'Odoo Items'!$J$5:$J$4331,A861,'Odoo Items'!$C$5:$C$4331,"&lt;="&amp;Cover!$C$15),2)</f>
        <v>1690.21</v>
      </c>
      <c r="AA861">
        <f>COUNTIFS('Bank Lines'!$G$5:$G$1640,A861,'Bank Lines'!$J$5:$J$1640,1,'Bank Lines'!$C$5:$C$1640,"&lt;="&amp;Cover!$C$15)</f>
        <v>1</v>
      </c>
      <c r="AB861">
        <f>COUNTIFS('Odoo Items'!$J$5:$J$4331,A861,'Odoo Items'!$C$5:$C$4331,"&lt;="&amp;Cover!$C$15)</f>
        <v>1</v>
      </c>
      <c r="AC861" t="str">
        <f>IF(AND(AA861=0,AB861=0),"",IF(AA861=0,"ODOO-ONLY",IF(AB861=0,"BANK-ONLY","BOTH")))</f>
        <v>BOTH</v>
      </c>
      <c r="AD861" s="9">
        <f>IF(AC861="BOTH",ROUND(Y861-Z861,2),0)</f>
        <v>0</v>
      </c>
    </row>
    <row r="862">
      <c r="A862" t="inlineStr">
        <is>
          <t>G00858</t>
        </is>
      </c>
      <c r="B862" t="inlineStr">
        <is>
          <t>MER</t>
        </is>
      </c>
      <c r="C862" t="inlineStr">
        <is>
          <t>R08</t>
        </is>
      </c>
      <c r="D862" t="inlineStr">
        <is>
          <t>MATCH</t>
        </is>
      </c>
      <c r="E862" t="inlineStr"/>
      <c r="G862" t="inlineStr"/>
      <c r="H862">
        <f>COUNTIFS('Bank Lines'!$G$5:$G$1640,A862,'Bank Lines'!$J$5:$J$1640,1)</f>
        <v>1</v>
      </c>
      <c r="I862">
        <f>COUNTIFS('Odoo Items'!$J$5:$J$4331,A862)</f>
        <v>1</v>
      </c>
      <c r="J862" s="9">
        <f>ROUND(SUMIFS('Bank Lines'!$E$5:$E$1640,'Bank Lines'!$G$5:$G$1640,A862,'Bank Lines'!$J$5:$J$1640,1),2)</f>
        <v>2362.72</v>
      </c>
      <c r="K862" s="9">
        <f>ROUND(SUMIFS('Odoo Items'!$G$5:$G$4331,'Odoo Items'!$J$5:$J$4331,A862),2)</f>
        <v>2362.72</v>
      </c>
      <c r="L862" s="9">
        <f>ROUND(J862-K862,2)</f>
        <v>0</v>
      </c>
      <c r="M862" s="9">
        <f>ROUND(SUMIFS('Bank Lines'!$E$5:$E$1640,'Bank Lines'!$G$5:$G$1640,A862,'Bank Lines'!$J$5:$J$1640,1,'Bank Lines'!$C$5:$C$1640,"&lt;="&amp;Cover!$C$13),2)</f>
        <v>0</v>
      </c>
      <c r="N862" s="9">
        <f>ROUND(SUMIFS('Odoo Items'!$G$5:$G$4331,'Odoo Items'!$J$5:$J$4331,A862,'Odoo Items'!$C$5:$C$4331,"&lt;="&amp;Cover!$C$13),2)</f>
        <v>0</v>
      </c>
      <c r="O862">
        <f>COUNTIFS('Bank Lines'!$G$5:$G$1640,A862,'Bank Lines'!$J$5:$J$1640,1,'Bank Lines'!$C$5:$C$1640,"&lt;="&amp;Cover!$C$13)</f>
        <v>0</v>
      </c>
      <c r="P862">
        <f>COUNTIFS('Odoo Items'!$J$5:$J$4331,A862,'Odoo Items'!$C$5:$C$4331,"&lt;="&amp;Cover!$C$13)</f>
        <v>0</v>
      </c>
      <c r="Q862">
        <f>IF(AND(O862=0,P862=0),"",IF(O862=0,"ODOO-ONLY",IF(P862=0,"BANK-ONLY","BOTH")))</f>
      </c>
      <c r="R862" s="9">
        <f>IF(Q862="BOTH",ROUND(M862-N862,2),0)</f>
        <v>0</v>
      </c>
      <c r="S862" s="9">
        <f>ROUND(SUMIFS('Bank Lines'!$E$5:$E$1640,'Bank Lines'!$G$5:$G$1640,A862,'Bank Lines'!$J$5:$J$1640,1,'Bank Lines'!$C$5:$C$1640,"&lt;="&amp;Cover!$C$14),2)</f>
        <v>0</v>
      </c>
      <c r="T862" s="9">
        <f>ROUND(SUMIFS('Odoo Items'!$G$5:$G$4331,'Odoo Items'!$J$5:$J$4331,A862,'Odoo Items'!$C$5:$C$4331,"&lt;="&amp;Cover!$C$14),2)</f>
        <v>0</v>
      </c>
      <c r="U862">
        <f>COUNTIFS('Bank Lines'!$G$5:$G$1640,A862,'Bank Lines'!$J$5:$J$1640,1,'Bank Lines'!$C$5:$C$1640,"&lt;="&amp;Cover!$C$14)</f>
        <v>0</v>
      </c>
      <c r="V862">
        <f>COUNTIFS('Odoo Items'!$J$5:$J$4331,A862,'Odoo Items'!$C$5:$C$4331,"&lt;="&amp;Cover!$C$14)</f>
        <v>0</v>
      </c>
      <c r="W862">
        <f>IF(AND(U862=0,V862=0),"",IF(U862=0,"ODOO-ONLY",IF(V862=0,"BANK-ONLY","BOTH")))</f>
      </c>
      <c r="X862" s="9">
        <f>IF(W862="BOTH",ROUND(S862-T862,2),0)</f>
        <v>0</v>
      </c>
      <c r="Y862" s="9">
        <f>ROUND(SUMIFS('Bank Lines'!$E$5:$E$1640,'Bank Lines'!$G$5:$G$1640,A862,'Bank Lines'!$J$5:$J$1640,1,'Bank Lines'!$C$5:$C$1640,"&lt;="&amp;Cover!$C$15),2)</f>
        <v>2362.72</v>
      </c>
      <c r="Z862" s="9">
        <f>ROUND(SUMIFS('Odoo Items'!$G$5:$G$4331,'Odoo Items'!$J$5:$J$4331,A862,'Odoo Items'!$C$5:$C$4331,"&lt;="&amp;Cover!$C$15),2)</f>
        <v>2362.72</v>
      </c>
      <c r="AA862">
        <f>COUNTIFS('Bank Lines'!$G$5:$G$1640,A862,'Bank Lines'!$J$5:$J$1640,1,'Bank Lines'!$C$5:$C$1640,"&lt;="&amp;Cover!$C$15)</f>
        <v>1</v>
      </c>
      <c r="AB862">
        <f>COUNTIFS('Odoo Items'!$J$5:$J$4331,A862,'Odoo Items'!$C$5:$C$4331,"&lt;="&amp;Cover!$C$15)</f>
        <v>1</v>
      </c>
      <c r="AC862" t="str">
        <f>IF(AND(AA862=0,AB862=0),"",IF(AA862=0,"ODOO-ONLY",IF(AB862=0,"BANK-ONLY","BOTH")))</f>
        <v>BOTH</v>
      </c>
      <c r="AD862" s="9">
        <f>IF(AC862="BOTH",ROUND(Y862-Z862,2),0)</f>
        <v>0</v>
      </c>
    </row>
    <row r="863">
      <c r="A863" t="inlineStr">
        <is>
          <t>G00859</t>
        </is>
      </c>
      <c r="B863" t="inlineStr">
        <is>
          <t>MER</t>
        </is>
      </c>
      <c r="C863" t="inlineStr">
        <is>
          <t>R08</t>
        </is>
      </c>
      <c r="D863" t="inlineStr">
        <is>
          <t>MATCH</t>
        </is>
      </c>
      <c r="E863" t="inlineStr"/>
      <c r="G863" t="inlineStr"/>
      <c r="H863">
        <f>COUNTIFS('Bank Lines'!$G$5:$G$1640,A863,'Bank Lines'!$J$5:$J$1640,1)</f>
        <v>1</v>
      </c>
      <c r="I863">
        <f>COUNTIFS('Odoo Items'!$J$5:$J$4331,A863)</f>
        <v>1</v>
      </c>
      <c r="J863" s="9">
        <f>ROUND(SUMIFS('Bank Lines'!$E$5:$E$1640,'Bank Lines'!$G$5:$G$1640,A863,'Bank Lines'!$J$5:$J$1640,1),2)</f>
        <v>781.59</v>
      </c>
      <c r="K863" s="9">
        <f>ROUND(SUMIFS('Odoo Items'!$G$5:$G$4331,'Odoo Items'!$J$5:$J$4331,A863),2)</f>
        <v>781.59</v>
      </c>
      <c r="L863" s="9">
        <f>ROUND(J863-K863,2)</f>
        <v>0</v>
      </c>
      <c r="M863" s="9">
        <f>ROUND(SUMIFS('Bank Lines'!$E$5:$E$1640,'Bank Lines'!$G$5:$G$1640,A863,'Bank Lines'!$J$5:$J$1640,1,'Bank Lines'!$C$5:$C$1640,"&lt;="&amp;Cover!$C$13),2)</f>
        <v>0</v>
      </c>
      <c r="N863" s="9">
        <f>ROUND(SUMIFS('Odoo Items'!$G$5:$G$4331,'Odoo Items'!$J$5:$J$4331,A863,'Odoo Items'!$C$5:$C$4331,"&lt;="&amp;Cover!$C$13),2)</f>
        <v>0</v>
      </c>
      <c r="O863">
        <f>COUNTIFS('Bank Lines'!$G$5:$G$1640,A863,'Bank Lines'!$J$5:$J$1640,1,'Bank Lines'!$C$5:$C$1640,"&lt;="&amp;Cover!$C$13)</f>
        <v>0</v>
      </c>
      <c r="P863">
        <f>COUNTIFS('Odoo Items'!$J$5:$J$4331,A863,'Odoo Items'!$C$5:$C$4331,"&lt;="&amp;Cover!$C$13)</f>
        <v>0</v>
      </c>
      <c r="Q863">
        <f>IF(AND(O863=0,P863=0),"",IF(O863=0,"ODOO-ONLY",IF(P863=0,"BANK-ONLY","BOTH")))</f>
      </c>
      <c r="R863" s="9">
        <f>IF(Q863="BOTH",ROUND(M863-N863,2),0)</f>
        <v>0</v>
      </c>
      <c r="S863" s="9">
        <f>ROUND(SUMIFS('Bank Lines'!$E$5:$E$1640,'Bank Lines'!$G$5:$G$1640,A863,'Bank Lines'!$J$5:$J$1640,1,'Bank Lines'!$C$5:$C$1640,"&lt;="&amp;Cover!$C$14),2)</f>
        <v>0</v>
      </c>
      <c r="T863" s="9">
        <f>ROUND(SUMIFS('Odoo Items'!$G$5:$G$4331,'Odoo Items'!$J$5:$J$4331,A863,'Odoo Items'!$C$5:$C$4331,"&lt;="&amp;Cover!$C$14),2)</f>
        <v>0</v>
      </c>
      <c r="U863">
        <f>COUNTIFS('Bank Lines'!$G$5:$G$1640,A863,'Bank Lines'!$J$5:$J$1640,1,'Bank Lines'!$C$5:$C$1640,"&lt;="&amp;Cover!$C$14)</f>
        <v>0</v>
      </c>
      <c r="V863">
        <f>COUNTIFS('Odoo Items'!$J$5:$J$4331,A863,'Odoo Items'!$C$5:$C$4331,"&lt;="&amp;Cover!$C$14)</f>
        <v>0</v>
      </c>
      <c r="W863">
        <f>IF(AND(U863=0,V863=0),"",IF(U863=0,"ODOO-ONLY",IF(V863=0,"BANK-ONLY","BOTH")))</f>
      </c>
      <c r="X863" s="9">
        <f>IF(W863="BOTH",ROUND(S863-T863,2),0)</f>
        <v>0</v>
      </c>
      <c r="Y863" s="9">
        <f>ROUND(SUMIFS('Bank Lines'!$E$5:$E$1640,'Bank Lines'!$G$5:$G$1640,A863,'Bank Lines'!$J$5:$J$1640,1,'Bank Lines'!$C$5:$C$1640,"&lt;="&amp;Cover!$C$15),2)</f>
        <v>781.59</v>
      </c>
      <c r="Z863" s="9">
        <f>ROUND(SUMIFS('Odoo Items'!$G$5:$G$4331,'Odoo Items'!$J$5:$J$4331,A863,'Odoo Items'!$C$5:$C$4331,"&lt;="&amp;Cover!$C$15),2)</f>
        <v>781.59</v>
      </c>
      <c r="AA863">
        <f>COUNTIFS('Bank Lines'!$G$5:$G$1640,A863,'Bank Lines'!$J$5:$J$1640,1,'Bank Lines'!$C$5:$C$1640,"&lt;="&amp;Cover!$C$15)</f>
        <v>1</v>
      </c>
      <c r="AB863">
        <f>COUNTIFS('Odoo Items'!$J$5:$J$4331,A863,'Odoo Items'!$C$5:$C$4331,"&lt;="&amp;Cover!$C$15)</f>
        <v>1</v>
      </c>
      <c r="AC863" t="str">
        <f>IF(AND(AA863=0,AB863=0),"",IF(AA863=0,"ODOO-ONLY",IF(AB863=0,"BANK-ONLY","BOTH")))</f>
        <v>BOTH</v>
      </c>
      <c r="AD863" s="9">
        <f>IF(AC863="BOTH",ROUND(Y863-Z863,2),0)</f>
        <v>0</v>
      </c>
    </row>
    <row r="864">
      <c r="A864" t="inlineStr">
        <is>
          <t>G00860</t>
        </is>
      </c>
      <c r="B864" t="inlineStr">
        <is>
          <t>MER</t>
        </is>
      </c>
      <c r="C864" t="inlineStr">
        <is>
          <t>R08</t>
        </is>
      </c>
      <c r="D864" t="inlineStr">
        <is>
          <t>MATCH</t>
        </is>
      </c>
      <c r="E864" t="inlineStr"/>
      <c r="G864" t="inlineStr"/>
      <c r="H864">
        <f>COUNTIFS('Bank Lines'!$G$5:$G$1640,A864,'Bank Lines'!$J$5:$J$1640,1)</f>
        <v>1</v>
      </c>
      <c r="I864">
        <f>COUNTIFS('Odoo Items'!$J$5:$J$4331,A864)</f>
        <v>1</v>
      </c>
      <c r="J864" s="9">
        <f>ROUND(SUMIFS('Bank Lines'!$E$5:$E$1640,'Bank Lines'!$G$5:$G$1640,A864,'Bank Lines'!$J$5:$J$1640,1),2)</f>
        <v>1033.48</v>
      </c>
      <c r="K864" s="9">
        <f>ROUND(SUMIFS('Odoo Items'!$G$5:$G$4331,'Odoo Items'!$J$5:$J$4331,A864),2)</f>
        <v>1033.48</v>
      </c>
      <c r="L864" s="9">
        <f>ROUND(J864-K864,2)</f>
        <v>0</v>
      </c>
      <c r="M864" s="9">
        <f>ROUND(SUMIFS('Bank Lines'!$E$5:$E$1640,'Bank Lines'!$G$5:$G$1640,A864,'Bank Lines'!$J$5:$J$1640,1,'Bank Lines'!$C$5:$C$1640,"&lt;="&amp;Cover!$C$13),2)</f>
        <v>0</v>
      </c>
      <c r="N864" s="9">
        <f>ROUND(SUMIFS('Odoo Items'!$G$5:$G$4331,'Odoo Items'!$J$5:$J$4331,A864,'Odoo Items'!$C$5:$C$4331,"&lt;="&amp;Cover!$C$13),2)</f>
        <v>0</v>
      </c>
      <c r="O864">
        <f>COUNTIFS('Bank Lines'!$G$5:$G$1640,A864,'Bank Lines'!$J$5:$J$1640,1,'Bank Lines'!$C$5:$C$1640,"&lt;="&amp;Cover!$C$13)</f>
        <v>0</v>
      </c>
      <c r="P864">
        <f>COUNTIFS('Odoo Items'!$J$5:$J$4331,A864,'Odoo Items'!$C$5:$C$4331,"&lt;="&amp;Cover!$C$13)</f>
        <v>0</v>
      </c>
      <c r="Q864">
        <f>IF(AND(O864=0,P864=0),"",IF(O864=0,"ODOO-ONLY",IF(P864=0,"BANK-ONLY","BOTH")))</f>
      </c>
      <c r="R864" s="9">
        <f>IF(Q864="BOTH",ROUND(M864-N864,2),0)</f>
        <v>0</v>
      </c>
      <c r="S864" s="9">
        <f>ROUND(SUMIFS('Bank Lines'!$E$5:$E$1640,'Bank Lines'!$G$5:$G$1640,A864,'Bank Lines'!$J$5:$J$1640,1,'Bank Lines'!$C$5:$C$1640,"&lt;="&amp;Cover!$C$14),2)</f>
        <v>0</v>
      </c>
      <c r="T864" s="9">
        <f>ROUND(SUMIFS('Odoo Items'!$G$5:$G$4331,'Odoo Items'!$J$5:$J$4331,A864,'Odoo Items'!$C$5:$C$4331,"&lt;="&amp;Cover!$C$14),2)</f>
        <v>0</v>
      </c>
      <c r="U864">
        <f>COUNTIFS('Bank Lines'!$G$5:$G$1640,A864,'Bank Lines'!$J$5:$J$1640,1,'Bank Lines'!$C$5:$C$1640,"&lt;="&amp;Cover!$C$14)</f>
        <v>0</v>
      </c>
      <c r="V864">
        <f>COUNTIFS('Odoo Items'!$J$5:$J$4331,A864,'Odoo Items'!$C$5:$C$4331,"&lt;="&amp;Cover!$C$14)</f>
        <v>0</v>
      </c>
      <c r="W864">
        <f>IF(AND(U864=0,V864=0),"",IF(U864=0,"ODOO-ONLY",IF(V864=0,"BANK-ONLY","BOTH")))</f>
      </c>
      <c r="X864" s="9">
        <f>IF(W864="BOTH",ROUND(S864-T864,2),0)</f>
        <v>0</v>
      </c>
      <c r="Y864" s="9">
        <f>ROUND(SUMIFS('Bank Lines'!$E$5:$E$1640,'Bank Lines'!$G$5:$G$1640,A864,'Bank Lines'!$J$5:$J$1640,1,'Bank Lines'!$C$5:$C$1640,"&lt;="&amp;Cover!$C$15),2)</f>
        <v>1033.48</v>
      </c>
      <c r="Z864" s="9">
        <f>ROUND(SUMIFS('Odoo Items'!$G$5:$G$4331,'Odoo Items'!$J$5:$J$4331,A864,'Odoo Items'!$C$5:$C$4331,"&lt;="&amp;Cover!$C$15),2)</f>
        <v>1033.48</v>
      </c>
      <c r="AA864">
        <f>COUNTIFS('Bank Lines'!$G$5:$G$1640,A864,'Bank Lines'!$J$5:$J$1640,1,'Bank Lines'!$C$5:$C$1640,"&lt;="&amp;Cover!$C$15)</f>
        <v>1</v>
      </c>
      <c r="AB864">
        <f>COUNTIFS('Odoo Items'!$J$5:$J$4331,A864,'Odoo Items'!$C$5:$C$4331,"&lt;="&amp;Cover!$C$15)</f>
        <v>1</v>
      </c>
      <c r="AC864" t="str">
        <f>IF(AND(AA864=0,AB864=0),"",IF(AA864=0,"ODOO-ONLY",IF(AB864=0,"BANK-ONLY","BOTH")))</f>
        <v>BOTH</v>
      </c>
      <c r="AD864" s="9">
        <f>IF(AC864="BOTH",ROUND(Y864-Z864,2),0)</f>
        <v>0</v>
      </c>
    </row>
    <row r="865">
      <c r="A865" t="inlineStr">
        <is>
          <t>G00861</t>
        </is>
      </c>
      <c r="B865" t="inlineStr">
        <is>
          <t>MER</t>
        </is>
      </c>
      <c r="C865" t="inlineStr">
        <is>
          <t>R08</t>
        </is>
      </c>
      <c r="D865" t="inlineStr">
        <is>
          <t>MATCH</t>
        </is>
      </c>
      <c r="E865" t="inlineStr"/>
      <c r="G865" t="inlineStr"/>
      <c r="H865">
        <f>COUNTIFS('Bank Lines'!$G$5:$G$1640,A865,'Bank Lines'!$J$5:$J$1640,1)</f>
        <v>1</v>
      </c>
      <c r="I865">
        <f>COUNTIFS('Odoo Items'!$J$5:$J$4331,A865)</f>
        <v>1</v>
      </c>
      <c r="J865" s="9">
        <f>ROUND(SUMIFS('Bank Lines'!$E$5:$E$1640,'Bank Lines'!$G$5:$G$1640,A865,'Bank Lines'!$J$5:$J$1640,1),2)</f>
        <v>1244.97</v>
      </c>
      <c r="K865" s="9">
        <f>ROUND(SUMIFS('Odoo Items'!$G$5:$G$4331,'Odoo Items'!$J$5:$J$4331,A865),2)</f>
        <v>1244.97</v>
      </c>
      <c r="L865" s="9">
        <f>ROUND(J865-K865,2)</f>
        <v>0</v>
      </c>
      <c r="M865" s="9">
        <f>ROUND(SUMIFS('Bank Lines'!$E$5:$E$1640,'Bank Lines'!$G$5:$G$1640,A865,'Bank Lines'!$J$5:$J$1640,1,'Bank Lines'!$C$5:$C$1640,"&lt;="&amp;Cover!$C$13),2)</f>
        <v>0</v>
      </c>
      <c r="N865" s="9">
        <f>ROUND(SUMIFS('Odoo Items'!$G$5:$G$4331,'Odoo Items'!$J$5:$J$4331,A865,'Odoo Items'!$C$5:$C$4331,"&lt;="&amp;Cover!$C$13),2)</f>
        <v>0</v>
      </c>
      <c r="O865">
        <f>COUNTIFS('Bank Lines'!$G$5:$G$1640,A865,'Bank Lines'!$J$5:$J$1640,1,'Bank Lines'!$C$5:$C$1640,"&lt;="&amp;Cover!$C$13)</f>
        <v>0</v>
      </c>
      <c r="P865">
        <f>COUNTIFS('Odoo Items'!$J$5:$J$4331,A865,'Odoo Items'!$C$5:$C$4331,"&lt;="&amp;Cover!$C$13)</f>
        <v>0</v>
      </c>
      <c r="Q865">
        <f>IF(AND(O865=0,P865=0),"",IF(O865=0,"ODOO-ONLY",IF(P865=0,"BANK-ONLY","BOTH")))</f>
      </c>
      <c r="R865" s="9">
        <f>IF(Q865="BOTH",ROUND(M865-N865,2),0)</f>
        <v>0</v>
      </c>
      <c r="S865" s="9">
        <f>ROUND(SUMIFS('Bank Lines'!$E$5:$E$1640,'Bank Lines'!$G$5:$G$1640,A865,'Bank Lines'!$J$5:$J$1640,1,'Bank Lines'!$C$5:$C$1640,"&lt;="&amp;Cover!$C$14),2)</f>
        <v>0</v>
      </c>
      <c r="T865" s="9">
        <f>ROUND(SUMIFS('Odoo Items'!$G$5:$G$4331,'Odoo Items'!$J$5:$J$4331,A865,'Odoo Items'!$C$5:$C$4331,"&lt;="&amp;Cover!$C$14),2)</f>
        <v>0</v>
      </c>
      <c r="U865">
        <f>COUNTIFS('Bank Lines'!$G$5:$G$1640,A865,'Bank Lines'!$J$5:$J$1640,1,'Bank Lines'!$C$5:$C$1640,"&lt;="&amp;Cover!$C$14)</f>
        <v>0</v>
      </c>
      <c r="V865">
        <f>COUNTIFS('Odoo Items'!$J$5:$J$4331,A865,'Odoo Items'!$C$5:$C$4331,"&lt;="&amp;Cover!$C$14)</f>
        <v>0</v>
      </c>
      <c r="W865">
        <f>IF(AND(U865=0,V865=0),"",IF(U865=0,"ODOO-ONLY",IF(V865=0,"BANK-ONLY","BOTH")))</f>
      </c>
      <c r="X865" s="9">
        <f>IF(W865="BOTH",ROUND(S865-T865,2),0)</f>
        <v>0</v>
      </c>
      <c r="Y865" s="9">
        <f>ROUND(SUMIFS('Bank Lines'!$E$5:$E$1640,'Bank Lines'!$G$5:$G$1640,A865,'Bank Lines'!$J$5:$J$1640,1,'Bank Lines'!$C$5:$C$1640,"&lt;="&amp;Cover!$C$15),2)</f>
        <v>1244.97</v>
      </c>
      <c r="Z865" s="9">
        <f>ROUND(SUMIFS('Odoo Items'!$G$5:$G$4331,'Odoo Items'!$J$5:$J$4331,A865,'Odoo Items'!$C$5:$C$4331,"&lt;="&amp;Cover!$C$15),2)</f>
        <v>1244.97</v>
      </c>
      <c r="AA865">
        <f>COUNTIFS('Bank Lines'!$G$5:$G$1640,A865,'Bank Lines'!$J$5:$J$1640,1,'Bank Lines'!$C$5:$C$1640,"&lt;="&amp;Cover!$C$15)</f>
        <v>1</v>
      </c>
      <c r="AB865">
        <f>COUNTIFS('Odoo Items'!$J$5:$J$4331,A865,'Odoo Items'!$C$5:$C$4331,"&lt;="&amp;Cover!$C$15)</f>
        <v>1</v>
      </c>
      <c r="AC865" t="str">
        <f>IF(AND(AA865=0,AB865=0),"",IF(AA865=0,"ODOO-ONLY",IF(AB865=0,"BANK-ONLY","BOTH")))</f>
        <v>BOTH</v>
      </c>
      <c r="AD865" s="9">
        <f>IF(AC865="BOTH",ROUND(Y865-Z865,2),0)</f>
        <v>0</v>
      </c>
    </row>
    <row r="866">
      <c r="A866" t="inlineStr">
        <is>
          <t>G00862</t>
        </is>
      </c>
      <c r="B866" t="inlineStr">
        <is>
          <t>MER</t>
        </is>
      </c>
      <c r="C866" t="inlineStr">
        <is>
          <t>R08</t>
        </is>
      </c>
      <c r="D866" t="inlineStr">
        <is>
          <t>MATCH</t>
        </is>
      </c>
      <c r="E866" t="inlineStr"/>
      <c r="G866" t="inlineStr"/>
      <c r="H866">
        <f>COUNTIFS('Bank Lines'!$G$5:$G$1640,A866,'Bank Lines'!$J$5:$J$1640,1)</f>
        <v>1</v>
      </c>
      <c r="I866">
        <f>COUNTIFS('Odoo Items'!$J$5:$J$4331,A866)</f>
        <v>1</v>
      </c>
      <c r="J866" s="9">
        <f>ROUND(SUMIFS('Bank Lines'!$E$5:$E$1640,'Bank Lines'!$G$5:$G$1640,A866,'Bank Lines'!$J$5:$J$1640,1),2)</f>
        <v>900.32</v>
      </c>
      <c r="K866" s="9">
        <f>ROUND(SUMIFS('Odoo Items'!$G$5:$G$4331,'Odoo Items'!$J$5:$J$4331,A866),2)</f>
        <v>900.32</v>
      </c>
      <c r="L866" s="9">
        <f>ROUND(J866-K866,2)</f>
        <v>0</v>
      </c>
      <c r="M866" s="9">
        <f>ROUND(SUMIFS('Bank Lines'!$E$5:$E$1640,'Bank Lines'!$G$5:$G$1640,A866,'Bank Lines'!$J$5:$J$1640,1,'Bank Lines'!$C$5:$C$1640,"&lt;="&amp;Cover!$C$13),2)</f>
        <v>0</v>
      </c>
      <c r="N866" s="9">
        <f>ROUND(SUMIFS('Odoo Items'!$G$5:$G$4331,'Odoo Items'!$J$5:$J$4331,A866,'Odoo Items'!$C$5:$C$4331,"&lt;="&amp;Cover!$C$13),2)</f>
        <v>0</v>
      </c>
      <c r="O866">
        <f>COUNTIFS('Bank Lines'!$G$5:$G$1640,A866,'Bank Lines'!$J$5:$J$1640,1,'Bank Lines'!$C$5:$C$1640,"&lt;="&amp;Cover!$C$13)</f>
        <v>0</v>
      </c>
      <c r="P866">
        <f>COUNTIFS('Odoo Items'!$J$5:$J$4331,A866,'Odoo Items'!$C$5:$C$4331,"&lt;="&amp;Cover!$C$13)</f>
        <v>0</v>
      </c>
      <c r="Q866">
        <f>IF(AND(O866=0,P866=0),"",IF(O866=0,"ODOO-ONLY",IF(P866=0,"BANK-ONLY","BOTH")))</f>
      </c>
      <c r="R866" s="9">
        <f>IF(Q866="BOTH",ROUND(M866-N866,2),0)</f>
        <v>0</v>
      </c>
      <c r="S866" s="9">
        <f>ROUND(SUMIFS('Bank Lines'!$E$5:$E$1640,'Bank Lines'!$G$5:$G$1640,A866,'Bank Lines'!$J$5:$J$1640,1,'Bank Lines'!$C$5:$C$1640,"&lt;="&amp;Cover!$C$14),2)</f>
        <v>0</v>
      </c>
      <c r="T866" s="9">
        <f>ROUND(SUMIFS('Odoo Items'!$G$5:$G$4331,'Odoo Items'!$J$5:$J$4331,A866,'Odoo Items'!$C$5:$C$4331,"&lt;="&amp;Cover!$C$14),2)</f>
        <v>0</v>
      </c>
      <c r="U866">
        <f>COUNTIFS('Bank Lines'!$G$5:$G$1640,A866,'Bank Lines'!$J$5:$J$1640,1,'Bank Lines'!$C$5:$C$1640,"&lt;="&amp;Cover!$C$14)</f>
        <v>0</v>
      </c>
      <c r="V866">
        <f>COUNTIFS('Odoo Items'!$J$5:$J$4331,A866,'Odoo Items'!$C$5:$C$4331,"&lt;="&amp;Cover!$C$14)</f>
        <v>0</v>
      </c>
      <c r="W866">
        <f>IF(AND(U866=0,V866=0),"",IF(U866=0,"ODOO-ONLY",IF(V866=0,"BANK-ONLY","BOTH")))</f>
      </c>
      <c r="X866" s="9">
        <f>IF(W866="BOTH",ROUND(S866-T866,2),0)</f>
        <v>0</v>
      </c>
      <c r="Y866" s="9">
        <f>ROUND(SUMIFS('Bank Lines'!$E$5:$E$1640,'Bank Lines'!$G$5:$G$1640,A866,'Bank Lines'!$J$5:$J$1640,1,'Bank Lines'!$C$5:$C$1640,"&lt;="&amp;Cover!$C$15),2)</f>
        <v>900.32</v>
      </c>
      <c r="Z866" s="9">
        <f>ROUND(SUMIFS('Odoo Items'!$G$5:$G$4331,'Odoo Items'!$J$5:$J$4331,A866,'Odoo Items'!$C$5:$C$4331,"&lt;="&amp;Cover!$C$15),2)</f>
        <v>900.32</v>
      </c>
      <c r="AA866">
        <f>COUNTIFS('Bank Lines'!$G$5:$G$1640,A866,'Bank Lines'!$J$5:$J$1640,1,'Bank Lines'!$C$5:$C$1640,"&lt;="&amp;Cover!$C$15)</f>
        <v>1</v>
      </c>
      <c r="AB866">
        <f>COUNTIFS('Odoo Items'!$J$5:$J$4331,A866,'Odoo Items'!$C$5:$C$4331,"&lt;="&amp;Cover!$C$15)</f>
        <v>1</v>
      </c>
      <c r="AC866" t="str">
        <f>IF(AND(AA866=0,AB866=0),"",IF(AA866=0,"ODOO-ONLY",IF(AB866=0,"BANK-ONLY","BOTH")))</f>
        <v>BOTH</v>
      </c>
      <c r="AD866" s="9">
        <f>IF(AC866="BOTH",ROUND(Y866-Z866,2),0)</f>
        <v>0</v>
      </c>
    </row>
    <row r="867">
      <c r="A867" t="inlineStr">
        <is>
          <t>G00863</t>
        </is>
      </c>
      <c r="B867" t="inlineStr">
        <is>
          <t>MER</t>
        </is>
      </c>
      <c r="C867" t="inlineStr">
        <is>
          <t>R04</t>
        </is>
      </c>
      <c r="D867" t="inlineStr">
        <is>
          <t>MATCH</t>
        </is>
      </c>
      <c r="E867" t="inlineStr"/>
      <c r="G867" t="inlineStr">
        <is>
          <t>Sweep, same amount</t>
        </is>
      </c>
      <c r="H867">
        <f>COUNTIFS('Bank Lines'!$G$5:$G$1640,A867,'Bank Lines'!$J$5:$J$1640,1)</f>
        <v>1</v>
      </c>
      <c r="I867">
        <f>COUNTIFS('Odoo Items'!$J$5:$J$4331,A867)</f>
        <v>1</v>
      </c>
      <c r="J867" s="9">
        <f>ROUND(SUMIFS('Bank Lines'!$E$5:$E$1640,'Bank Lines'!$G$5:$G$1640,A867,'Bank Lines'!$J$5:$J$1640,1),2)</f>
        <v>-22000</v>
      </c>
      <c r="K867" s="9">
        <f>ROUND(SUMIFS('Odoo Items'!$G$5:$G$4331,'Odoo Items'!$J$5:$J$4331,A867),2)</f>
        <v>-22000</v>
      </c>
      <c r="L867" s="9">
        <f>ROUND(J867-K867,2)</f>
        <v>0</v>
      </c>
      <c r="M867" s="9">
        <f>ROUND(SUMIFS('Bank Lines'!$E$5:$E$1640,'Bank Lines'!$G$5:$G$1640,A867,'Bank Lines'!$J$5:$J$1640,1,'Bank Lines'!$C$5:$C$1640,"&lt;="&amp;Cover!$C$13),2)</f>
        <v>0</v>
      </c>
      <c r="N867" s="9">
        <f>ROUND(SUMIFS('Odoo Items'!$G$5:$G$4331,'Odoo Items'!$J$5:$J$4331,A867,'Odoo Items'!$C$5:$C$4331,"&lt;="&amp;Cover!$C$13),2)</f>
        <v>0</v>
      </c>
      <c r="O867">
        <f>COUNTIFS('Bank Lines'!$G$5:$G$1640,A867,'Bank Lines'!$J$5:$J$1640,1,'Bank Lines'!$C$5:$C$1640,"&lt;="&amp;Cover!$C$13)</f>
        <v>0</v>
      </c>
      <c r="P867">
        <f>COUNTIFS('Odoo Items'!$J$5:$J$4331,A867,'Odoo Items'!$C$5:$C$4331,"&lt;="&amp;Cover!$C$13)</f>
        <v>0</v>
      </c>
      <c r="Q867">
        <f>IF(AND(O867=0,P867=0),"",IF(O867=0,"ODOO-ONLY",IF(P867=0,"BANK-ONLY","BOTH")))</f>
      </c>
      <c r="R867" s="9">
        <f>IF(Q867="BOTH",ROUND(M867-N867,2),0)</f>
        <v>0</v>
      </c>
      <c r="S867" s="9">
        <f>ROUND(SUMIFS('Bank Lines'!$E$5:$E$1640,'Bank Lines'!$G$5:$G$1640,A867,'Bank Lines'!$J$5:$J$1640,1,'Bank Lines'!$C$5:$C$1640,"&lt;="&amp;Cover!$C$14),2)</f>
        <v>0</v>
      </c>
      <c r="T867" s="9">
        <f>ROUND(SUMIFS('Odoo Items'!$G$5:$G$4331,'Odoo Items'!$J$5:$J$4331,A867,'Odoo Items'!$C$5:$C$4331,"&lt;="&amp;Cover!$C$14),2)</f>
        <v>0</v>
      </c>
      <c r="U867">
        <f>COUNTIFS('Bank Lines'!$G$5:$G$1640,A867,'Bank Lines'!$J$5:$J$1640,1,'Bank Lines'!$C$5:$C$1640,"&lt;="&amp;Cover!$C$14)</f>
        <v>0</v>
      </c>
      <c r="V867">
        <f>COUNTIFS('Odoo Items'!$J$5:$J$4331,A867,'Odoo Items'!$C$5:$C$4331,"&lt;="&amp;Cover!$C$14)</f>
        <v>0</v>
      </c>
      <c r="W867">
        <f>IF(AND(U867=0,V867=0),"",IF(U867=0,"ODOO-ONLY",IF(V867=0,"BANK-ONLY","BOTH")))</f>
      </c>
      <c r="X867" s="9">
        <f>IF(W867="BOTH",ROUND(S867-T867,2),0)</f>
        <v>0</v>
      </c>
      <c r="Y867" s="9">
        <f>ROUND(SUMIFS('Bank Lines'!$E$5:$E$1640,'Bank Lines'!$G$5:$G$1640,A867,'Bank Lines'!$J$5:$J$1640,1,'Bank Lines'!$C$5:$C$1640,"&lt;="&amp;Cover!$C$15),2)</f>
        <v>-22000</v>
      </c>
      <c r="Z867" s="9">
        <f>ROUND(SUMIFS('Odoo Items'!$G$5:$G$4331,'Odoo Items'!$J$5:$J$4331,A867,'Odoo Items'!$C$5:$C$4331,"&lt;="&amp;Cover!$C$15),2)</f>
        <v>-22000</v>
      </c>
      <c r="AA867">
        <f>COUNTIFS('Bank Lines'!$G$5:$G$1640,A867,'Bank Lines'!$J$5:$J$1640,1,'Bank Lines'!$C$5:$C$1640,"&lt;="&amp;Cover!$C$15)</f>
        <v>1</v>
      </c>
      <c r="AB867">
        <f>COUNTIFS('Odoo Items'!$J$5:$J$4331,A867,'Odoo Items'!$C$5:$C$4331,"&lt;="&amp;Cover!$C$15)</f>
        <v>1</v>
      </c>
      <c r="AC867" t="str">
        <f>IF(AND(AA867=0,AB867=0),"",IF(AA867=0,"ODOO-ONLY",IF(AB867=0,"BANK-ONLY","BOTH")))</f>
        <v>BOTH</v>
      </c>
      <c r="AD867" s="9">
        <f>IF(AC867="BOTH",ROUND(Y867-Z867,2),0)</f>
        <v>0</v>
      </c>
    </row>
    <row r="868">
      <c r="A868" t="inlineStr">
        <is>
          <t>G00864</t>
        </is>
      </c>
      <c r="B868" t="inlineStr">
        <is>
          <t>MER</t>
        </is>
      </c>
      <c r="C868" t="inlineStr">
        <is>
          <t>R08</t>
        </is>
      </c>
      <c r="D868" t="inlineStr">
        <is>
          <t>MATCH</t>
        </is>
      </c>
      <c r="E868" t="inlineStr"/>
      <c r="G868" t="inlineStr"/>
      <c r="H868">
        <f>COUNTIFS('Bank Lines'!$G$5:$G$1640,A868,'Bank Lines'!$J$5:$J$1640,1)</f>
        <v>1</v>
      </c>
      <c r="I868">
        <f>COUNTIFS('Odoo Items'!$J$5:$J$4331,A868)</f>
        <v>1</v>
      </c>
      <c r="J868" s="9">
        <f>ROUND(SUMIFS('Bank Lines'!$E$5:$E$1640,'Bank Lines'!$G$5:$G$1640,A868,'Bank Lines'!$J$5:$J$1640,1),2)</f>
        <v>2701.47</v>
      </c>
      <c r="K868" s="9">
        <f>ROUND(SUMIFS('Odoo Items'!$G$5:$G$4331,'Odoo Items'!$J$5:$J$4331,A868),2)</f>
        <v>2701.47</v>
      </c>
      <c r="L868" s="9">
        <f>ROUND(J868-K868,2)</f>
        <v>0</v>
      </c>
      <c r="M868" s="9">
        <f>ROUND(SUMIFS('Bank Lines'!$E$5:$E$1640,'Bank Lines'!$G$5:$G$1640,A868,'Bank Lines'!$J$5:$J$1640,1,'Bank Lines'!$C$5:$C$1640,"&lt;="&amp;Cover!$C$13),2)</f>
        <v>0</v>
      </c>
      <c r="N868" s="9">
        <f>ROUND(SUMIFS('Odoo Items'!$G$5:$G$4331,'Odoo Items'!$J$5:$J$4331,A868,'Odoo Items'!$C$5:$C$4331,"&lt;="&amp;Cover!$C$13),2)</f>
        <v>0</v>
      </c>
      <c r="O868">
        <f>COUNTIFS('Bank Lines'!$G$5:$G$1640,A868,'Bank Lines'!$J$5:$J$1640,1,'Bank Lines'!$C$5:$C$1640,"&lt;="&amp;Cover!$C$13)</f>
        <v>0</v>
      </c>
      <c r="P868">
        <f>COUNTIFS('Odoo Items'!$J$5:$J$4331,A868,'Odoo Items'!$C$5:$C$4331,"&lt;="&amp;Cover!$C$13)</f>
        <v>0</v>
      </c>
      <c r="Q868">
        <f>IF(AND(O868=0,P868=0),"",IF(O868=0,"ODOO-ONLY",IF(P868=0,"BANK-ONLY","BOTH")))</f>
      </c>
      <c r="R868" s="9">
        <f>IF(Q868="BOTH",ROUND(M868-N868,2),0)</f>
        <v>0</v>
      </c>
      <c r="S868" s="9">
        <f>ROUND(SUMIFS('Bank Lines'!$E$5:$E$1640,'Bank Lines'!$G$5:$G$1640,A868,'Bank Lines'!$J$5:$J$1640,1,'Bank Lines'!$C$5:$C$1640,"&lt;="&amp;Cover!$C$14),2)</f>
        <v>0</v>
      </c>
      <c r="T868" s="9">
        <f>ROUND(SUMIFS('Odoo Items'!$G$5:$G$4331,'Odoo Items'!$J$5:$J$4331,A868,'Odoo Items'!$C$5:$C$4331,"&lt;="&amp;Cover!$C$14),2)</f>
        <v>0</v>
      </c>
      <c r="U868">
        <f>COUNTIFS('Bank Lines'!$G$5:$G$1640,A868,'Bank Lines'!$J$5:$J$1640,1,'Bank Lines'!$C$5:$C$1640,"&lt;="&amp;Cover!$C$14)</f>
        <v>0</v>
      </c>
      <c r="V868">
        <f>COUNTIFS('Odoo Items'!$J$5:$J$4331,A868,'Odoo Items'!$C$5:$C$4331,"&lt;="&amp;Cover!$C$14)</f>
        <v>0</v>
      </c>
      <c r="W868">
        <f>IF(AND(U868=0,V868=0),"",IF(U868=0,"ODOO-ONLY",IF(V868=0,"BANK-ONLY","BOTH")))</f>
      </c>
      <c r="X868" s="9">
        <f>IF(W868="BOTH",ROUND(S868-T868,2),0)</f>
        <v>0</v>
      </c>
      <c r="Y868" s="9">
        <f>ROUND(SUMIFS('Bank Lines'!$E$5:$E$1640,'Bank Lines'!$G$5:$G$1640,A868,'Bank Lines'!$J$5:$J$1640,1,'Bank Lines'!$C$5:$C$1640,"&lt;="&amp;Cover!$C$15),2)</f>
        <v>2701.47</v>
      </c>
      <c r="Z868" s="9">
        <f>ROUND(SUMIFS('Odoo Items'!$G$5:$G$4331,'Odoo Items'!$J$5:$J$4331,A868,'Odoo Items'!$C$5:$C$4331,"&lt;="&amp;Cover!$C$15),2)</f>
        <v>2701.47</v>
      </c>
      <c r="AA868">
        <f>COUNTIFS('Bank Lines'!$G$5:$G$1640,A868,'Bank Lines'!$J$5:$J$1640,1,'Bank Lines'!$C$5:$C$1640,"&lt;="&amp;Cover!$C$15)</f>
        <v>1</v>
      </c>
      <c r="AB868">
        <f>COUNTIFS('Odoo Items'!$J$5:$J$4331,A868,'Odoo Items'!$C$5:$C$4331,"&lt;="&amp;Cover!$C$15)</f>
        <v>1</v>
      </c>
      <c r="AC868" t="str">
        <f>IF(AND(AA868=0,AB868=0),"",IF(AA868=0,"ODOO-ONLY",IF(AB868=0,"BANK-ONLY","BOTH")))</f>
        <v>BOTH</v>
      </c>
      <c r="AD868" s="9">
        <f>IF(AC868="BOTH",ROUND(Y868-Z868,2),0)</f>
        <v>0</v>
      </c>
    </row>
    <row r="869">
      <c r="A869" t="inlineStr">
        <is>
          <t>G00865</t>
        </is>
      </c>
      <c r="B869" t="inlineStr">
        <is>
          <t>MER</t>
        </is>
      </c>
      <c r="C869" t="inlineStr">
        <is>
          <t>R08</t>
        </is>
      </c>
      <c r="D869" t="inlineStr">
        <is>
          <t>MATCH</t>
        </is>
      </c>
      <c r="E869" t="inlineStr"/>
      <c r="G869" t="inlineStr"/>
      <c r="H869">
        <f>COUNTIFS('Bank Lines'!$G$5:$G$1640,A869,'Bank Lines'!$J$5:$J$1640,1)</f>
        <v>1</v>
      </c>
      <c r="I869">
        <f>COUNTIFS('Odoo Items'!$J$5:$J$4331,A869)</f>
        <v>1</v>
      </c>
      <c r="J869" s="9">
        <f>ROUND(SUMIFS('Bank Lines'!$E$5:$E$1640,'Bank Lines'!$G$5:$G$1640,A869,'Bank Lines'!$J$5:$J$1640,1),2)</f>
        <v>2828.62</v>
      </c>
      <c r="K869" s="9">
        <f>ROUND(SUMIFS('Odoo Items'!$G$5:$G$4331,'Odoo Items'!$J$5:$J$4331,A869),2)</f>
        <v>2828.62</v>
      </c>
      <c r="L869" s="9">
        <f>ROUND(J869-K869,2)</f>
        <v>0</v>
      </c>
      <c r="M869" s="9">
        <f>ROUND(SUMIFS('Bank Lines'!$E$5:$E$1640,'Bank Lines'!$G$5:$G$1640,A869,'Bank Lines'!$J$5:$J$1640,1,'Bank Lines'!$C$5:$C$1640,"&lt;="&amp;Cover!$C$13),2)</f>
        <v>0</v>
      </c>
      <c r="N869" s="9">
        <f>ROUND(SUMIFS('Odoo Items'!$G$5:$G$4331,'Odoo Items'!$J$5:$J$4331,A869,'Odoo Items'!$C$5:$C$4331,"&lt;="&amp;Cover!$C$13),2)</f>
        <v>0</v>
      </c>
      <c r="O869">
        <f>COUNTIFS('Bank Lines'!$G$5:$G$1640,A869,'Bank Lines'!$J$5:$J$1640,1,'Bank Lines'!$C$5:$C$1640,"&lt;="&amp;Cover!$C$13)</f>
        <v>0</v>
      </c>
      <c r="P869">
        <f>COUNTIFS('Odoo Items'!$J$5:$J$4331,A869,'Odoo Items'!$C$5:$C$4331,"&lt;="&amp;Cover!$C$13)</f>
        <v>0</v>
      </c>
      <c r="Q869">
        <f>IF(AND(O869=0,P869=0),"",IF(O869=0,"ODOO-ONLY",IF(P869=0,"BANK-ONLY","BOTH")))</f>
      </c>
      <c r="R869" s="9">
        <f>IF(Q869="BOTH",ROUND(M869-N869,2),0)</f>
        <v>0</v>
      </c>
      <c r="S869" s="9">
        <f>ROUND(SUMIFS('Bank Lines'!$E$5:$E$1640,'Bank Lines'!$G$5:$G$1640,A869,'Bank Lines'!$J$5:$J$1640,1,'Bank Lines'!$C$5:$C$1640,"&lt;="&amp;Cover!$C$14),2)</f>
        <v>0</v>
      </c>
      <c r="T869" s="9">
        <f>ROUND(SUMIFS('Odoo Items'!$G$5:$G$4331,'Odoo Items'!$J$5:$J$4331,A869,'Odoo Items'!$C$5:$C$4331,"&lt;="&amp;Cover!$C$14),2)</f>
        <v>0</v>
      </c>
      <c r="U869">
        <f>COUNTIFS('Bank Lines'!$G$5:$G$1640,A869,'Bank Lines'!$J$5:$J$1640,1,'Bank Lines'!$C$5:$C$1640,"&lt;="&amp;Cover!$C$14)</f>
        <v>0</v>
      </c>
      <c r="V869">
        <f>COUNTIFS('Odoo Items'!$J$5:$J$4331,A869,'Odoo Items'!$C$5:$C$4331,"&lt;="&amp;Cover!$C$14)</f>
        <v>0</v>
      </c>
      <c r="W869">
        <f>IF(AND(U869=0,V869=0),"",IF(U869=0,"ODOO-ONLY",IF(V869=0,"BANK-ONLY","BOTH")))</f>
      </c>
      <c r="X869" s="9">
        <f>IF(W869="BOTH",ROUND(S869-T869,2),0)</f>
        <v>0</v>
      </c>
      <c r="Y869" s="9">
        <f>ROUND(SUMIFS('Bank Lines'!$E$5:$E$1640,'Bank Lines'!$G$5:$G$1640,A869,'Bank Lines'!$J$5:$J$1640,1,'Bank Lines'!$C$5:$C$1640,"&lt;="&amp;Cover!$C$15),2)</f>
        <v>2828.62</v>
      </c>
      <c r="Z869" s="9">
        <f>ROUND(SUMIFS('Odoo Items'!$G$5:$G$4331,'Odoo Items'!$J$5:$J$4331,A869,'Odoo Items'!$C$5:$C$4331,"&lt;="&amp;Cover!$C$15),2)</f>
        <v>2828.62</v>
      </c>
      <c r="AA869">
        <f>COUNTIFS('Bank Lines'!$G$5:$G$1640,A869,'Bank Lines'!$J$5:$J$1640,1,'Bank Lines'!$C$5:$C$1640,"&lt;="&amp;Cover!$C$15)</f>
        <v>1</v>
      </c>
      <c r="AB869">
        <f>COUNTIFS('Odoo Items'!$J$5:$J$4331,A869,'Odoo Items'!$C$5:$C$4331,"&lt;="&amp;Cover!$C$15)</f>
        <v>1</v>
      </c>
      <c r="AC869" t="str">
        <f>IF(AND(AA869=0,AB869=0),"",IF(AA869=0,"ODOO-ONLY",IF(AB869=0,"BANK-ONLY","BOTH")))</f>
        <v>BOTH</v>
      </c>
      <c r="AD869" s="9">
        <f>IF(AC869="BOTH",ROUND(Y869-Z869,2),0)</f>
        <v>0</v>
      </c>
    </row>
    <row r="870">
      <c r="A870" t="inlineStr">
        <is>
          <t>G00866</t>
        </is>
      </c>
      <c r="B870" t="inlineStr">
        <is>
          <t>MER</t>
        </is>
      </c>
      <c r="C870" t="inlineStr">
        <is>
          <t>R08</t>
        </is>
      </c>
      <c r="D870" t="inlineStr">
        <is>
          <t>MATCH</t>
        </is>
      </c>
      <c r="E870" t="inlineStr"/>
      <c r="G870" t="inlineStr"/>
      <c r="H870">
        <f>COUNTIFS('Bank Lines'!$G$5:$G$1640,A870,'Bank Lines'!$J$5:$J$1640,1)</f>
        <v>1</v>
      </c>
      <c r="I870">
        <f>COUNTIFS('Odoo Items'!$J$5:$J$4331,A870)</f>
        <v>1</v>
      </c>
      <c r="J870" s="9">
        <f>ROUND(SUMIFS('Bank Lines'!$E$5:$E$1640,'Bank Lines'!$G$5:$G$1640,A870,'Bank Lines'!$J$5:$J$1640,1),2)</f>
        <v>3199.86</v>
      </c>
      <c r="K870" s="9">
        <f>ROUND(SUMIFS('Odoo Items'!$G$5:$G$4331,'Odoo Items'!$J$5:$J$4331,A870),2)</f>
        <v>3199.86</v>
      </c>
      <c r="L870" s="9">
        <f>ROUND(J870-K870,2)</f>
        <v>0</v>
      </c>
      <c r="M870" s="9">
        <f>ROUND(SUMIFS('Bank Lines'!$E$5:$E$1640,'Bank Lines'!$G$5:$G$1640,A870,'Bank Lines'!$J$5:$J$1640,1,'Bank Lines'!$C$5:$C$1640,"&lt;="&amp;Cover!$C$13),2)</f>
        <v>0</v>
      </c>
      <c r="N870" s="9">
        <f>ROUND(SUMIFS('Odoo Items'!$G$5:$G$4331,'Odoo Items'!$J$5:$J$4331,A870,'Odoo Items'!$C$5:$C$4331,"&lt;="&amp;Cover!$C$13),2)</f>
        <v>0</v>
      </c>
      <c r="O870">
        <f>COUNTIFS('Bank Lines'!$G$5:$G$1640,A870,'Bank Lines'!$J$5:$J$1640,1,'Bank Lines'!$C$5:$C$1640,"&lt;="&amp;Cover!$C$13)</f>
        <v>0</v>
      </c>
      <c r="P870">
        <f>COUNTIFS('Odoo Items'!$J$5:$J$4331,A870,'Odoo Items'!$C$5:$C$4331,"&lt;="&amp;Cover!$C$13)</f>
        <v>0</v>
      </c>
      <c r="Q870">
        <f>IF(AND(O870=0,P870=0),"",IF(O870=0,"ODOO-ONLY",IF(P870=0,"BANK-ONLY","BOTH")))</f>
      </c>
      <c r="R870" s="9">
        <f>IF(Q870="BOTH",ROUND(M870-N870,2),0)</f>
        <v>0</v>
      </c>
      <c r="S870" s="9">
        <f>ROUND(SUMIFS('Bank Lines'!$E$5:$E$1640,'Bank Lines'!$G$5:$G$1640,A870,'Bank Lines'!$J$5:$J$1640,1,'Bank Lines'!$C$5:$C$1640,"&lt;="&amp;Cover!$C$14),2)</f>
        <v>0</v>
      </c>
      <c r="T870" s="9">
        <f>ROUND(SUMIFS('Odoo Items'!$G$5:$G$4331,'Odoo Items'!$J$5:$J$4331,A870,'Odoo Items'!$C$5:$C$4331,"&lt;="&amp;Cover!$C$14),2)</f>
        <v>0</v>
      </c>
      <c r="U870">
        <f>COUNTIFS('Bank Lines'!$G$5:$G$1640,A870,'Bank Lines'!$J$5:$J$1640,1,'Bank Lines'!$C$5:$C$1640,"&lt;="&amp;Cover!$C$14)</f>
        <v>0</v>
      </c>
      <c r="V870">
        <f>COUNTIFS('Odoo Items'!$J$5:$J$4331,A870,'Odoo Items'!$C$5:$C$4331,"&lt;="&amp;Cover!$C$14)</f>
        <v>0</v>
      </c>
      <c r="W870">
        <f>IF(AND(U870=0,V870=0),"",IF(U870=0,"ODOO-ONLY",IF(V870=0,"BANK-ONLY","BOTH")))</f>
      </c>
      <c r="X870" s="9">
        <f>IF(W870="BOTH",ROUND(S870-T870,2),0)</f>
        <v>0</v>
      </c>
      <c r="Y870" s="9">
        <f>ROUND(SUMIFS('Bank Lines'!$E$5:$E$1640,'Bank Lines'!$G$5:$G$1640,A870,'Bank Lines'!$J$5:$J$1640,1,'Bank Lines'!$C$5:$C$1640,"&lt;="&amp;Cover!$C$15),2)</f>
        <v>3199.86</v>
      </c>
      <c r="Z870" s="9">
        <f>ROUND(SUMIFS('Odoo Items'!$G$5:$G$4331,'Odoo Items'!$J$5:$J$4331,A870,'Odoo Items'!$C$5:$C$4331,"&lt;="&amp;Cover!$C$15),2)</f>
        <v>3199.86</v>
      </c>
      <c r="AA870">
        <f>COUNTIFS('Bank Lines'!$G$5:$G$1640,A870,'Bank Lines'!$J$5:$J$1640,1,'Bank Lines'!$C$5:$C$1640,"&lt;="&amp;Cover!$C$15)</f>
        <v>1</v>
      </c>
      <c r="AB870">
        <f>COUNTIFS('Odoo Items'!$J$5:$J$4331,A870,'Odoo Items'!$C$5:$C$4331,"&lt;="&amp;Cover!$C$15)</f>
        <v>1</v>
      </c>
      <c r="AC870" t="str">
        <f>IF(AND(AA870=0,AB870=0),"",IF(AA870=0,"ODOO-ONLY",IF(AB870=0,"BANK-ONLY","BOTH")))</f>
        <v>BOTH</v>
      </c>
      <c r="AD870" s="9">
        <f>IF(AC870="BOTH",ROUND(Y870-Z870,2),0)</f>
        <v>0</v>
      </c>
    </row>
    <row r="871">
      <c r="A871" t="inlineStr">
        <is>
          <t>G00867</t>
        </is>
      </c>
      <c r="B871" t="inlineStr">
        <is>
          <t>MER</t>
        </is>
      </c>
      <c r="C871" t="inlineStr">
        <is>
          <t>R08</t>
        </is>
      </c>
      <c r="D871" t="inlineStr">
        <is>
          <t>MATCH</t>
        </is>
      </c>
      <c r="E871" t="inlineStr"/>
      <c r="G871" t="inlineStr"/>
      <c r="H871">
        <f>COUNTIFS('Bank Lines'!$G$5:$G$1640,A871,'Bank Lines'!$J$5:$J$1640,1)</f>
        <v>1</v>
      </c>
      <c r="I871">
        <f>COUNTIFS('Odoo Items'!$J$5:$J$4331,A871)</f>
        <v>1</v>
      </c>
      <c r="J871" s="9">
        <f>ROUND(SUMIFS('Bank Lines'!$E$5:$E$1640,'Bank Lines'!$G$5:$G$1640,A871,'Bank Lines'!$J$5:$J$1640,1),2)</f>
        <v>3493.87</v>
      </c>
      <c r="K871" s="9">
        <f>ROUND(SUMIFS('Odoo Items'!$G$5:$G$4331,'Odoo Items'!$J$5:$J$4331,A871),2)</f>
        <v>3493.87</v>
      </c>
      <c r="L871" s="9">
        <f>ROUND(J871-K871,2)</f>
        <v>0</v>
      </c>
      <c r="M871" s="9">
        <f>ROUND(SUMIFS('Bank Lines'!$E$5:$E$1640,'Bank Lines'!$G$5:$G$1640,A871,'Bank Lines'!$J$5:$J$1640,1,'Bank Lines'!$C$5:$C$1640,"&lt;="&amp;Cover!$C$13),2)</f>
        <v>0</v>
      </c>
      <c r="N871" s="9">
        <f>ROUND(SUMIFS('Odoo Items'!$G$5:$G$4331,'Odoo Items'!$J$5:$J$4331,A871,'Odoo Items'!$C$5:$C$4331,"&lt;="&amp;Cover!$C$13),2)</f>
        <v>0</v>
      </c>
      <c r="O871">
        <f>COUNTIFS('Bank Lines'!$G$5:$G$1640,A871,'Bank Lines'!$J$5:$J$1640,1,'Bank Lines'!$C$5:$C$1640,"&lt;="&amp;Cover!$C$13)</f>
        <v>0</v>
      </c>
      <c r="P871">
        <f>COUNTIFS('Odoo Items'!$J$5:$J$4331,A871,'Odoo Items'!$C$5:$C$4331,"&lt;="&amp;Cover!$C$13)</f>
        <v>0</v>
      </c>
      <c r="Q871">
        <f>IF(AND(O871=0,P871=0),"",IF(O871=0,"ODOO-ONLY",IF(P871=0,"BANK-ONLY","BOTH")))</f>
      </c>
      <c r="R871" s="9">
        <f>IF(Q871="BOTH",ROUND(M871-N871,2),0)</f>
        <v>0</v>
      </c>
      <c r="S871" s="9">
        <f>ROUND(SUMIFS('Bank Lines'!$E$5:$E$1640,'Bank Lines'!$G$5:$G$1640,A871,'Bank Lines'!$J$5:$J$1640,1,'Bank Lines'!$C$5:$C$1640,"&lt;="&amp;Cover!$C$14),2)</f>
        <v>0</v>
      </c>
      <c r="T871" s="9">
        <f>ROUND(SUMIFS('Odoo Items'!$G$5:$G$4331,'Odoo Items'!$J$5:$J$4331,A871,'Odoo Items'!$C$5:$C$4331,"&lt;="&amp;Cover!$C$14),2)</f>
        <v>0</v>
      </c>
      <c r="U871">
        <f>COUNTIFS('Bank Lines'!$G$5:$G$1640,A871,'Bank Lines'!$J$5:$J$1640,1,'Bank Lines'!$C$5:$C$1640,"&lt;="&amp;Cover!$C$14)</f>
        <v>0</v>
      </c>
      <c r="V871">
        <f>COUNTIFS('Odoo Items'!$J$5:$J$4331,A871,'Odoo Items'!$C$5:$C$4331,"&lt;="&amp;Cover!$C$14)</f>
        <v>0</v>
      </c>
      <c r="W871">
        <f>IF(AND(U871=0,V871=0),"",IF(U871=0,"ODOO-ONLY",IF(V871=0,"BANK-ONLY","BOTH")))</f>
      </c>
      <c r="X871" s="9">
        <f>IF(W871="BOTH",ROUND(S871-T871,2),0)</f>
        <v>0</v>
      </c>
      <c r="Y871" s="9">
        <f>ROUND(SUMIFS('Bank Lines'!$E$5:$E$1640,'Bank Lines'!$G$5:$G$1640,A871,'Bank Lines'!$J$5:$J$1640,1,'Bank Lines'!$C$5:$C$1640,"&lt;="&amp;Cover!$C$15),2)</f>
        <v>3493.87</v>
      </c>
      <c r="Z871" s="9">
        <f>ROUND(SUMIFS('Odoo Items'!$G$5:$G$4331,'Odoo Items'!$J$5:$J$4331,A871,'Odoo Items'!$C$5:$C$4331,"&lt;="&amp;Cover!$C$15),2)</f>
        <v>3493.87</v>
      </c>
      <c r="AA871">
        <f>COUNTIFS('Bank Lines'!$G$5:$G$1640,A871,'Bank Lines'!$J$5:$J$1640,1,'Bank Lines'!$C$5:$C$1640,"&lt;="&amp;Cover!$C$15)</f>
        <v>1</v>
      </c>
      <c r="AB871">
        <f>COUNTIFS('Odoo Items'!$J$5:$J$4331,A871,'Odoo Items'!$C$5:$C$4331,"&lt;="&amp;Cover!$C$15)</f>
        <v>1</v>
      </c>
      <c r="AC871" t="str">
        <f>IF(AND(AA871=0,AB871=0),"",IF(AA871=0,"ODOO-ONLY",IF(AB871=0,"BANK-ONLY","BOTH")))</f>
        <v>BOTH</v>
      </c>
      <c r="AD871" s="9">
        <f>IF(AC871="BOTH",ROUND(Y871-Z871,2),0)</f>
        <v>0</v>
      </c>
    </row>
    <row r="872">
      <c r="A872" t="inlineStr">
        <is>
          <t>G00868</t>
        </is>
      </c>
      <c r="B872" t="inlineStr">
        <is>
          <t>MER</t>
        </is>
      </c>
      <c r="C872" t="inlineStr">
        <is>
          <t>R08</t>
        </is>
      </c>
      <c r="D872" t="inlineStr">
        <is>
          <t>MATCH</t>
        </is>
      </c>
      <c r="E872" t="inlineStr"/>
      <c r="G872" t="inlineStr"/>
      <c r="H872">
        <f>COUNTIFS('Bank Lines'!$G$5:$G$1640,A872,'Bank Lines'!$J$5:$J$1640,1)</f>
        <v>1</v>
      </c>
      <c r="I872">
        <f>COUNTIFS('Odoo Items'!$J$5:$J$4331,A872)</f>
        <v>1</v>
      </c>
      <c r="J872" s="9">
        <f>ROUND(SUMIFS('Bank Lines'!$E$5:$E$1640,'Bank Lines'!$G$5:$G$1640,A872,'Bank Lines'!$J$5:$J$1640,1),2)</f>
        <v>2151.71</v>
      </c>
      <c r="K872" s="9">
        <f>ROUND(SUMIFS('Odoo Items'!$G$5:$G$4331,'Odoo Items'!$J$5:$J$4331,A872),2)</f>
        <v>2151.71</v>
      </c>
      <c r="L872" s="9">
        <f>ROUND(J872-K872,2)</f>
        <v>0</v>
      </c>
      <c r="M872" s="9">
        <f>ROUND(SUMIFS('Bank Lines'!$E$5:$E$1640,'Bank Lines'!$G$5:$G$1640,A872,'Bank Lines'!$J$5:$J$1640,1,'Bank Lines'!$C$5:$C$1640,"&lt;="&amp;Cover!$C$13),2)</f>
        <v>0</v>
      </c>
      <c r="N872" s="9">
        <f>ROUND(SUMIFS('Odoo Items'!$G$5:$G$4331,'Odoo Items'!$J$5:$J$4331,A872,'Odoo Items'!$C$5:$C$4331,"&lt;="&amp;Cover!$C$13),2)</f>
        <v>0</v>
      </c>
      <c r="O872">
        <f>COUNTIFS('Bank Lines'!$G$5:$G$1640,A872,'Bank Lines'!$J$5:$J$1640,1,'Bank Lines'!$C$5:$C$1640,"&lt;="&amp;Cover!$C$13)</f>
        <v>0</v>
      </c>
      <c r="P872">
        <f>COUNTIFS('Odoo Items'!$J$5:$J$4331,A872,'Odoo Items'!$C$5:$C$4331,"&lt;="&amp;Cover!$C$13)</f>
        <v>0</v>
      </c>
      <c r="Q872">
        <f>IF(AND(O872=0,P872=0),"",IF(O872=0,"ODOO-ONLY",IF(P872=0,"BANK-ONLY","BOTH")))</f>
      </c>
      <c r="R872" s="9">
        <f>IF(Q872="BOTH",ROUND(M872-N872,2),0)</f>
        <v>0</v>
      </c>
      <c r="S872" s="9">
        <f>ROUND(SUMIFS('Bank Lines'!$E$5:$E$1640,'Bank Lines'!$G$5:$G$1640,A872,'Bank Lines'!$J$5:$J$1640,1,'Bank Lines'!$C$5:$C$1640,"&lt;="&amp;Cover!$C$14),2)</f>
        <v>0</v>
      </c>
      <c r="T872" s="9">
        <f>ROUND(SUMIFS('Odoo Items'!$G$5:$G$4331,'Odoo Items'!$J$5:$J$4331,A872,'Odoo Items'!$C$5:$C$4331,"&lt;="&amp;Cover!$C$14),2)</f>
        <v>0</v>
      </c>
      <c r="U872">
        <f>COUNTIFS('Bank Lines'!$G$5:$G$1640,A872,'Bank Lines'!$J$5:$J$1640,1,'Bank Lines'!$C$5:$C$1640,"&lt;="&amp;Cover!$C$14)</f>
        <v>0</v>
      </c>
      <c r="V872">
        <f>COUNTIFS('Odoo Items'!$J$5:$J$4331,A872,'Odoo Items'!$C$5:$C$4331,"&lt;="&amp;Cover!$C$14)</f>
        <v>0</v>
      </c>
      <c r="W872">
        <f>IF(AND(U872=0,V872=0),"",IF(U872=0,"ODOO-ONLY",IF(V872=0,"BANK-ONLY","BOTH")))</f>
      </c>
      <c r="X872" s="9">
        <f>IF(W872="BOTH",ROUND(S872-T872,2),0)</f>
        <v>0</v>
      </c>
      <c r="Y872" s="9">
        <f>ROUND(SUMIFS('Bank Lines'!$E$5:$E$1640,'Bank Lines'!$G$5:$G$1640,A872,'Bank Lines'!$J$5:$J$1640,1,'Bank Lines'!$C$5:$C$1640,"&lt;="&amp;Cover!$C$15),2)</f>
        <v>2151.71</v>
      </c>
      <c r="Z872" s="9">
        <f>ROUND(SUMIFS('Odoo Items'!$G$5:$G$4331,'Odoo Items'!$J$5:$J$4331,A872,'Odoo Items'!$C$5:$C$4331,"&lt;="&amp;Cover!$C$15),2)</f>
        <v>2151.71</v>
      </c>
      <c r="AA872">
        <f>COUNTIFS('Bank Lines'!$G$5:$G$1640,A872,'Bank Lines'!$J$5:$J$1640,1,'Bank Lines'!$C$5:$C$1640,"&lt;="&amp;Cover!$C$15)</f>
        <v>1</v>
      </c>
      <c r="AB872">
        <f>COUNTIFS('Odoo Items'!$J$5:$J$4331,A872,'Odoo Items'!$C$5:$C$4331,"&lt;="&amp;Cover!$C$15)</f>
        <v>1</v>
      </c>
      <c r="AC872" t="str">
        <f>IF(AND(AA872=0,AB872=0),"",IF(AA872=0,"ODOO-ONLY",IF(AB872=0,"BANK-ONLY","BOTH")))</f>
        <v>BOTH</v>
      </c>
      <c r="AD872" s="9">
        <f>IF(AC872="BOTH",ROUND(Y872-Z872,2),0)</f>
        <v>0</v>
      </c>
    </row>
    <row r="873">
      <c r="A873" t="inlineStr">
        <is>
          <t>G00869</t>
        </is>
      </c>
      <c r="B873" t="inlineStr">
        <is>
          <t>MER</t>
        </is>
      </c>
      <c r="C873" t="inlineStr">
        <is>
          <t>R08</t>
        </is>
      </c>
      <c r="D873" t="inlineStr">
        <is>
          <t>MATCH</t>
        </is>
      </c>
      <c r="E873" t="inlineStr"/>
      <c r="G873" t="inlineStr"/>
      <c r="H873">
        <f>COUNTIFS('Bank Lines'!$G$5:$G$1640,A873,'Bank Lines'!$J$5:$J$1640,1)</f>
        <v>1</v>
      </c>
      <c r="I873">
        <f>COUNTIFS('Odoo Items'!$J$5:$J$4331,A873)</f>
        <v>1</v>
      </c>
      <c r="J873" s="9">
        <f>ROUND(SUMIFS('Bank Lines'!$E$5:$E$1640,'Bank Lines'!$G$5:$G$1640,A873,'Bank Lines'!$J$5:$J$1640,1),2)</f>
        <v>3519.25</v>
      </c>
      <c r="K873" s="9">
        <f>ROUND(SUMIFS('Odoo Items'!$G$5:$G$4331,'Odoo Items'!$J$5:$J$4331,A873),2)</f>
        <v>3519.25</v>
      </c>
      <c r="L873" s="9">
        <f>ROUND(J873-K873,2)</f>
        <v>0</v>
      </c>
      <c r="M873" s="9">
        <f>ROUND(SUMIFS('Bank Lines'!$E$5:$E$1640,'Bank Lines'!$G$5:$G$1640,A873,'Bank Lines'!$J$5:$J$1640,1,'Bank Lines'!$C$5:$C$1640,"&lt;="&amp;Cover!$C$13),2)</f>
        <v>0</v>
      </c>
      <c r="N873" s="9">
        <f>ROUND(SUMIFS('Odoo Items'!$G$5:$G$4331,'Odoo Items'!$J$5:$J$4331,A873,'Odoo Items'!$C$5:$C$4331,"&lt;="&amp;Cover!$C$13),2)</f>
        <v>0</v>
      </c>
      <c r="O873">
        <f>COUNTIFS('Bank Lines'!$G$5:$G$1640,A873,'Bank Lines'!$J$5:$J$1640,1,'Bank Lines'!$C$5:$C$1640,"&lt;="&amp;Cover!$C$13)</f>
        <v>0</v>
      </c>
      <c r="P873">
        <f>COUNTIFS('Odoo Items'!$J$5:$J$4331,A873,'Odoo Items'!$C$5:$C$4331,"&lt;="&amp;Cover!$C$13)</f>
        <v>0</v>
      </c>
      <c r="Q873">
        <f>IF(AND(O873=0,P873=0),"",IF(O873=0,"ODOO-ONLY",IF(P873=0,"BANK-ONLY","BOTH")))</f>
      </c>
      <c r="R873" s="9">
        <f>IF(Q873="BOTH",ROUND(M873-N873,2),0)</f>
        <v>0</v>
      </c>
      <c r="S873" s="9">
        <f>ROUND(SUMIFS('Bank Lines'!$E$5:$E$1640,'Bank Lines'!$G$5:$G$1640,A873,'Bank Lines'!$J$5:$J$1640,1,'Bank Lines'!$C$5:$C$1640,"&lt;="&amp;Cover!$C$14),2)</f>
        <v>0</v>
      </c>
      <c r="T873" s="9">
        <f>ROUND(SUMIFS('Odoo Items'!$G$5:$G$4331,'Odoo Items'!$J$5:$J$4331,A873,'Odoo Items'!$C$5:$C$4331,"&lt;="&amp;Cover!$C$14),2)</f>
        <v>0</v>
      </c>
      <c r="U873">
        <f>COUNTIFS('Bank Lines'!$G$5:$G$1640,A873,'Bank Lines'!$J$5:$J$1640,1,'Bank Lines'!$C$5:$C$1640,"&lt;="&amp;Cover!$C$14)</f>
        <v>0</v>
      </c>
      <c r="V873">
        <f>COUNTIFS('Odoo Items'!$J$5:$J$4331,A873,'Odoo Items'!$C$5:$C$4331,"&lt;="&amp;Cover!$C$14)</f>
        <v>0</v>
      </c>
      <c r="W873">
        <f>IF(AND(U873=0,V873=0),"",IF(U873=0,"ODOO-ONLY",IF(V873=0,"BANK-ONLY","BOTH")))</f>
      </c>
      <c r="X873" s="9">
        <f>IF(W873="BOTH",ROUND(S873-T873,2),0)</f>
        <v>0</v>
      </c>
      <c r="Y873" s="9">
        <f>ROUND(SUMIFS('Bank Lines'!$E$5:$E$1640,'Bank Lines'!$G$5:$G$1640,A873,'Bank Lines'!$J$5:$J$1640,1,'Bank Lines'!$C$5:$C$1640,"&lt;="&amp;Cover!$C$15),2)</f>
        <v>3519.25</v>
      </c>
      <c r="Z873" s="9">
        <f>ROUND(SUMIFS('Odoo Items'!$G$5:$G$4331,'Odoo Items'!$J$5:$J$4331,A873,'Odoo Items'!$C$5:$C$4331,"&lt;="&amp;Cover!$C$15),2)</f>
        <v>3519.25</v>
      </c>
      <c r="AA873">
        <f>COUNTIFS('Bank Lines'!$G$5:$G$1640,A873,'Bank Lines'!$J$5:$J$1640,1,'Bank Lines'!$C$5:$C$1640,"&lt;="&amp;Cover!$C$15)</f>
        <v>1</v>
      </c>
      <c r="AB873">
        <f>COUNTIFS('Odoo Items'!$J$5:$J$4331,A873,'Odoo Items'!$C$5:$C$4331,"&lt;="&amp;Cover!$C$15)</f>
        <v>1</v>
      </c>
      <c r="AC873" t="str">
        <f>IF(AND(AA873=0,AB873=0),"",IF(AA873=0,"ODOO-ONLY",IF(AB873=0,"BANK-ONLY","BOTH")))</f>
        <v>BOTH</v>
      </c>
      <c r="AD873" s="9">
        <f>IF(AC873="BOTH",ROUND(Y873-Z873,2),0)</f>
        <v>0</v>
      </c>
    </row>
    <row r="874">
      <c r="A874" t="inlineStr">
        <is>
          <t>G00870</t>
        </is>
      </c>
      <c r="B874" t="inlineStr">
        <is>
          <t>MER</t>
        </is>
      </c>
      <c r="C874" t="inlineStr">
        <is>
          <t>R08</t>
        </is>
      </c>
      <c r="D874" t="inlineStr">
        <is>
          <t>MATCH</t>
        </is>
      </c>
      <c r="E874" t="inlineStr"/>
      <c r="G874" t="inlineStr"/>
      <c r="H874">
        <f>COUNTIFS('Bank Lines'!$G$5:$G$1640,A874,'Bank Lines'!$J$5:$J$1640,1)</f>
        <v>1</v>
      </c>
      <c r="I874">
        <f>COUNTIFS('Odoo Items'!$J$5:$J$4331,A874)</f>
        <v>1</v>
      </c>
      <c r="J874" s="9">
        <f>ROUND(SUMIFS('Bank Lines'!$E$5:$E$1640,'Bank Lines'!$G$5:$G$1640,A874,'Bank Lines'!$J$5:$J$1640,1),2)</f>
        <v>3495.79</v>
      </c>
      <c r="K874" s="9">
        <f>ROUND(SUMIFS('Odoo Items'!$G$5:$G$4331,'Odoo Items'!$J$5:$J$4331,A874),2)</f>
        <v>3495.79</v>
      </c>
      <c r="L874" s="9">
        <f>ROUND(J874-K874,2)</f>
        <v>0</v>
      </c>
      <c r="M874" s="9">
        <f>ROUND(SUMIFS('Bank Lines'!$E$5:$E$1640,'Bank Lines'!$G$5:$G$1640,A874,'Bank Lines'!$J$5:$J$1640,1,'Bank Lines'!$C$5:$C$1640,"&lt;="&amp;Cover!$C$13),2)</f>
        <v>0</v>
      </c>
      <c r="N874" s="9">
        <f>ROUND(SUMIFS('Odoo Items'!$G$5:$G$4331,'Odoo Items'!$J$5:$J$4331,A874,'Odoo Items'!$C$5:$C$4331,"&lt;="&amp;Cover!$C$13),2)</f>
        <v>0</v>
      </c>
      <c r="O874">
        <f>COUNTIFS('Bank Lines'!$G$5:$G$1640,A874,'Bank Lines'!$J$5:$J$1640,1,'Bank Lines'!$C$5:$C$1640,"&lt;="&amp;Cover!$C$13)</f>
        <v>0</v>
      </c>
      <c r="P874">
        <f>COUNTIFS('Odoo Items'!$J$5:$J$4331,A874,'Odoo Items'!$C$5:$C$4331,"&lt;="&amp;Cover!$C$13)</f>
        <v>0</v>
      </c>
      <c r="Q874">
        <f>IF(AND(O874=0,P874=0),"",IF(O874=0,"ODOO-ONLY",IF(P874=0,"BANK-ONLY","BOTH")))</f>
      </c>
      <c r="R874" s="9">
        <f>IF(Q874="BOTH",ROUND(M874-N874,2),0)</f>
        <v>0</v>
      </c>
      <c r="S874" s="9">
        <f>ROUND(SUMIFS('Bank Lines'!$E$5:$E$1640,'Bank Lines'!$G$5:$G$1640,A874,'Bank Lines'!$J$5:$J$1640,1,'Bank Lines'!$C$5:$C$1640,"&lt;="&amp;Cover!$C$14),2)</f>
        <v>0</v>
      </c>
      <c r="T874" s="9">
        <f>ROUND(SUMIFS('Odoo Items'!$G$5:$G$4331,'Odoo Items'!$J$5:$J$4331,A874,'Odoo Items'!$C$5:$C$4331,"&lt;="&amp;Cover!$C$14),2)</f>
        <v>0</v>
      </c>
      <c r="U874">
        <f>COUNTIFS('Bank Lines'!$G$5:$G$1640,A874,'Bank Lines'!$J$5:$J$1640,1,'Bank Lines'!$C$5:$C$1640,"&lt;="&amp;Cover!$C$14)</f>
        <v>0</v>
      </c>
      <c r="V874">
        <f>COUNTIFS('Odoo Items'!$J$5:$J$4331,A874,'Odoo Items'!$C$5:$C$4331,"&lt;="&amp;Cover!$C$14)</f>
        <v>0</v>
      </c>
      <c r="W874">
        <f>IF(AND(U874=0,V874=0),"",IF(U874=0,"ODOO-ONLY",IF(V874=0,"BANK-ONLY","BOTH")))</f>
      </c>
      <c r="X874" s="9">
        <f>IF(W874="BOTH",ROUND(S874-T874,2),0)</f>
        <v>0</v>
      </c>
      <c r="Y874" s="9">
        <f>ROUND(SUMIFS('Bank Lines'!$E$5:$E$1640,'Bank Lines'!$G$5:$G$1640,A874,'Bank Lines'!$J$5:$J$1640,1,'Bank Lines'!$C$5:$C$1640,"&lt;="&amp;Cover!$C$15),2)</f>
        <v>3495.79</v>
      </c>
      <c r="Z874" s="9">
        <f>ROUND(SUMIFS('Odoo Items'!$G$5:$G$4331,'Odoo Items'!$J$5:$J$4331,A874,'Odoo Items'!$C$5:$C$4331,"&lt;="&amp;Cover!$C$15),2)</f>
        <v>3495.79</v>
      </c>
      <c r="AA874">
        <f>COUNTIFS('Bank Lines'!$G$5:$G$1640,A874,'Bank Lines'!$J$5:$J$1640,1,'Bank Lines'!$C$5:$C$1640,"&lt;="&amp;Cover!$C$15)</f>
        <v>1</v>
      </c>
      <c r="AB874">
        <f>COUNTIFS('Odoo Items'!$J$5:$J$4331,A874,'Odoo Items'!$C$5:$C$4331,"&lt;="&amp;Cover!$C$15)</f>
        <v>1</v>
      </c>
      <c r="AC874" t="str">
        <f>IF(AND(AA874=0,AB874=0),"",IF(AA874=0,"ODOO-ONLY",IF(AB874=0,"BANK-ONLY","BOTH")))</f>
        <v>BOTH</v>
      </c>
      <c r="AD874" s="9">
        <f>IF(AC874="BOTH",ROUND(Y874-Z874,2),0)</f>
        <v>0</v>
      </c>
    </row>
    <row r="875">
      <c r="A875" t="inlineStr">
        <is>
          <t>G00871</t>
        </is>
      </c>
      <c r="B875" t="inlineStr">
        <is>
          <t>MER</t>
        </is>
      </c>
      <c r="C875" t="inlineStr">
        <is>
          <t>R08</t>
        </is>
      </c>
      <c r="D875" t="inlineStr">
        <is>
          <t>MATCH</t>
        </is>
      </c>
      <c r="E875" t="inlineStr"/>
      <c r="G875" t="inlineStr"/>
      <c r="H875">
        <f>COUNTIFS('Bank Lines'!$G$5:$G$1640,A875,'Bank Lines'!$J$5:$J$1640,1)</f>
        <v>1</v>
      </c>
      <c r="I875">
        <f>COUNTIFS('Odoo Items'!$J$5:$J$4331,A875)</f>
        <v>1</v>
      </c>
      <c r="J875" s="9">
        <f>ROUND(SUMIFS('Bank Lines'!$E$5:$E$1640,'Bank Lines'!$G$5:$G$1640,A875,'Bank Lines'!$J$5:$J$1640,1),2)</f>
        <v>1223.62</v>
      </c>
      <c r="K875" s="9">
        <f>ROUND(SUMIFS('Odoo Items'!$G$5:$G$4331,'Odoo Items'!$J$5:$J$4331,A875),2)</f>
        <v>1223.62</v>
      </c>
      <c r="L875" s="9">
        <f>ROUND(J875-K875,2)</f>
        <v>0</v>
      </c>
      <c r="M875" s="9">
        <f>ROUND(SUMIFS('Bank Lines'!$E$5:$E$1640,'Bank Lines'!$G$5:$G$1640,A875,'Bank Lines'!$J$5:$J$1640,1,'Bank Lines'!$C$5:$C$1640,"&lt;="&amp;Cover!$C$13),2)</f>
        <v>0</v>
      </c>
      <c r="N875" s="9">
        <f>ROUND(SUMIFS('Odoo Items'!$G$5:$G$4331,'Odoo Items'!$J$5:$J$4331,A875,'Odoo Items'!$C$5:$C$4331,"&lt;="&amp;Cover!$C$13),2)</f>
        <v>0</v>
      </c>
      <c r="O875">
        <f>COUNTIFS('Bank Lines'!$G$5:$G$1640,A875,'Bank Lines'!$J$5:$J$1640,1,'Bank Lines'!$C$5:$C$1640,"&lt;="&amp;Cover!$C$13)</f>
        <v>0</v>
      </c>
      <c r="P875">
        <f>COUNTIFS('Odoo Items'!$J$5:$J$4331,A875,'Odoo Items'!$C$5:$C$4331,"&lt;="&amp;Cover!$C$13)</f>
        <v>0</v>
      </c>
      <c r="Q875">
        <f>IF(AND(O875=0,P875=0),"",IF(O875=0,"ODOO-ONLY",IF(P875=0,"BANK-ONLY","BOTH")))</f>
      </c>
      <c r="R875" s="9">
        <f>IF(Q875="BOTH",ROUND(M875-N875,2),0)</f>
        <v>0</v>
      </c>
      <c r="S875" s="9">
        <f>ROUND(SUMIFS('Bank Lines'!$E$5:$E$1640,'Bank Lines'!$G$5:$G$1640,A875,'Bank Lines'!$J$5:$J$1640,1,'Bank Lines'!$C$5:$C$1640,"&lt;="&amp;Cover!$C$14),2)</f>
        <v>0</v>
      </c>
      <c r="T875" s="9">
        <f>ROUND(SUMIFS('Odoo Items'!$G$5:$G$4331,'Odoo Items'!$J$5:$J$4331,A875,'Odoo Items'!$C$5:$C$4331,"&lt;="&amp;Cover!$C$14),2)</f>
        <v>0</v>
      </c>
      <c r="U875">
        <f>COUNTIFS('Bank Lines'!$G$5:$G$1640,A875,'Bank Lines'!$J$5:$J$1640,1,'Bank Lines'!$C$5:$C$1640,"&lt;="&amp;Cover!$C$14)</f>
        <v>0</v>
      </c>
      <c r="V875">
        <f>COUNTIFS('Odoo Items'!$J$5:$J$4331,A875,'Odoo Items'!$C$5:$C$4331,"&lt;="&amp;Cover!$C$14)</f>
        <v>0</v>
      </c>
      <c r="W875">
        <f>IF(AND(U875=0,V875=0),"",IF(U875=0,"ODOO-ONLY",IF(V875=0,"BANK-ONLY","BOTH")))</f>
      </c>
      <c r="X875" s="9">
        <f>IF(W875="BOTH",ROUND(S875-T875,2),0)</f>
        <v>0</v>
      </c>
      <c r="Y875" s="9">
        <f>ROUND(SUMIFS('Bank Lines'!$E$5:$E$1640,'Bank Lines'!$G$5:$G$1640,A875,'Bank Lines'!$J$5:$J$1640,1,'Bank Lines'!$C$5:$C$1640,"&lt;="&amp;Cover!$C$15),2)</f>
        <v>1223.62</v>
      </c>
      <c r="Z875" s="9">
        <f>ROUND(SUMIFS('Odoo Items'!$G$5:$G$4331,'Odoo Items'!$J$5:$J$4331,A875,'Odoo Items'!$C$5:$C$4331,"&lt;="&amp;Cover!$C$15),2)</f>
        <v>1223.62</v>
      </c>
      <c r="AA875">
        <f>COUNTIFS('Bank Lines'!$G$5:$G$1640,A875,'Bank Lines'!$J$5:$J$1640,1,'Bank Lines'!$C$5:$C$1640,"&lt;="&amp;Cover!$C$15)</f>
        <v>1</v>
      </c>
      <c r="AB875">
        <f>COUNTIFS('Odoo Items'!$J$5:$J$4331,A875,'Odoo Items'!$C$5:$C$4331,"&lt;="&amp;Cover!$C$15)</f>
        <v>1</v>
      </c>
      <c r="AC875" t="str">
        <f>IF(AND(AA875=0,AB875=0),"",IF(AA875=0,"ODOO-ONLY",IF(AB875=0,"BANK-ONLY","BOTH")))</f>
        <v>BOTH</v>
      </c>
      <c r="AD875" s="9">
        <f>IF(AC875="BOTH",ROUND(Y875-Z875,2),0)</f>
        <v>0</v>
      </c>
    </row>
    <row r="876">
      <c r="A876" t="inlineStr">
        <is>
          <t>G00872</t>
        </is>
      </c>
      <c r="B876" t="inlineStr">
        <is>
          <t>MER</t>
        </is>
      </c>
      <c r="C876" t="inlineStr">
        <is>
          <t>R08</t>
        </is>
      </c>
      <c r="D876" t="inlineStr">
        <is>
          <t>MATCH</t>
        </is>
      </c>
      <c r="E876" t="inlineStr"/>
      <c r="G876" t="inlineStr"/>
      <c r="H876">
        <f>COUNTIFS('Bank Lines'!$G$5:$G$1640,A876,'Bank Lines'!$J$5:$J$1640,1)</f>
        <v>1</v>
      </c>
      <c r="I876">
        <f>COUNTIFS('Odoo Items'!$J$5:$J$4331,A876)</f>
        <v>1</v>
      </c>
      <c r="J876" s="9">
        <f>ROUND(SUMIFS('Bank Lines'!$E$5:$E$1640,'Bank Lines'!$G$5:$G$1640,A876,'Bank Lines'!$J$5:$J$1640,1),2)</f>
        <v>2755.46</v>
      </c>
      <c r="K876" s="9">
        <f>ROUND(SUMIFS('Odoo Items'!$G$5:$G$4331,'Odoo Items'!$J$5:$J$4331,A876),2)</f>
        <v>2755.46</v>
      </c>
      <c r="L876" s="9">
        <f>ROUND(J876-K876,2)</f>
        <v>0</v>
      </c>
      <c r="M876" s="9">
        <f>ROUND(SUMIFS('Bank Lines'!$E$5:$E$1640,'Bank Lines'!$G$5:$G$1640,A876,'Bank Lines'!$J$5:$J$1640,1,'Bank Lines'!$C$5:$C$1640,"&lt;="&amp;Cover!$C$13),2)</f>
        <v>0</v>
      </c>
      <c r="N876" s="9">
        <f>ROUND(SUMIFS('Odoo Items'!$G$5:$G$4331,'Odoo Items'!$J$5:$J$4331,A876,'Odoo Items'!$C$5:$C$4331,"&lt;="&amp;Cover!$C$13),2)</f>
        <v>0</v>
      </c>
      <c r="O876">
        <f>COUNTIFS('Bank Lines'!$G$5:$G$1640,A876,'Bank Lines'!$J$5:$J$1640,1,'Bank Lines'!$C$5:$C$1640,"&lt;="&amp;Cover!$C$13)</f>
        <v>0</v>
      </c>
      <c r="P876">
        <f>COUNTIFS('Odoo Items'!$J$5:$J$4331,A876,'Odoo Items'!$C$5:$C$4331,"&lt;="&amp;Cover!$C$13)</f>
        <v>0</v>
      </c>
      <c r="Q876">
        <f>IF(AND(O876=0,P876=0),"",IF(O876=0,"ODOO-ONLY",IF(P876=0,"BANK-ONLY","BOTH")))</f>
      </c>
      <c r="R876" s="9">
        <f>IF(Q876="BOTH",ROUND(M876-N876,2),0)</f>
        <v>0</v>
      </c>
      <c r="S876" s="9">
        <f>ROUND(SUMIFS('Bank Lines'!$E$5:$E$1640,'Bank Lines'!$G$5:$G$1640,A876,'Bank Lines'!$J$5:$J$1640,1,'Bank Lines'!$C$5:$C$1640,"&lt;="&amp;Cover!$C$14),2)</f>
        <v>0</v>
      </c>
      <c r="T876" s="9">
        <f>ROUND(SUMIFS('Odoo Items'!$G$5:$G$4331,'Odoo Items'!$J$5:$J$4331,A876,'Odoo Items'!$C$5:$C$4331,"&lt;="&amp;Cover!$C$14),2)</f>
        <v>0</v>
      </c>
      <c r="U876">
        <f>COUNTIFS('Bank Lines'!$G$5:$G$1640,A876,'Bank Lines'!$J$5:$J$1640,1,'Bank Lines'!$C$5:$C$1640,"&lt;="&amp;Cover!$C$14)</f>
        <v>0</v>
      </c>
      <c r="V876">
        <f>COUNTIFS('Odoo Items'!$J$5:$J$4331,A876,'Odoo Items'!$C$5:$C$4331,"&lt;="&amp;Cover!$C$14)</f>
        <v>0</v>
      </c>
      <c r="W876">
        <f>IF(AND(U876=0,V876=0),"",IF(U876=0,"ODOO-ONLY",IF(V876=0,"BANK-ONLY","BOTH")))</f>
      </c>
      <c r="X876" s="9">
        <f>IF(W876="BOTH",ROUND(S876-T876,2),0)</f>
        <v>0</v>
      </c>
      <c r="Y876" s="9">
        <f>ROUND(SUMIFS('Bank Lines'!$E$5:$E$1640,'Bank Lines'!$G$5:$G$1640,A876,'Bank Lines'!$J$5:$J$1640,1,'Bank Lines'!$C$5:$C$1640,"&lt;="&amp;Cover!$C$15),2)</f>
        <v>2755.46</v>
      </c>
      <c r="Z876" s="9">
        <f>ROUND(SUMIFS('Odoo Items'!$G$5:$G$4331,'Odoo Items'!$J$5:$J$4331,A876,'Odoo Items'!$C$5:$C$4331,"&lt;="&amp;Cover!$C$15),2)</f>
        <v>2755.46</v>
      </c>
      <c r="AA876">
        <f>COUNTIFS('Bank Lines'!$G$5:$G$1640,A876,'Bank Lines'!$J$5:$J$1640,1,'Bank Lines'!$C$5:$C$1640,"&lt;="&amp;Cover!$C$15)</f>
        <v>1</v>
      </c>
      <c r="AB876">
        <f>COUNTIFS('Odoo Items'!$J$5:$J$4331,A876,'Odoo Items'!$C$5:$C$4331,"&lt;="&amp;Cover!$C$15)</f>
        <v>1</v>
      </c>
      <c r="AC876" t="str">
        <f>IF(AND(AA876=0,AB876=0),"",IF(AA876=0,"ODOO-ONLY",IF(AB876=0,"BANK-ONLY","BOTH")))</f>
        <v>BOTH</v>
      </c>
      <c r="AD876" s="9">
        <f>IF(AC876="BOTH",ROUND(Y876-Z876,2),0)</f>
        <v>0</v>
      </c>
    </row>
    <row r="877">
      <c r="A877" t="inlineStr">
        <is>
          <t>G00873</t>
        </is>
      </c>
      <c r="B877" t="inlineStr">
        <is>
          <t>MER</t>
        </is>
      </c>
      <c r="C877" t="inlineStr">
        <is>
          <t>R08</t>
        </is>
      </c>
      <c r="D877" t="inlineStr">
        <is>
          <t>MATCH</t>
        </is>
      </c>
      <c r="E877" t="inlineStr"/>
      <c r="G877" t="inlineStr"/>
      <c r="H877">
        <f>COUNTIFS('Bank Lines'!$G$5:$G$1640,A877,'Bank Lines'!$J$5:$J$1640,1)</f>
        <v>1</v>
      </c>
      <c r="I877">
        <f>COUNTIFS('Odoo Items'!$J$5:$J$4331,A877)</f>
        <v>1</v>
      </c>
      <c r="J877" s="9">
        <f>ROUND(SUMIFS('Bank Lines'!$E$5:$E$1640,'Bank Lines'!$G$5:$G$1640,A877,'Bank Lines'!$J$5:$J$1640,1),2)</f>
        <v>2923.81</v>
      </c>
      <c r="K877" s="9">
        <f>ROUND(SUMIFS('Odoo Items'!$G$5:$G$4331,'Odoo Items'!$J$5:$J$4331,A877),2)</f>
        <v>2923.81</v>
      </c>
      <c r="L877" s="9">
        <f>ROUND(J877-K877,2)</f>
        <v>0</v>
      </c>
      <c r="M877" s="9">
        <f>ROUND(SUMIFS('Bank Lines'!$E$5:$E$1640,'Bank Lines'!$G$5:$G$1640,A877,'Bank Lines'!$J$5:$J$1640,1,'Bank Lines'!$C$5:$C$1640,"&lt;="&amp;Cover!$C$13),2)</f>
        <v>0</v>
      </c>
      <c r="N877" s="9">
        <f>ROUND(SUMIFS('Odoo Items'!$G$5:$G$4331,'Odoo Items'!$J$5:$J$4331,A877,'Odoo Items'!$C$5:$C$4331,"&lt;="&amp;Cover!$C$13),2)</f>
        <v>0</v>
      </c>
      <c r="O877">
        <f>COUNTIFS('Bank Lines'!$G$5:$G$1640,A877,'Bank Lines'!$J$5:$J$1640,1,'Bank Lines'!$C$5:$C$1640,"&lt;="&amp;Cover!$C$13)</f>
        <v>0</v>
      </c>
      <c r="P877">
        <f>COUNTIFS('Odoo Items'!$J$5:$J$4331,A877,'Odoo Items'!$C$5:$C$4331,"&lt;="&amp;Cover!$C$13)</f>
        <v>0</v>
      </c>
      <c r="Q877">
        <f>IF(AND(O877=0,P877=0),"",IF(O877=0,"ODOO-ONLY",IF(P877=0,"BANK-ONLY","BOTH")))</f>
      </c>
      <c r="R877" s="9">
        <f>IF(Q877="BOTH",ROUND(M877-N877,2),0)</f>
        <v>0</v>
      </c>
      <c r="S877" s="9">
        <f>ROUND(SUMIFS('Bank Lines'!$E$5:$E$1640,'Bank Lines'!$G$5:$G$1640,A877,'Bank Lines'!$J$5:$J$1640,1,'Bank Lines'!$C$5:$C$1640,"&lt;="&amp;Cover!$C$14),2)</f>
        <v>0</v>
      </c>
      <c r="T877" s="9">
        <f>ROUND(SUMIFS('Odoo Items'!$G$5:$G$4331,'Odoo Items'!$J$5:$J$4331,A877,'Odoo Items'!$C$5:$C$4331,"&lt;="&amp;Cover!$C$14),2)</f>
        <v>0</v>
      </c>
      <c r="U877">
        <f>COUNTIFS('Bank Lines'!$G$5:$G$1640,A877,'Bank Lines'!$J$5:$J$1640,1,'Bank Lines'!$C$5:$C$1640,"&lt;="&amp;Cover!$C$14)</f>
        <v>0</v>
      </c>
      <c r="V877">
        <f>COUNTIFS('Odoo Items'!$J$5:$J$4331,A877,'Odoo Items'!$C$5:$C$4331,"&lt;="&amp;Cover!$C$14)</f>
        <v>0</v>
      </c>
      <c r="W877">
        <f>IF(AND(U877=0,V877=0),"",IF(U877=0,"ODOO-ONLY",IF(V877=0,"BANK-ONLY","BOTH")))</f>
      </c>
      <c r="X877" s="9">
        <f>IF(W877="BOTH",ROUND(S877-T877,2),0)</f>
        <v>0</v>
      </c>
      <c r="Y877" s="9">
        <f>ROUND(SUMIFS('Bank Lines'!$E$5:$E$1640,'Bank Lines'!$G$5:$G$1640,A877,'Bank Lines'!$J$5:$J$1640,1,'Bank Lines'!$C$5:$C$1640,"&lt;="&amp;Cover!$C$15),2)</f>
        <v>2923.81</v>
      </c>
      <c r="Z877" s="9">
        <f>ROUND(SUMIFS('Odoo Items'!$G$5:$G$4331,'Odoo Items'!$J$5:$J$4331,A877,'Odoo Items'!$C$5:$C$4331,"&lt;="&amp;Cover!$C$15),2)</f>
        <v>2923.81</v>
      </c>
      <c r="AA877">
        <f>COUNTIFS('Bank Lines'!$G$5:$G$1640,A877,'Bank Lines'!$J$5:$J$1640,1,'Bank Lines'!$C$5:$C$1640,"&lt;="&amp;Cover!$C$15)</f>
        <v>1</v>
      </c>
      <c r="AB877">
        <f>COUNTIFS('Odoo Items'!$J$5:$J$4331,A877,'Odoo Items'!$C$5:$C$4331,"&lt;="&amp;Cover!$C$15)</f>
        <v>1</v>
      </c>
      <c r="AC877" t="str">
        <f>IF(AND(AA877=0,AB877=0),"",IF(AA877=0,"ODOO-ONLY",IF(AB877=0,"BANK-ONLY","BOTH")))</f>
        <v>BOTH</v>
      </c>
      <c r="AD877" s="9">
        <f>IF(AC877="BOTH",ROUND(Y877-Z877,2),0)</f>
        <v>0</v>
      </c>
    </row>
    <row r="878">
      <c r="A878" t="inlineStr">
        <is>
          <t>G00874</t>
        </is>
      </c>
      <c r="B878" t="inlineStr">
        <is>
          <t>MER</t>
        </is>
      </c>
      <c r="C878" t="inlineStr">
        <is>
          <t>R08</t>
        </is>
      </c>
      <c r="D878" t="inlineStr">
        <is>
          <t>MATCH</t>
        </is>
      </c>
      <c r="E878" t="inlineStr"/>
      <c r="G878" t="inlineStr"/>
      <c r="H878">
        <f>COUNTIFS('Bank Lines'!$G$5:$G$1640,A878,'Bank Lines'!$J$5:$J$1640,1)</f>
        <v>1</v>
      </c>
      <c r="I878">
        <f>COUNTIFS('Odoo Items'!$J$5:$J$4331,A878)</f>
        <v>1</v>
      </c>
      <c r="J878" s="9">
        <f>ROUND(SUMIFS('Bank Lines'!$E$5:$E$1640,'Bank Lines'!$G$5:$G$1640,A878,'Bank Lines'!$J$5:$J$1640,1),2)</f>
        <v>2859.66</v>
      </c>
      <c r="K878" s="9">
        <f>ROUND(SUMIFS('Odoo Items'!$G$5:$G$4331,'Odoo Items'!$J$5:$J$4331,A878),2)</f>
        <v>2859.66</v>
      </c>
      <c r="L878" s="9">
        <f>ROUND(J878-K878,2)</f>
        <v>0</v>
      </c>
      <c r="M878" s="9">
        <f>ROUND(SUMIFS('Bank Lines'!$E$5:$E$1640,'Bank Lines'!$G$5:$G$1640,A878,'Bank Lines'!$J$5:$J$1640,1,'Bank Lines'!$C$5:$C$1640,"&lt;="&amp;Cover!$C$13),2)</f>
        <v>0</v>
      </c>
      <c r="N878" s="9">
        <f>ROUND(SUMIFS('Odoo Items'!$G$5:$G$4331,'Odoo Items'!$J$5:$J$4331,A878,'Odoo Items'!$C$5:$C$4331,"&lt;="&amp;Cover!$C$13),2)</f>
        <v>0</v>
      </c>
      <c r="O878">
        <f>COUNTIFS('Bank Lines'!$G$5:$G$1640,A878,'Bank Lines'!$J$5:$J$1640,1,'Bank Lines'!$C$5:$C$1640,"&lt;="&amp;Cover!$C$13)</f>
        <v>0</v>
      </c>
      <c r="P878">
        <f>COUNTIFS('Odoo Items'!$J$5:$J$4331,A878,'Odoo Items'!$C$5:$C$4331,"&lt;="&amp;Cover!$C$13)</f>
        <v>0</v>
      </c>
      <c r="Q878">
        <f>IF(AND(O878=0,P878=0),"",IF(O878=0,"ODOO-ONLY",IF(P878=0,"BANK-ONLY","BOTH")))</f>
      </c>
      <c r="R878" s="9">
        <f>IF(Q878="BOTH",ROUND(M878-N878,2),0)</f>
        <v>0</v>
      </c>
      <c r="S878" s="9">
        <f>ROUND(SUMIFS('Bank Lines'!$E$5:$E$1640,'Bank Lines'!$G$5:$G$1640,A878,'Bank Lines'!$J$5:$J$1640,1,'Bank Lines'!$C$5:$C$1640,"&lt;="&amp;Cover!$C$14),2)</f>
        <v>0</v>
      </c>
      <c r="T878" s="9">
        <f>ROUND(SUMIFS('Odoo Items'!$G$5:$G$4331,'Odoo Items'!$J$5:$J$4331,A878,'Odoo Items'!$C$5:$C$4331,"&lt;="&amp;Cover!$C$14),2)</f>
        <v>0</v>
      </c>
      <c r="U878">
        <f>COUNTIFS('Bank Lines'!$G$5:$G$1640,A878,'Bank Lines'!$J$5:$J$1640,1,'Bank Lines'!$C$5:$C$1640,"&lt;="&amp;Cover!$C$14)</f>
        <v>0</v>
      </c>
      <c r="V878">
        <f>COUNTIFS('Odoo Items'!$J$5:$J$4331,A878,'Odoo Items'!$C$5:$C$4331,"&lt;="&amp;Cover!$C$14)</f>
        <v>0</v>
      </c>
      <c r="W878">
        <f>IF(AND(U878=0,V878=0),"",IF(U878=0,"ODOO-ONLY",IF(V878=0,"BANK-ONLY","BOTH")))</f>
      </c>
      <c r="X878" s="9">
        <f>IF(W878="BOTH",ROUND(S878-T878,2),0)</f>
        <v>0</v>
      </c>
      <c r="Y878" s="9">
        <f>ROUND(SUMIFS('Bank Lines'!$E$5:$E$1640,'Bank Lines'!$G$5:$G$1640,A878,'Bank Lines'!$J$5:$J$1640,1,'Bank Lines'!$C$5:$C$1640,"&lt;="&amp;Cover!$C$15),2)</f>
        <v>2859.66</v>
      </c>
      <c r="Z878" s="9">
        <f>ROUND(SUMIFS('Odoo Items'!$G$5:$G$4331,'Odoo Items'!$J$5:$J$4331,A878,'Odoo Items'!$C$5:$C$4331,"&lt;="&amp;Cover!$C$15),2)</f>
        <v>2859.66</v>
      </c>
      <c r="AA878">
        <f>COUNTIFS('Bank Lines'!$G$5:$G$1640,A878,'Bank Lines'!$J$5:$J$1640,1,'Bank Lines'!$C$5:$C$1640,"&lt;="&amp;Cover!$C$15)</f>
        <v>1</v>
      </c>
      <c r="AB878">
        <f>COUNTIFS('Odoo Items'!$J$5:$J$4331,A878,'Odoo Items'!$C$5:$C$4331,"&lt;="&amp;Cover!$C$15)</f>
        <v>1</v>
      </c>
      <c r="AC878" t="str">
        <f>IF(AND(AA878=0,AB878=0),"",IF(AA878=0,"ODOO-ONLY",IF(AB878=0,"BANK-ONLY","BOTH")))</f>
        <v>BOTH</v>
      </c>
      <c r="AD878" s="9">
        <f>IF(AC878="BOTH",ROUND(Y878-Z878,2),0)</f>
        <v>0</v>
      </c>
    </row>
    <row r="879">
      <c r="A879" t="inlineStr">
        <is>
          <t>G00875</t>
        </is>
      </c>
      <c r="B879" t="inlineStr">
        <is>
          <t>MER</t>
        </is>
      </c>
      <c r="C879" t="inlineStr">
        <is>
          <t>R08</t>
        </is>
      </c>
      <c r="D879" t="inlineStr">
        <is>
          <t>MATCH</t>
        </is>
      </c>
      <c r="E879" t="inlineStr"/>
      <c r="G879" t="inlineStr"/>
      <c r="H879">
        <f>COUNTIFS('Bank Lines'!$G$5:$G$1640,A879,'Bank Lines'!$J$5:$J$1640,1)</f>
        <v>1</v>
      </c>
      <c r="I879">
        <f>COUNTIFS('Odoo Items'!$J$5:$J$4331,A879)</f>
        <v>1</v>
      </c>
      <c r="J879" s="9">
        <f>ROUND(SUMIFS('Bank Lines'!$E$5:$E$1640,'Bank Lines'!$G$5:$G$1640,A879,'Bank Lines'!$J$5:$J$1640,1),2)</f>
        <v>2219.3</v>
      </c>
      <c r="K879" s="9">
        <f>ROUND(SUMIFS('Odoo Items'!$G$5:$G$4331,'Odoo Items'!$J$5:$J$4331,A879),2)</f>
        <v>2219.3</v>
      </c>
      <c r="L879" s="9">
        <f>ROUND(J879-K879,2)</f>
        <v>0</v>
      </c>
      <c r="M879" s="9">
        <f>ROUND(SUMIFS('Bank Lines'!$E$5:$E$1640,'Bank Lines'!$G$5:$G$1640,A879,'Bank Lines'!$J$5:$J$1640,1,'Bank Lines'!$C$5:$C$1640,"&lt;="&amp;Cover!$C$13),2)</f>
        <v>0</v>
      </c>
      <c r="N879" s="9">
        <f>ROUND(SUMIFS('Odoo Items'!$G$5:$G$4331,'Odoo Items'!$J$5:$J$4331,A879,'Odoo Items'!$C$5:$C$4331,"&lt;="&amp;Cover!$C$13),2)</f>
        <v>0</v>
      </c>
      <c r="O879">
        <f>COUNTIFS('Bank Lines'!$G$5:$G$1640,A879,'Bank Lines'!$J$5:$J$1640,1,'Bank Lines'!$C$5:$C$1640,"&lt;="&amp;Cover!$C$13)</f>
        <v>0</v>
      </c>
      <c r="P879">
        <f>COUNTIFS('Odoo Items'!$J$5:$J$4331,A879,'Odoo Items'!$C$5:$C$4331,"&lt;="&amp;Cover!$C$13)</f>
        <v>0</v>
      </c>
      <c r="Q879">
        <f>IF(AND(O879=0,P879=0),"",IF(O879=0,"ODOO-ONLY",IF(P879=0,"BANK-ONLY","BOTH")))</f>
      </c>
      <c r="R879" s="9">
        <f>IF(Q879="BOTH",ROUND(M879-N879,2),0)</f>
        <v>0</v>
      </c>
      <c r="S879" s="9">
        <f>ROUND(SUMIFS('Bank Lines'!$E$5:$E$1640,'Bank Lines'!$G$5:$G$1640,A879,'Bank Lines'!$J$5:$J$1640,1,'Bank Lines'!$C$5:$C$1640,"&lt;="&amp;Cover!$C$14),2)</f>
        <v>0</v>
      </c>
      <c r="T879" s="9">
        <f>ROUND(SUMIFS('Odoo Items'!$G$5:$G$4331,'Odoo Items'!$J$5:$J$4331,A879,'Odoo Items'!$C$5:$C$4331,"&lt;="&amp;Cover!$C$14),2)</f>
        <v>0</v>
      </c>
      <c r="U879">
        <f>COUNTIFS('Bank Lines'!$G$5:$G$1640,A879,'Bank Lines'!$J$5:$J$1640,1,'Bank Lines'!$C$5:$C$1640,"&lt;="&amp;Cover!$C$14)</f>
        <v>0</v>
      </c>
      <c r="V879">
        <f>COUNTIFS('Odoo Items'!$J$5:$J$4331,A879,'Odoo Items'!$C$5:$C$4331,"&lt;="&amp;Cover!$C$14)</f>
        <v>0</v>
      </c>
      <c r="W879">
        <f>IF(AND(U879=0,V879=0),"",IF(U879=0,"ODOO-ONLY",IF(V879=0,"BANK-ONLY","BOTH")))</f>
      </c>
      <c r="X879" s="9">
        <f>IF(W879="BOTH",ROUND(S879-T879,2),0)</f>
        <v>0</v>
      </c>
      <c r="Y879" s="9">
        <f>ROUND(SUMIFS('Bank Lines'!$E$5:$E$1640,'Bank Lines'!$G$5:$G$1640,A879,'Bank Lines'!$J$5:$J$1640,1,'Bank Lines'!$C$5:$C$1640,"&lt;="&amp;Cover!$C$15),2)</f>
        <v>2219.3</v>
      </c>
      <c r="Z879" s="9">
        <f>ROUND(SUMIFS('Odoo Items'!$G$5:$G$4331,'Odoo Items'!$J$5:$J$4331,A879,'Odoo Items'!$C$5:$C$4331,"&lt;="&amp;Cover!$C$15),2)</f>
        <v>2219.3</v>
      </c>
      <c r="AA879">
        <f>COUNTIFS('Bank Lines'!$G$5:$G$1640,A879,'Bank Lines'!$J$5:$J$1640,1,'Bank Lines'!$C$5:$C$1640,"&lt;="&amp;Cover!$C$15)</f>
        <v>1</v>
      </c>
      <c r="AB879">
        <f>COUNTIFS('Odoo Items'!$J$5:$J$4331,A879,'Odoo Items'!$C$5:$C$4331,"&lt;="&amp;Cover!$C$15)</f>
        <v>1</v>
      </c>
      <c r="AC879" t="str">
        <f>IF(AND(AA879=0,AB879=0),"",IF(AA879=0,"ODOO-ONLY",IF(AB879=0,"BANK-ONLY","BOTH")))</f>
        <v>BOTH</v>
      </c>
      <c r="AD879" s="9">
        <f>IF(AC879="BOTH",ROUND(Y879-Z879,2),0)</f>
        <v>0</v>
      </c>
    </row>
    <row r="880">
      <c r="A880" t="inlineStr">
        <is>
          <t>G00876</t>
        </is>
      </c>
      <c r="B880" t="inlineStr">
        <is>
          <t>MER</t>
        </is>
      </c>
      <c r="C880" t="inlineStr">
        <is>
          <t>R08</t>
        </is>
      </c>
      <c r="D880" t="inlineStr">
        <is>
          <t>MATCH</t>
        </is>
      </c>
      <c r="E880" t="inlineStr"/>
      <c r="G880" t="inlineStr"/>
      <c r="H880">
        <f>COUNTIFS('Bank Lines'!$G$5:$G$1640,A880,'Bank Lines'!$J$5:$J$1640,1)</f>
        <v>1</v>
      </c>
      <c r="I880">
        <f>COUNTIFS('Odoo Items'!$J$5:$J$4331,A880)</f>
        <v>1</v>
      </c>
      <c r="J880" s="9">
        <f>ROUND(SUMIFS('Bank Lines'!$E$5:$E$1640,'Bank Lines'!$G$5:$G$1640,A880,'Bank Lines'!$J$5:$J$1640,1),2)</f>
        <v>3351.73</v>
      </c>
      <c r="K880" s="9">
        <f>ROUND(SUMIFS('Odoo Items'!$G$5:$G$4331,'Odoo Items'!$J$5:$J$4331,A880),2)</f>
        <v>3351.73</v>
      </c>
      <c r="L880" s="9">
        <f>ROUND(J880-K880,2)</f>
        <v>0</v>
      </c>
      <c r="M880" s="9">
        <f>ROUND(SUMIFS('Bank Lines'!$E$5:$E$1640,'Bank Lines'!$G$5:$G$1640,A880,'Bank Lines'!$J$5:$J$1640,1,'Bank Lines'!$C$5:$C$1640,"&lt;="&amp;Cover!$C$13),2)</f>
        <v>0</v>
      </c>
      <c r="N880" s="9">
        <f>ROUND(SUMIFS('Odoo Items'!$G$5:$G$4331,'Odoo Items'!$J$5:$J$4331,A880,'Odoo Items'!$C$5:$C$4331,"&lt;="&amp;Cover!$C$13),2)</f>
        <v>0</v>
      </c>
      <c r="O880">
        <f>COUNTIFS('Bank Lines'!$G$5:$G$1640,A880,'Bank Lines'!$J$5:$J$1640,1,'Bank Lines'!$C$5:$C$1640,"&lt;="&amp;Cover!$C$13)</f>
        <v>0</v>
      </c>
      <c r="P880">
        <f>COUNTIFS('Odoo Items'!$J$5:$J$4331,A880,'Odoo Items'!$C$5:$C$4331,"&lt;="&amp;Cover!$C$13)</f>
        <v>0</v>
      </c>
      <c r="Q880">
        <f>IF(AND(O880=0,P880=0),"",IF(O880=0,"ODOO-ONLY",IF(P880=0,"BANK-ONLY","BOTH")))</f>
      </c>
      <c r="R880" s="9">
        <f>IF(Q880="BOTH",ROUND(M880-N880,2),0)</f>
        <v>0</v>
      </c>
      <c r="S880" s="9">
        <f>ROUND(SUMIFS('Bank Lines'!$E$5:$E$1640,'Bank Lines'!$G$5:$G$1640,A880,'Bank Lines'!$J$5:$J$1640,1,'Bank Lines'!$C$5:$C$1640,"&lt;="&amp;Cover!$C$14),2)</f>
        <v>0</v>
      </c>
      <c r="T880" s="9">
        <f>ROUND(SUMIFS('Odoo Items'!$G$5:$G$4331,'Odoo Items'!$J$5:$J$4331,A880,'Odoo Items'!$C$5:$C$4331,"&lt;="&amp;Cover!$C$14),2)</f>
        <v>0</v>
      </c>
      <c r="U880">
        <f>COUNTIFS('Bank Lines'!$G$5:$G$1640,A880,'Bank Lines'!$J$5:$J$1640,1,'Bank Lines'!$C$5:$C$1640,"&lt;="&amp;Cover!$C$14)</f>
        <v>0</v>
      </c>
      <c r="V880">
        <f>COUNTIFS('Odoo Items'!$J$5:$J$4331,A880,'Odoo Items'!$C$5:$C$4331,"&lt;="&amp;Cover!$C$14)</f>
        <v>0</v>
      </c>
      <c r="W880">
        <f>IF(AND(U880=0,V880=0),"",IF(U880=0,"ODOO-ONLY",IF(V880=0,"BANK-ONLY","BOTH")))</f>
      </c>
      <c r="X880" s="9">
        <f>IF(W880="BOTH",ROUND(S880-T880,2),0)</f>
        <v>0</v>
      </c>
      <c r="Y880" s="9">
        <f>ROUND(SUMIFS('Bank Lines'!$E$5:$E$1640,'Bank Lines'!$G$5:$G$1640,A880,'Bank Lines'!$J$5:$J$1640,1,'Bank Lines'!$C$5:$C$1640,"&lt;="&amp;Cover!$C$15),2)</f>
        <v>3351.73</v>
      </c>
      <c r="Z880" s="9">
        <f>ROUND(SUMIFS('Odoo Items'!$G$5:$G$4331,'Odoo Items'!$J$5:$J$4331,A880,'Odoo Items'!$C$5:$C$4331,"&lt;="&amp;Cover!$C$15),2)</f>
        <v>3351.73</v>
      </c>
      <c r="AA880">
        <f>COUNTIFS('Bank Lines'!$G$5:$G$1640,A880,'Bank Lines'!$J$5:$J$1640,1,'Bank Lines'!$C$5:$C$1640,"&lt;="&amp;Cover!$C$15)</f>
        <v>1</v>
      </c>
      <c r="AB880">
        <f>COUNTIFS('Odoo Items'!$J$5:$J$4331,A880,'Odoo Items'!$C$5:$C$4331,"&lt;="&amp;Cover!$C$15)</f>
        <v>1</v>
      </c>
      <c r="AC880" t="str">
        <f>IF(AND(AA880=0,AB880=0),"",IF(AA880=0,"ODOO-ONLY",IF(AB880=0,"BANK-ONLY","BOTH")))</f>
        <v>BOTH</v>
      </c>
      <c r="AD880" s="9">
        <f>IF(AC880="BOTH",ROUND(Y880-Z880,2),0)</f>
        <v>0</v>
      </c>
    </row>
    <row r="881">
      <c r="A881" t="inlineStr">
        <is>
          <t>G00877</t>
        </is>
      </c>
      <c r="B881" t="inlineStr">
        <is>
          <t>MER</t>
        </is>
      </c>
      <c r="C881" t="inlineStr">
        <is>
          <t>R08</t>
        </is>
      </c>
      <c r="D881" t="inlineStr">
        <is>
          <t>MATCH</t>
        </is>
      </c>
      <c r="E881" t="inlineStr"/>
      <c r="G881" t="inlineStr"/>
      <c r="H881">
        <f>COUNTIFS('Bank Lines'!$G$5:$G$1640,A881,'Bank Lines'!$J$5:$J$1640,1)</f>
        <v>1</v>
      </c>
      <c r="I881">
        <f>COUNTIFS('Odoo Items'!$J$5:$J$4331,A881)</f>
        <v>1</v>
      </c>
      <c r="J881" s="9">
        <f>ROUND(SUMIFS('Bank Lines'!$E$5:$E$1640,'Bank Lines'!$G$5:$G$1640,A881,'Bank Lines'!$J$5:$J$1640,1),2)</f>
        <v>2223.87</v>
      </c>
      <c r="K881" s="9">
        <f>ROUND(SUMIFS('Odoo Items'!$G$5:$G$4331,'Odoo Items'!$J$5:$J$4331,A881),2)</f>
        <v>2223.87</v>
      </c>
      <c r="L881" s="9">
        <f>ROUND(J881-K881,2)</f>
        <v>0</v>
      </c>
      <c r="M881" s="9">
        <f>ROUND(SUMIFS('Bank Lines'!$E$5:$E$1640,'Bank Lines'!$G$5:$G$1640,A881,'Bank Lines'!$J$5:$J$1640,1,'Bank Lines'!$C$5:$C$1640,"&lt;="&amp;Cover!$C$13),2)</f>
        <v>0</v>
      </c>
      <c r="N881" s="9">
        <f>ROUND(SUMIFS('Odoo Items'!$G$5:$G$4331,'Odoo Items'!$J$5:$J$4331,A881,'Odoo Items'!$C$5:$C$4331,"&lt;="&amp;Cover!$C$13),2)</f>
        <v>0</v>
      </c>
      <c r="O881">
        <f>COUNTIFS('Bank Lines'!$G$5:$G$1640,A881,'Bank Lines'!$J$5:$J$1640,1,'Bank Lines'!$C$5:$C$1640,"&lt;="&amp;Cover!$C$13)</f>
        <v>0</v>
      </c>
      <c r="P881">
        <f>COUNTIFS('Odoo Items'!$J$5:$J$4331,A881,'Odoo Items'!$C$5:$C$4331,"&lt;="&amp;Cover!$C$13)</f>
        <v>0</v>
      </c>
      <c r="Q881">
        <f>IF(AND(O881=0,P881=0),"",IF(O881=0,"ODOO-ONLY",IF(P881=0,"BANK-ONLY","BOTH")))</f>
      </c>
      <c r="R881" s="9">
        <f>IF(Q881="BOTH",ROUND(M881-N881,2),0)</f>
        <v>0</v>
      </c>
      <c r="S881" s="9">
        <f>ROUND(SUMIFS('Bank Lines'!$E$5:$E$1640,'Bank Lines'!$G$5:$G$1640,A881,'Bank Lines'!$J$5:$J$1640,1,'Bank Lines'!$C$5:$C$1640,"&lt;="&amp;Cover!$C$14),2)</f>
        <v>0</v>
      </c>
      <c r="T881" s="9">
        <f>ROUND(SUMIFS('Odoo Items'!$G$5:$G$4331,'Odoo Items'!$J$5:$J$4331,A881,'Odoo Items'!$C$5:$C$4331,"&lt;="&amp;Cover!$C$14),2)</f>
        <v>0</v>
      </c>
      <c r="U881">
        <f>COUNTIFS('Bank Lines'!$G$5:$G$1640,A881,'Bank Lines'!$J$5:$J$1640,1,'Bank Lines'!$C$5:$C$1640,"&lt;="&amp;Cover!$C$14)</f>
        <v>0</v>
      </c>
      <c r="V881">
        <f>COUNTIFS('Odoo Items'!$J$5:$J$4331,A881,'Odoo Items'!$C$5:$C$4331,"&lt;="&amp;Cover!$C$14)</f>
        <v>0</v>
      </c>
      <c r="W881">
        <f>IF(AND(U881=0,V881=0),"",IF(U881=0,"ODOO-ONLY",IF(V881=0,"BANK-ONLY","BOTH")))</f>
      </c>
      <c r="X881" s="9">
        <f>IF(W881="BOTH",ROUND(S881-T881,2),0)</f>
        <v>0</v>
      </c>
      <c r="Y881" s="9">
        <f>ROUND(SUMIFS('Bank Lines'!$E$5:$E$1640,'Bank Lines'!$G$5:$G$1640,A881,'Bank Lines'!$J$5:$J$1640,1,'Bank Lines'!$C$5:$C$1640,"&lt;="&amp;Cover!$C$15),2)</f>
        <v>2223.87</v>
      </c>
      <c r="Z881" s="9">
        <f>ROUND(SUMIFS('Odoo Items'!$G$5:$G$4331,'Odoo Items'!$J$5:$J$4331,A881,'Odoo Items'!$C$5:$C$4331,"&lt;="&amp;Cover!$C$15),2)</f>
        <v>2223.87</v>
      </c>
      <c r="AA881">
        <f>COUNTIFS('Bank Lines'!$G$5:$G$1640,A881,'Bank Lines'!$J$5:$J$1640,1,'Bank Lines'!$C$5:$C$1640,"&lt;="&amp;Cover!$C$15)</f>
        <v>1</v>
      </c>
      <c r="AB881">
        <f>COUNTIFS('Odoo Items'!$J$5:$J$4331,A881,'Odoo Items'!$C$5:$C$4331,"&lt;="&amp;Cover!$C$15)</f>
        <v>1</v>
      </c>
      <c r="AC881" t="str">
        <f>IF(AND(AA881=0,AB881=0),"",IF(AA881=0,"ODOO-ONLY",IF(AB881=0,"BANK-ONLY","BOTH")))</f>
        <v>BOTH</v>
      </c>
      <c r="AD881" s="9">
        <f>IF(AC881="BOTH",ROUND(Y881-Z881,2),0)</f>
        <v>0</v>
      </c>
    </row>
    <row r="882">
      <c r="A882" t="inlineStr">
        <is>
          <t>G00878</t>
        </is>
      </c>
      <c r="B882" t="inlineStr">
        <is>
          <t>MER</t>
        </is>
      </c>
      <c r="C882" t="inlineStr">
        <is>
          <t>R08</t>
        </is>
      </c>
      <c r="D882" t="inlineStr">
        <is>
          <t>MATCH</t>
        </is>
      </c>
      <c r="E882" t="inlineStr"/>
      <c r="G882" t="inlineStr"/>
      <c r="H882">
        <f>COUNTIFS('Bank Lines'!$G$5:$G$1640,A882,'Bank Lines'!$J$5:$J$1640,1)</f>
        <v>1</v>
      </c>
      <c r="I882">
        <f>COUNTIFS('Odoo Items'!$J$5:$J$4331,A882)</f>
        <v>1</v>
      </c>
      <c r="J882" s="9">
        <f>ROUND(SUMIFS('Bank Lines'!$E$5:$E$1640,'Bank Lines'!$G$5:$G$1640,A882,'Bank Lines'!$J$5:$J$1640,1),2)</f>
        <v>1397.51</v>
      </c>
      <c r="K882" s="9">
        <f>ROUND(SUMIFS('Odoo Items'!$G$5:$G$4331,'Odoo Items'!$J$5:$J$4331,A882),2)</f>
        <v>1397.51</v>
      </c>
      <c r="L882" s="9">
        <f>ROUND(J882-K882,2)</f>
        <v>0</v>
      </c>
      <c r="M882" s="9">
        <f>ROUND(SUMIFS('Bank Lines'!$E$5:$E$1640,'Bank Lines'!$G$5:$G$1640,A882,'Bank Lines'!$J$5:$J$1640,1,'Bank Lines'!$C$5:$C$1640,"&lt;="&amp;Cover!$C$13),2)</f>
        <v>0</v>
      </c>
      <c r="N882" s="9">
        <f>ROUND(SUMIFS('Odoo Items'!$G$5:$G$4331,'Odoo Items'!$J$5:$J$4331,A882,'Odoo Items'!$C$5:$C$4331,"&lt;="&amp;Cover!$C$13),2)</f>
        <v>0</v>
      </c>
      <c r="O882">
        <f>COUNTIFS('Bank Lines'!$G$5:$G$1640,A882,'Bank Lines'!$J$5:$J$1640,1,'Bank Lines'!$C$5:$C$1640,"&lt;="&amp;Cover!$C$13)</f>
        <v>0</v>
      </c>
      <c r="P882">
        <f>COUNTIFS('Odoo Items'!$J$5:$J$4331,A882,'Odoo Items'!$C$5:$C$4331,"&lt;="&amp;Cover!$C$13)</f>
        <v>0</v>
      </c>
      <c r="Q882">
        <f>IF(AND(O882=0,P882=0),"",IF(O882=0,"ODOO-ONLY",IF(P882=0,"BANK-ONLY","BOTH")))</f>
      </c>
      <c r="R882" s="9">
        <f>IF(Q882="BOTH",ROUND(M882-N882,2),0)</f>
        <v>0</v>
      </c>
      <c r="S882" s="9">
        <f>ROUND(SUMIFS('Bank Lines'!$E$5:$E$1640,'Bank Lines'!$G$5:$G$1640,A882,'Bank Lines'!$J$5:$J$1640,1,'Bank Lines'!$C$5:$C$1640,"&lt;="&amp;Cover!$C$14),2)</f>
        <v>0</v>
      </c>
      <c r="T882" s="9">
        <f>ROUND(SUMIFS('Odoo Items'!$G$5:$G$4331,'Odoo Items'!$J$5:$J$4331,A882,'Odoo Items'!$C$5:$C$4331,"&lt;="&amp;Cover!$C$14),2)</f>
        <v>0</v>
      </c>
      <c r="U882">
        <f>COUNTIFS('Bank Lines'!$G$5:$G$1640,A882,'Bank Lines'!$J$5:$J$1640,1,'Bank Lines'!$C$5:$C$1640,"&lt;="&amp;Cover!$C$14)</f>
        <v>0</v>
      </c>
      <c r="V882">
        <f>COUNTIFS('Odoo Items'!$J$5:$J$4331,A882,'Odoo Items'!$C$5:$C$4331,"&lt;="&amp;Cover!$C$14)</f>
        <v>0</v>
      </c>
      <c r="W882">
        <f>IF(AND(U882=0,V882=0),"",IF(U882=0,"ODOO-ONLY",IF(V882=0,"BANK-ONLY","BOTH")))</f>
      </c>
      <c r="X882" s="9">
        <f>IF(W882="BOTH",ROUND(S882-T882,2),0)</f>
        <v>0</v>
      </c>
      <c r="Y882" s="9">
        <f>ROUND(SUMIFS('Bank Lines'!$E$5:$E$1640,'Bank Lines'!$G$5:$G$1640,A882,'Bank Lines'!$J$5:$J$1640,1,'Bank Lines'!$C$5:$C$1640,"&lt;="&amp;Cover!$C$15),2)</f>
        <v>1397.51</v>
      </c>
      <c r="Z882" s="9">
        <f>ROUND(SUMIFS('Odoo Items'!$G$5:$G$4331,'Odoo Items'!$J$5:$J$4331,A882,'Odoo Items'!$C$5:$C$4331,"&lt;="&amp;Cover!$C$15),2)</f>
        <v>1397.51</v>
      </c>
      <c r="AA882">
        <f>COUNTIFS('Bank Lines'!$G$5:$G$1640,A882,'Bank Lines'!$J$5:$J$1640,1,'Bank Lines'!$C$5:$C$1640,"&lt;="&amp;Cover!$C$15)</f>
        <v>1</v>
      </c>
      <c r="AB882">
        <f>COUNTIFS('Odoo Items'!$J$5:$J$4331,A882,'Odoo Items'!$C$5:$C$4331,"&lt;="&amp;Cover!$C$15)</f>
        <v>1</v>
      </c>
      <c r="AC882" t="str">
        <f>IF(AND(AA882=0,AB882=0),"",IF(AA882=0,"ODOO-ONLY",IF(AB882=0,"BANK-ONLY","BOTH")))</f>
        <v>BOTH</v>
      </c>
      <c r="AD882" s="9">
        <f>IF(AC882="BOTH",ROUND(Y882-Z882,2),0)</f>
        <v>0</v>
      </c>
    </row>
    <row r="883">
      <c r="A883" t="inlineStr">
        <is>
          <t>G00879</t>
        </is>
      </c>
      <c r="B883" t="inlineStr">
        <is>
          <t>MER</t>
        </is>
      </c>
      <c r="C883" t="inlineStr">
        <is>
          <t>R08</t>
        </is>
      </c>
      <c r="D883" t="inlineStr">
        <is>
          <t>MATCH</t>
        </is>
      </c>
      <c r="E883" t="inlineStr"/>
      <c r="G883" t="inlineStr"/>
      <c r="H883">
        <f>COUNTIFS('Bank Lines'!$G$5:$G$1640,A883,'Bank Lines'!$J$5:$J$1640,1)</f>
        <v>1</v>
      </c>
      <c r="I883">
        <f>COUNTIFS('Odoo Items'!$J$5:$J$4331,A883)</f>
        <v>1</v>
      </c>
      <c r="J883" s="9">
        <f>ROUND(SUMIFS('Bank Lines'!$E$5:$E$1640,'Bank Lines'!$G$5:$G$1640,A883,'Bank Lines'!$J$5:$J$1640,1),2)</f>
        <v>1867.63</v>
      </c>
      <c r="K883" s="9">
        <f>ROUND(SUMIFS('Odoo Items'!$G$5:$G$4331,'Odoo Items'!$J$5:$J$4331,A883),2)</f>
        <v>1867.63</v>
      </c>
      <c r="L883" s="9">
        <f>ROUND(J883-K883,2)</f>
        <v>0</v>
      </c>
      <c r="M883" s="9">
        <f>ROUND(SUMIFS('Bank Lines'!$E$5:$E$1640,'Bank Lines'!$G$5:$G$1640,A883,'Bank Lines'!$J$5:$J$1640,1,'Bank Lines'!$C$5:$C$1640,"&lt;="&amp;Cover!$C$13),2)</f>
        <v>0</v>
      </c>
      <c r="N883" s="9">
        <f>ROUND(SUMIFS('Odoo Items'!$G$5:$G$4331,'Odoo Items'!$J$5:$J$4331,A883,'Odoo Items'!$C$5:$C$4331,"&lt;="&amp;Cover!$C$13),2)</f>
        <v>0</v>
      </c>
      <c r="O883">
        <f>COUNTIFS('Bank Lines'!$G$5:$G$1640,A883,'Bank Lines'!$J$5:$J$1640,1,'Bank Lines'!$C$5:$C$1640,"&lt;="&amp;Cover!$C$13)</f>
        <v>0</v>
      </c>
      <c r="P883">
        <f>COUNTIFS('Odoo Items'!$J$5:$J$4331,A883,'Odoo Items'!$C$5:$C$4331,"&lt;="&amp;Cover!$C$13)</f>
        <v>0</v>
      </c>
      <c r="Q883">
        <f>IF(AND(O883=0,P883=0),"",IF(O883=0,"ODOO-ONLY",IF(P883=0,"BANK-ONLY","BOTH")))</f>
      </c>
      <c r="R883" s="9">
        <f>IF(Q883="BOTH",ROUND(M883-N883,2),0)</f>
        <v>0</v>
      </c>
      <c r="S883" s="9">
        <f>ROUND(SUMIFS('Bank Lines'!$E$5:$E$1640,'Bank Lines'!$G$5:$G$1640,A883,'Bank Lines'!$J$5:$J$1640,1,'Bank Lines'!$C$5:$C$1640,"&lt;="&amp;Cover!$C$14),2)</f>
        <v>0</v>
      </c>
      <c r="T883" s="9">
        <f>ROUND(SUMIFS('Odoo Items'!$G$5:$G$4331,'Odoo Items'!$J$5:$J$4331,A883,'Odoo Items'!$C$5:$C$4331,"&lt;="&amp;Cover!$C$14),2)</f>
        <v>0</v>
      </c>
      <c r="U883">
        <f>COUNTIFS('Bank Lines'!$G$5:$G$1640,A883,'Bank Lines'!$J$5:$J$1640,1,'Bank Lines'!$C$5:$C$1640,"&lt;="&amp;Cover!$C$14)</f>
        <v>0</v>
      </c>
      <c r="V883">
        <f>COUNTIFS('Odoo Items'!$J$5:$J$4331,A883,'Odoo Items'!$C$5:$C$4331,"&lt;="&amp;Cover!$C$14)</f>
        <v>0</v>
      </c>
      <c r="W883">
        <f>IF(AND(U883=0,V883=0),"",IF(U883=0,"ODOO-ONLY",IF(V883=0,"BANK-ONLY","BOTH")))</f>
      </c>
      <c r="X883" s="9">
        <f>IF(W883="BOTH",ROUND(S883-T883,2),0)</f>
        <v>0</v>
      </c>
      <c r="Y883" s="9">
        <f>ROUND(SUMIFS('Bank Lines'!$E$5:$E$1640,'Bank Lines'!$G$5:$G$1640,A883,'Bank Lines'!$J$5:$J$1640,1,'Bank Lines'!$C$5:$C$1640,"&lt;="&amp;Cover!$C$15),2)</f>
        <v>1867.63</v>
      </c>
      <c r="Z883" s="9">
        <f>ROUND(SUMIFS('Odoo Items'!$G$5:$G$4331,'Odoo Items'!$J$5:$J$4331,A883,'Odoo Items'!$C$5:$C$4331,"&lt;="&amp;Cover!$C$15),2)</f>
        <v>1867.63</v>
      </c>
      <c r="AA883">
        <f>COUNTIFS('Bank Lines'!$G$5:$G$1640,A883,'Bank Lines'!$J$5:$J$1640,1,'Bank Lines'!$C$5:$C$1640,"&lt;="&amp;Cover!$C$15)</f>
        <v>1</v>
      </c>
      <c r="AB883">
        <f>COUNTIFS('Odoo Items'!$J$5:$J$4331,A883,'Odoo Items'!$C$5:$C$4331,"&lt;="&amp;Cover!$C$15)</f>
        <v>1</v>
      </c>
      <c r="AC883" t="str">
        <f>IF(AND(AA883=0,AB883=0),"",IF(AA883=0,"ODOO-ONLY",IF(AB883=0,"BANK-ONLY","BOTH")))</f>
        <v>BOTH</v>
      </c>
      <c r="AD883" s="9">
        <f>IF(AC883="BOTH",ROUND(Y883-Z883,2),0)</f>
        <v>0</v>
      </c>
    </row>
    <row r="884">
      <c r="A884" t="inlineStr">
        <is>
          <t>G00880</t>
        </is>
      </c>
      <c r="B884" t="inlineStr">
        <is>
          <t>MER</t>
        </is>
      </c>
      <c r="C884" t="inlineStr">
        <is>
          <t>R08</t>
        </is>
      </c>
      <c r="D884" t="inlineStr">
        <is>
          <t>MATCH</t>
        </is>
      </c>
      <c r="E884" t="inlineStr"/>
      <c r="G884" t="inlineStr"/>
      <c r="H884">
        <f>COUNTIFS('Bank Lines'!$G$5:$G$1640,A884,'Bank Lines'!$J$5:$J$1640,1)</f>
        <v>1</v>
      </c>
      <c r="I884">
        <f>COUNTIFS('Odoo Items'!$J$5:$J$4331,A884)</f>
        <v>1</v>
      </c>
      <c r="J884" s="9">
        <f>ROUND(SUMIFS('Bank Lines'!$E$5:$E$1640,'Bank Lines'!$G$5:$G$1640,A884,'Bank Lines'!$J$5:$J$1640,1),2)</f>
        <v>2888.48</v>
      </c>
      <c r="K884" s="9">
        <f>ROUND(SUMIFS('Odoo Items'!$G$5:$G$4331,'Odoo Items'!$J$5:$J$4331,A884),2)</f>
        <v>2888.48</v>
      </c>
      <c r="L884" s="9">
        <f>ROUND(J884-K884,2)</f>
        <v>0</v>
      </c>
      <c r="M884" s="9">
        <f>ROUND(SUMIFS('Bank Lines'!$E$5:$E$1640,'Bank Lines'!$G$5:$G$1640,A884,'Bank Lines'!$J$5:$J$1640,1,'Bank Lines'!$C$5:$C$1640,"&lt;="&amp;Cover!$C$13),2)</f>
        <v>0</v>
      </c>
      <c r="N884" s="9">
        <f>ROUND(SUMIFS('Odoo Items'!$G$5:$G$4331,'Odoo Items'!$J$5:$J$4331,A884,'Odoo Items'!$C$5:$C$4331,"&lt;="&amp;Cover!$C$13),2)</f>
        <v>0</v>
      </c>
      <c r="O884">
        <f>COUNTIFS('Bank Lines'!$G$5:$G$1640,A884,'Bank Lines'!$J$5:$J$1640,1,'Bank Lines'!$C$5:$C$1640,"&lt;="&amp;Cover!$C$13)</f>
        <v>0</v>
      </c>
      <c r="P884">
        <f>COUNTIFS('Odoo Items'!$J$5:$J$4331,A884,'Odoo Items'!$C$5:$C$4331,"&lt;="&amp;Cover!$C$13)</f>
        <v>0</v>
      </c>
      <c r="Q884">
        <f>IF(AND(O884=0,P884=0),"",IF(O884=0,"ODOO-ONLY",IF(P884=0,"BANK-ONLY","BOTH")))</f>
      </c>
      <c r="R884" s="9">
        <f>IF(Q884="BOTH",ROUND(M884-N884,2),0)</f>
        <v>0</v>
      </c>
      <c r="S884" s="9">
        <f>ROUND(SUMIFS('Bank Lines'!$E$5:$E$1640,'Bank Lines'!$G$5:$G$1640,A884,'Bank Lines'!$J$5:$J$1640,1,'Bank Lines'!$C$5:$C$1640,"&lt;="&amp;Cover!$C$14),2)</f>
        <v>0</v>
      </c>
      <c r="T884" s="9">
        <f>ROUND(SUMIFS('Odoo Items'!$G$5:$G$4331,'Odoo Items'!$J$5:$J$4331,A884,'Odoo Items'!$C$5:$C$4331,"&lt;="&amp;Cover!$C$14),2)</f>
        <v>0</v>
      </c>
      <c r="U884">
        <f>COUNTIFS('Bank Lines'!$G$5:$G$1640,A884,'Bank Lines'!$J$5:$J$1640,1,'Bank Lines'!$C$5:$C$1640,"&lt;="&amp;Cover!$C$14)</f>
        <v>0</v>
      </c>
      <c r="V884">
        <f>COUNTIFS('Odoo Items'!$J$5:$J$4331,A884,'Odoo Items'!$C$5:$C$4331,"&lt;="&amp;Cover!$C$14)</f>
        <v>0</v>
      </c>
      <c r="W884">
        <f>IF(AND(U884=0,V884=0),"",IF(U884=0,"ODOO-ONLY",IF(V884=0,"BANK-ONLY","BOTH")))</f>
      </c>
      <c r="X884" s="9">
        <f>IF(W884="BOTH",ROUND(S884-T884,2),0)</f>
        <v>0</v>
      </c>
      <c r="Y884" s="9">
        <f>ROUND(SUMIFS('Bank Lines'!$E$5:$E$1640,'Bank Lines'!$G$5:$G$1640,A884,'Bank Lines'!$J$5:$J$1640,1,'Bank Lines'!$C$5:$C$1640,"&lt;="&amp;Cover!$C$15),2)</f>
        <v>2888.48</v>
      </c>
      <c r="Z884" s="9">
        <f>ROUND(SUMIFS('Odoo Items'!$G$5:$G$4331,'Odoo Items'!$J$5:$J$4331,A884,'Odoo Items'!$C$5:$C$4331,"&lt;="&amp;Cover!$C$15),2)</f>
        <v>2888.48</v>
      </c>
      <c r="AA884">
        <f>COUNTIFS('Bank Lines'!$G$5:$G$1640,A884,'Bank Lines'!$J$5:$J$1640,1,'Bank Lines'!$C$5:$C$1640,"&lt;="&amp;Cover!$C$15)</f>
        <v>1</v>
      </c>
      <c r="AB884">
        <f>COUNTIFS('Odoo Items'!$J$5:$J$4331,A884,'Odoo Items'!$C$5:$C$4331,"&lt;="&amp;Cover!$C$15)</f>
        <v>1</v>
      </c>
      <c r="AC884" t="str">
        <f>IF(AND(AA884=0,AB884=0),"",IF(AA884=0,"ODOO-ONLY",IF(AB884=0,"BANK-ONLY","BOTH")))</f>
        <v>BOTH</v>
      </c>
      <c r="AD884" s="9">
        <f>IF(AC884="BOTH",ROUND(Y884-Z884,2),0)</f>
        <v>0</v>
      </c>
    </row>
    <row r="885">
      <c r="A885" t="inlineStr">
        <is>
          <t>G00881</t>
        </is>
      </c>
      <c r="B885" t="inlineStr">
        <is>
          <t>MER</t>
        </is>
      </c>
      <c r="C885" t="inlineStr">
        <is>
          <t>R08</t>
        </is>
      </c>
      <c r="D885" t="inlineStr">
        <is>
          <t>MATCH</t>
        </is>
      </c>
      <c r="E885" t="inlineStr"/>
      <c r="G885" t="inlineStr"/>
      <c r="H885">
        <f>COUNTIFS('Bank Lines'!$G$5:$G$1640,A885,'Bank Lines'!$J$5:$J$1640,1)</f>
        <v>1</v>
      </c>
      <c r="I885">
        <f>COUNTIFS('Odoo Items'!$J$5:$J$4331,A885)</f>
        <v>1</v>
      </c>
      <c r="J885" s="9">
        <f>ROUND(SUMIFS('Bank Lines'!$E$5:$E$1640,'Bank Lines'!$G$5:$G$1640,A885,'Bank Lines'!$J$5:$J$1640,1),2)</f>
        <v>2497.41</v>
      </c>
      <c r="K885" s="9">
        <f>ROUND(SUMIFS('Odoo Items'!$G$5:$G$4331,'Odoo Items'!$J$5:$J$4331,A885),2)</f>
        <v>2497.41</v>
      </c>
      <c r="L885" s="9">
        <f>ROUND(J885-K885,2)</f>
        <v>0</v>
      </c>
      <c r="M885" s="9">
        <f>ROUND(SUMIFS('Bank Lines'!$E$5:$E$1640,'Bank Lines'!$G$5:$G$1640,A885,'Bank Lines'!$J$5:$J$1640,1,'Bank Lines'!$C$5:$C$1640,"&lt;="&amp;Cover!$C$13),2)</f>
        <v>0</v>
      </c>
      <c r="N885" s="9">
        <f>ROUND(SUMIFS('Odoo Items'!$G$5:$G$4331,'Odoo Items'!$J$5:$J$4331,A885,'Odoo Items'!$C$5:$C$4331,"&lt;="&amp;Cover!$C$13),2)</f>
        <v>0</v>
      </c>
      <c r="O885">
        <f>COUNTIFS('Bank Lines'!$G$5:$G$1640,A885,'Bank Lines'!$J$5:$J$1640,1,'Bank Lines'!$C$5:$C$1640,"&lt;="&amp;Cover!$C$13)</f>
        <v>0</v>
      </c>
      <c r="P885">
        <f>COUNTIFS('Odoo Items'!$J$5:$J$4331,A885,'Odoo Items'!$C$5:$C$4331,"&lt;="&amp;Cover!$C$13)</f>
        <v>0</v>
      </c>
      <c r="Q885">
        <f>IF(AND(O885=0,P885=0),"",IF(O885=0,"ODOO-ONLY",IF(P885=0,"BANK-ONLY","BOTH")))</f>
      </c>
      <c r="R885" s="9">
        <f>IF(Q885="BOTH",ROUND(M885-N885,2),0)</f>
        <v>0</v>
      </c>
      <c r="S885" s="9">
        <f>ROUND(SUMIFS('Bank Lines'!$E$5:$E$1640,'Bank Lines'!$G$5:$G$1640,A885,'Bank Lines'!$J$5:$J$1640,1,'Bank Lines'!$C$5:$C$1640,"&lt;="&amp;Cover!$C$14),2)</f>
        <v>0</v>
      </c>
      <c r="T885" s="9">
        <f>ROUND(SUMIFS('Odoo Items'!$G$5:$G$4331,'Odoo Items'!$J$5:$J$4331,A885,'Odoo Items'!$C$5:$C$4331,"&lt;="&amp;Cover!$C$14),2)</f>
        <v>0</v>
      </c>
      <c r="U885">
        <f>COUNTIFS('Bank Lines'!$G$5:$G$1640,A885,'Bank Lines'!$J$5:$J$1640,1,'Bank Lines'!$C$5:$C$1640,"&lt;="&amp;Cover!$C$14)</f>
        <v>0</v>
      </c>
      <c r="V885">
        <f>COUNTIFS('Odoo Items'!$J$5:$J$4331,A885,'Odoo Items'!$C$5:$C$4331,"&lt;="&amp;Cover!$C$14)</f>
        <v>0</v>
      </c>
      <c r="W885">
        <f>IF(AND(U885=0,V885=0),"",IF(U885=0,"ODOO-ONLY",IF(V885=0,"BANK-ONLY","BOTH")))</f>
      </c>
      <c r="X885" s="9">
        <f>IF(W885="BOTH",ROUND(S885-T885,2),0)</f>
        <v>0</v>
      </c>
      <c r="Y885" s="9">
        <f>ROUND(SUMIFS('Bank Lines'!$E$5:$E$1640,'Bank Lines'!$G$5:$G$1640,A885,'Bank Lines'!$J$5:$J$1640,1,'Bank Lines'!$C$5:$C$1640,"&lt;="&amp;Cover!$C$15),2)</f>
        <v>2497.41</v>
      </c>
      <c r="Z885" s="9">
        <f>ROUND(SUMIFS('Odoo Items'!$G$5:$G$4331,'Odoo Items'!$J$5:$J$4331,A885,'Odoo Items'!$C$5:$C$4331,"&lt;="&amp;Cover!$C$15),2)</f>
        <v>2497.41</v>
      </c>
      <c r="AA885">
        <f>COUNTIFS('Bank Lines'!$G$5:$G$1640,A885,'Bank Lines'!$J$5:$J$1640,1,'Bank Lines'!$C$5:$C$1640,"&lt;="&amp;Cover!$C$15)</f>
        <v>1</v>
      </c>
      <c r="AB885">
        <f>COUNTIFS('Odoo Items'!$J$5:$J$4331,A885,'Odoo Items'!$C$5:$C$4331,"&lt;="&amp;Cover!$C$15)</f>
        <v>1</v>
      </c>
      <c r="AC885" t="str">
        <f>IF(AND(AA885=0,AB885=0),"",IF(AA885=0,"ODOO-ONLY",IF(AB885=0,"BANK-ONLY","BOTH")))</f>
        <v>BOTH</v>
      </c>
      <c r="AD885" s="9">
        <f>IF(AC885="BOTH",ROUND(Y885-Z885,2),0)</f>
        <v>0</v>
      </c>
    </row>
    <row r="886">
      <c r="A886" t="inlineStr">
        <is>
          <t>G00882</t>
        </is>
      </c>
      <c r="B886" t="inlineStr">
        <is>
          <t>MER</t>
        </is>
      </c>
      <c r="C886" t="inlineStr">
        <is>
          <t>R08</t>
        </is>
      </c>
      <c r="D886" t="inlineStr">
        <is>
          <t>MATCH</t>
        </is>
      </c>
      <c r="E886" t="inlineStr"/>
      <c r="G886" t="inlineStr"/>
      <c r="H886">
        <f>COUNTIFS('Bank Lines'!$G$5:$G$1640,A886,'Bank Lines'!$J$5:$J$1640,1)</f>
        <v>1</v>
      </c>
      <c r="I886">
        <f>COUNTIFS('Odoo Items'!$J$5:$J$4331,A886)</f>
        <v>1</v>
      </c>
      <c r="J886" s="9">
        <f>ROUND(SUMIFS('Bank Lines'!$E$5:$E$1640,'Bank Lines'!$G$5:$G$1640,A886,'Bank Lines'!$J$5:$J$1640,1),2)</f>
        <v>2758.33</v>
      </c>
      <c r="K886" s="9">
        <f>ROUND(SUMIFS('Odoo Items'!$G$5:$G$4331,'Odoo Items'!$J$5:$J$4331,A886),2)</f>
        <v>2758.33</v>
      </c>
      <c r="L886" s="9">
        <f>ROUND(J886-K886,2)</f>
        <v>0</v>
      </c>
      <c r="M886" s="9">
        <f>ROUND(SUMIFS('Bank Lines'!$E$5:$E$1640,'Bank Lines'!$G$5:$G$1640,A886,'Bank Lines'!$J$5:$J$1640,1,'Bank Lines'!$C$5:$C$1640,"&lt;="&amp;Cover!$C$13),2)</f>
        <v>0</v>
      </c>
      <c r="N886" s="9">
        <f>ROUND(SUMIFS('Odoo Items'!$G$5:$G$4331,'Odoo Items'!$J$5:$J$4331,A886,'Odoo Items'!$C$5:$C$4331,"&lt;="&amp;Cover!$C$13),2)</f>
        <v>0</v>
      </c>
      <c r="O886">
        <f>COUNTIFS('Bank Lines'!$G$5:$G$1640,A886,'Bank Lines'!$J$5:$J$1640,1,'Bank Lines'!$C$5:$C$1640,"&lt;="&amp;Cover!$C$13)</f>
        <v>0</v>
      </c>
      <c r="P886">
        <f>COUNTIFS('Odoo Items'!$J$5:$J$4331,A886,'Odoo Items'!$C$5:$C$4331,"&lt;="&amp;Cover!$C$13)</f>
        <v>0</v>
      </c>
      <c r="Q886">
        <f>IF(AND(O886=0,P886=0),"",IF(O886=0,"ODOO-ONLY",IF(P886=0,"BANK-ONLY","BOTH")))</f>
      </c>
      <c r="R886" s="9">
        <f>IF(Q886="BOTH",ROUND(M886-N886,2),0)</f>
        <v>0</v>
      </c>
      <c r="S886" s="9">
        <f>ROUND(SUMIFS('Bank Lines'!$E$5:$E$1640,'Bank Lines'!$G$5:$G$1640,A886,'Bank Lines'!$J$5:$J$1640,1,'Bank Lines'!$C$5:$C$1640,"&lt;="&amp;Cover!$C$14),2)</f>
        <v>0</v>
      </c>
      <c r="T886" s="9">
        <f>ROUND(SUMIFS('Odoo Items'!$G$5:$G$4331,'Odoo Items'!$J$5:$J$4331,A886,'Odoo Items'!$C$5:$C$4331,"&lt;="&amp;Cover!$C$14),2)</f>
        <v>0</v>
      </c>
      <c r="U886">
        <f>COUNTIFS('Bank Lines'!$G$5:$G$1640,A886,'Bank Lines'!$J$5:$J$1640,1,'Bank Lines'!$C$5:$C$1640,"&lt;="&amp;Cover!$C$14)</f>
        <v>0</v>
      </c>
      <c r="V886">
        <f>COUNTIFS('Odoo Items'!$J$5:$J$4331,A886,'Odoo Items'!$C$5:$C$4331,"&lt;="&amp;Cover!$C$14)</f>
        <v>0</v>
      </c>
      <c r="W886">
        <f>IF(AND(U886=0,V886=0),"",IF(U886=0,"ODOO-ONLY",IF(V886=0,"BANK-ONLY","BOTH")))</f>
      </c>
      <c r="X886" s="9">
        <f>IF(W886="BOTH",ROUND(S886-T886,2),0)</f>
        <v>0</v>
      </c>
      <c r="Y886" s="9">
        <f>ROUND(SUMIFS('Bank Lines'!$E$5:$E$1640,'Bank Lines'!$G$5:$G$1640,A886,'Bank Lines'!$J$5:$J$1640,1,'Bank Lines'!$C$5:$C$1640,"&lt;="&amp;Cover!$C$15),2)</f>
        <v>2758.33</v>
      </c>
      <c r="Z886" s="9">
        <f>ROUND(SUMIFS('Odoo Items'!$G$5:$G$4331,'Odoo Items'!$J$5:$J$4331,A886,'Odoo Items'!$C$5:$C$4331,"&lt;="&amp;Cover!$C$15),2)</f>
        <v>2758.33</v>
      </c>
      <c r="AA886">
        <f>COUNTIFS('Bank Lines'!$G$5:$G$1640,A886,'Bank Lines'!$J$5:$J$1640,1,'Bank Lines'!$C$5:$C$1640,"&lt;="&amp;Cover!$C$15)</f>
        <v>1</v>
      </c>
      <c r="AB886">
        <f>COUNTIFS('Odoo Items'!$J$5:$J$4331,A886,'Odoo Items'!$C$5:$C$4331,"&lt;="&amp;Cover!$C$15)</f>
        <v>1</v>
      </c>
      <c r="AC886" t="str">
        <f>IF(AND(AA886=0,AB886=0),"",IF(AA886=0,"ODOO-ONLY",IF(AB886=0,"BANK-ONLY","BOTH")))</f>
        <v>BOTH</v>
      </c>
      <c r="AD886" s="9">
        <f>IF(AC886="BOTH",ROUND(Y886-Z886,2),0)</f>
        <v>0</v>
      </c>
    </row>
    <row r="887">
      <c r="A887" t="inlineStr">
        <is>
          <t>G00883</t>
        </is>
      </c>
      <c r="B887" t="inlineStr">
        <is>
          <t>MER</t>
        </is>
      </c>
      <c r="C887" t="inlineStr">
        <is>
          <t>R08</t>
        </is>
      </c>
      <c r="D887" t="inlineStr">
        <is>
          <t>MATCH</t>
        </is>
      </c>
      <c r="E887" t="inlineStr"/>
      <c r="G887" t="inlineStr"/>
      <c r="H887">
        <f>COUNTIFS('Bank Lines'!$G$5:$G$1640,A887,'Bank Lines'!$J$5:$J$1640,1)</f>
        <v>1</v>
      </c>
      <c r="I887">
        <f>COUNTIFS('Odoo Items'!$J$5:$J$4331,A887)</f>
        <v>1</v>
      </c>
      <c r="J887" s="9">
        <f>ROUND(SUMIFS('Bank Lines'!$E$5:$E$1640,'Bank Lines'!$G$5:$G$1640,A887,'Bank Lines'!$J$5:$J$1640,1),2)</f>
        <v>3384.53</v>
      </c>
      <c r="K887" s="9">
        <f>ROUND(SUMIFS('Odoo Items'!$G$5:$G$4331,'Odoo Items'!$J$5:$J$4331,A887),2)</f>
        <v>3384.53</v>
      </c>
      <c r="L887" s="9">
        <f>ROUND(J887-K887,2)</f>
        <v>0</v>
      </c>
      <c r="M887" s="9">
        <f>ROUND(SUMIFS('Bank Lines'!$E$5:$E$1640,'Bank Lines'!$G$5:$G$1640,A887,'Bank Lines'!$J$5:$J$1640,1,'Bank Lines'!$C$5:$C$1640,"&lt;="&amp;Cover!$C$13),2)</f>
        <v>0</v>
      </c>
      <c r="N887" s="9">
        <f>ROUND(SUMIFS('Odoo Items'!$G$5:$G$4331,'Odoo Items'!$J$5:$J$4331,A887,'Odoo Items'!$C$5:$C$4331,"&lt;="&amp;Cover!$C$13),2)</f>
        <v>0</v>
      </c>
      <c r="O887">
        <f>COUNTIFS('Bank Lines'!$G$5:$G$1640,A887,'Bank Lines'!$J$5:$J$1640,1,'Bank Lines'!$C$5:$C$1640,"&lt;="&amp;Cover!$C$13)</f>
        <v>0</v>
      </c>
      <c r="P887">
        <f>COUNTIFS('Odoo Items'!$J$5:$J$4331,A887,'Odoo Items'!$C$5:$C$4331,"&lt;="&amp;Cover!$C$13)</f>
        <v>0</v>
      </c>
      <c r="Q887">
        <f>IF(AND(O887=0,P887=0),"",IF(O887=0,"ODOO-ONLY",IF(P887=0,"BANK-ONLY","BOTH")))</f>
      </c>
      <c r="R887" s="9">
        <f>IF(Q887="BOTH",ROUND(M887-N887,2),0)</f>
        <v>0</v>
      </c>
      <c r="S887" s="9">
        <f>ROUND(SUMIFS('Bank Lines'!$E$5:$E$1640,'Bank Lines'!$G$5:$G$1640,A887,'Bank Lines'!$J$5:$J$1640,1,'Bank Lines'!$C$5:$C$1640,"&lt;="&amp;Cover!$C$14),2)</f>
        <v>0</v>
      </c>
      <c r="T887" s="9">
        <f>ROUND(SUMIFS('Odoo Items'!$G$5:$G$4331,'Odoo Items'!$J$5:$J$4331,A887,'Odoo Items'!$C$5:$C$4331,"&lt;="&amp;Cover!$C$14),2)</f>
        <v>0</v>
      </c>
      <c r="U887">
        <f>COUNTIFS('Bank Lines'!$G$5:$G$1640,A887,'Bank Lines'!$J$5:$J$1640,1,'Bank Lines'!$C$5:$C$1640,"&lt;="&amp;Cover!$C$14)</f>
        <v>0</v>
      </c>
      <c r="V887">
        <f>COUNTIFS('Odoo Items'!$J$5:$J$4331,A887,'Odoo Items'!$C$5:$C$4331,"&lt;="&amp;Cover!$C$14)</f>
        <v>0</v>
      </c>
      <c r="W887">
        <f>IF(AND(U887=0,V887=0),"",IF(U887=0,"ODOO-ONLY",IF(V887=0,"BANK-ONLY","BOTH")))</f>
      </c>
      <c r="X887" s="9">
        <f>IF(W887="BOTH",ROUND(S887-T887,2),0)</f>
        <v>0</v>
      </c>
      <c r="Y887" s="9">
        <f>ROUND(SUMIFS('Bank Lines'!$E$5:$E$1640,'Bank Lines'!$G$5:$G$1640,A887,'Bank Lines'!$J$5:$J$1640,1,'Bank Lines'!$C$5:$C$1640,"&lt;="&amp;Cover!$C$15),2)</f>
        <v>3384.53</v>
      </c>
      <c r="Z887" s="9">
        <f>ROUND(SUMIFS('Odoo Items'!$G$5:$G$4331,'Odoo Items'!$J$5:$J$4331,A887,'Odoo Items'!$C$5:$C$4331,"&lt;="&amp;Cover!$C$15),2)</f>
        <v>3384.53</v>
      </c>
      <c r="AA887">
        <f>COUNTIFS('Bank Lines'!$G$5:$G$1640,A887,'Bank Lines'!$J$5:$J$1640,1,'Bank Lines'!$C$5:$C$1640,"&lt;="&amp;Cover!$C$15)</f>
        <v>1</v>
      </c>
      <c r="AB887">
        <f>COUNTIFS('Odoo Items'!$J$5:$J$4331,A887,'Odoo Items'!$C$5:$C$4331,"&lt;="&amp;Cover!$C$15)</f>
        <v>1</v>
      </c>
      <c r="AC887" t="str">
        <f>IF(AND(AA887=0,AB887=0),"",IF(AA887=0,"ODOO-ONLY",IF(AB887=0,"BANK-ONLY","BOTH")))</f>
        <v>BOTH</v>
      </c>
      <c r="AD887" s="9">
        <f>IF(AC887="BOTH",ROUND(Y887-Z887,2),0)</f>
        <v>0</v>
      </c>
    </row>
    <row r="888">
      <c r="A888" t="inlineStr">
        <is>
          <t>G00884</t>
        </is>
      </c>
      <c r="B888" t="inlineStr">
        <is>
          <t>MER</t>
        </is>
      </c>
      <c r="C888" t="inlineStr">
        <is>
          <t>R08</t>
        </is>
      </c>
      <c r="D888" t="inlineStr">
        <is>
          <t>MATCH</t>
        </is>
      </c>
      <c r="E888" t="inlineStr"/>
      <c r="G888" t="inlineStr"/>
      <c r="H888">
        <f>COUNTIFS('Bank Lines'!$G$5:$G$1640,A888,'Bank Lines'!$J$5:$J$1640,1)</f>
        <v>1</v>
      </c>
      <c r="I888">
        <f>COUNTIFS('Odoo Items'!$J$5:$J$4331,A888)</f>
        <v>1</v>
      </c>
      <c r="J888" s="9">
        <f>ROUND(SUMIFS('Bank Lines'!$E$5:$E$1640,'Bank Lines'!$G$5:$G$1640,A888,'Bank Lines'!$J$5:$J$1640,1),2)</f>
        <v>988.91</v>
      </c>
      <c r="K888" s="9">
        <f>ROUND(SUMIFS('Odoo Items'!$G$5:$G$4331,'Odoo Items'!$J$5:$J$4331,A888),2)</f>
        <v>988.91</v>
      </c>
      <c r="L888" s="9">
        <f>ROUND(J888-K888,2)</f>
        <v>0</v>
      </c>
      <c r="M888" s="9">
        <f>ROUND(SUMIFS('Bank Lines'!$E$5:$E$1640,'Bank Lines'!$G$5:$G$1640,A888,'Bank Lines'!$J$5:$J$1640,1,'Bank Lines'!$C$5:$C$1640,"&lt;="&amp;Cover!$C$13),2)</f>
        <v>0</v>
      </c>
      <c r="N888" s="9">
        <f>ROUND(SUMIFS('Odoo Items'!$G$5:$G$4331,'Odoo Items'!$J$5:$J$4331,A888,'Odoo Items'!$C$5:$C$4331,"&lt;="&amp;Cover!$C$13),2)</f>
        <v>0</v>
      </c>
      <c r="O888">
        <f>COUNTIFS('Bank Lines'!$G$5:$G$1640,A888,'Bank Lines'!$J$5:$J$1640,1,'Bank Lines'!$C$5:$C$1640,"&lt;="&amp;Cover!$C$13)</f>
        <v>0</v>
      </c>
      <c r="P888">
        <f>COUNTIFS('Odoo Items'!$J$5:$J$4331,A888,'Odoo Items'!$C$5:$C$4331,"&lt;="&amp;Cover!$C$13)</f>
        <v>0</v>
      </c>
      <c r="Q888">
        <f>IF(AND(O888=0,P888=0),"",IF(O888=0,"ODOO-ONLY",IF(P888=0,"BANK-ONLY","BOTH")))</f>
      </c>
      <c r="R888" s="9">
        <f>IF(Q888="BOTH",ROUND(M888-N888,2),0)</f>
        <v>0</v>
      </c>
      <c r="S888" s="9">
        <f>ROUND(SUMIFS('Bank Lines'!$E$5:$E$1640,'Bank Lines'!$G$5:$G$1640,A888,'Bank Lines'!$J$5:$J$1640,1,'Bank Lines'!$C$5:$C$1640,"&lt;="&amp;Cover!$C$14),2)</f>
        <v>0</v>
      </c>
      <c r="T888" s="9">
        <f>ROUND(SUMIFS('Odoo Items'!$G$5:$G$4331,'Odoo Items'!$J$5:$J$4331,A888,'Odoo Items'!$C$5:$C$4331,"&lt;="&amp;Cover!$C$14),2)</f>
        <v>0</v>
      </c>
      <c r="U888">
        <f>COUNTIFS('Bank Lines'!$G$5:$G$1640,A888,'Bank Lines'!$J$5:$J$1640,1,'Bank Lines'!$C$5:$C$1640,"&lt;="&amp;Cover!$C$14)</f>
        <v>0</v>
      </c>
      <c r="V888">
        <f>COUNTIFS('Odoo Items'!$J$5:$J$4331,A888,'Odoo Items'!$C$5:$C$4331,"&lt;="&amp;Cover!$C$14)</f>
        <v>0</v>
      </c>
      <c r="W888">
        <f>IF(AND(U888=0,V888=0),"",IF(U888=0,"ODOO-ONLY",IF(V888=0,"BANK-ONLY","BOTH")))</f>
      </c>
      <c r="X888" s="9">
        <f>IF(W888="BOTH",ROUND(S888-T888,2),0)</f>
        <v>0</v>
      </c>
      <c r="Y888" s="9">
        <f>ROUND(SUMIFS('Bank Lines'!$E$5:$E$1640,'Bank Lines'!$G$5:$G$1640,A888,'Bank Lines'!$J$5:$J$1640,1,'Bank Lines'!$C$5:$C$1640,"&lt;="&amp;Cover!$C$15),2)</f>
        <v>988.91</v>
      </c>
      <c r="Z888" s="9">
        <f>ROUND(SUMIFS('Odoo Items'!$G$5:$G$4331,'Odoo Items'!$J$5:$J$4331,A888,'Odoo Items'!$C$5:$C$4331,"&lt;="&amp;Cover!$C$15),2)</f>
        <v>988.91</v>
      </c>
      <c r="AA888">
        <f>COUNTIFS('Bank Lines'!$G$5:$G$1640,A888,'Bank Lines'!$J$5:$J$1640,1,'Bank Lines'!$C$5:$C$1640,"&lt;="&amp;Cover!$C$15)</f>
        <v>1</v>
      </c>
      <c r="AB888">
        <f>COUNTIFS('Odoo Items'!$J$5:$J$4331,A888,'Odoo Items'!$C$5:$C$4331,"&lt;="&amp;Cover!$C$15)</f>
        <v>1</v>
      </c>
      <c r="AC888" t="str">
        <f>IF(AND(AA888=0,AB888=0),"",IF(AA888=0,"ODOO-ONLY",IF(AB888=0,"BANK-ONLY","BOTH")))</f>
        <v>BOTH</v>
      </c>
      <c r="AD888" s="9">
        <f>IF(AC888="BOTH",ROUND(Y888-Z888,2),0)</f>
        <v>0</v>
      </c>
    </row>
    <row r="889">
      <c r="A889" t="inlineStr">
        <is>
          <t>G00885</t>
        </is>
      </c>
      <c r="B889" t="inlineStr">
        <is>
          <t>MER</t>
        </is>
      </c>
      <c r="C889" t="inlineStr">
        <is>
          <t>R08</t>
        </is>
      </c>
      <c r="D889" t="inlineStr">
        <is>
          <t>MATCH</t>
        </is>
      </c>
      <c r="E889" t="inlineStr"/>
      <c r="G889" t="inlineStr"/>
      <c r="H889">
        <f>COUNTIFS('Bank Lines'!$G$5:$G$1640,A889,'Bank Lines'!$J$5:$J$1640,1)</f>
        <v>1</v>
      </c>
      <c r="I889">
        <f>COUNTIFS('Odoo Items'!$J$5:$J$4331,A889)</f>
        <v>1</v>
      </c>
      <c r="J889" s="9">
        <f>ROUND(SUMIFS('Bank Lines'!$E$5:$E$1640,'Bank Lines'!$G$5:$G$1640,A889,'Bank Lines'!$J$5:$J$1640,1),2)</f>
        <v>1010.05</v>
      </c>
      <c r="K889" s="9">
        <f>ROUND(SUMIFS('Odoo Items'!$G$5:$G$4331,'Odoo Items'!$J$5:$J$4331,A889),2)</f>
        <v>1010.05</v>
      </c>
      <c r="L889" s="9">
        <f>ROUND(J889-K889,2)</f>
        <v>0</v>
      </c>
      <c r="M889" s="9">
        <f>ROUND(SUMIFS('Bank Lines'!$E$5:$E$1640,'Bank Lines'!$G$5:$G$1640,A889,'Bank Lines'!$J$5:$J$1640,1,'Bank Lines'!$C$5:$C$1640,"&lt;="&amp;Cover!$C$13),2)</f>
        <v>0</v>
      </c>
      <c r="N889" s="9">
        <f>ROUND(SUMIFS('Odoo Items'!$G$5:$G$4331,'Odoo Items'!$J$5:$J$4331,A889,'Odoo Items'!$C$5:$C$4331,"&lt;="&amp;Cover!$C$13),2)</f>
        <v>0</v>
      </c>
      <c r="O889">
        <f>COUNTIFS('Bank Lines'!$G$5:$G$1640,A889,'Bank Lines'!$J$5:$J$1640,1,'Bank Lines'!$C$5:$C$1640,"&lt;="&amp;Cover!$C$13)</f>
        <v>0</v>
      </c>
      <c r="P889">
        <f>COUNTIFS('Odoo Items'!$J$5:$J$4331,A889,'Odoo Items'!$C$5:$C$4331,"&lt;="&amp;Cover!$C$13)</f>
        <v>0</v>
      </c>
      <c r="Q889">
        <f>IF(AND(O889=0,P889=0),"",IF(O889=0,"ODOO-ONLY",IF(P889=0,"BANK-ONLY","BOTH")))</f>
      </c>
      <c r="R889" s="9">
        <f>IF(Q889="BOTH",ROUND(M889-N889,2),0)</f>
        <v>0</v>
      </c>
      <c r="S889" s="9">
        <f>ROUND(SUMIFS('Bank Lines'!$E$5:$E$1640,'Bank Lines'!$G$5:$G$1640,A889,'Bank Lines'!$J$5:$J$1640,1,'Bank Lines'!$C$5:$C$1640,"&lt;="&amp;Cover!$C$14),2)</f>
        <v>0</v>
      </c>
      <c r="T889" s="9">
        <f>ROUND(SUMIFS('Odoo Items'!$G$5:$G$4331,'Odoo Items'!$J$5:$J$4331,A889,'Odoo Items'!$C$5:$C$4331,"&lt;="&amp;Cover!$C$14),2)</f>
        <v>0</v>
      </c>
      <c r="U889">
        <f>COUNTIFS('Bank Lines'!$G$5:$G$1640,A889,'Bank Lines'!$J$5:$J$1640,1,'Bank Lines'!$C$5:$C$1640,"&lt;="&amp;Cover!$C$14)</f>
        <v>0</v>
      </c>
      <c r="V889">
        <f>COUNTIFS('Odoo Items'!$J$5:$J$4331,A889,'Odoo Items'!$C$5:$C$4331,"&lt;="&amp;Cover!$C$14)</f>
        <v>0</v>
      </c>
      <c r="W889">
        <f>IF(AND(U889=0,V889=0),"",IF(U889=0,"ODOO-ONLY",IF(V889=0,"BANK-ONLY","BOTH")))</f>
      </c>
      <c r="X889" s="9">
        <f>IF(W889="BOTH",ROUND(S889-T889,2),0)</f>
        <v>0</v>
      </c>
      <c r="Y889" s="9">
        <f>ROUND(SUMIFS('Bank Lines'!$E$5:$E$1640,'Bank Lines'!$G$5:$G$1640,A889,'Bank Lines'!$J$5:$J$1640,1,'Bank Lines'!$C$5:$C$1640,"&lt;="&amp;Cover!$C$15),2)</f>
        <v>1010.05</v>
      </c>
      <c r="Z889" s="9">
        <f>ROUND(SUMIFS('Odoo Items'!$G$5:$G$4331,'Odoo Items'!$J$5:$J$4331,A889,'Odoo Items'!$C$5:$C$4331,"&lt;="&amp;Cover!$C$15),2)</f>
        <v>1010.05</v>
      </c>
      <c r="AA889">
        <f>COUNTIFS('Bank Lines'!$G$5:$G$1640,A889,'Bank Lines'!$J$5:$J$1640,1,'Bank Lines'!$C$5:$C$1640,"&lt;="&amp;Cover!$C$15)</f>
        <v>1</v>
      </c>
      <c r="AB889">
        <f>COUNTIFS('Odoo Items'!$J$5:$J$4331,A889,'Odoo Items'!$C$5:$C$4331,"&lt;="&amp;Cover!$C$15)</f>
        <v>1</v>
      </c>
      <c r="AC889" t="str">
        <f>IF(AND(AA889=0,AB889=0),"",IF(AA889=0,"ODOO-ONLY",IF(AB889=0,"BANK-ONLY","BOTH")))</f>
        <v>BOTH</v>
      </c>
      <c r="AD889" s="9">
        <f>IF(AC889="BOTH",ROUND(Y889-Z889,2),0)</f>
        <v>0</v>
      </c>
    </row>
    <row r="890">
      <c r="A890" t="inlineStr">
        <is>
          <t>G00886</t>
        </is>
      </c>
      <c r="B890" t="inlineStr">
        <is>
          <t>MER</t>
        </is>
      </c>
      <c r="C890" t="inlineStr">
        <is>
          <t>R08</t>
        </is>
      </c>
      <c r="D890" t="inlineStr">
        <is>
          <t>MATCH</t>
        </is>
      </c>
      <c r="E890" t="inlineStr"/>
      <c r="G890" t="inlineStr"/>
      <c r="H890">
        <f>COUNTIFS('Bank Lines'!$G$5:$G$1640,A890,'Bank Lines'!$J$5:$J$1640,1)</f>
        <v>1</v>
      </c>
      <c r="I890">
        <f>COUNTIFS('Odoo Items'!$J$5:$J$4331,A890)</f>
        <v>1</v>
      </c>
      <c r="J890" s="9">
        <f>ROUND(SUMIFS('Bank Lines'!$E$5:$E$1640,'Bank Lines'!$G$5:$G$1640,A890,'Bank Lines'!$J$5:$J$1640,1),2)</f>
        <v>750.43</v>
      </c>
      <c r="K890" s="9">
        <f>ROUND(SUMIFS('Odoo Items'!$G$5:$G$4331,'Odoo Items'!$J$5:$J$4331,A890),2)</f>
        <v>750.43</v>
      </c>
      <c r="L890" s="9">
        <f>ROUND(J890-K890,2)</f>
        <v>0</v>
      </c>
      <c r="M890" s="9">
        <f>ROUND(SUMIFS('Bank Lines'!$E$5:$E$1640,'Bank Lines'!$G$5:$G$1640,A890,'Bank Lines'!$J$5:$J$1640,1,'Bank Lines'!$C$5:$C$1640,"&lt;="&amp;Cover!$C$13),2)</f>
        <v>0</v>
      </c>
      <c r="N890" s="9">
        <f>ROUND(SUMIFS('Odoo Items'!$G$5:$G$4331,'Odoo Items'!$J$5:$J$4331,A890,'Odoo Items'!$C$5:$C$4331,"&lt;="&amp;Cover!$C$13),2)</f>
        <v>0</v>
      </c>
      <c r="O890">
        <f>COUNTIFS('Bank Lines'!$G$5:$G$1640,A890,'Bank Lines'!$J$5:$J$1640,1,'Bank Lines'!$C$5:$C$1640,"&lt;="&amp;Cover!$C$13)</f>
        <v>0</v>
      </c>
      <c r="P890">
        <f>COUNTIFS('Odoo Items'!$J$5:$J$4331,A890,'Odoo Items'!$C$5:$C$4331,"&lt;="&amp;Cover!$C$13)</f>
        <v>0</v>
      </c>
      <c r="Q890">
        <f>IF(AND(O890=0,P890=0),"",IF(O890=0,"ODOO-ONLY",IF(P890=0,"BANK-ONLY","BOTH")))</f>
      </c>
      <c r="R890" s="9">
        <f>IF(Q890="BOTH",ROUND(M890-N890,2),0)</f>
        <v>0</v>
      </c>
      <c r="S890" s="9">
        <f>ROUND(SUMIFS('Bank Lines'!$E$5:$E$1640,'Bank Lines'!$G$5:$G$1640,A890,'Bank Lines'!$J$5:$J$1640,1,'Bank Lines'!$C$5:$C$1640,"&lt;="&amp;Cover!$C$14),2)</f>
        <v>0</v>
      </c>
      <c r="T890" s="9">
        <f>ROUND(SUMIFS('Odoo Items'!$G$5:$G$4331,'Odoo Items'!$J$5:$J$4331,A890,'Odoo Items'!$C$5:$C$4331,"&lt;="&amp;Cover!$C$14),2)</f>
        <v>0</v>
      </c>
      <c r="U890">
        <f>COUNTIFS('Bank Lines'!$G$5:$G$1640,A890,'Bank Lines'!$J$5:$J$1640,1,'Bank Lines'!$C$5:$C$1640,"&lt;="&amp;Cover!$C$14)</f>
        <v>0</v>
      </c>
      <c r="V890">
        <f>COUNTIFS('Odoo Items'!$J$5:$J$4331,A890,'Odoo Items'!$C$5:$C$4331,"&lt;="&amp;Cover!$C$14)</f>
        <v>0</v>
      </c>
      <c r="W890">
        <f>IF(AND(U890=0,V890=0),"",IF(U890=0,"ODOO-ONLY",IF(V890=0,"BANK-ONLY","BOTH")))</f>
      </c>
      <c r="X890" s="9">
        <f>IF(W890="BOTH",ROUND(S890-T890,2),0)</f>
        <v>0</v>
      </c>
      <c r="Y890" s="9">
        <f>ROUND(SUMIFS('Bank Lines'!$E$5:$E$1640,'Bank Lines'!$G$5:$G$1640,A890,'Bank Lines'!$J$5:$J$1640,1,'Bank Lines'!$C$5:$C$1640,"&lt;="&amp;Cover!$C$15),2)</f>
        <v>750.43</v>
      </c>
      <c r="Z890" s="9">
        <f>ROUND(SUMIFS('Odoo Items'!$G$5:$G$4331,'Odoo Items'!$J$5:$J$4331,A890,'Odoo Items'!$C$5:$C$4331,"&lt;="&amp;Cover!$C$15),2)</f>
        <v>750.43</v>
      </c>
      <c r="AA890">
        <f>COUNTIFS('Bank Lines'!$G$5:$G$1640,A890,'Bank Lines'!$J$5:$J$1640,1,'Bank Lines'!$C$5:$C$1640,"&lt;="&amp;Cover!$C$15)</f>
        <v>1</v>
      </c>
      <c r="AB890">
        <f>COUNTIFS('Odoo Items'!$J$5:$J$4331,A890,'Odoo Items'!$C$5:$C$4331,"&lt;="&amp;Cover!$C$15)</f>
        <v>1</v>
      </c>
      <c r="AC890" t="str">
        <f>IF(AND(AA890=0,AB890=0),"",IF(AA890=0,"ODOO-ONLY",IF(AB890=0,"BANK-ONLY","BOTH")))</f>
        <v>BOTH</v>
      </c>
      <c r="AD890" s="9">
        <f>IF(AC890="BOTH",ROUND(Y890-Z890,2),0)</f>
        <v>0</v>
      </c>
    </row>
    <row r="891">
      <c r="A891" t="inlineStr">
        <is>
          <t>G00887</t>
        </is>
      </c>
      <c r="B891" t="inlineStr">
        <is>
          <t>MER</t>
        </is>
      </c>
      <c r="C891" t="inlineStr">
        <is>
          <t>R08</t>
        </is>
      </c>
      <c r="D891" t="inlineStr">
        <is>
          <t>MATCH</t>
        </is>
      </c>
      <c r="E891" t="inlineStr"/>
      <c r="G891" t="inlineStr"/>
      <c r="H891">
        <f>COUNTIFS('Bank Lines'!$G$5:$G$1640,A891,'Bank Lines'!$J$5:$J$1640,1)</f>
        <v>1</v>
      </c>
      <c r="I891">
        <f>COUNTIFS('Odoo Items'!$J$5:$J$4331,A891)</f>
        <v>1</v>
      </c>
      <c r="J891" s="9">
        <f>ROUND(SUMIFS('Bank Lines'!$E$5:$E$1640,'Bank Lines'!$G$5:$G$1640,A891,'Bank Lines'!$J$5:$J$1640,1),2)</f>
        <v>687.51</v>
      </c>
      <c r="K891" s="9">
        <f>ROUND(SUMIFS('Odoo Items'!$G$5:$G$4331,'Odoo Items'!$J$5:$J$4331,A891),2)</f>
        <v>687.51</v>
      </c>
      <c r="L891" s="9">
        <f>ROUND(J891-K891,2)</f>
        <v>0</v>
      </c>
      <c r="M891" s="9">
        <f>ROUND(SUMIFS('Bank Lines'!$E$5:$E$1640,'Bank Lines'!$G$5:$G$1640,A891,'Bank Lines'!$J$5:$J$1640,1,'Bank Lines'!$C$5:$C$1640,"&lt;="&amp;Cover!$C$13),2)</f>
        <v>0</v>
      </c>
      <c r="N891" s="9">
        <f>ROUND(SUMIFS('Odoo Items'!$G$5:$G$4331,'Odoo Items'!$J$5:$J$4331,A891,'Odoo Items'!$C$5:$C$4331,"&lt;="&amp;Cover!$C$13),2)</f>
        <v>0</v>
      </c>
      <c r="O891">
        <f>COUNTIFS('Bank Lines'!$G$5:$G$1640,A891,'Bank Lines'!$J$5:$J$1640,1,'Bank Lines'!$C$5:$C$1640,"&lt;="&amp;Cover!$C$13)</f>
        <v>0</v>
      </c>
      <c r="P891">
        <f>COUNTIFS('Odoo Items'!$J$5:$J$4331,A891,'Odoo Items'!$C$5:$C$4331,"&lt;="&amp;Cover!$C$13)</f>
        <v>0</v>
      </c>
      <c r="Q891">
        <f>IF(AND(O891=0,P891=0),"",IF(O891=0,"ODOO-ONLY",IF(P891=0,"BANK-ONLY","BOTH")))</f>
      </c>
      <c r="R891" s="9">
        <f>IF(Q891="BOTH",ROUND(M891-N891,2),0)</f>
        <v>0</v>
      </c>
      <c r="S891" s="9">
        <f>ROUND(SUMIFS('Bank Lines'!$E$5:$E$1640,'Bank Lines'!$G$5:$G$1640,A891,'Bank Lines'!$J$5:$J$1640,1,'Bank Lines'!$C$5:$C$1640,"&lt;="&amp;Cover!$C$14),2)</f>
        <v>0</v>
      </c>
      <c r="T891" s="9">
        <f>ROUND(SUMIFS('Odoo Items'!$G$5:$G$4331,'Odoo Items'!$J$5:$J$4331,A891,'Odoo Items'!$C$5:$C$4331,"&lt;="&amp;Cover!$C$14),2)</f>
        <v>0</v>
      </c>
      <c r="U891">
        <f>COUNTIFS('Bank Lines'!$G$5:$G$1640,A891,'Bank Lines'!$J$5:$J$1640,1,'Bank Lines'!$C$5:$C$1640,"&lt;="&amp;Cover!$C$14)</f>
        <v>0</v>
      </c>
      <c r="V891">
        <f>COUNTIFS('Odoo Items'!$J$5:$J$4331,A891,'Odoo Items'!$C$5:$C$4331,"&lt;="&amp;Cover!$C$14)</f>
        <v>0</v>
      </c>
      <c r="W891">
        <f>IF(AND(U891=0,V891=0),"",IF(U891=0,"ODOO-ONLY",IF(V891=0,"BANK-ONLY","BOTH")))</f>
      </c>
      <c r="X891" s="9">
        <f>IF(W891="BOTH",ROUND(S891-T891,2),0)</f>
        <v>0</v>
      </c>
      <c r="Y891" s="9">
        <f>ROUND(SUMIFS('Bank Lines'!$E$5:$E$1640,'Bank Lines'!$G$5:$G$1640,A891,'Bank Lines'!$J$5:$J$1640,1,'Bank Lines'!$C$5:$C$1640,"&lt;="&amp;Cover!$C$15),2)</f>
        <v>687.51</v>
      </c>
      <c r="Z891" s="9">
        <f>ROUND(SUMIFS('Odoo Items'!$G$5:$G$4331,'Odoo Items'!$J$5:$J$4331,A891,'Odoo Items'!$C$5:$C$4331,"&lt;="&amp;Cover!$C$15),2)</f>
        <v>687.51</v>
      </c>
      <c r="AA891">
        <f>COUNTIFS('Bank Lines'!$G$5:$G$1640,A891,'Bank Lines'!$J$5:$J$1640,1,'Bank Lines'!$C$5:$C$1640,"&lt;="&amp;Cover!$C$15)</f>
        <v>1</v>
      </c>
      <c r="AB891">
        <f>COUNTIFS('Odoo Items'!$J$5:$J$4331,A891,'Odoo Items'!$C$5:$C$4331,"&lt;="&amp;Cover!$C$15)</f>
        <v>1</v>
      </c>
      <c r="AC891" t="str">
        <f>IF(AND(AA891=0,AB891=0),"",IF(AA891=0,"ODOO-ONLY",IF(AB891=0,"BANK-ONLY","BOTH")))</f>
        <v>BOTH</v>
      </c>
      <c r="AD891" s="9">
        <f>IF(AC891="BOTH",ROUND(Y891-Z891,2),0)</f>
        <v>0</v>
      </c>
    </row>
    <row r="892">
      <c r="A892" t="inlineStr">
        <is>
          <t>G00888</t>
        </is>
      </c>
      <c r="B892" t="inlineStr">
        <is>
          <t>MER</t>
        </is>
      </c>
      <c r="C892" t="inlineStr">
        <is>
          <t>R04</t>
        </is>
      </c>
      <c r="D892" t="inlineStr">
        <is>
          <t>MATCH</t>
        </is>
      </c>
      <c r="E892" t="inlineStr"/>
      <c r="G892" t="inlineStr">
        <is>
          <t>Sweep, same amount</t>
        </is>
      </c>
      <c r="H892">
        <f>COUNTIFS('Bank Lines'!$G$5:$G$1640,A892,'Bank Lines'!$J$5:$J$1640,1)</f>
        <v>1</v>
      </c>
      <c r="I892">
        <f>COUNTIFS('Odoo Items'!$J$5:$J$4331,A892)</f>
        <v>1</v>
      </c>
      <c r="J892" s="9">
        <f>ROUND(SUMIFS('Bank Lines'!$E$5:$E$1640,'Bank Lines'!$G$5:$G$1640,A892,'Bank Lines'!$J$5:$J$1640,1),2)</f>
        <v>-34000</v>
      </c>
      <c r="K892" s="9">
        <f>ROUND(SUMIFS('Odoo Items'!$G$5:$G$4331,'Odoo Items'!$J$5:$J$4331,A892),2)</f>
        <v>-34000</v>
      </c>
      <c r="L892" s="9">
        <f>ROUND(J892-K892,2)</f>
        <v>0</v>
      </c>
      <c r="M892" s="9">
        <f>ROUND(SUMIFS('Bank Lines'!$E$5:$E$1640,'Bank Lines'!$G$5:$G$1640,A892,'Bank Lines'!$J$5:$J$1640,1,'Bank Lines'!$C$5:$C$1640,"&lt;="&amp;Cover!$C$13),2)</f>
        <v>0</v>
      </c>
      <c r="N892" s="9">
        <f>ROUND(SUMIFS('Odoo Items'!$G$5:$G$4331,'Odoo Items'!$J$5:$J$4331,A892,'Odoo Items'!$C$5:$C$4331,"&lt;="&amp;Cover!$C$13),2)</f>
        <v>0</v>
      </c>
      <c r="O892">
        <f>COUNTIFS('Bank Lines'!$G$5:$G$1640,A892,'Bank Lines'!$J$5:$J$1640,1,'Bank Lines'!$C$5:$C$1640,"&lt;="&amp;Cover!$C$13)</f>
        <v>0</v>
      </c>
      <c r="P892">
        <f>COUNTIFS('Odoo Items'!$J$5:$J$4331,A892,'Odoo Items'!$C$5:$C$4331,"&lt;="&amp;Cover!$C$13)</f>
        <v>0</v>
      </c>
      <c r="Q892">
        <f>IF(AND(O892=0,P892=0),"",IF(O892=0,"ODOO-ONLY",IF(P892=0,"BANK-ONLY","BOTH")))</f>
      </c>
      <c r="R892" s="9">
        <f>IF(Q892="BOTH",ROUND(M892-N892,2),0)</f>
        <v>0</v>
      </c>
      <c r="S892" s="9">
        <f>ROUND(SUMIFS('Bank Lines'!$E$5:$E$1640,'Bank Lines'!$G$5:$G$1640,A892,'Bank Lines'!$J$5:$J$1640,1,'Bank Lines'!$C$5:$C$1640,"&lt;="&amp;Cover!$C$14),2)</f>
        <v>0</v>
      </c>
      <c r="T892" s="9">
        <f>ROUND(SUMIFS('Odoo Items'!$G$5:$G$4331,'Odoo Items'!$J$5:$J$4331,A892,'Odoo Items'!$C$5:$C$4331,"&lt;="&amp;Cover!$C$14),2)</f>
        <v>0</v>
      </c>
      <c r="U892">
        <f>COUNTIFS('Bank Lines'!$G$5:$G$1640,A892,'Bank Lines'!$J$5:$J$1640,1,'Bank Lines'!$C$5:$C$1640,"&lt;="&amp;Cover!$C$14)</f>
        <v>0</v>
      </c>
      <c r="V892">
        <f>COUNTIFS('Odoo Items'!$J$5:$J$4331,A892,'Odoo Items'!$C$5:$C$4331,"&lt;="&amp;Cover!$C$14)</f>
        <v>0</v>
      </c>
      <c r="W892">
        <f>IF(AND(U892=0,V892=0),"",IF(U892=0,"ODOO-ONLY",IF(V892=0,"BANK-ONLY","BOTH")))</f>
      </c>
      <c r="X892" s="9">
        <f>IF(W892="BOTH",ROUND(S892-T892,2),0)</f>
        <v>0</v>
      </c>
      <c r="Y892" s="9">
        <f>ROUND(SUMIFS('Bank Lines'!$E$5:$E$1640,'Bank Lines'!$G$5:$G$1640,A892,'Bank Lines'!$J$5:$J$1640,1,'Bank Lines'!$C$5:$C$1640,"&lt;="&amp;Cover!$C$15),2)</f>
        <v>-34000</v>
      </c>
      <c r="Z892" s="9">
        <f>ROUND(SUMIFS('Odoo Items'!$G$5:$G$4331,'Odoo Items'!$J$5:$J$4331,A892,'Odoo Items'!$C$5:$C$4331,"&lt;="&amp;Cover!$C$15),2)</f>
        <v>-34000</v>
      </c>
      <c r="AA892">
        <f>COUNTIFS('Bank Lines'!$G$5:$G$1640,A892,'Bank Lines'!$J$5:$J$1640,1,'Bank Lines'!$C$5:$C$1640,"&lt;="&amp;Cover!$C$15)</f>
        <v>1</v>
      </c>
      <c r="AB892">
        <f>COUNTIFS('Odoo Items'!$J$5:$J$4331,A892,'Odoo Items'!$C$5:$C$4331,"&lt;="&amp;Cover!$C$15)</f>
        <v>1</v>
      </c>
      <c r="AC892" t="str">
        <f>IF(AND(AA892=0,AB892=0),"",IF(AA892=0,"ODOO-ONLY",IF(AB892=0,"BANK-ONLY","BOTH")))</f>
        <v>BOTH</v>
      </c>
      <c r="AD892" s="9">
        <f>IF(AC892="BOTH",ROUND(Y892-Z892,2),0)</f>
        <v>0</v>
      </c>
    </row>
    <row r="893">
      <c r="A893" t="inlineStr">
        <is>
          <t>G00889</t>
        </is>
      </c>
      <c r="B893" t="inlineStr">
        <is>
          <t>MER</t>
        </is>
      </c>
      <c r="C893" t="inlineStr">
        <is>
          <t>R08</t>
        </is>
      </c>
      <c r="D893" t="inlineStr">
        <is>
          <t>MATCH</t>
        </is>
      </c>
      <c r="E893" t="inlineStr"/>
      <c r="G893" t="inlineStr"/>
      <c r="H893">
        <f>COUNTIFS('Bank Lines'!$G$5:$G$1640,A893,'Bank Lines'!$J$5:$J$1640,1)</f>
        <v>1</v>
      </c>
      <c r="I893">
        <f>COUNTIFS('Odoo Items'!$J$5:$J$4331,A893)</f>
        <v>1</v>
      </c>
      <c r="J893" s="9">
        <f>ROUND(SUMIFS('Bank Lines'!$E$5:$E$1640,'Bank Lines'!$G$5:$G$1640,A893,'Bank Lines'!$J$5:$J$1640,1),2)</f>
        <v>2816.08</v>
      </c>
      <c r="K893" s="9">
        <f>ROUND(SUMIFS('Odoo Items'!$G$5:$G$4331,'Odoo Items'!$J$5:$J$4331,A893),2)</f>
        <v>2816.08</v>
      </c>
      <c r="L893" s="9">
        <f>ROUND(J893-K893,2)</f>
        <v>0</v>
      </c>
      <c r="M893" s="9">
        <f>ROUND(SUMIFS('Bank Lines'!$E$5:$E$1640,'Bank Lines'!$G$5:$G$1640,A893,'Bank Lines'!$J$5:$J$1640,1,'Bank Lines'!$C$5:$C$1640,"&lt;="&amp;Cover!$C$13),2)</f>
        <v>0</v>
      </c>
      <c r="N893" s="9">
        <f>ROUND(SUMIFS('Odoo Items'!$G$5:$G$4331,'Odoo Items'!$J$5:$J$4331,A893,'Odoo Items'!$C$5:$C$4331,"&lt;="&amp;Cover!$C$13),2)</f>
        <v>0</v>
      </c>
      <c r="O893">
        <f>COUNTIFS('Bank Lines'!$G$5:$G$1640,A893,'Bank Lines'!$J$5:$J$1640,1,'Bank Lines'!$C$5:$C$1640,"&lt;="&amp;Cover!$C$13)</f>
        <v>0</v>
      </c>
      <c r="P893">
        <f>COUNTIFS('Odoo Items'!$J$5:$J$4331,A893,'Odoo Items'!$C$5:$C$4331,"&lt;="&amp;Cover!$C$13)</f>
        <v>0</v>
      </c>
      <c r="Q893">
        <f>IF(AND(O893=0,P893=0),"",IF(O893=0,"ODOO-ONLY",IF(P893=0,"BANK-ONLY","BOTH")))</f>
      </c>
      <c r="R893" s="9">
        <f>IF(Q893="BOTH",ROUND(M893-N893,2),0)</f>
        <v>0</v>
      </c>
      <c r="S893" s="9">
        <f>ROUND(SUMIFS('Bank Lines'!$E$5:$E$1640,'Bank Lines'!$G$5:$G$1640,A893,'Bank Lines'!$J$5:$J$1640,1,'Bank Lines'!$C$5:$C$1640,"&lt;="&amp;Cover!$C$14),2)</f>
        <v>0</v>
      </c>
      <c r="T893" s="9">
        <f>ROUND(SUMIFS('Odoo Items'!$G$5:$G$4331,'Odoo Items'!$J$5:$J$4331,A893,'Odoo Items'!$C$5:$C$4331,"&lt;="&amp;Cover!$C$14),2)</f>
        <v>0</v>
      </c>
      <c r="U893">
        <f>COUNTIFS('Bank Lines'!$G$5:$G$1640,A893,'Bank Lines'!$J$5:$J$1640,1,'Bank Lines'!$C$5:$C$1640,"&lt;="&amp;Cover!$C$14)</f>
        <v>0</v>
      </c>
      <c r="V893">
        <f>COUNTIFS('Odoo Items'!$J$5:$J$4331,A893,'Odoo Items'!$C$5:$C$4331,"&lt;="&amp;Cover!$C$14)</f>
        <v>0</v>
      </c>
      <c r="W893">
        <f>IF(AND(U893=0,V893=0),"",IF(U893=0,"ODOO-ONLY",IF(V893=0,"BANK-ONLY","BOTH")))</f>
      </c>
      <c r="X893" s="9">
        <f>IF(W893="BOTH",ROUND(S893-T893,2),0)</f>
        <v>0</v>
      </c>
      <c r="Y893" s="9">
        <f>ROUND(SUMIFS('Bank Lines'!$E$5:$E$1640,'Bank Lines'!$G$5:$G$1640,A893,'Bank Lines'!$J$5:$J$1640,1,'Bank Lines'!$C$5:$C$1640,"&lt;="&amp;Cover!$C$15),2)</f>
        <v>2816.08</v>
      </c>
      <c r="Z893" s="9">
        <f>ROUND(SUMIFS('Odoo Items'!$G$5:$G$4331,'Odoo Items'!$J$5:$J$4331,A893,'Odoo Items'!$C$5:$C$4331,"&lt;="&amp;Cover!$C$15),2)</f>
        <v>2816.08</v>
      </c>
      <c r="AA893">
        <f>COUNTIFS('Bank Lines'!$G$5:$G$1640,A893,'Bank Lines'!$J$5:$J$1640,1,'Bank Lines'!$C$5:$C$1640,"&lt;="&amp;Cover!$C$15)</f>
        <v>1</v>
      </c>
      <c r="AB893">
        <f>COUNTIFS('Odoo Items'!$J$5:$J$4331,A893,'Odoo Items'!$C$5:$C$4331,"&lt;="&amp;Cover!$C$15)</f>
        <v>1</v>
      </c>
      <c r="AC893" t="str">
        <f>IF(AND(AA893=0,AB893=0),"",IF(AA893=0,"ODOO-ONLY",IF(AB893=0,"BANK-ONLY","BOTH")))</f>
        <v>BOTH</v>
      </c>
      <c r="AD893" s="9">
        <f>IF(AC893="BOTH",ROUND(Y893-Z893,2),0)</f>
        <v>0</v>
      </c>
    </row>
    <row r="894">
      <c r="A894" t="inlineStr">
        <is>
          <t>G00890</t>
        </is>
      </c>
      <c r="B894" t="inlineStr">
        <is>
          <t>MER</t>
        </is>
      </c>
      <c r="C894" t="inlineStr">
        <is>
          <t>R08</t>
        </is>
      </c>
      <c r="D894" t="inlineStr">
        <is>
          <t>MATCH</t>
        </is>
      </c>
      <c r="E894" t="inlineStr"/>
      <c r="G894" t="inlineStr"/>
      <c r="H894">
        <f>COUNTIFS('Bank Lines'!$G$5:$G$1640,A894,'Bank Lines'!$J$5:$J$1640,1)</f>
        <v>1</v>
      </c>
      <c r="I894">
        <f>COUNTIFS('Odoo Items'!$J$5:$J$4331,A894)</f>
        <v>1</v>
      </c>
      <c r="J894" s="9">
        <f>ROUND(SUMIFS('Bank Lines'!$E$5:$E$1640,'Bank Lines'!$G$5:$G$1640,A894,'Bank Lines'!$J$5:$J$1640,1),2)</f>
        <v>2813.81</v>
      </c>
      <c r="K894" s="9">
        <f>ROUND(SUMIFS('Odoo Items'!$G$5:$G$4331,'Odoo Items'!$J$5:$J$4331,A894),2)</f>
        <v>2813.81</v>
      </c>
      <c r="L894" s="9">
        <f>ROUND(J894-K894,2)</f>
        <v>0</v>
      </c>
      <c r="M894" s="9">
        <f>ROUND(SUMIFS('Bank Lines'!$E$5:$E$1640,'Bank Lines'!$G$5:$G$1640,A894,'Bank Lines'!$J$5:$J$1640,1,'Bank Lines'!$C$5:$C$1640,"&lt;="&amp;Cover!$C$13),2)</f>
        <v>0</v>
      </c>
      <c r="N894" s="9">
        <f>ROUND(SUMIFS('Odoo Items'!$G$5:$G$4331,'Odoo Items'!$J$5:$J$4331,A894,'Odoo Items'!$C$5:$C$4331,"&lt;="&amp;Cover!$C$13),2)</f>
        <v>0</v>
      </c>
      <c r="O894">
        <f>COUNTIFS('Bank Lines'!$G$5:$G$1640,A894,'Bank Lines'!$J$5:$J$1640,1,'Bank Lines'!$C$5:$C$1640,"&lt;="&amp;Cover!$C$13)</f>
        <v>0</v>
      </c>
      <c r="P894">
        <f>COUNTIFS('Odoo Items'!$J$5:$J$4331,A894,'Odoo Items'!$C$5:$C$4331,"&lt;="&amp;Cover!$C$13)</f>
        <v>0</v>
      </c>
      <c r="Q894">
        <f>IF(AND(O894=0,P894=0),"",IF(O894=0,"ODOO-ONLY",IF(P894=0,"BANK-ONLY","BOTH")))</f>
      </c>
      <c r="R894" s="9">
        <f>IF(Q894="BOTH",ROUND(M894-N894,2),0)</f>
        <v>0</v>
      </c>
      <c r="S894" s="9">
        <f>ROUND(SUMIFS('Bank Lines'!$E$5:$E$1640,'Bank Lines'!$G$5:$G$1640,A894,'Bank Lines'!$J$5:$J$1640,1,'Bank Lines'!$C$5:$C$1640,"&lt;="&amp;Cover!$C$14),2)</f>
        <v>0</v>
      </c>
      <c r="T894" s="9">
        <f>ROUND(SUMIFS('Odoo Items'!$G$5:$G$4331,'Odoo Items'!$J$5:$J$4331,A894,'Odoo Items'!$C$5:$C$4331,"&lt;="&amp;Cover!$C$14),2)</f>
        <v>0</v>
      </c>
      <c r="U894">
        <f>COUNTIFS('Bank Lines'!$G$5:$G$1640,A894,'Bank Lines'!$J$5:$J$1640,1,'Bank Lines'!$C$5:$C$1640,"&lt;="&amp;Cover!$C$14)</f>
        <v>0</v>
      </c>
      <c r="V894">
        <f>COUNTIFS('Odoo Items'!$J$5:$J$4331,A894,'Odoo Items'!$C$5:$C$4331,"&lt;="&amp;Cover!$C$14)</f>
        <v>0</v>
      </c>
      <c r="W894">
        <f>IF(AND(U894=0,V894=0),"",IF(U894=0,"ODOO-ONLY",IF(V894=0,"BANK-ONLY","BOTH")))</f>
      </c>
      <c r="X894" s="9">
        <f>IF(W894="BOTH",ROUND(S894-T894,2),0)</f>
        <v>0</v>
      </c>
      <c r="Y894" s="9">
        <f>ROUND(SUMIFS('Bank Lines'!$E$5:$E$1640,'Bank Lines'!$G$5:$G$1640,A894,'Bank Lines'!$J$5:$J$1640,1,'Bank Lines'!$C$5:$C$1640,"&lt;="&amp;Cover!$C$15),2)</f>
        <v>2813.81</v>
      </c>
      <c r="Z894" s="9">
        <f>ROUND(SUMIFS('Odoo Items'!$G$5:$G$4331,'Odoo Items'!$J$5:$J$4331,A894,'Odoo Items'!$C$5:$C$4331,"&lt;="&amp;Cover!$C$15),2)</f>
        <v>2813.81</v>
      </c>
      <c r="AA894">
        <f>COUNTIFS('Bank Lines'!$G$5:$G$1640,A894,'Bank Lines'!$J$5:$J$1640,1,'Bank Lines'!$C$5:$C$1640,"&lt;="&amp;Cover!$C$15)</f>
        <v>1</v>
      </c>
      <c r="AB894">
        <f>COUNTIFS('Odoo Items'!$J$5:$J$4331,A894,'Odoo Items'!$C$5:$C$4331,"&lt;="&amp;Cover!$C$15)</f>
        <v>1</v>
      </c>
      <c r="AC894" t="str">
        <f>IF(AND(AA894=0,AB894=0),"",IF(AA894=0,"ODOO-ONLY",IF(AB894=0,"BANK-ONLY","BOTH")))</f>
        <v>BOTH</v>
      </c>
      <c r="AD894" s="9">
        <f>IF(AC894="BOTH",ROUND(Y894-Z894,2),0)</f>
        <v>0</v>
      </c>
    </row>
    <row r="895">
      <c r="A895" t="inlineStr">
        <is>
          <t>G00891</t>
        </is>
      </c>
      <c r="B895" t="inlineStr">
        <is>
          <t>MER</t>
        </is>
      </c>
      <c r="C895" t="inlineStr">
        <is>
          <t>R08</t>
        </is>
      </c>
      <c r="D895" t="inlineStr">
        <is>
          <t>MATCH</t>
        </is>
      </c>
      <c r="E895" t="inlineStr"/>
      <c r="G895" t="inlineStr"/>
      <c r="H895">
        <f>COUNTIFS('Bank Lines'!$G$5:$G$1640,A895,'Bank Lines'!$J$5:$J$1640,1)</f>
        <v>1</v>
      </c>
      <c r="I895">
        <f>COUNTIFS('Odoo Items'!$J$5:$J$4331,A895)</f>
        <v>1</v>
      </c>
      <c r="J895" s="9">
        <f>ROUND(SUMIFS('Bank Lines'!$E$5:$E$1640,'Bank Lines'!$G$5:$G$1640,A895,'Bank Lines'!$J$5:$J$1640,1),2)</f>
        <v>2085.46</v>
      </c>
      <c r="K895" s="9">
        <f>ROUND(SUMIFS('Odoo Items'!$G$5:$G$4331,'Odoo Items'!$J$5:$J$4331,A895),2)</f>
        <v>2085.46</v>
      </c>
      <c r="L895" s="9">
        <f>ROUND(J895-K895,2)</f>
        <v>0</v>
      </c>
      <c r="M895" s="9">
        <f>ROUND(SUMIFS('Bank Lines'!$E$5:$E$1640,'Bank Lines'!$G$5:$G$1640,A895,'Bank Lines'!$J$5:$J$1640,1,'Bank Lines'!$C$5:$C$1640,"&lt;="&amp;Cover!$C$13),2)</f>
        <v>0</v>
      </c>
      <c r="N895" s="9">
        <f>ROUND(SUMIFS('Odoo Items'!$G$5:$G$4331,'Odoo Items'!$J$5:$J$4331,A895,'Odoo Items'!$C$5:$C$4331,"&lt;="&amp;Cover!$C$13),2)</f>
        <v>0</v>
      </c>
      <c r="O895">
        <f>COUNTIFS('Bank Lines'!$G$5:$G$1640,A895,'Bank Lines'!$J$5:$J$1640,1,'Bank Lines'!$C$5:$C$1640,"&lt;="&amp;Cover!$C$13)</f>
        <v>0</v>
      </c>
      <c r="P895">
        <f>COUNTIFS('Odoo Items'!$J$5:$J$4331,A895,'Odoo Items'!$C$5:$C$4331,"&lt;="&amp;Cover!$C$13)</f>
        <v>0</v>
      </c>
      <c r="Q895">
        <f>IF(AND(O895=0,P895=0),"",IF(O895=0,"ODOO-ONLY",IF(P895=0,"BANK-ONLY","BOTH")))</f>
      </c>
      <c r="R895" s="9">
        <f>IF(Q895="BOTH",ROUND(M895-N895,2),0)</f>
        <v>0</v>
      </c>
      <c r="S895" s="9">
        <f>ROUND(SUMIFS('Bank Lines'!$E$5:$E$1640,'Bank Lines'!$G$5:$G$1640,A895,'Bank Lines'!$J$5:$J$1640,1,'Bank Lines'!$C$5:$C$1640,"&lt;="&amp;Cover!$C$14),2)</f>
        <v>0</v>
      </c>
      <c r="T895" s="9">
        <f>ROUND(SUMIFS('Odoo Items'!$G$5:$G$4331,'Odoo Items'!$J$5:$J$4331,A895,'Odoo Items'!$C$5:$C$4331,"&lt;="&amp;Cover!$C$14),2)</f>
        <v>0</v>
      </c>
      <c r="U895">
        <f>COUNTIFS('Bank Lines'!$G$5:$G$1640,A895,'Bank Lines'!$J$5:$J$1640,1,'Bank Lines'!$C$5:$C$1640,"&lt;="&amp;Cover!$C$14)</f>
        <v>0</v>
      </c>
      <c r="V895">
        <f>COUNTIFS('Odoo Items'!$J$5:$J$4331,A895,'Odoo Items'!$C$5:$C$4331,"&lt;="&amp;Cover!$C$14)</f>
        <v>0</v>
      </c>
      <c r="W895">
        <f>IF(AND(U895=0,V895=0),"",IF(U895=0,"ODOO-ONLY",IF(V895=0,"BANK-ONLY","BOTH")))</f>
      </c>
      <c r="X895" s="9">
        <f>IF(W895="BOTH",ROUND(S895-T895,2),0)</f>
        <v>0</v>
      </c>
      <c r="Y895" s="9">
        <f>ROUND(SUMIFS('Bank Lines'!$E$5:$E$1640,'Bank Lines'!$G$5:$G$1640,A895,'Bank Lines'!$J$5:$J$1640,1,'Bank Lines'!$C$5:$C$1640,"&lt;="&amp;Cover!$C$15),2)</f>
        <v>2085.46</v>
      </c>
      <c r="Z895" s="9">
        <f>ROUND(SUMIFS('Odoo Items'!$G$5:$G$4331,'Odoo Items'!$J$5:$J$4331,A895,'Odoo Items'!$C$5:$C$4331,"&lt;="&amp;Cover!$C$15),2)</f>
        <v>2085.46</v>
      </c>
      <c r="AA895">
        <f>COUNTIFS('Bank Lines'!$G$5:$G$1640,A895,'Bank Lines'!$J$5:$J$1640,1,'Bank Lines'!$C$5:$C$1640,"&lt;="&amp;Cover!$C$15)</f>
        <v>1</v>
      </c>
      <c r="AB895">
        <f>COUNTIFS('Odoo Items'!$J$5:$J$4331,A895,'Odoo Items'!$C$5:$C$4331,"&lt;="&amp;Cover!$C$15)</f>
        <v>1</v>
      </c>
      <c r="AC895" t="str">
        <f>IF(AND(AA895=0,AB895=0),"",IF(AA895=0,"ODOO-ONLY",IF(AB895=0,"BANK-ONLY","BOTH")))</f>
        <v>BOTH</v>
      </c>
      <c r="AD895" s="9">
        <f>IF(AC895="BOTH",ROUND(Y895-Z895,2),0)</f>
        <v>0</v>
      </c>
    </row>
    <row r="896">
      <c r="A896" t="inlineStr">
        <is>
          <t>G00892</t>
        </is>
      </c>
      <c r="B896" t="inlineStr">
        <is>
          <t>MER</t>
        </is>
      </c>
      <c r="C896" t="inlineStr">
        <is>
          <t>R08</t>
        </is>
      </c>
      <c r="D896" t="inlineStr">
        <is>
          <t>MATCH</t>
        </is>
      </c>
      <c r="E896" t="inlineStr"/>
      <c r="G896" t="inlineStr"/>
      <c r="H896">
        <f>COUNTIFS('Bank Lines'!$G$5:$G$1640,A896,'Bank Lines'!$J$5:$J$1640,1)</f>
        <v>1</v>
      </c>
      <c r="I896">
        <f>COUNTIFS('Odoo Items'!$J$5:$J$4331,A896)</f>
        <v>1</v>
      </c>
      <c r="J896" s="9">
        <f>ROUND(SUMIFS('Bank Lines'!$E$5:$E$1640,'Bank Lines'!$G$5:$G$1640,A896,'Bank Lines'!$J$5:$J$1640,1),2)</f>
        <v>3246.85</v>
      </c>
      <c r="K896" s="9">
        <f>ROUND(SUMIFS('Odoo Items'!$G$5:$G$4331,'Odoo Items'!$J$5:$J$4331,A896),2)</f>
        <v>3246.85</v>
      </c>
      <c r="L896" s="9">
        <f>ROUND(J896-K896,2)</f>
        <v>0</v>
      </c>
      <c r="M896" s="9">
        <f>ROUND(SUMIFS('Bank Lines'!$E$5:$E$1640,'Bank Lines'!$G$5:$G$1640,A896,'Bank Lines'!$J$5:$J$1640,1,'Bank Lines'!$C$5:$C$1640,"&lt;="&amp;Cover!$C$13),2)</f>
        <v>0</v>
      </c>
      <c r="N896" s="9">
        <f>ROUND(SUMIFS('Odoo Items'!$G$5:$G$4331,'Odoo Items'!$J$5:$J$4331,A896,'Odoo Items'!$C$5:$C$4331,"&lt;="&amp;Cover!$C$13),2)</f>
        <v>0</v>
      </c>
      <c r="O896">
        <f>COUNTIFS('Bank Lines'!$G$5:$G$1640,A896,'Bank Lines'!$J$5:$J$1640,1,'Bank Lines'!$C$5:$C$1640,"&lt;="&amp;Cover!$C$13)</f>
        <v>0</v>
      </c>
      <c r="P896">
        <f>COUNTIFS('Odoo Items'!$J$5:$J$4331,A896,'Odoo Items'!$C$5:$C$4331,"&lt;="&amp;Cover!$C$13)</f>
        <v>0</v>
      </c>
      <c r="Q896">
        <f>IF(AND(O896=0,P896=0),"",IF(O896=0,"ODOO-ONLY",IF(P896=0,"BANK-ONLY","BOTH")))</f>
      </c>
      <c r="R896" s="9">
        <f>IF(Q896="BOTH",ROUND(M896-N896,2),0)</f>
        <v>0</v>
      </c>
      <c r="S896" s="9">
        <f>ROUND(SUMIFS('Bank Lines'!$E$5:$E$1640,'Bank Lines'!$G$5:$G$1640,A896,'Bank Lines'!$J$5:$J$1640,1,'Bank Lines'!$C$5:$C$1640,"&lt;="&amp;Cover!$C$14),2)</f>
        <v>0</v>
      </c>
      <c r="T896" s="9">
        <f>ROUND(SUMIFS('Odoo Items'!$G$5:$G$4331,'Odoo Items'!$J$5:$J$4331,A896,'Odoo Items'!$C$5:$C$4331,"&lt;="&amp;Cover!$C$14),2)</f>
        <v>0</v>
      </c>
      <c r="U896">
        <f>COUNTIFS('Bank Lines'!$G$5:$G$1640,A896,'Bank Lines'!$J$5:$J$1640,1,'Bank Lines'!$C$5:$C$1640,"&lt;="&amp;Cover!$C$14)</f>
        <v>0</v>
      </c>
      <c r="V896">
        <f>COUNTIFS('Odoo Items'!$J$5:$J$4331,A896,'Odoo Items'!$C$5:$C$4331,"&lt;="&amp;Cover!$C$14)</f>
        <v>0</v>
      </c>
      <c r="W896">
        <f>IF(AND(U896=0,V896=0),"",IF(U896=0,"ODOO-ONLY",IF(V896=0,"BANK-ONLY","BOTH")))</f>
      </c>
      <c r="X896" s="9">
        <f>IF(W896="BOTH",ROUND(S896-T896,2),0)</f>
        <v>0</v>
      </c>
      <c r="Y896" s="9">
        <f>ROUND(SUMIFS('Bank Lines'!$E$5:$E$1640,'Bank Lines'!$G$5:$G$1640,A896,'Bank Lines'!$J$5:$J$1640,1,'Bank Lines'!$C$5:$C$1640,"&lt;="&amp;Cover!$C$15),2)</f>
        <v>3246.85</v>
      </c>
      <c r="Z896" s="9">
        <f>ROUND(SUMIFS('Odoo Items'!$G$5:$G$4331,'Odoo Items'!$J$5:$J$4331,A896,'Odoo Items'!$C$5:$C$4331,"&lt;="&amp;Cover!$C$15),2)</f>
        <v>3246.85</v>
      </c>
      <c r="AA896">
        <f>COUNTIFS('Bank Lines'!$G$5:$G$1640,A896,'Bank Lines'!$J$5:$J$1640,1,'Bank Lines'!$C$5:$C$1640,"&lt;="&amp;Cover!$C$15)</f>
        <v>1</v>
      </c>
      <c r="AB896">
        <f>COUNTIFS('Odoo Items'!$J$5:$J$4331,A896,'Odoo Items'!$C$5:$C$4331,"&lt;="&amp;Cover!$C$15)</f>
        <v>1</v>
      </c>
      <c r="AC896" t="str">
        <f>IF(AND(AA896=0,AB896=0),"",IF(AA896=0,"ODOO-ONLY",IF(AB896=0,"BANK-ONLY","BOTH")))</f>
        <v>BOTH</v>
      </c>
      <c r="AD896" s="9">
        <f>IF(AC896="BOTH",ROUND(Y896-Z896,2),0)</f>
        <v>0</v>
      </c>
    </row>
    <row r="897">
      <c r="A897" t="inlineStr">
        <is>
          <t>G00893</t>
        </is>
      </c>
      <c r="B897" t="inlineStr">
        <is>
          <t>MER</t>
        </is>
      </c>
      <c r="C897" t="inlineStr">
        <is>
          <t>R08</t>
        </is>
      </c>
      <c r="D897" t="inlineStr">
        <is>
          <t>MATCH</t>
        </is>
      </c>
      <c r="E897" t="inlineStr"/>
      <c r="G897" t="inlineStr"/>
      <c r="H897">
        <f>COUNTIFS('Bank Lines'!$G$5:$G$1640,A897,'Bank Lines'!$J$5:$J$1640,1)</f>
        <v>1</v>
      </c>
      <c r="I897">
        <f>COUNTIFS('Odoo Items'!$J$5:$J$4331,A897)</f>
        <v>1</v>
      </c>
      <c r="J897" s="9">
        <f>ROUND(SUMIFS('Bank Lines'!$E$5:$E$1640,'Bank Lines'!$G$5:$G$1640,A897,'Bank Lines'!$J$5:$J$1640,1),2)</f>
        <v>3167.28</v>
      </c>
      <c r="K897" s="9">
        <f>ROUND(SUMIFS('Odoo Items'!$G$5:$G$4331,'Odoo Items'!$J$5:$J$4331,A897),2)</f>
        <v>3167.28</v>
      </c>
      <c r="L897" s="9">
        <f>ROUND(J897-K897,2)</f>
        <v>0</v>
      </c>
      <c r="M897" s="9">
        <f>ROUND(SUMIFS('Bank Lines'!$E$5:$E$1640,'Bank Lines'!$G$5:$G$1640,A897,'Bank Lines'!$J$5:$J$1640,1,'Bank Lines'!$C$5:$C$1640,"&lt;="&amp;Cover!$C$13),2)</f>
        <v>0</v>
      </c>
      <c r="N897" s="9">
        <f>ROUND(SUMIFS('Odoo Items'!$G$5:$G$4331,'Odoo Items'!$J$5:$J$4331,A897,'Odoo Items'!$C$5:$C$4331,"&lt;="&amp;Cover!$C$13),2)</f>
        <v>0</v>
      </c>
      <c r="O897">
        <f>COUNTIFS('Bank Lines'!$G$5:$G$1640,A897,'Bank Lines'!$J$5:$J$1640,1,'Bank Lines'!$C$5:$C$1640,"&lt;="&amp;Cover!$C$13)</f>
        <v>0</v>
      </c>
      <c r="P897">
        <f>COUNTIFS('Odoo Items'!$J$5:$J$4331,A897,'Odoo Items'!$C$5:$C$4331,"&lt;="&amp;Cover!$C$13)</f>
        <v>0</v>
      </c>
      <c r="Q897">
        <f>IF(AND(O897=0,P897=0),"",IF(O897=0,"ODOO-ONLY",IF(P897=0,"BANK-ONLY","BOTH")))</f>
      </c>
      <c r="R897" s="9">
        <f>IF(Q897="BOTH",ROUND(M897-N897,2),0)</f>
        <v>0</v>
      </c>
      <c r="S897" s="9">
        <f>ROUND(SUMIFS('Bank Lines'!$E$5:$E$1640,'Bank Lines'!$G$5:$G$1640,A897,'Bank Lines'!$J$5:$J$1640,1,'Bank Lines'!$C$5:$C$1640,"&lt;="&amp;Cover!$C$14),2)</f>
        <v>0</v>
      </c>
      <c r="T897" s="9">
        <f>ROUND(SUMIFS('Odoo Items'!$G$5:$G$4331,'Odoo Items'!$J$5:$J$4331,A897,'Odoo Items'!$C$5:$C$4331,"&lt;="&amp;Cover!$C$14),2)</f>
        <v>0</v>
      </c>
      <c r="U897">
        <f>COUNTIFS('Bank Lines'!$G$5:$G$1640,A897,'Bank Lines'!$J$5:$J$1640,1,'Bank Lines'!$C$5:$C$1640,"&lt;="&amp;Cover!$C$14)</f>
        <v>0</v>
      </c>
      <c r="V897">
        <f>COUNTIFS('Odoo Items'!$J$5:$J$4331,A897,'Odoo Items'!$C$5:$C$4331,"&lt;="&amp;Cover!$C$14)</f>
        <v>0</v>
      </c>
      <c r="W897">
        <f>IF(AND(U897=0,V897=0),"",IF(U897=0,"ODOO-ONLY",IF(V897=0,"BANK-ONLY","BOTH")))</f>
      </c>
      <c r="X897" s="9">
        <f>IF(W897="BOTH",ROUND(S897-T897,2),0)</f>
        <v>0</v>
      </c>
      <c r="Y897" s="9">
        <f>ROUND(SUMIFS('Bank Lines'!$E$5:$E$1640,'Bank Lines'!$G$5:$G$1640,A897,'Bank Lines'!$J$5:$J$1640,1,'Bank Lines'!$C$5:$C$1640,"&lt;="&amp;Cover!$C$15),2)</f>
        <v>3167.28</v>
      </c>
      <c r="Z897" s="9">
        <f>ROUND(SUMIFS('Odoo Items'!$G$5:$G$4331,'Odoo Items'!$J$5:$J$4331,A897,'Odoo Items'!$C$5:$C$4331,"&lt;="&amp;Cover!$C$15),2)</f>
        <v>3167.28</v>
      </c>
      <c r="AA897">
        <f>COUNTIFS('Bank Lines'!$G$5:$G$1640,A897,'Bank Lines'!$J$5:$J$1640,1,'Bank Lines'!$C$5:$C$1640,"&lt;="&amp;Cover!$C$15)</f>
        <v>1</v>
      </c>
      <c r="AB897">
        <f>COUNTIFS('Odoo Items'!$J$5:$J$4331,A897,'Odoo Items'!$C$5:$C$4331,"&lt;="&amp;Cover!$C$15)</f>
        <v>1</v>
      </c>
      <c r="AC897" t="str">
        <f>IF(AND(AA897=0,AB897=0),"",IF(AA897=0,"ODOO-ONLY",IF(AB897=0,"BANK-ONLY","BOTH")))</f>
        <v>BOTH</v>
      </c>
      <c r="AD897" s="9">
        <f>IF(AC897="BOTH",ROUND(Y897-Z897,2),0)</f>
        <v>0</v>
      </c>
    </row>
    <row r="898">
      <c r="A898" t="inlineStr">
        <is>
          <t>G00894</t>
        </is>
      </c>
      <c r="B898" t="inlineStr">
        <is>
          <t>MER</t>
        </is>
      </c>
      <c r="C898" t="inlineStr">
        <is>
          <t>R08</t>
        </is>
      </c>
      <c r="D898" t="inlineStr">
        <is>
          <t>MATCH</t>
        </is>
      </c>
      <c r="E898" t="inlineStr"/>
      <c r="G898" t="inlineStr"/>
      <c r="H898">
        <f>COUNTIFS('Bank Lines'!$G$5:$G$1640,A898,'Bank Lines'!$J$5:$J$1640,1)</f>
        <v>1</v>
      </c>
      <c r="I898">
        <f>COUNTIFS('Odoo Items'!$J$5:$J$4331,A898)</f>
        <v>1</v>
      </c>
      <c r="J898" s="9">
        <f>ROUND(SUMIFS('Bank Lines'!$E$5:$E$1640,'Bank Lines'!$G$5:$G$1640,A898,'Bank Lines'!$J$5:$J$1640,1),2)</f>
        <v>1541.19</v>
      </c>
      <c r="K898" s="9">
        <f>ROUND(SUMIFS('Odoo Items'!$G$5:$G$4331,'Odoo Items'!$J$5:$J$4331,A898),2)</f>
        <v>1541.19</v>
      </c>
      <c r="L898" s="9">
        <f>ROUND(J898-K898,2)</f>
        <v>0</v>
      </c>
      <c r="M898" s="9">
        <f>ROUND(SUMIFS('Bank Lines'!$E$5:$E$1640,'Bank Lines'!$G$5:$G$1640,A898,'Bank Lines'!$J$5:$J$1640,1,'Bank Lines'!$C$5:$C$1640,"&lt;="&amp;Cover!$C$13),2)</f>
        <v>0</v>
      </c>
      <c r="N898" s="9">
        <f>ROUND(SUMIFS('Odoo Items'!$G$5:$G$4331,'Odoo Items'!$J$5:$J$4331,A898,'Odoo Items'!$C$5:$C$4331,"&lt;="&amp;Cover!$C$13),2)</f>
        <v>0</v>
      </c>
      <c r="O898">
        <f>COUNTIFS('Bank Lines'!$G$5:$G$1640,A898,'Bank Lines'!$J$5:$J$1640,1,'Bank Lines'!$C$5:$C$1640,"&lt;="&amp;Cover!$C$13)</f>
        <v>0</v>
      </c>
      <c r="P898">
        <f>COUNTIFS('Odoo Items'!$J$5:$J$4331,A898,'Odoo Items'!$C$5:$C$4331,"&lt;="&amp;Cover!$C$13)</f>
        <v>0</v>
      </c>
      <c r="Q898">
        <f>IF(AND(O898=0,P898=0),"",IF(O898=0,"ODOO-ONLY",IF(P898=0,"BANK-ONLY","BOTH")))</f>
      </c>
      <c r="R898" s="9">
        <f>IF(Q898="BOTH",ROUND(M898-N898,2),0)</f>
        <v>0</v>
      </c>
      <c r="S898" s="9">
        <f>ROUND(SUMIFS('Bank Lines'!$E$5:$E$1640,'Bank Lines'!$G$5:$G$1640,A898,'Bank Lines'!$J$5:$J$1640,1,'Bank Lines'!$C$5:$C$1640,"&lt;="&amp;Cover!$C$14),2)</f>
        <v>0</v>
      </c>
      <c r="T898" s="9">
        <f>ROUND(SUMIFS('Odoo Items'!$G$5:$G$4331,'Odoo Items'!$J$5:$J$4331,A898,'Odoo Items'!$C$5:$C$4331,"&lt;="&amp;Cover!$C$14),2)</f>
        <v>0</v>
      </c>
      <c r="U898">
        <f>COUNTIFS('Bank Lines'!$G$5:$G$1640,A898,'Bank Lines'!$J$5:$J$1640,1,'Bank Lines'!$C$5:$C$1640,"&lt;="&amp;Cover!$C$14)</f>
        <v>0</v>
      </c>
      <c r="V898">
        <f>COUNTIFS('Odoo Items'!$J$5:$J$4331,A898,'Odoo Items'!$C$5:$C$4331,"&lt;="&amp;Cover!$C$14)</f>
        <v>0</v>
      </c>
      <c r="W898">
        <f>IF(AND(U898=0,V898=0),"",IF(U898=0,"ODOO-ONLY",IF(V898=0,"BANK-ONLY","BOTH")))</f>
      </c>
      <c r="X898" s="9">
        <f>IF(W898="BOTH",ROUND(S898-T898,2),0)</f>
        <v>0</v>
      </c>
      <c r="Y898" s="9">
        <f>ROUND(SUMIFS('Bank Lines'!$E$5:$E$1640,'Bank Lines'!$G$5:$G$1640,A898,'Bank Lines'!$J$5:$J$1640,1,'Bank Lines'!$C$5:$C$1640,"&lt;="&amp;Cover!$C$15),2)</f>
        <v>1541.19</v>
      </c>
      <c r="Z898" s="9">
        <f>ROUND(SUMIFS('Odoo Items'!$G$5:$G$4331,'Odoo Items'!$J$5:$J$4331,A898,'Odoo Items'!$C$5:$C$4331,"&lt;="&amp;Cover!$C$15),2)</f>
        <v>1541.19</v>
      </c>
      <c r="AA898">
        <f>COUNTIFS('Bank Lines'!$G$5:$G$1640,A898,'Bank Lines'!$J$5:$J$1640,1,'Bank Lines'!$C$5:$C$1640,"&lt;="&amp;Cover!$C$15)</f>
        <v>1</v>
      </c>
      <c r="AB898">
        <f>COUNTIFS('Odoo Items'!$J$5:$J$4331,A898,'Odoo Items'!$C$5:$C$4331,"&lt;="&amp;Cover!$C$15)</f>
        <v>1</v>
      </c>
      <c r="AC898" t="str">
        <f>IF(AND(AA898=0,AB898=0),"",IF(AA898=0,"ODOO-ONLY",IF(AB898=0,"BANK-ONLY","BOTH")))</f>
        <v>BOTH</v>
      </c>
      <c r="AD898" s="9">
        <f>IF(AC898="BOTH",ROUND(Y898-Z898,2),0)</f>
        <v>0</v>
      </c>
    </row>
    <row r="899">
      <c r="A899" t="inlineStr">
        <is>
          <t>G00895</t>
        </is>
      </c>
      <c r="B899" t="inlineStr">
        <is>
          <t>MER</t>
        </is>
      </c>
      <c r="C899" t="inlineStr">
        <is>
          <t>R08</t>
        </is>
      </c>
      <c r="D899" t="inlineStr">
        <is>
          <t>MATCH</t>
        </is>
      </c>
      <c r="E899" t="inlineStr"/>
      <c r="G899" t="inlineStr"/>
      <c r="H899">
        <f>COUNTIFS('Bank Lines'!$G$5:$G$1640,A899,'Bank Lines'!$J$5:$J$1640,1)</f>
        <v>1</v>
      </c>
      <c r="I899">
        <f>COUNTIFS('Odoo Items'!$J$5:$J$4331,A899)</f>
        <v>1</v>
      </c>
      <c r="J899" s="9">
        <f>ROUND(SUMIFS('Bank Lines'!$E$5:$E$1640,'Bank Lines'!$G$5:$G$1640,A899,'Bank Lines'!$J$5:$J$1640,1),2)</f>
        <v>1692.56</v>
      </c>
      <c r="K899" s="9">
        <f>ROUND(SUMIFS('Odoo Items'!$G$5:$G$4331,'Odoo Items'!$J$5:$J$4331,A899),2)</f>
        <v>1692.56</v>
      </c>
      <c r="L899" s="9">
        <f>ROUND(J899-K899,2)</f>
        <v>0</v>
      </c>
      <c r="M899" s="9">
        <f>ROUND(SUMIFS('Bank Lines'!$E$5:$E$1640,'Bank Lines'!$G$5:$G$1640,A899,'Bank Lines'!$J$5:$J$1640,1,'Bank Lines'!$C$5:$C$1640,"&lt;="&amp;Cover!$C$13),2)</f>
        <v>0</v>
      </c>
      <c r="N899" s="9">
        <f>ROUND(SUMIFS('Odoo Items'!$G$5:$G$4331,'Odoo Items'!$J$5:$J$4331,A899,'Odoo Items'!$C$5:$C$4331,"&lt;="&amp;Cover!$C$13),2)</f>
        <v>0</v>
      </c>
      <c r="O899">
        <f>COUNTIFS('Bank Lines'!$G$5:$G$1640,A899,'Bank Lines'!$J$5:$J$1640,1,'Bank Lines'!$C$5:$C$1640,"&lt;="&amp;Cover!$C$13)</f>
        <v>0</v>
      </c>
      <c r="P899">
        <f>COUNTIFS('Odoo Items'!$J$5:$J$4331,A899,'Odoo Items'!$C$5:$C$4331,"&lt;="&amp;Cover!$C$13)</f>
        <v>0</v>
      </c>
      <c r="Q899">
        <f>IF(AND(O899=0,P899=0),"",IF(O899=0,"ODOO-ONLY",IF(P899=0,"BANK-ONLY","BOTH")))</f>
      </c>
      <c r="R899" s="9">
        <f>IF(Q899="BOTH",ROUND(M899-N899,2),0)</f>
        <v>0</v>
      </c>
      <c r="S899" s="9">
        <f>ROUND(SUMIFS('Bank Lines'!$E$5:$E$1640,'Bank Lines'!$G$5:$G$1640,A899,'Bank Lines'!$J$5:$J$1640,1,'Bank Lines'!$C$5:$C$1640,"&lt;="&amp;Cover!$C$14),2)</f>
        <v>0</v>
      </c>
      <c r="T899" s="9">
        <f>ROUND(SUMIFS('Odoo Items'!$G$5:$G$4331,'Odoo Items'!$J$5:$J$4331,A899,'Odoo Items'!$C$5:$C$4331,"&lt;="&amp;Cover!$C$14),2)</f>
        <v>0</v>
      </c>
      <c r="U899">
        <f>COUNTIFS('Bank Lines'!$G$5:$G$1640,A899,'Bank Lines'!$J$5:$J$1640,1,'Bank Lines'!$C$5:$C$1640,"&lt;="&amp;Cover!$C$14)</f>
        <v>0</v>
      </c>
      <c r="V899">
        <f>COUNTIFS('Odoo Items'!$J$5:$J$4331,A899,'Odoo Items'!$C$5:$C$4331,"&lt;="&amp;Cover!$C$14)</f>
        <v>0</v>
      </c>
      <c r="W899">
        <f>IF(AND(U899=0,V899=0),"",IF(U899=0,"ODOO-ONLY",IF(V899=0,"BANK-ONLY","BOTH")))</f>
      </c>
      <c r="X899" s="9">
        <f>IF(W899="BOTH",ROUND(S899-T899,2),0)</f>
        <v>0</v>
      </c>
      <c r="Y899" s="9">
        <f>ROUND(SUMIFS('Bank Lines'!$E$5:$E$1640,'Bank Lines'!$G$5:$G$1640,A899,'Bank Lines'!$J$5:$J$1640,1,'Bank Lines'!$C$5:$C$1640,"&lt;="&amp;Cover!$C$15),2)</f>
        <v>1692.56</v>
      </c>
      <c r="Z899" s="9">
        <f>ROUND(SUMIFS('Odoo Items'!$G$5:$G$4331,'Odoo Items'!$J$5:$J$4331,A899,'Odoo Items'!$C$5:$C$4331,"&lt;="&amp;Cover!$C$15),2)</f>
        <v>1692.56</v>
      </c>
      <c r="AA899">
        <f>COUNTIFS('Bank Lines'!$G$5:$G$1640,A899,'Bank Lines'!$J$5:$J$1640,1,'Bank Lines'!$C$5:$C$1640,"&lt;="&amp;Cover!$C$15)</f>
        <v>1</v>
      </c>
      <c r="AB899">
        <f>COUNTIFS('Odoo Items'!$J$5:$J$4331,A899,'Odoo Items'!$C$5:$C$4331,"&lt;="&amp;Cover!$C$15)</f>
        <v>1</v>
      </c>
      <c r="AC899" t="str">
        <f>IF(AND(AA899=0,AB899=0),"",IF(AA899=0,"ODOO-ONLY",IF(AB899=0,"BANK-ONLY","BOTH")))</f>
        <v>BOTH</v>
      </c>
      <c r="AD899" s="9">
        <f>IF(AC899="BOTH",ROUND(Y899-Z899,2),0)</f>
        <v>0</v>
      </c>
    </row>
    <row r="900">
      <c r="A900" t="inlineStr">
        <is>
          <t>G00896</t>
        </is>
      </c>
      <c r="B900" t="inlineStr">
        <is>
          <t>MER</t>
        </is>
      </c>
      <c r="C900" t="inlineStr">
        <is>
          <t>R08</t>
        </is>
      </c>
      <c r="D900" t="inlineStr">
        <is>
          <t>MATCH</t>
        </is>
      </c>
      <c r="E900" t="inlineStr"/>
      <c r="G900" t="inlineStr"/>
      <c r="H900">
        <f>COUNTIFS('Bank Lines'!$G$5:$G$1640,A900,'Bank Lines'!$J$5:$J$1640,1)</f>
        <v>1</v>
      </c>
      <c r="I900">
        <f>COUNTIFS('Odoo Items'!$J$5:$J$4331,A900)</f>
        <v>1</v>
      </c>
      <c r="J900" s="9">
        <f>ROUND(SUMIFS('Bank Lines'!$E$5:$E$1640,'Bank Lines'!$G$5:$G$1640,A900,'Bank Lines'!$J$5:$J$1640,1),2)</f>
        <v>3070.44</v>
      </c>
      <c r="K900" s="9">
        <f>ROUND(SUMIFS('Odoo Items'!$G$5:$G$4331,'Odoo Items'!$J$5:$J$4331,A900),2)</f>
        <v>3070.44</v>
      </c>
      <c r="L900" s="9">
        <f>ROUND(J900-K900,2)</f>
        <v>0</v>
      </c>
      <c r="M900" s="9">
        <f>ROUND(SUMIFS('Bank Lines'!$E$5:$E$1640,'Bank Lines'!$G$5:$G$1640,A900,'Bank Lines'!$J$5:$J$1640,1,'Bank Lines'!$C$5:$C$1640,"&lt;="&amp;Cover!$C$13),2)</f>
        <v>0</v>
      </c>
      <c r="N900" s="9">
        <f>ROUND(SUMIFS('Odoo Items'!$G$5:$G$4331,'Odoo Items'!$J$5:$J$4331,A900,'Odoo Items'!$C$5:$C$4331,"&lt;="&amp;Cover!$C$13),2)</f>
        <v>0</v>
      </c>
      <c r="O900">
        <f>COUNTIFS('Bank Lines'!$G$5:$G$1640,A900,'Bank Lines'!$J$5:$J$1640,1,'Bank Lines'!$C$5:$C$1640,"&lt;="&amp;Cover!$C$13)</f>
        <v>0</v>
      </c>
      <c r="P900">
        <f>COUNTIFS('Odoo Items'!$J$5:$J$4331,A900,'Odoo Items'!$C$5:$C$4331,"&lt;="&amp;Cover!$C$13)</f>
        <v>0</v>
      </c>
      <c r="Q900">
        <f>IF(AND(O900=0,P900=0),"",IF(O900=0,"ODOO-ONLY",IF(P900=0,"BANK-ONLY","BOTH")))</f>
      </c>
      <c r="R900" s="9">
        <f>IF(Q900="BOTH",ROUND(M900-N900,2),0)</f>
        <v>0</v>
      </c>
      <c r="S900" s="9">
        <f>ROUND(SUMIFS('Bank Lines'!$E$5:$E$1640,'Bank Lines'!$G$5:$G$1640,A900,'Bank Lines'!$J$5:$J$1640,1,'Bank Lines'!$C$5:$C$1640,"&lt;="&amp;Cover!$C$14),2)</f>
        <v>0</v>
      </c>
      <c r="T900" s="9">
        <f>ROUND(SUMIFS('Odoo Items'!$G$5:$G$4331,'Odoo Items'!$J$5:$J$4331,A900,'Odoo Items'!$C$5:$C$4331,"&lt;="&amp;Cover!$C$14),2)</f>
        <v>0</v>
      </c>
      <c r="U900">
        <f>COUNTIFS('Bank Lines'!$G$5:$G$1640,A900,'Bank Lines'!$J$5:$J$1640,1,'Bank Lines'!$C$5:$C$1640,"&lt;="&amp;Cover!$C$14)</f>
        <v>0</v>
      </c>
      <c r="V900">
        <f>COUNTIFS('Odoo Items'!$J$5:$J$4331,A900,'Odoo Items'!$C$5:$C$4331,"&lt;="&amp;Cover!$C$14)</f>
        <v>0</v>
      </c>
      <c r="W900">
        <f>IF(AND(U900=0,V900=0),"",IF(U900=0,"ODOO-ONLY",IF(V900=0,"BANK-ONLY","BOTH")))</f>
      </c>
      <c r="X900" s="9">
        <f>IF(W900="BOTH",ROUND(S900-T900,2),0)</f>
        <v>0</v>
      </c>
      <c r="Y900" s="9">
        <f>ROUND(SUMIFS('Bank Lines'!$E$5:$E$1640,'Bank Lines'!$G$5:$G$1640,A900,'Bank Lines'!$J$5:$J$1640,1,'Bank Lines'!$C$5:$C$1640,"&lt;="&amp;Cover!$C$15),2)</f>
        <v>3070.44</v>
      </c>
      <c r="Z900" s="9">
        <f>ROUND(SUMIFS('Odoo Items'!$G$5:$G$4331,'Odoo Items'!$J$5:$J$4331,A900,'Odoo Items'!$C$5:$C$4331,"&lt;="&amp;Cover!$C$15),2)</f>
        <v>3070.44</v>
      </c>
      <c r="AA900">
        <f>COUNTIFS('Bank Lines'!$G$5:$G$1640,A900,'Bank Lines'!$J$5:$J$1640,1,'Bank Lines'!$C$5:$C$1640,"&lt;="&amp;Cover!$C$15)</f>
        <v>1</v>
      </c>
      <c r="AB900">
        <f>COUNTIFS('Odoo Items'!$J$5:$J$4331,A900,'Odoo Items'!$C$5:$C$4331,"&lt;="&amp;Cover!$C$15)</f>
        <v>1</v>
      </c>
      <c r="AC900" t="str">
        <f>IF(AND(AA900=0,AB900=0),"",IF(AA900=0,"ODOO-ONLY",IF(AB900=0,"BANK-ONLY","BOTH")))</f>
        <v>BOTH</v>
      </c>
      <c r="AD900" s="9">
        <f>IF(AC900="BOTH",ROUND(Y900-Z900,2),0)</f>
        <v>0</v>
      </c>
    </row>
    <row r="901">
      <c r="A901" t="inlineStr">
        <is>
          <t>G00897</t>
        </is>
      </c>
      <c r="B901" t="inlineStr">
        <is>
          <t>USD</t>
        </is>
      </c>
      <c r="C901" t="inlineStr">
        <is>
          <t>R04</t>
        </is>
      </c>
      <c r="D901" t="inlineStr">
        <is>
          <t>MATCH</t>
        </is>
      </c>
      <c r="E901" t="inlineStr"/>
      <c r="G901" t="inlineStr">
        <is>
          <t>Reference FX0710</t>
        </is>
      </c>
      <c r="H901">
        <f>COUNTIFS('Bank Lines'!$G$5:$G$1640,A901,'Bank Lines'!$J$5:$J$1640,1)</f>
        <v>1</v>
      </c>
      <c r="I901">
        <f>COUNTIFS('Odoo Items'!$J$5:$J$4331,A901)</f>
        <v>1</v>
      </c>
      <c r="J901" s="9">
        <f>ROUND(SUMIFS('Bank Lines'!$E$5:$E$1640,'Bank Lines'!$G$5:$G$1640,A901,'Bank Lines'!$J$5:$J$1640,1),2)</f>
        <v>9000</v>
      </c>
      <c r="K901" s="9">
        <f>ROUND(SUMIFS('Odoo Items'!$G$5:$G$4331,'Odoo Items'!$J$5:$J$4331,A901),2)</f>
        <v>9000</v>
      </c>
      <c r="L901" s="9">
        <f>ROUND(J901-K901,2)</f>
        <v>0</v>
      </c>
      <c r="M901" s="9">
        <f>ROUND(SUMIFS('Bank Lines'!$E$5:$E$1640,'Bank Lines'!$G$5:$G$1640,A901,'Bank Lines'!$J$5:$J$1640,1,'Bank Lines'!$C$5:$C$1640,"&lt;="&amp;Cover!$C$13),2)</f>
        <v>9000</v>
      </c>
      <c r="N901" s="9">
        <f>ROUND(SUMIFS('Odoo Items'!$G$5:$G$4331,'Odoo Items'!$J$5:$J$4331,A901,'Odoo Items'!$C$5:$C$4331,"&lt;="&amp;Cover!$C$13),2)</f>
        <v>9000</v>
      </c>
      <c r="O901">
        <f>COUNTIFS('Bank Lines'!$G$5:$G$1640,A901,'Bank Lines'!$J$5:$J$1640,1,'Bank Lines'!$C$5:$C$1640,"&lt;="&amp;Cover!$C$13)</f>
        <v>1</v>
      </c>
      <c r="P901">
        <f>COUNTIFS('Odoo Items'!$J$5:$J$4331,A901,'Odoo Items'!$C$5:$C$4331,"&lt;="&amp;Cover!$C$13)</f>
        <v>1</v>
      </c>
      <c r="Q901" t="str">
        <f>IF(AND(O901=0,P901=0),"",IF(O901=0,"ODOO-ONLY",IF(P901=0,"BANK-ONLY","BOTH")))</f>
        <v>BOTH</v>
      </c>
      <c r="R901" s="9">
        <f>IF(Q901="BOTH",ROUND(M901-N901,2),0)</f>
        <v>0</v>
      </c>
      <c r="S901" s="9">
        <f>ROUND(SUMIFS('Bank Lines'!$E$5:$E$1640,'Bank Lines'!$G$5:$G$1640,A901,'Bank Lines'!$J$5:$J$1640,1,'Bank Lines'!$C$5:$C$1640,"&lt;="&amp;Cover!$C$14),2)</f>
        <v>9000</v>
      </c>
      <c r="T901" s="9">
        <f>ROUND(SUMIFS('Odoo Items'!$G$5:$G$4331,'Odoo Items'!$J$5:$J$4331,A901,'Odoo Items'!$C$5:$C$4331,"&lt;="&amp;Cover!$C$14),2)</f>
        <v>9000</v>
      </c>
      <c r="U901">
        <f>COUNTIFS('Bank Lines'!$G$5:$G$1640,A901,'Bank Lines'!$J$5:$J$1640,1,'Bank Lines'!$C$5:$C$1640,"&lt;="&amp;Cover!$C$14)</f>
        <v>1</v>
      </c>
      <c r="V901">
        <f>COUNTIFS('Odoo Items'!$J$5:$J$4331,A901,'Odoo Items'!$C$5:$C$4331,"&lt;="&amp;Cover!$C$14)</f>
        <v>1</v>
      </c>
      <c r="W901" t="str">
        <f>IF(AND(U901=0,V901=0),"",IF(U901=0,"ODOO-ONLY",IF(V901=0,"BANK-ONLY","BOTH")))</f>
        <v>BOTH</v>
      </c>
      <c r="X901" s="9">
        <f>IF(W901="BOTH",ROUND(S901-T901,2),0)</f>
        <v>0</v>
      </c>
      <c r="Y901" s="9">
        <f>ROUND(SUMIFS('Bank Lines'!$E$5:$E$1640,'Bank Lines'!$G$5:$G$1640,A901,'Bank Lines'!$J$5:$J$1640,1,'Bank Lines'!$C$5:$C$1640,"&lt;="&amp;Cover!$C$15),2)</f>
        <v>9000</v>
      </c>
      <c r="Z901" s="9">
        <f>ROUND(SUMIFS('Odoo Items'!$G$5:$G$4331,'Odoo Items'!$J$5:$J$4331,A901,'Odoo Items'!$C$5:$C$4331,"&lt;="&amp;Cover!$C$15),2)</f>
        <v>9000</v>
      </c>
      <c r="AA901">
        <f>COUNTIFS('Bank Lines'!$G$5:$G$1640,A901,'Bank Lines'!$J$5:$J$1640,1,'Bank Lines'!$C$5:$C$1640,"&lt;="&amp;Cover!$C$15)</f>
        <v>1</v>
      </c>
      <c r="AB901">
        <f>COUNTIFS('Odoo Items'!$J$5:$J$4331,A901,'Odoo Items'!$C$5:$C$4331,"&lt;="&amp;Cover!$C$15)</f>
        <v>1</v>
      </c>
      <c r="AC901" t="str">
        <f>IF(AND(AA901=0,AB901=0),"",IF(AA901=0,"ODOO-ONLY",IF(AB901=0,"BANK-ONLY","BOTH")))</f>
        <v>BOTH</v>
      </c>
      <c r="AD901" s="9">
        <f>IF(AC901="BOTH",ROUND(Y901-Z901,2),0)</f>
        <v>0</v>
      </c>
    </row>
    <row r="902">
      <c r="A902" t="inlineStr">
        <is>
          <t>G00898</t>
        </is>
      </c>
      <c r="B902" t="inlineStr">
        <is>
          <t>USD</t>
        </is>
      </c>
      <c r="C902" t="inlineStr">
        <is>
          <t>R04</t>
        </is>
      </c>
      <c r="D902" t="inlineStr">
        <is>
          <t>MATCH</t>
        </is>
      </c>
      <c r="E902" t="inlineStr"/>
      <c r="G902" t="inlineStr">
        <is>
          <t>Reference FX0810</t>
        </is>
      </c>
      <c r="H902">
        <f>COUNTIFS('Bank Lines'!$G$5:$G$1640,A902,'Bank Lines'!$J$5:$J$1640,1)</f>
        <v>1</v>
      </c>
      <c r="I902">
        <f>COUNTIFS('Odoo Items'!$J$5:$J$4331,A902)</f>
        <v>1</v>
      </c>
      <c r="J902" s="9">
        <f>ROUND(SUMIFS('Bank Lines'!$E$5:$E$1640,'Bank Lines'!$G$5:$G$1640,A902,'Bank Lines'!$J$5:$J$1640,1),2)</f>
        <v>9000</v>
      </c>
      <c r="K902" s="9">
        <f>ROUND(SUMIFS('Odoo Items'!$G$5:$G$4331,'Odoo Items'!$J$5:$J$4331,A902),2)</f>
        <v>9000</v>
      </c>
      <c r="L902" s="9">
        <f>ROUND(J902-K902,2)</f>
        <v>0</v>
      </c>
      <c r="M902" s="9">
        <f>ROUND(SUMIFS('Bank Lines'!$E$5:$E$1640,'Bank Lines'!$G$5:$G$1640,A902,'Bank Lines'!$J$5:$J$1640,1,'Bank Lines'!$C$5:$C$1640,"&lt;="&amp;Cover!$C$13),2)</f>
        <v>0</v>
      </c>
      <c r="N902" s="9">
        <f>ROUND(SUMIFS('Odoo Items'!$G$5:$G$4331,'Odoo Items'!$J$5:$J$4331,A902,'Odoo Items'!$C$5:$C$4331,"&lt;="&amp;Cover!$C$13),2)</f>
        <v>0</v>
      </c>
      <c r="O902">
        <f>COUNTIFS('Bank Lines'!$G$5:$G$1640,A902,'Bank Lines'!$J$5:$J$1640,1,'Bank Lines'!$C$5:$C$1640,"&lt;="&amp;Cover!$C$13)</f>
        <v>0</v>
      </c>
      <c r="P902">
        <f>COUNTIFS('Odoo Items'!$J$5:$J$4331,A902,'Odoo Items'!$C$5:$C$4331,"&lt;="&amp;Cover!$C$13)</f>
        <v>0</v>
      </c>
      <c r="Q902">
        <f>IF(AND(O902=0,P902=0),"",IF(O902=0,"ODOO-ONLY",IF(P902=0,"BANK-ONLY","BOTH")))</f>
      </c>
      <c r="R902" s="9">
        <f>IF(Q902="BOTH",ROUND(M902-N902,2),0)</f>
        <v>0</v>
      </c>
      <c r="S902" s="9">
        <f>ROUND(SUMIFS('Bank Lines'!$E$5:$E$1640,'Bank Lines'!$G$5:$G$1640,A902,'Bank Lines'!$J$5:$J$1640,1,'Bank Lines'!$C$5:$C$1640,"&lt;="&amp;Cover!$C$14),2)</f>
        <v>9000</v>
      </c>
      <c r="T902" s="9">
        <f>ROUND(SUMIFS('Odoo Items'!$G$5:$G$4331,'Odoo Items'!$J$5:$J$4331,A902,'Odoo Items'!$C$5:$C$4331,"&lt;="&amp;Cover!$C$14),2)</f>
        <v>9000</v>
      </c>
      <c r="U902">
        <f>COUNTIFS('Bank Lines'!$G$5:$G$1640,A902,'Bank Lines'!$J$5:$J$1640,1,'Bank Lines'!$C$5:$C$1640,"&lt;="&amp;Cover!$C$14)</f>
        <v>1</v>
      </c>
      <c r="V902">
        <f>COUNTIFS('Odoo Items'!$J$5:$J$4331,A902,'Odoo Items'!$C$5:$C$4331,"&lt;="&amp;Cover!$C$14)</f>
        <v>1</v>
      </c>
      <c r="W902" t="str">
        <f>IF(AND(U902=0,V902=0),"",IF(U902=0,"ODOO-ONLY",IF(V902=0,"BANK-ONLY","BOTH")))</f>
        <v>BOTH</v>
      </c>
      <c r="X902" s="9">
        <f>IF(W902="BOTH",ROUND(S902-T902,2),0)</f>
        <v>0</v>
      </c>
      <c r="Y902" s="9">
        <f>ROUND(SUMIFS('Bank Lines'!$E$5:$E$1640,'Bank Lines'!$G$5:$G$1640,A902,'Bank Lines'!$J$5:$J$1640,1,'Bank Lines'!$C$5:$C$1640,"&lt;="&amp;Cover!$C$15),2)</f>
        <v>9000</v>
      </c>
      <c r="Z902" s="9">
        <f>ROUND(SUMIFS('Odoo Items'!$G$5:$G$4331,'Odoo Items'!$J$5:$J$4331,A902,'Odoo Items'!$C$5:$C$4331,"&lt;="&amp;Cover!$C$15),2)</f>
        <v>9000</v>
      </c>
      <c r="AA902">
        <f>COUNTIFS('Bank Lines'!$G$5:$G$1640,A902,'Bank Lines'!$J$5:$J$1640,1,'Bank Lines'!$C$5:$C$1640,"&lt;="&amp;Cover!$C$15)</f>
        <v>1</v>
      </c>
      <c r="AB902">
        <f>COUNTIFS('Odoo Items'!$J$5:$J$4331,A902,'Odoo Items'!$C$5:$C$4331,"&lt;="&amp;Cover!$C$15)</f>
        <v>1</v>
      </c>
      <c r="AC902" t="str">
        <f>IF(AND(AA902=0,AB902=0),"",IF(AA902=0,"ODOO-ONLY",IF(AB902=0,"BANK-ONLY","BOTH")))</f>
        <v>BOTH</v>
      </c>
      <c r="AD902" s="9">
        <f>IF(AC902="BOTH",ROUND(Y902-Z902,2),0)</f>
        <v>0</v>
      </c>
    </row>
    <row r="903">
      <c r="A903" t="inlineStr">
        <is>
          <t>G00899</t>
        </is>
      </c>
      <c r="B903" t="inlineStr">
        <is>
          <t>USD</t>
        </is>
      </c>
      <c r="C903" t="inlineStr">
        <is>
          <t>R04</t>
        </is>
      </c>
      <c r="D903" t="inlineStr">
        <is>
          <t>MATCH</t>
        </is>
      </c>
      <c r="E903" t="inlineStr"/>
      <c r="G903" t="inlineStr">
        <is>
          <t>Reference FX0910</t>
        </is>
      </c>
      <c r="H903">
        <f>COUNTIFS('Bank Lines'!$G$5:$G$1640,A903,'Bank Lines'!$J$5:$J$1640,1)</f>
        <v>1</v>
      </c>
      <c r="I903">
        <f>COUNTIFS('Odoo Items'!$J$5:$J$4331,A903)</f>
        <v>1</v>
      </c>
      <c r="J903" s="9">
        <f>ROUND(SUMIFS('Bank Lines'!$E$5:$E$1640,'Bank Lines'!$G$5:$G$1640,A903,'Bank Lines'!$J$5:$J$1640,1),2)</f>
        <v>9000</v>
      </c>
      <c r="K903" s="9">
        <f>ROUND(SUMIFS('Odoo Items'!$G$5:$G$4331,'Odoo Items'!$J$5:$J$4331,A903),2)</f>
        <v>9000</v>
      </c>
      <c r="L903" s="9">
        <f>ROUND(J903-K903,2)</f>
        <v>0</v>
      </c>
      <c r="M903" s="9">
        <f>ROUND(SUMIFS('Bank Lines'!$E$5:$E$1640,'Bank Lines'!$G$5:$G$1640,A903,'Bank Lines'!$J$5:$J$1640,1,'Bank Lines'!$C$5:$C$1640,"&lt;="&amp;Cover!$C$13),2)</f>
        <v>0</v>
      </c>
      <c r="N903" s="9">
        <f>ROUND(SUMIFS('Odoo Items'!$G$5:$G$4331,'Odoo Items'!$J$5:$J$4331,A903,'Odoo Items'!$C$5:$C$4331,"&lt;="&amp;Cover!$C$13),2)</f>
        <v>0</v>
      </c>
      <c r="O903">
        <f>COUNTIFS('Bank Lines'!$G$5:$G$1640,A903,'Bank Lines'!$J$5:$J$1640,1,'Bank Lines'!$C$5:$C$1640,"&lt;="&amp;Cover!$C$13)</f>
        <v>0</v>
      </c>
      <c r="P903">
        <f>COUNTIFS('Odoo Items'!$J$5:$J$4331,A903,'Odoo Items'!$C$5:$C$4331,"&lt;="&amp;Cover!$C$13)</f>
        <v>0</v>
      </c>
      <c r="Q903">
        <f>IF(AND(O903=0,P903=0),"",IF(O903=0,"ODOO-ONLY",IF(P903=0,"BANK-ONLY","BOTH")))</f>
      </c>
      <c r="R903" s="9">
        <f>IF(Q903="BOTH",ROUND(M903-N903,2),0)</f>
        <v>0</v>
      </c>
      <c r="S903" s="9">
        <f>ROUND(SUMIFS('Bank Lines'!$E$5:$E$1640,'Bank Lines'!$G$5:$G$1640,A903,'Bank Lines'!$J$5:$J$1640,1,'Bank Lines'!$C$5:$C$1640,"&lt;="&amp;Cover!$C$14),2)</f>
        <v>0</v>
      </c>
      <c r="T903" s="9">
        <f>ROUND(SUMIFS('Odoo Items'!$G$5:$G$4331,'Odoo Items'!$J$5:$J$4331,A903,'Odoo Items'!$C$5:$C$4331,"&lt;="&amp;Cover!$C$14),2)</f>
        <v>0</v>
      </c>
      <c r="U903">
        <f>COUNTIFS('Bank Lines'!$G$5:$G$1640,A903,'Bank Lines'!$J$5:$J$1640,1,'Bank Lines'!$C$5:$C$1640,"&lt;="&amp;Cover!$C$14)</f>
        <v>0</v>
      </c>
      <c r="V903">
        <f>COUNTIFS('Odoo Items'!$J$5:$J$4331,A903,'Odoo Items'!$C$5:$C$4331,"&lt;="&amp;Cover!$C$14)</f>
        <v>0</v>
      </c>
      <c r="W903">
        <f>IF(AND(U903=0,V903=0),"",IF(U903=0,"ODOO-ONLY",IF(V903=0,"BANK-ONLY","BOTH")))</f>
      </c>
      <c r="X903" s="9">
        <f>IF(W903="BOTH",ROUND(S903-T903,2),0)</f>
        <v>0</v>
      </c>
      <c r="Y903" s="9">
        <f>ROUND(SUMIFS('Bank Lines'!$E$5:$E$1640,'Bank Lines'!$G$5:$G$1640,A903,'Bank Lines'!$J$5:$J$1640,1,'Bank Lines'!$C$5:$C$1640,"&lt;="&amp;Cover!$C$15),2)</f>
        <v>9000</v>
      </c>
      <c r="Z903" s="9">
        <f>ROUND(SUMIFS('Odoo Items'!$G$5:$G$4331,'Odoo Items'!$J$5:$J$4331,A903,'Odoo Items'!$C$5:$C$4331,"&lt;="&amp;Cover!$C$15),2)</f>
        <v>9000</v>
      </c>
      <c r="AA903">
        <f>COUNTIFS('Bank Lines'!$G$5:$G$1640,A903,'Bank Lines'!$J$5:$J$1640,1,'Bank Lines'!$C$5:$C$1640,"&lt;="&amp;Cover!$C$15)</f>
        <v>1</v>
      </c>
      <c r="AB903">
        <f>COUNTIFS('Odoo Items'!$J$5:$J$4331,A903,'Odoo Items'!$C$5:$C$4331,"&lt;="&amp;Cover!$C$15)</f>
        <v>1</v>
      </c>
      <c r="AC903" t="str">
        <f>IF(AND(AA903=0,AB903=0),"",IF(AA903=0,"ODOO-ONLY",IF(AB903=0,"BANK-ONLY","BOTH")))</f>
        <v>BOTH</v>
      </c>
      <c r="AD903" s="9">
        <f>IF(AC903="BOTH",ROUND(Y903-Z903,2),0)</f>
        <v>0</v>
      </c>
    </row>
    <row r="904">
      <c r="A904" t="inlineStr">
        <is>
          <t>G00900</t>
        </is>
      </c>
      <c r="B904" t="inlineStr">
        <is>
          <t>OPS</t>
        </is>
      </c>
      <c r="C904" t="inlineStr">
        <is>
          <t>R09</t>
        </is>
      </c>
      <c r="D904" t="inlineStr">
        <is>
          <t>MATCH</t>
        </is>
      </c>
      <c r="E904" t="inlineStr">
        <is>
          <t>Harbour Mutual Health</t>
        </is>
      </c>
      <c r="F904" t="n">
        <v>1</v>
      </c>
      <c r="G904" t="inlineStr">
        <is>
          <t>Reference INV/2026/01388</t>
        </is>
      </c>
      <c r="H904">
        <f>COUNTIFS('Bank Lines'!$G$5:$G$1640,A904,'Bank Lines'!$J$5:$J$1640,1)</f>
        <v>1</v>
      </c>
      <c r="I904">
        <f>COUNTIFS('Odoo Items'!$J$5:$J$4331,A904)</f>
        <v>1</v>
      </c>
      <c r="J904" s="9">
        <f>ROUND(SUMIFS('Bank Lines'!$E$5:$E$1640,'Bank Lines'!$G$5:$G$1640,A904,'Bank Lines'!$J$5:$J$1640,1),2)</f>
        <v>2364</v>
      </c>
      <c r="K904" s="9">
        <f>ROUND(SUMIFS('Odoo Items'!$G$5:$G$4331,'Odoo Items'!$J$5:$J$4331,A904),2)</f>
        <v>2364</v>
      </c>
      <c r="L904" s="9">
        <f>ROUND(J904-K904,2)</f>
        <v>0</v>
      </c>
      <c r="M904" s="9">
        <f>ROUND(SUMIFS('Bank Lines'!$E$5:$E$1640,'Bank Lines'!$G$5:$G$1640,A904,'Bank Lines'!$J$5:$J$1640,1,'Bank Lines'!$C$5:$C$1640,"&lt;="&amp;Cover!$C$13),2)</f>
        <v>2364</v>
      </c>
      <c r="N904" s="9">
        <f>ROUND(SUMIFS('Odoo Items'!$G$5:$G$4331,'Odoo Items'!$J$5:$J$4331,A904,'Odoo Items'!$C$5:$C$4331,"&lt;="&amp;Cover!$C$13),2)</f>
        <v>2364</v>
      </c>
      <c r="O904">
        <f>COUNTIFS('Bank Lines'!$G$5:$G$1640,A904,'Bank Lines'!$J$5:$J$1640,1,'Bank Lines'!$C$5:$C$1640,"&lt;="&amp;Cover!$C$13)</f>
        <v>1</v>
      </c>
      <c r="P904">
        <f>COUNTIFS('Odoo Items'!$J$5:$J$4331,A904,'Odoo Items'!$C$5:$C$4331,"&lt;="&amp;Cover!$C$13)</f>
        <v>1</v>
      </c>
      <c r="Q904" t="str">
        <f>IF(AND(O904=0,P904=0),"",IF(O904=0,"ODOO-ONLY",IF(P904=0,"BANK-ONLY","BOTH")))</f>
        <v>BOTH</v>
      </c>
      <c r="R904" s="9">
        <f>IF(Q904="BOTH",ROUND(M904-N904,2),0)</f>
        <v>0</v>
      </c>
      <c r="S904" s="9">
        <f>ROUND(SUMIFS('Bank Lines'!$E$5:$E$1640,'Bank Lines'!$G$5:$G$1640,A904,'Bank Lines'!$J$5:$J$1640,1,'Bank Lines'!$C$5:$C$1640,"&lt;="&amp;Cover!$C$14),2)</f>
        <v>2364</v>
      </c>
      <c r="T904" s="9">
        <f>ROUND(SUMIFS('Odoo Items'!$G$5:$G$4331,'Odoo Items'!$J$5:$J$4331,A904,'Odoo Items'!$C$5:$C$4331,"&lt;="&amp;Cover!$C$14),2)</f>
        <v>2364</v>
      </c>
      <c r="U904">
        <f>COUNTIFS('Bank Lines'!$G$5:$G$1640,A904,'Bank Lines'!$J$5:$J$1640,1,'Bank Lines'!$C$5:$C$1640,"&lt;="&amp;Cover!$C$14)</f>
        <v>1</v>
      </c>
      <c r="V904">
        <f>COUNTIFS('Odoo Items'!$J$5:$J$4331,A904,'Odoo Items'!$C$5:$C$4331,"&lt;="&amp;Cover!$C$14)</f>
        <v>1</v>
      </c>
      <c r="W904" t="str">
        <f>IF(AND(U904=0,V904=0),"",IF(U904=0,"ODOO-ONLY",IF(V904=0,"BANK-ONLY","BOTH")))</f>
        <v>BOTH</v>
      </c>
      <c r="X904" s="9">
        <f>IF(W904="BOTH",ROUND(S904-T904,2),0)</f>
        <v>0</v>
      </c>
      <c r="Y904" s="9">
        <f>ROUND(SUMIFS('Bank Lines'!$E$5:$E$1640,'Bank Lines'!$G$5:$G$1640,A904,'Bank Lines'!$J$5:$J$1640,1,'Bank Lines'!$C$5:$C$1640,"&lt;="&amp;Cover!$C$15),2)</f>
        <v>2364</v>
      </c>
      <c r="Z904" s="9">
        <f>ROUND(SUMIFS('Odoo Items'!$G$5:$G$4331,'Odoo Items'!$J$5:$J$4331,A904,'Odoo Items'!$C$5:$C$4331,"&lt;="&amp;Cover!$C$15),2)</f>
        <v>2364</v>
      </c>
      <c r="AA904">
        <f>COUNTIFS('Bank Lines'!$G$5:$G$1640,A904,'Bank Lines'!$J$5:$J$1640,1,'Bank Lines'!$C$5:$C$1640,"&lt;="&amp;Cover!$C$15)</f>
        <v>1</v>
      </c>
      <c r="AB904">
        <f>COUNTIFS('Odoo Items'!$J$5:$J$4331,A904,'Odoo Items'!$C$5:$C$4331,"&lt;="&amp;Cover!$C$15)</f>
        <v>1</v>
      </c>
      <c r="AC904" t="str">
        <f>IF(AND(AA904=0,AB904=0),"",IF(AA904=0,"ODOO-ONLY",IF(AB904=0,"BANK-ONLY","BOTH")))</f>
        <v>BOTH</v>
      </c>
      <c r="AD904" s="9">
        <f>IF(AC904="BOTH",ROUND(Y904-Z904,2),0)</f>
        <v>0</v>
      </c>
    </row>
    <row r="905">
      <c r="A905" t="inlineStr">
        <is>
          <t>G00901</t>
        </is>
      </c>
      <c r="B905" t="inlineStr">
        <is>
          <t>OPS</t>
        </is>
      </c>
      <c r="C905" t="inlineStr">
        <is>
          <t>R09</t>
        </is>
      </c>
      <c r="D905" t="inlineStr">
        <is>
          <t>MATCH</t>
        </is>
      </c>
      <c r="E905" t="inlineStr">
        <is>
          <t>Coastline Health Fund</t>
        </is>
      </c>
      <c r="F905" t="n">
        <v>1</v>
      </c>
      <c r="G905" t="inlineStr">
        <is>
          <t>Reference INV/2026/01728</t>
        </is>
      </c>
      <c r="H905">
        <f>COUNTIFS('Bank Lines'!$G$5:$G$1640,A905,'Bank Lines'!$J$5:$J$1640,1)</f>
        <v>1</v>
      </c>
      <c r="I905">
        <f>COUNTIFS('Odoo Items'!$J$5:$J$4331,A905)</f>
        <v>1</v>
      </c>
      <c r="J905" s="9">
        <f>ROUND(SUMIFS('Bank Lines'!$E$5:$E$1640,'Bank Lines'!$G$5:$G$1640,A905,'Bank Lines'!$J$5:$J$1640,1),2)</f>
        <v>132</v>
      </c>
      <c r="K905" s="9">
        <f>ROUND(SUMIFS('Odoo Items'!$G$5:$G$4331,'Odoo Items'!$J$5:$J$4331,A905),2)</f>
        <v>132</v>
      </c>
      <c r="L905" s="9">
        <f>ROUND(J905-K905,2)</f>
        <v>0</v>
      </c>
      <c r="M905" s="9">
        <f>ROUND(SUMIFS('Bank Lines'!$E$5:$E$1640,'Bank Lines'!$G$5:$G$1640,A905,'Bank Lines'!$J$5:$J$1640,1,'Bank Lines'!$C$5:$C$1640,"&lt;="&amp;Cover!$C$13),2)</f>
        <v>132</v>
      </c>
      <c r="N905" s="9">
        <f>ROUND(SUMIFS('Odoo Items'!$G$5:$G$4331,'Odoo Items'!$J$5:$J$4331,A905,'Odoo Items'!$C$5:$C$4331,"&lt;="&amp;Cover!$C$13),2)</f>
        <v>132</v>
      </c>
      <c r="O905">
        <f>COUNTIFS('Bank Lines'!$G$5:$G$1640,A905,'Bank Lines'!$J$5:$J$1640,1,'Bank Lines'!$C$5:$C$1640,"&lt;="&amp;Cover!$C$13)</f>
        <v>1</v>
      </c>
      <c r="P905">
        <f>COUNTIFS('Odoo Items'!$J$5:$J$4331,A905,'Odoo Items'!$C$5:$C$4331,"&lt;="&amp;Cover!$C$13)</f>
        <v>1</v>
      </c>
      <c r="Q905" t="str">
        <f>IF(AND(O905=0,P905=0),"",IF(O905=0,"ODOO-ONLY",IF(P905=0,"BANK-ONLY","BOTH")))</f>
        <v>BOTH</v>
      </c>
      <c r="R905" s="9">
        <f>IF(Q905="BOTH",ROUND(M905-N905,2),0)</f>
        <v>0</v>
      </c>
      <c r="S905" s="9">
        <f>ROUND(SUMIFS('Bank Lines'!$E$5:$E$1640,'Bank Lines'!$G$5:$G$1640,A905,'Bank Lines'!$J$5:$J$1640,1,'Bank Lines'!$C$5:$C$1640,"&lt;="&amp;Cover!$C$14),2)</f>
        <v>132</v>
      </c>
      <c r="T905" s="9">
        <f>ROUND(SUMIFS('Odoo Items'!$G$5:$G$4331,'Odoo Items'!$J$5:$J$4331,A905,'Odoo Items'!$C$5:$C$4331,"&lt;="&amp;Cover!$C$14),2)</f>
        <v>132</v>
      </c>
      <c r="U905">
        <f>COUNTIFS('Bank Lines'!$G$5:$G$1640,A905,'Bank Lines'!$J$5:$J$1640,1,'Bank Lines'!$C$5:$C$1640,"&lt;="&amp;Cover!$C$14)</f>
        <v>1</v>
      </c>
      <c r="V905">
        <f>COUNTIFS('Odoo Items'!$J$5:$J$4331,A905,'Odoo Items'!$C$5:$C$4331,"&lt;="&amp;Cover!$C$14)</f>
        <v>1</v>
      </c>
      <c r="W905" t="str">
        <f>IF(AND(U905=0,V905=0),"",IF(U905=0,"ODOO-ONLY",IF(V905=0,"BANK-ONLY","BOTH")))</f>
        <v>BOTH</v>
      </c>
      <c r="X905" s="9">
        <f>IF(W905="BOTH",ROUND(S905-T905,2),0)</f>
        <v>0</v>
      </c>
      <c r="Y905" s="9">
        <f>ROUND(SUMIFS('Bank Lines'!$E$5:$E$1640,'Bank Lines'!$G$5:$G$1640,A905,'Bank Lines'!$J$5:$J$1640,1,'Bank Lines'!$C$5:$C$1640,"&lt;="&amp;Cover!$C$15),2)</f>
        <v>132</v>
      </c>
      <c r="Z905" s="9">
        <f>ROUND(SUMIFS('Odoo Items'!$G$5:$G$4331,'Odoo Items'!$J$5:$J$4331,A905,'Odoo Items'!$C$5:$C$4331,"&lt;="&amp;Cover!$C$15),2)</f>
        <v>132</v>
      </c>
      <c r="AA905">
        <f>COUNTIFS('Bank Lines'!$G$5:$G$1640,A905,'Bank Lines'!$J$5:$J$1640,1,'Bank Lines'!$C$5:$C$1640,"&lt;="&amp;Cover!$C$15)</f>
        <v>1</v>
      </c>
      <c r="AB905">
        <f>COUNTIFS('Odoo Items'!$J$5:$J$4331,A905,'Odoo Items'!$C$5:$C$4331,"&lt;="&amp;Cover!$C$15)</f>
        <v>1</v>
      </c>
      <c r="AC905" t="str">
        <f>IF(AND(AA905=0,AB905=0),"",IF(AA905=0,"ODOO-ONLY",IF(AB905=0,"BANK-ONLY","BOTH")))</f>
        <v>BOTH</v>
      </c>
      <c r="AD905" s="9">
        <f>IF(AC905="BOTH",ROUND(Y905-Z905,2),0)</f>
        <v>0</v>
      </c>
    </row>
    <row r="906">
      <c r="A906" t="inlineStr">
        <is>
          <t>G00902</t>
        </is>
      </c>
      <c r="B906" t="inlineStr">
        <is>
          <t>OPS</t>
        </is>
      </c>
      <c r="C906" t="inlineStr">
        <is>
          <t>R09</t>
        </is>
      </c>
      <c r="D906" t="inlineStr">
        <is>
          <t>MATCH</t>
        </is>
      </c>
      <c r="E906" t="inlineStr">
        <is>
          <t>Unity Workcover Agents</t>
        </is>
      </c>
      <c r="F906" t="n">
        <v>1</v>
      </c>
      <c r="G906" t="inlineStr">
        <is>
          <t>Reference INV/2026/01635</t>
        </is>
      </c>
      <c r="H906">
        <f>COUNTIFS('Bank Lines'!$G$5:$G$1640,A906,'Bank Lines'!$J$5:$J$1640,1)</f>
        <v>1</v>
      </c>
      <c r="I906">
        <f>COUNTIFS('Odoo Items'!$J$5:$J$4331,A906)</f>
        <v>1</v>
      </c>
      <c r="J906" s="9">
        <f>ROUND(SUMIFS('Bank Lines'!$E$5:$E$1640,'Bank Lines'!$G$5:$G$1640,A906,'Bank Lines'!$J$5:$J$1640,1),2)</f>
        <v>264</v>
      </c>
      <c r="K906" s="9">
        <f>ROUND(SUMIFS('Odoo Items'!$G$5:$G$4331,'Odoo Items'!$J$5:$J$4331,A906),2)</f>
        <v>264</v>
      </c>
      <c r="L906" s="9">
        <f>ROUND(J906-K906,2)</f>
        <v>0</v>
      </c>
      <c r="M906" s="9">
        <f>ROUND(SUMIFS('Bank Lines'!$E$5:$E$1640,'Bank Lines'!$G$5:$G$1640,A906,'Bank Lines'!$J$5:$J$1640,1,'Bank Lines'!$C$5:$C$1640,"&lt;="&amp;Cover!$C$13),2)</f>
        <v>264</v>
      </c>
      <c r="N906" s="9">
        <f>ROUND(SUMIFS('Odoo Items'!$G$5:$G$4331,'Odoo Items'!$J$5:$J$4331,A906,'Odoo Items'!$C$5:$C$4331,"&lt;="&amp;Cover!$C$13),2)</f>
        <v>264</v>
      </c>
      <c r="O906">
        <f>COUNTIFS('Bank Lines'!$G$5:$G$1640,A906,'Bank Lines'!$J$5:$J$1640,1,'Bank Lines'!$C$5:$C$1640,"&lt;="&amp;Cover!$C$13)</f>
        <v>1</v>
      </c>
      <c r="P906">
        <f>COUNTIFS('Odoo Items'!$J$5:$J$4331,A906,'Odoo Items'!$C$5:$C$4331,"&lt;="&amp;Cover!$C$13)</f>
        <v>1</v>
      </c>
      <c r="Q906" t="str">
        <f>IF(AND(O906=0,P906=0),"",IF(O906=0,"ODOO-ONLY",IF(P906=0,"BANK-ONLY","BOTH")))</f>
        <v>BOTH</v>
      </c>
      <c r="R906" s="9">
        <f>IF(Q906="BOTH",ROUND(M906-N906,2),0)</f>
        <v>0</v>
      </c>
      <c r="S906" s="9">
        <f>ROUND(SUMIFS('Bank Lines'!$E$5:$E$1640,'Bank Lines'!$G$5:$G$1640,A906,'Bank Lines'!$J$5:$J$1640,1,'Bank Lines'!$C$5:$C$1640,"&lt;="&amp;Cover!$C$14),2)</f>
        <v>264</v>
      </c>
      <c r="T906" s="9">
        <f>ROUND(SUMIFS('Odoo Items'!$G$5:$G$4331,'Odoo Items'!$J$5:$J$4331,A906,'Odoo Items'!$C$5:$C$4331,"&lt;="&amp;Cover!$C$14),2)</f>
        <v>264</v>
      </c>
      <c r="U906">
        <f>COUNTIFS('Bank Lines'!$G$5:$G$1640,A906,'Bank Lines'!$J$5:$J$1640,1,'Bank Lines'!$C$5:$C$1640,"&lt;="&amp;Cover!$C$14)</f>
        <v>1</v>
      </c>
      <c r="V906">
        <f>COUNTIFS('Odoo Items'!$J$5:$J$4331,A906,'Odoo Items'!$C$5:$C$4331,"&lt;="&amp;Cover!$C$14)</f>
        <v>1</v>
      </c>
      <c r="W906" t="str">
        <f>IF(AND(U906=0,V906=0),"",IF(U906=0,"ODOO-ONLY",IF(V906=0,"BANK-ONLY","BOTH")))</f>
        <v>BOTH</v>
      </c>
      <c r="X906" s="9">
        <f>IF(W906="BOTH",ROUND(S906-T906,2),0)</f>
        <v>0</v>
      </c>
      <c r="Y906" s="9">
        <f>ROUND(SUMIFS('Bank Lines'!$E$5:$E$1640,'Bank Lines'!$G$5:$G$1640,A906,'Bank Lines'!$J$5:$J$1640,1,'Bank Lines'!$C$5:$C$1640,"&lt;="&amp;Cover!$C$15),2)</f>
        <v>264</v>
      </c>
      <c r="Z906" s="9">
        <f>ROUND(SUMIFS('Odoo Items'!$G$5:$G$4331,'Odoo Items'!$J$5:$J$4331,A906,'Odoo Items'!$C$5:$C$4331,"&lt;="&amp;Cover!$C$15),2)</f>
        <v>264</v>
      </c>
      <c r="AA906">
        <f>COUNTIFS('Bank Lines'!$G$5:$G$1640,A906,'Bank Lines'!$J$5:$J$1640,1,'Bank Lines'!$C$5:$C$1640,"&lt;="&amp;Cover!$C$15)</f>
        <v>1</v>
      </c>
      <c r="AB906">
        <f>COUNTIFS('Odoo Items'!$J$5:$J$4331,A906,'Odoo Items'!$C$5:$C$4331,"&lt;="&amp;Cover!$C$15)</f>
        <v>1</v>
      </c>
      <c r="AC906" t="str">
        <f>IF(AND(AA906=0,AB906=0),"",IF(AA906=0,"ODOO-ONLY",IF(AB906=0,"BANK-ONLY","BOTH")))</f>
        <v>BOTH</v>
      </c>
      <c r="AD906" s="9">
        <f>IF(AC906="BOTH",ROUND(Y906-Z906,2),0)</f>
        <v>0</v>
      </c>
    </row>
    <row r="907">
      <c r="A907" t="inlineStr">
        <is>
          <t>G00903</t>
        </is>
      </c>
      <c r="B907" t="inlineStr">
        <is>
          <t>OPS</t>
        </is>
      </c>
      <c r="C907" t="inlineStr">
        <is>
          <t>R09</t>
        </is>
      </c>
      <c r="D907" t="inlineStr">
        <is>
          <t>MATCH</t>
        </is>
      </c>
      <c r="E907" t="inlineStr">
        <is>
          <t>Pinnacle Claims Services</t>
        </is>
      </c>
      <c r="F907" t="n">
        <v>1</v>
      </c>
      <c r="G907" t="inlineStr">
        <is>
          <t>Reference INV/2026/01660</t>
        </is>
      </c>
      <c r="H907">
        <f>COUNTIFS('Bank Lines'!$G$5:$G$1640,A907,'Bank Lines'!$J$5:$J$1640,1)</f>
        <v>1</v>
      </c>
      <c r="I907">
        <f>COUNTIFS('Odoo Items'!$J$5:$J$4331,A907)</f>
        <v>1</v>
      </c>
      <c r="J907" s="9">
        <f>ROUND(SUMIFS('Bank Lines'!$E$5:$E$1640,'Bank Lines'!$G$5:$G$1640,A907,'Bank Lines'!$J$5:$J$1640,1),2)</f>
        <v>132</v>
      </c>
      <c r="K907" s="9">
        <f>ROUND(SUMIFS('Odoo Items'!$G$5:$G$4331,'Odoo Items'!$J$5:$J$4331,A907),2)</f>
        <v>132</v>
      </c>
      <c r="L907" s="9">
        <f>ROUND(J907-K907,2)</f>
        <v>0</v>
      </c>
      <c r="M907" s="9">
        <f>ROUND(SUMIFS('Bank Lines'!$E$5:$E$1640,'Bank Lines'!$G$5:$G$1640,A907,'Bank Lines'!$J$5:$J$1640,1,'Bank Lines'!$C$5:$C$1640,"&lt;="&amp;Cover!$C$13),2)</f>
        <v>132</v>
      </c>
      <c r="N907" s="9">
        <f>ROUND(SUMIFS('Odoo Items'!$G$5:$G$4331,'Odoo Items'!$J$5:$J$4331,A907,'Odoo Items'!$C$5:$C$4331,"&lt;="&amp;Cover!$C$13),2)</f>
        <v>132</v>
      </c>
      <c r="O907">
        <f>COUNTIFS('Bank Lines'!$G$5:$G$1640,A907,'Bank Lines'!$J$5:$J$1640,1,'Bank Lines'!$C$5:$C$1640,"&lt;="&amp;Cover!$C$13)</f>
        <v>1</v>
      </c>
      <c r="P907">
        <f>COUNTIFS('Odoo Items'!$J$5:$J$4331,A907,'Odoo Items'!$C$5:$C$4331,"&lt;="&amp;Cover!$C$13)</f>
        <v>1</v>
      </c>
      <c r="Q907" t="str">
        <f>IF(AND(O907=0,P907=0),"",IF(O907=0,"ODOO-ONLY",IF(P907=0,"BANK-ONLY","BOTH")))</f>
        <v>BOTH</v>
      </c>
      <c r="R907" s="9">
        <f>IF(Q907="BOTH",ROUND(M907-N907,2),0)</f>
        <v>0</v>
      </c>
      <c r="S907" s="9">
        <f>ROUND(SUMIFS('Bank Lines'!$E$5:$E$1640,'Bank Lines'!$G$5:$G$1640,A907,'Bank Lines'!$J$5:$J$1640,1,'Bank Lines'!$C$5:$C$1640,"&lt;="&amp;Cover!$C$14),2)</f>
        <v>132</v>
      </c>
      <c r="T907" s="9">
        <f>ROUND(SUMIFS('Odoo Items'!$G$5:$G$4331,'Odoo Items'!$J$5:$J$4331,A907,'Odoo Items'!$C$5:$C$4331,"&lt;="&amp;Cover!$C$14),2)</f>
        <v>132</v>
      </c>
      <c r="U907">
        <f>COUNTIFS('Bank Lines'!$G$5:$G$1640,A907,'Bank Lines'!$J$5:$J$1640,1,'Bank Lines'!$C$5:$C$1640,"&lt;="&amp;Cover!$C$14)</f>
        <v>1</v>
      </c>
      <c r="V907">
        <f>COUNTIFS('Odoo Items'!$J$5:$J$4331,A907,'Odoo Items'!$C$5:$C$4331,"&lt;="&amp;Cover!$C$14)</f>
        <v>1</v>
      </c>
      <c r="W907" t="str">
        <f>IF(AND(U907=0,V907=0),"",IF(U907=0,"ODOO-ONLY",IF(V907=0,"BANK-ONLY","BOTH")))</f>
        <v>BOTH</v>
      </c>
      <c r="X907" s="9">
        <f>IF(W907="BOTH",ROUND(S907-T907,2),0)</f>
        <v>0</v>
      </c>
      <c r="Y907" s="9">
        <f>ROUND(SUMIFS('Bank Lines'!$E$5:$E$1640,'Bank Lines'!$G$5:$G$1640,A907,'Bank Lines'!$J$5:$J$1640,1,'Bank Lines'!$C$5:$C$1640,"&lt;="&amp;Cover!$C$15),2)</f>
        <v>132</v>
      </c>
      <c r="Z907" s="9">
        <f>ROUND(SUMIFS('Odoo Items'!$G$5:$G$4331,'Odoo Items'!$J$5:$J$4331,A907,'Odoo Items'!$C$5:$C$4331,"&lt;="&amp;Cover!$C$15),2)</f>
        <v>132</v>
      </c>
      <c r="AA907">
        <f>COUNTIFS('Bank Lines'!$G$5:$G$1640,A907,'Bank Lines'!$J$5:$J$1640,1,'Bank Lines'!$C$5:$C$1640,"&lt;="&amp;Cover!$C$15)</f>
        <v>1</v>
      </c>
      <c r="AB907">
        <f>COUNTIFS('Odoo Items'!$J$5:$J$4331,A907,'Odoo Items'!$C$5:$C$4331,"&lt;="&amp;Cover!$C$15)</f>
        <v>1</v>
      </c>
      <c r="AC907" t="str">
        <f>IF(AND(AA907=0,AB907=0),"",IF(AA907=0,"ODOO-ONLY",IF(AB907=0,"BANK-ONLY","BOTH")))</f>
        <v>BOTH</v>
      </c>
      <c r="AD907" s="9">
        <f>IF(AC907="BOTH",ROUND(Y907-Z907,2),0)</f>
        <v>0</v>
      </c>
    </row>
    <row r="908">
      <c r="A908" t="inlineStr">
        <is>
          <t>G00904</t>
        </is>
      </c>
      <c r="B908" t="inlineStr">
        <is>
          <t>OPS</t>
        </is>
      </c>
      <c r="C908" t="inlineStr">
        <is>
          <t>R09</t>
        </is>
      </c>
      <c r="D908" t="inlineStr">
        <is>
          <t>MATCH</t>
        </is>
      </c>
      <c r="E908" t="inlineStr">
        <is>
          <t>Thornbury Textiles</t>
        </is>
      </c>
      <c r="F908" t="n">
        <v>1</v>
      </c>
      <c r="G908" t="inlineStr">
        <is>
          <t>Reference INV/2026/03462</t>
        </is>
      </c>
      <c r="H908">
        <f>COUNTIFS('Bank Lines'!$G$5:$G$1640,A908,'Bank Lines'!$J$5:$J$1640,1)</f>
        <v>1</v>
      </c>
      <c r="I908">
        <f>COUNTIFS('Odoo Items'!$J$5:$J$4331,A908)</f>
        <v>1</v>
      </c>
      <c r="J908" s="9">
        <f>ROUND(SUMIFS('Bank Lines'!$E$5:$E$1640,'Bank Lines'!$G$5:$G$1640,A908,'Bank Lines'!$J$5:$J$1640,1),2)</f>
        <v>15950</v>
      </c>
      <c r="K908" s="9">
        <f>ROUND(SUMIFS('Odoo Items'!$G$5:$G$4331,'Odoo Items'!$J$5:$J$4331,A908),2)</f>
        <v>15950</v>
      </c>
      <c r="L908" s="9">
        <f>ROUND(J908-K908,2)</f>
        <v>0</v>
      </c>
      <c r="M908" s="9">
        <f>ROUND(SUMIFS('Bank Lines'!$E$5:$E$1640,'Bank Lines'!$G$5:$G$1640,A908,'Bank Lines'!$J$5:$J$1640,1,'Bank Lines'!$C$5:$C$1640,"&lt;="&amp;Cover!$C$13),2)</f>
        <v>15950</v>
      </c>
      <c r="N908" s="9">
        <f>ROUND(SUMIFS('Odoo Items'!$G$5:$G$4331,'Odoo Items'!$J$5:$J$4331,A908,'Odoo Items'!$C$5:$C$4331,"&lt;="&amp;Cover!$C$13),2)</f>
        <v>15950</v>
      </c>
      <c r="O908">
        <f>COUNTIFS('Bank Lines'!$G$5:$G$1640,A908,'Bank Lines'!$J$5:$J$1640,1,'Bank Lines'!$C$5:$C$1640,"&lt;="&amp;Cover!$C$13)</f>
        <v>1</v>
      </c>
      <c r="P908">
        <f>COUNTIFS('Odoo Items'!$J$5:$J$4331,A908,'Odoo Items'!$C$5:$C$4331,"&lt;="&amp;Cover!$C$13)</f>
        <v>1</v>
      </c>
      <c r="Q908" t="str">
        <f>IF(AND(O908=0,P908=0),"",IF(O908=0,"ODOO-ONLY",IF(P908=0,"BANK-ONLY","BOTH")))</f>
        <v>BOTH</v>
      </c>
      <c r="R908" s="9">
        <f>IF(Q908="BOTH",ROUND(M908-N908,2),0)</f>
        <v>0</v>
      </c>
      <c r="S908" s="9">
        <f>ROUND(SUMIFS('Bank Lines'!$E$5:$E$1640,'Bank Lines'!$G$5:$G$1640,A908,'Bank Lines'!$J$5:$J$1640,1,'Bank Lines'!$C$5:$C$1640,"&lt;="&amp;Cover!$C$14),2)</f>
        <v>15950</v>
      </c>
      <c r="T908" s="9">
        <f>ROUND(SUMIFS('Odoo Items'!$G$5:$G$4331,'Odoo Items'!$J$5:$J$4331,A908,'Odoo Items'!$C$5:$C$4331,"&lt;="&amp;Cover!$C$14),2)</f>
        <v>15950</v>
      </c>
      <c r="U908">
        <f>COUNTIFS('Bank Lines'!$G$5:$G$1640,A908,'Bank Lines'!$J$5:$J$1640,1,'Bank Lines'!$C$5:$C$1640,"&lt;="&amp;Cover!$C$14)</f>
        <v>1</v>
      </c>
      <c r="V908">
        <f>COUNTIFS('Odoo Items'!$J$5:$J$4331,A908,'Odoo Items'!$C$5:$C$4331,"&lt;="&amp;Cover!$C$14)</f>
        <v>1</v>
      </c>
      <c r="W908" t="str">
        <f>IF(AND(U908=0,V908=0),"",IF(U908=0,"ODOO-ONLY",IF(V908=0,"BANK-ONLY","BOTH")))</f>
        <v>BOTH</v>
      </c>
      <c r="X908" s="9">
        <f>IF(W908="BOTH",ROUND(S908-T908,2),0)</f>
        <v>0</v>
      </c>
      <c r="Y908" s="9">
        <f>ROUND(SUMIFS('Bank Lines'!$E$5:$E$1640,'Bank Lines'!$G$5:$G$1640,A908,'Bank Lines'!$J$5:$J$1640,1,'Bank Lines'!$C$5:$C$1640,"&lt;="&amp;Cover!$C$15),2)</f>
        <v>15950</v>
      </c>
      <c r="Z908" s="9">
        <f>ROUND(SUMIFS('Odoo Items'!$G$5:$G$4331,'Odoo Items'!$J$5:$J$4331,A908,'Odoo Items'!$C$5:$C$4331,"&lt;="&amp;Cover!$C$15),2)</f>
        <v>15950</v>
      </c>
      <c r="AA908">
        <f>COUNTIFS('Bank Lines'!$G$5:$G$1640,A908,'Bank Lines'!$J$5:$J$1640,1,'Bank Lines'!$C$5:$C$1640,"&lt;="&amp;Cover!$C$15)</f>
        <v>1</v>
      </c>
      <c r="AB908">
        <f>COUNTIFS('Odoo Items'!$J$5:$J$4331,A908,'Odoo Items'!$C$5:$C$4331,"&lt;="&amp;Cover!$C$15)</f>
        <v>1</v>
      </c>
      <c r="AC908" t="str">
        <f>IF(AND(AA908=0,AB908=0),"",IF(AA908=0,"ODOO-ONLY",IF(AB908=0,"BANK-ONLY","BOTH")))</f>
        <v>BOTH</v>
      </c>
      <c r="AD908" s="9">
        <f>IF(AC908="BOTH",ROUND(Y908-Z908,2),0)</f>
        <v>0</v>
      </c>
    </row>
    <row r="909">
      <c r="A909" t="inlineStr">
        <is>
          <t>G00905</t>
        </is>
      </c>
      <c r="B909" t="inlineStr">
        <is>
          <t>OPS</t>
        </is>
      </c>
      <c r="C909" t="inlineStr">
        <is>
          <t>R09</t>
        </is>
      </c>
      <c r="D909" t="inlineStr">
        <is>
          <t>MATCH</t>
        </is>
      </c>
      <c r="E909" t="inlineStr">
        <is>
          <t>Pinnacle Claims Services</t>
        </is>
      </c>
      <c r="F909" t="n">
        <v>1</v>
      </c>
      <c r="G909" t="inlineStr">
        <is>
          <t>Reference INV/2026/01842</t>
        </is>
      </c>
      <c r="H909">
        <f>COUNTIFS('Bank Lines'!$G$5:$G$1640,A909,'Bank Lines'!$J$5:$J$1640,1)</f>
        <v>1</v>
      </c>
      <c r="I909">
        <f>COUNTIFS('Odoo Items'!$J$5:$J$4331,A909)</f>
        <v>1</v>
      </c>
      <c r="J909" s="9">
        <f>ROUND(SUMIFS('Bank Lines'!$E$5:$E$1640,'Bank Lines'!$G$5:$G$1640,A909,'Bank Lines'!$J$5:$J$1640,1),2)</f>
        <v>412.5</v>
      </c>
      <c r="K909" s="9">
        <f>ROUND(SUMIFS('Odoo Items'!$G$5:$G$4331,'Odoo Items'!$J$5:$J$4331,A909),2)</f>
        <v>412.5</v>
      </c>
      <c r="L909" s="9">
        <f>ROUND(J909-K909,2)</f>
        <v>0</v>
      </c>
      <c r="M909" s="9">
        <f>ROUND(SUMIFS('Bank Lines'!$E$5:$E$1640,'Bank Lines'!$G$5:$G$1640,A909,'Bank Lines'!$J$5:$J$1640,1,'Bank Lines'!$C$5:$C$1640,"&lt;="&amp;Cover!$C$13),2)</f>
        <v>412.5</v>
      </c>
      <c r="N909" s="9">
        <f>ROUND(SUMIFS('Odoo Items'!$G$5:$G$4331,'Odoo Items'!$J$5:$J$4331,A909,'Odoo Items'!$C$5:$C$4331,"&lt;="&amp;Cover!$C$13),2)</f>
        <v>412.5</v>
      </c>
      <c r="O909">
        <f>COUNTIFS('Bank Lines'!$G$5:$G$1640,A909,'Bank Lines'!$J$5:$J$1640,1,'Bank Lines'!$C$5:$C$1640,"&lt;="&amp;Cover!$C$13)</f>
        <v>1</v>
      </c>
      <c r="P909">
        <f>COUNTIFS('Odoo Items'!$J$5:$J$4331,A909,'Odoo Items'!$C$5:$C$4331,"&lt;="&amp;Cover!$C$13)</f>
        <v>1</v>
      </c>
      <c r="Q909" t="str">
        <f>IF(AND(O909=0,P909=0),"",IF(O909=0,"ODOO-ONLY",IF(P909=0,"BANK-ONLY","BOTH")))</f>
        <v>BOTH</v>
      </c>
      <c r="R909" s="9">
        <f>IF(Q909="BOTH",ROUND(M909-N909,2),0)</f>
        <v>0</v>
      </c>
      <c r="S909" s="9">
        <f>ROUND(SUMIFS('Bank Lines'!$E$5:$E$1640,'Bank Lines'!$G$5:$G$1640,A909,'Bank Lines'!$J$5:$J$1640,1,'Bank Lines'!$C$5:$C$1640,"&lt;="&amp;Cover!$C$14),2)</f>
        <v>412.5</v>
      </c>
      <c r="T909" s="9">
        <f>ROUND(SUMIFS('Odoo Items'!$G$5:$G$4331,'Odoo Items'!$J$5:$J$4331,A909,'Odoo Items'!$C$5:$C$4331,"&lt;="&amp;Cover!$C$14),2)</f>
        <v>412.5</v>
      </c>
      <c r="U909">
        <f>COUNTIFS('Bank Lines'!$G$5:$G$1640,A909,'Bank Lines'!$J$5:$J$1640,1,'Bank Lines'!$C$5:$C$1640,"&lt;="&amp;Cover!$C$14)</f>
        <v>1</v>
      </c>
      <c r="V909">
        <f>COUNTIFS('Odoo Items'!$J$5:$J$4331,A909,'Odoo Items'!$C$5:$C$4331,"&lt;="&amp;Cover!$C$14)</f>
        <v>1</v>
      </c>
      <c r="W909" t="str">
        <f>IF(AND(U909=0,V909=0),"",IF(U909=0,"ODOO-ONLY",IF(V909=0,"BANK-ONLY","BOTH")))</f>
        <v>BOTH</v>
      </c>
      <c r="X909" s="9">
        <f>IF(W909="BOTH",ROUND(S909-T909,2),0)</f>
        <v>0</v>
      </c>
      <c r="Y909" s="9">
        <f>ROUND(SUMIFS('Bank Lines'!$E$5:$E$1640,'Bank Lines'!$G$5:$G$1640,A909,'Bank Lines'!$J$5:$J$1640,1,'Bank Lines'!$C$5:$C$1640,"&lt;="&amp;Cover!$C$15),2)</f>
        <v>412.5</v>
      </c>
      <c r="Z909" s="9">
        <f>ROUND(SUMIFS('Odoo Items'!$G$5:$G$4331,'Odoo Items'!$J$5:$J$4331,A909,'Odoo Items'!$C$5:$C$4331,"&lt;="&amp;Cover!$C$15),2)</f>
        <v>412.5</v>
      </c>
      <c r="AA909">
        <f>COUNTIFS('Bank Lines'!$G$5:$G$1640,A909,'Bank Lines'!$J$5:$J$1640,1,'Bank Lines'!$C$5:$C$1640,"&lt;="&amp;Cover!$C$15)</f>
        <v>1</v>
      </c>
      <c r="AB909">
        <f>COUNTIFS('Odoo Items'!$J$5:$J$4331,A909,'Odoo Items'!$C$5:$C$4331,"&lt;="&amp;Cover!$C$15)</f>
        <v>1</v>
      </c>
      <c r="AC909" t="str">
        <f>IF(AND(AA909=0,AB909=0),"",IF(AA909=0,"ODOO-ONLY",IF(AB909=0,"BANK-ONLY","BOTH")))</f>
        <v>BOTH</v>
      </c>
      <c r="AD909" s="9">
        <f>IF(AC909="BOTH",ROUND(Y909-Z909,2),0)</f>
        <v>0</v>
      </c>
    </row>
    <row r="910">
      <c r="A910" t="inlineStr">
        <is>
          <t>G00906</t>
        </is>
      </c>
      <c r="B910" t="inlineStr">
        <is>
          <t>OPS</t>
        </is>
      </c>
      <c r="C910" t="inlineStr">
        <is>
          <t>R09</t>
        </is>
      </c>
      <c r="D910" t="inlineStr">
        <is>
          <t>MATCH</t>
        </is>
      </c>
      <c r="E910" t="inlineStr">
        <is>
          <t>Meridian Health Cover</t>
        </is>
      </c>
      <c r="F910" t="n">
        <v>1</v>
      </c>
      <c r="G910" t="inlineStr">
        <is>
          <t>Reference INV/2026/01581</t>
        </is>
      </c>
      <c r="H910">
        <f>COUNTIFS('Bank Lines'!$G$5:$G$1640,A910,'Bank Lines'!$J$5:$J$1640,1)</f>
        <v>1</v>
      </c>
      <c r="I910">
        <f>COUNTIFS('Odoo Items'!$J$5:$J$4331,A910)</f>
        <v>1</v>
      </c>
      <c r="J910" s="9">
        <f>ROUND(SUMIFS('Bank Lines'!$E$5:$E$1640,'Bank Lines'!$G$5:$G$1640,A910,'Bank Lines'!$J$5:$J$1640,1),2)</f>
        <v>132</v>
      </c>
      <c r="K910" s="9">
        <f>ROUND(SUMIFS('Odoo Items'!$G$5:$G$4331,'Odoo Items'!$J$5:$J$4331,A910),2)</f>
        <v>132</v>
      </c>
      <c r="L910" s="9">
        <f>ROUND(J910-K910,2)</f>
        <v>0</v>
      </c>
      <c r="M910" s="9">
        <f>ROUND(SUMIFS('Bank Lines'!$E$5:$E$1640,'Bank Lines'!$G$5:$G$1640,A910,'Bank Lines'!$J$5:$J$1640,1,'Bank Lines'!$C$5:$C$1640,"&lt;="&amp;Cover!$C$13),2)</f>
        <v>132</v>
      </c>
      <c r="N910" s="9">
        <f>ROUND(SUMIFS('Odoo Items'!$G$5:$G$4331,'Odoo Items'!$J$5:$J$4331,A910,'Odoo Items'!$C$5:$C$4331,"&lt;="&amp;Cover!$C$13),2)</f>
        <v>132</v>
      </c>
      <c r="O910">
        <f>COUNTIFS('Bank Lines'!$G$5:$G$1640,A910,'Bank Lines'!$J$5:$J$1640,1,'Bank Lines'!$C$5:$C$1640,"&lt;="&amp;Cover!$C$13)</f>
        <v>1</v>
      </c>
      <c r="P910">
        <f>COUNTIFS('Odoo Items'!$J$5:$J$4331,A910,'Odoo Items'!$C$5:$C$4331,"&lt;="&amp;Cover!$C$13)</f>
        <v>1</v>
      </c>
      <c r="Q910" t="str">
        <f>IF(AND(O910=0,P910=0),"",IF(O910=0,"ODOO-ONLY",IF(P910=0,"BANK-ONLY","BOTH")))</f>
        <v>BOTH</v>
      </c>
      <c r="R910" s="9">
        <f>IF(Q910="BOTH",ROUND(M910-N910,2),0)</f>
        <v>0</v>
      </c>
      <c r="S910" s="9">
        <f>ROUND(SUMIFS('Bank Lines'!$E$5:$E$1640,'Bank Lines'!$G$5:$G$1640,A910,'Bank Lines'!$J$5:$J$1640,1,'Bank Lines'!$C$5:$C$1640,"&lt;="&amp;Cover!$C$14),2)</f>
        <v>132</v>
      </c>
      <c r="T910" s="9">
        <f>ROUND(SUMIFS('Odoo Items'!$G$5:$G$4331,'Odoo Items'!$J$5:$J$4331,A910,'Odoo Items'!$C$5:$C$4331,"&lt;="&amp;Cover!$C$14),2)</f>
        <v>132</v>
      </c>
      <c r="U910">
        <f>COUNTIFS('Bank Lines'!$G$5:$G$1640,A910,'Bank Lines'!$J$5:$J$1640,1,'Bank Lines'!$C$5:$C$1640,"&lt;="&amp;Cover!$C$14)</f>
        <v>1</v>
      </c>
      <c r="V910">
        <f>COUNTIFS('Odoo Items'!$J$5:$J$4331,A910,'Odoo Items'!$C$5:$C$4331,"&lt;="&amp;Cover!$C$14)</f>
        <v>1</v>
      </c>
      <c r="W910" t="str">
        <f>IF(AND(U910=0,V910=0),"",IF(U910=0,"ODOO-ONLY",IF(V910=0,"BANK-ONLY","BOTH")))</f>
        <v>BOTH</v>
      </c>
      <c r="X910" s="9">
        <f>IF(W910="BOTH",ROUND(S910-T910,2),0)</f>
        <v>0</v>
      </c>
      <c r="Y910" s="9">
        <f>ROUND(SUMIFS('Bank Lines'!$E$5:$E$1640,'Bank Lines'!$G$5:$G$1640,A910,'Bank Lines'!$J$5:$J$1640,1,'Bank Lines'!$C$5:$C$1640,"&lt;="&amp;Cover!$C$15),2)</f>
        <v>132</v>
      </c>
      <c r="Z910" s="9">
        <f>ROUND(SUMIFS('Odoo Items'!$G$5:$G$4331,'Odoo Items'!$J$5:$J$4331,A910,'Odoo Items'!$C$5:$C$4331,"&lt;="&amp;Cover!$C$15),2)</f>
        <v>132</v>
      </c>
      <c r="AA910">
        <f>COUNTIFS('Bank Lines'!$G$5:$G$1640,A910,'Bank Lines'!$J$5:$J$1640,1,'Bank Lines'!$C$5:$C$1640,"&lt;="&amp;Cover!$C$15)</f>
        <v>1</v>
      </c>
      <c r="AB910">
        <f>COUNTIFS('Odoo Items'!$J$5:$J$4331,A910,'Odoo Items'!$C$5:$C$4331,"&lt;="&amp;Cover!$C$15)</f>
        <v>1</v>
      </c>
      <c r="AC910" t="str">
        <f>IF(AND(AA910=0,AB910=0),"",IF(AA910=0,"ODOO-ONLY",IF(AB910=0,"BANK-ONLY","BOTH")))</f>
        <v>BOTH</v>
      </c>
      <c r="AD910" s="9">
        <f>IF(AC910="BOTH",ROUND(Y910-Z910,2),0)</f>
        <v>0</v>
      </c>
    </row>
    <row r="911">
      <c r="A911" t="inlineStr">
        <is>
          <t>G00907</t>
        </is>
      </c>
      <c r="B911" t="inlineStr">
        <is>
          <t>OPS</t>
        </is>
      </c>
      <c r="C911" t="inlineStr">
        <is>
          <t>R09</t>
        </is>
      </c>
      <c r="D911" t="inlineStr">
        <is>
          <t>MATCH</t>
        </is>
      </c>
      <c r="E911" t="inlineStr">
        <is>
          <t>Meridian Health Cover</t>
        </is>
      </c>
      <c r="F911" t="n">
        <v>1</v>
      </c>
      <c r="G911" t="inlineStr">
        <is>
          <t>Reference INV/2026/01637</t>
        </is>
      </c>
      <c r="H911">
        <f>COUNTIFS('Bank Lines'!$G$5:$G$1640,A911,'Bank Lines'!$J$5:$J$1640,1)</f>
        <v>1</v>
      </c>
      <c r="I911">
        <f>COUNTIFS('Odoo Items'!$J$5:$J$4331,A911)</f>
        <v>1</v>
      </c>
      <c r="J911" s="9">
        <f>ROUND(SUMIFS('Bank Lines'!$E$5:$E$1640,'Bank Lines'!$G$5:$G$1640,A911,'Bank Lines'!$J$5:$J$1640,1),2)</f>
        <v>176</v>
      </c>
      <c r="K911" s="9">
        <f>ROUND(SUMIFS('Odoo Items'!$G$5:$G$4331,'Odoo Items'!$J$5:$J$4331,A911),2)</f>
        <v>176</v>
      </c>
      <c r="L911" s="9">
        <f>ROUND(J911-K911,2)</f>
        <v>0</v>
      </c>
      <c r="M911" s="9">
        <f>ROUND(SUMIFS('Bank Lines'!$E$5:$E$1640,'Bank Lines'!$G$5:$G$1640,A911,'Bank Lines'!$J$5:$J$1640,1,'Bank Lines'!$C$5:$C$1640,"&lt;="&amp;Cover!$C$13),2)</f>
        <v>176</v>
      </c>
      <c r="N911" s="9">
        <f>ROUND(SUMIFS('Odoo Items'!$G$5:$G$4331,'Odoo Items'!$J$5:$J$4331,A911,'Odoo Items'!$C$5:$C$4331,"&lt;="&amp;Cover!$C$13),2)</f>
        <v>176</v>
      </c>
      <c r="O911">
        <f>COUNTIFS('Bank Lines'!$G$5:$G$1640,A911,'Bank Lines'!$J$5:$J$1640,1,'Bank Lines'!$C$5:$C$1640,"&lt;="&amp;Cover!$C$13)</f>
        <v>1</v>
      </c>
      <c r="P911">
        <f>COUNTIFS('Odoo Items'!$J$5:$J$4331,A911,'Odoo Items'!$C$5:$C$4331,"&lt;="&amp;Cover!$C$13)</f>
        <v>1</v>
      </c>
      <c r="Q911" t="str">
        <f>IF(AND(O911=0,P911=0),"",IF(O911=0,"ODOO-ONLY",IF(P911=0,"BANK-ONLY","BOTH")))</f>
        <v>BOTH</v>
      </c>
      <c r="R911" s="9">
        <f>IF(Q911="BOTH",ROUND(M911-N911,2),0)</f>
        <v>0</v>
      </c>
      <c r="S911" s="9">
        <f>ROUND(SUMIFS('Bank Lines'!$E$5:$E$1640,'Bank Lines'!$G$5:$G$1640,A911,'Bank Lines'!$J$5:$J$1640,1,'Bank Lines'!$C$5:$C$1640,"&lt;="&amp;Cover!$C$14),2)</f>
        <v>176</v>
      </c>
      <c r="T911" s="9">
        <f>ROUND(SUMIFS('Odoo Items'!$G$5:$G$4331,'Odoo Items'!$J$5:$J$4331,A911,'Odoo Items'!$C$5:$C$4331,"&lt;="&amp;Cover!$C$14),2)</f>
        <v>176</v>
      </c>
      <c r="U911">
        <f>COUNTIFS('Bank Lines'!$G$5:$G$1640,A911,'Bank Lines'!$J$5:$J$1640,1,'Bank Lines'!$C$5:$C$1640,"&lt;="&amp;Cover!$C$14)</f>
        <v>1</v>
      </c>
      <c r="V911">
        <f>COUNTIFS('Odoo Items'!$J$5:$J$4331,A911,'Odoo Items'!$C$5:$C$4331,"&lt;="&amp;Cover!$C$14)</f>
        <v>1</v>
      </c>
      <c r="W911" t="str">
        <f>IF(AND(U911=0,V911=0),"",IF(U911=0,"ODOO-ONLY",IF(V911=0,"BANK-ONLY","BOTH")))</f>
        <v>BOTH</v>
      </c>
      <c r="X911" s="9">
        <f>IF(W911="BOTH",ROUND(S911-T911,2),0)</f>
        <v>0</v>
      </c>
      <c r="Y911" s="9">
        <f>ROUND(SUMIFS('Bank Lines'!$E$5:$E$1640,'Bank Lines'!$G$5:$G$1640,A911,'Bank Lines'!$J$5:$J$1640,1,'Bank Lines'!$C$5:$C$1640,"&lt;="&amp;Cover!$C$15),2)</f>
        <v>176</v>
      </c>
      <c r="Z911" s="9">
        <f>ROUND(SUMIFS('Odoo Items'!$G$5:$G$4331,'Odoo Items'!$J$5:$J$4331,A911,'Odoo Items'!$C$5:$C$4331,"&lt;="&amp;Cover!$C$15),2)</f>
        <v>176</v>
      </c>
      <c r="AA911">
        <f>COUNTIFS('Bank Lines'!$G$5:$G$1640,A911,'Bank Lines'!$J$5:$J$1640,1,'Bank Lines'!$C$5:$C$1640,"&lt;="&amp;Cover!$C$15)</f>
        <v>1</v>
      </c>
      <c r="AB911">
        <f>COUNTIFS('Odoo Items'!$J$5:$J$4331,A911,'Odoo Items'!$C$5:$C$4331,"&lt;="&amp;Cover!$C$15)</f>
        <v>1</v>
      </c>
      <c r="AC911" t="str">
        <f>IF(AND(AA911=0,AB911=0),"",IF(AA911=0,"ODOO-ONLY",IF(AB911=0,"BANK-ONLY","BOTH")))</f>
        <v>BOTH</v>
      </c>
      <c r="AD911" s="9">
        <f>IF(AC911="BOTH",ROUND(Y911-Z911,2),0)</f>
        <v>0</v>
      </c>
    </row>
    <row r="912">
      <c r="A912" t="inlineStr">
        <is>
          <t>G00908</t>
        </is>
      </c>
      <c r="B912" t="inlineStr">
        <is>
          <t>OPS</t>
        </is>
      </c>
      <c r="C912" t="inlineStr">
        <is>
          <t>R09</t>
        </is>
      </c>
      <c r="D912" t="inlineStr">
        <is>
          <t>MATCH</t>
        </is>
      </c>
      <c r="E912" t="inlineStr">
        <is>
          <t>Meridian Health Cover</t>
        </is>
      </c>
      <c r="F912" t="n">
        <v>1</v>
      </c>
      <c r="G912" t="inlineStr">
        <is>
          <t>Reference INV/2026/01704</t>
        </is>
      </c>
      <c r="H912">
        <f>COUNTIFS('Bank Lines'!$G$5:$G$1640,A912,'Bank Lines'!$J$5:$J$1640,1)</f>
        <v>1</v>
      </c>
      <c r="I912">
        <f>COUNTIFS('Odoo Items'!$J$5:$J$4331,A912)</f>
        <v>1</v>
      </c>
      <c r="J912" s="9">
        <f>ROUND(SUMIFS('Bank Lines'!$E$5:$E$1640,'Bank Lines'!$G$5:$G$1640,A912,'Bank Lines'!$J$5:$J$1640,1),2)</f>
        <v>264</v>
      </c>
      <c r="K912" s="9">
        <f>ROUND(SUMIFS('Odoo Items'!$G$5:$G$4331,'Odoo Items'!$J$5:$J$4331,A912),2)</f>
        <v>264</v>
      </c>
      <c r="L912" s="9">
        <f>ROUND(J912-K912,2)</f>
        <v>0</v>
      </c>
      <c r="M912" s="9">
        <f>ROUND(SUMIFS('Bank Lines'!$E$5:$E$1640,'Bank Lines'!$G$5:$G$1640,A912,'Bank Lines'!$J$5:$J$1640,1,'Bank Lines'!$C$5:$C$1640,"&lt;="&amp;Cover!$C$13),2)</f>
        <v>264</v>
      </c>
      <c r="N912" s="9">
        <f>ROUND(SUMIFS('Odoo Items'!$G$5:$G$4331,'Odoo Items'!$J$5:$J$4331,A912,'Odoo Items'!$C$5:$C$4331,"&lt;="&amp;Cover!$C$13),2)</f>
        <v>264</v>
      </c>
      <c r="O912">
        <f>COUNTIFS('Bank Lines'!$G$5:$G$1640,A912,'Bank Lines'!$J$5:$J$1640,1,'Bank Lines'!$C$5:$C$1640,"&lt;="&amp;Cover!$C$13)</f>
        <v>1</v>
      </c>
      <c r="P912">
        <f>COUNTIFS('Odoo Items'!$J$5:$J$4331,A912,'Odoo Items'!$C$5:$C$4331,"&lt;="&amp;Cover!$C$13)</f>
        <v>1</v>
      </c>
      <c r="Q912" t="str">
        <f>IF(AND(O912=0,P912=0),"",IF(O912=0,"ODOO-ONLY",IF(P912=0,"BANK-ONLY","BOTH")))</f>
        <v>BOTH</v>
      </c>
      <c r="R912" s="9">
        <f>IF(Q912="BOTH",ROUND(M912-N912,2),0)</f>
        <v>0</v>
      </c>
      <c r="S912" s="9">
        <f>ROUND(SUMIFS('Bank Lines'!$E$5:$E$1640,'Bank Lines'!$G$5:$G$1640,A912,'Bank Lines'!$J$5:$J$1640,1,'Bank Lines'!$C$5:$C$1640,"&lt;="&amp;Cover!$C$14),2)</f>
        <v>264</v>
      </c>
      <c r="T912" s="9">
        <f>ROUND(SUMIFS('Odoo Items'!$G$5:$G$4331,'Odoo Items'!$J$5:$J$4331,A912,'Odoo Items'!$C$5:$C$4331,"&lt;="&amp;Cover!$C$14),2)</f>
        <v>264</v>
      </c>
      <c r="U912">
        <f>COUNTIFS('Bank Lines'!$G$5:$G$1640,A912,'Bank Lines'!$J$5:$J$1640,1,'Bank Lines'!$C$5:$C$1640,"&lt;="&amp;Cover!$C$14)</f>
        <v>1</v>
      </c>
      <c r="V912">
        <f>COUNTIFS('Odoo Items'!$J$5:$J$4331,A912,'Odoo Items'!$C$5:$C$4331,"&lt;="&amp;Cover!$C$14)</f>
        <v>1</v>
      </c>
      <c r="W912" t="str">
        <f>IF(AND(U912=0,V912=0),"",IF(U912=0,"ODOO-ONLY",IF(V912=0,"BANK-ONLY","BOTH")))</f>
        <v>BOTH</v>
      </c>
      <c r="X912" s="9">
        <f>IF(W912="BOTH",ROUND(S912-T912,2),0)</f>
        <v>0</v>
      </c>
      <c r="Y912" s="9">
        <f>ROUND(SUMIFS('Bank Lines'!$E$5:$E$1640,'Bank Lines'!$G$5:$G$1640,A912,'Bank Lines'!$J$5:$J$1640,1,'Bank Lines'!$C$5:$C$1640,"&lt;="&amp;Cover!$C$15),2)</f>
        <v>264</v>
      </c>
      <c r="Z912" s="9">
        <f>ROUND(SUMIFS('Odoo Items'!$G$5:$G$4331,'Odoo Items'!$J$5:$J$4331,A912,'Odoo Items'!$C$5:$C$4331,"&lt;="&amp;Cover!$C$15),2)</f>
        <v>264</v>
      </c>
      <c r="AA912">
        <f>COUNTIFS('Bank Lines'!$G$5:$G$1640,A912,'Bank Lines'!$J$5:$J$1640,1,'Bank Lines'!$C$5:$C$1640,"&lt;="&amp;Cover!$C$15)</f>
        <v>1</v>
      </c>
      <c r="AB912">
        <f>COUNTIFS('Odoo Items'!$J$5:$J$4331,A912,'Odoo Items'!$C$5:$C$4331,"&lt;="&amp;Cover!$C$15)</f>
        <v>1</v>
      </c>
      <c r="AC912" t="str">
        <f>IF(AND(AA912=0,AB912=0),"",IF(AA912=0,"ODOO-ONLY",IF(AB912=0,"BANK-ONLY","BOTH")))</f>
        <v>BOTH</v>
      </c>
      <c r="AD912" s="9">
        <f>IF(AC912="BOTH",ROUND(Y912-Z912,2),0)</f>
        <v>0</v>
      </c>
    </row>
    <row r="913">
      <c r="A913" t="inlineStr">
        <is>
          <t>G00909</t>
        </is>
      </c>
      <c r="B913" t="inlineStr">
        <is>
          <t>OPS</t>
        </is>
      </c>
      <c r="C913" t="inlineStr">
        <is>
          <t>R09</t>
        </is>
      </c>
      <c r="D913" t="inlineStr">
        <is>
          <t>MATCH</t>
        </is>
      </c>
      <c r="E913" t="inlineStr">
        <is>
          <t>Coastline Health Fund</t>
        </is>
      </c>
      <c r="F913" t="n">
        <v>1</v>
      </c>
      <c r="G913" t="inlineStr">
        <is>
          <t>Reference INV/2026/01608</t>
        </is>
      </c>
      <c r="H913">
        <f>COUNTIFS('Bank Lines'!$G$5:$G$1640,A913,'Bank Lines'!$J$5:$J$1640,1)</f>
        <v>1</v>
      </c>
      <c r="I913">
        <f>COUNTIFS('Odoo Items'!$J$5:$J$4331,A913)</f>
        <v>1</v>
      </c>
      <c r="J913" s="9">
        <f>ROUND(SUMIFS('Bank Lines'!$E$5:$E$1640,'Bank Lines'!$G$5:$G$1640,A913,'Bank Lines'!$J$5:$J$1640,1),2)</f>
        <v>990</v>
      </c>
      <c r="K913" s="9">
        <f>ROUND(SUMIFS('Odoo Items'!$G$5:$G$4331,'Odoo Items'!$J$5:$J$4331,A913),2)</f>
        <v>990</v>
      </c>
      <c r="L913" s="9">
        <f>ROUND(J913-K913,2)</f>
        <v>0</v>
      </c>
      <c r="M913" s="9">
        <f>ROUND(SUMIFS('Bank Lines'!$E$5:$E$1640,'Bank Lines'!$G$5:$G$1640,A913,'Bank Lines'!$J$5:$J$1640,1,'Bank Lines'!$C$5:$C$1640,"&lt;="&amp;Cover!$C$13),2)</f>
        <v>990</v>
      </c>
      <c r="N913" s="9">
        <f>ROUND(SUMIFS('Odoo Items'!$G$5:$G$4331,'Odoo Items'!$J$5:$J$4331,A913,'Odoo Items'!$C$5:$C$4331,"&lt;="&amp;Cover!$C$13),2)</f>
        <v>990</v>
      </c>
      <c r="O913">
        <f>COUNTIFS('Bank Lines'!$G$5:$G$1640,A913,'Bank Lines'!$J$5:$J$1640,1,'Bank Lines'!$C$5:$C$1640,"&lt;="&amp;Cover!$C$13)</f>
        <v>1</v>
      </c>
      <c r="P913">
        <f>COUNTIFS('Odoo Items'!$J$5:$J$4331,A913,'Odoo Items'!$C$5:$C$4331,"&lt;="&amp;Cover!$C$13)</f>
        <v>1</v>
      </c>
      <c r="Q913" t="str">
        <f>IF(AND(O913=0,P913=0),"",IF(O913=0,"ODOO-ONLY",IF(P913=0,"BANK-ONLY","BOTH")))</f>
        <v>BOTH</v>
      </c>
      <c r="R913" s="9">
        <f>IF(Q913="BOTH",ROUND(M913-N913,2),0)</f>
        <v>0</v>
      </c>
      <c r="S913" s="9">
        <f>ROUND(SUMIFS('Bank Lines'!$E$5:$E$1640,'Bank Lines'!$G$5:$G$1640,A913,'Bank Lines'!$J$5:$J$1640,1,'Bank Lines'!$C$5:$C$1640,"&lt;="&amp;Cover!$C$14),2)</f>
        <v>990</v>
      </c>
      <c r="T913" s="9">
        <f>ROUND(SUMIFS('Odoo Items'!$G$5:$G$4331,'Odoo Items'!$J$5:$J$4331,A913,'Odoo Items'!$C$5:$C$4331,"&lt;="&amp;Cover!$C$14),2)</f>
        <v>990</v>
      </c>
      <c r="U913">
        <f>COUNTIFS('Bank Lines'!$G$5:$G$1640,A913,'Bank Lines'!$J$5:$J$1640,1,'Bank Lines'!$C$5:$C$1640,"&lt;="&amp;Cover!$C$14)</f>
        <v>1</v>
      </c>
      <c r="V913">
        <f>COUNTIFS('Odoo Items'!$J$5:$J$4331,A913,'Odoo Items'!$C$5:$C$4331,"&lt;="&amp;Cover!$C$14)</f>
        <v>1</v>
      </c>
      <c r="W913" t="str">
        <f>IF(AND(U913=0,V913=0),"",IF(U913=0,"ODOO-ONLY",IF(V913=0,"BANK-ONLY","BOTH")))</f>
        <v>BOTH</v>
      </c>
      <c r="X913" s="9">
        <f>IF(W913="BOTH",ROUND(S913-T913,2),0)</f>
        <v>0</v>
      </c>
      <c r="Y913" s="9">
        <f>ROUND(SUMIFS('Bank Lines'!$E$5:$E$1640,'Bank Lines'!$G$5:$G$1640,A913,'Bank Lines'!$J$5:$J$1640,1,'Bank Lines'!$C$5:$C$1640,"&lt;="&amp;Cover!$C$15),2)</f>
        <v>990</v>
      </c>
      <c r="Z913" s="9">
        <f>ROUND(SUMIFS('Odoo Items'!$G$5:$G$4331,'Odoo Items'!$J$5:$J$4331,A913,'Odoo Items'!$C$5:$C$4331,"&lt;="&amp;Cover!$C$15),2)</f>
        <v>990</v>
      </c>
      <c r="AA913">
        <f>COUNTIFS('Bank Lines'!$G$5:$G$1640,A913,'Bank Lines'!$J$5:$J$1640,1,'Bank Lines'!$C$5:$C$1640,"&lt;="&amp;Cover!$C$15)</f>
        <v>1</v>
      </c>
      <c r="AB913">
        <f>COUNTIFS('Odoo Items'!$J$5:$J$4331,A913,'Odoo Items'!$C$5:$C$4331,"&lt;="&amp;Cover!$C$15)</f>
        <v>1</v>
      </c>
      <c r="AC913" t="str">
        <f>IF(AND(AA913=0,AB913=0),"",IF(AA913=0,"ODOO-ONLY",IF(AB913=0,"BANK-ONLY","BOTH")))</f>
        <v>BOTH</v>
      </c>
      <c r="AD913" s="9">
        <f>IF(AC913="BOTH",ROUND(Y913-Z913,2),0)</f>
        <v>0</v>
      </c>
    </row>
    <row r="914">
      <c r="A914" t="inlineStr">
        <is>
          <t>G00910</t>
        </is>
      </c>
      <c r="B914" t="inlineStr">
        <is>
          <t>OPS</t>
        </is>
      </c>
      <c r="C914" t="inlineStr">
        <is>
          <t>R09</t>
        </is>
      </c>
      <c r="D914" t="inlineStr">
        <is>
          <t>MATCH</t>
        </is>
      </c>
      <c r="E914" t="inlineStr">
        <is>
          <t>Meridian Health Cover</t>
        </is>
      </c>
      <c r="F914" t="n">
        <v>1</v>
      </c>
      <c r="G914" t="inlineStr">
        <is>
          <t>Reference INV/2026/01825</t>
        </is>
      </c>
      <c r="H914">
        <f>COUNTIFS('Bank Lines'!$G$5:$G$1640,A914,'Bank Lines'!$J$5:$J$1640,1)</f>
        <v>1</v>
      </c>
      <c r="I914">
        <f>COUNTIFS('Odoo Items'!$J$5:$J$4331,A914)</f>
        <v>1</v>
      </c>
      <c r="J914" s="9">
        <f>ROUND(SUMIFS('Bank Lines'!$E$5:$E$1640,'Bank Lines'!$G$5:$G$1640,A914,'Bank Lines'!$J$5:$J$1640,1),2)</f>
        <v>990</v>
      </c>
      <c r="K914" s="9">
        <f>ROUND(SUMIFS('Odoo Items'!$G$5:$G$4331,'Odoo Items'!$J$5:$J$4331,A914),2)</f>
        <v>990</v>
      </c>
      <c r="L914" s="9">
        <f>ROUND(J914-K914,2)</f>
        <v>0</v>
      </c>
      <c r="M914" s="9">
        <f>ROUND(SUMIFS('Bank Lines'!$E$5:$E$1640,'Bank Lines'!$G$5:$G$1640,A914,'Bank Lines'!$J$5:$J$1640,1,'Bank Lines'!$C$5:$C$1640,"&lt;="&amp;Cover!$C$13),2)</f>
        <v>990</v>
      </c>
      <c r="N914" s="9">
        <f>ROUND(SUMIFS('Odoo Items'!$G$5:$G$4331,'Odoo Items'!$J$5:$J$4331,A914,'Odoo Items'!$C$5:$C$4331,"&lt;="&amp;Cover!$C$13),2)</f>
        <v>990</v>
      </c>
      <c r="O914">
        <f>COUNTIFS('Bank Lines'!$G$5:$G$1640,A914,'Bank Lines'!$J$5:$J$1640,1,'Bank Lines'!$C$5:$C$1640,"&lt;="&amp;Cover!$C$13)</f>
        <v>1</v>
      </c>
      <c r="P914">
        <f>COUNTIFS('Odoo Items'!$J$5:$J$4331,A914,'Odoo Items'!$C$5:$C$4331,"&lt;="&amp;Cover!$C$13)</f>
        <v>1</v>
      </c>
      <c r="Q914" t="str">
        <f>IF(AND(O914=0,P914=0),"",IF(O914=0,"ODOO-ONLY",IF(P914=0,"BANK-ONLY","BOTH")))</f>
        <v>BOTH</v>
      </c>
      <c r="R914" s="9">
        <f>IF(Q914="BOTH",ROUND(M914-N914,2),0)</f>
        <v>0</v>
      </c>
      <c r="S914" s="9">
        <f>ROUND(SUMIFS('Bank Lines'!$E$5:$E$1640,'Bank Lines'!$G$5:$G$1640,A914,'Bank Lines'!$J$5:$J$1640,1,'Bank Lines'!$C$5:$C$1640,"&lt;="&amp;Cover!$C$14),2)</f>
        <v>990</v>
      </c>
      <c r="T914" s="9">
        <f>ROUND(SUMIFS('Odoo Items'!$G$5:$G$4331,'Odoo Items'!$J$5:$J$4331,A914,'Odoo Items'!$C$5:$C$4331,"&lt;="&amp;Cover!$C$14),2)</f>
        <v>990</v>
      </c>
      <c r="U914">
        <f>COUNTIFS('Bank Lines'!$G$5:$G$1640,A914,'Bank Lines'!$J$5:$J$1640,1,'Bank Lines'!$C$5:$C$1640,"&lt;="&amp;Cover!$C$14)</f>
        <v>1</v>
      </c>
      <c r="V914">
        <f>COUNTIFS('Odoo Items'!$J$5:$J$4331,A914,'Odoo Items'!$C$5:$C$4331,"&lt;="&amp;Cover!$C$14)</f>
        <v>1</v>
      </c>
      <c r="W914" t="str">
        <f>IF(AND(U914=0,V914=0),"",IF(U914=0,"ODOO-ONLY",IF(V914=0,"BANK-ONLY","BOTH")))</f>
        <v>BOTH</v>
      </c>
      <c r="X914" s="9">
        <f>IF(W914="BOTH",ROUND(S914-T914,2),0)</f>
        <v>0</v>
      </c>
      <c r="Y914" s="9">
        <f>ROUND(SUMIFS('Bank Lines'!$E$5:$E$1640,'Bank Lines'!$G$5:$G$1640,A914,'Bank Lines'!$J$5:$J$1640,1,'Bank Lines'!$C$5:$C$1640,"&lt;="&amp;Cover!$C$15),2)</f>
        <v>990</v>
      </c>
      <c r="Z914" s="9">
        <f>ROUND(SUMIFS('Odoo Items'!$G$5:$G$4331,'Odoo Items'!$J$5:$J$4331,A914,'Odoo Items'!$C$5:$C$4331,"&lt;="&amp;Cover!$C$15),2)</f>
        <v>990</v>
      </c>
      <c r="AA914">
        <f>COUNTIFS('Bank Lines'!$G$5:$G$1640,A914,'Bank Lines'!$J$5:$J$1640,1,'Bank Lines'!$C$5:$C$1640,"&lt;="&amp;Cover!$C$15)</f>
        <v>1</v>
      </c>
      <c r="AB914">
        <f>COUNTIFS('Odoo Items'!$J$5:$J$4331,A914,'Odoo Items'!$C$5:$C$4331,"&lt;="&amp;Cover!$C$15)</f>
        <v>1</v>
      </c>
      <c r="AC914" t="str">
        <f>IF(AND(AA914=0,AB914=0),"",IF(AA914=0,"ODOO-ONLY",IF(AB914=0,"BANK-ONLY","BOTH")))</f>
        <v>BOTH</v>
      </c>
      <c r="AD914" s="9">
        <f>IF(AC914="BOTH",ROUND(Y914-Z914,2),0)</f>
        <v>0</v>
      </c>
    </row>
    <row r="915">
      <c r="A915" t="inlineStr">
        <is>
          <t>G00911</t>
        </is>
      </c>
      <c r="B915" t="inlineStr">
        <is>
          <t>OPS</t>
        </is>
      </c>
      <c r="C915" t="inlineStr">
        <is>
          <t>R09</t>
        </is>
      </c>
      <c r="D915" t="inlineStr">
        <is>
          <t>MATCH</t>
        </is>
      </c>
      <c r="E915" t="inlineStr">
        <is>
          <t>Fernhill Aged Care</t>
        </is>
      </c>
      <c r="F915" t="n">
        <v>1</v>
      </c>
      <c r="G915" t="inlineStr">
        <is>
          <t>Reference INV/2026/03424</t>
        </is>
      </c>
      <c r="H915">
        <f>COUNTIFS('Bank Lines'!$G$5:$G$1640,A915,'Bank Lines'!$J$5:$J$1640,1)</f>
        <v>1</v>
      </c>
      <c r="I915">
        <f>COUNTIFS('Odoo Items'!$J$5:$J$4331,A915)</f>
        <v>1</v>
      </c>
      <c r="J915" s="9">
        <f>ROUND(SUMIFS('Bank Lines'!$E$5:$E$1640,'Bank Lines'!$G$5:$G$1640,A915,'Bank Lines'!$J$5:$J$1640,1),2)</f>
        <v>10807.5</v>
      </c>
      <c r="K915" s="9">
        <f>ROUND(SUMIFS('Odoo Items'!$G$5:$G$4331,'Odoo Items'!$J$5:$J$4331,A915),2)</f>
        <v>10807.5</v>
      </c>
      <c r="L915" s="9">
        <f>ROUND(J915-K915,2)</f>
        <v>0</v>
      </c>
      <c r="M915" s="9">
        <f>ROUND(SUMIFS('Bank Lines'!$E$5:$E$1640,'Bank Lines'!$G$5:$G$1640,A915,'Bank Lines'!$J$5:$J$1640,1,'Bank Lines'!$C$5:$C$1640,"&lt;="&amp;Cover!$C$13),2)</f>
        <v>10807.5</v>
      </c>
      <c r="N915" s="9">
        <f>ROUND(SUMIFS('Odoo Items'!$G$5:$G$4331,'Odoo Items'!$J$5:$J$4331,A915,'Odoo Items'!$C$5:$C$4331,"&lt;="&amp;Cover!$C$13),2)</f>
        <v>10807.5</v>
      </c>
      <c r="O915">
        <f>COUNTIFS('Bank Lines'!$G$5:$G$1640,A915,'Bank Lines'!$J$5:$J$1640,1,'Bank Lines'!$C$5:$C$1640,"&lt;="&amp;Cover!$C$13)</f>
        <v>1</v>
      </c>
      <c r="P915">
        <f>COUNTIFS('Odoo Items'!$J$5:$J$4331,A915,'Odoo Items'!$C$5:$C$4331,"&lt;="&amp;Cover!$C$13)</f>
        <v>1</v>
      </c>
      <c r="Q915" t="str">
        <f>IF(AND(O915=0,P915=0),"",IF(O915=0,"ODOO-ONLY",IF(P915=0,"BANK-ONLY","BOTH")))</f>
        <v>BOTH</v>
      </c>
      <c r="R915" s="9">
        <f>IF(Q915="BOTH",ROUND(M915-N915,2),0)</f>
        <v>0</v>
      </c>
      <c r="S915" s="9">
        <f>ROUND(SUMIFS('Bank Lines'!$E$5:$E$1640,'Bank Lines'!$G$5:$G$1640,A915,'Bank Lines'!$J$5:$J$1640,1,'Bank Lines'!$C$5:$C$1640,"&lt;="&amp;Cover!$C$14),2)</f>
        <v>10807.5</v>
      </c>
      <c r="T915" s="9">
        <f>ROUND(SUMIFS('Odoo Items'!$G$5:$G$4331,'Odoo Items'!$J$5:$J$4331,A915,'Odoo Items'!$C$5:$C$4331,"&lt;="&amp;Cover!$C$14),2)</f>
        <v>10807.5</v>
      </c>
      <c r="U915">
        <f>COUNTIFS('Bank Lines'!$G$5:$G$1640,A915,'Bank Lines'!$J$5:$J$1640,1,'Bank Lines'!$C$5:$C$1640,"&lt;="&amp;Cover!$C$14)</f>
        <v>1</v>
      </c>
      <c r="V915">
        <f>COUNTIFS('Odoo Items'!$J$5:$J$4331,A915,'Odoo Items'!$C$5:$C$4331,"&lt;="&amp;Cover!$C$14)</f>
        <v>1</v>
      </c>
      <c r="W915" t="str">
        <f>IF(AND(U915=0,V915=0),"",IF(U915=0,"ODOO-ONLY",IF(V915=0,"BANK-ONLY","BOTH")))</f>
        <v>BOTH</v>
      </c>
      <c r="X915" s="9">
        <f>IF(W915="BOTH",ROUND(S915-T915,2),0)</f>
        <v>0</v>
      </c>
      <c r="Y915" s="9">
        <f>ROUND(SUMIFS('Bank Lines'!$E$5:$E$1640,'Bank Lines'!$G$5:$G$1640,A915,'Bank Lines'!$J$5:$J$1640,1,'Bank Lines'!$C$5:$C$1640,"&lt;="&amp;Cover!$C$15),2)</f>
        <v>10807.5</v>
      </c>
      <c r="Z915" s="9">
        <f>ROUND(SUMIFS('Odoo Items'!$G$5:$G$4331,'Odoo Items'!$J$5:$J$4331,A915,'Odoo Items'!$C$5:$C$4331,"&lt;="&amp;Cover!$C$15),2)</f>
        <v>10807.5</v>
      </c>
      <c r="AA915">
        <f>COUNTIFS('Bank Lines'!$G$5:$G$1640,A915,'Bank Lines'!$J$5:$J$1640,1,'Bank Lines'!$C$5:$C$1640,"&lt;="&amp;Cover!$C$15)</f>
        <v>1</v>
      </c>
      <c r="AB915">
        <f>COUNTIFS('Odoo Items'!$J$5:$J$4331,A915,'Odoo Items'!$C$5:$C$4331,"&lt;="&amp;Cover!$C$15)</f>
        <v>1</v>
      </c>
      <c r="AC915" t="str">
        <f>IF(AND(AA915=0,AB915=0),"",IF(AA915=0,"ODOO-ONLY",IF(AB915=0,"BANK-ONLY","BOTH")))</f>
        <v>BOTH</v>
      </c>
      <c r="AD915" s="9">
        <f>IF(AC915="BOTH",ROUND(Y915-Z915,2),0)</f>
        <v>0</v>
      </c>
    </row>
    <row r="916">
      <c r="A916" t="inlineStr">
        <is>
          <t>G00912</t>
        </is>
      </c>
      <c r="B916" t="inlineStr">
        <is>
          <t>OPS</t>
        </is>
      </c>
      <c r="C916" t="inlineStr">
        <is>
          <t>R09</t>
        </is>
      </c>
      <c r="D916" t="inlineStr">
        <is>
          <t>MATCH</t>
        </is>
      </c>
      <c r="E916" t="inlineStr">
        <is>
          <t>Linfield Dairy Co</t>
        </is>
      </c>
      <c r="F916" t="n">
        <v>1</v>
      </c>
      <c r="G916" t="inlineStr">
        <is>
          <t>Reference INV/2026/03436</t>
        </is>
      </c>
      <c r="H916">
        <f>COUNTIFS('Bank Lines'!$G$5:$G$1640,A916,'Bank Lines'!$J$5:$J$1640,1)</f>
        <v>1</v>
      </c>
      <c r="I916">
        <f>COUNTIFS('Odoo Items'!$J$5:$J$4331,A916)</f>
        <v>1</v>
      </c>
      <c r="J916" s="9">
        <f>ROUND(SUMIFS('Bank Lines'!$E$5:$E$1640,'Bank Lines'!$G$5:$G$1640,A916,'Bank Lines'!$J$5:$J$1640,1),2)</f>
        <v>5362.5</v>
      </c>
      <c r="K916" s="9">
        <f>ROUND(SUMIFS('Odoo Items'!$G$5:$G$4331,'Odoo Items'!$J$5:$J$4331,A916),2)</f>
        <v>5362.5</v>
      </c>
      <c r="L916" s="9">
        <f>ROUND(J916-K916,2)</f>
        <v>0</v>
      </c>
      <c r="M916" s="9">
        <f>ROUND(SUMIFS('Bank Lines'!$E$5:$E$1640,'Bank Lines'!$G$5:$G$1640,A916,'Bank Lines'!$J$5:$J$1640,1,'Bank Lines'!$C$5:$C$1640,"&lt;="&amp;Cover!$C$13),2)</f>
        <v>5362.5</v>
      </c>
      <c r="N916" s="9">
        <f>ROUND(SUMIFS('Odoo Items'!$G$5:$G$4331,'Odoo Items'!$J$5:$J$4331,A916,'Odoo Items'!$C$5:$C$4331,"&lt;="&amp;Cover!$C$13),2)</f>
        <v>5362.5</v>
      </c>
      <c r="O916">
        <f>COUNTIFS('Bank Lines'!$G$5:$G$1640,A916,'Bank Lines'!$J$5:$J$1640,1,'Bank Lines'!$C$5:$C$1640,"&lt;="&amp;Cover!$C$13)</f>
        <v>1</v>
      </c>
      <c r="P916">
        <f>COUNTIFS('Odoo Items'!$J$5:$J$4331,A916,'Odoo Items'!$C$5:$C$4331,"&lt;="&amp;Cover!$C$13)</f>
        <v>1</v>
      </c>
      <c r="Q916" t="str">
        <f>IF(AND(O916=0,P916=0),"",IF(O916=0,"ODOO-ONLY",IF(P916=0,"BANK-ONLY","BOTH")))</f>
        <v>BOTH</v>
      </c>
      <c r="R916" s="9">
        <f>IF(Q916="BOTH",ROUND(M916-N916,2),0)</f>
        <v>0</v>
      </c>
      <c r="S916" s="9">
        <f>ROUND(SUMIFS('Bank Lines'!$E$5:$E$1640,'Bank Lines'!$G$5:$G$1640,A916,'Bank Lines'!$J$5:$J$1640,1,'Bank Lines'!$C$5:$C$1640,"&lt;="&amp;Cover!$C$14),2)</f>
        <v>5362.5</v>
      </c>
      <c r="T916" s="9">
        <f>ROUND(SUMIFS('Odoo Items'!$G$5:$G$4331,'Odoo Items'!$J$5:$J$4331,A916,'Odoo Items'!$C$5:$C$4331,"&lt;="&amp;Cover!$C$14),2)</f>
        <v>5362.5</v>
      </c>
      <c r="U916">
        <f>COUNTIFS('Bank Lines'!$G$5:$G$1640,A916,'Bank Lines'!$J$5:$J$1640,1,'Bank Lines'!$C$5:$C$1640,"&lt;="&amp;Cover!$C$14)</f>
        <v>1</v>
      </c>
      <c r="V916">
        <f>COUNTIFS('Odoo Items'!$J$5:$J$4331,A916,'Odoo Items'!$C$5:$C$4331,"&lt;="&amp;Cover!$C$14)</f>
        <v>1</v>
      </c>
      <c r="W916" t="str">
        <f>IF(AND(U916=0,V916=0),"",IF(U916=0,"ODOO-ONLY",IF(V916=0,"BANK-ONLY","BOTH")))</f>
        <v>BOTH</v>
      </c>
      <c r="X916" s="9">
        <f>IF(W916="BOTH",ROUND(S916-T916,2),0)</f>
        <v>0</v>
      </c>
      <c r="Y916" s="9">
        <f>ROUND(SUMIFS('Bank Lines'!$E$5:$E$1640,'Bank Lines'!$G$5:$G$1640,A916,'Bank Lines'!$J$5:$J$1640,1,'Bank Lines'!$C$5:$C$1640,"&lt;="&amp;Cover!$C$15),2)</f>
        <v>5362.5</v>
      </c>
      <c r="Z916" s="9">
        <f>ROUND(SUMIFS('Odoo Items'!$G$5:$G$4331,'Odoo Items'!$J$5:$J$4331,A916,'Odoo Items'!$C$5:$C$4331,"&lt;="&amp;Cover!$C$15),2)</f>
        <v>5362.5</v>
      </c>
      <c r="AA916">
        <f>COUNTIFS('Bank Lines'!$G$5:$G$1640,A916,'Bank Lines'!$J$5:$J$1640,1,'Bank Lines'!$C$5:$C$1640,"&lt;="&amp;Cover!$C$15)</f>
        <v>1</v>
      </c>
      <c r="AB916">
        <f>COUNTIFS('Odoo Items'!$J$5:$J$4331,A916,'Odoo Items'!$C$5:$C$4331,"&lt;="&amp;Cover!$C$15)</f>
        <v>1</v>
      </c>
      <c r="AC916" t="str">
        <f>IF(AND(AA916=0,AB916=0),"",IF(AA916=0,"ODOO-ONLY",IF(AB916=0,"BANK-ONLY","BOTH")))</f>
        <v>BOTH</v>
      </c>
      <c r="AD916" s="9">
        <f>IF(AC916="BOTH",ROUND(Y916-Z916,2),0)</f>
        <v>0</v>
      </c>
    </row>
    <row r="917">
      <c r="A917" t="inlineStr">
        <is>
          <t>G00913</t>
        </is>
      </c>
      <c r="B917" t="inlineStr">
        <is>
          <t>OPS</t>
        </is>
      </c>
      <c r="C917" t="inlineStr">
        <is>
          <t>R09</t>
        </is>
      </c>
      <c r="D917" t="inlineStr">
        <is>
          <t>MATCH</t>
        </is>
      </c>
      <c r="E917" t="inlineStr">
        <is>
          <t>Coastline Health Fund</t>
        </is>
      </c>
      <c r="F917" t="n">
        <v>1</v>
      </c>
      <c r="G917" t="inlineStr">
        <is>
          <t>Reference INV/2026/01634</t>
        </is>
      </c>
      <c r="H917">
        <f>COUNTIFS('Bank Lines'!$G$5:$G$1640,A917,'Bank Lines'!$J$5:$J$1640,1)</f>
        <v>1</v>
      </c>
      <c r="I917">
        <f>COUNTIFS('Odoo Items'!$J$5:$J$4331,A917)</f>
        <v>1</v>
      </c>
      <c r="J917" s="9">
        <f>ROUND(SUMIFS('Bank Lines'!$E$5:$E$1640,'Bank Lines'!$G$5:$G$1640,A917,'Bank Lines'!$J$5:$J$1640,1),2)</f>
        <v>88</v>
      </c>
      <c r="K917" s="9">
        <f>ROUND(SUMIFS('Odoo Items'!$G$5:$G$4331,'Odoo Items'!$J$5:$J$4331,A917),2)</f>
        <v>88</v>
      </c>
      <c r="L917" s="9">
        <f>ROUND(J917-K917,2)</f>
        <v>0</v>
      </c>
      <c r="M917" s="9">
        <f>ROUND(SUMIFS('Bank Lines'!$E$5:$E$1640,'Bank Lines'!$G$5:$G$1640,A917,'Bank Lines'!$J$5:$J$1640,1,'Bank Lines'!$C$5:$C$1640,"&lt;="&amp;Cover!$C$13),2)</f>
        <v>88</v>
      </c>
      <c r="N917" s="9">
        <f>ROUND(SUMIFS('Odoo Items'!$G$5:$G$4331,'Odoo Items'!$J$5:$J$4331,A917,'Odoo Items'!$C$5:$C$4331,"&lt;="&amp;Cover!$C$13),2)</f>
        <v>88</v>
      </c>
      <c r="O917">
        <f>COUNTIFS('Bank Lines'!$G$5:$G$1640,A917,'Bank Lines'!$J$5:$J$1640,1,'Bank Lines'!$C$5:$C$1640,"&lt;="&amp;Cover!$C$13)</f>
        <v>1</v>
      </c>
      <c r="P917">
        <f>COUNTIFS('Odoo Items'!$J$5:$J$4331,A917,'Odoo Items'!$C$5:$C$4331,"&lt;="&amp;Cover!$C$13)</f>
        <v>1</v>
      </c>
      <c r="Q917" t="str">
        <f>IF(AND(O917=0,P917=0),"",IF(O917=0,"ODOO-ONLY",IF(P917=0,"BANK-ONLY","BOTH")))</f>
        <v>BOTH</v>
      </c>
      <c r="R917" s="9">
        <f>IF(Q917="BOTH",ROUND(M917-N917,2),0)</f>
        <v>0</v>
      </c>
      <c r="S917" s="9">
        <f>ROUND(SUMIFS('Bank Lines'!$E$5:$E$1640,'Bank Lines'!$G$5:$G$1640,A917,'Bank Lines'!$J$5:$J$1640,1,'Bank Lines'!$C$5:$C$1640,"&lt;="&amp;Cover!$C$14),2)</f>
        <v>88</v>
      </c>
      <c r="T917" s="9">
        <f>ROUND(SUMIFS('Odoo Items'!$G$5:$G$4331,'Odoo Items'!$J$5:$J$4331,A917,'Odoo Items'!$C$5:$C$4331,"&lt;="&amp;Cover!$C$14),2)</f>
        <v>88</v>
      </c>
      <c r="U917">
        <f>COUNTIFS('Bank Lines'!$G$5:$G$1640,A917,'Bank Lines'!$J$5:$J$1640,1,'Bank Lines'!$C$5:$C$1640,"&lt;="&amp;Cover!$C$14)</f>
        <v>1</v>
      </c>
      <c r="V917">
        <f>COUNTIFS('Odoo Items'!$J$5:$J$4331,A917,'Odoo Items'!$C$5:$C$4331,"&lt;="&amp;Cover!$C$14)</f>
        <v>1</v>
      </c>
      <c r="W917" t="str">
        <f>IF(AND(U917=0,V917=0),"",IF(U917=0,"ODOO-ONLY",IF(V917=0,"BANK-ONLY","BOTH")))</f>
        <v>BOTH</v>
      </c>
      <c r="X917" s="9">
        <f>IF(W917="BOTH",ROUND(S917-T917,2),0)</f>
        <v>0</v>
      </c>
      <c r="Y917" s="9">
        <f>ROUND(SUMIFS('Bank Lines'!$E$5:$E$1640,'Bank Lines'!$G$5:$G$1640,A917,'Bank Lines'!$J$5:$J$1640,1,'Bank Lines'!$C$5:$C$1640,"&lt;="&amp;Cover!$C$15),2)</f>
        <v>88</v>
      </c>
      <c r="Z917" s="9">
        <f>ROUND(SUMIFS('Odoo Items'!$G$5:$G$4331,'Odoo Items'!$J$5:$J$4331,A917,'Odoo Items'!$C$5:$C$4331,"&lt;="&amp;Cover!$C$15),2)</f>
        <v>88</v>
      </c>
      <c r="AA917">
        <f>COUNTIFS('Bank Lines'!$G$5:$G$1640,A917,'Bank Lines'!$J$5:$J$1640,1,'Bank Lines'!$C$5:$C$1640,"&lt;="&amp;Cover!$C$15)</f>
        <v>1</v>
      </c>
      <c r="AB917">
        <f>COUNTIFS('Odoo Items'!$J$5:$J$4331,A917,'Odoo Items'!$C$5:$C$4331,"&lt;="&amp;Cover!$C$15)</f>
        <v>1</v>
      </c>
      <c r="AC917" t="str">
        <f>IF(AND(AA917=0,AB917=0),"",IF(AA917=0,"ODOO-ONLY",IF(AB917=0,"BANK-ONLY","BOTH")))</f>
        <v>BOTH</v>
      </c>
      <c r="AD917" s="9">
        <f>IF(AC917="BOTH",ROUND(Y917-Z917,2),0)</f>
        <v>0</v>
      </c>
    </row>
    <row r="918">
      <c r="A918" t="inlineStr">
        <is>
          <t>G00914</t>
        </is>
      </c>
      <c r="B918" t="inlineStr">
        <is>
          <t>OPS</t>
        </is>
      </c>
      <c r="C918" t="inlineStr">
        <is>
          <t>R09</t>
        </is>
      </c>
      <c r="D918" t="inlineStr">
        <is>
          <t>MATCH</t>
        </is>
      </c>
      <c r="E918" t="inlineStr">
        <is>
          <t>Marlowe Print &amp; Pack</t>
        </is>
      </c>
      <c r="F918" t="n">
        <v>1</v>
      </c>
      <c r="G918" t="inlineStr">
        <is>
          <t>Reference INV/2026/03426</t>
        </is>
      </c>
      <c r="H918">
        <f>COUNTIFS('Bank Lines'!$G$5:$G$1640,A918,'Bank Lines'!$J$5:$J$1640,1)</f>
        <v>1</v>
      </c>
      <c r="I918">
        <f>COUNTIFS('Odoo Items'!$J$5:$J$4331,A918)</f>
        <v>1</v>
      </c>
      <c r="J918" s="9">
        <f>ROUND(SUMIFS('Bank Lines'!$E$5:$E$1640,'Bank Lines'!$G$5:$G$1640,A918,'Bank Lines'!$J$5:$J$1640,1),2)</f>
        <v>16101.25</v>
      </c>
      <c r="K918" s="9">
        <f>ROUND(SUMIFS('Odoo Items'!$G$5:$G$4331,'Odoo Items'!$J$5:$J$4331,A918),2)</f>
        <v>16101.25</v>
      </c>
      <c r="L918" s="9">
        <f>ROUND(J918-K918,2)</f>
        <v>0</v>
      </c>
      <c r="M918" s="9">
        <f>ROUND(SUMIFS('Bank Lines'!$E$5:$E$1640,'Bank Lines'!$G$5:$G$1640,A918,'Bank Lines'!$J$5:$J$1640,1,'Bank Lines'!$C$5:$C$1640,"&lt;="&amp;Cover!$C$13),2)</f>
        <v>16101.25</v>
      </c>
      <c r="N918" s="9">
        <f>ROUND(SUMIFS('Odoo Items'!$G$5:$G$4331,'Odoo Items'!$J$5:$J$4331,A918,'Odoo Items'!$C$5:$C$4331,"&lt;="&amp;Cover!$C$13),2)</f>
        <v>16101.25</v>
      </c>
      <c r="O918">
        <f>COUNTIFS('Bank Lines'!$G$5:$G$1640,A918,'Bank Lines'!$J$5:$J$1640,1,'Bank Lines'!$C$5:$C$1640,"&lt;="&amp;Cover!$C$13)</f>
        <v>1</v>
      </c>
      <c r="P918">
        <f>COUNTIFS('Odoo Items'!$J$5:$J$4331,A918,'Odoo Items'!$C$5:$C$4331,"&lt;="&amp;Cover!$C$13)</f>
        <v>1</v>
      </c>
      <c r="Q918" t="str">
        <f>IF(AND(O918=0,P918=0),"",IF(O918=0,"ODOO-ONLY",IF(P918=0,"BANK-ONLY","BOTH")))</f>
        <v>BOTH</v>
      </c>
      <c r="R918" s="9">
        <f>IF(Q918="BOTH",ROUND(M918-N918,2),0)</f>
        <v>0</v>
      </c>
      <c r="S918" s="9">
        <f>ROUND(SUMIFS('Bank Lines'!$E$5:$E$1640,'Bank Lines'!$G$5:$G$1640,A918,'Bank Lines'!$J$5:$J$1640,1,'Bank Lines'!$C$5:$C$1640,"&lt;="&amp;Cover!$C$14),2)</f>
        <v>16101.25</v>
      </c>
      <c r="T918" s="9">
        <f>ROUND(SUMIFS('Odoo Items'!$G$5:$G$4331,'Odoo Items'!$J$5:$J$4331,A918,'Odoo Items'!$C$5:$C$4331,"&lt;="&amp;Cover!$C$14),2)</f>
        <v>16101.25</v>
      </c>
      <c r="U918">
        <f>COUNTIFS('Bank Lines'!$G$5:$G$1640,A918,'Bank Lines'!$J$5:$J$1640,1,'Bank Lines'!$C$5:$C$1640,"&lt;="&amp;Cover!$C$14)</f>
        <v>1</v>
      </c>
      <c r="V918">
        <f>COUNTIFS('Odoo Items'!$J$5:$J$4331,A918,'Odoo Items'!$C$5:$C$4331,"&lt;="&amp;Cover!$C$14)</f>
        <v>1</v>
      </c>
      <c r="W918" t="str">
        <f>IF(AND(U918=0,V918=0),"",IF(U918=0,"ODOO-ONLY",IF(V918=0,"BANK-ONLY","BOTH")))</f>
        <v>BOTH</v>
      </c>
      <c r="X918" s="9">
        <f>IF(W918="BOTH",ROUND(S918-T918,2),0)</f>
        <v>0</v>
      </c>
      <c r="Y918" s="9">
        <f>ROUND(SUMIFS('Bank Lines'!$E$5:$E$1640,'Bank Lines'!$G$5:$G$1640,A918,'Bank Lines'!$J$5:$J$1640,1,'Bank Lines'!$C$5:$C$1640,"&lt;="&amp;Cover!$C$15),2)</f>
        <v>16101.25</v>
      </c>
      <c r="Z918" s="9">
        <f>ROUND(SUMIFS('Odoo Items'!$G$5:$G$4331,'Odoo Items'!$J$5:$J$4331,A918,'Odoo Items'!$C$5:$C$4331,"&lt;="&amp;Cover!$C$15),2)</f>
        <v>16101.25</v>
      </c>
      <c r="AA918">
        <f>COUNTIFS('Bank Lines'!$G$5:$G$1640,A918,'Bank Lines'!$J$5:$J$1640,1,'Bank Lines'!$C$5:$C$1640,"&lt;="&amp;Cover!$C$15)</f>
        <v>1</v>
      </c>
      <c r="AB918">
        <f>COUNTIFS('Odoo Items'!$J$5:$J$4331,A918,'Odoo Items'!$C$5:$C$4331,"&lt;="&amp;Cover!$C$15)</f>
        <v>1</v>
      </c>
      <c r="AC918" t="str">
        <f>IF(AND(AA918=0,AB918=0),"",IF(AA918=0,"ODOO-ONLY",IF(AB918=0,"BANK-ONLY","BOTH")))</f>
        <v>BOTH</v>
      </c>
      <c r="AD918" s="9">
        <f>IF(AC918="BOTH",ROUND(Y918-Z918,2),0)</f>
        <v>0</v>
      </c>
    </row>
    <row r="919">
      <c r="A919" t="inlineStr">
        <is>
          <t>G00915</t>
        </is>
      </c>
      <c r="B919" t="inlineStr">
        <is>
          <t>OPS</t>
        </is>
      </c>
      <c r="C919" t="inlineStr">
        <is>
          <t>R09</t>
        </is>
      </c>
      <c r="D919" t="inlineStr">
        <is>
          <t>MATCH</t>
        </is>
      </c>
      <c r="E919" t="inlineStr">
        <is>
          <t>Sorrento Bay Hotels</t>
        </is>
      </c>
      <c r="F919" t="n">
        <v>1</v>
      </c>
      <c r="G919" t="inlineStr">
        <is>
          <t>Reference INV/2026/03433</t>
        </is>
      </c>
      <c r="H919">
        <f>COUNTIFS('Bank Lines'!$G$5:$G$1640,A919,'Bank Lines'!$J$5:$J$1640,1)</f>
        <v>1</v>
      </c>
      <c r="I919">
        <f>COUNTIFS('Odoo Items'!$J$5:$J$4331,A919)</f>
        <v>1</v>
      </c>
      <c r="J919" s="9">
        <f>ROUND(SUMIFS('Bank Lines'!$E$5:$E$1640,'Bank Lines'!$G$5:$G$1640,A919,'Bank Lines'!$J$5:$J$1640,1),2)</f>
        <v>10725</v>
      </c>
      <c r="K919" s="9">
        <f>ROUND(SUMIFS('Odoo Items'!$G$5:$G$4331,'Odoo Items'!$J$5:$J$4331,A919),2)</f>
        <v>10725</v>
      </c>
      <c r="L919" s="9">
        <f>ROUND(J919-K919,2)</f>
        <v>0</v>
      </c>
      <c r="M919" s="9">
        <f>ROUND(SUMIFS('Bank Lines'!$E$5:$E$1640,'Bank Lines'!$G$5:$G$1640,A919,'Bank Lines'!$J$5:$J$1640,1,'Bank Lines'!$C$5:$C$1640,"&lt;="&amp;Cover!$C$13),2)</f>
        <v>10725</v>
      </c>
      <c r="N919" s="9">
        <f>ROUND(SUMIFS('Odoo Items'!$G$5:$G$4331,'Odoo Items'!$J$5:$J$4331,A919,'Odoo Items'!$C$5:$C$4331,"&lt;="&amp;Cover!$C$13),2)</f>
        <v>10725</v>
      </c>
      <c r="O919">
        <f>COUNTIFS('Bank Lines'!$G$5:$G$1640,A919,'Bank Lines'!$J$5:$J$1640,1,'Bank Lines'!$C$5:$C$1640,"&lt;="&amp;Cover!$C$13)</f>
        <v>1</v>
      </c>
      <c r="P919">
        <f>COUNTIFS('Odoo Items'!$J$5:$J$4331,A919,'Odoo Items'!$C$5:$C$4331,"&lt;="&amp;Cover!$C$13)</f>
        <v>1</v>
      </c>
      <c r="Q919" t="str">
        <f>IF(AND(O919=0,P919=0),"",IF(O919=0,"ODOO-ONLY",IF(P919=0,"BANK-ONLY","BOTH")))</f>
        <v>BOTH</v>
      </c>
      <c r="R919" s="9">
        <f>IF(Q919="BOTH",ROUND(M919-N919,2),0)</f>
        <v>0</v>
      </c>
      <c r="S919" s="9">
        <f>ROUND(SUMIFS('Bank Lines'!$E$5:$E$1640,'Bank Lines'!$G$5:$G$1640,A919,'Bank Lines'!$J$5:$J$1640,1,'Bank Lines'!$C$5:$C$1640,"&lt;="&amp;Cover!$C$14),2)</f>
        <v>10725</v>
      </c>
      <c r="T919" s="9">
        <f>ROUND(SUMIFS('Odoo Items'!$G$5:$G$4331,'Odoo Items'!$J$5:$J$4331,A919,'Odoo Items'!$C$5:$C$4331,"&lt;="&amp;Cover!$C$14),2)</f>
        <v>10725</v>
      </c>
      <c r="U919">
        <f>COUNTIFS('Bank Lines'!$G$5:$G$1640,A919,'Bank Lines'!$J$5:$J$1640,1,'Bank Lines'!$C$5:$C$1640,"&lt;="&amp;Cover!$C$14)</f>
        <v>1</v>
      </c>
      <c r="V919">
        <f>COUNTIFS('Odoo Items'!$J$5:$J$4331,A919,'Odoo Items'!$C$5:$C$4331,"&lt;="&amp;Cover!$C$14)</f>
        <v>1</v>
      </c>
      <c r="W919" t="str">
        <f>IF(AND(U919=0,V919=0),"",IF(U919=0,"ODOO-ONLY",IF(V919=0,"BANK-ONLY","BOTH")))</f>
        <v>BOTH</v>
      </c>
      <c r="X919" s="9">
        <f>IF(W919="BOTH",ROUND(S919-T919,2),0)</f>
        <v>0</v>
      </c>
      <c r="Y919" s="9">
        <f>ROUND(SUMIFS('Bank Lines'!$E$5:$E$1640,'Bank Lines'!$G$5:$G$1640,A919,'Bank Lines'!$J$5:$J$1640,1,'Bank Lines'!$C$5:$C$1640,"&lt;="&amp;Cover!$C$15),2)</f>
        <v>10725</v>
      </c>
      <c r="Z919" s="9">
        <f>ROUND(SUMIFS('Odoo Items'!$G$5:$G$4331,'Odoo Items'!$J$5:$J$4331,A919,'Odoo Items'!$C$5:$C$4331,"&lt;="&amp;Cover!$C$15),2)</f>
        <v>10725</v>
      </c>
      <c r="AA919">
        <f>COUNTIFS('Bank Lines'!$G$5:$G$1640,A919,'Bank Lines'!$J$5:$J$1640,1,'Bank Lines'!$C$5:$C$1640,"&lt;="&amp;Cover!$C$15)</f>
        <v>1</v>
      </c>
      <c r="AB919">
        <f>COUNTIFS('Odoo Items'!$J$5:$J$4331,A919,'Odoo Items'!$C$5:$C$4331,"&lt;="&amp;Cover!$C$15)</f>
        <v>1</v>
      </c>
      <c r="AC919" t="str">
        <f>IF(AND(AA919=0,AB919=0),"",IF(AA919=0,"ODOO-ONLY",IF(AB919=0,"BANK-ONLY","BOTH")))</f>
        <v>BOTH</v>
      </c>
      <c r="AD919" s="9">
        <f>IF(AC919="BOTH",ROUND(Y919-Z919,2),0)</f>
        <v>0</v>
      </c>
    </row>
    <row r="920">
      <c r="A920" t="inlineStr">
        <is>
          <t>G00916</t>
        </is>
      </c>
      <c r="B920" t="inlineStr">
        <is>
          <t>OPS</t>
        </is>
      </c>
      <c r="C920" t="inlineStr">
        <is>
          <t>R09</t>
        </is>
      </c>
      <c r="D920" t="inlineStr">
        <is>
          <t>MATCH</t>
        </is>
      </c>
      <c r="E920" t="inlineStr">
        <is>
          <t>Ashgrove Accounting</t>
        </is>
      </c>
      <c r="F920" t="n">
        <v>1</v>
      </c>
      <c r="G920" t="inlineStr">
        <is>
          <t>Reference INV/2026/03437</t>
        </is>
      </c>
      <c r="H920">
        <f>COUNTIFS('Bank Lines'!$G$5:$G$1640,A920,'Bank Lines'!$J$5:$J$1640,1)</f>
        <v>1</v>
      </c>
      <c r="I920">
        <f>COUNTIFS('Odoo Items'!$J$5:$J$4331,A920)</f>
        <v>1</v>
      </c>
      <c r="J920" s="9">
        <f>ROUND(SUMIFS('Bank Lines'!$E$5:$E$1640,'Bank Lines'!$G$5:$G$1640,A920,'Bank Lines'!$J$5:$J$1640,1),2)</f>
        <v>15950</v>
      </c>
      <c r="K920" s="9">
        <f>ROUND(SUMIFS('Odoo Items'!$G$5:$G$4331,'Odoo Items'!$J$5:$J$4331,A920),2)</f>
        <v>15950</v>
      </c>
      <c r="L920" s="9">
        <f>ROUND(J920-K920,2)</f>
        <v>0</v>
      </c>
      <c r="M920" s="9">
        <f>ROUND(SUMIFS('Bank Lines'!$E$5:$E$1640,'Bank Lines'!$G$5:$G$1640,A920,'Bank Lines'!$J$5:$J$1640,1,'Bank Lines'!$C$5:$C$1640,"&lt;="&amp;Cover!$C$13),2)</f>
        <v>15950</v>
      </c>
      <c r="N920" s="9">
        <f>ROUND(SUMIFS('Odoo Items'!$G$5:$G$4331,'Odoo Items'!$J$5:$J$4331,A920,'Odoo Items'!$C$5:$C$4331,"&lt;="&amp;Cover!$C$13),2)</f>
        <v>15950</v>
      </c>
      <c r="O920">
        <f>COUNTIFS('Bank Lines'!$G$5:$G$1640,A920,'Bank Lines'!$J$5:$J$1640,1,'Bank Lines'!$C$5:$C$1640,"&lt;="&amp;Cover!$C$13)</f>
        <v>1</v>
      </c>
      <c r="P920">
        <f>COUNTIFS('Odoo Items'!$J$5:$J$4331,A920,'Odoo Items'!$C$5:$C$4331,"&lt;="&amp;Cover!$C$13)</f>
        <v>1</v>
      </c>
      <c r="Q920" t="str">
        <f>IF(AND(O920=0,P920=0),"",IF(O920=0,"ODOO-ONLY",IF(P920=0,"BANK-ONLY","BOTH")))</f>
        <v>BOTH</v>
      </c>
      <c r="R920" s="9">
        <f>IF(Q920="BOTH",ROUND(M920-N920,2),0)</f>
        <v>0</v>
      </c>
      <c r="S920" s="9">
        <f>ROUND(SUMIFS('Bank Lines'!$E$5:$E$1640,'Bank Lines'!$G$5:$G$1640,A920,'Bank Lines'!$J$5:$J$1640,1,'Bank Lines'!$C$5:$C$1640,"&lt;="&amp;Cover!$C$14),2)</f>
        <v>15950</v>
      </c>
      <c r="T920" s="9">
        <f>ROUND(SUMIFS('Odoo Items'!$G$5:$G$4331,'Odoo Items'!$J$5:$J$4331,A920,'Odoo Items'!$C$5:$C$4331,"&lt;="&amp;Cover!$C$14),2)</f>
        <v>15950</v>
      </c>
      <c r="U920">
        <f>COUNTIFS('Bank Lines'!$G$5:$G$1640,A920,'Bank Lines'!$J$5:$J$1640,1,'Bank Lines'!$C$5:$C$1640,"&lt;="&amp;Cover!$C$14)</f>
        <v>1</v>
      </c>
      <c r="V920">
        <f>COUNTIFS('Odoo Items'!$J$5:$J$4331,A920,'Odoo Items'!$C$5:$C$4331,"&lt;="&amp;Cover!$C$14)</f>
        <v>1</v>
      </c>
      <c r="W920" t="str">
        <f>IF(AND(U920=0,V920=0),"",IF(U920=0,"ODOO-ONLY",IF(V920=0,"BANK-ONLY","BOTH")))</f>
        <v>BOTH</v>
      </c>
      <c r="X920" s="9">
        <f>IF(W920="BOTH",ROUND(S920-T920,2),0)</f>
        <v>0</v>
      </c>
      <c r="Y920" s="9">
        <f>ROUND(SUMIFS('Bank Lines'!$E$5:$E$1640,'Bank Lines'!$G$5:$G$1640,A920,'Bank Lines'!$J$5:$J$1640,1,'Bank Lines'!$C$5:$C$1640,"&lt;="&amp;Cover!$C$15),2)</f>
        <v>15950</v>
      </c>
      <c r="Z920" s="9">
        <f>ROUND(SUMIFS('Odoo Items'!$G$5:$G$4331,'Odoo Items'!$J$5:$J$4331,A920,'Odoo Items'!$C$5:$C$4331,"&lt;="&amp;Cover!$C$15),2)</f>
        <v>15950</v>
      </c>
      <c r="AA920">
        <f>COUNTIFS('Bank Lines'!$G$5:$G$1640,A920,'Bank Lines'!$J$5:$J$1640,1,'Bank Lines'!$C$5:$C$1640,"&lt;="&amp;Cover!$C$15)</f>
        <v>1</v>
      </c>
      <c r="AB920">
        <f>COUNTIFS('Odoo Items'!$J$5:$J$4331,A920,'Odoo Items'!$C$5:$C$4331,"&lt;="&amp;Cover!$C$15)</f>
        <v>1</v>
      </c>
      <c r="AC920" t="str">
        <f>IF(AND(AA920=0,AB920=0),"",IF(AA920=0,"ODOO-ONLY",IF(AB920=0,"BANK-ONLY","BOTH")))</f>
        <v>BOTH</v>
      </c>
      <c r="AD920" s="9">
        <f>IF(AC920="BOTH",ROUND(Y920-Z920,2),0)</f>
        <v>0</v>
      </c>
    </row>
    <row r="921">
      <c r="A921" t="inlineStr">
        <is>
          <t>G00917</t>
        </is>
      </c>
      <c r="B921" t="inlineStr">
        <is>
          <t>OPS</t>
        </is>
      </c>
      <c r="C921" t="inlineStr">
        <is>
          <t>R09</t>
        </is>
      </c>
      <c r="D921" t="inlineStr">
        <is>
          <t>MATCH</t>
        </is>
      </c>
      <c r="E921" t="inlineStr">
        <is>
          <t>Harbour Mutual Health</t>
        </is>
      </c>
      <c r="F921" t="n">
        <v>1</v>
      </c>
      <c r="G921" t="inlineStr">
        <is>
          <t>Reference INV/2026/01841</t>
        </is>
      </c>
      <c r="H921">
        <f>COUNTIFS('Bank Lines'!$G$5:$G$1640,A921,'Bank Lines'!$J$5:$J$1640,1)</f>
        <v>1</v>
      </c>
      <c r="I921">
        <f>COUNTIFS('Odoo Items'!$J$5:$J$4331,A921)</f>
        <v>1</v>
      </c>
      <c r="J921" s="9">
        <f>ROUND(SUMIFS('Bank Lines'!$E$5:$E$1640,'Bank Lines'!$G$5:$G$1640,A921,'Bank Lines'!$J$5:$J$1640,1),2)</f>
        <v>412.5</v>
      </c>
      <c r="K921" s="9">
        <f>ROUND(SUMIFS('Odoo Items'!$G$5:$G$4331,'Odoo Items'!$J$5:$J$4331,A921),2)</f>
        <v>412.5</v>
      </c>
      <c r="L921" s="9">
        <f>ROUND(J921-K921,2)</f>
        <v>0</v>
      </c>
      <c r="M921" s="9">
        <f>ROUND(SUMIFS('Bank Lines'!$E$5:$E$1640,'Bank Lines'!$G$5:$G$1640,A921,'Bank Lines'!$J$5:$J$1640,1,'Bank Lines'!$C$5:$C$1640,"&lt;="&amp;Cover!$C$13),2)</f>
        <v>412.5</v>
      </c>
      <c r="N921" s="9">
        <f>ROUND(SUMIFS('Odoo Items'!$G$5:$G$4331,'Odoo Items'!$J$5:$J$4331,A921,'Odoo Items'!$C$5:$C$4331,"&lt;="&amp;Cover!$C$13),2)</f>
        <v>412.5</v>
      </c>
      <c r="O921">
        <f>COUNTIFS('Bank Lines'!$G$5:$G$1640,A921,'Bank Lines'!$J$5:$J$1640,1,'Bank Lines'!$C$5:$C$1640,"&lt;="&amp;Cover!$C$13)</f>
        <v>1</v>
      </c>
      <c r="P921">
        <f>COUNTIFS('Odoo Items'!$J$5:$J$4331,A921,'Odoo Items'!$C$5:$C$4331,"&lt;="&amp;Cover!$C$13)</f>
        <v>1</v>
      </c>
      <c r="Q921" t="str">
        <f>IF(AND(O921=0,P921=0),"",IF(O921=0,"ODOO-ONLY",IF(P921=0,"BANK-ONLY","BOTH")))</f>
        <v>BOTH</v>
      </c>
      <c r="R921" s="9">
        <f>IF(Q921="BOTH",ROUND(M921-N921,2),0)</f>
        <v>0</v>
      </c>
      <c r="S921" s="9">
        <f>ROUND(SUMIFS('Bank Lines'!$E$5:$E$1640,'Bank Lines'!$G$5:$G$1640,A921,'Bank Lines'!$J$5:$J$1640,1,'Bank Lines'!$C$5:$C$1640,"&lt;="&amp;Cover!$C$14),2)</f>
        <v>412.5</v>
      </c>
      <c r="T921" s="9">
        <f>ROUND(SUMIFS('Odoo Items'!$G$5:$G$4331,'Odoo Items'!$J$5:$J$4331,A921,'Odoo Items'!$C$5:$C$4331,"&lt;="&amp;Cover!$C$14),2)</f>
        <v>412.5</v>
      </c>
      <c r="U921">
        <f>COUNTIFS('Bank Lines'!$G$5:$G$1640,A921,'Bank Lines'!$J$5:$J$1640,1,'Bank Lines'!$C$5:$C$1640,"&lt;="&amp;Cover!$C$14)</f>
        <v>1</v>
      </c>
      <c r="V921">
        <f>COUNTIFS('Odoo Items'!$J$5:$J$4331,A921,'Odoo Items'!$C$5:$C$4331,"&lt;="&amp;Cover!$C$14)</f>
        <v>1</v>
      </c>
      <c r="W921" t="str">
        <f>IF(AND(U921=0,V921=0),"",IF(U921=0,"ODOO-ONLY",IF(V921=0,"BANK-ONLY","BOTH")))</f>
        <v>BOTH</v>
      </c>
      <c r="X921" s="9">
        <f>IF(W921="BOTH",ROUND(S921-T921,2),0)</f>
        <v>0</v>
      </c>
      <c r="Y921" s="9">
        <f>ROUND(SUMIFS('Bank Lines'!$E$5:$E$1640,'Bank Lines'!$G$5:$G$1640,A921,'Bank Lines'!$J$5:$J$1640,1,'Bank Lines'!$C$5:$C$1640,"&lt;="&amp;Cover!$C$15),2)</f>
        <v>412.5</v>
      </c>
      <c r="Z921" s="9">
        <f>ROUND(SUMIFS('Odoo Items'!$G$5:$G$4331,'Odoo Items'!$J$5:$J$4331,A921,'Odoo Items'!$C$5:$C$4331,"&lt;="&amp;Cover!$C$15),2)</f>
        <v>412.5</v>
      </c>
      <c r="AA921">
        <f>COUNTIFS('Bank Lines'!$G$5:$G$1640,A921,'Bank Lines'!$J$5:$J$1640,1,'Bank Lines'!$C$5:$C$1640,"&lt;="&amp;Cover!$C$15)</f>
        <v>1</v>
      </c>
      <c r="AB921">
        <f>COUNTIFS('Odoo Items'!$J$5:$J$4331,A921,'Odoo Items'!$C$5:$C$4331,"&lt;="&amp;Cover!$C$15)</f>
        <v>1</v>
      </c>
      <c r="AC921" t="str">
        <f>IF(AND(AA921=0,AB921=0),"",IF(AA921=0,"ODOO-ONLY",IF(AB921=0,"BANK-ONLY","BOTH")))</f>
        <v>BOTH</v>
      </c>
      <c r="AD921" s="9">
        <f>IF(AC921="BOTH",ROUND(Y921-Z921,2),0)</f>
        <v>0</v>
      </c>
    </row>
    <row r="922">
      <c r="A922" t="inlineStr">
        <is>
          <t>G00918</t>
        </is>
      </c>
      <c r="B922" t="inlineStr">
        <is>
          <t>OPS</t>
        </is>
      </c>
      <c r="C922" t="inlineStr">
        <is>
          <t>R09</t>
        </is>
      </c>
      <c r="D922" t="inlineStr">
        <is>
          <t>MATCH</t>
        </is>
      </c>
      <c r="E922" t="inlineStr">
        <is>
          <t>Coastline Health Fund</t>
        </is>
      </c>
      <c r="F922" t="n">
        <v>1</v>
      </c>
      <c r="G922" t="inlineStr">
        <is>
          <t>Reference INV/2026/01823</t>
        </is>
      </c>
      <c r="H922">
        <f>COUNTIFS('Bank Lines'!$G$5:$G$1640,A922,'Bank Lines'!$J$5:$J$1640,1)</f>
        <v>1</v>
      </c>
      <c r="I922">
        <f>COUNTIFS('Odoo Items'!$J$5:$J$4331,A922)</f>
        <v>1</v>
      </c>
      <c r="J922" s="9">
        <f>ROUND(SUMIFS('Bank Lines'!$E$5:$E$1640,'Bank Lines'!$G$5:$G$1640,A922,'Bank Lines'!$J$5:$J$1640,1),2)</f>
        <v>132</v>
      </c>
      <c r="K922" s="9">
        <f>ROUND(SUMIFS('Odoo Items'!$G$5:$G$4331,'Odoo Items'!$J$5:$J$4331,A922),2)</f>
        <v>132</v>
      </c>
      <c r="L922" s="9">
        <f>ROUND(J922-K922,2)</f>
        <v>0</v>
      </c>
      <c r="M922" s="9">
        <f>ROUND(SUMIFS('Bank Lines'!$E$5:$E$1640,'Bank Lines'!$G$5:$G$1640,A922,'Bank Lines'!$J$5:$J$1640,1,'Bank Lines'!$C$5:$C$1640,"&lt;="&amp;Cover!$C$13),2)</f>
        <v>132</v>
      </c>
      <c r="N922" s="9">
        <f>ROUND(SUMIFS('Odoo Items'!$G$5:$G$4331,'Odoo Items'!$J$5:$J$4331,A922,'Odoo Items'!$C$5:$C$4331,"&lt;="&amp;Cover!$C$13),2)</f>
        <v>132</v>
      </c>
      <c r="O922">
        <f>COUNTIFS('Bank Lines'!$G$5:$G$1640,A922,'Bank Lines'!$J$5:$J$1640,1,'Bank Lines'!$C$5:$C$1640,"&lt;="&amp;Cover!$C$13)</f>
        <v>1</v>
      </c>
      <c r="P922">
        <f>COUNTIFS('Odoo Items'!$J$5:$J$4331,A922,'Odoo Items'!$C$5:$C$4331,"&lt;="&amp;Cover!$C$13)</f>
        <v>1</v>
      </c>
      <c r="Q922" t="str">
        <f>IF(AND(O922=0,P922=0),"",IF(O922=0,"ODOO-ONLY",IF(P922=0,"BANK-ONLY","BOTH")))</f>
        <v>BOTH</v>
      </c>
      <c r="R922" s="9">
        <f>IF(Q922="BOTH",ROUND(M922-N922,2),0)</f>
        <v>0</v>
      </c>
      <c r="S922" s="9">
        <f>ROUND(SUMIFS('Bank Lines'!$E$5:$E$1640,'Bank Lines'!$G$5:$G$1640,A922,'Bank Lines'!$J$5:$J$1640,1,'Bank Lines'!$C$5:$C$1640,"&lt;="&amp;Cover!$C$14),2)</f>
        <v>132</v>
      </c>
      <c r="T922" s="9">
        <f>ROUND(SUMIFS('Odoo Items'!$G$5:$G$4331,'Odoo Items'!$J$5:$J$4331,A922,'Odoo Items'!$C$5:$C$4331,"&lt;="&amp;Cover!$C$14),2)</f>
        <v>132</v>
      </c>
      <c r="U922">
        <f>COUNTIFS('Bank Lines'!$G$5:$G$1640,A922,'Bank Lines'!$J$5:$J$1640,1,'Bank Lines'!$C$5:$C$1640,"&lt;="&amp;Cover!$C$14)</f>
        <v>1</v>
      </c>
      <c r="V922">
        <f>COUNTIFS('Odoo Items'!$J$5:$J$4331,A922,'Odoo Items'!$C$5:$C$4331,"&lt;="&amp;Cover!$C$14)</f>
        <v>1</v>
      </c>
      <c r="W922" t="str">
        <f>IF(AND(U922=0,V922=0),"",IF(U922=0,"ODOO-ONLY",IF(V922=0,"BANK-ONLY","BOTH")))</f>
        <v>BOTH</v>
      </c>
      <c r="X922" s="9">
        <f>IF(W922="BOTH",ROUND(S922-T922,2),0)</f>
        <v>0</v>
      </c>
      <c r="Y922" s="9">
        <f>ROUND(SUMIFS('Bank Lines'!$E$5:$E$1640,'Bank Lines'!$G$5:$G$1640,A922,'Bank Lines'!$J$5:$J$1640,1,'Bank Lines'!$C$5:$C$1640,"&lt;="&amp;Cover!$C$15),2)</f>
        <v>132</v>
      </c>
      <c r="Z922" s="9">
        <f>ROUND(SUMIFS('Odoo Items'!$G$5:$G$4331,'Odoo Items'!$J$5:$J$4331,A922,'Odoo Items'!$C$5:$C$4331,"&lt;="&amp;Cover!$C$15),2)</f>
        <v>132</v>
      </c>
      <c r="AA922">
        <f>COUNTIFS('Bank Lines'!$G$5:$G$1640,A922,'Bank Lines'!$J$5:$J$1640,1,'Bank Lines'!$C$5:$C$1640,"&lt;="&amp;Cover!$C$15)</f>
        <v>1</v>
      </c>
      <c r="AB922">
        <f>COUNTIFS('Odoo Items'!$J$5:$J$4331,A922,'Odoo Items'!$C$5:$C$4331,"&lt;="&amp;Cover!$C$15)</f>
        <v>1</v>
      </c>
      <c r="AC922" t="str">
        <f>IF(AND(AA922=0,AB922=0),"",IF(AA922=0,"ODOO-ONLY",IF(AB922=0,"BANK-ONLY","BOTH")))</f>
        <v>BOTH</v>
      </c>
      <c r="AD922" s="9">
        <f>IF(AC922="BOTH",ROUND(Y922-Z922,2),0)</f>
        <v>0</v>
      </c>
    </row>
    <row r="923">
      <c r="A923" t="inlineStr">
        <is>
          <t>G00919</t>
        </is>
      </c>
      <c r="B923" t="inlineStr">
        <is>
          <t>OPS</t>
        </is>
      </c>
      <c r="C923" t="inlineStr">
        <is>
          <t>R09</t>
        </is>
      </c>
      <c r="D923" t="inlineStr">
        <is>
          <t>MATCH</t>
        </is>
      </c>
      <c r="E923" t="inlineStr">
        <is>
          <t>Unity Workcover Agents</t>
        </is>
      </c>
      <c r="F923" t="n">
        <v>1</v>
      </c>
      <c r="G923" t="inlineStr">
        <is>
          <t>Reference INV/2026/01913</t>
        </is>
      </c>
      <c r="H923">
        <f>COUNTIFS('Bank Lines'!$G$5:$G$1640,A923,'Bank Lines'!$J$5:$J$1640,1)</f>
        <v>1</v>
      </c>
      <c r="I923">
        <f>COUNTIFS('Odoo Items'!$J$5:$J$4331,A923)</f>
        <v>1</v>
      </c>
      <c r="J923" s="9">
        <f>ROUND(SUMIFS('Bank Lines'!$E$5:$E$1640,'Bank Lines'!$G$5:$G$1640,A923,'Bank Lines'!$J$5:$J$1640,1),2)</f>
        <v>412.5</v>
      </c>
      <c r="K923" s="9">
        <f>ROUND(SUMIFS('Odoo Items'!$G$5:$G$4331,'Odoo Items'!$J$5:$J$4331,A923),2)</f>
        <v>412.5</v>
      </c>
      <c r="L923" s="9">
        <f>ROUND(J923-K923,2)</f>
        <v>0</v>
      </c>
      <c r="M923" s="9">
        <f>ROUND(SUMIFS('Bank Lines'!$E$5:$E$1640,'Bank Lines'!$G$5:$G$1640,A923,'Bank Lines'!$J$5:$J$1640,1,'Bank Lines'!$C$5:$C$1640,"&lt;="&amp;Cover!$C$13),2)</f>
        <v>412.5</v>
      </c>
      <c r="N923" s="9">
        <f>ROUND(SUMIFS('Odoo Items'!$G$5:$G$4331,'Odoo Items'!$J$5:$J$4331,A923,'Odoo Items'!$C$5:$C$4331,"&lt;="&amp;Cover!$C$13),2)</f>
        <v>412.5</v>
      </c>
      <c r="O923">
        <f>COUNTIFS('Bank Lines'!$G$5:$G$1640,A923,'Bank Lines'!$J$5:$J$1640,1,'Bank Lines'!$C$5:$C$1640,"&lt;="&amp;Cover!$C$13)</f>
        <v>1</v>
      </c>
      <c r="P923">
        <f>COUNTIFS('Odoo Items'!$J$5:$J$4331,A923,'Odoo Items'!$C$5:$C$4331,"&lt;="&amp;Cover!$C$13)</f>
        <v>1</v>
      </c>
      <c r="Q923" t="str">
        <f>IF(AND(O923=0,P923=0),"",IF(O923=0,"ODOO-ONLY",IF(P923=0,"BANK-ONLY","BOTH")))</f>
        <v>BOTH</v>
      </c>
      <c r="R923" s="9">
        <f>IF(Q923="BOTH",ROUND(M923-N923,2),0)</f>
        <v>0</v>
      </c>
      <c r="S923" s="9">
        <f>ROUND(SUMIFS('Bank Lines'!$E$5:$E$1640,'Bank Lines'!$G$5:$G$1640,A923,'Bank Lines'!$J$5:$J$1640,1,'Bank Lines'!$C$5:$C$1640,"&lt;="&amp;Cover!$C$14),2)</f>
        <v>412.5</v>
      </c>
      <c r="T923" s="9">
        <f>ROUND(SUMIFS('Odoo Items'!$G$5:$G$4331,'Odoo Items'!$J$5:$J$4331,A923,'Odoo Items'!$C$5:$C$4331,"&lt;="&amp;Cover!$C$14),2)</f>
        <v>412.5</v>
      </c>
      <c r="U923">
        <f>COUNTIFS('Bank Lines'!$G$5:$G$1640,A923,'Bank Lines'!$J$5:$J$1640,1,'Bank Lines'!$C$5:$C$1640,"&lt;="&amp;Cover!$C$14)</f>
        <v>1</v>
      </c>
      <c r="V923">
        <f>COUNTIFS('Odoo Items'!$J$5:$J$4331,A923,'Odoo Items'!$C$5:$C$4331,"&lt;="&amp;Cover!$C$14)</f>
        <v>1</v>
      </c>
      <c r="W923" t="str">
        <f>IF(AND(U923=0,V923=0),"",IF(U923=0,"ODOO-ONLY",IF(V923=0,"BANK-ONLY","BOTH")))</f>
        <v>BOTH</v>
      </c>
      <c r="X923" s="9">
        <f>IF(W923="BOTH",ROUND(S923-T923,2),0)</f>
        <v>0</v>
      </c>
      <c r="Y923" s="9">
        <f>ROUND(SUMIFS('Bank Lines'!$E$5:$E$1640,'Bank Lines'!$G$5:$G$1640,A923,'Bank Lines'!$J$5:$J$1640,1,'Bank Lines'!$C$5:$C$1640,"&lt;="&amp;Cover!$C$15),2)</f>
        <v>412.5</v>
      </c>
      <c r="Z923" s="9">
        <f>ROUND(SUMIFS('Odoo Items'!$G$5:$G$4331,'Odoo Items'!$J$5:$J$4331,A923,'Odoo Items'!$C$5:$C$4331,"&lt;="&amp;Cover!$C$15),2)</f>
        <v>412.5</v>
      </c>
      <c r="AA923">
        <f>COUNTIFS('Bank Lines'!$G$5:$G$1640,A923,'Bank Lines'!$J$5:$J$1640,1,'Bank Lines'!$C$5:$C$1640,"&lt;="&amp;Cover!$C$15)</f>
        <v>1</v>
      </c>
      <c r="AB923">
        <f>COUNTIFS('Odoo Items'!$J$5:$J$4331,A923,'Odoo Items'!$C$5:$C$4331,"&lt;="&amp;Cover!$C$15)</f>
        <v>1</v>
      </c>
      <c r="AC923" t="str">
        <f>IF(AND(AA923=0,AB923=0),"",IF(AA923=0,"ODOO-ONLY",IF(AB923=0,"BANK-ONLY","BOTH")))</f>
        <v>BOTH</v>
      </c>
      <c r="AD923" s="9">
        <f>IF(AC923="BOTH",ROUND(Y923-Z923,2),0)</f>
        <v>0</v>
      </c>
    </row>
    <row r="924">
      <c r="A924" t="inlineStr">
        <is>
          <t>G00920</t>
        </is>
      </c>
      <c r="B924" t="inlineStr">
        <is>
          <t>OPS</t>
        </is>
      </c>
      <c r="C924" t="inlineStr">
        <is>
          <t>R09</t>
        </is>
      </c>
      <c r="D924" t="inlineStr">
        <is>
          <t>MATCH</t>
        </is>
      </c>
      <c r="E924" t="inlineStr">
        <is>
          <t>Meridian Health Cover</t>
        </is>
      </c>
      <c r="F924" t="n">
        <v>1</v>
      </c>
      <c r="G924" t="inlineStr">
        <is>
          <t>Reference INV/2026/01794</t>
        </is>
      </c>
      <c r="H924">
        <f>COUNTIFS('Bank Lines'!$G$5:$G$1640,A924,'Bank Lines'!$J$5:$J$1640,1)</f>
        <v>1</v>
      </c>
      <c r="I924">
        <f>COUNTIFS('Odoo Items'!$J$5:$J$4331,A924)</f>
        <v>1</v>
      </c>
      <c r="J924" s="9">
        <f>ROUND(SUMIFS('Bank Lines'!$E$5:$E$1640,'Bank Lines'!$G$5:$G$1640,A924,'Bank Lines'!$J$5:$J$1640,1),2)</f>
        <v>88</v>
      </c>
      <c r="K924" s="9">
        <f>ROUND(SUMIFS('Odoo Items'!$G$5:$G$4331,'Odoo Items'!$J$5:$J$4331,A924),2)</f>
        <v>88</v>
      </c>
      <c r="L924" s="9">
        <f>ROUND(J924-K924,2)</f>
        <v>0</v>
      </c>
      <c r="M924" s="9">
        <f>ROUND(SUMIFS('Bank Lines'!$E$5:$E$1640,'Bank Lines'!$G$5:$G$1640,A924,'Bank Lines'!$J$5:$J$1640,1,'Bank Lines'!$C$5:$C$1640,"&lt;="&amp;Cover!$C$13),2)</f>
        <v>88</v>
      </c>
      <c r="N924" s="9">
        <f>ROUND(SUMIFS('Odoo Items'!$G$5:$G$4331,'Odoo Items'!$J$5:$J$4331,A924,'Odoo Items'!$C$5:$C$4331,"&lt;="&amp;Cover!$C$13),2)</f>
        <v>88</v>
      </c>
      <c r="O924">
        <f>COUNTIFS('Bank Lines'!$G$5:$G$1640,A924,'Bank Lines'!$J$5:$J$1640,1,'Bank Lines'!$C$5:$C$1640,"&lt;="&amp;Cover!$C$13)</f>
        <v>1</v>
      </c>
      <c r="P924">
        <f>COUNTIFS('Odoo Items'!$J$5:$J$4331,A924,'Odoo Items'!$C$5:$C$4331,"&lt;="&amp;Cover!$C$13)</f>
        <v>1</v>
      </c>
      <c r="Q924" t="str">
        <f>IF(AND(O924=0,P924=0),"",IF(O924=0,"ODOO-ONLY",IF(P924=0,"BANK-ONLY","BOTH")))</f>
        <v>BOTH</v>
      </c>
      <c r="R924" s="9">
        <f>IF(Q924="BOTH",ROUND(M924-N924,2),0)</f>
        <v>0</v>
      </c>
      <c r="S924" s="9">
        <f>ROUND(SUMIFS('Bank Lines'!$E$5:$E$1640,'Bank Lines'!$G$5:$G$1640,A924,'Bank Lines'!$J$5:$J$1640,1,'Bank Lines'!$C$5:$C$1640,"&lt;="&amp;Cover!$C$14),2)</f>
        <v>88</v>
      </c>
      <c r="T924" s="9">
        <f>ROUND(SUMIFS('Odoo Items'!$G$5:$G$4331,'Odoo Items'!$J$5:$J$4331,A924,'Odoo Items'!$C$5:$C$4331,"&lt;="&amp;Cover!$C$14),2)</f>
        <v>88</v>
      </c>
      <c r="U924">
        <f>COUNTIFS('Bank Lines'!$G$5:$G$1640,A924,'Bank Lines'!$J$5:$J$1640,1,'Bank Lines'!$C$5:$C$1640,"&lt;="&amp;Cover!$C$14)</f>
        <v>1</v>
      </c>
      <c r="V924">
        <f>COUNTIFS('Odoo Items'!$J$5:$J$4331,A924,'Odoo Items'!$C$5:$C$4331,"&lt;="&amp;Cover!$C$14)</f>
        <v>1</v>
      </c>
      <c r="W924" t="str">
        <f>IF(AND(U924=0,V924=0),"",IF(U924=0,"ODOO-ONLY",IF(V924=0,"BANK-ONLY","BOTH")))</f>
        <v>BOTH</v>
      </c>
      <c r="X924" s="9">
        <f>IF(W924="BOTH",ROUND(S924-T924,2),0)</f>
        <v>0</v>
      </c>
      <c r="Y924" s="9">
        <f>ROUND(SUMIFS('Bank Lines'!$E$5:$E$1640,'Bank Lines'!$G$5:$G$1640,A924,'Bank Lines'!$J$5:$J$1640,1,'Bank Lines'!$C$5:$C$1640,"&lt;="&amp;Cover!$C$15),2)</f>
        <v>88</v>
      </c>
      <c r="Z924" s="9">
        <f>ROUND(SUMIFS('Odoo Items'!$G$5:$G$4331,'Odoo Items'!$J$5:$J$4331,A924,'Odoo Items'!$C$5:$C$4331,"&lt;="&amp;Cover!$C$15),2)</f>
        <v>88</v>
      </c>
      <c r="AA924">
        <f>COUNTIFS('Bank Lines'!$G$5:$G$1640,A924,'Bank Lines'!$J$5:$J$1640,1,'Bank Lines'!$C$5:$C$1640,"&lt;="&amp;Cover!$C$15)</f>
        <v>1</v>
      </c>
      <c r="AB924">
        <f>COUNTIFS('Odoo Items'!$J$5:$J$4331,A924,'Odoo Items'!$C$5:$C$4331,"&lt;="&amp;Cover!$C$15)</f>
        <v>1</v>
      </c>
      <c r="AC924" t="str">
        <f>IF(AND(AA924=0,AB924=0),"",IF(AA924=0,"ODOO-ONLY",IF(AB924=0,"BANK-ONLY","BOTH")))</f>
        <v>BOTH</v>
      </c>
      <c r="AD924" s="9">
        <f>IF(AC924="BOTH",ROUND(Y924-Z924,2),0)</f>
        <v>0</v>
      </c>
    </row>
    <row r="925">
      <c r="A925" t="inlineStr">
        <is>
          <t>G00921</t>
        </is>
      </c>
      <c r="B925" t="inlineStr">
        <is>
          <t>OPS</t>
        </is>
      </c>
      <c r="C925" t="inlineStr">
        <is>
          <t>R09</t>
        </is>
      </c>
      <c r="D925" t="inlineStr">
        <is>
          <t>MATCH</t>
        </is>
      </c>
      <c r="E925" t="inlineStr">
        <is>
          <t>Northline Injury Claims</t>
        </is>
      </c>
      <c r="F925" t="n">
        <v>1</v>
      </c>
      <c r="G925" t="inlineStr">
        <is>
          <t>Reference INV/2026/01684</t>
        </is>
      </c>
      <c r="H925">
        <f>COUNTIFS('Bank Lines'!$G$5:$G$1640,A925,'Bank Lines'!$J$5:$J$1640,1)</f>
        <v>1</v>
      </c>
      <c r="I925">
        <f>COUNTIFS('Odoo Items'!$J$5:$J$4331,A925)</f>
        <v>1</v>
      </c>
      <c r="J925" s="9">
        <f>ROUND(SUMIFS('Bank Lines'!$E$5:$E$1640,'Bank Lines'!$G$5:$G$1640,A925,'Bank Lines'!$J$5:$J$1640,1),2)</f>
        <v>990</v>
      </c>
      <c r="K925" s="9">
        <f>ROUND(SUMIFS('Odoo Items'!$G$5:$G$4331,'Odoo Items'!$J$5:$J$4331,A925),2)</f>
        <v>990</v>
      </c>
      <c r="L925" s="9">
        <f>ROUND(J925-K925,2)</f>
        <v>0</v>
      </c>
      <c r="M925" s="9">
        <f>ROUND(SUMIFS('Bank Lines'!$E$5:$E$1640,'Bank Lines'!$G$5:$G$1640,A925,'Bank Lines'!$J$5:$J$1640,1,'Bank Lines'!$C$5:$C$1640,"&lt;="&amp;Cover!$C$13),2)</f>
        <v>990</v>
      </c>
      <c r="N925" s="9">
        <f>ROUND(SUMIFS('Odoo Items'!$G$5:$G$4331,'Odoo Items'!$J$5:$J$4331,A925,'Odoo Items'!$C$5:$C$4331,"&lt;="&amp;Cover!$C$13),2)</f>
        <v>990</v>
      </c>
      <c r="O925">
        <f>COUNTIFS('Bank Lines'!$G$5:$G$1640,A925,'Bank Lines'!$J$5:$J$1640,1,'Bank Lines'!$C$5:$C$1640,"&lt;="&amp;Cover!$C$13)</f>
        <v>1</v>
      </c>
      <c r="P925">
        <f>COUNTIFS('Odoo Items'!$J$5:$J$4331,A925,'Odoo Items'!$C$5:$C$4331,"&lt;="&amp;Cover!$C$13)</f>
        <v>1</v>
      </c>
      <c r="Q925" t="str">
        <f>IF(AND(O925=0,P925=0),"",IF(O925=0,"ODOO-ONLY",IF(P925=0,"BANK-ONLY","BOTH")))</f>
        <v>BOTH</v>
      </c>
      <c r="R925" s="9">
        <f>IF(Q925="BOTH",ROUND(M925-N925,2),0)</f>
        <v>0</v>
      </c>
      <c r="S925" s="9">
        <f>ROUND(SUMIFS('Bank Lines'!$E$5:$E$1640,'Bank Lines'!$G$5:$G$1640,A925,'Bank Lines'!$J$5:$J$1640,1,'Bank Lines'!$C$5:$C$1640,"&lt;="&amp;Cover!$C$14),2)</f>
        <v>990</v>
      </c>
      <c r="T925" s="9">
        <f>ROUND(SUMIFS('Odoo Items'!$G$5:$G$4331,'Odoo Items'!$J$5:$J$4331,A925,'Odoo Items'!$C$5:$C$4331,"&lt;="&amp;Cover!$C$14),2)</f>
        <v>990</v>
      </c>
      <c r="U925">
        <f>COUNTIFS('Bank Lines'!$G$5:$G$1640,A925,'Bank Lines'!$J$5:$J$1640,1,'Bank Lines'!$C$5:$C$1640,"&lt;="&amp;Cover!$C$14)</f>
        <v>1</v>
      </c>
      <c r="V925">
        <f>COUNTIFS('Odoo Items'!$J$5:$J$4331,A925,'Odoo Items'!$C$5:$C$4331,"&lt;="&amp;Cover!$C$14)</f>
        <v>1</v>
      </c>
      <c r="W925" t="str">
        <f>IF(AND(U925=0,V925=0),"",IF(U925=0,"ODOO-ONLY",IF(V925=0,"BANK-ONLY","BOTH")))</f>
        <v>BOTH</v>
      </c>
      <c r="X925" s="9">
        <f>IF(W925="BOTH",ROUND(S925-T925,2),0)</f>
        <v>0</v>
      </c>
      <c r="Y925" s="9">
        <f>ROUND(SUMIFS('Bank Lines'!$E$5:$E$1640,'Bank Lines'!$G$5:$G$1640,A925,'Bank Lines'!$J$5:$J$1640,1,'Bank Lines'!$C$5:$C$1640,"&lt;="&amp;Cover!$C$15),2)</f>
        <v>990</v>
      </c>
      <c r="Z925" s="9">
        <f>ROUND(SUMIFS('Odoo Items'!$G$5:$G$4331,'Odoo Items'!$J$5:$J$4331,A925,'Odoo Items'!$C$5:$C$4331,"&lt;="&amp;Cover!$C$15),2)</f>
        <v>990</v>
      </c>
      <c r="AA925">
        <f>COUNTIFS('Bank Lines'!$G$5:$G$1640,A925,'Bank Lines'!$J$5:$J$1640,1,'Bank Lines'!$C$5:$C$1640,"&lt;="&amp;Cover!$C$15)</f>
        <v>1</v>
      </c>
      <c r="AB925">
        <f>COUNTIFS('Odoo Items'!$J$5:$J$4331,A925,'Odoo Items'!$C$5:$C$4331,"&lt;="&amp;Cover!$C$15)</f>
        <v>1</v>
      </c>
      <c r="AC925" t="str">
        <f>IF(AND(AA925=0,AB925=0),"",IF(AA925=0,"ODOO-ONLY",IF(AB925=0,"BANK-ONLY","BOTH")))</f>
        <v>BOTH</v>
      </c>
      <c r="AD925" s="9">
        <f>IF(AC925="BOTH",ROUND(Y925-Z925,2),0)</f>
        <v>0</v>
      </c>
    </row>
    <row r="926">
      <c r="A926" t="inlineStr">
        <is>
          <t>G00922</t>
        </is>
      </c>
      <c r="B926" t="inlineStr">
        <is>
          <t>OPS</t>
        </is>
      </c>
      <c r="C926" t="inlineStr">
        <is>
          <t>R09</t>
        </is>
      </c>
      <c r="D926" t="inlineStr">
        <is>
          <t>MATCH</t>
        </is>
      </c>
      <c r="E926" t="inlineStr">
        <is>
          <t>Calder Freight Group</t>
        </is>
      </c>
      <c r="F926" t="n">
        <v>1</v>
      </c>
      <c r="G926" t="inlineStr">
        <is>
          <t>Reference INV/2026/03417</t>
        </is>
      </c>
      <c r="H926">
        <f>COUNTIFS('Bank Lines'!$G$5:$G$1640,A926,'Bank Lines'!$J$5:$J$1640,1)</f>
        <v>1</v>
      </c>
      <c r="I926">
        <f>COUNTIFS('Odoo Items'!$J$5:$J$4331,A926)</f>
        <v>1</v>
      </c>
      <c r="J926" s="9">
        <f>ROUND(SUMIFS('Bank Lines'!$E$5:$E$1640,'Bank Lines'!$G$5:$G$1640,A926,'Bank Lines'!$J$5:$J$1640,1),2)</f>
        <v>10725</v>
      </c>
      <c r="K926" s="9">
        <f>ROUND(SUMIFS('Odoo Items'!$G$5:$G$4331,'Odoo Items'!$J$5:$J$4331,A926),2)</f>
        <v>10725</v>
      </c>
      <c r="L926" s="9">
        <f>ROUND(J926-K926,2)</f>
        <v>0</v>
      </c>
      <c r="M926" s="9">
        <f>ROUND(SUMIFS('Bank Lines'!$E$5:$E$1640,'Bank Lines'!$G$5:$G$1640,A926,'Bank Lines'!$J$5:$J$1640,1,'Bank Lines'!$C$5:$C$1640,"&lt;="&amp;Cover!$C$13),2)</f>
        <v>10725</v>
      </c>
      <c r="N926" s="9">
        <f>ROUND(SUMIFS('Odoo Items'!$G$5:$G$4331,'Odoo Items'!$J$5:$J$4331,A926,'Odoo Items'!$C$5:$C$4331,"&lt;="&amp;Cover!$C$13),2)</f>
        <v>10725</v>
      </c>
      <c r="O926">
        <f>COUNTIFS('Bank Lines'!$G$5:$G$1640,A926,'Bank Lines'!$J$5:$J$1640,1,'Bank Lines'!$C$5:$C$1640,"&lt;="&amp;Cover!$C$13)</f>
        <v>1</v>
      </c>
      <c r="P926">
        <f>COUNTIFS('Odoo Items'!$J$5:$J$4331,A926,'Odoo Items'!$C$5:$C$4331,"&lt;="&amp;Cover!$C$13)</f>
        <v>1</v>
      </c>
      <c r="Q926" t="str">
        <f>IF(AND(O926=0,P926=0),"",IF(O926=0,"ODOO-ONLY",IF(P926=0,"BANK-ONLY","BOTH")))</f>
        <v>BOTH</v>
      </c>
      <c r="R926" s="9">
        <f>IF(Q926="BOTH",ROUND(M926-N926,2),0)</f>
        <v>0</v>
      </c>
      <c r="S926" s="9">
        <f>ROUND(SUMIFS('Bank Lines'!$E$5:$E$1640,'Bank Lines'!$G$5:$G$1640,A926,'Bank Lines'!$J$5:$J$1640,1,'Bank Lines'!$C$5:$C$1640,"&lt;="&amp;Cover!$C$14),2)</f>
        <v>10725</v>
      </c>
      <c r="T926" s="9">
        <f>ROUND(SUMIFS('Odoo Items'!$G$5:$G$4331,'Odoo Items'!$J$5:$J$4331,A926,'Odoo Items'!$C$5:$C$4331,"&lt;="&amp;Cover!$C$14),2)</f>
        <v>10725</v>
      </c>
      <c r="U926">
        <f>COUNTIFS('Bank Lines'!$G$5:$G$1640,A926,'Bank Lines'!$J$5:$J$1640,1,'Bank Lines'!$C$5:$C$1640,"&lt;="&amp;Cover!$C$14)</f>
        <v>1</v>
      </c>
      <c r="V926">
        <f>COUNTIFS('Odoo Items'!$J$5:$J$4331,A926,'Odoo Items'!$C$5:$C$4331,"&lt;="&amp;Cover!$C$14)</f>
        <v>1</v>
      </c>
      <c r="W926" t="str">
        <f>IF(AND(U926=0,V926=0),"",IF(U926=0,"ODOO-ONLY",IF(V926=0,"BANK-ONLY","BOTH")))</f>
        <v>BOTH</v>
      </c>
      <c r="X926" s="9">
        <f>IF(W926="BOTH",ROUND(S926-T926,2),0)</f>
        <v>0</v>
      </c>
      <c r="Y926" s="9">
        <f>ROUND(SUMIFS('Bank Lines'!$E$5:$E$1640,'Bank Lines'!$G$5:$G$1640,A926,'Bank Lines'!$J$5:$J$1640,1,'Bank Lines'!$C$5:$C$1640,"&lt;="&amp;Cover!$C$15),2)</f>
        <v>10725</v>
      </c>
      <c r="Z926" s="9">
        <f>ROUND(SUMIFS('Odoo Items'!$G$5:$G$4331,'Odoo Items'!$J$5:$J$4331,A926,'Odoo Items'!$C$5:$C$4331,"&lt;="&amp;Cover!$C$15),2)</f>
        <v>10725</v>
      </c>
      <c r="AA926">
        <f>COUNTIFS('Bank Lines'!$G$5:$G$1640,A926,'Bank Lines'!$J$5:$J$1640,1,'Bank Lines'!$C$5:$C$1640,"&lt;="&amp;Cover!$C$15)</f>
        <v>1</v>
      </c>
      <c r="AB926">
        <f>COUNTIFS('Odoo Items'!$J$5:$J$4331,A926,'Odoo Items'!$C$5:$C$4331,"&lt;="&amp;Cover!$C$15)</f>
        <v>1</v>
      </c>
      <c r="AC926" t="str">
        <f>IF(AND(AA926=0,AB926=0),"",IF(AA926=0,"ODOO-ONLY",IF(AB926=0,"BANK-ONLY","BOTH")))</f>
        <v>BOTH</v>
      </c>
      <c r="AD926" s="9">
        <f>IF(AC926="BOTH",ROUND(Y926-Z926,2),0)</f>
        <v>0</v>
      </c>
    </row>
    <row r="927">
      <c r="A927" t="inlineStr">
        <is>
          <t>G00923</t>
        </is>
      </c>
      <c r="B927" t="inlineStr">
        <is>
          <t>OPS</t>
        </is>
      </c>
      <c r="C927" t="inlineStr">
        <is>
          <t>R09</t>
        </is>
      </c>
      <c r="D927" t="inlineStr">
        <is>
          <t>MATCH</t>
        </is>
      </c>
      <c r="E927" t="inlineStr">
        <is>
          <t>Harbour Mutual Health</t>
        </is>
      </c>
      <c r="F927" t="n">
        <v>1</v>
      </c>
      <c r="G927" t="inlineStr">
        <is>
          <t>Reference INV/2026/01912</t>
        </is>
      </c>
      <c r="H927">
        <f>COUNTIFS('Bank Lines'!$G$5:$G$1640,A927,'Bank Lines'!$J$5:$J$1640,1)</f>
        <v>1</v>
      </c>
      <c r="I927">
        <f>COUNTIFS('Odoo Items'!$J$5:$J$4331,A927)</f>
        <v>1</v>
      </c>
      <c r="J927" s="9">
        <f>ROUND(SUMIFS('Bank Lines'!$E$5:$E$1640,'Bank Lines'!$G$5:$G$1640,A927,'Bank Lines'!$J$5:$J$1640,1),2)</f>
        <v>176</v>
      </c>
      <c r="K927" s="9">
        <f>ROUND(SUMIFS('Odoo Items'!$G$5:$G$4331,'Odoo Items'!$J$5:$J$4331,A927),2)</f>
        <v>176</v>
      </c>
      <c r="L927" s="9">
        <f>ROUND(J927-K927,2)</f>
        <v>0</v>
      </c>
      <c r="M927" s="9">
        <f>ROUND(SUMIFS('Bank Lines'!$E$5:$E$1640,'Bank Lines'!$G$5:$G$1640,A927,'Bank Lines'!$J$5:$J$1640,1,'Bank Lines'!$C$5:$C$1640,"&lt;="&amp;Cover!$C$13),2)</f>
        <v>176</v>
      </c>
      <c r="N927" s="9">
        <f>ROUND(SUMIFS('Odoo Items'!$G$5:$G$4331,'Odoo Items'!$J$5:$J$4331,A927,'Odoo Items'!$C$5:$C$4331,"&lt;="&amp;Cover!$C$13),2)</f>
        <v>176</v>
      </c>
      <c r="O927">
        <f>COUNTIFS('Bank Lines'!$G$5:$G$1640,A927,'Bank Lines'!$J$5:$J$1640,1,'Bank Lines'!$C$5:$C$1640,"&lt;="&amp;Cover!$C$13)</f>
        <v>1</v>
      </c>
      <c r="P927">
        <f>COUNTIFS('Odoo Items'!$J$5:$J$4331,A927,'Odoo Items'!$C$5:$C$4331,"&lt;="&amp;Cover!$C$13)</f>
        <v>1</v>
      </c>
      <c r="Q927" t="str">
        <f>IF(AND(O927=0,P927=0),"",IF(O927=0,"ODOO-ONLY",IF(P927=0,"BANK-ONLY","BOTH")))</f>
        <v>BOTH</v>
      </c>
      <c r="R927" s="9">
        <f>IF(Q927="BOTH",ROUND(M927-N927,2),0)</f>
        <v>0</v>
      </c>
      <c r="S927" s="9">
        <f>ROUND(SUMIFS('Bank Lines'!$E$5:$E$1640,'Bank Lines'!$G$5:$G$1640,A927,'Bank Lines'!$J$5:$J$1640,1,'Bank Lines'!$C$5:$C$1640,"&lt;="&amp;Cover!$C$14),2)</f>
        <v>176</v>
      </c>
      <c r="T927" s="9">
        <f>ROUND(SUMIFS('Odoo Items'!$G$5:$G$4331,'Odoo Items'!$J$5:$J$4331,A927,'Odoo Items'!$C$5:$C$4331,"&lt;="&amp;Cover!$C$14),2)</f>
        <v>176</v>
      </c>
      <c r="U927">
        <f>COUNTIFS('Bank Lines'!$G$5:$G$1640,A927,'Bank Lines'!$J$5:$J$1640,1,'Bank Lines'!$C$5:$C$1640,"&lt;="&amp;Cover!$C$14)</f>
        <v>1</v>
      </c>
      <c r="V927">
        <f>COUNTIFS('Odoo Items'!$J$5:$J$4331,A927,'Odoo Items'!$C$5:$C$4331,"&lt;="&amp;Cover!$C$14)</f>
        <v>1</v>
      </c>
      <c r="W927" t="str">
        <f>IF(AND(U927=0,V927=0),"",IF(U927=0,"ODOO-ONLY",IF(V927=0,"BANK-ONLY","BOTH")))</f>
        <v>BOTH</v>
      </c>
      <c r="X927" s="9">
        <f>IF(W927="BOTH",ROUND(S927-T927,2),0)</f>
        <v>0</v>
      </c>
      <c r="Y927" s="9">
        <f>ROUND(SUMIFS('Bank Lines'!$E$5:$E$1640,'Bank Lines'!$G$5:$G$1640,A927,'Bank Lines'!$J$5:$J$1640,1,'Bank Lines'!$C$5:$C$1640,"&lt;="&amp;Cover!$C$15),2)</f>
        <v>176</v>
      </c>
      <c r="Z927" s="9">
        <f>ROUND(SUMIFS('Odoo Items'!$G$5:$G$4331,'Odoo Items'!$J$5:$J$4331,A927,'Odoo Items'!$C$5:$C$4331,"&lt;="&amp;Cover!$C$15),2)</f>
        <v>176</v>
      </c>
      <c r="AA927">
        <f>COUNTIFS('Bank Lines'!$G$5:$G$1640,A927,'Bank Lines'!$J$5:$J$1640,1,'Bank Lines'!$C$5:$C$1640,"&lt;="&amp;Cover!$C$15)</f>
        <v>1</v>
      </c>
      <c r="AB927">
        <f>COUNTIFS('Odoo Items'!$J$5:$J$4331,A927,'Odoo Items'!$C$5:$C$4331,"&lt;="&amp;Cover!$C$15)</f>
        <v>1</v>
      </c>
      <c r="AC927" t="str">
        <f>IF(AND(AA927=0,AB927=0),"",IF(AA927=0,"ODOO-ONLY",IF(AB927=0,"BANK-ONLY","BOTH")))</f>
        <v>BOTH</v>
      </c>
      <c r="AD927" s="9">
        <f>IF(AC927="BOTH",ROUND(Y927-Z927,2),0)</f>
        <v>0</v>
      </c>
    </row>
    <row r="928">
      <c r="A928" t="inlineStr">
        <is>
          <t>G00924</t>
        </is>
      </c>
      <c r="B928" t="inlineStr">
        <is>
          <t>OPS</t>
        </is>
      </c>
      <c r="C928" t="inlineStr">
        <is>
          <t>R09</t>
        </is>
      </c>
      <c r="D928" t="inlineStr">
        <is>
          <t>MATCH</t>
        </is>
      </c>
      <c r="E928" t="inlineStr">
        <is>
          <t>Coastline Health Fund</t>
        </is>
      </c>
      <c r="F928" t="n">
        <v>1</v>
      </c>
      <c r="G928" t="inlineStr">
        <is>
          <t>Reference INV/2026/01773</t>
        </is>
      </c>
      <c r="H928">
        <f>COUNTIFS('Bank Lines'!$G$5:$G$1640,A928,'Bank Lines'!$J$5:$J$1640,1)</f>
        <v>1</v>
      </c>
      <c r="I928">
        <f>COUNTIFS('Odoo Items'!$J$5:$J$4331,A928)</f>
        <v>1</v>
      </c>
      <c r="J928" s="9">
        <f>ROUND(SUMIFS('Bank Lines'!$E$5:$E$1640,'Bank Lines'!$G$5:$G$1640,A928,'Bank Lines'!$J$5:$J$1640,1),2)</f>
        <v>412.5</v>
      </c>
      <c r="K928" s="9">
        <f>ROUND(SUMIFS('Odoo Items'!$G$5:$G$4331,'Odoo Items'!$J$5:$J$4331,A928),2)</f>
        <v>412.5</v>
      </c>
      <c r="L928" s="9">
        <f>ROUND(J928-K928,2)</f>
        <v>0</v>
      </c>
      <c r="M928" s="9">
        <f>ROUND(SUMIFS('Bank Lines'!$E$5:$E$1640,'Bank Lines'!$G$5:$G$1640,A928,'Bank Lines'!$J$5:$J$1640,1,'Bank Lines'!$C$5:$C$1640,"&lt;="&amp;Cover!$C$13),2)</f>
        <v>412.5</v>
      </c>
      <c r="N928" s="9">
        <f>ROUND(SUMIFS('Odoo Items'!$G$5:$G$4331,'Odoo Items'!$J$5:$J$4331,A928,'Odoo Items'!$C$5:$C$4331,"&lt;="&amp;Cover!$C$13),2)</f>
        <v>412.5</v>
      </c>
      <c r="O928">
        <f>COUNTIFS('Bank Lines'!$G$5:$G$1640,A928,'Bank Lines'!$J$5:$J$1640,1,'Bank Lines'!$C$5:$C$1640,"&lt;="&amp;Cover!$C$13)</f>
        <v>1</v>
      </c>
      <c r="P928">
        <f>COUNTIFS('Odoo Items'!$J$5:$J$4331,A928,'Odoo Items'!$C$5:$C$4331,"&lt;="&amp;Cover!$C$13)</f>
        <v>1</v>
      </c>
      <c r="Q928" t="str">
        <f>IF(AND(O928=0,P928=0),"",IF(O928=0,"ODOO-ONLY",IF(P928=0,"BANK-ONLY","BOTH")))</f>
        <v>BOTH</v>
      </c>
      <c r="R928" s="9">
        <f>IF(Q928="BOTH",ROUND(M928-N928,2),0)</f>
        <v>0</v>
      </c>
      <c r="S928" s="9">
        <f>ROUND(SUMIFS('Bank Lines'!$E$5:$E$1640,'Bank Lines'!$G$5:$G$1640,A928,'Bank Lines'!$J$5:$J$1640,1,'Bank Lines'!$C$5:$C$1640,"&lt;="&amp;Cover!$C$14),2)</f>
        <v>412.5</v>
      </c>
      <c r="T928" s="9">
        <f>ROUND(SUMIFS('Odoo Items'!$G$5:$G$4331,'Odoo Items'!$J$5:$J$4331,A928,'Odoo Items'!$C$5:$C$4331,"&lt;="&amp;Cover!$C$14),2)</f>
        <v>412.5</v>
      </c>
      <c r="U928">
        <f>COUNTIFS('Bank Lines'!$G$5:$G$1640,A928,'Bank Lines'!$J$5:$J$1640,1,'Bank Lines'!$C$5:$C$1640,"&lt;="&amp;Cover!$C$14)</f>
        <v>1</v>
      </c>
      <c r="V928">
        <f>COUNTIFS('Odoo Items'!$J$5:$J$4331,A928,'Odoo Items'!$C$5:$C$4331,"&lt;="&amp;Cover!$C$14)</f>
        <v>1</v>
      </c>
      <c r="W928" t="str">
        <f>IF(AND(U928=0,V928=0),"",IF(U928=0,"ODOO-ONLY",IF(V928=0,"BANK-ONLY","BOTH")))</f>
        <v>BOTH</v>
      </c>
      <c r="X928" s="9">
        <f>IF(W928="BOTH",ROUND(S928-T928,2),0)</f>
        <v>0</v>
      </c>
      <c r="Y928" s="9">
        <f>ROUND(SUMIFS('Bank Lines'!$E$5:$E$1640,'Bank Lines'!$G$5:$G$1640,A928,'Bank Lines'!$J$5:$J$1640,1,'Bank Lines'!$C$5:$C$1640,"&lt;="&amp;Cover!$C$15),2)</f>
        <v>412.5</v>
      </c>
      <c r="Z928" s="9">
        <f>ROUND(SUMIFS('Odoo Items'!$G$5:$G$4331,'Odoo Items'!$J$5:$J$4331,A928,'Odoo Items'!$C$5:$C$4331,"&lt;="&amp;Cover!$C$15),2)</f>
        <v>412.5</v>
      </c>
      <c r="AA928">
        <f>COUNTIFS('Bank Lines'!$G$5:$G$1640,A928,'Bank Lines'!$J$5:$J$1640,1,'Bank Lines'!$C$5:$C$1640,"&lt;="&amp;Cover!$C$15)</f>
        <v>1</v>
      </c>
      <c r="AB928">
        <f>COUNTIFS('Odoo Items'!$J$5:$J$4331,A928,'Odoo Items'!$C$5:$C$4331,"&lt;="&amp;Cover!$C$15)</f>
        <v>1</v>
      </c>
      <c r="AC928" t="str">
        <f>IF(AND(AA928=0,AB928=0),"",IF(AA928=0,"ODOO-ONLY",IF(AB928=0,"BANK-ONLY","BOTH")))</f>
        <v>BOTH</v>
      </c>
      <c r="AD928" s="9">
        <f>IF(AC928="BOTH",ROUND(Y928-Z928,2),0)</f>
        <v>0</v>
      </c>
    </row>
    <row r="929">
      <c r="A929" t="inlineStr">
        <is>
          <t>G00925</t>
        </is>
      </c>
      <c r="B929" t="inlineStr">
        <is>
          <t>OPS</t>
        </is>
      </c>
      <c r="C929" t="inlineStr">
        <is>
          <t>R09</t>
        </is>
      </c>
      <c r="D929" t="inlineStr">
        <is>
          <t>MATCH</t>
        </is>
      </c>
      <c r="E929" t="inlineStr">
        <is>
          <t>Coastline Health Fund</t>
        </is>
      </c>
      <c r="F929" t="n">
        <v>1</v>
      </c>
      <c r="G929" t="inlineStr">
        <is>
          <t>Reference INV/2026/01870</t>
        </is>
      </c>
      <c r="H929">
        <f>COUNTIFS('Bank Lines'!$G$5:$G$1640,A929,'Bank Lines'!$J$5:$J$1640,1)</f>
        <v>1</v>
      </c>
      <c r="I929">
        <f>COUNTIFS('Odoo Items'!$J$5:$J$4331,A929)</f>
        <v>1</v>
      </c>
      <c r="J929" s="9">
        <f>ROUND(SUMIFS('Bank Lines'!$E$5:$E$1640,'Bank Lines'!$G$5:$G$1640,A929,'Bank Lines'!$J$5:$J$1640,1),2)</f>
        <v>990</v>
      </c>
      <c r="K929" s="9">
        <f>ROUND(SUMIFS('Odoo Items'!$G$5:$G$4331,'Odoo Items'!$J$5:$J$4331,A929),2)</f>
        <v>990</v>
      </c>
      <c r="L929" s="9">
        <f>ROUND(J929-K929,2)</f>
        <v>0</v>
      </c>
      <c r="M929" s="9">
        <f>ROUND(SUMIFS('Bank Lines'!$E$5:$E$1640,'Bank Lines'!$G$5:$G$1640,A929,'Bank Lines'!$J$5:$J$1640,1,'Bank Lines'!$C$5:$C$1640,"&lt;="&amp;Cover!$C$13),2)</f>
        <v>990</v>
      </c>
      <c r="N929" s="9">
        <f>ROUND(SUMIFS('Odoo Items'!$G$5:$G$4331,'Odoo Items'!$J$5:$J$4331,A929,'Odoo Items'!$C$5:$C$4331,"&lt;="&amp;Cover!$C$13),2)</f>
        <v>990</v>
      </c>
      <c r="O929">
        <f>COUNTIFS('Bank Lines'!$G$5:$G$1640,A929,'Bank Lines'!$J$5:$J$1640,1,'Bank Lines'!$C$5:$C$1640,"&lt;="&amp;Cover!$C$13)</f>
        <v>1</v>
      </c>
      <c r="P929">
        <f>COUNTIFS('Odoo Items'!$J$5:$J$4331,A929,'Odoo Items'!$C$5:$C$4331,"&lt;="&amp;Cover!$C$13)</f>
        <v>1</v>
      </c>
      <c r="Q929" t="str">
        <f>IF(AND(O929=0,P929=0),"",IF(O929=0,"ODOO-ONLY",IF(P929=0,"BANK-ONLY","BOTH")))</f>
        <v>BOTH</v>
      </c>
      <c r="R929" s="9">
        <f>IF(Q929="BOTH",ROUND(M929-N929,2),0)</f>
        <v>0</v>
      </c>
      <c r="S929" s="9">
        <f>ROUND(SUMIFS('Bank Lines'!$E$5:$E$1640,'Bank Lines'!$G$5:$G$1640,A929,'Bank Lines'!$J$5:$J$1640,1,'Bank Lines'!$C$5:$C$1640,"&lt;="&amp;Cover!$C$14),2)</f>
        <v>990</v>
      </c>
      <c r="T929" s="9">
        <f>ROUND(SUMIFS('Odoo Items'!$G$5:$G$4331,'Odoo Items'!$J$5:$J$4331,A929,'Odoo Items'!$C$5:$C$4331,"&lt;="&amp;Cover!$C$14),2)</f>
        <v>990</v>
      </c>
      <c r="U929">
        <f>COUNTIFS('Bank Lines'!$G$5:$G$1640,A929,'Bank Lines'!$J$5:$J$1640,1,'Bank Lines'!$C$5:$C$1640,"&lt;="&amp;Cover!$C$14)</f>
        <v>1</v>
      </c>
      <c r="V929">
        <f>COUNTIFS('Odoo Items'!$J$5:$J$4331,A929,'Odoo Items'!$C$5:$C$4331,"&lt;="&amp;Cover!$C$14)</f>
        <v>1</v>
      </c>
      <c r="W929" t="str">
        <f>IF(AND(U929=0,V929=0),"",IF(U929=0,"ODOO-ONLY",IF(V929=0,"BANK-ONLY","BOTH")))</f>
        <v>BOTH</v>
      </c>
      <c r="X929" s="9">
        <f>IF(W929="BOTH",ROUND(S929-T929,2),0)</f>
        <v>0</v>
      </c>
      <c r="Y929" s="9">
        <f>ROUND(SUMIFS('Bank Lines'!$E$5:$E$1640,'Bank Lines'!$G$5:$G$1640,A929,'Bank Lines'!$J$5:$J$1640,1,'Bank Lines'!$C$5:$C$1640,"&lt;="&amp;Cover!$C$15),2)</f>
        <v>990</v>
      </c>
      <c r="Z929" s="9">
        <f>ROUND(SUMIFS('Odoo Items'!$G$5:$G$4331,'Odoo Items'!$J$5:$J$4331,A929,'Odoo Items'!$C$5:$C$4331,"&lt;="&amp;Cover!$C$15),2)</f>
        <v>990</v>
      </c>
      <c r="AA929">
        <f>COUNTIFS('Bank Lines'!$G$5:$G$1640,A929,'Bank Lines'!$J$5:$J$1640,1,'Bank Lines'!$C$5:$C$1640,"&lt;="&amp;Cover!$C$15)</f>
        <v>1</v>
      </c>
      <c r="AB929">
        <f>COUNTIFS('Odoo Items'!$J$5:$J$4331,A929,'Odoo Items'!$C$5:$C$4331,"&lt;="&amp;Cover!$C$15)</f>
        <v>1</v>
      </c>
      <c r="AC929" t="str">
        <f>IF(AND(AA929=0,AB929=0),"",IF(AA929=0,"ODOO-ONLY",IF(AB929=0,"BANK-ONLY","BOTH")))</f>
        <v>BOTH</v>
      </c>
      <c r="AD929" s="9">
        <f>IF(AC929="BOTH",ROUND(Y929-Z929,2),0)</f>
        <v>0</v>
      </c>
    </row>
    <row r="930">
      <c r="A930" t="inlineStr">
        <is>
          <t>G00926</t>
        </is>
      </c>
      <c r="B930" t="inlineStr">
        <is>
          <t>OPS</t>
        </is>
      </c>
      <c r="C930" t="inlineStr">
        <is>
          <t>R09</t>
        </is>
      </c>
      <c r="D930" t="inlineStr">
        <is>
          <t>MATCH</t>
        </is>
      </c>
      <c r="E930" t="inlineStr">
        <is>
          <t>Coastline Health Fund</t>
        </is>
      </c>
      <c r="F930" t="n">
        <v>1</v>
      </c>
      <c r="G930" t="inlineStr">
        <is>
          <t>Reference INV/2026/01967</t>
        </is>
      </c>
      <c r="H930">
        <f>COUNTIFS('Bank Lines'!$G$5:$G$1640,A930,'Bank Lines'!$J$5:$J$1640,1)</f>
        <v>1</v>
      </c>
      <c r="I930">
        <f>COUNTIFS('Odoo Items'!$J$5:$J$4331,A930)</f>
        <v>1</v>
      </c>
      <c r="J930" s="9">
        <f>ROUND(SUMIFS('Bank Lines'!$E$5:$E$1640,'Bank Lines'!$G$5:$G$1640,A930,'Bank Lines'!$J$5:$J$1640,1),2)</f>
        <v>264</v>
      </c>
      <c r="K930" s="9">
        <f>ROUND(SUMIFS('Odoo Items'!$G$5:$G$4331,'Odoo Items'!$J$5:$J$4331,A930),2)</f>
        <v>264</v>
      </c>
      <c r="L930" s="9">
        <f>ROUND(J930-K930,2)</f>
        <v>0</v>
      </c>
      <c r="M930" s="9">
        <f>ROUND(SUMIFS('Bank Lines'!$E$5:$E$1640,'Bank Lines'!$G$5:$G$1640,A930,'Bank Lines'!$J$5:$J$1640,1,'Bank Lines'!$C$5:$C$1640,"&lt;="&amp;Cover!$C$13),2)</f>
        <v>264</v>
      </c>
      <c r="N930" s="9">
        <f>ROUND(SUMIFS('Odoo Items'!$G$5:$G$4331,'Odoo Items'!$J$5:$J$4331,A930,'Odoo Items'!$C$5:$C$4331,"&lt;="&amp;Cover!$C$13),2)</f>
        <v>264</v>
      </c>
      <c r="O930">
        <f>COUNTIFS('Bank Lines'!$G$5:$G$1640,A930,'Bank Lines'!$J$5:$J$1640,1,'Bank Lines'!$C$5:$C$1640,"&lt;="&amp;Cover!$C$13)</f>
        <v>1</v>
      </c>
      <c r="P930">
        <f>COUNTIFS('Odoo Items'!$J$5:$J$4331,A930,'Odoo Items'!$C$5:$C$4331,"&lt;="&amp;Cover!$C$13)</f>
        <v>1</v>
      </c>
      <c r="Q930" t="str">
        <f>IF(AND(O930=0,P930=0),"",IF(O930=0,"ODOO-ONLY",IF(P930=0,"BANK-ONLY","BOTH")))</f>
        <v>BOTH</v>
      </c>
      <c r="R930" s="9">
        <f>IF(Q930="BOTH",ROUND(M930-N930,2),0)</f>
        <v>0</v>
      </c>
      <c r="S930" s="9">
        <f>ROUND(SUMIFS('Bank Lines'!$E$5:$E$1640,'Bank Lines'!$G$5:$G$1640,A930,'Bank Lines'!$J$5:$J$1640,1,'Bank Lines'!$C$5:$C$1640,"&lt;="&amp;Cover!$C$14),2)</f>
        <v>264</v>
      </c>
      <c r="T930" s="9">
        <f>ROUND(SUMIFS('Odoo Items'!$G$5:$G$4331,'Odoo Items'!$J$5:$J$4331,A930,'Odoo Items'!$C$5:$C$4331,"&lt;="&amp;Cover!$C$14),2)</f>
        <v>264</v>
      </c>
      <c r="U930">
        <f>COUNTIFS('Bank Lines'!$G$5:$G$1640,A930,'Bank Lines'!$J$5:$J$1640,1,'Bank Lines'!$C$5:$C$1640,"&lt;="&amp;Cover!$C$14)</f>
        <v>1</v>
      </c>
      <c r="V930">
        <f>COUNTIFS('Odoo Items'!$J$5:$J$4331,A930,'Odoo Items'!$C$5:$C$4331,"&lt;="&amp;Cover!$C$14)</f>
        <v>1</v>
      </c>
      <c r="W930" t="str">
        <f>IF(AND(U930=0,V930=0),"",IF(U930=0,"ODOO-ONLY",IF(V930=0,"BANK-ONLY","BOTH")))</f>
        <v>BOTH</v>
      </c>
      <c r="X930" s="9">
        <f>IF(W930="BOTH",ROUND(S930-T930,2),0)</f>
        <v>0</v>
      </c>
      <c r="Y930" s="9">
        <f>ROUND(SUMIFS('Bank Lines'!$E$5:$E$1640,'Bank Lines'!$G$5:$G$1640,A930,'Bank Lines'!$J$5:$J$1640,1,'Bank Lines'!$C$5:$C$1640,"&lt;="&amp;Cover!$C$15),2)</f>
        <v>264</v>
      </c>
      <c r="Z930" s="9">
        <f>ROUND(SUMIFS('Odoo Items'!$G$5:$G$4331,'Odoo Items'!$J$5:$J$4331,A930,'Odoo Items'!$C$5:$C$4331,"&lt;="&amp;Cover!$C$15),2)</f>
        <v>264</v>
      </c>
      <c r="AA930">
        <f>COUNTIFS('Bank Lines'!$G$5:$G$1640,A930,'Bank Lines'!$J$5:$J$1640,1,'Bank Lines'!$C$5:$C$1640,"&lt;="&amp;Cover!$C$15)</f>
        <v>1</v>
      </c>
      <c r="AB930">
        <f>COUNTIFS('Odoo Items'!$J$5:$J$4331,A930,'Odoo Items'!$C$5:$C$4331,"&lt;="&amp;Cover!$C$15)</f>
        <v>1</v>
      </c>
      <c r="AC930" t="str">
        <f>IF(AND(AA930=0,AB930=0),"",IF(AA930=0,"ODOO-ONLY",IF(AB930=0,"BANK-ONLY","BOTH")))</f>
        <v>BOTH</v>
      </c>
      <c r="AD930" s="9">
        <f>IF(AC930="BOTH",ROUND(Y930-Z930,2),0)</f>
        <v>0</v>
      </c>
    </row>
    <row r="931">
      <c r="A931" t="inlineStr">
        <is>
          <t>G00927</t>
        </is>
      </c>
      <c r="B931" t="inlineStr">
        <is>
          <t>OPS</t>
        </is>
      </c>
      <c r="C931" t="inlineStr">
        <is>
          <t>R09</t>
        </is>
      </c>
      <c r="D931" t="inlineStr">
        <is>
          <t>MATCH</t>
        </is>
      </c>
      <c r="E931" t="inlineStr">
        <is>
          <t>Pinnacle Claims Services</t>
        </is>
      </c>
      <c r="F931" t="n">
        <v>1</v>
      </c>
      <c r="G931" t="inlineStr">
        <is>
          <t>Reference INV/2026/01746</t>
        </is>
      </c>
      <c r="H931">
        <f>COUNTIFS('Bank Lines'!$G$5:$G$1640,A931,'Bank Lines'!$J$5:$J$1640,1)</f>
        <v>1</v>
      </c>
      <c r="I931">
        <f>COUNTIFS('Odoo Items'!$J$5:$J$4331,A931)</f>
        <v>1</v>
      </c>
      <c r="J931" s="9">
        <f>ROUND(SUMIFS('Bank Lines'!$E$5:$E$1640,'Bank Lines'!$G$5:$G$1640,A931,'Bank Lines'!$J$5:$J$1640,1),2)</f>
        <v>990</v>
      </c>
      <c r="K931" s="9">
        <f>ROUND(SUMIFS('Odoo Items'!$G$5:$G$4331,'Odoo Items'!$J$5:$J$4331,A931),2)</f>
        <v>990</v>
      </c>
      <c r="L931" s="9">
        <f>ROUND(J931-K931,2)</f>
        <v>0</v>
      </c>
      <c r="M931" s="9">
        <f>ROUND(SUMIFS('Bank Lines'!$E$5:$E$1640,'Bank Lines'!$G$5:$G$1640,A931,'Bank Lines'!$J$5:$J$1640,1,'Bank Lines'!$C$5:$C$1640,"&lt;="&amp;Cover!$C$13),2)</f>
        <v>990</v>
      </c>
      <c r="N931" s="9">
        <f>ROUND(SUMIFS('Odoo Items'!$G$5:$G$4331,'Odoo Items'!$J$5:$J$4331,A931,'Odoo Items'!$C$5:$C$4331,"&lt;="&amp;Cover!$C$13),2)</f>
        <v>990</v>
      </c>
      <c r="O931">
        <f>COUNTIFS('Bank Lines'!$G$5:$G$1640,A931,'Bank Lines'!$J$5:$J$1640,1,'Bank Lines'!$C$5:$C$1640,"&lt;="&amp;Cover!$C$13)</f>
        <v>1</v>
      </c>
      <c r="P931">
        <f>COUNTIFS('Odoo Items'!$J$5:$J$4331,A931,'Odoo Items'!$C$5:$C$4331,"&lt;="&amp;Cover!$C$13)</f>
        <v>1</v>
      </c>
      <c r="Q931" t="str">
        <f>IF(AND(O931=0,P931=0),"",IF(O931=0,"ODOO-ONLY",IF(P931=0,"BANK-ONLY","BOTH")))</f>
        <v>BOTH</v>
      </c>
      <c r="R931" s="9">
        <f>IF(Q931="BOTH",ROUND(M931-N931,2),0)</f>
        <v>0</v>
      </c>
      <c r="S931" s="9">
        <f>ROUND(SUMIFS('Bank Lines'!$E$5:$E$1640,'Bank Lines'!$G$5:$G$1640,A931,'Bank Lines'!$J$5:$J$1640,1,'Bank Lines'!$C$5:$C$1640,"&lt;="&amp;Cover!$C$14),2)</f>
        <v>990</v>
      </c>
      <c r="T931" s="9">
        <f>ROUND(SUMIFS('Odoo Items'!$G$5:$G$4331,'Odoo Items'!$J$5:$J$4331,A931,'Odoo Items'!$C$5:$C$4331,"&lt;="&amp;Cover!$C$14),2)</f>
        <v>990</v>
      </c>
      <c r="U931">
        <f>COUNTIFS('Bank Lines'!$G$5:$G$1640,A931,'Bank Lines'!$J$5:$J$1640,1,'Bank Lines'!$C$5:$C$1640,"&lt;="&amp;Cover!$C$14)</f>
        <v>1</v>
      </c>
      <c r="V931">
        <f>COUNTIFS('Odoo Items'!$J$5:$J$4331,A931,'Odoo Items'!$C$5:$C$4331,"&lt;="&amp;Cover!$C$14)</f>
        <v>1</v>
      </c>
      <c r="W931" t="str">
        <f>IF(AND(U931=0,V931=0),"",IF(U931=0,"ODOO-ONLY",IF(V931=0,"BANK-ONLY","BOTH")))</f>
        <v>BOTH</v>
      </c>
      <c r="X931" s="9">
        <f>IF(W931="BOTH",ROUND(S931-T931,2),0)</f>
        <v>0</v>
      </c>
      <c r="Y931" s="9">
        <f>ROUND(SUMIFS('Bank Lines'!$E$5:$E$1640,'Bank Lines'!$G$5:$G$1640,A931,'Bank Lines'!$J$5:$J$1640,1,'Bank Lines'!$C$5:$C$1640,"&lt;="&amp;Cover!$C$15),2)</f>
        <v>990</v>
      </c>
      <c r="Z931" s="9">
        <f>ROUND(SUMIFS('Odoo Items'!$G$5:$G$4331,'Odoo Items'!$J$5:$J$4331,A931,'Odoo Items'!$C$5:$C$4331,"&lt;="&amp;Cover!$C$15),2)</f>
        <v>990</v>
      </c>
      <c r="AA931">
        <f>COUNTIFS('Bank Lines'!$G$5:$G$1640,A931,'Bank Lines'!$J$5:$J$1640,1,'Bank Lines'!$C$5:$C$1640,"&lt;="&amp;Cover!$C$15)</f>
        <v>1</v>
      </c>
      <c r="AB931">
        <f>COUNTIFS('Odoo Items'!$J$5:$J$4331,A931,'Odoo Items'!$C$5:$C$4331,"&lt;="&amp;Cover!$C$15)</f>
        <v>1</v>
      </c>
      <c r="AC931" t="str">
        <f>IF(AND(AA931=0,AB931=0),"",IF(AA931=0,"ODOO-ONLY",IF(AB931=0,"BANK-ONLY","BOTH")))</f>
        <v>BOTH</v>
      </c>
      <c r="AD931" s="9">
        <f>IF(AC931="BOTH",ROUND(Y931-Z931,2),0)</f>
        <v>0</v>
      </c>
    </row>
    <row r="932">
      <c r="A932" t="inlineStr">
        <is>
          <t>G00928</t>
        </is>
      </c>
      <c r="B932" t="inlineStr">
        <is>
          <t>OPS</t>
        </is>
      </c>
      <c r="C932" t="inlineStr">
        <is>
          <t>R09</t>
        </is>
      </c>
      <c r="D932" t="inlineStr">
        <is>
          <t>MATCH</t>
        </is>
      </c>
      <c r="E932" t="inlineStr">
        <is>
          <t>Pinnacle Claims Services</t>
        </is>
      </c>
      <c r="F932" t="n">
        <v>1</v>
      </c>
      <c r="G932" t="inlineStr">
        <is>
          <t>Reference INV/2026/01968</t>
        </is>
      </c>
      <c r="H932">
        <f>COUNTIFS('Bank Lines'!$G$5:$G$1640,A932,'Bank Lines'!$J$5:$J$1640,1)</f>
        <v>1</v>
      </c>
      <c r="I932">
        <f>COUNTIFS('Odoo Items'!$J$5:$J$4331,A932)</f>
        <v>1</v>
      </c>
      <c r="J932" s="9">
        <f>ROUND(SUMIFS('Bank Lines'!$E$5:$E$1640,'Bank Lines'!$G$5:$G$1640,A932,'Bank Lines'!$J$5:$J$1640,1),2)</f>
        <v>412.5</v>
      </c>
      <c r="K932" s="9">
        <f>ROUND(SUMIFS('Odoo Items'!$G$5:$G$4331,'Odoo Items'!$J$5:$J$4331,A932),2)</f>
        <v>412.5</v>
      </c>
      <c r="L932" s="9">
        <f>ROUND(J932-K932,2)</f>
        <v>0</v>
      </c>
      <c r="M932" s="9">
        <f>ROUND(SUMIFS('Bank Lines'!$E$5:$E$1640,'Bank Lines'!$G$5:$G$1640,A932,'Bank Lines'!$J$5:$J$1640,1,'Bank Lines'!$C$5:$C$1640,"&lt;="&amp;Cover!$C$13),2)</f>
        <v>412.5</v>
      </c>
      <c r="N932" s="9">
        <f>ROUND(SUMIFS('Odoo Items'!$G$5:$G$4331,'Odoo Items'!$J$5:$J$4331,A932,'Odoo Items'!$C$5:$C$4331,"&lt;="&amp;Cover!$C$13),2)</f>
        <v>412.5</v>
      </c>
      <c r="O932">
        <f>COUNTIFS('Bank Lines'!$G$5:$G$1640,A932,'Bank Lines'!$J$5:$J$1640,1,'Bank Lines'!$C$5:$C$1640,"&lt;="&amp;Cover!$C$13)</f>
        <v>1</v>
      </c>
      <c r="P932">
        <f>COUNTIFS('Odoo Items'!$J$5:$J$4331,A932,'Odoo Items'!$C$5:$C$4331,"&lt;="&amp;Cover!$C$13)</f>
        <v>1</v>
      </c>
      <c r="Q932" t="str">
        <f>IF(AND(O932=0,P932=0),"",IF(O932=0,"ODOO-ONLY",IF(P932=0,"BANK-ONLY","BOTH")))</f>
        <v>BOTH</v>
      </c>
      <c r="R932" s="9">
        <f>IF(Q932="BOTH",ROUND(M932-N932,2),0)</f>
        <v>0</v>
      </c>
      <c r="S932" s="9">
        <f>ROUND(SUMIFS('Bank Lines'!$E$5:$E$1640,'Bank Lines'!$G$5:$G$1640,A932,'Bank Lines'!$J$5:$J$1640,1,'Bank Lines'!$C$5:$C$1640,"&lt;="&amp;Cover!$C$14),2)</f>
        <v>412.5</v>
      </c>
      <c r="T932" s="9">
        <f>ROUND(SUMIFS('Odoo Items'!$G$5:$G$4331,'Odoo Items'!$J$5:$J$4331,A932,'Odoo Items'!$C$5:$C$4331,"&lt;="&amp;Cover!$C$14),2)</f>
        <v>412.5</v>
      </c>
      <c r="U932">
        <f>COUNTIFS('Bank Lines'!$G$5:$G$1640,A932,'Bank Lines'!$J$5:$J$1640,1,'Bank Lines'!$C$5:$C$1640,"&lt;="&amp;Cover!$C$14)</f>
        <v>1</v>
      </c>
      <c r="V932">
        <f>COUNTIFS('Odoo Items'!$J$5:$J$4331,A932,'Odoo Items'!$C$5:$C$4331,"&lt;="&amp;Cover!$C$14)</f>
        <v>1</v>
      </c>
      <c r="W932" t="str">
        <f>IF(AND(U932=0,V932=0),"",IF(U932=0,"ODOO-ONLY",IF(V932=0,"BANK-ONLY","BOTH")))</f>
        <v>BOTH</v>
      </c>
      <c r="X932" s="9">
        <f>IF(W932="BOTH",ROUND(S932-T932,2),0)</f>
        <v>0</v>
      </c>
      <c r="Y932" s="9">
        <f>ROUND(SUMIFS('Bank Lines'!$E$5:$E$1640,'Bank Lines'!$G$5:$G$1640,A932,'Bank Lines'!$J$5:$J$1640,1,'Bank Lines'!$C$5:$C$1640,"&lt;="&amp;Cover!$C$15),2)</f>
        <v>412.5</v>
      </c>
      <c r="Z932" s="9">
        <f>ROUND(SUMIFS('Odoo Items'!$G$5:$G$4331,'Odoo Items'!$J$5:$J$4331,A932,'Odoo Items'!$C$5:$C$4331,"&lt;="&amp;Cover!$C$15),2)</f>
        <v>412.5</v>
      </c>
      <c r="AA932">
        <f>COUNTIFS('Bank Lines'!$G$5:$G$1640,A932,'Bank Lines'!$J$5:$J$1640,1,'Bank Lines'!$C$5:$C$1640,"&lt;="&amp;Cover!$C$15)</f>
        <v>1</v>
      </c>
      <c r="AB932">
        <f>COUNTIFS('Odoo Items'!$J$5:$J$4331,A932,'Odoo Items'!$C$5:$C$4331,"&lt;="&amp;Cover!$C$15)</f>
        <v>1</v>
      </c>
      <c r="AC932" t="str">
        <f>IF(AND(AA932=0,AB932=0),"",IF(AA932=0,"ODOO-ONLY",IF(AB932=0,"BANK-ONLY","BOTH")))</f>
        <v>BOTH</v>
      </c>
      <c r="AD932" s="9">
        <f>IF(AC932="BOTH",ROUND(Y932-Z932,2),0)</f>
        <v>0</v>
      </c>
    </row>
    <row r="933">
      <c r="A933" t="inlineStr">
        <is>
          <t>G00929</t>
        </is>
      </c>
      <c r="B933" t="inlineStr">
        <is>
          <t>OPS</t>
        </is>
      </c>
      <c r="C933" t="inlineStr">
        <is>
          <t>R09</t>
        </is>
      </c>
      <c r="D933" t="inlineStr">
        <is>
          <t>MATCH</t>
        </is>
      </c>
      <c r="E933" t="inlineStr">
        <is>
          <t>Pinnacle Claims Services</t>
        </is>
      </c>
      <c r="F933" t="n">
        <v>1</v>
      </c>
      <c r="G933" t="inlineStr">
        <is>
          <t>Reference INV/2026/01991</t>
        </is>
      </c>
      <c r="H933">
        <f>COUNTIFS('Bank Lines'!$G$5:$G$1640,A933,'Bank Lines'!$J$5:$J$1640,1)</f>
        <v>1</v>
      </c>
      <c r="I933">
        <f>COUNTIFS('Odoo Items'!$J$5:$J$4331,A933)</f>
        <v>1</v>
      </c>
      <c r="J933" s="9">
        <f>ROUND(SUMIFS('Bank Lines'!$E$5:$E$1640,'Bank Lines'!$G$5:$G$1640,A933,'Bank Lines'!$J$5:$J$1640,1),2)</f>
        <v>132</v>
      </c>
      <c r="K933" s="9">
        <f>ROUND(SUMIFS('Odoo Items'!$G$5:$G$4331,'Odoo Items'!$J$5:$J$4331,A933),2)</f>
        <v>132</v>
      </c>
      <c r="L933" s="9">
        <f>ROUND(J933-K933,2)</f>
        <v>0</v>
      </c>
      <c r="M933" s="9">
        <f>ROUND(SUMIFS('Bank Lines'!$E$5:$E$1640,'Bank Lines'!$G$5:$G$1640,A933,'Bank Lines'!$J$5:$J$1640,1,'Bank Lines'!$C$5:$C$1640,"&lt;="&amp;Cover!$C$13),2)</f>
        <v>132</v>
      </c>
      <c r="N933" s="9">
        <f>ROUND(SUMIFS('Odoo Items'!$G$5:$G$4331,'Odoo Items'!$J$5:$J$4331,A933,'Odoo Items'!$C$5:$C$4331,"&lt;="&amp;Cover!$C$13),2)</f>
        <v>132</v>
      </c>
      <c r="O933">
        <f>COUNTIFS('Bank Lines'!$G$5:$G$1640,A933,'Bank Lines'!$J$5:$J$1640,1,'Bank Lines'!$C$5:$C$1640,"&lt;="&amp;Cover!$C$13)</f>
        <v>1</v>
      </c>
      <c r="P933">
        <f>COUNTIFS('Odoo Items'!$J$5:$J$4331,A933,'Odoo Items'!$C$5:$C$4331,"&lt;="&amp;Cover!$C$13)</f>
        <v>1</v>
      </c>
      <c r="Q933" t="str">
        <f>IF(AND(O933=0,P933=0),"",IF(O933=0,"ODOO-ONLY",IF(P933=0,"BANK-ONLY","BOTH")))</f>
        <v>BOTH</v>
      </c>
      <c r="R933" s="9">
        <f>IF(Q933="BOTH",ROUND(M933-N933,2),0)</f>
        <v>0</v>
      </c>
      <c r="S933" s="9">
        <f>ROUND(SUMIFS('Bank Lines'!$E$5:$E$1640,'Bank Lines'!$G$5:$G$1640,A933,'Bank Lines'!$J$5:$J$1640,1,'Bank Lines'!$C$5:$C$1640,"&lt;="&amp;Cover!$C$14),2)</f>
        <v>132</v>
      </c>
      <c r="T933" s="9">
        <f>ROUND(SUMIFS('Odoo Items'!$G$5:$G$4331,'Odoo Items'!$J$5:$J$4331,A933,'Odoo Items'!$C$5:$C$4331,"&lt;="&amp;Cover!$C$14),2)</f>
        <v>132</v>
      </c>
      <c r="U933">
        <f>COUNTIFS('Bank Lines'!$G$5:$G$1640,A933,'Bank Lines'!$J$5:$J$1640,1,'Bank Lines'!$C$5:$C$1640,"&lt;="&amp;Cover!$C$14)</f>
        <v>1</v>
      </c>
      <c r="V933">
        <f>COUNTIFS('Odoo Items'!$J$5:$J$4331,A933,'Odoo Items'!$C$5:$C$4331,"&lt;="&amp;Cover!$C$14)</f>
        <v>1</v>
      </c>
      <c r="W933" t="str">
        <f>IF(AND(U933=0,V933=0),"",IF(U933=0,"ODOO-ONLY",IF(V933=0,"BANK-ONLY","BOTH")))</f>
        <v>BOTH</v>
      </c>
      <c r="X933" s="9">
        <f>IF(W933="BOTH",ROUND(S933-T933,2),0)</f>
        <v>0</v>
      </c>
      <c r="Y933" s="9">
        <f>ROUND(SUMIFS('Bank Lines'!$E$5:$E$1640,'Bank Lines'!$G$5:$G$1640,A933,'Bank Lines'!$J$5:$J$1640,1,'Bank Lines'!$C$5:$C$1640,"&lt;="&amp;Cover!$C$15),2)</f>
        <v>132</v>
      </c>
      <c r="Z933" s="9">
        <f>ROUND(SUMIFS('Odoo Items'!$G$5:$G$4331,'Odoo Items'!$J$5:$J$4331,A933,'Odoo Items'!$C$5:$C$4331,"&lt;="&amp;Cover!$C$15),2)</f>
        <v>132</v>
      </c>
      <c r="AA933">
        <f>COUNTIFS('Bank Lines'!$G$5:$G$1640,A933,'Bank Lines'!$J$5:$J$1640,1,'Bank Lines'!$C$5:$C$1640,"&lt;="&amp;Cover!$C$15)</f>
        <v>1</v>
      </c>
      <c r="AB933">
        <f>COUNTIFS('Odoo Items'!$J$5:$J$4331,A933,'Odoo Items'!$C$5:$C$4331,"&lt;="&amp;Cover!$C$15)</f>
        <v>1</v>
      </c>
      <c r="AC933" t="str">
        <f>IF(AND(AA933=0,AB933=0),"",IF(AA933=0,"ODOO-ONLY",IF(AB933=0,"BANK-ONLY","BOTH")))</f>
        <v>BOTH</v>
      </c>
      <c r="AD933" s="9">
        <f>IF(AC933="BOTH",ROUND(Y933-Z933,2),0)</f>
        <v>0</v>
      </c>
    </row>
    <row r="934">
      <c r="A934" t="inlineStr">
        <is>
          <t>G00930</t>
        </is>
      </c>
      <c r="B934" t="inlineStr">
        <is>
          <t>OPS</t>
        </is>
      </c>
      <c r="C934" t="inlineStr">
        <is>
          <t>R09</t>
        </is>
      </c>
      <c r="D934" t="inlineStr">
        <is>
          <t>MATCH</t>
        </is>
      </c>
      <c r="E934" t="inlineStr">
        <is>
          <t>Meridian Health Cover</t>
        </is>
      </c>
      <c r="F934" t="n">
        <v>1</v>
      </c>
      <c r="G934" t="inlineStr">
        <is>
          <t>Reference INV/2026/01942</t>
        </is>
      </c>
      <c r="H934">
        <f>COUNTIFS('Bank Lines'!$G$5:$G$1640,A934,'Bank Lines'!$J$5:$J$1640,1)</f>
        <v>1</v>
      </c>
      <c r="I934">
        <f>COUNTIFS('Odoo Items'!$J$5:$J$4331,A934)</f>
        <v>1</v>
      </c>
      <c r="J934" s="9">
        <f>ROUND(SUMIFS('Bank Lines'!$E$5:$E$1640,'Bank Lines'!$G$5:$G$1640,A934,'Bank Lines'!$J$5:$J$1640,1),2)</f>
        <v>990</v>
      </c>
      <c r="K934" s="9">
        <f>ROUND(SUMIFS('Odoo Items'!$G$5:$G$4331,'Odoo Items'!$J$5:$J$4331,A934),2)</f>
        <v>990</v>
      </c>
      <c r="L934" s="9">
        <f>ROUND(J934-K934,2)</f>
        <v>0</v>
      </c>
      <c r="M934" s="9">
        <f>ROUND(SUMIFS('Bank Lines'!$E$5:$E$1640,'Bank Lines'!$G$5:$G$1640,A934,'Bank Lines'!$J$5:$J$1640,1,'Bank Lines'!$C$5:$C$1640,"&lt;="&amp;Cover!$C$13),2)</f>
        <v>990</v>
      </c>
      <c r="N934" s="9">
        <f>ROUND(SUMIFS('Odoo Items'!$G$5:$G$4331,'Odoo Items'!$J$5:$J$4331,A934,'Odoo Items'!$C$5:$C$4331,"&lt;="&amp;Cover!$C$13),2)</f>
        <v>990</v>
      </c>
      <c r="O934">
        <f>COUNTIFS('Bank Lines'!$G$5:$G$1640,A934,'Bank Lines'!$J$5:$J$1640,1,'Bank Lines'!$C$5:$C$1640,"&lt;="&amp;Cover!$C$13)</f>
        <v>1</v>
      </c>
      <c r="P934">
        <f>COUNTIFS('Odoo Items'!$J$5:$J$4331,A934,'Odoo Items'!$C$5:$C$4331,"&lt;="&amp;Cover!$C$13)</f>
        <v>1</v>
      </c>
      <c r="Q934" t="str">
        <f>IF(AND(O934=0,P934=0),"",IF(O934=0,"ODOO-ONLY",IF(P934=0,"BANK-ONLY","BOTH")))</f>
        <v>BOTH</v>
      </c>
      <c r="R934" s="9">
        <f>IF(Q934="BOTH",ROUND(M934-N934,2),0)</f>
        <v>0</v>
      </c>
      <c r="S934" s="9">
        <f>ROUND(SUMIFS('Bank Lines'!$E$5:$E$1640,'Bank Lines'!$G$5:$G$1640,A934,'Bank Lines'!$J$5:$J$1640,1,'Bank Lines'!$C$5:$C$1640,"&lt;="&amp;Cover!$C$14),2)</f>
        <v>990</v>
      </c>
      <c r="T934" s="9">
        <f>ROUND(SUMIFS('Odoo Items'!$G$5:$G$4331,'Odoo Items'!$J$5:$J$4331,A934,'Odoo Items'!$C$5:$C$4331,"&lt;="&amp;Cover!$C$14),2)</f>
        <v>990</v>
      </c>
      <c r="U934">
        <f>COUNTIFS('Bank Lines'!$G$5:$G$1640,A934,'Bank Lines'!$J$5:$J$1640,1,'Bank Lines'!$C$5:$C$1640,"&lt;="&amp;Cover!$C$14)</f>
        <v>1</v>
      </c>
      <c r="V934">
        <f>COUNTIFS('Odoo Items'!$J$5:$J$4331,A934,'Odoo Items'!$C$5:$C$4331,"&lt;="&amp;Cover!$C$14)</f>
        <v>1</v>
      </c>
      <c r="W934" t="str">
        <f>IF(AND(U934=0,V934=0),"",IF(U934=0,"ODOO-ONLY",IF(V934=0,"BANK-ONLY","BOTH")))</f>
        <v>BOTH</v>
      </c>
      <c r="X934" s="9">
        <f>IF(W934="BOTH",ROUND(S934-T934,2),0)</f>
        <v>0</v>
      </c>
      <c r="Y934" s="9">
        <f>ROUND(SUMIFS('Bank Lines'!$E$5:$E$1640,'Bank Lines'!$G$5:$G$1640,A934,'Bank Lines'!$J$5:$J$1640,1,'Bank Lines'!$C$5:$C$1640,"&lt;="&amp;Cover!$C$15),2)</f>
        <v>990</v>
      </c>
      <c r="Z934" s="9">
        <f>ROUND(SUMIFS('Odoo Items'!$G$5:$G$4331,'Odoo Items'!$J$5:$J$4331,A934,'Odoo Items'!$C$5:$C$4331,"&lt;="&amp;Cover!$C$15),2)</f>
        <v>990</v>
      </c>
      <c r="AA934">
        <f>COUNTIFS('Bank Lines'!$G$5:$G$1640,A934,'Bank Lines'!$J$5:$J$1640,1,'Bank Lines'!$C$5:$C$1640,"&lt;="&amp;Cover!$C$15)</f>
        <v>1</v>
      </c>
      <c r="AB934">
        <f>COUNTIFS('Odoo Items'!$J$5:$J$4331,A934,'Odoo Items'!$C$5:$C$4331,"&lt;="&amp;Cover!$C$15)</f>
        <v>1</v>
      </c>
      <c r="AC934" t="str">
        <f>IF(AND(AA934=0,AB934=0),"",IF(AA934=0,"ODOO-ONLY",IF(AB934=0,"BANK-ONLY","BOTH")))</f>
        <v>BOTH</v>
      </c>
      <c r="AD934" s="9">
        <f>IF(AC934="BOTH",ROUND(Y934-Z934,2),0)</f>
        <v>0</v>
      </c>
    </row>
    <row r="935">
      <c r="A935" t="inlineStr">
        <is>
          <t>G00931</t>
        </is>
      </c>
      <c r="B935" t="inlineStr">
        <is>
          <t>OPS</t>
        </is>
      </c>
      <c r="C935" t="inlineStr">
        <is>
          <t>R09</t>
        </is>
      </c>
      <c r="D935" t="inlineStr">
        <is>
          <t>MATCH</t>
        </is>
      </c>
      <c r="E935" t="inlineStr">
        <is>
          <t>Quarry Lane Concrete</t>
        </is>
      </c>
      <c r="F935" t="n">
        <v>1</v>
      </c>
      <c r="G935" t="inlineStr">
        <is>
          <t>Reference INV/2026/03457</t>
        </is>
      </c>
      <c r="H935">
        <f>COUNTIFS('Bank Lines'!$G$5:$G$1640,A935,'Bank Lines'!$J$5:$J$1640,1)</f>
        <v>1</v>
      </c>
      <c r="I935">
        <f>COUNTIFS('Odoo Items'!$J$5:$J$4331,A935)</f>
        <v>1</v>
      </c>
      <c r="J935" s="9">
        <f>ROUND(SUMIFS('Bank Lines'!$E$5:$E$1640,'Bank Lines'!$G$5:$G$1640,A935,'Bank Lines'!$J$5:$J$1640,1),2)</f>
        <v>6971.25</v>
      </c>
      <c r="K935" s="9">
        <f>ROUND(SUMIFS('Odoo Items'!$G$5:$G$4331,'Odoo Items'!$J$5:$J$4331,A935),2)</f>
        <v>6971.25</v>
      </c>
      <c r="L935" s="9">
        <f>ROUND(J935-K935,2)</f>
        <v>0</v>
      </c>
      <c r="M935" s="9">
        <f>ROUND(SUMIFS('Bank Lines'!$E$5:$E$1640,'Bank Lines'!$G$5:$G$1640,A935,'Bank Lines'!$J$5:$J$1640,1,'Bank Lines'!$C$5:$C$1640,"&lt;="&amp;Cover!$C$13),2)</f>
        <v>6971.25</v>
      </c>
      <c r="N935" s="9">
        <f>ROUND(SUMIFS('Odoo Items'!$G$5:$G$4331,'Odoo Items'!$J$5:$J$4331,A935,'Odoo Items'!$C$5:$C$4331,"&lt;="&amp;Cover!$C$13),2)</f>
        <v>6971.25</v>
      </c>
      <c r="O935">
        <f>COUNTIFS('Bank Lines'!$G$5:$G$1640,A935,'Bank Lines'!$J$5:$J$1640,1,'Bank Lines'!$C$5:$C$1640,"&lt;="&amp;Cover!$C$13)</f>
        <v>1</v>
      </c>
      <c r="P935">
        <f>COUNTIFS('Odoo Items'!$J$5:$J$4331,A935,'Odoo Items'!$C$5:$C$4331,"&lt;="&amp;Cover!$C$13)</f>
        <v>1</v>
      </c>
      <c r="Q935" t="str">
        <f>IF(AND(O935=0,P935=0),"",IF(O935=0,"ODOO-ONLY",IF(P935=0,"BANK-ONLY","BOTH")))</f>
        <v>BOTH</v>
      </c>
      <c r="R935" s="9">
        <f>IF(Q935="BOTH",ROUND(M935-N935,2),0)</f>
        <v>0</v>
      </c>
      <c r="S935" s="9">
        <f>ROUND(SUMIFS('Bank Lines'!$E$5:$E$1640,'Bank Lines'!$G$5:$G$1640,A935,'Bank Lines'!$J$5:$J$1640,1,'Bank Lines'!$C$5:$C$1640,"&lt;="&amp;Cover!$C$14),2)</f>
        <v>6971.25</v>
      </c>
      <c r="T935" s="9">
        <f>ROUND(SUMIFS('Odoo Items'!$G$5:$G$4331,'Odoo Items'!$J$5:$J$4331,A935,'Odoo Items'!$C$5:$C$4331,"&lt;="&amp;Cover!$C$14),2)</f>
        <v>6971.25</v>
      </c>
      <c r="U935">
        <f>COUNTIFS('Bank Lines'!$G$5:$G$1640,A935,'Bank Lines'!$J$5:$J$1640,1,'Bank Lines'!$C$5:$C$1640,"&lt;="&amp;Cover!$C$14)</f>
        <v>1</v>
      </c>
      <c r="V935">
        <f>COUNTIFS('Odoo Items'!$J$5:$J$4331,A935,'Odoo Items'!$C$5:$C$4331,"&lt;="&amp;Cover!$C$14)</f>
        <v>1</v>
      </c>
      <c r="W935" t="str">
        <f>IF(AND(U935=0,V935=0),"",IF(U935=0,"ODOO-ONLY",IF(V935=0,"BANK-ONLY","BOTH")))</f>
        <v>BOTH</v>
      </c>
      <c r="X935" s="9">
        <f>IF(W935="BOTH",ROUND(S935-T935,2),0)</f>
        <v>0</v>
      </c>
      <c r="Y935" s="9">
        <f>ROUND(SUMIFS('Bank Lines'!$E$5:$E$1640,'Bank Lines'!$G$5:$G$1640,A935,'Bank Lines'!$J$5:$J$1640,1,'Bank Lines'!$C$5:$C$1640,"&lt;="&amp;Cover!$C$15),2)</f>
        <v>6971.25</v>
      </c>
      <c r="Z935" s="9">
        <f>ROUND(SUMIFS('Odoo Items'!$G$5:$G$4331,'Odoo Items'!$J$5:$J$4331,A935,'Odoo Items'!$C$5:$C$4331,"&lt;="&amp;Cover!$C$15),2)</f>
        <v>6971.25</v>
      </c>
      <c r="AA935">
        <f>COUNTIFS('Bank Lines'!$G$5:$G$1640,A935,'Bank Lines'!$J$5:$J$1640,1,'Bank Lines'!$C$5:$C$1640,"&lt;="&amp;Cover!$C$15)</f>
        <v>1</v>
      </c>
      <c r="AB935">
        <f>COUNTIFS('Odoo Items'!$J$5:$J$4331,A935,'Odoo Items'!$C$5:$C$4331,"&lt;="&amp;Cover!$C$15)</f>
        <v>1</v>
      </c>
      <c r="AC935" t="str">
        <f>IF(AND(AA935=0,AB935=0),"",IF(AA935=0,"ODOO-ONLY",IF(AB935=0,"BANK-ONLY","BOTH")))</f>
        <v>BOTH</v>
      </c>
      <c r="AD935" s="9">
        <f>IF(AC935="BOTH",ROUND(Y935-Z935,2),0)</f>
        <v>0</v>
      </c>
    </row>
    <row r="936">
      <c r="A936" t="inlineStr">
        <is>
          <t>G00932</t>
        </is>
      </c>
      <c r="B936" t="inlineStr">
        <is>
          <t>OPS</t>
        </is>
      </c>
      <c r="C936" t="inlineStr">
        <is>
          <t>R09</t>
        </is>
      </c>
      <c r="D936" t="inlineStr">
        <is>
          <t>MATCH</t>
        </is>
      </c>
      <c r="E936" t="inlineStr">
        <is>
          <t>Northline Injury Claims</t>
        </is>
      </c>
      <c r="F936" t="n">
        <v>1</v>
      </c>
      <c r="G936" t="inlineStr">
        <is>
          <t>Reference INV/2026/01943</t>
        </is>
      </c>
      <c r="H936">
        <f>COUNTIFS('Bank Lines'!$G$5:$G$1640,A936,'Bank Lines'!$J$5:$J$1640,1)</f>
        <v>1</v>
      </c>
      <c r="I936">
        <f>COUNTIFS('Odoo Items'!$J$5:$J$4331,A936)</f>
        <v>1</v>
      </c>
      <c r="J936" s="9">
        <f>ROUND(SUMIFS('Bank Lines'!$E$5:$E$1640,'Bank Lines'!$G$5:$G$1640,A936,'Bank Lines'!$J$5:$J$1640,1),2)</f>
        <v>264</v>
      </c>
      <c r="K936" s="9">
        <f>ROUND(SUMIFS('Odoo Items'!$G$5:$G$4331,'Odoo Items'!$J$5:$J$4331,A936),2)</f>
        <v>264</v>
      </c>
      <c r="L936" s="9">
        <f>ROUND(J936-K936,2)</f>
        <v>0</v>
      </c>
      <c r="M936" s="9">
        <f>ROUND(SUMIFS('Bank Lines'!$E$5:$E$1640,'Bank Lines'!$G$5:$G$1640,A936,'Bank Lines'!$J$5:$J$1640,1,'Bank Lines'!$C$5:$C$1640,"&lt;="&amp;Cover!$C$13),2)</f>
        <v>264</v>
      </c>
      <c r="N936" s="9">
        <f>ROUND(SUMIFS('Odoo Items'!$G$5:$G$4331,'Odoo Items'!$J$5:$J$4331,A936,'Odoo Items'!$C$5:$C$4331,"&lt;="&amp;Cover!$C$13),2)</f>
        <v>264</v>
      </c>
      <c r="O936">
        <f>COUNTIFS('Bank Lines'!$G$5:$G$1640,A936,'Bank Lines'!$J$5:$J$1640,1,'Bank Lines'!$C$5:$C$1640,"&lt;="&amp;Cover!$C$13)</f>
        <v>1</v>
      </c>
      <c r="P936">
        <f>COUNTIFS('Odoo Items'!$J$5:$J$4331,A936,'Odoo Items'!$C$5:$C$4331,"&lt;="&amp;Cover!$C$13)</f>
        <v>1</v>
      </c>
      <c r="Q936" t="str">
        <f>IF(AND(O936=0,P936=0),"",IF(O936=0,"ODOO-ONLY",IF(P936=0,"BANK-ONLY","BOTH")))</f>
        <v>BOTH</v>
      </c>
      <c r="R936" s="9">
        <f>IF(Q936="BOTH",ROUND(M936-N936,2),0)</f>
        <v>0</v>
      </c>
      <c r="S936" s="9">
        <f>ROUND(SUMIFS('Bank Lines'!$E$5:$E$1640,'Bank Lines'!$G$5:$G$1640,A936,'Bank Lines'!$J$5:$J$1640,1,'Bank Lines'!$C$5:$C$1640,"&lt;="&amp;Cover!$C$14),2)</f>
        <v>264</v>
      </c>
      <c r="T936" s="9">
        <f>ROUND(SUMIFS('Odoo Items'!$G$5:$G$4331,'Odoo Items'!$J$5:$J$4331,A936,'Odoo Items'!$C$5:$C$4331,"&lt;="&amp;Cover!$C$14),2)</f>
        <v>264</v>
      </c>
      <c r="U936">
        <f>COUNTIFS('Bank Lines'!$G$5:$G$1640,A936,'Bank Lines'!$J$5:$J$1640,1,'Bank Lines'!$C$5:$C$1640,"&lt;="&amp;Cover!$C$14)</f>
        <v>1</v>
      </c>
      <c r="V936">
        <f>COUNTIFS('Odoo Items'!$J$5:$J$4331,A936,'Odoo Items'!$C$5:$C$4331,"&lt;="&amp;Cover!$C$14)</f>
        <v>1</v>
      </c>
      <c r="W936" t="str">
        <f>IF(AND(U936=0,V936=0),"",IF(U936=0,"ODOO-ONLY",IF(V936=0,"BANK-ONLY","BOTH")))</f>
        <v>BOTH</v>
      </c>
      <c r="X936" s="9">
        <f>IF(W936="BOTH",ROUND(S936-T936,2),0)</f>
        <v>0</v>
      </c>
      <c r="Y936" s="9">
        <f>ROUND(SUMIFS('Bank Lines'!$E$5:$E$1640,'Bank Lines'!$G$5:$G$1640,A936,'Bank Lines'!$J$5:$J$1640,1,'Bank Lines'!$C$5:$C$1640,"&lt;="&amp;Cover!$C$15),2)</f>
        <v>264</v>
      </c>
      <c r="Z936" s="9">
        <f>ROUND(SUMIFS('Odoo Items'!$G$5:$G$4331,'Odoo Items'!$J$5:$J$4331,A936,'Odoo Items'!$C$5:$C$4331,"&lt;="&amp;Cover!$C$15),2)</f>
        <v>264</v>
      </c>
      <c r="AA936">
        <f>COUNTIFS('Bank Lines'!$G$5:$G$1640,A936,'Bank Lines'!$J$5:$J$1640,1,'Bank Lines'!$C$5:$C$1640,"&lt;="&amp;Cover!$C$15)</f>
        <v>1</v>
      </c>
      <c r="AB936">
        <f>COUNTIFS('Odoo Items'!$J$5:$J$4331,A936,'Odoo Items'!$C$5:$C$4331,"&lt;="&amp;Cover!$C$15)</f>
        <v>1</v>
      </c>
      <c r="AC936" t="str">
        <f>IF(AND(AA936=0,AB936=0),"",IF(AA936=0,"ODOO-ONLY",IF(AB936=0,"BANK-ONLY","BOTH")))</f>
        <v>BOTH</v>
      </c>
      <c r="AD936" s="9">
        <f>IF(AC936="BOTH",ROUND(Y936-Z936,2),0)</f>
        <v>0</v>
      </c>
    </row>
    <row r="937">
      <c r="A937" t="inlineStr">
        <is>
          <t>G00933</t>
        </is>
      </c>
      <c r="B937" t="inlineStr">
        <is>
          <t>OPS</t>
        </is>
      </c>
      <c r="C937" t="inlineStr">
        <is>
          <t>R09</t>
        </is>
      </c>
      <c r="D937" t="inlineStr">
        <is>
          <t>MATCH</t>
        </is>
      </c>
      <c r="E937" t="inlineStr">
        <is>
          <t>Varga &amp; Holt Logistics</t>
        </is>
      </c>
      <c r="F937" t="n">
        <v>1</v>
      </c>
      <c r="G937" t="inlineStr">
        <is>
          <t>Reference INV/2026/03411</t>
        </is>
      </c>
      <c r="H937">
        <f>COUNTIFS('Bank Lines'!$G$5:$G$1640,A937,'Bank Lines'!$J$5:$J$1640,1)</f>
        <v>1</v>
      </c>
      <c r="I937">
        <f>COUNTIFS('Odoo Items'!$J$5:$J$4331,A937)</f>
        <v>1</v>
      </c>
      <c r="J937" s="9">
        <f>ROUND(SUMIFS('Bank Lines'!$E$5:$E$1640,'Bank Lines'!$G$5:$G$1640,A937,'Bank Lines'!$J$5:$J$1640,1),2)</f>
        <v>2640</v>
      </c>
      <c r="K937" s="9">
        <f>ROUND(SUMIFS('Odoo Items'!$G$5:$G$4331,'Odoo Items'!$J$5:$J$4331,A937),2)</f>
        <v>2640</v>
      </c>
      <c r="L937" s="9">
        <f>ROUND(J937-K937,2)</f>
        <v>0</v>
      </c>
      <c r="M937" s="9">
        <f>ROUND(SUMIFS('Bank Lines'!$E$5:$E$1640,'Bank Lines'!$G$5:$G$1640,A937,'Bank Lines'!$J$5:$J$1640,1,'Bank Lines'!$C$5:$C$1640,"&lt;="&amp;Cover!$C$13),2)</f>
        <v>2640</v>
      </c>
      <c r="N937" s="9">
        <f>ROUND(SUMIFS('Odoo Items'!$G$5:$G$4331,'Odoo Items'!$J$5:$J$4331,A937,'Odoo Items'!$C$5:$C$4331,"&lt;="&amp;Cover!$C$13),2)</f>
        <v>2640</v>
      </c>
      <c r="O937">
        <f>COUNTIFS('Bank Lines'!$G$5:$G$1640,A937,'Bank Lines'!$J$5:$J$1640,1,'Bank Lines'!$C$5:$C$1640,"&lt;="&amp;Cover!$C$13)</f>
        <v>1</v>
      </c>
      <c r="P937">
        <f>COUNTIFS('Odoo Items'!$J$5:$J$4331,A937,'Odoo Items'!$C$5:$C$4331,"&lt;="&amp;Cover!$C$13)</f>
        <v>1</v>
      </c>
      <c r="Q937" t="str">
        <f>IF(AND(O937=0,P937=0),"",IF(O937=0,"ODOO-ONLY",IF(P937=0,"BANK-ONLY","BOTH")))</f>
        <v>BOTH</v>
      </c>
      <c r="R937" s="9">
        <f>IF(Q937="BOTH",ROUND(M937-N937,2),0)</f>
        <v>0</v>
      </c>
      <c r="S937" s="9">
        <f>ROUND(SUMIFS('Bank Lines'!$E$5:$E$1640,'Bank Lines'!$G$5:$G$1640,A937,'Bank Lines'!$J$5:$J$1640,1,'Bank Lines'!$C$5:$C$1640,"&lt;="&amp;Cover!$C$14),2)</f>
        <v>2640</v>
      </c>
      <c r="T937" s="9">
        <f>ROUND(SUMIFS('Odoo Items'!$G$5:$G$4331,'Odoo Items'!$J$5:$J$4331,A937,'Odoo Items'!$C$5:$C$4331,"&lt;="&amp;Cover!$C$14),2)</f>
        <v>2640</v>
      </c>
      <c r="U937">
        <f>COUNTIFS('Bank Lines'!$G$5:$G$1640,A937,'Bank Lines'!$J$5:$J$1640,1,'Bank Lines'!$C$5:$C$1640,"&lt;="&amp;Cover!$C$14)</f>
        <v>1</v>
      </c>
      <c r="V937">
        <f>COUNTIFS('Odoo Items'!$J$5:$J$4331,A937,'Odoo Items'!$C$5:$C$4331,"&lt;="&amp;Cover!$C$14)</f>
        <v>1</v>
      </c>
      <c r="W937" t="str">
        <f>IF(AND(U937=0,V937=0),"",IF(U937=0,"ODOO-ONLY",IF(V937=0,"BANK-ONLY","BOTH")))</f>
        <v>BOTH</v>
      </c>
      <c r="X937" s="9">
        <f>IF(W937="BOTH",ROUND(S937-T937,2),0)</f>
        <v>0</v>
      </c>
      <c r="Y937" s="9">
        <f>ROUND(SUMIFS('Bank Lines'!$E$5:$E$1640,'Bank Lines'!$G$5:$G$1640,A937,'Bank Lines'!$J$5:$J$1640,1,'Bank Lines'!$C$5:$C$1640,"&lt;="&amp;Cover!$C$15),2)</f>
        <v>2640</v>
      </c>
      <c r="Z937" s="9">
        <f>ROUND(SUMIFS('Odoo Items'!$G$5:$G$4331,'Odoo Items'!$J$5:$J$4331,A937,'Odoo Items'!$C$5:$C$4331,"&lt;="&amp;Cover!$C$15),2)</f>
        <v>2640</v>
      </c>
      <c r="AA937">
        <f>COUNTIFS('Bank Lines'!$G$5:$G$1640,A937,'Bank Lines'!$J$5:$J$1640,1,'Bank Lines'!$C$5:$C$1640,"&lt;="&amp;Cover!$C$15)</f>
        <v>1</v>
      </c>
      <c r="AB937">
        <f>COUNTIFS('Odoo Items'!$J$5:$J$4331,A937,'Odoo Items'!$C$5:$C$4331,"&lt;="&amp;Cover!$C$15)</f>
        <v>1</v>
      </c>
      <c r="AC937" t="str">
        <f>IF(AND(AA937=0,AB937=0),"",IF(AA937=0,"ODOO-ONLY",IF(AB937=0,"BANK-ONLY","BOTH")))</f>
        <v>BOTH</v>
      </c>
      <c r="AD937" s="9">
        <f>IF(AC937="BOTH",ROUND(Y937-Z937,2),0)</f>
        <v>0</v>
      </c>
    </row>
    <row r="938">
      <c r="A938" t="inlineStr">
        <is>
          <t>G00934</t>
        </is>
      </c>
      <c r="B938" t="inlineStr">
        <is>
          <t>OPS</t>
        </is>
      </c>
      <c r="C938" t="inlineStr">
        <is>
          <t>R09</t>
        </is>
      </c>
      <c r="D938" t="inlineStr">
        <is>
          <t>MATCH</t>
        </is>
      </c>
      <c r="E938" t="inlineStr">
        <is>
          <t>Kestrel Lane Foods</t>
        </is>
      </c>
      <c r="F938" t="n">
        <v>1</v>
      </c>
      <c r="G938" t="inlineStr">
        <is>
          <t>Reference INV/2026/03412</t>
        </is>
      </c>
      <c r="H938">
        <f>COUNTIFS('Bank Lines'!$G$5:$G$1640,A938,'Bank Lines'!$J$5:$J$1640,1)</f>
        <v>1</v>
      </c>
      <c r="I938">
        <f>COUNTIFS('Odoo Items'!$J$5:$J$4331,A938)</f>
        <v>1</v>
      </c>
      <c r="J938" s="9">
        <f>ROUND(SUMIFS('Bank Lines'!$E$5:$E$1640,'Bank Lines'!$G$5:$G$1640,A938,'Bank Lines'!$J$5:$J$1640,1),2)</f>
        <v>5280</v>
      </c>
      <c r="K938" s="9">
        <f>ROUND(SUMIFS('Odoo Items'!$G$5:$G$4331,'Odoo Items'!$J$5:$J$4331,A938),2)</f>
        <v>5280</v>
      </c>
      <c r="L938" s="9">
        <f>ROUND(J938-K938,2)</f>
        <v>0</v>
      </c>
      <c r="M938" s="9">
        <f>ROUND(SUMIFS('Bank Lines'!$E$5:$E$1640,'Bank Lines'!$G$5:$G$1640,A938,'Bank Lines'!$J$5:$J$1640,1,'Bank Lines'!$C$5:$C$1640,"&lt;="&amp;Cover!$C$13),2)</f>
        <v>5280</v>
      </c>
      <c r="N938" s="9">
        <f>ROUND(SUMIFS('Odoo Items'!$G$5:$G$4331,'Odoo Items'!$J$5:$J$4331,A938,'Odoo Items'!$C$5:$C$4331,"&lt;="&amp;Cover!$C$13),2)</f>
        <v>5280</v>
      </c>
      <c r="O938">
        <f>COUNTIFS('Bank Lines'!$G$5:$G$1640,A938,'Bank Lines'!$J$5:$J$1640,1,'Bank Lines'!$C$5:$C$1640,"&lt;="&amp;Cover!$C$13)</f>
        <v>1</v>
      </c>
      <c r="P938">
        <f>COUNTIFS('Odoo Items'!$J$5:$J$4331,A938,'Odoo Items'!$C$5:$C$4331,"&lt;="&amp;Cover!$C$13)</f>
        <v>1</v>
      </c>
      <c r="Q938" t="str">
        <f>IF(AND(O938=0,P938=0),"",IF(O938=0,"ODOO-ONLY",IF(P938=0,"BANK-ONLY","BOTH")))</f>
        <v>BOTH</v>
      </c>
      <c r="R938" s="9">
        <f>IF(Q938="BOTH",ROUND(M938-N938,2),0)</f>
        <v>0</v>
      </c>
      <c r="S938" s="9">
        <f>ROUND(SUMIFS('Bank Lines'!$E$5:$E$1640,'Bank Lines'!$G$5:$G$1640,A938,'Bank Lines'!$J$5:$J$1640,1,'Bank Lines'!$C$5:$C$1640,"&lt;="&amp;Cover!$C$14),2)</f>
        <v>5280</v>
      </c>
      <c r="T938" s="9">
        <f>ROUND(SUMIFS('Odoo Items'!$G$5:$G$4331,'Odoo Items'!$J$5:$J$4331,A938,'Odoo Items'!$C$5:$C$4331,"&lt;="&amp;Cover!$C$14),2)</f>
        <v>5280</v>
      </c>
      <c r="U938">
        <f>COUNTIFS('Bank Lines'!$G$5:$G$1640,A938,'Bank Lines'!$J$5:$J$1640,1,'Bank Lines'!$C$5:$C$1640,"&lt;="&amp;Cover!$C$14)</f>
        <v>1</v>
      </c>
      <c r="V938">
        <f>COUNTIFS('Odoo Items'!$J$5:$J$4331,A938,'Odoo Items'!$C$5:$C$4331,"&lt;="&amp;Cover!$C$14)</f>
        <v>1</v>
      </c>
      <c r="W938" t="str">
        <f>IF(AND(U938=0,V938=0),"",IF(U938=0,"ODOO-ONLY",IF(V938=0,"BANK-ONLY","BOTH")))</f>
        <v>BOTH</v>
      </c>
      <c r="X938" s="9">
        <f>IF(W938="BOTH",ROUND(S938-T938,2),0)</f>
        <v>0</v>
      </c>
      <c r="Y938" s="9">
        <f>ROUND(SUMIFS('Bank Lines'!$E$5:$E$1640,'Bank Lines'!$G$5:$G$1640,A938,'Bank Lines'!$J$5:$J$1640,1,'Bank Lines'!$C$5:$C$1640,"&lt;="&amp;Cover!$C$15),2)</f>
        <v>5280</v>
      </c>
      <c r="Z938" s="9">
        <f>ROUND(SUMIFS('Odoo Items'!$G$5:$G$4331,'Odoo Items'!$J$5:$J$4331,A938,'Odoo Items'!$C$5:$C$4331,"&lt;="&amp;Cover!$C$15),2)</f>
        <v>5280</v>
      </c>
      <c r="AA938">
        <f>COUNTIFS('Bank Lines'!$G$5:$G$1640,A938,'Bank Lines'!$J$5:$J$1640,1,'Bank Lines'!$C$5:$C$1640,"&lt;="&amp;Cover!$C$15)</f>
        <v>1</v>
      </c>
      <c r="AB938">
        <f>COUNTIFS('Odoo Items'!$J$5:$J$4331,A938,'Odoo Items'!$C$5:$C$4331,"&lt;="&amp;Cover!$C$15)</f>
        <v>1</v>
      </c>
      <c r="AC938" t="str">
        <f>IF(AND(AA938=0,AB938=0),"",IF(AA938=0,"ODOO-ONLY",IF(AB938=0,"BANK-ONLY","BOTH")))</f>
        <v>BOTH</v>
      </c>
      <c r="AD938" s="9">
        <f>IF(AC938="BOTH",ROUND(Y938-Z938,2),0)</f>
        <v>0</v>
      </c>
    </row>
    <row r="939">
      <c r="A939" t="inlineStr">
        <is>
          <t>G00935</t>
        </is>
      </c>
      <c r="B939" t="inlineStr">
        <is>
          <t>OPS</t>
        </is>
      </c>
      <c r="C939" t="inlineStr">
        <is>
          <t>R09</t>
        </is>
      </c>
      <c r="D939" t="inlineStr">
        <is>
          <t>MATCH</t>
        </is>
      </c>
      <c r="E939" t="inlineStr">
        <is>
          <t>Calder Freight Group</t>
        </is>
      </c>
      <c r="F939" t="n">
        <v>0.973</v>
      </c>
      <c r="G939" t="inlineStr">
        <is>
          <t>Reference INV/2026/03416</t>
        </is>
      </c>
      <c r="H939">
        <f>COUNTIFS('Bank Lines'!$G$5:$G$1640,A939,'Bank Lines'!$J$5:$J$1640,1)</f>
        <v>1</v>
      </c>
      <c r="I939">
        <f>COUNTIFS('Odoo Items'!$J$5:$J$4331,A939)</f>
        <v>1</v>
      </c>
      <c r="J939" s="9">
        <f>ROUND(SUMIFS('Bank Lines'!$E$5:$E$1640,'Bank Lines'!$G$5:$G$1640,A939,'Bank Lines'!$J$5:$J$1640,1),2)</f>
        <v>3465</v>
      </c>
      <c r="K939" s="9">
        <f>ROUND(SUMIFS('Odoo Items'!$G$5:$G$4331,'Odoo Items'!$J$5:$J$4331,A939),2)</f>
        <v>3465</v>
      </c>
      <c r="L939" s="9">
        <f>ROUND(J939-K939,2)</f>
        <v>0</v>
      </c>
      <c r="M939" s="9">
        <f>ROUND(SUMIFS('Bank Lines'!$E$5:$E$1640,'Bank Lines'!$G$5:$G$1640,A939,'Bank Lines'!$J$5:$J$1640,1,'Bank Lines'!$C$5:$C$1640,"&lt;="&amp;Cover!$C$13),2)</f>
        <v>3465</v>
      </c>
      <c r="N939" s="9">
        <f>ROUND(SUMIFS('Odoo Items'!$G$5:$G$4331,'Odoo Items'!$J$5:$J$4331,A939,'Odoo Items'!$C$5:$C$4331,"&lt;="&amp;Cover!$C$13),2)</f>
        <v>3465</v>
      </c>
      <c r="O939">
        <f>COUNTIFS('Bank Lines'!$G$5:$G$1640,A939,'Bank Lines'!$J$5:$J$1640,1,'Bank Lines'!$C$5:$C$1640,"&lt;="&amp;Cover!$C$13)</f>
        <v>1</v>
      </c>
      <c r="P939">
        <f>COUNTIFS('Odoo Items'!$J$5:$J$4331,A939,'Odoo Items'!$C$5:$C$4331,"&lt;="&amp;Cover!$C$13)</f>
        <v>1</v>
      </c>
      <c r="Q939" t="str">
        <f>IF(AND(O939=0,P939=0),"",IF(O939=0,"ODOO-ONLY",IF(P939=0,"BANK-ONLY","BOTH")))</f>
        <v>BOTH</v>
      </c>
      <c r="R939" s="9">
        <f>IF(Q939="BOTH",ROUND(M939-N939,2),0)</f>
        <v>0</v>
      </c>
      <c r="S939" s="9">
        <f>ROUND(SUMIFS('Bank Lines'!$E$5:$E$1640,'Bank Lines'!$G$5:$G$1640,A939,'Bank Lines'!$J$5:$J$1640,1,'Bank Lines'!$C$5:$C$1640,"&lt;="&amp;Cover!$C$14),2)</f>
        <v>3465</v>
      </c>
      <c r="T939" s="9">
        <f>ROUND(SUMIFS('Odoo Items'!$G$5:$G$4331,'Odoo Items'!$J$5:$J$4331,A939,'Odoo Items'!$C$5:$C$4331,"&lt;="&amp;Cover!$C$14),2)</f>
        <v>3465</v>
      </c>
      <c r="U939">
        <f>COUNTIFS('Bank Lines'!$G$5:$G$1640,A939,'Bank Lines'!$J$5:$J$1640,1,'Bank Lines'!$C$5:$C$1640,"&lt;="&amp;Cover!$C$14)</f>
        <v>1</v>
      </c>
      <c r="V939">
        <f>COUNTIFS('Odoo Items'!$J$5:$J$4331,A939,'Odoo Items'!$C$5:$C$4331,"&lt;="&amp;Cover!$C$14)</f>
        <v>1</v>
      </c>
      <c r="W939" t="str">
        <f>IF(AND(U939=0,V939=0),"",IF(U939=0,"ODOO-ONLY",IF(V939=0,"BANK-ONLY","BOTH")))</f>
        <v>BOTH</v>
      </c>
      <c r="X939" s="9">
        <f>IF(W939="BOTH",ROUND(S939-T939,2),0)</f>
        <v>0</v>
      </c>
      <c r="Y939" s="9">
        <f>ROUND(SUMIFS('Bank Lines'!$E$5:$E$1640,'Bank Lines'!$G$5:$G$1640,A939,'Bank Lines'!$J$5:$J$1640,1,'Bank Lines'!$C$5:$C$1640,"&lt;="&amp;Cover!$C$15),2)</f>
        <v>3465</v>
      </c>
      <c r="Z939" s="9">
        <f>ROUND(SUMIFS('Odoo Items'!$G$5:$G$4331,'Odoo Items'!$J$5:$J$4331,A939,'Odoo Items'!$C$5:$C$4331,"&lt;="&amp;Cover!$C$15),2)</f>
        <v>3465</v>
      </c>
      <c r="AA939">
        <f>COUNTIFS('Bank Lines'!$G$5:$G$1640,A939,'Bank Lines'!$J$5:$J$1640,1,'Bank Lines'!$C$5:$C$1640,"&lt;="&amp;Cover!$C$15)</f>
        <v>1</v>
      </c>
      <c r="AB939">
        <f>COUNTIFS('Odoo Items'!$J$5:$J$4331,A939,'Odoo Items'!$C$5:$C$4331,"&lt;="&amp;Cover!$C$15)</f>
        <v>1</v>
      </c>
      <c r="AC939" t="str">
        <f>IF(AND(AA939=0,AB939=0),"",IF(AA939=0,"ODOO-ONLY",IF(AB939=0,"BANK-ONLY","BOTH")))</f>
        <v>BOTH</v>
      </c>
      <c r="AD939" s="9">
        <f>IF(AC939="BOTH",ROUND(Y939-Z939,2),0)</f>
        <v>0</v>
      </c>
    </row>
    <row r="940">
      <c r="A940" t="inlineStr">
        <is>
          <t>G00936</t>
        </is>
      </c>
      <c r="B940" t="inlineStr">
        <is>
          <t>OPS</t>
        </is>
      </c>
      <c r="C940" t="inlineStr">
        <is>
          <t>R09</t>
        </is>
      </c>
      <c r="D940" t="inlineStr">
        <is>
          <t>MATCH</t>
        </is>
      </c>
      <c r="E940" t="inlineStr">
        <is>
          <t>Nettlefold Joinery</t>
        </is>
      </c>
      <c r="F940" t="n">
        <v>1</v>
      </c>
      <c r="G940" t="inlineStr">
        <is>
          <t>Reference INV/2026/03453</t>
        </is>
      </c>
      <c r="H940">
        <f>COUNTIFS('Bank Lines'!$G$5:$G$1640,A940,'Bank Lines'!$J$5:$J$1640,1)</f>
        <v>1</v>
      </c>
      <c r="I940">
        <f>COUNTIFS('Odoo Items'!$J$5:$J$4331,A940)</f>
        <v>1</v>
      </c>
      <c r="J940" s="9">
        <f>ROUND(SUMIFS('Bank Lines'!$E$5:$E$1640,'Bank Lines'!$G$5:$G$1640,A940,'Bank Lines'!$J$5:$J$1640,1),2)</f>
        <v>15950</v>
      </c>
      <c r="K940" s="9">
        <f>ROUND(SUMIFS('Odoo Items'!$G$5:$G$4331,'Odoo Items'!$J$5:$J$4331,A940),2)</f>
        <v>15950</v>
      </c>
      <c r="L940" s="9">
        <f>ROUND(J940-K940,2)</f>
        <v>0</v>
      </c>
      <c r="M940" s="9">
        <f>ROUND(SUMIFS('Bank Lines'!$E$5:$E$1640,'Bank Lines'!$G$5:$G$1640,A940,'Bank Lines'!$J$5:$J$1640,1,'Bank Lines'!$C$5:$C$1640,"&lt;="&amp;Cover!$C$13),2)</f>
        <v>15950</v>
      </c>
      <c r="N940" s="9">
        <f>ROUND(SUMIFS('Odoo Items'!$G$5:$G$4331,'Odoo Items'!$J$5:$J$4331,A940,'Odoo Items'!$C$5:$C$4331,"&lt;="&amp;Cover!$C$13),2)</f>
        <v>15950</v>
      </c>
      <c r="O940">
        <f>COUNTIFS('Bank Lines'!$G$5:$G$1640,A940,'Bank Lines'!$J$5:$J$1640,1,'Bank Lines'!$C$5:$C$1640,"&lt;="&amp;Cover!$C$13)</f>
        <v>1</v>
      </c>
      <c r="P940">
        <f>COUNTIFS('Odoo Items'!$J$5:$J$4331,A940,'Odoo Items'!$C$5:$C$4331,"&lt;="&amp;Cover!$C$13)</f>
        <v>1</v>
      </c>
      <c r="Q940" t="str">
        <f>IF(AND(O940=0,P940=0),"",IF(O940=0,"ODOO-ONLY",IF(P940=0,"BANK-ONLY","BOTH")))</f>
        <v>BOTH</v>
      </c>
      <c r="R940" s="9">
        <f>IF(Q940="BOTH",ROUND(M940-N940,2),0)</f>
        <v>0</v>
      </c>
      <c r="S940" s="9">
        <f>ROUND(SUMIFS('Bank Lines'!$E$5:$E$1640,'Bank Lines'!$G$5:$G$1640,A940,'Bank Lines'!$J$5:$J$1640,1,'Bank Lines'!$C$5:$C$1640,"&lt;="&amp;Cover!$C$14),2)</f>
        <v>15950</v>
      </c>
      <c r="T940" s="9">
        <f>ROUND(SUMIFS('Odoo Items'!$G$5:$G$4331,'Odoo Items'!$J$5:$J$4331,A940,'Odoo Items'!$C$5:$C$4331,"&lt;="&amp;Cover!$C$14),2)</f>
        <v>15950</v>
      </c>
      <c r="U940">
        <f>COUNTIFS('Bank Lines'!$G$5:$G$1640,A940,'Bank Lines'!$J$5:$J$1640,1,'Bank Lines'!$C$5:$C$1640,"&lt;="&amp;Cover!$C$14)</f>
        <v>1</v>
      </c>
      <c r="V940">
        <f>COUNTIFS('Odoo Items'!$J$5:$J$4331,A940,'Odoo Items'!$C$5:$C$4331,"&lt;="&amp;Cover!$C$14)</f>
        <v>1</v>
      </c>
      <c r="W940" t="str">
        <f>IF(AND(U940=0,V940=0),"",IF(U940=0,"ODOO-ONLY",IF(V940=0,"BANK-ONLY","BOTH")))</f>
        <v>BOTH</v>
      </c>
      <c r="X940" s="9">
        <f>IF(W940="BOTH",ROUND(S940-T940,2),0)</f>
        <v>0</v>
      </c>
      <c r="Y940" s="9">
        <f>ROUND(SUMIFS('Bank Lines'!$E$5:$E$1640,'Bank Lines'!$G$5:$G$1640,A940,'Bank Lines'!$J$5:$J$1640,1,'Bank Lines'!$C$5:$C$1640,"&lt;="&amp;Cover!$C$15),2)</f>
        <v>15950</v>
      </c>
      <c r="Z940" s="9">
        <f>ROUND(SUMIFS('Odoo Items'!$G$5:$G$4331,'Odoo Items'!$J$5:$J$4331,A940,'Odoo Items'!$C$5:$C$4331,"&lt;="&amp;Cover!$C$15),2)</f>
        <v>15950</v>
      </c>
      <c r="AA940">
        <f>COUNTIFS('Bank Lines'!$G$5:$G$1640,A940,'Bank Lines'!$J$5:$J$1640,1,'Bank Lines'!$C$5:$C$1640,"&lt;="&amp;Cover!$C$15)</f>
        <v>1</v>
      </c>
      <c r="AB940">
        <f>COUNTIFS('Odoo Items'!$J$5:$J$4331,A940,'Odoo Items'!$C$5:$C$4331,"&lt;="&amp;Cover!$C$15)</f>
        <v>1</v>
      </c>
      <c r="AC940" t="str">
        <f>IF(AND(AA940=0,AB940=0),"",IF(AA940=0,"ODOO-ONLY",IF(AB940=0,"BANK-ONLY","BOTH")))</f>
        <v>BOTH</v>
      </c>
      <c r="AD940" s="9">
        <f>IF(AC940="BOTH",ROUND(Y940-Z940,2),0)</f>
        <v>0</v>
      </c>
    </row>
    <row r="941">
      <c r="A941" t="inlineStr">
        <is>
          <t>G00937</t>
        </is>
      </c>
      <c r="B941" t="inlineStr">
        <is>
          <t>OPS</t>
        </is>
      </c>
      <c r="C941" t="inlineStr">
        <is>
          <t>R09</t>
        </is>
      </c>
      <c r="D941" t="inlineStr">
        <is>
          <t>MATCH</t>
        </is>
      </c>
      <c r="E941" t="inlineStr">
        <is>
          <t>Oakbank Recycling</t>
        </is>
      </c>
      <c r="F941" t="n">
        <v>1</v>
      </c>
      <c r="G941" t="inlineStr">
        <is>
          <t>Reference INV/2026/03454</t>
        </is>
      </c>
      <c r="H941">
        <f>COUNTIFS('Bank Lines'!$G$5:$G$1640,A941,'Bank Lines'!$J$5:$J$1640,1)</f>
        <v>1</v>
      </c>
      <c r="I941">
        <f>COUNTIFS('Odoo Items'!$J$5:$J$4331,A941)</f>
        <v>1</v>
      </c>
      <c r="J941" s="9">
        <f>ROUND(SUMIFS('Bank Lines'!$E$5:$E$1640,'Bank Lines'!$G$5:$G$1640,A941,'Bank Lines'!$J$5:$J$1640,1),2)</f>
        <v>2640</v>
      </c>
      <c r="K941" s="9">
        <f>ROUND(SUMIFS('Odoo Items'!$G$5:$G$4331,'Odoo Items'!$J$5:$J$4331,A941),2)</f>
        <v>2640</v>
      </c>
      <c r="L941" s="9">
        <f>ROUND(J941-K941,2)</f>
        <v>0</v>
      </c>
      <c r="M941" s="9">
        <f>ROUND(SUMIFS('Bank Lines'!$E$5:$E$1640,'Bank Lines'!$G$5:$G$1640,A941,'Bank Lines'!$J$5:$J$1640,1,'Bank Lines'!$C$5:$C$1640,"&lt;="&amp;Cover!$C$13),2)</f>
        <v>2640</v>
      </c>
      <c r="N941" s="9">
        <f>ROUND(SUMIFS('Odoo Items'!$G$5:$G$4331,'Odoo Items'!$J$5:$J$4331,A941,'Odoo Items'!$C$5:$C$4331,"&lt;="&amp;Cover!$C$13),2)</f>
        <v>2640</v>
      </c>
      <c r="O941">
        <f>COUNTIFS('Bank Lines'!$G$5:$G$1640,A941,'Bank Lines'!$J$5:$J$1640,1,'Bank Lines'!$C$5:$C$1640,"&lt;="&amp;Cover!$C$13)</f>
        <v>1</v>
      </c>
      <c r="P941">
        <f>COUNTIFS('Odoo Items'!$J$5:$J$4331,A941,'Odoo Items'!$C$5:$C$4331,"&lt;="&amp;Cover!$C$13)</f>
        <v>1</v>
      </c>
      <c r="Q941" t="str">
        <f>IF(AND(O941=0,P941=0),"",IF(O941=0,"ODOO-ONLY",IF(P941=0,"BANK-ONLY","BOTH")))</f>
        <v>BOTH</v>
      </c>
      <c r="R941" s="9">
        <f>IF(Q941="BOTH",ROUND(M941-N941,2),0)</f>
        <v>0</v>
      </c>
      <c r="S941" s="9">
        <f>ROUND(SUMIFS('Bank Lines'!$E$5:$E$1640,'Bank Lines'!$G$5:$G$1640,A941,'Bank Lines'!$J$5:$J$1640,1,'Bank Lines'!$C$5:$C$1640,"&lt;="&amp;Cover!$C$14),2)</f>
        <v>2640</v>
      </c>
      <c r="T941" s="9">
        <f>ROUND(SUMIFS('Odoo Items'!$G$5:$G$4331,'Odoo Items'!$J$5:$J$4331,A941,'Odoo Items'!$C$5:$C$4331,"&lt;="&amp;Cover!$C$14),2)</f>
        <v>2640</v>
      </c>
      <c r="U941">
        <f>COUNTIFS('Bank Lines'!$G$5:$G$1640,A941,'Bank Lines'!$J$5:$J$1640,1,'Bank Lines'!$C$5:$C$1640,"&lt;="&amp;Cover!$C$14)</f>
        <v>1</v>
      </c>
      <c r="V941">
        <f>COUNTIFS('Odoo Items'!$J$5:$J$4331,A941,'Odoo Items'!$C$5:$C$4331,"&lt;="&amp;Cover!$C$14)</f>
        <v>1</v>
      </c>
      <c r="W941" t="str">
        <f>IF(AND(U941=0,V941=0),"",IF(U941=0,"ODOO-ONLY",IF(V941=0,"BANK-ONLY","BOTH")))</f>
        <v>BOTH</v>
      </c>
      <c r="X941" s="9">
        <f>IF(W941="BOTH",ROUND(S941-T941,2),0)</f>
        <v>0</v>
      </c>
      <c r="Y941" s="9">
        <f>ROUND(SUMIFS('Bank Lines'!$E$5:$E$1640,'Bank Lines'!$G$5:$G$1640,A941,'Bank Lines'!$J$5:$J$1640,1,'Bank Lines'!$C$5:$C$1640,"&lt;="&amp;Cover!$C$15),2)</f>
        <v>2640</v>
      </c>
      <c r="Z941" s="9">
        <f>ROUND(SUMIFS('Odoo Items'!$G$5:$G$4331,'Odoo Items'!$J$5:$J$4331,A941,'Odoo Items'!$C$5:$C$4331,"&lt;="&amp;Cover!$C$15),2)</f>
        <v>2640</v>
      </c>
      <c r="AA941">
        <f>COUNTIFS('Bank Lines'!$G$5:$G$1640,A941,'Bank Lines'!$J$5:$J$1640,1,'Bank Lines'!$C$5:$C$1640,"&lt;="&amp;Cover!$C$15)</f>
        <v>1</v>
      </c>
      <c r="AB941">
        <f>COUNTIFS('Odoo Items'!$J$5:$J$4331,A941,'Odoo Items'!$C$5:$C$4331,"&lt;="&amp;Cover!$C$15)</f>
        <v>1</v>
      </c>
      <c r="AC941" t="str">
        <f>IF(AND(AA941=0,AB941=0),"",IF(AA941=0,"ODOO-ONLY",IF(AB941=0,"BANK-ONLY","BOTH")))</f>
        <v>BOTH</v>
      </c>
      <c r="AD941" s="9">
        <f>IF(AC941="BOTH",ROUND(Y941-Z941,2),0)</f>
        <v>0</v>
      </c>
    </row>
    <row r="942">
      <c r="A942" t="inlineStr">
        <is>
          <t>G00938</t>
        </is>
      </c>
      <c r="B942" t="inlineStr">
        <is>
          <t>OPS</t>
        </is>
      </c>
      <c r="C942" t="inlineStr">
        <is>
          <t>R09</t>
        </is>
      </c>
      <c r="D942" t="inlineStr">
        <is>
          <t>MATCH</t>
        </is>
      </c>
      <c r="E942" t="inlineStr">
        <is>
          <t>Stanhope Trucking</t>
        </is>
      </c>
      <c r="F942" t="n">
        <v>1</v>
      </c>
      <c r="G942" t="inlineStr">
        <is>
          <t>Reference INV/2026/03460</t>
        </is>
      </c>
      <c r="H942">
        <f>COUNTIFS('Bank Lines'!$G$5:$G$1640,A942,'Bank Lines'!$J$5:$J$1640,1)</f>
        <v>1</v>
      </c>
      <c r="I942">
        <f>COUNTIFS('Odoo Items'!$J$5:$J$4331,A942)</f>
        <v>1</v>
      </c>
      <c r="J942" s="9">
        <f>ROUND(SUMIFS('Bank Lines'!$E$5:$E$1640,'Bank Lines'!$G$5:$G$1640,A942,'Bank Lines'!$J$5:$J$1640,1),2)</f>
        <v>16032.5</v>
      </c>
      <c r="K942" s="9">
        <f>ROUND(SUMIFS('Odoo Items'!$G$5:$G$4331,'Odoo Items'!$J$5:$J$4331,A942),2)</f>
        <v>16032.5</v>
      </c>
      <c r="L942" s="9">
        <f>ROUND(J942-K942,2)</f>
        <v>0</v>
      </c>
      <c r="M942" s="9">
        <f>ROUND(SUMIFS('Bank Lines'!$E$5:$E$1640,'Bank Lines'!$G$5:$G$1640,A942,'Bank Lines'!$J$5:$J$1640,1,'Bank Lines'!$C$5:$C$1640,"&lt;="&amp;Cover!$C$13),2)</f>
        <v>16032.5</v>
      </c>
      <c r="N942" s="9">
        <f>ROUND(SUMIFS('Odoo Items'!$G$5:$G$4331,'Odoo Items'!$J$5:$J$4331,A942,'Odoo Items'!$C$5:$C$4331,"&lt;="&amp;Cover!$C$13),2)</f>
        <v>16032.5</v>
      </c>
      <c r="O942">
        <f>COUNTIFS('Bank Lines'!$G$5:$G$1640,A942,'Bank Lines'!$J$5:$J$1640,1,'Bank Lines'!$C$5:$C$1640,"&lt;="&amp;Cover!$C$13)</f>
        <v>1</v>
      </c>
      <c r="P942">
        <f>COUNTIFS('Odoo Items'!$J$5:$J$4331,A942,'Odoo Items'!$C$5:$C$4331,"&lt;="&amp;Cover!$C$13)</f>
        <v>1</v>
      </c>
      <c r="Q942" t="str">
        <f>IF(AND(O942=0,P942=0),"",IF(O942=0,"ODOO-ONLY",IF(P942=0,"BANK-ONLY","BOTH")))</f>
        <v>BOTH</v>
      </c>
      <c r="R942" s="9">
        <f>IF(Q942="BOTH",ROUND(M942-N942,2),0)</f>
        <v>0</v>
      </c>
      <c r="S942" s="9">
        <f>ROUND(SUMIFS('Bank Lines'!$E$5:$E$1640,'Bank Lines'!$G$5:$G$1640,A942,'Bank Lines'!$J$5:$J$1640,1,'Bank Lines'!$C$5:$C$1640,"&lt;="&amp;Cover!$C$14),2)</f>
        <v>16032.5</v>
      </c>
      <c r="T942" s="9">
        <f>ROUND(SUMIFS('Odoo Items'!$G$5:$G$4331,'Odoo Items'!$J$5:$J$4331,A942,'Odoo Items'!$C$5:$C$4331,"&lt;="&amp;Cover!$C$14),2)</f>
        <v>16032.5</v>
      </c>
      <c r="U942">
        <f>COUNTIFS('Bank Lines'!$G$5:$G$1640,A942,'Bank Lines'!$J$5:$J$1640,1,'Bank Lines'!$C$5:$C$1640,"&lt;="&amp;Cover!$C$14)</f>
        <v>1</v>
      </c>
      <c r="V942">
        <f>COUNTIFS('Odoo Items'!$J$5:$J$4331,A942,'Odoo Items'!$C$5:$C$4331,"&lt;="&amp;Cover!$C$14)</f>
        <v>1</v>
      </c>
      <c r="W942" t="str">
        <f>IF(AND(U942=0,V942=0),"",IF(U942=0,"ODOO-ONLY",IF(V942=0,"BANK-ONLY","BOTH")))</f>
        <v>BOTH</v>
      </c>
      <c r="X942" s="9">
        <f>IF(W942="BOTH",ROUND(S942-T942,2),0)</f>
        <v>0</v>
      </c>
      <c r="Y942" s="9">
        <f>ROUND(SUMIFS('Bank Lines'!$E$5:$E$1640,'Bank Lines'!$G$5:$G$1640,A942,'Bank Lines'!$J$5:$J$1640,1,'Bank Lines'!$C$5:$C$1640,"&lt;="&amp;Cover!$C$15),2)</f>
        <v>16032.5</v>
      </c>
      <c r="Z942" s="9">
        <f>ROUND(SUMIFS('Odoo Items'!$G$5:$G$4331,'Odoo Items'!$J$5:$J$4331,A942,'Odoo Items'!$C$5:$C$4331,"&lt;="&amp;Cover!$C$15),2)</f>
        <v>16032.5</v>
      </c>
      <c r="AA942">
        <f>COUNTIFS('Bank Lines'!$G$5:$G$1640,A942,'Bank Lines'!$J$5:$J$1640,1,'Bank Lines'!$C$5:$C$1640,"&lt;="&amp;Cover!$C$15)</f>
        <v>1</v>
      </c>
      <c r="AB942">
        <f>COUNTIFS('Odoo Items'!$J$5:$J$4331,A942,'Odoo Items'!$C$5:$C$4331,"&lt;="&amp;Cover!$C$15)</f>
        <v>1</v>
      </c>
      <c r="AC942" t="str">
        <f>IF(AND(AA942=0,AB942=0),"",IF(AA942=0,"ODOO-ONLY",IF(AB942=0,"BANK-ONLY","BOTH")))</f>
        <v>BOTH</v>
      </c>
      <c r="AD942" s="9">
        <f>IF(AC942="BOTH",ROUND(Y942-Z942,2),0)</f>
        <v>0</v>
      </c>
    </row>
    <row r="943">
      <c r="A943" t="inlineStr">
        <is>
          <t>G00939</t>
        </is>
      </c>
      <c r="B943" t="inlineStr">
        <is>
          <t>OPS</t>
        </is>
      </c>
      <c r="C943" t="inlineStr">
        <is>
          <t>R09</t>
        </is>
      </c>
      <c r="D943" t="inlineStr">
        <is>
          <t>MATCH</t>
        </is>
      </c>
      <c r="E943" t="inlineStr">
        <is>
          <t>Unity Workcover Agents</t>
        </is>
      </c>
      <c r="F943" t="n">
        <v>1</v>
      </c>
      <c r="G943" t="inlineStr">
        <is>
          <t>Reference INV/2026/01793</t>
        </is>
      </c>
      <c r="H943">
        <f>COUNTIFS('Bank Lines'!$G$5:$G$1640,A943,'Bank Lines'!$J$5:$J$1640,1)</f>
        <v>1</v>
      </c>
      <c r="I943">
        <f>COUNTIFS('Odoo Items'!$J$5:$J$4331,A943)</f>
        <v>1</v>
      </c>
      <c r="J943" s="9">
        <f>ROUND(SUMIFS('Bank Lines'!$E$5:$E$1640,'Bank Lines'!$G$5:$G$1640,A943,'Bank Lines'!$J$5:$J$1640,1),2)</f>
        <v>412.5</v>
      </c>
      <c r="K943" s="9">
        <f>ROUND(SUMIFS('Odoo Items'!$G$5:$G$4331,'Odoo Items'!$J$5:$J$4331,A943),2)</f>
        <v>412.5</v>
      </c>
      <c r="L943" s="9">
        <f>ROUND(J943-K943,2)</f>
        <v>0</v>
      </c>
      <c r="M943" s="9">
        <f>ROUND(SUMIFS('Bank Lines'!$E$5:$E$1640,'Bank Lines'!$G$5:$G$1640,A943,'Bank Lines'!$J$5:$J$1640,1,'Bank Lines'!$C$5:$C$1640,"&lt;="&amp;Cover!$C$13),2)</f>
        <v>412.5</v>
      </c>
      <c r="N943" s="9">
        <f>ROUND(SUMIFS('Odoo Items'!$G$5:$G$4331,'Odoo Items'!$J$5:$J$4331,A943,'Odoo Items'!$C$5:$C$4331,"&lt;="&amp;Cover!$C$13),2)</f>
        <v>412.5</v>
      </c>
      <c r="O943">
        <f>COUNTIFS('Bank Lines'!$G$5:$G$1640,A943,'Bank Lines'!$J$5:$J$1640,1,'Bank Lines'!$C$5:$C$1640,"&lt;="&amp;Cover!$C$13)</f>
        <v>1</v>
      </c>
      <c r="P943">
        <f>COUNTIFS('Odoo Items'!$J$5:$J$4331,A943,'Odoo Items'!$C$5:$C$4331,"&lt;="&amp;Cover!$C$13)</f>
        <v>1</v>
      </c>
      <c r="Q943" t="str">
        <f>IF(AND(O943=0,P943=0),"",IF(O943=0,"ODOO-ONLY",IF(P943=0,"BANK-ONLY","BOTH")))</f>
        <v>BOTH</v>
      </c>
      <c r="R943" s="9">
        <f>IF(Q943="BOTH",ROUND(M943-N943,2),0)</f>
        <v>0</v>
      </c>
      <c r="S943" s="9">
        <f>ROUND(SUMIFS('Bank Lines'!$E$5:$E$1640,'Bank Lines'!$G$5:$G$1640,A943,'Bank Lines'!$J$5:$J$1640,1,'Bank Lines'!$C$5:$C$1640,"&lt;="&amp;Cover!$C$14),2)</f>
        <v>412.5</v>
      </c>
      <c r="T943" s="9">
        <f>ROUND(SUMIFS('Odoo Items'!$G$5:$G$4331,'Odoo Items'!$J$5:$J$4331,A943,'Odoo Items'!$C$5:$C$4331,"&lt;="&amp;Cover!$C$14),2)</f>
        <v>412.5</v>
      </c>
      <c r="U943">
        <f>COUNTIFS('Bank Lines'!$G$5:$G$1640,A943,'Bank Lines'!$J$5:$J$1640,1,'Bank Lines'!$C$5:$C$1640,"&lt;="&amp;Cover!$C$14)</f>
        <v>1</v>
      </c>
      <c r="V943">
        <f>COUNTIFS('Odoo Items'!$J$5:$J$4331,A943,'Odoo Items'!$C$5:$C$4331,"&lt;="&amp;Cover!$C$14)</f>
        <v>1</v>
      </c>
      <c r="W943" t="str">
        <f>IF(AND(U943=0,V943=0),"",IF(U943=0,"ODOO-ONLY",IF(V943=0,"BANK-ONLY","BOTH")))</f>
        <v>BOTH</v>
      </c>
      <c r="X943" s="9">
        <f>IF(W943="BOTH",ROUND(S943-T943,2),0)</f>
        <v>0</v>
      </c>
      <c r="Y943" s="9">
        <f>ROUND(SUMIFS('Bank Lines'!$E$5:$E$1640,'Bank Lines'!$G$5:$G$1640,A943,'Bank Lines'!$J$5:$J$1640,1,'Bank Lines'!$C$5:$C$1640,"&lt;="&amp;Cover!$C$15),2)</f>
        <v>412.5</v>
      </c>
      <c r="Z943" s="9">
        <f>ROUND(SUMIFS('Odoo Items'!$G$5:$G$4331,'Odoo Items'!$J$5:$J$4331,A943,'Odoo Items'!$C$5:$C$4331,"&lt;="&amp;Cover!$C$15),2)</f>
        <v>412.5</v>
      </c>
      <c r="AA943">
        <f>COUNTIFS('Bank Lines'!$G$5:$G$1640,A943,'Bank Lines'!$J$5:$J$1640,1,'Bank Lines'!$C$5:$C$1640,"&lt;="&amp;Cover!$C$15)</f>
        <v>1</v>
      </c>
      <c r="AB943">
        <f>COUNTIFS('Odoo Items'!$J$5:$J$4331,A943,'Odoo Items'!$C$5:$C$4331,"&lt;="&amp;Cover!$C$15)</f>
        <v>1</v>
      </c>
      <c r="AC943" t="str">
        <f>IF(AND(AA943=0,AB943=0),"",IF(AA943=0,"ODOO-ONLY",IF(AB943=0,"BANK-ONLY","BOTH")))</f>
        <v>BOTH</v>
      </c>
      <c r="AD943" s="9">
        <f>IF(AC943="BOTH",ROUND(Y943-Z943,2),0)</f>
        <v>0</v>
      </c>
    </row>
    <row r="944">
      <c r="A944" t="inlineStr">
        <is>
          <t>G00940</t>
        </is>
      </c>
      <c r="B944" t="inlineStr">
        <is>
          <t>OPS</t>
        </is>
      </c>
      <c r="C944" t="inlineStr">
        <is>
          <t>R09</t>
        </is>
      </c>
      <c r="D944" t="inlineStr">
        <is>
          <t>MATCH</t>
        </is>
      </c>
      <c r="E944" t="inlineStr">
        <is>
          <t>Orchard Street Legal</t>
        </is>
      </c>
      <c r="F944" t="n">
        <v>1</v>
      </c>
      <c r="G944" t="inlineStr">
        <is>
          <t>Reference INV/2026/03414</t>
        </is>
      </c>
      <c r="H944">
        <f>COUNTIFS('Bank Lines'!$G$5:$G$1640,A944,'Bank Lines'!$J$5:$J$1640,1)</f>
        <v>1</v>
      </c>
      <c r="I944">
        <f>COUNTIFS('Odoo Items'!$J$5:$J$4331,A944)</f>
        <v>1</v>
      </c>
      <c r="J944" s="9">
        <f>ROUND(SUMIFS('Bank Lines'!$E$5:$E$1640,'Bank Lines'!$G$5:$G$1640,A944,'Bank Lines'!$J$5:$J$1640,1),2)</f>
        <v>3547.5</v>
      </c>
      <c r="K944" s="9">
        <f>ROUND(SUMIFS('Odoo Items'!$G$5:$G$4331,'Odoo Items'!$J$5:$J$4331,A944),2)</f>
        <v>3547.5</v>
      </c>
      <c r="L944" s="9">
        <f>ROUND(J944-K944,2)</f>
        <v>0</v>
      </c>
      <c r="M944" s="9">
        <f>ROUND(SUMIFS('Bank Lines'!$E$5:$E$1640,'Bank Lines'!$G$5:$G$1640,A944,'Bank Lines'!$J$5:$J$1640,1,'Bank Lines'!$C$5:$C$1640,"&lt;="&amp;Cover!$C$13),2)</f>
        <v>3547.5</v>
      </c>
      <c r="N944" s="9">
        <f>ROUND(SUMIFS('Odoo Items'!$G$5:$G$4331,'Odoo Items'!$J$5:$J$4331,A944,'Odoo Items'!$C$5:$C$4331,"&lt;="&amp;Cover!$C$13),2)</f>
        <v>3547.5</v>
      </c>
      <c r="O944">
        <f>COUNTIFS('Bank Lines'!$G$5:$G$1640,A944,'Bank Lines'!$J$5:$J$1640,1,'Bank Lines'!$C$5:$C$1640,"&lt;="&amp;Cover!$C$13)</f>
        <v>1</v>
      </c>
      <c r="P944">
        <f>COUNTIFS('Odoo Items'!$J$5:$J$4331,A944,'Odoo Items'!$C$5:$C$4331,"&lt;="&amp;Cover!$C$13)</f>
        <v>1</v>
      </c>
      <c r="Q944" t="str">
        <f>IF(AND(O944=0,P944=0),"",IF(O944=0,"ODOO-ONLY",IF(P944=0,"BANK-ONLY","BOTH")))</f>
        <v>BOTH</v>
      </c>
      <c r="R944" s="9">
        <f>IF(Q944="BOTH",ROUND(M944-N944,2),0)</f>
        <v>0</v>
      </c>
      <c r="S944" s="9">
        <f>ROUND(SUMIFS('Bank Lines'!$E$5:$E$1640,'Bank Lines'!$G$5:$G$1640,A944,'Bank Lines'!$J$5:$J$1640,1,'Bank Lines'!$C$5:$C$1640,"&lt;="&amp;Cover!$C$14),2)</f>
        <v>3547.5</v>
      </c>
      <c r="T944" s="9">
        <f>ROUND(SUMIFS('Odoo Items'!$G$5:$G$4331,'Odoo Items'!$J$5:$J$4331,A944,'Odoo Items'!$C$5:$C$4331,"&lt;="&amp;Cover!$C$14),2)</f>
        <v>3547.5</v>
      </c>
      <c r="U944">
        <f>COUNTIFS('Bank Lines'!$G$5:$G$1640,A944,'Bank Lines'!$J$5:$J$1640,1,'Bank Lines'!$C$5:$C$1640,"&lt;="&amp;Cover!$C$14)</f>
        <v>1</v>
      </c>
      <c r="V944">
        <f>COUNTIFS('Odoo Items'!$J$5:$J$4331,A944,'Odoo Items'!$C$5:$C$4331,"&lt;="&amp;Cover!$C$14)</f>
        <v>1</v>
      </c>
      <c r="W944" t="str">
        <f>IF(AND(U944=0,V944=0),"",IF(U944=0,"ODOO-ONLY",IF(V944=0,"BANK-ONLY","BOTH")))</f>
        <v>BOTH</v>
      </c>
      <c r="X944" s="9">
        <f>IF(W944="BOTH",ROUND(S944-T944,2),0)</f>
        <v>0</v>
      </c>
      <c r="Y944" s="9">
        <f>ROUND(SUMIFS('Bank Lines'!$E$5:$E$1640,'Bank Lines'!$G$5:$G$1640,A944,'Bank Lines'!$J$5:$J$1640,1,'Bank Lines'!$C$5:$C$1640,"&lt;="&amp;Cover!$C$15),2)</f>
        <v>3547.5</v>
      </c>
      <c r="Z944" s="9">
        <f>ROUND(SUMIFS('Odoo Items'!$G$5:$G$4331,'Odoo Items'!$J$5:$J$4331,A944,'Odoo Items'!$C$5:$C$4331,"&lt;="&amp;Cover!$C$15),2)</f>
        <v>3547.5</v>
      </c>
      <c r="AA944">
        <f>COUNTIFS('Bank Lines'!$G$5:$G$1640,A944,'Bank Lines'!$J$5:$J$1640,1,'Bank Lines'!$C$5:$C$1640,"&lt;="&amp;Cover!$C$15)</f>
        <v>1</v>
      </c>
      <c r="AB944">
        <f>COUNTIFS('Odoo Items'!$J$5:$J$4331,A944,'Odoo Items'!$C$5:$C$4331,"&lt;="&amp;Cover!$C$15)</f>
        <v>1</v>
      </c>
      <c r="AC944" t="str">
        <f>IF(AND(AA944=0,AB944=0),"",IF(AA944=0,"ODOO-ONLY",IF(AB944=0,"BANK-ONLY","BOTH")))</f>
        <v>BOTH</v>
      </c>
      <c r="AD944" s="9">
        <f>IF(AC944="BOTH",ROUND(Y944-Z944,2),0)</f>
        <v>0</v>
      </c>
    </row>
    <row r="945">
      <c r="A945" t="inlineStr">
        <is>
          <t>G00941</t>
        </is>
      </c>
      <c r="B945" t="inlineStr">
        <is>
          <t>OPS</t>
        </is>
      </c>
      <c r="C945" t="inlineStr">
        <is>
          <t>R09</t>
        </is>
      </c>
      <c r="D945" t="inlineStr">
        <is>
          <t>MATCH</t>
        </is>
      </c>
      <c r="E945" t="inlineStr">
        <is>
          <t>Quillon Engineering</t>
        </is>
      </c>
      <c r="F945" t="n">
        <v>1</v>
      </c>
      <c r="G945" t="inlineStr">
        <is>
          <t>Reference INV/2026/03428</t>
        </is>
      </c>
      <c r="H945">
        <f>COUNTIFS('Bank Lines'!$G$5:$G$1640,A945,'Bank Lines'!$J$5:$J$1640,1)</f>
        <v>1</v>
      </c>
      <c r="I945">
        <f>COUNTIFS('Odoo Items'!$J$5:$J$4331,A945)</f>
        <v>1</v>
      </c>
      <c r="J945" s="9">
        <f>ROUND(SUMIFS('Bank Lines'!$E$5:$E$1640,'Bank Lines'!$G$5:$G$1640,A945,'Bank Lines'!$J$5:$J$1640,1),2)</f>
        <v>5280</v>
      </c>
      <c r="K945" s="9">
        <f>ROUND(SUMIFS('Odoo Items'!$G$5:$G$4331,'Odoo Items'!$J$5:$J$4331,A945),2)</f>
        <v>5280</v>
      </c>
      <c r="L945" s="9">
        <f>ROUND(J945-K945,2)</f>
        <v>0</v>
      </c>
      <c r="M945" s="9">
        <f>ROUND(SUMIFS('Bank Lines'!$E$5:$E$1640,'Bank Lines'!$G$5:$G$1640,A945,'Bank Lines'!$J$5:$J$1640,1,'Bank Lines'!$C$5:$C$1640,"&lt;="&amp;Cover!$C$13),2)</f>
        <v>5280</v>
      </c>
      <c r="N945" s="9">
        <f>ROUND(SUMIFS('Odoo Items'!$G$5:$G$4331,'Odoo Items'!$J$5:$J$4331,A945,'Odoo Items'!$C$5:$C$4331,"&lt;="&amp;Cover!$C$13),2)</f>
        <v>5280</v>
      </c>
      <c r="O945">
        <f>COUNTIFS('Bank Lines'!$G$5:$G$1640,A945,'Bank Lines'!$J$5:$J$1640,1,'Bank Lines'!$C$5:$C$1640,"&lt;="&amp;Cover!$C$13)</f>
        <v>1</v>
      </c>
      <c r="P945">
        <f>COUNTIFS('Odoo Items'!$J$5:$J$4331,A945,'Odoo Items'!$C$5:$C$4331,"&lt;="&amp;Cover!$C$13)</f>
        <v>1</v>
      </c>
      <c r="Q945" t="str">
        <f>IF(AND(O945=0,P945=0),"",IF(O945=0,"ODOO-ONLY",IF(P945=0,"BANK-ONLY","BOTH")))</f>
        <v>BOTH</v>
      </c>
      <c r="R945" s="9">
        <f>IF(Q945="BOTH",ROUND(M945-N945,2),0)</f>
        <v>0</v>
      </c>
      <c r="S945" s="9">
        <f>ROUND(SUMIFS('Bank Lines'!$E$5:$E$1640,'Bank Lines'!$G$5:$G$1640,A945,'Bank Lines'!$J$5:$J$1640,1,'Bank Lines'!$C$5:$C$1640,"&lt;="&amp;Cover!$C$14),2)</f>
        <v>5280</v>
      </c>
      <c r="T945" s="9">
        <f>ROUND(SUMIFS('Odoo Items'!$G$5:$G$4331,'Odoo Items'!$J$5:$J$4331,A945,'Odoo Items'!$C$5:$C$4331,"&lt;="&amp;Cover!$C$14),2)</f>
        <v>5280</v>
      </c>
      <c r="U945">
        <f>COUNTIFS('Bank Lines'!$G$5:$G$1640,A945,'Bank Lines'!$J$5:$J$1640,1,'Bank Lines'!$C$5:$C$1640,"&lt;="&amp;Cover!$C$14)</f>
        <v>1</v>
      </c>
      <c r="V945">
        <f>COUNTIFS('Odoo Items'!$J$5:$J$4331,A945,'Odoo Items'!$C$5:$C$4331,"&lt;="&amp;Cover!$C$14)</f>
        <v>1</v>
      </c>
      <c r="W945" t="str">
        <f>IF(AND(U945=0,V945=0),"",IF(U945=0,"ODOO-ONLY",IF(V945=0,"BANK-ONLY","BOTH")))</f>
        <v>BOTH</v>
      </c>
      <c r="X945" s="9">
        <f>IF(W945="BOTH",ROUND(S945-T945,2),0)</f>
        <v>0</v>
      </c>
      <c r="Y945" s="9">
        <f>ROUND(SUMIFS('Bank Lines'!$E$5:$E$1640,'Bank Lines'!$G$5:$G$1640,A945,'Bank Lines'!$J$5:$J$1640,1,'Bank Lines'!$C$5:$C$1640,"&lt;="&amp;Cover!$C$15),2)</f>
        <v>5280</v>
      </c>
      <c r="Z945" s="9">
        <f>ROUND(SUMIFS('Odoo Items'!$G$5:$G$4331,'Odoo Items'!$J$5:$J$4331,A945,'Odoo Items'!$C$5:$C$4331,"&lt;="&amp;Cover!$C$15),2)</f>
        <v>5280</v>
      </c>
      <c r="AA945">
        <f>COUNTIFS('Bank Lines'!$G$5:$G$1640,A945,'Bank Lines'!$J$5:$J$1640,1,'Bank Lines'!$C$5:$C$1640,"&lt;="&amp;Cover!$C$15)</f>
        <v>1</v>
      </c>
      <c r="AB945">
        <f>COUNTIFS('Odoo Items'!$J$5:$J$4331,A945,'Odoo Items'!$C$5:$C$4331,"&lt;="&amp;Cover!$C$15)</f>
        <v>1</v>
      </c>
      <c r="AC945" t="str">
        <f>IF(AND(AA945=0,AB945=0),"",IF(AA945=0,"ODOO-ONLY",IF(AB945=0,"BANK-ONLY","BOTH")))</f>
        <v>BOTH</v>
      </c>
      <c r="AD945" s="9">
        <f>IF(AC945="BOTH",ROUND(Y945-Z945,2),0)</f>
        <v>0</v>
      </c>
    </row>
    <row r="946">
      <c r="A946" t="inlineStr">
        <is>
          <t>G00942</t>
        </is>
      </c>
      <c r="B946" t="inlineStr">
        <is>
          <t>OPS</t>
        </is>
      </c>
      <c r="C946" t="inlineStr">
        <is>
          <t>R09</t>
        </is>
      </c>
      <c r="D946" t="inlineStr">
        <is>
          <t>MATCH</t>
        </is>
      </c>
      <c r="E946" t="inlineStr">
        <is>
          <t>Talisker Mining Services</t>
        </is>
      </c>
      <c r="F946" t="n">
        <v>1</v>
      </c>
      <c r="G946" t="inlineStr">
        <is>
          <t>Reference INV/2026/03434</t>
        </is>
      </c>
      <c r="H946">
        <f>COUNTIFS('Bank Lines'!$G$5:$G$1640,A946,'Bank Lines'!$J$5:$J$1640,1)</f>
        <v>1</v>
      </c>
      <c r="I946">
        <f>COUNTIFS('Odoo Items'!$J$5:$J$4331,A946)</f>
        <v>1</v>
      </c>
      <c r="J946" s="9">
        <f>ROUND(SUMIFS('Bank Lines'!$E$5:$E$1640,'Bank Lines'!$G$5:$G$1640,A946,'Bank Lines'!$J$5:$J$1640,1),2)</f>
        <v>1471.25</v>
      </c>
      <c r="K946" s="9">
        <f>ROUND(SUMIFS('Odoo Items'!$G$5:$G$4331,'Odoo Items'!$J$5:$J$4331,A946),2)</f>
        <v>1471.25</v>
      </c>
      <c r="L946" s="9">
        <f>ROUND(J946-K946,2)</f>
        <v>0</v>
      </c>
      <c r="M946" s="9">
        <f>ROUND(SUMIFS('Bank Lines'!$E$5:$E$1640,'Bank Lines'!$G$5:$G$1640,A946,'Bank Lines'!$J$5:$J$1640,1,'Bank Lines'!$C$5:$C$1640,"&lt;="&amp;Cover!$C$13),2)</f>
        <v>1471.25</v>
      </c>
      <c r="N946" s="9">
        <f>ROUND(SUMIFS('Odoo Items'!$G$5:$G$4331,'Odoo Items'!$J$5:$J$4331,A946,'Odoo Items'!$C$5:$C$4331,"&lt;="&amp;Cover!$C$13),2)</f>
        <v>1471.25</v>
      </c>
      <c r="O946">
        <f>COUNTIFS('Bank Lines'!$G$5:$G$1640,A946,'Bank Lines'!$J$5:$J$1640,1,'Bank Lines'!$C$5:$C$1640,"&lt;="&amp;Cover!$C$13)</f>
        <v>1</v>
      </c>
      <c r="P946">
        <f>COUNTIFS('Odoo Items'!$J$5:$J$4331,A946,'Odoo Items'!$C$5:$C$4331,"&lt;="&amp;Cover!$C$13)</f>
        <v>1</v>
      </c>
      <c r="Q946" t="str">
        <f>IF(AND(O946=0,P946=0),"",IF(O946=0,"ODOO-ONLY",IF(P946=0,"BANK-ONLY","BOTH")))</f>
        <v>BOTH</v>
      </c>
      <c r="R946" s="9">
        <f>IF(Q946="BOTH",ROUND(M946-N946,2),0)</f>
        <v>0</v>
      </c>
      <c r="S946" s="9">
        <f>ROUND(SUMIFS('Bank Lines'!$E$5:$E$1640,'Bank Lines'!$G$5:$G$1640,A946,'Bank Lines'!$J$5:$J$1640,1,'Bank Lines'!$C$5:$C$1640,"&lt;="&amp;Cover!$C$14),2)</f>
        <v>1471.25</v>
      </c>
      <c r="T946" s="9">
        <f>ROUND(SUMIFS('Odoo Items'!$G$5:$G$4331,'Odoo Items'!$J$5:$J$4331,A946,'Odoo Items'!$C$5:$C$4331,"&lt;="&amp;Cover!$C$14),2)</f>
        <v>1471.25</v>
      </c>
      <c r="U946">
        <f>COUNTIFS('Bank Lines'!$G$5:$G$1640,A946,'Bank Lines'!$J$5:$J$1640,1,'Bank Lines'!$C$5:$C$1640,"&lt;="&amp;Cover!$C$14)</f>
        <v>1</v>
      </c>
      <c r="V946">
        <f>COUNTIFS('Odoo Items'!$J$5:$J$4331,A946,'Odoo Items'!$C$5:$C$4331,"&lt;="&amp;Cover!$C$14)</f>
        <v>1</v>
      </c>
      <c r="W946" t="str">
        <f>IF(AND(U946=0,V946=0),"",IF(U946=0,"ODOO-ONLY",IF(V946=0,"BANK-ONLY","BOTH")))</f>
        <v>BOTH</v>
      </c>
      <c r="X946" s="9">
        <f>IF(W946="BOTH",ROUND(S946-T946,2),0)</f>
        <v>0</v>
      </c>
      <c r="Y946" s="9">
        <f>ROUND(SUMIFS('Bank Lines'!$E$5:$E$1640,'Bank Lines'!$G$5:$G$1640,A946,'Bank Lines'!$J$5:$J$1640,1,'Bank Lines'!$C$5:$C$1640,"&lt;="&amp;Cover!$C$15),2)</f>
        <v>1471.25</v>
      </c>
      <c r="Z946" s="9">
        <f>ROUND(SUMIFS('Odoo Items'!$G$5:$G$4331,'Odoo Items'!$J$5:$J$4331,A946,'Odoo Items'!$C$5:$C$4331,"&lt;="&amp;Cover!$C$15),2)</f>
        <v>1471.25</v>
      </c>
      <c r="AA946">
        <f>COUNTIFS('Bank Lines'!$G$5:$G$1640,A946,'Bank Lines'!$J$5:$J$1640,1,'Bank Lines'!$C$5:$C$1640,"&lt;="&amp;Cover!$C$15)</f>
        <v>1</v>
      </c>
      <c r="AB946">
        <f>COUNTIFS('Odoo Items'!$J$5:$J$4331,A946,'Odoo Items'!$C$5:$C$4331,"&lt;="&amp;Cover!$C$15)</f>
        <v>1</v>
      </c>
      <c r="AC946" t="str">
        <f>IF(AND(AA946=0,AB946=0),"",IF(AA946=0,"ODOO-ONLY",IF(AB946=0,"BANK-ONLY","BOTH")))</f>
        <v>BOTH</v>
      </c>
      <c r="AD946" s="9">
        <f>IF(AC946="BOTH",ROUND(Y946-Z946,2),0)</f>
        <v>0</v>
      </c>
    </row>
    <row r="947">
      <c r="A947" t="inlineStr">
        <is>
          <t>G00943</t>
        </is>
      </c>
      <c r="B947" t="inlineStr">
        <is>
          <t>OPS</t>
        </is>
      </c>
      <c r="C947" t="inlineStr">
        <is>
          <t>R09</t>
        </is>
      </c>
      <c r="D947" t="inlineStr">
        <is>
          <t>MATCH</t>
        </is>
      </c>
      <c r="E947" t="inlineStr">
        <is>
          <t>Ostrander Manufacturing</t>
        </is>
      </c>
      <c r="F947" t="n">
        <v>1</v>
      </c>
      <c r="G947" t="inlineStr">
        <is>
          <t>Reference INV/2026/03419</t>
        </is>
      </c>
      <c r="H947">
        <f>COUNTIFS('Bank Lines'!$G$5:$G$1640,A947,'Bank Lines'!$J$5:$J$1640,1)</f>
        <v>1</v>
      </c>
      <c r="I947">
        <f>COUNTIFS('Odoo Items'!$J$5:$J$4331,A947)</f>
        <v>1</v>
      </c>
      <c r="J947" s="9">
        <f>ROUND(SUMIFS('Bank Lines'!$E$5:$E$1640,'Bank Lines'!$G$5:$G$1640,A947,'Bank Lines'!$J$5:$J$1640,1),2)</f>
        <v>6820</v>
      </c>
      <c r="K947" s="9">
        <f>ROUND(SUMIFS('Odoo Items'!$G$5:$G$4331,'Odoo Items'!$J$5:$J$4331,A947),2)</f>
        <v>6820</v>
      </c>
      <c r="L947" s="9">
        <f>ROUND(J947-K947,2)</f>
        <v>0</v>
      </c>
      <c r="M947" s="9">
        <f>ROUND(SUMIFS('Bank Lines'!$E$5:$E$1640,'Bank Lines'!$G$5:$G$1640,A947,'Bank Lines'!$J$5:$J$1640,1,'Bank Lines'!$C$5:$C$1640,"&lt;="&amp;Cover!$C$13),2)</f>
        <v>6820</v>
      </c>
      <c r="N947" s="9">
        <f>ROUND(SUMIFS('Odoo Items'!$G$5:$G$4331,'Odoo Items'!$J$5:$J$4331,A947,'Odoo Items'!$C$5:$C$4331,"&lt;="&amp;Cover!$C$13),2)</f>
        <v>6820</v>
      </c>
      <c r="O947">
        <f>COUNTIFS('Bank Lines'!$G$5:$G$1640,A947,'Bank Lines'!$J$5:$J$1640,1,'Bank Lines'!$C$5:$C$1640,"&lt;="&amp;Cover!$C$13)</f>
        <v>1</v>
      </c>
      <c r="P947">
        <f>COUNTIFS('Odoo Items'!$J$5:$J$4331,A947,'Odoo Items'!$C$5:$C$4331,"&lt;="&amp;Cover!$C$13)</f>
        <v>1</v>
      </c>
      <c r="Q947" t="str">
        <f>IF(AND(O947=0,P947=0),"",IF(O947=0,"ODOO-ONLY",IF(P947=0,"BANK-ONLY","BOTH")))</f>
        <v>BOTH</v>
      </c>
      <c r="R947" s="9">
        <f>IF(Q947="BOTH",ROUND(M947-N947,2),0)</f>
        <v>0</v>
      </c>
      <c r="S947" s="9">
        <f>ROUND(SUMIFS('Bank Lines'!$E$5:$E$1640,'Bank Lines'!$G$5:$G$1640,A947,'Bank Lines'!$J$5:$J$1640,1,'Bank Lines'!$C$5:$C$1640,"&lt;="&amp;Cover!$C$14),2)</f>
        <v>6820</v>
      </c>
      <c r="T947" s="9">
        <f>ROUND(SUMIFS('Odoo Items'!$G$5:$G$4331,'Odoo Items'!$J$5:$J$4331,A947,'Odoo Items'!$C$5:$C$4331,"&lt;="&amp;Cover!$C$14),2)</f>
        <v>6820</v>
      </c>
      <c r="U947">
        <f>COUNTIFS('Bank Lines'!$G$5:$G$1640,A947,'Bank Lines'!$J$5:$J$1640,1,'Bank Lines'!$C$5:$C$1640,"&lt;="&amp;Cover!$C$14)</f>
        <v>1</v>
      </c>
      <c r="V947">
        <f>COUNTIFS('Odoo Items'!$J$5:$J$4331,A947,'Odoo Items'!$C$5:$C$4331,"&lt;="&amp;Cover!$C$14)</f>
        <v>1</v>
      </c>
      <c r="W947" t="str">
        <f>IF(AND(U947=0,V947=0),"",IF(U947=0,"ODOO-ONLY",IF(V947=0,"BANK-ONLY","BOTH")))</f>
        <v>BOTH</v>
      </c>
      <c r="X947" s="9">
        <f>IF(W947="BOTH",ROUND(S947-T947,2),0)</f>
        <v>0</v>
      </c>
      <c r="Y947" s="9">
        <f>ROUND(SUMIFS('Bank Lines'!$E$5:$E$1640,'Bank Lines'!$G$5:$G$1640,A947,'Bank Lines'!$J$5:$J$1640,1,'Bank Lines'!$C$5:$C$1640,"&lt;="&amp;Cover!$C$15),2)</f>
        <v>6820</v>
      </c>
      <c r="Z947" s="9">
        <f>ROUND(SUMIFS('Odoo Items'!$G$5:$G$4331,'Odoo Items'!$J$5:$J$4331,A947,'Odoo Items'!$C$5:$C$4331,"&lt;="&amp;Cover!$C$15),2)</f>
        <v>6820</v>
      </c>
      <c r="AA947">
        <f>COUNTIFS('Bank Lines'!$G$5:$G$1640,A947,'Bank Lines'!$J$5:$J$1640,1,'Bank Lines'!$C$5:$C$1640,"&lt;="&amp;Cover!$C$15)</f>
        <v>1</v>
      </c>
      <c r="AB947">
        <f>COUNTIFS('Odoo Items'!$J$5:$J$4331,A947,'Odoo Items'!$C$5:$C$4331,"&lt;="&amp;Cover!$C$15)</f>
        <v>1</v>
      </c>
      <c r="AC947" t="str">
        <f>IF(AND(AA947=0,AB947=0),"",IF(AA947=0,"ODOO-ONLY",IF(AB947=0,"BANK-ONLY","BOTH")))</f>
        <v>BOTH</v>
      </c>
      <c r="AD947" s="9">
        <f>IF(AC947="BOTH",ROUND(Y947-Z947,2),0)</f>
        <v>0</v>
      </c>
    </row>
    <row r="948">
      <c r="A948" t="inlineStr">
        <is>
          <t>G00944</t>
        </is>
      </c>
      <c r="B948" t="inlineStr">
        <is>
          <t>OPS</t>
        </is>
      </c>
      <c r="C948" t="inlineStr">
        <is>
          <t>R09</t>
        </is>
      </c>
      <c r="D948" t="inlineStr">
        <is>
          <t>MATCH</t>
        </is>
      </c>
      <c r="E948" t="inlineStr">
        <is>
          <t>Daintree Packaging</t>
        </is>
      </c>
      <c r="F948" t="n">
        <v>1</v>
      </c>
      <c r="G948" t="inlineStr">
        <is>
          <t>Reference INV/2026/03441</t>
        </is>
      </c>
      <c r="H948">
        <f>COUNTIFS('Bank Lines'!$G$5:$G$1640,A948,'Bank Lines'!$J$5:$J$1640,1)</f>
        <v>1</v>
      </c>
      <c r="I948">
        <f>COUNTIFS('Odoo Items'!$J$5:$J$4331,A948)</f>
        <v>1</v>
      </c>
      <c r="J948" s="9">
        <f>ROUND(SUMIFS('Bank Lines'!$E$5:$E$1640,'Bank Lines'!$G$5:$G$1640,A948,'Bank Lines'!$J$5:$J$1640,1),2)</f>
        <v>5431.25</v>
      </c>
      <c r="K948" s="9">
        <f>ROUND(SUMIFS('Odoo Items'!$G$5:$G$4331,'Odoo Items'!$J$5:$J$4331,A948),2)</f>
        <v>5431.25</v>
      </c>
      <c r="L948" s="9">
        <f>ROUND(J948-K948,2)</f>
        <v>0</v>
      </c>
      <c r="M948" s="9">
        <f>ROUND(SUMIFS('Bank Lines'!$E$5:$E$1640,'Bank Lines'!$G$5:$G$1640,A948,'Bank Lines'!$J$5:$J$1640,1,'Bank Lines'!$C$5:$C$1640,"&lt;="&amp;Cover!$C$13),2)</f>
        <v>5431.25</v>
      </c>
      <c r="N948" s="9">
        <f>ROUND(SUMIFS('Odoo Items'!$G$5:$G$4331,'Odoo Items'!$J$5:$J$4331,A948,'Odoo Items'!$C$5:$C$4331,"&lt;="&amp;Cover!$C$13),2)</f>
        <v>5431.25</v>
      </c>
      <c r="O948">
        <f>COUNTIFS('Bank Lines'!$G$5:$G$1640,A948,'Bank Lines'!$J$5:$J$1640,1,'Bank Lines'!$C$5:$C$1640,"&lt;="&amp;Cover!$C$13)</f>
        <v>1</v>
      </c>
      <c r="P948">
        <f>COUNTIFS('Odoo Items'!$J$5:$J$4331,A948,'Odoo Items'!$C$5:$C$4331,"&lt;="&amp;Cover!$C$13)</f>
        <v>1</v>
      </c>
      <c r="Q948" t="str">
        <f>IF(AND(O948=0,P948=0),"",IF(O948=0,"ODOO-ONLY",IF(P948=0,"BANK-ONLY","BOTH")))</f>
        <v>BOTH</v>
      </c>
      <c r="R948" s="9">
        <f>IF(Q948="BOTH",ROUND(M948-N948,2),0)</f>
        <v>0</v>
      </c>
      <c r="S948" s="9">
        <f>ROUND(SUMIFS('Bank Lines'!$E$5:$E$1640,'Bank Lines'!$G$5:$G$1640,A948,'Bank Lines'!$J$5:$J$1640,1,'Bank Lines'!$C$5:$C$1640,"&lt;="&amp;Cover!$C$14),2)</f>
        <v>5431.25</v>
      </c>
      <c r="T948" s="9">
        <f>ROUND(SUMIFS('Odoo Items'!$G$5:$G$4331,'Odoo Items'!$J$5:$J$4331,A948,'Odoo Items'!$C$5:$C$4331,"&lt;="&amp;Cover!$C$14),2)</f>
        <v>5431.25</v>
      </c>
      <c r="U948">
        <f>COUNTIFS('Bank Lines'!$G$5:$G$1640,A948,'Bank Lines'!$J$5:$J$1640,1,'Bank Lines'!$C$5:$C$1640,"&lt;="&amp;Cover!$C$14)</f>
        <v>1</v>
      </c>
      <c r="V948">
        <f>COUNTIFS('Odoo Items'!$J$5:$J$4331,A948,'Odoo Items'!$C$5:$C$4331,"&lt;="&amp;Cover!$C$14)</f>
        <v>1</v>
      </c>
      <c r="W948" t="str">
        <f>IF(AND(U948=0,V948=0),"",IF(U948=0,"ODOO-ONLY",IF(V948=0,"BANK-ONLY","BOTH")))</f>
        <v>BOTH</v>
      </c>
      <c r="X948" s="9">
        <f>IF(W948="BOTH",ROUND(S948-T948,2),0)</f>
        <v>0</v>
      </c>
      <c r="Y948" s="9">
        <f>ROUND(SUMIFS('Bank Lines'!$E$5:$E$1640,'Bank Lines'!$G$5:$G$1640,A948,'Bank Lines'!$J$5:$J$1640,1,'Bank Lines'!$C$5:$C$1640,"&lt;="&amp;Cover!$C$15),2)</f>
        <v>5431.25</v>
      </c>
      <c r="Z948" s="9">
        <f>ROUND(SUMIFS('Odoo Items'!$G$5:$G$4331,'Odoo Items'!$J$5:$J$4331,A948,'Odoo Items'!$C$5:$C$4331,"&lt;="&amp;Cover!$C$15),2)</f>
        <v>5431.25</v>
      </c>
      <c r="AA948">
        <f>COUNTIFS('Bank Lines'!$G$5:$G$1640,A948,'Bank Lines'!$J$5:$J$1640,1,'Bank Lines'!$C$5:$C$1640,"&lt;="&amp;Cover!$C$15)</f>
        <v>1</v>
      </c>
      <c r="AB948">
        <f>COUNTIFS('Odoo Items'!$J$5:$J$4331,A948,'Odoo Items'!$C$5:$C$4331,"&lt;="&amp;Cover!$C$15)</f>
        <v>1</v>
      </c>
      <c r="AC948" t="str">
        <f>IF(AND(AA948=0,AB948=0),"",IF(AA948=0,"ODOO-ONLY",IF(AB948=0,"BANK-ONLY","BOTH")))</f>
        <v>BOTH</v>
      </c>
      <c r="AD948" s="9">
        <f>IF(AC948="BOTH",ROUND(Y948-Z948,2),0)</f>
        <v>0</v>
      </c>
    </row>
    <row r="949">
      <c r="A949" t="inlineStr">
        <is>
          <t>G00945</t>
        </is>
      </c>
      <c r="B949" t="inlineStr">
        <is>
          <t>OPS</t>
        </is>
      </c>
      <c r="C949" t="inlineStr">
        <is>
          <t>R09</t>
        </is>
      </c>
      <c r="D949" t="inlineStr">
        <is>
          <t>MATCH</t>
        </is>
      </c>
      <c r="E949" t="inlineStr">
        <is>
          <t>Harbour Mutual Health</t>
        </is>
      </c>
      <c r="F949" t="n">
        <v>1</v>
      </c>
      <c r="G949" t="inlineStr">
        <is>
          <t>Reference INV/2026/02085</t>
        </is>
      </c>
      <c r="H949">
        <f>COUNTIFS('Bank Lines'!$G$5:$G$1640,A949,'Bank Lines'!$J$5:$J$1640,1)</f>
        <v>1</v>
      </c>
      <c r="I949">
        <f>COUNTIFS('Odoo Items'!$J$5:$J$4331,A949)</f>
        <v>1</v>
      </c>
      <c r="J949" s="9">
        <f>ROUND(SUMIFS('Bank Lines'!$E$5:$E$1640,'Bank Lines'!$G$5:$G$1640,A949,'Bank Lines'!$J$5:$J$1640,1),2)</f>
        <v>412.5</v>
      </c>
      <c r="K949" s="9">
        <f>ROUND(SUMIFS('Odoo Items'!$G$5:$G$4331,'Odoo Items'!$J$5:$J$4331,A949),2)</f>
        <v>412.5</v>
      </c>
      <c r="L949" s="9">
        <f>ROUND(J949-K949,2)</f>
        <v>0</v>
      </c>
      <c r="M949" s="9">
        <f>ROUND(SUMIFS('Bank Lines'!$E$5:$E$1640,'Bank Lines'!$G$5:$G$1640,A949,'Bank Lines'!$J$5:$J$1640,1,'Bank Lines'!$C$5:$C$1640,"&lt;="&amp;Cover!$C$13),2)</f>
        <v>412.5</v>
      </c>
      <c r="N949" s="9">
        <f>ROUND(SUMIFS('Odoo Items'!$G$5:$G$4331,'Odoo Items'!$J$5:$J$4331,A949,'Odoo Items'!$C$5:$C$4331,"&lt;="&amp;Cover!$C$13),2)</f>
        <v>412.5</v>
      </c>
      <c r="O949">
        <f>COUNTIFS('Bank Lines'!$G$5:$G$1640,A949,'Bank Lines'!$J$5:$J$1640,1,'Bank Lines'!$C$5:$C$1640,"&lt;="&amp;Cover!$C$13)</f>
        <v>1</v>
      </c>
      <c r="P949">
        <f>COUNTIFS('Odoo Items'!$J$5:$J$4331,A949,'Odoo Items'!$C$5:$C$4331,"&lt;="&amp;Cover!$C$13)</f>
        <v>1</v>
      </c>
      <c r="Q949" t="str">
        <f>IF(AND(O949=0,P949=0),"",IF(O949=0,"ODOO-ONLY",IF(P949=0,"BANK-ONLY","BOTH")))</f>
        <v>BOTH</v>
      </c>
      <c r="R949" s="9">
        <f>IF(Q949="BOTH",ROUND(M949-N949,2),0)</f>
        <v>0</v>
      </c>
      <c r="S949" s="9">
        <f>ROUND(SUMIFS('Bank Lines'!$E$5:$E$1640,'Bank Lines'!$G$5:$G$1640,A949,'Bank Lines'!$J$5:$J$1640,1,'Bank Lines'!$C$5:$C$1640,"&lt;="&amp;Cover!$C$14),2)</f>
        <v>412.5</v>
      </c>
      <c r="T949" s="9">
        <f>ROUND(SUMIFS('Odoo Items'!$G$5:$G$4331,'Odoo Items'!$J$5:$J$4331,A949,'Odoo Items'!$C$5:$C$4331,"&lt;="&amp;Cover!$C$14),2)</f>
        <v>412.5</v>
      </c>
      <c r="U949">
        <f>COUNTIFS('Bank Lines'!$G$5:$G$1640,A949,'Bank Lines'!$J$5:$J$1640,1,'Bank Lines'!$C$5:$C$1640,"&lt;="&amp;Cover!$C$14)</f>
        <v>1</v>
      </c>
      <c r="V949">
        <f>COUNTIFS('Odoo Items'!$J$5:$J$4331,A949,'Odoo Items'!$C$5:$C$4331,"&lt;="&amp;Cover!$C$14)</f>
        <v>1</v>
      </c>
      <c r="W949" t="str">
        <f>IF(AND(U949=0,V949=0),"",IF(U949=0,"ODOO-ONLY",IF(V949=0,"BANK-ONLY","BOTH")))</f>
        <v>BOTH</v>
      </c>
      <c r="X949" s="9">
        <f>IF(W949="BOTH",ROUND(S949-T949,2),0)</f>
        <v>0</v>
      </c>
      <c r="Y949" s="9">
        <f>ROUND(SUMIFS('Bank Lines'!$E$5:$E$1640,'Bank Lines'!$G$5:$G$1640,A949,'Bank Lines'!$J$5:$J$1640,1,'Bank Lines'!$C$5:$C$1640,"&lt;="&amp;Cover!$C$15),2)</f>
        <v>412.5</v>
      </c>
      <c r="Z949" s="9">
        <f>ROUND(SUMIFS('Odoo Items'!$G$5:$G$4331,'Odoo Items'!$J$5:$J$4331,A949,'Odoo Items'!$C$5:$C$4331,"&lt;="&amp;Cover!$C$15),2)</f>
        <v>412.5</v>
      </c>
      <c r="AA949">
        <f>COUNTIFS('Bank Lines'!$G$5:$G$1640,A949,'Bank Lines'!$J$5:$J$1640,1,'Bank Lines'!$C$5:$C$1640,"&lt;="&amp;Cover!$C$15)</f>
        <v>1</v>
      </c>
      <c r="AB949">
        <f>COUNTIFS('Odoo Items'!$J$5:$J$4331,A949,'Odoo Items'!$C$5:$C$4331,"&lt;="&amp;Cover!$C$15)</f>
        <v>1</v>
      </c>
      <c r="AC949" t="str">
        <f>IF(AND(AA949=0,AB949=0),"",IF(AA949=0,"ODOO-ONLY",IF(AB949=0,"BANK-ONLY","BOTH")))</f>
        <v>BOTH</v>
      </c>
      <c r="AD949" s="9">
        <f>IF(AC949="BOTH",ROUND(Y949-Z949,2),0)</f>
        <v>0</v>
      </c>
    </row>
    <row r="950">
      <c r="A950" t="inlineStr">
        <is>
          <t>G00946</t>
        </is>
      </c>
      <c r="B950" t="inlineStr">
        <is>
          <t>OPS</t>
        </is>
      </c>
      <c r="C950" t="inlineStr">
        <is>
          <t>R09</t>
        </is>
      </c>
      <c r="D950" t="inlineStr">
        <is>
          <t>MATCH</t>
        </is>
      </c>
      <c r="E950" t="inlineStr">
        <is>
          <t>Unity Workcover Agents</t>
        </is>
      </c>
      <c r="F950" t="n">
        <v>1</v>
      </c>
      <c r="G950" t="inlineStr">
        <is>
          <t>Reference INV/2026/01824</t>
        </is>
      </c>
      <c r="H950">
        <f>COUNTIFS('Bank Lines'!$G$5:$G$1640,A950,'Bank Lines'!$J$5:$J$1640,1)</f>
        <v>1</v>
      </c>
      <c r="I950">
        <f>COUNTIFS('Odoo Items'!$J$5:$J$4331,A950)</f>
        <v>1</v>
      </c>
      <c r="J950" s="9">
        <f>ROUND(SUMIFS('Bank Lines'!$E$5:$E$1640,'Bank Lines'!$G$5:$G$1640,A950,'Bank Lines'!$J$5:$J$1640,1),2)</f>
        <v>176</v>
      </c>
      <c r="K950" s="9">
        <f>ROUND(SUMIFS('Odoo Items'!$G$5:$G$4331,'Odoo Items'!$J$5:$J$4331,A950),2)</f>
        <v>176</v>
      </c>
      <c r="L950" s="9">
        <f>ROUND(J950-K950,2)</f>
        <v>0</v>
      </c>
      <c r="M950" s="9">
        <f>ROUND(SUMIFS('Bank Lines'!$E$5:$E$1640,'Bank Lines'!$G$5:$G$1640,A950,'Bank Lines'!$J$5:$J$1640,1,'Bank Lines'!$C$5:$C$1640,"&lt;="&amp;Cover!$C$13),2)</f>
        <v>176</v>
      </c>
      <c r="N950" s="9">
        <f>ROUND(SUMIFS('Odoo Items'!$G$5:$G$4331,'Odoo Items'!$J$5:$J$4331,A950,'Odoo Items'!$C$5:$C$4331,"&lt;="&amp;Cover!$C$13),2)</f>
        <v>176</v>
      </c>
      <c r="O950">
        <f>COUNTIFS('Bank Lines'!$G$5:$G$1640,A950,'Bank Lines'!$J$5:$J$1640,1,'Bank Lines'!$C$5:$C$1640,"&lt;="&amp;Cover!$C$13)</f>
        <v>1</v>
      </c>
      <c r="P950">
        <f>COUNTIFS('Odoo Items'!$J$5:$J$4331,A950,'Odoo Items'!$C$5:$C$4331,"&lt;="&amp;Cover!$C$13)</f>
        <v>1</v>
      </c>
      <c r="Q950" t="str">
        <f>IF(AND(O950=0,P950=0),"",IF(O950=0,"ODOO-ONLY",IF(P950=0,"BANK-ONLY","BOTH")))</f>
        <v>BOTH</v>
      </c>
      <c r="R950" s="9">
        <f>IF(Q950="BOTH",ROUND(M950-N950,2),0)</f>
        <v>0</v>
      </c>
      <c r="S950" s="9">
        <f>ROUND(SUMIFS('Bank Lines'!$E$5:$E$1640,'Bank Lines'!$G$5:$G$1640,A950,'Bank Lines'!$J$5:$J$1640,1,'Bank Lines'!$C$5:$C$1640,"&lt;="&amp;Cover!$C$14),2)</f>
        <v>176</v>
      </c>
      <c r="T950" s="9">
        <f>ROUND(SUMIFS('Odoo Items'!$G$5:$G$4331,'Odoo Items'!$J$5:$J$4331,A950,'Odoo Items'!$C$5:$C$4331,"&lt;="&amp;Cover!$C$14),2)</f>
        <v>176</v>
      </c>
      <c r="U950">
        <f>COUNTIFS('Bank Lines'!$G$5:$G$1640,A950,'Bank Lines'!$J$5:$J$1640,1,'Bank Lines'!$C$5:$C$1640,"&lt;="&amp;Cover!$C$14)</f>
        <v>1</v>
      </c>
      <c r="V950">
        <f>COUNTIFS('Odoo Items'!$J$5:$J$4331,A950,'Odoo Items'!$C$5:$C$4331,"&lt;="&amp;Cover!$C$14)</f>
        <v>1</v>
      </c>
      <c r="W950" t="str">
        <f>IF(AND(U950=0,V950=0),"",IF(U950=0,"ODOO-ONLY",IF(V950=0,"BANK-ONLY","BOTH")))</f>
        <v>BOTH</v>
      </c>
      <c r="X950" s="9">
        <f>IF(W950="BOTH",ROUND(S950-T950,2),0)</f>
        <v>0</v>
      </c>
      <c r="Y950" s="9">
        <f>ROUND(SUMIFS('Bank Lines'!$E$5:$E$1640,'Bank Lines'!$G$5:$G$1640,A950,'Bank Lines'!$J$5:$J$1640,1,'Bank Lines'!$C$5:$C$1640,"&lt;="&amp;Cover!$C$15),2)</f>
        <v>176</v>
      </c>
      <c r="Z950" s="9">
        <f>ROUND(SUMIFS('Odoo Items'!$G$5:$G$4331,'Odoo Items'!$J$5:$J$4331,A950,'Odoo Items'!$C$5:$C$4331,"&lt;="&amp;Cover!$C$15),2)</f>
        <v>176</v>
      </c>
      <c r="AA950">
        <f>COUNTIFS('Bank Lines'!$G$5:$G$1640,A950,'Bank Lines'!$J$5:$J$1640,1,'Bank Lines'!$C$5:$C$1640,"&lt;="&amp;Cover!$C$15)</f>
        <v>1</v>
      </c>
      <c r="AB950">
        <f>COUNTIFS('Odoo Items'!$J$5:$J$4331,A950,'Odoo Items'!$C$5:$C$4331,"&lt;="&amp;Cover!$C$15)</f>
        <v>1</v>
      </c>
      <c r="AC950" t="str">
        <f>IF(AND(AA950=0,AB950=0),"",IF(AA950=0,"ODOO-ONLY",IF(AB950=0,"BANK-ONLY","BOTH")))</f>
        <v>BOTH</v>
      </c>
      <c r="AD950" s="9">
        <f>IF(AC950="BOTH",ROUND(Y950-Z950,2),0)</f>
        <v>0</v>
      </c>
    </row>
    <row r="951">
      <c r="A951" t="inlineStr">
        <is>
          <t>G00947</t>
        </is>
      </c>
      <c r="B951" t="inlineStr">
        <is>
          <t>OPS</t>
        </is>
      </c>
      <c r="C951" t="inlineStr">
        <is>
          <t>R09</t>
        </is>
      </c>
      <c r="D951" t="inlineStr">
        <is>
          <t>MATCH</t>
        </is>
      </c>
      <c r="E951" t="inlineStr">
        <is>
          <t>Hartigan Transport</t>
        </is>
      </c>
      <c r="F951" t="n">
        <v>1</v>
      </c>
      <c r="G951" t="inlineStr">
        <is>
          <t>Reference INV/2026/03429</t>
        </is>
      </c>
      <c r="H951">
        <f>COUNTIFS('Bank Lines'!$G$5:$G$1640,A951,'Bank Lines'!$J$5:$J$1640,1)</f>
        <v>1</v>
      </c>
      <c r="I951">
        <f>COUNTIFS('Odoo Items'!$J$5:$J$4331,A951)</f>
        <v>1</v>
      </c>
      <c r="J951" s="9">
        <f>ROUND(SUMIFS('Bank Lines'!$E$5:$E$1640,'Bank Lines'!$G$5:$G$1640,A951,'Bank Lines'!$J$5:$J$1640,1),2)</f>
        <v>2722.5</v>
      </c>
      <c r="K951" s="9">
        <f>ROUND(SUMIFS('Odoo Items'!$G$5:$G$4331,'Odoo Items'!$J$5:$J$4331,A951),2)</f>
        <v>2722.5</v>
      </c>
      <c r="L951" s="9">
        <f>ROUND(J951-K951,2)</f>
        <v>0</v>
      </c>
      <c r="M951" s="9">
        <f>ROUND(SUMIFS('Bank Lines'!$E$5:$E$1640,'Bank Lines'!$G$5:$G$1640,A951,'Bank Lines'!$J$5:$J$1640,1,'Bank Lines'!$C$5:$C$1640,"&lt;="&amp;Cover!$C$13),2)</f>
        <v>2722.5</v>
      </c>
      <c r="N951" s="9">
        <f>ROUND(SUMIFS('Odoo Items'!$G$5:$G$4331,'Odoo Items'!$J$5:$J$4331,A951,'Odoo Items'!$C$5:$C$4331,"&lt;="&amp;Cover!$C$13),2)</f>
        <v>2722.5</v>
      </c>
      <c r="O951">
        <f>COUNTIFS('Bank Lines'!$G$5:$G$1640,A951,'Bank Lines'!$J$5:$J$1640,1,'Bank Lines'!$C$5:$C$1640,"&lt;="&amp;Cover!$C$13)</f>
        <v>1</v>
      </c>
      <c r="P951">
        <f>COUNTIFS('Odoo Items'!$J$5:$J$4331,A951,'Odoo Items'!$C$5:$C$4331,"&lt;="&amp;Cover!$C$13)</f>
        <v>1</v>
      </c>
      <c r="Q951" t="str">
        <f>IF(AND(O951=0,P951=0),"",IF(O951=0,"ODOO-ONLY",IF(P951=0,"BANK-ONLY","BOTH")))</f>
        <v>BOTH</v>
      </c>
      <c r="R951" s="9">
        <f>IF(Q951="BOTH",ROUND(M951-N951,2),0)</f>
        <v>0</v>
      </c>
      <c r="S951" s="9">
        <f>ROUND(SUMIFS('Bank Lines'!$E$5:$E$1640,'Bank Lines'!$G$5:$G$1640,A951,'Bank Lines'!$J$5:$J$1640,1,'Bank Lines'!$C$5:$C$1640,"&lt;="&amp;Cover!$C$14),2)</f>
        <v>2722.5</v>
      </c>
      <c r="T951" s="9">
        <f>ROUND(SUMIFS('Odoo Items'!$G$5:$G$4331,'Odoo Items'!$J$5:$J$4331,A951,'Odoo Items'!$C$5:$C$4331,"&lt;="&amp;Cover!$C$14),2)</f>
        <v>2722.5</v>
      </c>
      <c r="U951">
        <f>COUNTIFS('Bank Lines'!$G$5:$G$1640,A951,'Bank Lines'!$J$5:$J$1640,1,'Bank Lines'!$C$5:$C$1640,"&lt;="&amp;Cover!$C$14)</f>
        <v>1</v>
      </c>
      <c r="V951">
        <f>COUNTIFS('Odoo Items'!$J$5:$J$4331,A951,'Odoo Items'!$C$5:$C$4331,"&lt;="&amp;Cover!$C$14)</f>
        <v>1</v>
      </c>
      <c r="W951" t="str">
        <f>IF(AND(U951=0,V951=0),"",IF(U951=0,"ODOO-ONLY",IF(V951=0,"BANK-ONLY","BOTH")))</f>
        <v>BOTH</v>
      </c>
      <c r="X951" s="9">
        <f>IF(W951="BOTH",ROUND(S951-T951,2),0)</f>
        <v>0</v>
      </c>
      <c r="Y951" s="9">
        <f>ROUND(SUMIFS('Bank Lines'!$E$5:$E$1640,'Bank Lines'!$G$5:$G$1640,A951,'Bank Lines'!$J$5:$J$1640,1,'Bank Lines'!$C$5:$C$1640,"&lt;="&amp;Cover!$C$15),2)</f>
        <v>2722.5</v>
      </c>
      <c r="Z951" s="9">
        <f>ROUND(SUMIFS('Odoo Items'!$G$5:$G$4331,'Odoo Items'!$J$5:$J$4331,A951,'Odoo Items'!$C$5:$C$4331,"&lt;="&amp;Cover!$C$15),2)</f>
        <v>2722.5</v>
      </c>
      <c r="AA951">
        <f>COUNTIFS('Bank Lines'!$G$5:$G$1640,A951,'Bank Lines'!$J$5:$J$1640,1,'Bank Lines'!$C$5:$C$1640,"&lt;="&amp;Cover!$C$15)</f>
        <v>1</v>
      </c>
      <c r="AB951">
        <f>COUNTIFS('Odoo Items'!$J$5:$J$4331,A951,'Odoo Items'!$C$5:$C$4331,"&lt;="&amp;Cover!$C$15)</f>
        <v>1</v>
      </c>
      <c r="AC951" t="str">
        <f>IF(AND(AA951=0,AB951=0),"",IF(AA951=0,"ODOO-ONLY",IF(AB951=0,"BANK-ONLY","BOTH")))</f>
        <v>BOTH</v>
      </c>
      <c r="AD951" s="9">
        <f>IF(AC951="BOTH",ROUND(Y951-Z951,2),0)</f>
        <v>0</v>
      </c>
    </row>
    <row r="952">
      <c r="A952" t="inlineStr">
        <is>
          <t>G00948</t>
        </is>
      </c>
      <c r="B952" t="inlineStr">
        <is>
          <t>OPS</t>
        </is>
      </c>
      <c r="C952" t="inlineStr">
        <is>
          <t>R09</t>
        </is>
      </c>
      <c r="D952" t="inlineStr">
        <is>
          <t>MATCH</t>
        </is>
      </c>
      <c r="E952" t="inlineStr">
        <is>
          <t>Broadmeadow Plastics</t>
        </is>
      </c>
      <c r="F952" t="n">
        <v>1</v>
      </c>
      <c r="G952" t="inlineStr">
        <is>
          <t>Reference INV/2026/03435</t>
        </is>
      </c>
      <c r="H952">
        <f>COUNTIFS('Bank Lines'!$G$5:$G$1640,A952,'Bank Lines'!$J$5:$J$1640,1)</f>
        <v>1</v>
      </c>
      <c r="I952">
        <f>COUNTIFS('Odoo Items'!$J$5:$J$4331,A952)</f>
        <v>1</v>
      </c>
      <c r="J952" s="9">
        <f>ROUND(SUMIFS('Bank Lines'!$E$5:$E$1640,'Bank Lines'!$G$5:$G$1640,A952,'Bank Lines'!$J$5:$J$1640,1),2)</f>
        <v>3616.25</v>
      </c>
      <c r="K952" s="9">
        <f>ROUND(SUMIFS('Odoo Items'!$G$5:$G$4331,'Odoo Items'!$J$5:$J$4331,A952),2)</f>
        <v>3616.25</v>
      </c>
      <c r="L952" s="9">
        <f>ROUND(J952-K952,2)</f>
        <v>0</v>
      </c>
      <c r="M952" s="9">
        <f>ROUND(SUMIFS('Bank Lines'!$E$5:$E$1640,'Bank Lines'!$G$5:$G$1640,A952,'Bank Lines'!$J$5:$J$1640,1,'Bank Lines'!$C$5:$C$1640,"&lt;="&amp;Cover!$C$13),2)</f>
        <v>3616.25</v>
      </c>
      <c r="N952" s="9">
        <f>ROUND(SUMIFS('Odoo Items'!$G$5:$G$4331,'Odoo Items'!$J$5:$J$4331,A952,'Odoo Items'!$C$5:$C$4331,"&lt;="&amp;Cover!$C$13),2)</f>
        <v>3616.25</v>
      </c>
      <c r="O952">
        <f>COUNTIFS('Bank Lines'!$G$5:$G$1640,A952,'Bank Lines'!$J$5:$J$1640,1,'Bank Lines'!$C$5:$C$1640,"&lt;="&amp;Cover!$C$13)</f>
        <v>1</v>
      </c>
      <c r="P952">
        <f>COUNTIFS('Odoo Items'!$J$5:$J$4331,A952,'Odoo Items'!$C$5:$C$4331,"&lt;="&amp;Cover!$C$13)</f>
        <v>1</v>
      </c>
      <c r="Q952" t="str">
        <f>IF(AND(O952=0,P952=0),"",IF(O952=0,"ODOO-ONLY",IF(P952=0,"BANK-ONLY","BOTH")))</f>
        <v>BOTH</v>
      </c>
      <c r="R952" s="9">
        <f>IF(Q952="BOTH",ROUND(M952-N952,2),0)</f>
        <v>0</v>
      </c>
      <c r="S952" s="9">
        <f>ROUND(SUMIFS('Bank Lines'!$E$5:$E$1640,'Bank Lines'!$G$5:$G$1640,A952,'Bank Lines'!$J$5:$J$1640,1,'Bank Lines'!$C$5:$C$1640,"&lt;="&amp;Cover!$C$14),2)</f>
        <v>3616.25</v>
      </c>
      <c r="T952" s="9">
        <f>ROUND(SUMIFS('Odoo Items'!$G$5:$G$4331,'Odoo Items'!$J$5:$J$4331,A952,'Odoo Items'!$C$5:$C$4331,"&lt;="&amp;Cover!$C$14),2)</f>
        <v>3616.25</v>
      </c>
      <c r="U952">
        <f>COUNTIFS('Bank Lines'!$G$5:$G$1640,A952,'Bank Lines'!$J$5:$J$1640,1,'Bank Lines'!$C$5:$C$1640,"&lt;="&amp;Cover!$C$14)</f>
        <v>1</v>
      </c>
      <c r="V952">
        <f>COUNTIFS('Odoo Items'!$J$5:$J$4331,A952,'Odoo Items'!$C$5:$C$4331,"&lt;="&amp;Cover!$C$14)</f>
        <v>1</v>
      </c>
      <c r="W952" t="str">
        <f>IF(AND(U952=0,V952=0),"",IF(U952=0,"ODOO-ONLY",IF(V952=0,"BANK-ONLY","BOTH")))</f>
        <v>BOTH</v>
      </c>
      <c r="X952" s="9">
        <f>IF(W952="BOTH",ROUND(S952-T952,2),0)</f>
        <v>0</v>
      </c>
      <c r="Y952" s="9">
        <f>ROUND(SUMIFS('Bank Lines'!$E$5:$E$1640,'Bank Lines'!$G$5:$G$1640,A952,'Bank Lines'!$J$5:$J$1640,1,'Bank Lines'!$C$5:$C$1640,"&lt;="&amp;Cover!$C$15),2)</f>
        <v>3616.25</v>
      </c>
      <c r="Z952" s="9">
        <f>ROUND(SUMIFS('Odoo Items'!$G$5:$G$4331,'Odoo Items'!$J$5:$J$4331,A952,'Odoo Items'!$C$5:$C$4331,"&lt;="&amp;Cover!$C$15),2)</f>
        <v>3616.25</v>
      </c>
      <c r="AA952">
        <f>COUNTIFS('Bank Lines'!$G$5:$G$1640,A952,'Bank Lines'!$J$5:$J$1640,1,'Bank Lines'!$C$5:$C$1640,"&lt;="&amp;Cover!$C$15)</f>
        <v>1</v>
      </c>
      <c r="AB952">
        <f>COUNTIFS('Odoo Items'!$J$5:$J$4331,A952,'Odoo Items'!$C$5:$C$4331,"&lt;="&amp;Cover!$C$15)</f>
        <v>1</v>
      </c>
      <c r="AC952" t="str">
        <f>IF(AND(AA952=0,AB952=0),"",IF(AA952=0,"ODOO-ONLY",IF(AB952=0,"BANK-ONLY","BOTH")))</f>
        <v>BOTH</v>
      </c>
      <c r="AD952" s="9">
        <f>IF(AC952="BOTH",ROUND(Y952-Z952,2),0)</f>
        <v>0</v>
      </c>
    </row>
    <row r="953">
      <c r="A953" t="inlineStr">
        <is>
          <t>G00949</t>
        </is>
      </c>
      <c r="B953" t="inlineStr">
        <is>
          <t>OPS</t>
        </is>
      </c>
      <c r="C953" t="inlineStr">
        <is>
          <t>R09</t>
        </is>
      </c>
      <c r="D953" t="inlineStr">
        <is>
          <t>MATCH</t>
        </is>
      </c>
      <c r="E953" t="inlineStr">
        <is>
          <t>Harbour Mutual Health</t>
        </is>
      </c>
      <c r="F953" t="n">
        <v>1</v>
      </c>
      <c r="G953" t="inlineStr">
        <is>
          <t>Reference INV/2026/01892</t>
        </is>
      </c>
      <c r="H953">
        <f>COUNTIFS('Bank Lines'!$G$5:$G$1640,A953,'Bank Lines'!$J$5:$J$1640,1)</f>
        <v>1</v>
      </c>
      <c r="I953">
        <f>COUNTIFS('Odoo Items'!$J$5:$J$4331,A953)</f>
        <v>1</v>
      </c>
      <c r="J953" s="9">
        <f>ROUND(SUMIFS('Bank Lines'!$E$5:$E$1640,'Bank Lines'!$G$5:$G$1640,A953,'Bank Lines'!$J$5:$J$1640,1),2)</f>
        <v>88</v>
      </c>
      <c r="K953" s="9">
        <f>ROUND(SUMIFS('Odoo Items'!$G$5:$G$4331,'Odoo Items'!$J$5:$J$4331,A953),2)</f>
        <v>88</v>
      </c>
      <c r="L953" s="9">
        <f>ROUND(J953-K953,2)</f>
        <v>0</v>
      </c>
      <c r="M953" s="9">
        <f>ROUND(SUMIFS('Bank Lines'!$E$5:$E$1640,'Bank Lines'!$G$5:$G$1640,A953,'Bank Lines'!$J$5:$J$1640,1,'Bank Lines'!$C$5:$C$1640,"&lt;="&amp;Cover!$C$13),2)</f>
        <v>88</v>
      </c>
      <c r="N953" s="9">
        <f>ROUND(SUMIFS('Odoo Items'!$G$5:$G$4331,'Odoo Items'!$J$5:$J$4331,A953,'Odoo Items'!$C$5:$C$4331,"&lt;="&amp;Cover!$C$13),2)</f>
        <v>88</v>
      </c>
      <c r="O953">
        <f>COUNTIFS('Bank Lines'!$G$5:$G$1640,A953,'Bank Lines'!$J$5:$J$1640,1,'Bank Lines'!$C$5:$C$1640,"&lt;="&amp;Cover!$C$13)</f>
        <v>1</v>
      </c>
      <c r="P953">
        <f>COUNTIFS('Odoo Items'!$J$5:$J$4331,A953,'Odoo Items'!$C$5:$C$4331,"&lt;="&amp;Cover!$C$13)</f>
        <v>1</v>
      </c>
      <c r="Q953" t="str">
        <f>IF(AND(O953=0,P953=0),"",IF(O953=0,"ODOO-ONLY",IF(P953=0,"BANK-ONLY","BOTH")))</f>
        <v>BOTH</v>
      </c>
      <c r="R953" s="9">
        <f>IF(Q953="BOTH",ROUND(M953-N953,2),0)</f>
        <v>0</v>
      </c>
      <c r="S953" s="9">
        <f>ROUND(SUMIFS('Bank Lines'!$E$5:$E$1640,'Bank Lines'!$G$5:$G$1640,A953,'Bank Lines'!$J$5:$J$1640,1,'Bank Lines'!$C$5:$C$1640,"&lt;="&amp;Cover!$C$14),2)</f>
        <v>88</v>
      </c>
      <c r="T953" s="9">
        <f>ROUND(SUMIFS('Odoo Items'!$G$5:$G$4331,'Odoo Items'!$J$5:$J$4331,A953,'Odoo Items'!$C$5:$C$4331,"&lt;="&amp;Cover!$C$14),2)</f>
        <v>88</v>
      </c>
      <c r="U953">
        <f>COUNTIFS('Bank Lines'!$G$5:$G$1640,A953,'Bank Lines'!$J$5:$J$1640,1,'Bank Lines'!$C$5:$C$1640,"&lt;="&amp;Cover!$C$14)</f>
        <v>1</v>
      </c>
      <c r="V953">
        <f>COUNTIFS('Odoo Items'!$J$5:$J$4331,A953,'Odoo Items'!$C$5:$C$4331,"&lt;="&amp;Cover!$C$14)</f>
        <v>1</v>
      </c>
      <c r="W953" t="str">
        <f>IF(AND(U953=0,V953=0),"",IF(U953=0,"ODOO-ONLY",IF(V953=0,"BANK-ONLY","BOTH")))</f>
        <v>BOTH</v>
      </c>
      <c r="X953" s="9">
        <f>IF(W953="BOTH",ROUND(S953-T953,2),0)</f>
        <v>0</v>
      </c>
      <c r="Y953" s="9">
        <f>ROUND(SUMIFS('Bank Lines'!$E$5:$E$1640,'Bank Lines'!$G$5:$G$1640,A953,'Bank Lines'!$J$5:$J$1640,1,'Bank Lines'!$C$5:$C$1640,"&lt;="&amp;Cover!$C$15),2)</f>
        <v>88</v>
      </c>
      <c r="Z953" s="9">
        <f>ROUND(SUMIFS('Odoo Items'!$G$5:$G$4331,'Odoo Items'!$J$5:$J$4331,A953,'Odoo Items'!$C$5:$C$4331,"&lt;="&amp;Cover!$C$15),2)</f>
        <v>88</v>
      </c>
      <c r="AA953">
        <f>COUNTIFS('Bank Lines'!$G$5:$G$1640,A953,'Bank Lines'!$J$5:$J$1640,1,'Bank Lines'!$C$5:$C$1640,"&lt;="&amp;Cover!$C$15)</f>
        <v>1</v>
      </c>
      <c r="AB953">
        <f>COUNTIFS('Odoo Items'!$J$5:$J$4331,A953,'Odoo Items'!$C$5:$C$4331,"&lt;="&amp;Cover!$C$15)</f>
        <v>1</v>
      </c>
      <c r="AC953" t="str">
        <f>IF(AND(AA953=0,AB953=0),"",IF(AA953=0,"ODOO-ONLY",IF(AB953=0,"BANK-ONLY","BOTH")))</f>
        <v>BOTH</v>
      </c>
      <c r="AD953" s="9">
        <f>IF(AC953="BOTH",ROUND(Y953-Z953,2),0)</f>
        <v>0</v>
      </c>
    </row>
    <row r="954">
      <c r="A954" t="inlineStr">
        <is>
          <t>G00950</t>
        </is>
      </c>
      <c r="B954" t="inlineStr">
        <is>
          <t>OPS</t>
        </is>
      </c>
      <c r="C954" t="inlineStr">
        <is>
          <t>R09</t>
        </is>
      </c>
      <c r="D954" t="inlineStr">
        <is>
          <t>MATCH</t>
        </is>
      </c>
      <c r="E954" t="inlineStr">
        <is>
          <t>Coastline Health Fund</t>
        </is>
      </c>
      <c r="F954" t="n">
        <v>1</v>
      </c>
      <c r="G954" t="inlineStr">
        <is>
          <t>Reference INV/2026/02034</t>
        </is>
      </c>
      <c r="H954">
        <f>COUNTIFS('Bank Lines'!$G$5:$G$1640,A954,'Bank Lines'!$J$5:$J$1640,1)</f>
        <v>1</v>
      </c>
      <c r="I954">
        <f>COUNTIFS('Odoo Items'!$J$5:$J$4331,A954)</f>
        <v>1</v>
      </c>
      <c r="J954" s="9">
        <f>ROUND(SUMIFS('Bank Lines'!$E$5:$E$1640,'Bank Lines'!$G$5:$G$1640,A954,'Bank Lines'!$J$5:$J$1640,1),2)</f>
        <v>412.5</v>
      </c>
      <c r="K954" s="9">
        <f>ROUND(SUMIFS('Odoo Items'!$G$5:$G$4331,'Odoo Items'!$J$5:$J$4331,A954),2)</f>
        <v>412.5</v>
      </c>
      <c r="L954" s="9">
        <f>ROUND(J954-K954,2)</f>
        <v>0</v>
      </c>
      <c r="M954" s="9">
        <f>ROUND(SUMIFS('Bank Lines'!$E$5:$E$1640,'Bank Lines'!$G$5:$G$1640,A954,'Bank Lines'!$J$5:$J$1640,1,'Bank Lines'!$C$5:$C$1640,"&lt;="&amp;Cover!$C$13),2)</f>
        <v>412.5</v>
      </c>
      <c r="N954" s="9">
        <f>ROUND(SUMIFS('Odoo Items'!$G$5:$G$4331,'Odoo Items'!$J$5:$J$4331,A954,'Odoo Items'!$C$5:$C$4331,"&lt;="&amp;Cover!$C$13),2)</f>
        <v>412.5</v>
      </c>
      <c r="O954">
        <f>COUNTIFS('Bank Lines'!$G$5:$G$1640,A954,'Bank Lines'!$J$5:$J$1640,1,'Bank Lines'!$C$5:$C$1640,"&lt;="&amp;Cover!$C$13)</f>
        <v>1</v>
      </c>
      <c r="P954">
        <f>COUNTIFS('Odoo Items'!$J$5:$J$4331,A954,'Odoo Items'!$C$5:$C$4331,"&lt;="&amp;Cover!$C$13)</f>
        <v>1</v>
      </c>
      <c r="Q954" t="str">
        <f>IF(AND(O954=0,P954=0),"",IF(O954=0,"ODOO-ONLY",IF(P954=0,"BANK-ONLY","BOTH")))</f>
        <v>BOTH</v>
      </c>
      <c r="R954" s="9">
        <f>IF(Q954="BOTH",ROUND(M954-N954,2),0)</f>
        <v>0</v>
      </c>
      <c r="S954" s="9">
        <f>ROUND(SUMIFS('Bank Lines'!$E$5:$E$1640,'Bank Lines'!$G$5:$G$1640,A954,'Bank Lines'!$J$5:$J$1640,1,'Bank Lines'!$C$5:$C$1640,"&lt;="&amp;Cover!$C$14),2)</f>
        <v>412.5</v>
      </c>
      <c r="T954" s="9">
        <f>ROUND(SUMIFS('Odoo Items'!$G$5:$G$4331,'Odoo Items'!$J$5:$J$4331,A954,'Odoo Items'!$C$5:$C$4331,"&lt;="&amp;Cover!$C$14),2)</f>
        <v>412.5</v>
      </c>
      <c r="U954">
        <f>COUNTIFS('Bank Lines'!$G$5:$G$1640,A954,'Bank Lines'!$J$5:$J$1640,1,'Bank Lines'!$C$5:$C$1640,"&lt;="&amp;Cover!$C$14)</f>
        <v>1</v>
      </c>
      <c r="V954">
        <f>COUNTIFS('Odoo Items'!$J$5:$J$4331,A954,'Odoo Items'!$C$5:$C$4331,"&lt;="&amp;Cover!$C$14)</f>
        <v>1</v>
      </c>
      <c r="W954" t="str">
        <f>IF(AND(U954=0,V954=0),"",IF(U954=0,"ODOO-ONLY",IF(V954=0,"BANK-ONLY","BOTH")))</f>
        <v>BOTH</v>
      </c>
      <c r="X954" s="9">
        <f>IF(W954="BOTH",ROUND(S954-T954,2),0)</f>
        <v>0</v>
      </c>
      <c r="Y954" s="9">
        <f>ROUND(SUMIFS('Bank Lines'!$E$5:$E$1640,'Bank Lines'!$G$5:$G$1640,A954,'Bank Lines'!$J$5:$J$1640,1,'Bank Lines'!$C$5:$C$1640,"&lt;="&amp;Cover!$C$15),2)</f>
        <v>412.5</v>
      </c>
      <c r="Z954" s="9">
        <f>ROUND(SUMIFS('Odoo Items'!$G$5:$G$4331,'Odoo Items'!$J$5:$J$4331,A954,'Odoo Items'!$C$5:$C$4331,"&lt;="&amp;Cover!$C$15),2)</f>
        <v>412.5</v>
      </c>
      <c r="AA954">
        <f>COUNTIFS('Bank Lines'!$G$5:$G$1640,A954,'Bank Lines'!$J$5:$J$1640,1,'Bank Lines'!$C$5:$C$1640,"&lt;="&amp;Cover!$C$15)</f>
        <v>1</v>
      </c>
      <c r="AB954">
        <f>COUNTIFS('Odoo Items'!$J$5:$J$4331,A954,'Odoo Items'!$C$5:$C$4331,"&lt;="&amp;Cover!$C$15)</f>
        <v>1</v>
      </c>
      <c r="AC954" t="str">
        <f>IF(AND(AA954=0,AB954=0),"",IF(AA954=0,"ODOO-ONLY",IF(AB954=0,"BANK-ONLY","BOTH")))</f>
        <v>BOTH</v>
      </c>
      <c r="AD954" s="9">
        <f>IF(AC954="BOTH",ROUND(Y954-Z954,2),0)</f>
        <v>0</v>
      </c>
    </row>
    <row r="955">
      <c r="A955" t="inlineStr">
        <is>
          <t>G00951</t>
        </is>
      </c>
      <c r="B955" t="inlineStr">
        <is>
          <t>OPS</t>
        </is>
      </c>
      <c r="C955" t="inlineStr">
        <is>
          <t>R09</t>
        </is>
      </c>
      <c r="D955" t="inlineStr">
        <is>
          <t>MATCH</t>
        </is>
      </c>
      <c r="E955" t="inlineStr">
        <is>
          <t>Inglewood Cold Storage</t>
        </is>
      </c>
      <c r="F955" t="n">
        <v>1</v>
      </c>
      <c r="G955" t="inlineStr">
        <is>
          <t>Reference INV/2026/03446</t>
        </is>
      </c>
      <c r="H955">
        <f>COUNTIFS('Bank Lines'!$G$5:$G$1640,A955,'Bank Lines'!$J$5:$J$1640,1)</f>
        <v>1</v>
      </c>
      <c r="I955">
        <f>COUNTIFS('Odoo Items'!$J$5:$J$4331,A955)</f>
        <v>1</v>
      </c>
      <c r="J955" s="9">
        <f>ROUND(SUMIFS('Bank Lines'!$E$5:$E$1640,'Bank Lines'!$G$5:$G$1640,A955,'Bank Lines'!$J$5:$J$1640,1),2)</f>
        <v>5280</v>
      </c>
      <c r="K955" s="9">
        <f>ROUND(SUMIFS('Odoo Items'!$G$5:$G$4331,'Odoo Items'!$J$5:$J$4331,A955),2)</f>
        <v>5280</v>
      </c>
      <c r="L955" s="9">
        <f>ROUND(J955-K955,2)</f>
        <v>0</v>
      </c>
      <c r="M955" s="9">
        <f>ROUND(SUMIFS('Bank Lines'!$E$5:$E$1640,'Bank Lines'!$G$5:$G$1640,A955,'Bank Lines'!$J$5:$J$1640,1,'Bank Lines'!$C$5:$C$1640,"&lt;="&amp;Cover!$C$13),2)</f>
        <v>5280</v>
      </c>
      <c r="N955" s="9">
        <f>ROUND(SUMIFS('Odoo Items'!$G$5:$G$4331,'Odoo Items'!$J$5:$J$4331,A955,'Odoo Items'!$C$5:$C$4331,"&lt;="&amp;Cover!$C$13),2)</f>
        <v>5280</v>
      </c>
      <c r="O955">
        <f>COUNTIFS('Bank Lines'!$G$5:$G$1640,A955,'Bank Lines'!$J$5:$J$1640,1,'Bank Lines'!$C$5:$C$1640,"&lt;="&amp;Cover!$C$13)</f>
        <v>1</v>
      </c>
      <c r="P955">
        <f>COUNTIFS('Odoo Items'!$J$5:$J$4331,A955,'Odoo Items'!$C$5:$C$4331,"&lt;="&amp;Cover!$C$13)</f>
        <v>1</v>
      </c>
      <c r="Q955" t="str">
        <f>IF(AND(O955=0,P955=0),"",IF(O955=0,"ODOO-ONLY",IF(P955=0,"BANK-ONLY","BOTH")))</f>
        <v>BOTH</v>
      </c>
      <c r="R955" s="9">
        <f>IF(Q955="BOTH",ROUND(M955-N955,2),0)</f>
        <v>0</v>
      </c>
      <c r="S955" s="9">
        <f>ROUND(SUMIFS('Bank Lines'!$E$5:$E$1640,'Bank Lines'!$G$5:$G$1640,A955,'Bank Lines'!$J$5:$J$1640,1,'Bank Lines'!$C$5:$C$1640,"&lt;="&amp;Cover!$C$14),2)</f>
        <v>5280</v>
      </c>
      <c r="T955" s="9">
        <f>ROUND(SUMIFS('Odoo Items'!$G$5:$G$4331,'Odoo Items'!$J$5:$J$4331,A955,'Odoo Items'!$C$5:$C$4331,"&lt;="&amp;Cover!$C$14),2)</f>
        <v>5280</v>
      </c>
      <c r="U955">
        <f>COUNTIFS('Bank Lines'!$G$5:$G$1640,A955,'Bank Lines'!$J$5:$J$1640,1,'Bank Lines'!$C$5:$C$1640,"&lt;="&amp;Cover!$C$14)</f>
        <v>1</v>
      </c>
      <c r="V955">
        <f>COUNTIFS('Odoo Items'!$J$5:$J$4331,A955,'Odoo Items'!$C$5:$C$4331,"&lt;="&amp;Cover!$C$14)</f>
        <v>1</v>
      </c>
      <c r="W955" t="str">
        <f>IF(AND(U955=0,V955=0),"",IF(U955=0,"ODOO-ONLY",IF(V955=0,"BANK-ONLY","BOTH")))</f>
        <v>BOTH</v>
      </c>
      <c r="X955" s="9">
        <f>IF(W955="BOTH",ROUND(S955-T955,2),0)</f>
        <v>0</v>
      </c>
      <c r="Y955" s="9">
        <f>ROUND(SUMIFS('Bank Lines'!$E$5:$E$1640,'Bank Lines'!$G$5:$G$1640,A955,'Bank Lines'!$J$5:$J$1640,1,'Bank Lines'!$C$5:$C$1640,"&lt;="&amp;Cover!$C$15),2)</f>
        <v>5280</v>
      </c>
      <c r="Z955" s="9">
        <f>ROUND(SUMIFS('Odoo Items'!$G$5:$G$4331,'Odoo Items'!$J$5:$J$4331,A955,'Odoo Items'!$C$5:$C$4331,"&lt;="&amp;Cover!$C$15),2)</f>
        <v>5280</v>
      </c>
      <c r="AA955">
        <f>COUNTIFS('Bank Lines'!$G$5:$G$1640,A955,'Bank Lines'!$J$5:$J$1640,1,'Bank Lines'!$C$5:$C$1640,"&lt;="&amp;Cover!$C$15)</f>
        <v>1</v>
      </c>
      <c r="AB955">
        <f>COUNTIFS('Odoo Items'!$J$5:$J$4331,A955,'Odoo Items'!$C$5:$C$4331,"&lt;="&amp;Cover!$C$15)</f>
        <v>1</v>
      </c>
      <c r="AC955" t="str">
        <f>IF(AND(AA955=0,AB955=0),"",IF(AA955=0,"ODOO-ONLY",IF(AB955=0,"BANK-ONLY","BOTH")))</f>
        <v>BOTH</v>
      </c>
      <c r="AD955" s="9">
        <f>IF(AC955="BOTH",ROUND(Y955-Z955,2),0)</f>
        <v>0</v>
      </c>
    </row>
    <row r="956">
      <c r="A956" t="inlineStr">
        <is>
          <t>G00952</t>
        </is>
      </c>
      <c r="B956" t="inlineStr">
        <is>
          <t>OPS</t>
        </is>
      </c>
      <c r="C956" t="inlineStr">
        <is>
          <t>R09</t>
        </is>
      </c>
      <c r="D956" t="inlineStr">
        <is>
          <t>MATCH</t>
        </is>
      </c>
      <c r="E956" t="inlineStr">
        <is>
          <t>Unity Workcover Agents</t>
        </is>
      </c>
      <c r="F956" t="n">
        <v>1</v>
      </c>
      <c r="G956" t="inlineStr">
        <is>
          <t>Reference INV/2026/02035</t>
        </is>
      </c>
      <c r="H956">
        <f>COUNTIFS('Bank Lines'!$G$5:$G$1640,A956,'Bank Lines'!$J$5:$J$1640,1)</f>
        <v>1</v>
      </c>
      <c r="I956">
        <f>COUNTIFS('Odoo Items'!$J$5:$J$4331,A956)</f>
        <v>1</v>
      </c>
      <c r="J956" s="9">
        <f>ROUND(SUMIFS('Bank Lines'!$E$5:$E$1640,'Bank Lines'!$G$5:$G$1640,A956,'Bank Lines'!$J$5:$J$1640,1),2)</f>
        <v>990</v>
      </c>
      <c r="K956" s="9">
        <f>ROUND(SUMIFS('Odoo Items'!$G$5:$G$4331,'Odoo Items'!$J$5:$J$4331,A956),2)</f>
        <v>990</v>
      </c>
      <c r="L956" s="9">
        <f>ROUND(J956-K956,2)</f>
        <v>0</v>
      </c>
      <c r="M956" s="9">
        <f>ROUND(SUMIFS('Bank Lines'!$E$5:$E$1640,'Bank Lines'!$G$5:$G$1640,A956,'Bank Lines'!$J$5:$J$1640,1,'Bank Lines'!$C$5:$C$1640,"&lt;="&amp;Cover!$C$13),2)</f>
        <v>990</v>
      </c>
      <c r="N956" s="9">
        <f>ROUND(SUMIFS('Odoo Items'!$G$5:$G$4331,'Odoo Items'!$J$5:$J$4331,A956,'Odoo Items'!$C$5:$C$4331,"&lt;="&amp;Cover!$C$13),2)</f>
        <v>990</v>
      </c>
      <c r="O956">
        <f>COUNTIFS('Bank Lines'!$G$5:$G$1640,A956,'Bank Lines'!$J$5:$J$1640,1,'Bank Lines'!$C$5:$C$1640,"&lt;="&amp;Cover!$C$13)</f>
        <v>1</v>
      </c>
      <c r="P956">
        <f>COUNTIFS('Odoo Items'!$J$5:$J$4331,A956,'Odoo Items'!$C$5:$C$4331,"&lt;="&amp;Cover!$C$13)</f>
        <v>1</v>
      </c>
      <c r="Q956" t="str">
        <f>IF(AND(O956=0,P956=0),"",IF(O956=0,"ODOO-ONLY",IF(P956=0,"BANK-ONLY","BOTH")))</f>
        <v>BOTH</v>
      </c>
      <c r="R956" s="9">
        <f>IF(Q956="BOTH",ROUND(M956-N956,2),0)</f>
        <v>0</v>
      </c>
      <c r="S956" s="9">
        <f>ROUND(SUMIFS('Bank Lines'!$E$5:$E$1640,'Bank Lines'!$G$5:$G$1640,A956,'Bank Lines'!$J$5:$J$1640,1,'Bank Lines'!$C$5:$C$1640,"&lt;="&amp;Cover!$C$14),2)</f>
        <v>990</v>
      </c>
      <c r="T956" s="9">
        <f>ROUND(SUMIFS('Odoo Items'!$G$5:$G$4331,'Odoo Items'!$J$5:$J$4331,A956,'Odoo Items'!$C$5:$C$4331,"&lt;="&amp;Cover!$C$14),2)</f>
        <v>990</v>
      </c>
      <c r="U956">
        <f>COUNTIFS('Bank Lines'!$G$5:$G$1640,A956,'Bank Lines'!$J$5:$J$1640,1,'Bank Lines'!$C$5:$C$1640,"&lt;="&amp;Cover!$C$14)</f>
        <v>1</v>
      </c>
      <c r="V956">
        <f>COUNTIFS('Odoo Items'!$J$5:$J$4331,A956,'Odoo Items'!$C$5:$C$4331,"&lt;="&amp;Cover!$C$14)</f>
        <v>1</v>
      </c>
      <c r="W956" t="str">
        <f>IF(AND(U956=0,V956=0),"",IF(U956=0,"ODOO-ONLY",IF(V956=0,"BANK-ONLY","BOTH")))</f>
        <v>BOTH</v>
      </c>
      <c r="X956" s="9">
        <f>IF(W956="BOTH",ROUND(S956-T956,2),0)</f>
        <v>0</v>
      </c>
      <c r="Y956" s="9">
        <f>ROUND(SUMIFS('Bank Lines'!$E$5:$E$1640,'Bank Lines'!$G$5:$G$1640,A956,'Bank Lines'!$J$5:$J$1640,1,'Bank Lines'!$C$5:$C$1640,"&lt;="&amp;Cover!$C$15),2)</f>
        <v>990</v>
      </c>
      <c r="Z956" s="9">
        <f>ROUND(SUMIFS('Odoo Items'!$G$5:$G$4331,'Odoo Items'!$J$5:$J$4331,A956,'Odoo Items'!$C$5:$C$4331,"&lt;="&amp;Cover!$C$15),2)</f>
        <v>990</v>
      </c>
      <c r="AA956">
        <f>COUNTIFS('Bank Lines'!$G$5:$G$1640,A956,'Bank Lines'!$J$5:$J$1640,1,'Bank Lines'!$C$5:$C$1640,"&lt;="&amp;Cover!$C$15)</f>
        <v>1</v>
      </c>
      <c r="AB956">
        <f>COUNTIFS('Odoo Items'!$J$5:$J$4331,A956,'Odoo Items'!$C$5:$C$4331,"&lt;="&amp;Cover!$C$15)</f>
        <v>1</v>
      </c>
      <c r="AC956" t="str">
        <f>IF(AND(AA956=0,AB956=0),"",IF(AA956=0,"ODOO-ONLY",IF(AB956=0,"BANK-ONLY","BOTH")))</f>
        <v>BOTH</v>
      </c>
      <c r="AD956" s="9">
        <f>IF(AC956="BOTH",ROUND(Y956-Z956,2),0)</f>
        <v>0</v>
      </c>
    </row>
    <row r="957">
      <c r="A957" t="inlineStr">
        <is>
          <t>G00953</t>
        </is>
      </c>
      <c r="B957" t="inlineStr">
        <is>
          <t>OPS</t>
        </is>
      </c>
      <c r="C957" t="inlineStr">
        <is>
          <t>R09</t>
        </is>
      </c>
      <c r="D957" t="inlineStr">
        <is>
          <t>MATCH</t>
        </is>
      </c>
      <c r="E957" t="inlineStr">
        <is>
          <t>Pinnacle Claims Services</t>
        </is>
      </c>
      <c r="F957" t="n">
        <v>1</v>
      </c>
      <c r="G957" t="inlineStr">
        <is>
          <t>Reference INV/2026/01871</t>
        </is>
      </c>
      <c r="H957">
        <f>COUNTIFS('Bank Lines'!$G$5:$G$1640,A957,'Bank Lines'!$J$5:$J$1640,1)</f>
        <v>1</v>
      </c>
      <c r="I957">
        <f>COUNTIFS('Odoo Items'!$J$5:$J$4331,A957)</f>
        <v>1</v>
      </c>
      <c r="J957" s="9">
        <f>ROUND(SUMIFS('Bank Lines'!$E$5:$E$1640,'Bank Lines'!$G$5:$G$1640,A957,'Bank Lines'!$J$5:$J$1640,1),2)</f>
        <v>88</v>
      </c>
      <c r="K957" s="9">
        <f>ROUND(SUMIFS('Odoo Items'!$G$5:$G$4331,'Odoo Items'!$J$5:$J$4331,A957),2)</f>
        <v>88</v>
      </c>
      <c r="L957" s="9">
        <f>ROUND(J957-K957,2)</f>
        <v>0</v>
      </c>
      <c r="M957" s="9">
        <f>ROUND(SUMIFS('Bank Lines'!$E$5:$E$1640,'Bank Lines'!$G$5:$G$1640,A957,'Bank Lines'!$J$5:$J$1640,1,'Bank Lines'!$C$5:$C$1640,"&lt;="&amp;Cover!$C$13),2)</f>
        <v>88</v>
      </c>
      <c r="N957" s="9">
        <f>ROUND(SUMIFS('Odoo Items'!$G$5:$G$4331,'Odoo Items'!$J$5:$J$4331,A957,'Odoo Items'!$C$5:$C$4331,"&lt;="&amp;Cover!$C$13),2)</f>
        <v>88</v>
      </c>
      <c r="O957">
        <f>COUNTIFS('Bank Lines'!$G$5:$G$1640,A957,'Bank Lines'!$J$5:$J$1640,1,'Bank Lines'!$C$5:$C$1640,"&lt;="&amp;Cover!$C$13)</f>
        <v>1</v>
      </c>
      <c r="P957">
        <f>COUNTIFS('Odoo Items'!$J$5:$J$4331,A957,'Odoo Items'!$C$5:$C$4331,"&lt;="&amp;Cover!$C$13)</f>
        <v>1</v>
      </c>
      <c r="Q957" t="str">
        <f>IF(AND(O957=0,P957=0),"",IF(O957=0,"ODOO-ONLY",IF(P957=0,"BANK-ONLY","BOTH")))</f>
        <v>BOTH</v>
      </c>
      <c r="R957" s="9">
        <f>IF(Q957="BOTH",ROUND(M957-N957,2),0)</f>
        <v>0</v>
      </c>
      <c r="S957" s="9">
        <f>ROUND(SUMIFS('Bank Lines'!$E$5:$E$1640,'Bank Lines'!$G$5:$G$1640,A957,'Bank Lines'!$J$5:$J$1640,1,'Bank Lines'!$C$5:$C$1640,"&lt;="&amp;Cover!$C$14),2)</f>
        <v>88</v>
      </c>
      <c r="T957" s="9">
        <f>ROUND(SUMIFS('Odoo Items'!$G$5:$G$4331,'Odoo Items'!$J$5:$J$4331,A957,'Odoo Items'!$C$5:$C$4331,"&lt;="&amp;Cover!$C$14),2)</f>
        <v>88</v>
      </c>
      <c r="U957">
        <f>COUNTIFS('Bank Lines'!$G$5:$G$1640,A957,'Bank Lines'!$J$5:$J$1640,1,'Bank Lines'!$C$5:$C$1640,"&lt;="&amp;Cover!$C$14)</f>
        <v>1</v>
      </c>
      <c r="V957">
        <f>COUNTIFS('Odoo Items'!$J$5:$J$4331,A957,'Odoo Items'!$C$5:$C$4331,"&lt;="&amp;Cover!$C$14)</f>
        <v>1</v>
      </c>
      <c r="W957" t="str">
        <f>IF(AND(U957=0,V957=0),"",IF(U957=0,"ODOO-ONLY",IF(V957=0,"BANK-ONLY","BOTH")))</f>
        <v>BOTH</v>
      </c>
      <c r="X957" s="9">
        <f>IF(W957="BOTH",ROUND(S957-T957,2),0)</f>
        <v>0</v>
      </c>
      <c r="Y957" s="9">
        <f>ROUND(SUMIFS('Bank Lines'!$E$5:$E$1640,'Bank Lines'!$G$5:$G$1640,A957,'Bank Lines'!$J$5:$J$1640,1,'Bank Lines'!$C$5:$C$1640,"&lt;="&amp;Cover!$C$15),2)</f>
        <v>88</v>
      </c>
      <c r="Z957" s="9">
        <f>ROUND(SUMIFS('Odoo Items'!$G$5:$G$4331,'Odoo Items'!$J$5:$J$4331,A957,'Odoo Items'!$C$5:$C$4331,"&lt;="&amp;Cover!$C$15),2)</f>
        <v>88</v>
      </c>
      <c r="AA957">
        <f>COUNTIFS('Bank Lines'!$G$5:$G$1640,A957,'Bank Lines'!$J$5:$J$1640,1,'Bank Lines'!$C$5:$C$1640,"&lt;="&amp;Cover!$C$15)</f>
        <v>1</v>
      </c>
      <c r="AB957">
        <f>COUNTIFS('Odoo Items'!$J$5:$J$4331,A957,'Odoo Items'!$C$5:$C$4331,"&lt;="&amp;Cover!$C$15)</f>
        <v>1</v>
      </c>
      <c r="AC957" t="str">
        <f>IF(AND(AA957=0,AB957=0),"",IF(AA957=0,"ODOO-ONLY",IF(AB957=0,"BANK-ONLY","BOTH")))</f>
        <v>BOTH</v>
      </c>
      <c r="AD957" s="9">
        <f>IF(AC957="BOTH",ROUND(Y957-Z957,2),0)</f>
        <v>0</v>
      </c>
    </row>
    <row r="958">
      <c r="A958" t="inlineStr">
        <is>
          <t>G00954</t>
        </is>
      </c>
      <c r="B958" t="inlineStr">
        <is>
          <t>OPS</t>
        </is>
      </c>
      <c r="C958" t="inlineStr">
        <is>
          <t>R09</t>
        </is>
      </c>
      <c r="D958" t="inlineStr">
        <is>
          <t>MATCH</t>
        </is>
      </c>
      <c r="E958" t="inlineStr">
        <is>
          <t>Meridian Health Cover</t>
        </is>
      </c>
      <c r="F958" t="n">
        <v>1</v>
      </c>
      <c r="G958" t="inlineStr">
        <is>
          <t>Reference INV/2026/02105</t>
        </is>
      </c>
      <c r="H958">
        <f>COUNTIFS('Bank Lines'!$G$5:$G$1640,A958,'Bank Lines'!$J$5:$J$1640,1)</f>
        <v>1</v>
      </c>
      <c r="I958">
        <f>COUNTIFS('Odoo Items'!$J$5:$J$4331,A958)</f>
        <v>1</v>
      </c>
      <c r="J958" s="9">
        <f>ROUND(SUMIFS('Bank Lines'!$E$5:$E$1640,'Bank Lines'!$G$5:$G$1640,A958,'Bank Lines'!$J$5:$J$1640,1),2)</f>
        <v>264</v>
      </c>
      <c r="K958" s="9">
        <f>ROUND(SUMIFS('Odoo Items'!$G$5:$G$4331,'Odoo Items'!$J$5:$J$4331,A958),2)</f>
        <v>264</v>
      </c>
      <c r="L958" s="9">
        <f>ROUND(J958-K958,2)</f>
        <v>0</v>
      </c>
      <c r="M958" s="9">
        <f>ROUND(SUMIFS('Bank Lines'!$E$5:$E$1640,'Bank Lines'!$G$5:$G$1640,A958,'Bank Lines'!$J$5:$J$1640,1,'Bank Lines'!$C$5:$C$1640,"&lt;="&amp;Cover!$C$13),2)</f>
        <v>264</v>
      </c>
      <c r="N958" s="9">
        <f>ROUND(SUMIFS('Odoo Items'!$G$5:$G$4331,'Odoo Items'!$J$5:$J$4331,A958,'Odoo Items'!$C$5:$C$4331,"&lt;="&amp;Cover!$C$13),2)</f>
        <v>264</v>
      </c>
      <c r="O958">
        <f>COUNTIFS('Bank Lines'!$G$5:$G$1640,A958,'Bank Lines'!$J$5:$J$1640,1,'Bank Lines'!$C$5:$C$1640,"&lt;="&amp;Cover!$C$13)</f>
        <v>1</v>
      </c>
      <c r="P958">
        <f>COUNTIFS('Odoo Items'!$J$5:$J$4331,A958,'Odoo Items'!$C$5:$C$4331,"&lt;="&amp;Cover!$C$13)</f>
        <v>1</v>
      </c>
      <c r="Q958" t="str">
        <f>IF(AND(O958=0,P958=0),"",IF(O958=0,"ODOO-ONLY",IF(P958=0,"BANK-ONLY","BOTH")))</f>
        <v>BOTH</v>
      </c>
      <c r="R958" s="9">
        <f>IF(Q958="BOTH",ROUND(M958-N958,2),0)</f>
        <v>0</v>
      </c>
      <c r="S958" s="9">
        <f>ROUND(SUMIFS('Bank Lines'!$E$5:$E$1640,'Bank Lines'!$G$5:$G$1640,A958,'Bank Lines'!$J$5:$J$1640,1,'Bank Lines'!$C$5:$C$1640,"&lt;="&amp;Cover!$C$14),2)</f>
        <v>264</v>
      </c>
      <c r="T958" s="9">
        <f>ROUND(SUMIFS('Odoo Items'!$G$5:$G$4331,'Odoo Items'!$J$5:$J$4331,A958,'Odoo Items'!$C$5:$C$4331,"&lt;="&amp;Cover!$C$14),2)</f>
        <v>264</v>
      </c>
      <c r="U958">
        <f>COUNTIFS('Bank Lines'!$G$5:$G$1640,A958,'Bank Lines'!$J$5:$J$1640,1,'Bank Lines'!$C$5:$C$1640,"&lt;="&amp;Cover!$C$14)</f>
        <v>1</v>
      </c>
      <c r="V958">
        <f>COUNTIFS('Odoo Items'!$J$5:$J$4331,A958,'Odoo Items'!$C$5:$C$4331,"&lt;="&amp;Cover!$C$14)</f>
        <v>1</v>
      </c>
      <c r="W958" t="str">
        <f>IF(AND(U958=0,V958=0),"",IF(U958=0,"ODOO-ONLY",IF(V958=0,"BANK-ONLY","BOTH")))</f>
        <v>BOTH</v>
      </c>
      <c r="X958" s="9">
        <f>IF(W958="BOTH",ROUND(S958-T958,2),0)</f>
        <v>0</v>
      </c>
      <c r="Y958" s="9">
        <f>ROUND(SUMIFS('Bank Lines'!$E$5:$E$1640,'Bank Lines'!$G$5:$G$1640,A958,'Bank Lines'!$J$5:$J$1640,1,'Bank Lines'!$C$5:$C$1640,"&lt;="&amp;Cover!$C$15),2)</f>
        <v>264</v>
      </c>
      <c r="Z958" s="9">
        <f>ROUND(SUMIFS('Odoo Items'!$G$5:$G$4331,'Odoo Items'!$J$5:$J$4331,A958,'Odoo Items'!$C$5:$C$4331,"&lt;="&amp;Cover!$C$15),2)</f>
        <v>264</v>
      </c>
      <c r="AA958">
        <f>COUNTIFS('Bank Lines'!$G$5:$G$1640,A958,'Bank Lines'!$J$5:$J$1640,1,'Bank Lines'!$C$5:$C$1640,"&lt;="&amp;Cover!$C$15)</f>
        <v>1</v>
      </c>
      <c r="AB958">
        <f>COUNTIFS('Odoo Items'!$J$5:$J$4331,A958,'Odoo Items'!$C$5:$C$4331,"&lt;="&amp;Cover!$C$15)</f>
        <v>1</v>
      </c>
      <c r="AC958" t="str">
        <f>IF(AND(AA958=0,AB958=0),"",IF(AA958=0,"ODOO-ONLY",IF(AB958=0,"BANK-ONLY","BOTH")))</f>
        <v>BOTH</v>
      </c>
      <c r="AD958" s="9">
        <f>IF(AC958="BOTH",ROUND(Y958-Z958,2),0)</f>
        <v>0</v>
      </c>
    </row>
    <row r="959">
      <c r="A959" t="inlineStr">
        <is>
          <t>G00955</t>
        </is>
      </c>
      <c r="B959" t="inlineStr">
        <is>
          <t>OPS</t>
        </is>
      </c>
      <c r="C959" t="inlineStr">
        <is>
          <t>R09</t>
        </is>
      </c>
      <c r="D959" t="inlineStr">
        <is>
          <t>MATCH</t>
        </is>
      </c>
      <c r="E959" t="inlineStr">
        <is>
          <t>Pellucid Software Pty Ltd</t>
        </is>
      </c>
      <c r="F959" t="n">
        <v>1</v>
      </c>
      <c r="G959" t="inlineStr">
        <is>
          <t>Reference INV/2026/03421</t>
        </is>
      </c>
      <c r="H959">
        <f>COUNTIFS('Bank Lines'!$G$5:$G$1640,A959,'Bank Lines'!$J$5:$J$1640,1)</f>
        <v>1</v>
      </c>
      <c r="I959">
        <f>COUNTIFS('Odoo Items'!$J$5:$J$4331,A959)</f>
        <v>1</v>
      </c>
      <c r="J959" s="9">
        <f>ROUND(SUMIFS('Bank Lines'!$E$5:$E$1640,'Bank Lines'!$G$5:$G$1640,A959,'Bank Lines'!$J$5:$J$1640,1),2)</f>
        <v>15950</v>
      </c>
      <c r="K959" s="9">
        <f>ROUND(SUMIFS('Odoo Items'!$G$5:$G$4331,'Odoo Items'!$J$5:$J$4331,A959),2)</f>
        <v>15950</v>
      </c>
      <c r="L959" s="9">
        <f>ROUND(J959-K959,2)</f>
        <v>0</v>
      </c>
      <c r="M959" s="9">
        <f>ROUND(SUMIFS('Bank Lines'!$E$5:$E$1640,'Bank Lines'!$G$5:$G$1640,A959,'Bank Lines'!$J$5:$J$1640,1,'Bank Lines'!$C$5:$C$1640,"&lt;="&amp;Cover!$C$13),2)</f>
        <v>15950</v>
      </c>
      <c r="N959" s="9">
        <f>ROUND(SUMIFS('Odoo Items'!$G$5:$G$4331,'Odoo Items'!$J$5:$J$4331,A959,'Odoo Items'!$C$5:$C$4331,"&lt;="&amp;Cover!$C$13),2)</f>
        <v>15950</v>
      </c>
      <c r="O959">
        <f>COUNTIFS('Bank Lines'!$G$5:$G$1640,A959,'Bank Lines'!$J$5:$J$1640,1,'Bank Lines'!$C$5:$C$1640,"&lt;="&amp;Cover!$C$13)</f>
        <v>1</v>
      </c>
      <c r="P959">
        <f>COUNTIFS('Odoo Items'!$J$5:$J$4331,A959,'Odoo Items'!$C$5:$C$4331,"&lt;="&amp;Cover!$C$13)</f>
        <v>1</v>
      </c>
      <c r="Q959" t="str">
        <f>IF(AND(O959=0,P959=0),"",IF(O959=0,"ODOO-ONLY",IF(P959=0,"BANK-ONLY","BOTH")))</f>
        <v>BOTH</v>
      </c>
      <c r="R959" s="9">
        <f>IF(Q959="BOTH",ROUND(M959-N959,2),0)</f>
        <v>0</v>
      </c>
      <c r="S959" s="9">
        <f>ROUND(SUMIFS('Bank Lines'!$E$5:$E$1640,'Bank Lines'!$G$5:$G$1640,A959,'Bank Lines'!$J$5:$J$1640,1,'Bank Lines'!$C$5:$C$1640,"&lt;="&amp;Cover!$C$14),2)</f>
        <v>15950</v>
      </c>
      <c r="T959" s="9">
        <f>ROUND(SUMIFS('Odoo Items'!$G$5:$G$4331,'Odoo Items'!$J$5:$J$4331,A959,'Odoo Items'!$C$5:$C$4331,"&lt;="&amp;Cover!$C$14),2)</f>
        <v>15950</v>
      </c>
      <c r="U959">
        <f>COUNTIFS('Bank Lines'!$G$5:$G$1640,A959,'Bank Lines'!$J$5:$J$1640,1,'Bank Lines'!$C$5:$C$1640,"&lt;="&amp;Cover!$C$14)</f>
        <v>1</v>
      </c>
      <c r="V959">
        <f>COUNTIFS('Odoo Items'!$J$5:$J$4331,A959,'Odoo Items'!$C$5:$C$4331,"&lt;="&amp;Cover!$C$14)</f>
        <v>1</v>
      </c>
      <c r="W959" t="str">
        <f>IF(AND(U959=0,V959=0),"",IF(U959=0,"ODOO-ONLY",IF(V959=0,"BANK-ONLY","BOTH")))</f>
        <v>BOTH</v>
      </c>
      <c r="X959" s="9">
        <f>IF(W959="BOTH",ROUND(S959-T959,2),0)</f>
        <v>0</v>
      </c>
      <c r="Y959" s="9">
        <f>ROUND(SUMIFS('Bank Lines'!$E$5:$E$1640,'Bank Lines'!$G$5:$G$1640,A959,'Bank Lines'!$J$5:$J$1640,1,'Bank Lines'!$C$5:$C$1640,"&lt;="&amp;Cover!$C$15),2)</f>
        <v>15950</v>
      </c>
      <c r="Z959" s="9">
        <f>ROUND(SUMIFS('Odoo Items'!$G$5:$G$4331,'Odoo Items'!$J$5:$J$4331,A959,'Odoo Items'!$C$5:$C$4331,"&lt;="&amp;Cover!$C$15),2)</f>
        <v>15950</v>
      </c>
      <c r="AA959">
        <f>COUNTIFS('Bank Lines'!$G$5:$G$1640,A959,'Bank Lines'!$J$5:$J$1640,1,'Bank Lines'!$C$5:$C$1640,"&lt;="&amp;Cover!$C$15)</f>
        <v>1</v>
      </c>
      <c r="AB959">
        <f>COUNTIFS('Odoo Items'!$J$5:$J$4331,A959,'Odoo Items'!$C$5:$C$4331,"&lt;="&amp;Cover!$C$15)</f>
        <v>1</v>
      </c>
      <c r="AC959" t="str">
        <f>IF(AND(AA959=0,AB959=0),"",IF(AA959=0,"ODOO-ONLY",IF(AB959=0,"BANK-ONLY","BOTH")))</f>
        <v>BOTH</v>
      </c>
      <c r="AD959" s="9">
        <f>IF(AC959="BOTH",ROUND(Y959-Z959,2),0)</f>
        <v>0</v>
      </c>
    </row>
    <row r="960">
      <c r="A960" t="inlineStr">
        <is>
          <t>G00956</t>
        </is>
      </c>
      <c r="B960" t="inlineStr">
        <is>
          <t>OPS</t>
        </is>
      </c>
      <c r="C960" t="inlineStr">
        <is>
          <t>R09</t>
        </is>
      </c>
      <c r="D960" t="inlineStr">
        <is>
          <t>MATCH</t>
        </is>
      </c>
      <c r="E960" t="inlineStr">
        <is>
          <t>Cobblestone Retail Group</t>
        </is>
      </c>
      <c r="F960" t="n">
        <v>1</v>
      </c>
      <c r="G960" t="inlineStr">
        <is>
          <t>Reference INV/2026/03440</t>
        </is>
      </c>
      <c r="H960">
        <f>COUNTIFS('Bank Lines'!$G$5:$G$1640,A960,'Bank Lines'!$J$5:$J$1640,1)</f>
        <v>1</v>
      </c>
      <c r="I960">
        <f>COUNTIFS('Odoo Items'!$J$5:$J$4331,A960)</f>
        <v>1</v>
      </c>
      <c r="J960" s="9">
        <f>ROUND(SUMIFS('Bank Lines'!$E$5:$E$1640,'Bank Lines'!$G$5:$G$1640,A960,'Bank Lines'!$J$5:$J$1640,1),2)</f>
        <v>15950</v>
      </c>
      <c r="K960" s="9">
        <f>ROUND(SUMIFS('Odoo Items'!$G$5:$G$4331,'Odoo Items'!$J$5:$J$4331,A960),2)</f>
        <v>15950</v>
      </c>
      <c r="L960" s="9">
        <f>ROUND(J960-K960,2)</f>
        <v>0</v>
      </c>
      <c r="M960" s="9">
        <f>ROUND(SUMIFS('Bank Lines'!$E$5:$E$1640,'Bank Lines'!$G$5:$G$1640,A960,'Bank Lines'!$J$5:$J$1640,1,'Bank Lines'!$C$5:$C$1640,"&lt;="&amp;Cover!$C$13),2)</f>
        <v>15950</v>
      </c>
      <c r="N960" s="9">
        <f>ROUND(SUMIFS('Odoo Items'!$G$5:$G$4331,'Odoo Items'!$J$5:$J$4331,A960,'Odoo Items'!$C$5:$C$4331,"&lt;="&amp;Cover!$C$13),2)</f>
        <v>15950</v>
      </c>
      <c r="O960">
        <f>COUNTIFS('Bank Lines'!$G$5:$G$1640,A960,'Bank Lines'!$J$5:$J$1640,1,'Bank Lines'!$C$5:$C$1640,"&lt;="&amp;Cover!$C$13)</f>
        <v>1</v>
      </c>
      <c r="P960">
        <f>COUNTIFS('Odoo Items'!$J$5:$J$4331,A960,'Odoo Items'!$C$5:$C$4331,"&lt;="&amp;Cover!$C$13)</f>
        <v>1</v>
      </c>
      <c r="Q960" t="str">
        <f>IF(AND(O960=0,P960=0),"",IF(O960=0,"ODOO-ONLY",IF(P960=0,"BANK-ONLY","BOTH")))</f>
        <v>BOTH</v>
      </c>
      <c r="R960" s="9">
        <f>IF(Q960="BOTH",ROUND(M960-N960,2),0)</f>
        <v>0</v>
      </c>
      <c r="S960" s="9">
        <f>ROUND(SUMIFS('Bank Lines'!$E$5:$E$1640,'Bank Lines'!$G$5:$G$1640,A960,'Bank Lines'!$J$5:$J$1640,1,'Bank Lines'!$C$5:$C$1640,"&lt;="&amp;Cover!$C$14),2)</f>
        <v>15950</v>
      </c>
      <c r="T960" s="9">
        <f>ROUND(SUMIFS('Odoo Items'!$G$5:$G$4331,'Odoo Items'!$J$5:$J$4331,A960,'Odoo Items'!$C$5:$C$4331,"&lt;="&amp;Cover!$C$14),2)</f>
        <v>15950</v>
      </c>
      <c r="U960">
        <f>COUNTIFS('Bank Lines'!$G$5:$G$1640,A960,'Bank Lines'!$J$5:$J$1640,1,'Bank Lines'!$C$5:$C$1640,"&lt;="&amp;Cover!$C$14)</f>
        <v>1</v>
      </c>
      <c r="V960">
        <f>COUNTIFS('Odoo Items'!$J$5:$J$4331,A960,'Odoo Items'!$C$5:$C$4331,"&lt;="&amp;Cover!$C$14)</f>
        <v>1</v>
      </c>
      <c r="W960" t="str">
        <f>IF(AND(U960=0,V960=0),"",IF(U960=0,"ODOO-ONLY",IF(V960=0,"BANK-ONLY","BOTH")))</f>
        <v>BOTH</v>
      </c>
      <c r="X960" s="9">
        <f>IF(W960="BOTH",ROUND(S960-T960,2),0)</f>
        <v>0</v>
      </c>
      <c r="Y960" s="9">
        <f>ROUND(SUMIFS('Bank Lines'!$E$5:$E$1640,'Bank Lines'!$G$5:$G$1640,A960,'Bank Lines'!$J$5:$J$1640,1,'Bank Lines'!$C$5:$C$1640,"&lt;="&amp;Cover!$C$15),2)</f>
        <v>15950</v>
      </c>
      <c r="Z960" s="9">
        <f>ROUND(SUMIFS('Odoo Items'!$G$5:$G$4331,'Odoo Items'!$J$5:$J$4331,A960,'Odoo Items'!$C$5:$C$4331,"&lt;="&amp;Cover!$C$15),2)</f>
        <v>15950</v>
      </c>
      <c r="AA960">
        <f>COUNTIFS('Bank Lines'!$G$5:$G$1640,A960,'Bank Lines'!$J$5:$J$1640,1,'Bank Lines'!$C$5:$C$1640,"&lt;="&amp;Cover!$C$15)</f>
        <v>1</v>
      </c>
      <c r="AB960">
        <f>COUNTIFS('Odoo Items'!$J$5:$J$4331,A960,'Odoo Items'!$C$5:$C$4331,"&lt;="&amp;Cover!$C$15)</f>
        <v>1</v>
      </c>
      <c r="AC960" t="str">
        <f>IF(AND(AA960=0,AB960=0),"",IF(AA960=0,"ODOO-ONLY",IF(AB960=0,"BANK-ONLY","BOTH")))</f>
        <v>BOTH</v>
      </c>
      <c r="AD960" s="9">
        <f>IF(AC960="BOTH",ROUND(Y960-Z960,2),0)</f>
        <v>0</v>
      </c>
    </row>
    <row r="961">
      <c r="A961" t="inlineStr">
        <is>
          <t>G00957</t>
        </is>
      </c>
      <c r="B961" t="inlineStr">
        <is>
          <t>OPS</t>
        </is>
      </c>
      <c r="C961" t="inlineStr">
        <is>
          <t>R09</t>
        </is>
      </c>
      <c r="D961" t="inlineStr">
        <is>
          <t>MATCH</t>
        </is>
      </c>
      <c r="E961" t="inlineStr">
        <is>
          <t>Coastline Health Fund</t>
        </is>
      </c>
      <c r="F961" t="n">
        <v>1</v>
      </c>
      <c r="G961" t="inlineStr">
        <is>
          <t>Reference INV/2026/01893</t>
        </is>
      </c>
      <c r="H961">
        <f>COUNTIFS('Bank Lines'!$G$5:$G$1640,A961,'Bank Lines'!$J$5:$J$1640,1)</f>
        <v>1</v>
      </c>
      <c r="I961">
        <f>COUNTIFS('Odoo Items'!$J$5:$J$4331,A961)</f>
        <v>1</v>
      </c>
      <c r="J961" s="9">
        <f>ROUND(SUMIFS('Bank Lines'!$E$5:$E$1640,'Bank Lines'!$G$5:$G$1640,A961,'Bank Lines'!$J$5:$J$1640,1),2)</f>
        <v>176</v>
      </c>
      <c r="K961" s="9">
        <f>ROUND(SUMIFS('Odoo Items'!$G$5:$G$4331,'Odoo Items'!$J$5:$J$4331,A961),2)</f>
        <v>176</v>
      </c>
      <c r="L961" s="9">
        <f>ROUND(J961-K961,2)</f>
        <v>0</v>
      </c>
      <c r="M961" s="9">
        <f>ROUND(SUMIFS('Bank Lines'!$E$5:$E$1640,'Bank Lines'!$G$5:$G$1640,A961,'Bank Lines'!$J$5:$J$1640,1,'Bank Lines'!$C$5:$C$1640,"&lt;="&amp;Cover!$C$13),2)</f>
        <v>176</v>
      </c>
      <c r="N961" s="9">
        <f>ROUND(SUMIFS('Odoo Items'!$G$5:$G$4331,'Odoo Items'!$J$5:$J$4331,A961,'Odoo Items'!$C$5:$C$4331,"&lt;="&amp;Cover!$C$13),2)</f>
        <v>176</v>
      </c>
      <c r="O961">
        <f>COUNTIFS('Bank Lines'!$G$5:$G$1640,A961,'Bank Lines'!$J$5:$J$1640,1,'Bank Lines'!$C$5:$C$1640,"&lt;="&amp;Cover!$C$13)</f>
        <v>1</v>
      </c>
      <c r="P961">
        <f>COUNTIFS('Odoo Items'!$J$5:$J$4331,A961,'Odoo Items'!$C$5:$C$4331,"&lt;="&amp;Cover!$C$13)</f>
        <v>1</v>
      </c>
      <c r="Q961" t="str">
        <f>IF(AND(O961=0,P961=0),"",IF(O961=0,"ODOO-ONLY",IF(P961=0,"BANK-ONLY","BOTH")))</f>
        <v>BOTH</v>
      </c>
      <c r="R961" s="9">
        <f>IF(Q961="BOTH",ROUND(M961-N961,2),0)</f>
        <v>0</v>
      </c>
      <c r="S961" s="9">
        <f>ROUND(SUMIFS('Bank Lines'!$E$5:$E$1640,'Bank Lines'!$G$5:$G$1640,A961,'Bank Lines'!$J$5:$J$1640,1,'Bank Lines'!$C$5:$C$1640,"&lt;="&amp;Cover!$C$14),2)</f>
        <v>176</v>
      </c>
      <c r="T961" s="9">
        <f>ROUND(SUMIFS('Odoo Items'!$G$5:$G$4331,'Odoo Items'!$J$5:$J$4331,A961,'Odoo Items'!$C$5:$C$4331,"&lt;="&amp;Cover!$C$14),2)</f>
        <v>176</v>
      </c>
      <c r="U961">
        <f>COUNTIFS('Bank Lines'!$G$5:$G$1640,A961,'Bank Lines'!$J$5:$J$1640,1,'Bank Lines'!$C$5:$C$1640,"&lt;="&amp;Cover!$C$14)</f>
        <v>1</v>
      </c>
      <c r="V961">
        <f>COUNTIFS('Odoo Items'!$J$5:$J$4331,A961,'Odoo Items'!$C$5:$C$4331,"&lt;="&amp;Cover!$C$14)</f>
        <v>1</v>
      </c>
      <c r="W961" t="str">
        <f>IF(AND(U961=0,V961=0),"",IF(U961=0,"ODOO-ONLY",IF(V961=0,"BANK-ONLY","BOTH")))</f>
        <v>BOTH</v>
      </c>
      <c r="X961" s="9">
        <f>IF(W961="BOTH",ROUND(S961-T961,2),0)</f>
        <v>0</v>
      </c>
      <c r="Y961" s="9">
        <f>ROUND(SUMIFS('Bank Lines'!$E$5:$E$1640,'Bank Lines'!$G$5:$G$1640,A961,'Bank Lines'!$J$5:$J$1640,1,'Bank Lines'!$C$5:$C$1640,"&lt;="&amp;Cover!$C$15),2)</f>
        <v>176</v>
      </c>
      <c r="Z961" s="9">
        <f>ROUND(SUMIFS('Odoo Items'!$G$5:$G$4331,'Odoo Items'!$J$5:$J$4331,A961,'Odoo Items'!$C$5:$C$4331,"&lt;="&amp;Cover!$C$15),2)</f>
        <v>176</v>
      </c>
      <c r="AA961">
        <f>COUNTIFS('Bank Lines'!$G$5:$G$1640,A961,'Bank Lines'!$J$5:$J$1640,1,'Bank Lines'!$C$5:$C$1640,"&lt;="&amp;Cover!$C$15)</f>
        <v>1</v>
      </c>
      <c r="AB961">
        <f>COUNTIFS('Odoo Items'!$J$5:$J$4331,A961,'Odoo Items'!$C$5:$C$4331,"&lt;="&amp;Cover!$C$15)</f>
        <v>1</v>
      </c>
      <c r="AC961" t="str">
        <f>IF(AND(AA961=0,AB961=0),"",IF(AA961=0,"ODOO-ONLY",IF(AB961=0,"BANK-ONLY","BOTH")))</f>
        <v>BOTH</v>
      </c>
      <c r="AD961" s="9">
        <f>IF(AC961="BOTH",ROUND(Y961-Z961,2),0)</f>
        <v>0</v>
      </c>
    </row>
    <row r="962">
      <c r="A962" t="inlineStr">
        <is>
          <t>G00958</t>
        </is>
      </c>
      <c r="B962" t="inlineStr">
        <is>
          <t>OPS</t>
        </is>
      </c>
      <c r="C962" t="inlineStr">
        <is>
          <t>R09</t>
        </is>
      </c>
      <c r="D962" t="inlineStr">
        <is>
          <t>MATCH</t>
        </is>
      </c>
      <c r="E962" t="inlineStr">
        <is>
          <t>Coastline Health Fund</t>
        </is>
      </c>
      <c r="F962" t="n">
        <v>1</v>
      </c>
      <c r="G962" t="inlineStr">
        <is>
          <t>Reference INV/2026/02062</t>
        </is>
      </c>
      <c r="H962">
        <f>COUNTIFS('Bank Lines'!$G$5:$G$1640,A962,'Bank Lines'!$J$5:$J$1640,1)</f>
        <v>1</v>
      </c>
      <c r="I962">
        <f>COUNTIFS('Odoo Items'!$J$5:$J$4331,A962)</f>
        <v>1</v>
      </c>
      <c r="J962" s="9">
        <f>ROUND(SUMIFS('Bank Lines'!$E$5:$E$1640,'Bank Lines'!$G$5:$G$1640,A962,'Bank Lines'!$J$5:$J$1640,1),2)</f>
        <v>412.5</v>
      </c>
      <c r="K962" s="9">
        <f>ROUND(SUMIFS('Odoo Items'!$G$5:$G$4331,'Odoo Items'!$J$5:$J$4331,A962),2)</f>
        <v>412.5</v>
      </c>
      <c r="L962" s="9">
        <f>ROUND(J962-K962,2)</f>
        <v>0</v>
      </c>
      <c r="M962" s="9">
        <f>ROUND(SUMIFS('Bank Lines'!$E$5:$E$1640,'Bank Lines'!$G$5:$G$1640,A962,'Bank Lines'!$J$5:$J$1640,1,'Bank Lines'!$C$5:$C$1640,"&lt;="&amp;Cover!$C$13),2)</f>
        <v>412.5</v>
      </c>
      <c r="N962" s="9">
        <f>ROUND(SUMIFS('Odoo Items'!$G$5:$G$4331,'Odoo Items'!$J$5:$J$4331,A962,'Odoo Items'!$C$5:$C$4331,"&lt;="&amp;Cover!$C$13),2)</f>
        <v>412.5</v>
      </c>
      <c r="O962">
        <f>COUNTIFS('Bank Lines'!$G$5:$G$1640,A962,'Bank Lines'!$J$5:$J$1640,1,'Bank Lines'!$C$5:$C$1640,"&lt;="&amp;Cover!$C$13)</f>
        <v>1</v>
      </c>
      <c r="P962">
        <f>COUNTIFS('Odoo Items'!$J$5:$J$4331,A962,'Odoo Items'!$C$5:$C$4331,"&lt;="&amp;Cover!$C$13)</f>
        <v>1</v>
      </c>
      <c r="Q962" t="str">
        <f>IF(AND(O962=0,P962=0),"",IF(O962=0,"ODOO-ONLY",IF(P962=0,"BANK-ONLY","BOTH")))</f>
        <v>BOTH</v>
      </c>
      <c r="R962" s="9">
        <f>IF(Q962="BOTH",ROUND(M962-N962,2),0)</f>
        <v>0</v>
      </c>
      <c r="S962" s="9">
        <f>ROUND(SUMIFS('Bank Lines'!$E$5:$E$1640,'Bank Lines'!$G$5:$G$1640,A962,'Bank Lines'!$J$5:$J$1640,1,'Bank Lines'!$C$5:$C$1640,"&lt;="&amp;Cover!$C$14),2)</f>
        <v>412.5</v>
      </c>
      <c r="T962" s="9">
        <f>ROUND(SUMIFS('Odoo Items'!$G$5:$G$4331,'Odoo Items'!$J$5:$J$4331,A962,'Odoo Items'!$C$5:$C$4331,"&lt;="&amp;Cover!$C$14),2)</f>
        <v>412.5</v>
      </c>
      <c r="U962">
        <f>COUNTIFS('Bank Lines'!$G$5:$G$1640,A962,'Bank Lines'!$J$5:$J$1640,1,'Bank Lines'!$C$5:$C$1640,"&lt;="&amp;Cover!$C$14)</f>
        <v>1</v>
      </c>
      <c r="V962">
        <f>COUNTIFS('Odoo Items'!$J$5:$J$4331,A962,'Odoo Items'!$C$5:$C$4331,"&lt;="&amp;Cover!$C$14)</f>
        <v>1</v>
      </c>
      <c r="W962" t="str">
        <f>IF(AND(U962=0,V962=0),"",IF(U962=0,"ODOO-ONLY",IF(V962=0,"BANK-ONLY","BOTH")))</f>
        <v>BOTH</v>
      </c>
      <c r="X962" s="9">
        <f>IF(W962="BOTH",ROUND(S962-T962,2),0)</f>
        <v>0</v>
      </c>
      <c r="Y962" s="9">
        <f>ROUND(SUMIFS('Bank Lines'!$E$5:$E$1640,'Bank Lines'!$G$5:$G$1640,A962,'Bank Lines'!$J$5:$J$1640,1,'Bank Lines'!$C$5:$C$1640,"&lt;="&amp;Cover!$C$15),2)</f>
        <v>412.5</v>
      </c>
      <c r="Z962" s="9">
        <f>ROUND(SUMIFS('Odoo Items'!$G$5:$G$4331,'Odoo Items'!$J$5:$J$4331,A962,'Odoo Items'!$C$5:$C$4331,"&lt;="&amp;Cover!$C$15),2)</f>
        <v>412.5</v>
      </c>
      <c r="AA962">
        <f>COUNTIFS('Bank Lines'!$G$5:$G$1640,A962,'Bank Lines'!$J$5:$J$1640,1,'Bank Lines'!$C$5:$C$1640,"&lt;="&amp;Cover!$C$15)</f>
        <v>1</v>
      </c>
      <c r="AB962">
        <f>COUNTIFS('Odoo Items'!$J$5:$J$4331,A962,'Odoo Items'!$C$5:$C$4331,"&lt;="&amp;Cover!$C$15)</f>
        <v>1</v>
      </c>
      <c r="AC962" t="str">
        <f>IF(AND(AA962=0,AB962=0),"",IF(AA962=0,"ODOO-ONLY",IF(AB962=0,"BANK-ONLY","BOTH")))</f>
        <v>BOTH</v>
      </c>
      <c r="AD962" s="9">
        <f>IF(AC962="BOTH",ROUND(Y962-Z962,2),0)</f>
        <v>0</v>
      </c>
    </row>
    <row r="963">
      <c r="A963" t="inlineStr">
        <is>
          <t>G00959</t>
        </is>
      </c>
      <c r="B963" t="inlineStr">
        <is>
          <t>OPS</t>
        </is>
      </c>
      <c r="C963" t="inlineStr">
        <is>
          <t>R09</t>
        </is>
      </c>
      <c r="D963" t="inlineStr">
        <is>
          <t>MATCH</t>
        </is>
      </c>
      <c r="E963" t="inlineStr">
        <is>
          <t>Harbour Mutual Health</t>
        </is>
      </c>
      <c r="F963" t="n">
        <v>1</v>
      </c>
      <c r="G963" t="inlineStr">
        <is>
          <t>Reference INV/2026/02129</t>
        </is>
      </c>
      <c r="H963">
        <f>COUNTIFS('Bank Lines'!$G$5:$G$1640,A963,'Bank Lines'!$J$5:$J$1640,1)</f>
        <v>1</v>
      </c>
      <c r="I963">
        <f>COUNTIFS('Odoo Items'!$J$5:$J$4331,A963)</f>
        <v>1</v>
      </c>
      <c r="J963" s="9">
        <f>ROUND(SUMIFS('Bank Lines'!$E$5:$E$1640,'Bank Lines'!$G$5:$G$1640,A963,'Bank Lines'!$J$5:$J$1640,1),2)</f>
        <v>412.5</v>
      </c>
      <c r="K963" s="9">
        <f>ROUND(SUMIFS('Odoo Items'!$G$5:$G$4331,'Odoo Items'!$J$5:$J$4331,A963),2)</f>
        <v>412.5</v>
      </c>
      <c r="L963" s="9">
        <f>ROUND(J963-K963,2)</f>
        <v>0</v>
      </c>
      <c r="M963" s="9">
        <f>ROUND(SUMIFS('Bank Lines'!$E$5:$E$1640,'Bank Lines'!$G$5:$G$1640,A963,'Bank Lines'!$J$5:$J$1640,1,'Bank Lines'!$C$5:$C$1640,"&lt;="&amp;Cover!$C$13),2)</f>
        <v>412.5</v>
      </c>
      <c r="N963" s="9">
        <f>ROUND(SUMIFS('Odoo Items'!$G$5:$G$4331,'Odoo Items'!$J$5:$J$4331,A963,'Odoo Items'!$C$5:$C$4331,"&lt;="&amp;Cover!$C$13),2)</f>
        <v>412.5</v>
      </c>
      <c r="O963">
        <f>COUNTIFS('Bank Lines'!$G$5:$G$1640,A963,'Bank Lines'!$J$5:$J$1640,1,'Bank Lines'!$C$5:$C$1640,"&lt;="&amp;Cover!$C$13)</f>
        <v>1</v>
      </c>
      <c r="P963">
        <f>COUNTIFS('Odoo Items'!$J$5:$J$4331,A963,'Odoo Items'!$C$5:$C$4331,"&lt;="&amp;Cover!$C$13)</f>
        <v>1</v>
      </c>
      <c r="Q963" t="str">
        <f>IF(AND(O963=0,P963=0),"",IF(O963=0,"ODOO-ONLY",IF(P963=0,"BANK-ONLY","BOTH")))</f>
        <v>BOTH</v>
      </c>
      <c r="R963" s="9">
        <f>IF(Q963="BOTH",ROUND(M963-N963,2),0)</f>
        <v>0</v>
      </c>
      <c r="S963" s="9">
        <f>ROUND(SUMIFS('Bank Lines'!$E$5:$E$1640,'Bank Lines'!$G$5:$G$1640,A963,'Bank Lines'!$J$5:$J$1640,1,'Bank Lines'!$C$5:$C$1640,"&lt;="&amp;Cover!$C$14),2)</f>
        <v>412.5</v>
      </c>
      <c r="T963" s="9">
        <f>ROUND(SUMIFS('Odoo Items'!$G$5:$G$4331,'Odoo Items'!$J$5:$J$4331,A963,'Odoo Items'!$C$5:$C$4331,"&lt;="&amp;Cover!$C$14),2)</f>
        <v>412.5</v>
      </c>
      <c r="U963">
        <f>COUNTIFS('Bank Lines'!$G$5:$G$1640,A963,'Bank Lines'!$J$5:$J$1640,1,'Bank Lines'!$C$5:$C$1640,"&lt;="&amp;Cover!$C$14)</f>
        <v>1</v>
      </c>
      <c r="V963">
        <f>COUNTIFS('Odoo Items'!$J$5:$J$4331,A963,'Odoo Items'!$C$5:$C$4331,"&lt;="&amp;Cover!$C$14)</f>
        <v>1</v>
      </c>
      <c r="W963" t="str">
        <f>IF(AND(U963=0,V963=0),"",IF(U963=0,"ODOO-ONLY",IF(V963=0,"BANK-ONLY","BOTH")))</f>
        <v>BOTH</v>
      </c>
      <c r="X963" s="9">
        <f>IF(W963="BOTH",ROUND(S963-T963,2),0)</f>
        <v>0</v>
      </c>
      <c r="Y963" s="9">
        <f>ROUND(SUMIFS('Bank Lines'!$E$5:$E$1640,'Bank Lines'!$G$5:$G$1640,A963,'Bank Lines'!$J$5:$J$1640,1,'Bank Lines'!$C$5:$C$1640,"&lt;="&amp;Cover!$C$15),2)</f>
        <v>412.5</v>
      </c>
      <c r="Z963" s="9">
        <f>ROUND(SUMIFS('Odoo Items'!$G$5:$G$4331,'Odoo Items'!$J$5:$J$4331,A963,'Odoo Items'!$C$5:$C$4331,"&lt;="&amp;Cover!$C$15),2)</f>
        <v>412.5</v>
      </c>
      <c r="AA963">
        <f>COUNTIFS('Bank Lines'!$G$5:$G$1640,A963,'Bank Lines'!$J$5:$J$1640,1,'Bank Lines'!$C$5:$C$1640,"&lt;="&amp;Cover!$C$15)</f>
        <v>1</v>
      </c>
      <c r="AB963">
        <f>COUNTIFS('Odoo Items'!$J$5:$J$4331,A963,'Odoo Items'!$C$5:$C$4331,"&lt;="&amp;Cover!$C$15)</f>
        <v>1</v>
      </c>
      <c r="AC963" t="str">
        <f>IF(AND(AA963=0,AB963=0),"",IF(AA963=0,"ODOO-ONLY",IF(AB963=0,"BANK-ONLY","BOTH")))</f>
        <v>BOTH</v>
      </c>
      <c r="AD963" s="9">
        <f>IF(AC963="BOTH",ROUND(Y963-Z963,2),0)</f>
        <v>0</v>
      </c>
    </row>
    <row r="964">
      <c r="A964" t="inlineStr">
        <is>
          <t>G00960</t>
        </is>
      </c>
      <c r="B964" t="inlineStr">
        <is>
          <t>OPS</t>
        </is>
      </c>
      <c r="C964" t="inlineStr">
        <is>
          <t>R09</t>
        </is>
      </c>
      <c r="D964" t="inlineStr">
        <is>
          <t>MATCH</t>
        </is>
      </c>
      <c r="E964" t="inlineStr">
        <is>
          <t>Pinnacle Claims Services</t>
        </is>
      </c>
      <c r="F964" t="n">
        <v>1</v>
      </c>
      <c r="G964" t="inlineStr">
        <is>
          <t>Reference INV/2026/02036</t>
        </is>
      </c>
      <c r="H964">
        <f>COUNTIFS('Bank Lines'!$G$5:$G$1640,A964,'Bank Lines'!$J$5:$J$1640,1)</f>
        <v>1</v>
      </c>
      <c r="I964">
        <f>COUNTIFS('Odoo Items'!$J$5:$J$4331,A964)</f>
        <v>1</v>
      </c>
      <c r="J964" s="9">
        <f>ROUND(SUMIFS('Bank Lines'!$E$5:$E$1640,'Bank Lines'!$G$5:$G$1640,A964,'Bank Lines'!$J$5:$J$1640,1),2)</f>
        <v>990</v>
      </c>
      <c r="K964" s="9">
        <f>ROUND(SUMIFS('Odoo Items'!$G$5:$G$4331,'Odoo Items'!$J$5:$J$4331,A964),2)</f>
        <v>990</v>
      </c>
      <c r="L964" s="9">
        <f>ROUND(J964-K964,2)</f>
        <v>0</v>
      </c>
      <c r="M964" s="9">
        <f>ROUND(SUMIFS('Bank Lines'!$E$5:$E$1640,'Bank Lines'!$G$5:$G$1640,A964,'Bank Lines'!$J$5:$J$1640,1,'Bank Lines'!$C$5:$C$1640,"&lt;="&amp;Cover!$C$13),2)</f>
        <v>990</v>
      </c>
      <c r="N964" s="9">
        <f>ROUND(SUMIFS('Odoo Items'!$G$5:$G$4331,'Odoo Items'!$J$5:$J$4331,A964,'Odoo Items'!$C$5:$C$4331,"&lt;="&amp;Cover!$C$13),2)</f>
        <v>990</v>
      </c>
      <c r="O964">
        <f>COUNTIFS('Bank Lines'!$G$5:$G$1640,A964,'Bank Lines'!$J$5:$J$1640,1,'Bank Lines'!$C$5:$C$1640,"&lt;="&amp;Cover!$C$13)</f>
        <v>1</v>
      </c>
      <c r="P964">
        <f>COUNTIFS('Odoo Items'!$J$5:$J$4331,A964,'Odoo Items'!$C$5:$C$4331,"&lt;="&amp;Cover!$C$13)</f>
        <v>1</v>
      </c>
      <c r="Q964" t="str">
        <f>IF(AND(O964=0,P964=0),"",IF(O964=0,"ODOO-ONLY",IF(P964=0,"BANK-ONLY","BOTH")))</f>
        <v>BOTH</v>
      </c>
      <c r="R964" s="9">
        <f>IF(Q964="BOTH",ROUND(M964-N964,2),0)</f>
        <v>0</v>
      </c>
      <c r="S964" s="9">
        <f>ROUND(SUMIFS('Bank Lines'!$E$5:$E$1640,'Bank Lines'!$G$5:$G$1640,A964,'Bank Lines'!$J$5:$J$1640,1,'Bank Lines'!$C$5:$C$1640,"&lt;="&amp;Cover!$C$14),2)</f>
        <v>990</v>
      </c>
      <c r="T964" s="9">
        <f>ROUND(SUMIFS('Odoo Items'!$G$5:$G$4331,'Odoo Items'!$J$5:$J$4331,A964,'Odoo Items'!$C$5:$C$4331,"&lt;="&amp;Cover!$C$14),2)</f>
        <v>990</v>
      </c>
      <c r="U964">
        <f>COUNTIFS('Bank Lines'!$G$5:$G$1640,A964,'Bank Lines'!$J$5:$J$1640,1,'Bank Lines'!$C$5:$C$1640,"&lt;="&amp;Cover!$C$14)</f>
        <v>1</v>
      </c>
      <c r="V964">
        <f>COUNTIFS('Odoo Items'!$J$5:$J$4331,A964,'Odoo Items'!$C$5:$C$4331,"&lt;="&amp;Cover!$C$14)</f>
        <v>1</v>
      </c>
      <c r="W964" t="str">
        <f>IF(AND(U964=0,V964=0),"",IF(U964=0,"ODOO-ONLY",IF(V964=0,"BANK-ONLY","BOTH")))</f>
        <v>BOTH</v>
      </c>
      <c r="X964" s="9">
        <f>IF(W964="BOTH",ROUND(S964-T964,2),0)</f>
        <v>0</v>
      </c>
      <c r="Y964" s="9">
        <f>ROUND(SUMIFS('Bank Lines'!$E$5:$E$1640,'Bank Lines'!$G$5:$G$1640,A964,'Bank Lines'!$J$5:$J$1640,1,'Bank Lines'!$C$5:$C$1640,"&lt;="&amp;Cover!$C$15),2)</f>
        <v>990</v>
      </c>
      <c r="Z964" s="9">
        <f>ROUND(SUMIFS('Odoo Items'!$G$5:$G$4331,'Odoo Items'!$J$5:$J$4331,A964,'Odoo Items'!$C$5:$C$4331,"&lt;="&amp;Cover!$C$15),2)</f>
        <v>990</v>
      </c>
      <c r="AA964">
        <f>COUNTIFS('Bank Lines'!$G$5:$G$1640,A964,'Bank Lines'!$J$5:$J$1640,1,'Bank Lines'!$C$5:$C$1640,"&lt;="&amp;Cover!$C$15)</f>
        <v>1</v>
      </c>
      <c r="AB964">
        <f>COUNTIFS('Odoo Items'!$J$5:$J$4331,A964,'Odoo Items'!$C$5:$C$4331,"&lt;="&amp;Cover!$C$15)</f>
        <v>1</v>
      </c>
      <c r="AC964" t="str">
        <f>IF(AND(AA964=0,AB964=0),"",IF(AA964=0,"ODOO-ONLY",IF(AB964=0,"BANK-ONLY","BOTH")))</f>
        <v>BOTH</v>
      </c>
      <c r="AD964" s="9">
        <f>IF(AC964="BOTH",ROUND(Y964-Z964,2),0)</f>
        <v>0</v>
      </c>
    </row>
    <row r="965">
      <c r="A965" t="inlineStr">
        <is>
          <t>G00961</t>
        </is>
      </c>
      <c r="B965" t="inlineStr">
        <is>
          <t>OPS</t>
        </is>
      </c>
      <c r="C965" t="inlineStr">
        <is>
          <t>R09</t>
        </is>
      </c>
      <c r="D965" t="inlineStr">
        <is>
          <t>MATCH</t>
        </is>
      </c>
      <c r="E965" t="inlineStr">
        <is>
          <t>Pinnacle Claims Services</t>
        </is>
      </c>
      <c r="F965" t="n">
        <v>1</v>
      </c>
      <c r="G965" t="inlineStr">
        <is>
          <t>Reference INV/2026/02064</t>
        </is>
      </c>
      <c r="H965">
        <f>COUNTIFS('Bank Lines'!$G$5:$G$1640,A965,'Bank Lines'!$J$5:$J$1640,1)</f>
        <v>1</v>
      </c>
      <c r="I965">
        <f>COUNTIFS('Odoo Items'!$J$5:$J$4331,A965)</f>
        <v>1</v>
      </c>
      <c r="J965" s="9">
        <f>ROUND(SUMIFS('Bank Lines'!$E$5:$E$1640,'Bank Lines'!$G$5:$G$1640,A965,'Bank Lines'!$J$5:$J$1640,1),2)</f>
        <v>990</v>
      </c>
      <c r="K965" s="9">
        <f>ROUND(SUMIFS('Odoo Items'!$G$5:$G$4331,'Odoo Items'!$J$5:$J$4331,A965),2)</f>
        <v>990</v>
      </c>
      <c r="L965" s="9">
        <f>ROUND(J965-K965,2)</f>
        <v>0</v>
      </c>
      <c r="M965" s="9">
        <f>ROUND(SUMIFS('Bank Lines'!$E$5:$E$1640,'Bank Lines'!$G$5:$G$1640,A965,'Bank Lines'!$J$5:$J$1640,1,'Bank Lines'!$C$5:$C$1640,"&lt;="&amp;Cover!$C$13),2)</f>
        <v>990</v>
      </c>
      <c r="N965" s="9">
        <f>ROUND(SUMIFS('Odoo Items'!$G$5:$G$4331,'Odoo Items'!$J$5:$J$4331,A965,'Odoo Items'!$C$5:$C$4331,"&lt;="&amp;Cover!$C$13),2)</f>
        <v>990</v>
      </c>
      <c r="O965">
        <f>COUNTIFS('Bank Lines'!$G$5:$G$1640,A965,'Bank Lines'!$J$5:$J$1640,1,'Bank Lines'!$C$5:$C$1640,"&lt;="&amp;Cover!$C$13)</f>
        <v>1</v>
      </c>
      <c r="P965">
        <f>COUNTIFS('Odoo Items'!$J$5:$J$4331,A965,'Odoo Items'!$C$5:$C$4331,"&lt;="&amp;Cover!$C$13)</f>
        <v>1</v>
      </c>
      <c r="Q965" t="str">
        <f>IF(AND(O965=0,P965=0),"",IF(O965=0,"ODOO-ONLY",IF(P965=0,"BANK-ONLY","BOTH")))</f>
        <v>BOTH</v>
      </c>
      <c r="R965" s="9">
        <f>IF(Q965="BOTH",ROUND(M965-N965,2),0)</f>
        <v>0</v>
      </c>
      <c r="S965" s="9">
        <f>ROUND(SUMIFS('Bank Lines'!$E$5:$E$1640,'Bank Lines'!$G$5:$G$1640,A965,'Bank Lines'!$J$5:$J$1640,1,'Bank Lines'!$C$5:$C$1640,"&lt;="&amp;Cover!$C$14),2)</f>
        <v>990</v>
      </c>
      <c r="T965" s="9">
        <f>ROUND(SUMIFS('Odoo Items'!$G$5:$G$4331,'Odoo Items'!$J$5:$J$4331,A965,'Odoo Items'!$C$5:$C$4331,"&lt;="&amp;Cover!$C$14),2)</f>
        <v>990</v>
      </c>
      <c r="U965">
        <f>COUNTIFS('Bank Lines'!$G$5:$G$1640,A965,'Bank Lines'!$J$5:$J$1640,1,'Bank Lines'!$C$5:$C$1640,"&lt;="&amp;Cover!$C$14)</f>
        <v>1</v>
      </c>
      <c r="V965">
        <f>COUNTIFS('Odoo Items'!$J$5:$J$4331,A965,'Odoo Items'!$C$5:$C$4331,"&lt;="&amp;Cover!$C$14)</f>
        <v>1</v>
      </c>
      <c r="W965" t="str">
        <f>IF(AND(U965=0,V965=0),"",IF(U965=0,"ODOO-ONLY",IF(V965=0,"BANK-ONLY","BOTH")))</f>
        <v>BOTH</v>
      </c>
      <c r="X965" s="9">
        <f>IF(W965="BOTH",ROUND(S965-T965,2),0)</f>
        <v>0</v>
      </c>
      <c r="Y965" s="9">
        <f>ROUND(SUMIFS('Bank Lines'!$E$5:$E$1640,'Bank Lines'!$G$5:$G$1640,A965,'Bank Lines'!$J$5:$J$1640,1,'Bank Lines'!$C$5:$C$1640,"&lt;="&amp;Cover!$C$15),2)</f>
        <v>990</v>
      </c>
      <c r="Z965" s="9">
        <f>ROUND(SUMIFS('Odoo Items'!$G$5:$G$4331,'Odoo Items'!$J$5:$J$4331,A965,'Odoo Items'!$C$5:$C$4331,"&lt;="&amp;Cover!$C$15),2)</f>
        <v>990</v>
      </c>
      <c r="AA965">
        <f>COUNTIFS('Bank Lines'!$G$5:$G$1640,A965,'Bank Lines'!$J$5:$J$1640,1,'Bank Lines'!$C$5:$C$1640,"&lt;="&amp;Cover!$C$15)</f>
        <v>1</v>
      </c>
      <c r="AB965">
        <f>COUNTIFS('Odoo Items'!$J$5:$J$4331,A965,'Odoo Items'!$C$5:$C$4331,"&lt;="&amp;Cover!$C$15)</f>
        <v>1</v>
      </c>
      <c r="AC965" t="str">
        <f>IF(AND(AA965=0,AB965=0),"",IF(AA965=0,"ODOO-ONLY",IF(AB965=0,"BANK-ONLY","BOTH")))</f>
        <v>BOTH</v>
      </c>
      <c r="AD965" s="9">
        <f>IF(AC965="BOTH",ROUND(Y965-Z965,2),0)</f>
        <v>0</v>
      </c>
    </row>
    <row r="966">
      <c r="A966" t="inlineStr">
        <is>
          <t>G00962</t>
        </is>
      </c>
      <c r="B966" t="inlineStr">
        <is>
          <t>OPS</t>
        </is>
      </c>
      <c r="C966" t="inlineStr">
        <is>
          <t>R09</t>
        </is>
      </c>
      <c r="D966" t="inlineStr">
        <is>
          <t>MATCH</t>
        </is>
      </c>
      <c r="E966" t="inlineStr">
        <is>
          <t>Northline Injury Claims</t>
        </is>
      </c>
      <c r="F966" t="n">
        <v>1</v>
      </c>
      <c r="G966" t="inlineStr">
        <is>
          <t>Reference INV/2026/02087</t>
        </is>
      </c>
      <c r="H966">
        <f>COUNTIFS('Bank Lines'!$G$5:$G$1640,A966,'Bank Lines'!$J$5:$J$1640,1)</f>
        <v>1</v>
      </c>
      <c r="I966">
        <f>COUNTIFS('Odoo Items'!$J$5:$J$4331,A966)</f>
        <v>1</v>
      </c>
      <c r="J966" s="9">
        <f>ROUND(SUMIFS('Bank Lines'!$E$5:$E$1640,'Bank Lines'!$G$5:$G$1640,A966,'Bank Lines'!$J$5:$J$1640,1),2)</f>
        <v>176</v>
      </c>
      <c r="K966" s="9">
        <f>ROUND(SUMIFS('Odoo Items'!$G$5:$G$4331,'Odoo Items'!$J$5:$J$4331,A966),2)</f>
        <v>176</v>
      </c>
      <c r="L966" s="9">
        <f>ROUND(J966-K966,2)</f>
        <v>0</v>
      </c>
      <c r="M966" s="9">
        <f>ROUND(SUMIFS('Bank Lines'!$E$5:$E$1640,'Bank Lines'!$G$5:$G$1640,A966,'Bank Lines'!$J$5:$J$1640,1,'Bank Lines'!$C$5:$C$1640,"&lt;="&amp;Cover!$C$13),2)</f>
        <v>176</v>
      </c>
      <c r="N966" s="9">
        <f>ROUND(SUMIFS('Odoo Items'!$G$5:$G$4331,'Odoo Items'!$J$5:$J$4331,A966,'Odoo Items'!$C$5:$C$4331,"&lt;="&amp;Cover!$C$13),2)</f>
        <v>176</v>
      </c>
      <c r="O966">
        <f>COUNTIFS('Bank Lines'!$G$5:$G$1640,A966,'Bank Lines'!$J$5:$J$1640,1,'Bank Lines'!$C$5:$C$1640,"&lt;="&amp;Cover!$C$13)</f>
        <v>1</v>
      </c>
      <c r="P966">
        <f>COUNTIFS('Odoo Items'!$J$5:$J$4331,A966,'Odoo Items'!$C$5:$C$4331,"&lt;="&amp;Cover!$C$13)</f>
        <v>1</v>
      </c>
      <c r="Q966" t="str">
        <f>IF(AND(O966=0,P966=0),"",IF(O966=0,"ODOO-ONLY",IF(P966=0,"BANK-ONLY","BOTH")))</f>
        <v>BOTH</v>
      </c>
      <c r="R966" s="9">
        <f>IF(Q966="BOTH",ROUND(M966-N966,2),0)</f>
        <v>0</v>
      </c>
      <c r="S966" s="9">
        <f>ROUND(SUMIFS('Bank Lines'!$E$5:$E$1640,'Bank Lines'!$G$5:$G$1640,A966,'Bank Lines'!$J$5:$J$1640,1,'Bank Lines'!$C$5:$C$1640,"&lt;="&amp;Cover!$C$14),2)</f>
        <v>176</v>
      </c>
      <c r="T966" s="9">
        <f>ROUND(SUMIFS('Odoo Items'!$G$5:$G$4331,'Odoo Items'!$J$5:$J$4331,A966,'Odoo Items'!$C$5:$C$4331,"&lt;="&amp;Cover!$C$14),2)</f>
        <v>176</v>
      </c>
      <c r="U966">
        <f>COUNTIFS('Bank Lines'!$G$5:$G$1640,A966,'Bank Lines'!$J$5:$J$1640,1,'Bank Lines'!$C$5:$C$1640,"&lt;="&amp;Cover!$C$14)</f>
        <v>1</v>
      </c>
      <c r="V966">
        <f>COUNTIFS('Odoo Items'!$J$5:$J$4331,A966,'Odoo Items'!$C$5:$C$4331,"&lt;="&amp;Cover!$C$14)</f>
        <v>1</v>
      </c>
      <c r="W966" t="str">
        <f>IF(AND(U966=0,V966=0),"",IF(U966=0,"ODOO-ONLY",IF(V966=0,"BANK-ONLY","BOTH")))</f>
        <v>BOTH</v>
      </c>
      <c r="X966" s="9">
        <f>IF(W966="BOTH",ROUND(S966-T966,2),0)</f>
        <v>0</v>
      </c>
      <c r="Y966" s="9">
        <f>ROUND(SUMIFS('Bank Lines'!$E$5:$E$1640,'Bank Lines'!$G$5:$G$1640,A966,'Bank Lines'!$J$5:$J$1640,1,'Bank Lines'!$C$5:$C$1640,"&lt;="&amp;Cover!$C$15),2)</f>
        <v>176</v>
      </c>
      <c r="Z966" s="9">
        <f>ROUND(SUMIFS('Odoo Items'!$G$5:$G$4331,'Odoo Items'!$J$5:$J$4331,A966,'Odoo Items'!$C$5:$C$4331,"&lt;="&amp;Cover!$C$15),2)</f>
        <v>176</v>
      </c>
      <c r="AA966">
        <f>COUNTIFS('Bank Lines'!$G$5:$G$1640,A966,'Bank Lines'!$J$5:$J$1640,1,'Bank Lines'!$C$5:$C$1640,"&lt;="&amp;Cover!$C$15)</f>
        <v>1</v>
      </c>
      <c r="AB966">
        <f>COUNTIFS('Odoo Items'!$J$5:$J$4331,A966,'Odoo Items'!$C$5:$C$4331,"&lt;="&amp;Cover!$C$15)</f>
        <v>1</v>
      </c>
      <c r="AC966" t="str">
        <f>IF(AND(AA966=0,AB966=0),"",IF(AA966=0,"ODOO-ONLY",IF(AB966=0,"BANK-ONLY","BOTH")))</f>
        <v>BOTH</v>
      </c>
      <c r="AD966" s="9">
        <f>IF(AC966="BOTH",ROUND(Y966-Z966,2),0)</f>
        <v>0</v>
      </c>
    </row>
    <row r="967">
      <c r="A967" t="inlineStr">
        <is>
          <t>G00963</t>
        </is>
      </c>
      <c r="B967" t="inlineStr">
        <is>
          <t>OPS</t>
        </is>
      </c>
      <c r="C967" t="inlineStr">
        <is>
          <t>R09</t>
        </is>
      </c>
      <c r="D967" t="inlineStr">
        <is>
          <t>MATCH</t>
        </is>
      </c>
      <c r="E967" t="inlineStr">
        <is>
          <t>Hollis &amp; Fry Architects</t>
        </is>
      </c>
      <c r="F967" t="n">
        <v>1</v>
      </c>
      <c r="G967" t="inlineStr">
        <is>
          <t>Reference INV/2026/03445</t>
        </is>
      </c>
      <c r="H967">
        <f>COUNTIFS('Bank Lines'!$G$5:$G$1640,A967,'Bank Lines'!$J$5:$J$1640,1)</f>
        <v>1</v>
      </c>
      <c r="I967">
        <f>COUNTIFS('Odoo Items'!$J$5:$J$4331,A967)</f>
        <v>1</v>
      </c>
      <c r="J967" s="9">
        <f>ROUND(SUMIFS('Bank Lines'!$E$5:$E$1640,'Bank Lines'!$G$5:$G$1640,A967,'Bank Lines'!$J$5:$J$1640,1),2)</f>
        <v>15950</v>
      </c>
      <c r="K967" s="9">
        <f>ROUND(SUMIFS('Odoo Items'!$G$5:$G$4331,'Odoo Items'!$J$5:$J$4331,A967),2)</f>
        <v>15950</v>
      </c>
      <c r="L967" s="9">
        <f>ROUND(J967-K967,2)</f>
        <v>0</v>
      </c>
      <c r="M967" s="9">
        <f>ROUND(SUMIFS('Bank Lines'!$E$5:$E$1640,'Bank Lines'!$G$5:$G$1640,A967,'Bank Lines'!$J$5:$J$1640,1,'Bank Lines'!$C$5:$C$1640,"&lt;="&amp;Cover!$C$13),2)</f>
        <v>15950</v>
      </c>
      <c r="N967" s="9">
        <f>ROUND(SUMIFS('Odoo Items'!$G$5:$G$4331,'Odoo Items'!$J$5:$J$4331,A967,'Odoo Items'!$C$5:$C$4331,"&lt;="&amp;Cover!$C$13),2)</f>
        <v>15950</v>
      </c>
      <c r="O967">
        <f>COUNTIFS('Bank Lines'!$G$5:$G$1640,A967,'Bank Lines'!$J$5:$J$1640,1,'Bank Lines'!$C$5:$C$1640,"&lt;="&amp;Cover!$C$13)</f>
        <v>1</v>
      </c>
      <c r="P967">
        <f>COUNTIFS('Odoo Items'!$J$5:$J$4331,A967,'Odoo Items'!$C$5:$C$4331,"&lt;="&amp;Cover!$C$13)</f>
        <v>1</v>
      </c>
      <c r="Q967" t="str">
        <f>IF(AND(O967=0,P967=0),"",IF(O967=0,"ODOO-ONLY",IF(P967=0,"BANK-ONLY","BOTH")))</f>
        <v>BOTH</v>
      </c>
      <c r="R967" s="9">
        <f>IF(Q967="BOTH",ROUND(M967-N967,2),0)</f>
        <v>0</v>
      </c>
      <c r="S967" s="9">
        <f>ROUND(SUMIFS('Bank Lines'!$E$5:$E$1640,'Bank Lines'!$G$5:$G$1640,A967,'Bank Lines'!$J$5:$J$1640,1,'Bank Lines'!$C$5:$C$1640,"&lt;="&amp;Cover!$C$14),2)</f>
        <v>15950</v>
      </c>
      <c r="T967" s="9">
        <f>ROUND(SUMIFS('Odoo Items'!$G$5:$G$4331,'Odoo Items'!$J$5:$J$4331,A967,'Odoo Items'!$C$5:$C$4331,"&lt;="&amp;Cover!$C$14),2)</f>
        <v>15950</v>
      </c>
      <c r="U967">
        <f>COUNTIFS('Bank Lines'!$G$5:$G$1640,A967,'Bank Lines'!$J$5:$J$1640,1,'Bank Lines'!$C$5:$C$1640,"&lt;="&amp;Cover!$C$14)</f>
        <v>1</v>
      </c>
      <c r="V967">
        <f>COUNTIFS('Odoo Items'!$J$5:$J$4331,A967,'Odoo Items'!$C$5:$C$4331,"&lt;="&amp;Cover!$C$14)</f>
        <v>1</v>
      </c>
      <c r="W967" t="str">
        <f>IF(AND(U967=0,V967=0),"",IF(U967=0,"ODOO-ONLY",IF(V967=0,"BANK-ONLY","BOTH")))</f>
        <v>BOTH</v>
      </c>
      <c r="X967" s="9">
        <f>IF(W967="BOTH",ROUND(S967-T967,2),0)</f>
        <v>0</v>
      </c>
      <c r="Y967" s="9">
        <f>ROUND(SUMIFS('Bank Lines'!$E$5:$E$1640,'Bank Lines'!$G$5:$G$1640,A967,'Bank Lines'!$J$5:$J$1640,1,'Bank Lines'!$C$5:$C$1640,"&lt;="&amp;Cover!$C$15),2)</f>
        <v>15950</v>
      </c>
      <c r="Z967" s="9">
        <f>ROUND(SUMIFS('Odoo Items'!$G$5:$G$4331,'Odoo Items'!$J$5:$J$4331,A967,'Odoo Items'!$C$5:$C$4331,"&lt;="&amp;Cover!$C$15),2)</f>
        <v>15950</v>
      </c>
      <c r="AA967">
        <f>COUNTIFS('Bank Lines'!$G$5:$G$1640,A967,'Bank Lines'!$J$5:$J$1640,1,'Bank Lines'!$C$5:$C$1640,"&lt;="&amp;Cover!$C$15)</f>
        <v>1</v>
      </c>
      <c r="AB967">
        <f>COUNTIFS('Odoo Items'!$J$5:$J$4331,A967,'Odoo Items'!$C$5:$C$4331,"&lt;="&amp;Cover!$C$15)</f>
        <v>1</v>
      </c>
      <c r="AC967" t="str">
        <f>IF(AND(AA967=0,AB967=0),"",IF(AA967=0,"ODOO-ONLY",IF(AB967=0,"BANK-ONLY","BOTH")))</f>
        <v>BOTH</v>
      </c>
      <c r="AD967" s="9">
        <f>IF(AC967="BOTH",ROUND(Y967-Z967,2),0)</f>
        <v>0</v>
      </c>
    </row>
    <row r="968">
      <c r="A968" t="inlineStr">
        <is>
          <t>G00964</t>
        </is>
      </c>
      <c r="B968" t="inlineStr">
        <is>
          <t>OPS</t>
        </is>
      </c>
      <c r="C968" t="inlineStr">
        <is>
          <t>R09</t>
        </is>
      </c>
      <c r="D968" t="inlineStr">
        <is>
          <t>MATCH</t>
        </is>
      </c>
      <c r="E968" t="inlineStr">
        <is>
          <t>Meridian Health Cover</t>
        </is>
      </c>
      <c r="F968" t="n">
        <v>1</v>
      </c>
      <c r="G968" t="inlineStr">
        <is>
          <t>Reference INV/2026/01969</t>
        </is>
      </c>
      <c r="H968">
        <f>COUNTIFS('Bank Lines'!$G$5:$G$1640,A968,'Bank Lines'!$J$5:$J$1640,1)</f>
        <v>1</v>
      </c>
      <c r="I968">
        <f>COUNTIFS('Odoo Items'!$J$5:$J$4331,A968)</f>
        <v>1</v>
      </c>
      <c r="J968" s="9">
        <f>ROUND(SUMIFS('Bank Lines'!$E$5:$E$1640,'Bank Lines'!$G$5:$G$1640,A968,'Bank Lines'!$J$5:$J$1640,1),2)</f>
        <v>176</v>
      </c>
      <c r="K968" s="9">
        <f>ROUND(SUMIFS('Odoo Items'!$G$5:$G$4331,'Odoo Items'!$J$5:$J$4331,A968),2)</f>
        <v>176</v>
      </c>
      <c r="L968" s="9">
        <f>ROUND(J968-K968,2)</f>
        <v>0</v>
      </c>
      <c r="M968" s="9">
        <f>ROUND(SUMIFS('Bank Lines'!$E$5:$E$1640,'Bank Lines'!$G$5:$G$1640,A968,'Bank Lines'!$J$5:$J$1640,1,'Bank Lines'!$C$5:$C$1640,"&lt;="&amp;Cover!$C$13),2)</f>
        <v>176</v>
      </c>
      <c r="N968" s="9">
        <f>ROUND(SUMIFS('Odoo Items'!$G$5:$G$4331,'Odoo Items'!$J$5:$J$4331,A968,'Odoo Items'!$C$5:$C$4331,"&lt;="&amp;Cover!$C$13),2)</f>
        <v>176</v>
      </c>
      <c r="O968">
        <f>COUNTIFS('Bank Lines'!$G$5:$G$1640,A968,'Bank Lines'!$J$5:$J$1640,1,'Bank Lines'!$C$5:$C$1640,"&lt;="&amp;Cover!$C$13)</f>
        <v>1</v>
      </c>
      <c r="P968">
        <f>COUNTIFS('Odoo Items'!$J$5:$J$4331,A968,'Odoo Items'!$C$5:$C$4331,"&lt;="&amp;Cover!$C$13)</f>
        <v>1</v>
      </c>
      <c r="Q968" t="str">
        <f>IF(AND(O968=0,P968=0),"",IF(O968=0,"ODOO-ONLY",IF(P968=0,"BANK-ONLY","BOTH")))</f>
        <v>BOTH</v>
      </c>
      <c r="R968" s="9">
        <f>IF(Q968="BOTH",ROUND(M968-N968,2),0)</f>
        <v>0</v>
      </c>
      <c r="S968" s="9">
        <f>ROUND(SUMIFS('Bank Lines'!$E$5:$E$1640,'Bank Lines'!$G$5:$G$1640,A968,'Bank Lines'!$J$5:$J$1640,1,'Bank Lines'!$C$5:$C$1640,"&lt;="&amp;Cover!$C$14),2)</f>
        <v>176</v>
      </c>
      <c r="T968" s="9">
        <f>ROUND(SUMIFS('Odoo Items'!$G$5:$G$4331,'Odoo Items'!$J$5:$J$4331,A968,'Odoo Items'!$C$5:$C$4331,"&lt;="&amp;Cover!$C$14),2)</f>
        <v>176</v>
      </c>
      <c r="U968">
        <f>COUNTIFS('Bank Lines'!$G$5:$G$1640,A968,'Bank Lines'!$J$5:$J$1640,1,'Bank Lines'!$C$5:$C$1640,"&lt;="&amp;Cover!$C$14)</f>
        <v>1</v>
      </c>
      <c r="V968">
        <f>COUNTIFS('Odoo Items'!$J$5:$J$4331,A968,'Odoo Items'!$C$5:$C$4331,"&lt;="&amp;Cover!$C$14)</f>
        <v>1</v>
      </c>
      <c r="W968" t="str">
        <f>IF(AND(U968=0,V968=0),"",IF(U968=0,"ODOO-ONLY",IF(V968=0,"BANK-ONLY","BOTH")))</f>
        <v>BOTH</v>
      </c>
      <c r="X968" s="9">
        <f>IF(W968="BOTH",ROUND(S968-T968,2),0)</f>
        <v>0</v>
      </c>
      <c r="Y968" s="9">
        <f>ROUND(SUMIFS('Bank Lines'!$E$5:$E$1640,'Bank Lines'!$G$5:$G$1640,A968,'Bank Lines'!$J$5:$J$1640,1,'Bank Lines'!$C$5:$C$1640,"&lt;="&amp;Cover!$C$15),2)</f>
        <v>176</v>
      </c>
      <c r="Z968" s="9">
        <f>ROUND(SUMIFS('Odoo Items'!$G$5:$G$4331,'Odoo Items'!$J$5:$J$4331,A968,'Odoo Items'!$C$5:$C$4331,"&lt;="&amp;Cover!$C$15),2)</f>
        <v>176</v>
      </c>
      <c r="AA968">
        <f>COUNTIFS('Bank Lines'!$G$5:$G$1640,A968,'Bank Lines'!$J$5:$J$1640,1,'Bank Lines'!$C$5:$C$1640,"&lt;="&amp;Cover!$C$15)</f>
        <v>1</v>
      </c>
      <c r="AB968">
        <f>COUNTIFS('Odoo Items'!$J$5:$J$4331,A968,'Odoo Items'!$C$5:$C$4331,"&lt;="&amp;Cover!$C$15)</f>
        <v>1</v>
      </c>
      <c r="AC968" t="str">
        <f>IF(AND(AA968=0,AB968=0),"",IF(AA968=0,"ODOO-ONLY",IF(AB968=0,"BANK-ONLY","BOTH")))</f>
        <v>BOTH</v>
      </c>
      <c r="AD968" s="9">
        <f>IF(AC968="BOTH",ROUND(Y968-Z968,2),0)</f>
        <v>0</v>
      </c>
    </row>
    <row r="969">
      <c r="A969" t="inlineStr">
        <is>
          <t>G00965</t>
        </is>
      </c>
      <c r="B969" t="inlineStr">
        <is>
          <t>OPS</t>
        </is>
      </c>
      <c r="C969" t="inlineStr">
        <is>
          <t>R09</t>
        </is>
      </c>
      <c r="D969" t="inlineStr">
        <is>
          <t>MATCH</t>
        </is>
      </c>
      <c r="E969" t="inlineStr">
        <is>
          <t>Harbour Mutual Health</t>
        </is>
      </c>
      <c r="F969" t="n">
        <v>1</v>
      </c>
      <c r="G969" t="inlineStr">
        <is>
          <t>Reference INV/2026/02229</t>
        </is>
      </c>
      <c r="H969">
        <f>COUNTIFS('Bank Lines'!$G$5:$G$1640,A969,'Bank Lines'!$J$5:$J$1640,1)</f>
        <v>1</v>
      </c>
      <c r="I969">
        <f>COUNTIFS('Odoo Items'!$J$5:$J$4331,A969)</f>
        <v>1</v>
      </c>
      <c r="J969" s="9">
        <f>ROUND(SUMIFS('Bank Lines'!$E$5:$E$1640,'Bank Lines'!$G$5:$G$1640,A969,'Bank Lines'!$J$5:$J$1640,1),2)</f>
        <v>264</v>
      </c>
      <c r="K969" s="9">
        <f>ROUND(SUMIFS('Odoo Items'!$G$5:$G$4331,'Odoo Items'!$J$5:$J$4331,A969),2)</f>
        <v>264</v>
      </c>
      <c r="L969" s="9">
        <f>ROUND(J969-K969,2)</f>
        <v>0</v>
      </c>
      <c r="M969" s="9">
        <f>ROUND(SUMIFS('Bank Lines'!$E$5:$E$1640,'Bank Lines'!$G$5:$G$1640,A969,'Bank Lines'!$J$5:$J$1640,1,'Bank Lines'!$C$5:$C$1640,"&lt;="&amp;Cover!$C$13),2)</f>
        <v>264</v>
      </c>
      <c r="N969" s="9">
        <f>ROUND(SUMIFS('Odoo Items'!$G$5:$G$4331,'Odoo Items'!$J$5:$J$4331,A969,'Odoo Items'!$C$5:$C$4331,"&lt;="&amp;Cover!$C$13),2)</f>
        <v>264</v>
      </c>
      <c r="O969">
        <f>COUNTIFS('Bank Lines'!$G$5:$G$1640,A969,'Bank Lines'!$J$5:$J$1640,1,'Bank Lines'!$C$5:$C$1640,"&lt;="&amp;Cover!$C$13)</f>
        <v>1</v>
      </c>
      <c r="P969">
        <f>COUNTIFS('Odoo Items'!$J$5:$J$4331,A969,'Odoo Items'!$C$5:$C$4331,"&lt;="&amp;Cover!$C$13)</f>
        <v>1</v>
      </c>
      <c r="Q969" t="str">
        <f>IF(AND(O969=0,P969=0),"",IF(O969=0,"ODOO-ONLY",IF(P969=0,"BANK-ONLY","BOTH")))</f>
        <v>BOTH</v>
      </c>
      <c r="R969" s="9">
        <f>IF(Q969="BOTH",ROUND(M969-N969,2),0)</f>
        <v>0</v>
      </c>
      <c r="S969" s="9">
        <f>ROUND(SUMIFS('Bank Lines'!$E$5:$E$1640,'Bank Lines'!$G$5:$G$1640,A969,'Bank Lines'!$J$5:$J$1640,1,'Bank Lines'!$C$5:$C$1640,"&lt;="&amp;Cover!$C$14),2)</f>
        <v>264</v>
      </c>
      <c r="T969" s="9">
        <f>ROUND(SUMIFS('Odoo Items'!$G$5:$G$4331,'Odoo Items'!$J$5:$J$4331,A969,'Odoo Items'!$C$5:$C$4331,"&lt;="&amp;Cover!$C$14),2)</f>
        <v>264</v>
      </c>
      <c r="U969">
        <f>COUNTIFS('Bank Lines'!$G$5:$G$1640,A969,'Bank Lines'!$J$5:$J$1640,1,'Bank Lines'!$C$5:$C$1640,"&lt;="&amp;Cover!$C$14)</f>
        <v>1</v>
      </c>
      <c r="V969">
        <f>COUNTIFS('Odoo Items'!$J$5:$J$4331,A969,'Odoo Items'!$C$5:$C$4331,"&lt;="&amp;Cover!$C$14)</f>
        <v>1</v>
      </c>
      <c r="W969" t="str">
        <f>IF(AND(U969=0,V969=0),"",IF(U969=0,"ODOO-ONLY",IF(V969=0,"BANK-ONLY","BOTH")))</f>
        <v>BOTH</v>
      </c>
      <c r="X969" s="9">
        <f>IF(W969="BOTH",ROUND(S969-T969,2),0)</f>
        <v>0</v>
      </c>
      <c r="Y969" s="9">
        <f>ROUND(SUMIFS('Bank Lines'!$E$5:$E$1640,'Bank Lines'!$G$5:$G$1640,A969,'Bank Lines'!$J$5:$J$1640,1,'Bank Lines'!$C$5:$C$1640,"&lt;="&amp;Cover!$C$15),2)</f>
        <v>264</v>
      </c>
      <c r="Z969" s="9">
        <f>ROUND(SUMIFS('Odoo Items'!$G$5:$G$4331,'Odoo Items'!$J$5:$J$4331,A969,'Odoo Items'!$C$5:$C$4331,"&lt;="&amp;Cover!$C$15),2)</f>
        <v>264</v>
      </c>
      <c r="AA969">
        <f>COUNTIFS('Bank Lines'!$G$5:$G$1640,A969,'Bank Lines'!$J$5:$J$1640,1,'Bank Lines'!$C$5:$C$1640,"&lt;="&amp;Cover!$C$15)</f>
        <v>1</v>
      </c>
      <c r="AB969">
        <f>COUNTIFS('Odoo Items'!$J$5:$J$4331,A969,'Odoo Items'!$C$5:$C$4331,"&lt;="&amp;Cover!$C$15)</f>
        <v>1</v>
      </c>
      <c r="AC969" t="str">
        <f>IF(AND(AA969=0,AB969=0),"",IF(AA969=0,"ODOO-ONLY",IF(AB969=0,"BANK-ONLY","BOTH")))</f>
        <v>BOTH</v>
      </c>
      <c r="AD969" s="9">
        <f>IF(AC969="BOTH",ROUND(Y969-Z969,2),0)</f>
        <v>0</v>
      </c>
    </row>
    <row r="970">
      <c r="A970" t="inlineStr">
        <is>
          <t>G00966</t>
        </is>
      </c>
      <c r="B970" t="inlineStr">
        <is>
          <t>OPS</t>
        </is>
      </c>
      <c r="C970" t="inlineStr">
        <is>
          <t>R09</t>
        </is>
      </c>
      <c r="D970" t="inlineStr">
        <is>
          <t>MATCH</t>
        </is>
      </c>
      <c r="E970" t="inlineStr">
        <is>
          <t>Unity Workcover Agents</t>
        </is>
      </c>
      <c r="F970" t="n">
        <v>1</v>
      </c>
      <c r="G970" t="inlineStr">
        <is>
          <t>Reference INV/2026/02017</t>
        </is>
      </c>
      <c r="H970">
        <f>COUNTIFS('Bank Lines'!$G$5:$G$1640,A970,'Bank Lines'!$J$5:$J$1640,1)</f>
        <v>1</v>
      </c>
      <c r="I970">
        <f>COUNTIFS('Odoo Items'!$J$5:$J$4331,A970)</f>
        <v>1</v>
      </c>
      <c r="J970" s="9">
        <f>ROUND(SUMIFS('Bank Lines'!$E$5:$E$1640,'Bank Lines'!$G$5:$G$1640,A970,'Bank Lines'!$J$5:$J$1640,1),2)</f>
        <v>412.5</v>
      </c>
      <c r="K970" s="9">
        <f>ROUND(SUMIFS('Odoo Items'!$G$5:$G$4331,'Odoo Items'!$J$5:$J$4331,A970),2)</f>
        <v>412.5</v>
      </c>
      <c r="L970" s="9">
        <f>ROUND(J970-K970,2)</f>
        <v>0</v>
      </c>
      <c r="M970" s="9">
        <f>ROUND(SUMIFS('Bank Lines'!$E$5:$E$1640,'Bank Lines'!$G$5:$G$1640,A970,'Bank Lines'!$J$5:$J$1640,1,'Bank Lines'!$C$5:$C$1640,"&lt;="&amp;Cover!$C$13),2)</f>
        <v>412.5</v>
      </c>
      <c r="N970" s="9">
        <f>ROUND(SUMIFS('Odoo Items'!$G$5:$G$4331,'Odoo Items'!$J$5:$J$4331,A970,'Odoo Items'!$C$5:$C$4331,"&lt;="&amp;Cover!$C$13),2)</f>
        <v>412.5</v>
      </c>
      <c r="O970">
        <f>COUNTIFS('Bank Lines'!$G$5:$G$1640,A970,'Bank Lines'!$J$5:$J$1640,1,'Bank Lines'!$C$5:$C$1640,"&lt;="&amp;Cover!$C$13)</f>
        <v>1</v>
      </c>
      <c r="P970">
        <f>COUNTIFS('Odoo Items'!$J$5:$J$4331,A970,'Odoo Items'!$C$5:$C$4331,"&lt;="&amp;Cover!$C$13)</f>
        <v>1</v>
      </c>
      <c r="Q970" t="str">
        <f>IF(AND(O970=0,P970=0),"",IF(O970=0,"ODOO-ONLY",IF(P970=0,"BANK-ONLY","BOTH")))</f>
        <v>BOTH</v>
      </c>
      <c r="R970" s="9">
        <f>IF(Q970="BOTH",ROUND(M970-N970,2),0)</f>
        <v>0</v>
      </c>
      <c r="S970" s="9">
        <f>ROUND(SUMIFS('Bank Lines'!$E$5:$E$1640,'Bank Lines'!$G$5:$G$1640,A970,'Bank Lines'!$J$5:$J$1640,1,'Bank Lines'!$C$5:$C$1640,"&lt;="&amp;Cover!$C$14),2)</f>
        <v>412.5</v>
      </c>
      <c r="T970" s="9">
        <f>ROUND(SUMIFS('Odoo Items'!$G$5:$G$4331,'Odoo Items'!$J$5:$J$4331,A970,'Odoo Items'!$C$5:$C$4331,"&lt;="&amp;Cover!$C$14),2)</f>
        <v>412.5</v>
      </c>
      <c r="U970">
        <f>COUNTIFS('Bank Lines'!$G$5:$G$1640,A970,'Bank Lines'!$J$5:$J$1640,1,'Bank Lines'!$C$5:$C$1640,"&lt;="&amp;Cover!$C$14)</f>
        <v>1</v>
      </c>
      <c r="V970">
        <f>COUNTIFS('Odoo Items'!$J$5:$J$4331,A970,'Odoo Items'!$C$5:$C$4331,"&lt;="&amp;Cover!$C$14)</f>
        <v>1</v>
      </c>
      <c r="W970" t="str">
        <f>IF(AND(U970=0,V970=0),"",IF(U970=0,"ODOO-ONLY",IF(V970=0,"BANK-ONLY","BOTH")))</f>
        <v>BOTH</v>
      </c>
      <c r="X970" s="9">
        <f>IF(W970="BOTH",ROUND(S970-T970,2),0)</f>
        <v>0</v>
      </c>
      <c r="Y970" s="9">
        <f>ROUND(SUMIFS('Bank Lines'!$E$5:$E$1640,'Bank Lines'!$G$5:$G$1640,A970,'Bank Lines'!$J$5:$J$1640,1,'Bank Lines'!$C$5:$C$1640,"&lt;="&amp;Cover!$C$15),2)</f>
        <v>412.5</v>
      </c>
      <c r="Z970" s="9">
        <f>ROUND(SUMIFS('Odoo Items'!$G$5:$G$4331,'Odoo Items'!$J$5:$J$4331,A970,'Odoo Items'!$C$5:$C$4331,"&lt;="&amp;Cover!$C$15),2)</f>
        <v>412.5</v>
      </c>
      <c r="AA970">
        <f>COUNTIFS('Bank Lines'!$G$5:$G$1640,A970,'Bank Lines'!$J$5:$J$1640,1,'Bank Lines'!$C$5:$C$1640,"&lt;="&amp;Cover!$C$15)</f>
        <v>1</v>
      </c>
      <c r="AB970">
        <f>COUNTIFS('Odoo Items'!$J$5:$J$4331,A970,'Odoo Items'!$C$5:$C$4331,"&lt;="&amp;Cover!$C$15)</f>
        <v>1</v>
      </c>
      <c r="AC970" t="str">
        <f>IF(AND(AA970=0,AB970=0),"",IF(AA970=0,"ODOO-ONLY",IF(AB970=0,"BANK-ONLY","BOTH")))</f>
        <v>BOTH</v>
      </c>
      <c r="AD970" s="9">
        <f>IF(AC970="BOTH",ROUND(Y970-Z970,2),0)</f>
        <v>0</v>
      </c>
    </row>
    <row r="971">
      <c r="A971" t="inlineStr">
        <is>
          <t>G00967</t>
        </is>
      </c>
      <c r="B971" t="inlineStr">
        <is>
          <t>OPS</t>
        </is>
      </c>
      <c r="C971" t="inlineStr">
        <is>
          <t>R09</t>
        </is>
      </c>
      <c r="D971" t="inlineStr">
        <is>
          <t>MATCH</t>
        </is>
      </c>
      <c r="E971" t="inlineStr">
        <is>
          <t>Ashgrove Accounting</t>
        </is>
      </c>
      <c r="F971" t="n">
        <v>1</v>
      </c>
      <c r="G971" t="inlineStr">
        <is>
          <t>Reference INV/2026/03438</t>
        </is>
      </c>
      <c r="H971">
        <f>COUNTIFS('Bank Lines'!$G$5:$G$1640,A971,'Bank Lines'!$J$5:$J$1640,1)</f>
        <v>1</v>
      </c>
      <c r="I971">
        <f>COUNTIFS('Odoo Items'!$J$5:$J$4331,A971)</f>
        <v>1</v>
      </c>
      <c r="J971" s="9">
        <f>ROUND(SUMIFS('Bank Lines'!$E$5:$E$1640,'Bank Lines'!$G$5:$G$1640,A971,'Bank Lines'!$J$5:$J$1640,1),2)</f>
        <v>5362.5</v>
      </c>
      <c r="K971" s="9">
        <f>ROUND(SUMIFS('Odoo Items'!$G$5:$G$4331,'Odoo Items'!$J$5:$J$4331,A971),2)</f>
        <v>5362.5</v>
      </c>
      <c r="L971" s="9">
        <f>ROUND(J971-K971,2)</f>
        <v>0</v>
      </c>
      <c r="M971" s="9">
        <f>ROUND(SUMIFS('Bank Lines'!$E$5:$E$1640,'Bank Lines'!$G$5:$G$1640,A971,'Bank Lines'!$J$5:$J$1640,1,'Bank Lines'!$C$5:$C$1640,"&lt;="&amp;Cover!$C$13),2)</f>
        <v>5362.5</v>
      </c>
      <c r="N971" s="9">
        <f>ROUND(SUMIFS('Odoo Items'!$G$5:$G$4331,'Odoo Items'!$J$5:$J$4331,A971,'Odoo Items'!$C$5:$C$4331,"&lt;="&amp;Cover!$C$13),2)</f>
        <v>5362.5</v>
      </c>
      <c r="O971">
        <f>COUNTIFS('Bank Lines'!$G$5:$G$1640,A971,'Bank Lines'!$J$5:$J$1640,1,'Bank Lines'!$C$5:$C$1640,"&lt;="&amp;Cover!$C$13)</f>
        <v>1</v>
      </c>
      <c r="P971">
        <f>COUNTIFS('Odoo Items'!$J$5:$J$4331,A971,'Odoo Items'!$C$5:$C$4331,"&lt;="&amp;Cover!$C$13)</f>
        <v>1</v>
      </c>
      <c r="Q971" t="str">
        <f>IF(AND(O971=0,P971=0),"",IF(O971=0,"ODOO-ONLY",IF(P971=0,"BANK-ONLY","BOTH")))</f>
        <v>BOTH</v>
      </c>
      <c r="R971" s="9">
        <f>IF(Q971="BOTH",ROUND(M971-N971,2),0)</f>
        <v>0</v>
      </c>
      <c r="S971" s="9">
        <f>ROUND(SUMIFS('Bank Lines'!$E$5:$E$1640,'Bank Lines'!$G$5:$G$1640,A971,'Bank Lines'!$J$5:$J$1640,1,'Bank Lines'!$C$5:$C$1640,"&lt;="&amp;Cover!$C$14),2)</f>
        <v>5362.5</v>
      </c>
      <c r="T971" s="9">
        <f>ROUND(SUMIFS('Odoo Items'!$G$5:$G$4331,'Odoo Items'!$J$5:$J$4331,A971,'Odoo Items'!$C$5:$C$4331,"&lt;="&amp;Cover!$C$14),2)</f>
        <v>5362.5</v>
      </c>
      <c r="U971">
        <f>COUNTIFS('Bank Lines'!$G$5:$G$1640,A971,'Bank Lines'!$J$5:$J$1640,1,'Bank Lines'!$C$5:$C$1640,"&lt;="&amp;Cover!$C$14)</f>
        <v>1</v>
      </c>
      <c r="V971">
        <f>COUNTIFS('Odoo Items'!$J$5:$J$4331,A971,'Odoo Items'!$C$5:$C$4331,"&lt;="&amp;Cover!$C$14)</f>
        <v>1</v>
      </c>
      <c r="W971" t="str">
        <f>IF(AND(U971=0,V971=0),"",IF(U971=0,"ODOO-ONLY",IF(V971=0,"BANK-ONLY","BOTH")))</f>
        <v>BOTH</v>
      </c>
      <c r="X971" s="9">
        <f>IF(W971="BOTH",ROUND(S971-T971,2),0)</f>
        <v>0</v>
      </c>
      <c r="Y971" s="9">
        <f>ROUND(SUMIFS('Bank Lines'!$E$5:$E$1640,'Bank Lines'!$G$5:$G$1640,A971,'Bank Lines'!$J$5:$J$1640,1,'Bank Lines'!$C$5:$C$1640,"&lt;="&amp;Cover!$C$15),2)</f>
        <v>5362.5</v>
      </c>
      <c r="Z971" s="9">
        <f>ROUND(SUMIFS('Odoo Items'!$G$5:$G$4331,'Odoo Items'!$J$5:$J$4331,A971,'Odoo Items'!$C$5:$C$4331,"&lt;="&amp;Cover!$C$15),2)</f>
        <v>5362.5</v>
      </c>
      <c r="AA971">
        <f>COUNTIFS('Bank Lines'!$G$5:$G$1640,A971,'Bank Lines'!$J$5:$J$1640,1,'Bank Lines'!$C$5:$C$1640,"&lt;="&amp;Cover!$C$15)</f>
        <v>1</v>
      </c>
      <c r="AB971">
        <f>COUNTIFS('Odoo Items'!$J$5:$J$4331,A971,'Odoo Items'!$C$5:$C$4331,"&lt;="&amp;Cover!$C$15)</f>
        <v>1</v>
      </c>
      <c r="AC971" t="str">
        <f>IF(AND(AA971=0,AB971=0),"",IF(AA971=0,"ODOO-ONLY",IF(AB971=0,"BANK-ONLY","BOTH")))</f>
        <v>BOTH</v>
      </c>
      <c r="AD971" s="9">
        <f>IF(AC971="BOTH",ROUND(Y971-Z971,2),0)</f>
        <v>0</v>
      </c>
    </row>
    <row r="972">
      <c r="A972" t="inlineStr">
        <is>
          <t>G00968</t>
        </is>
      </c>
      <c r="B972" t="inlineStr">
        <is>
          <t>OPS</t>
        </is>
      </c>
      <c r="C972" t="inlineStr">
        <is>
          <t>R09</t>
        </is>
      </c>
      <c r="D972" t="inlineStr">
        <is>
          <t>MATCH</t>
        </is>
      </c>
      <c r="E972" t="inlineStr">
        <is>
          <t>Fairlie Bros Plumbing</t>
        </is>
      </c>
      <c r="F972" t="n">
        <v>1</v>
      </c>
      <c r="G972" t="inlineStr">
        <is>
          <t>Reference INV/2026/03443</t>
        </is>
      </c>
      <c r="H972">
        <f>COUNTIFS('Bank Lines'!$G$5:$G$1640,A972,'Bank Lines'!$J$5:$J$1640,1)</f>
        <v>1</v>
      </c>
      <c r="I972">
        <f>COUNTIFS('Odoo Items'!$J$5:$J$4331,A972)</f>
        <v>1</v>
      </c>
      <c r="J972" s="9">
        <f>ROUND(SUMIFS('Bank Lines'!$E$5:$E$1640,'Bank Lines'!$G$5:$G$1640,A972,'Bank Lines'!$J$5:$J$1640,1),2)</f>
        <v>3465</v>
      </c>
      <c r="K972" s="9">
        <f>ROUND(SUMIFS('Odoo Items'!$G$5:$G$4331,'Odoo Items'!$J$5:$J$4331,A972),2)</f>
        <v>3465</v>
      </c>
      <c r="L972" s="9">
        <f>ROUND(J972-K972,2)</f>
        <v>0</v>
      </c>
      <c r="M972" s="9">
        <f>ROUND(SUMIFS('Bank Lines'!$E$5:$E$1640,'Bank Lines'!$G$5:$G$1640,A972,'Bank Lines'!$J$5:$J$1640,1,'Bank Lines'!$C$5:$C$1640,"&lt;="&amp;Cover!$C$13),2)</f>
        <v>3465</v>
      </c>
      <c r="N972" s="9">
        <f>ROUND(SUMIFS('Odoo Items'!$G$5:$G$4331,'Odoo Items'!$J$5:$J$4331,A972,'Odoo Items'!$C$5:$C$4331,"&lt;="&amp;Cover!$C$13),2)</f>
        <v>3465</v>
      </c>
      <c r="O972">
        <f>COUNTIFS('Bank Lines'!$G$5:$G$1640,A972,'Bank Lines'!$J$5:$J$1640,1,'Bank Lines'!$C$5:$C$1640,"&lt;="&amp;Cover!$C$13)</f>
        <v>1</v>
      </c>
      <c r="P972">
        <f>COUNTIFS('Odoo Items'!$J$5:$J$4331,A972,'Odoo Items'!$C$5:$C$4331,"&lt;="&amp;Cover!$C$13)</f>
        <v>1</v>
      </c>
      <c r="Q972" t="str">
        <f>IF(AND(O972=0,P972=0),"",IF(O972=0,"ODOO-ONLY",IF(P972=0,"BANK-ONLY","BOTH")))</f>
        <v>BOTH</v>
      </c>
      <c r="R972" s="9">
        <f>IF(Q972="BOTH",ROUND(M972-N972,2),0)</f>
        <v>0</v>
      </c>
      <c r="S972" s="9">
        <f>ROUND(SUMIFS('Bank Lines'!$E$5:$E$1640,'Bank Lines'!$G$5:$G$1640,A972,'Bank Lines'!$J$5:$J$1640,1,'Bank Lines'!$C$5:$C$1640,"&lt;="&amp;Cover!$C$14),2)</f>
        <v>3465</v>
      </c>
      <c r="T972" s="9">
        <f>ROUND(SUMIFS('Odoo Items'!$G$5:$G$4331,'Odoo Items'!$J$5:$J$4331,A972,'Odoo Items'!$C$5:$C$4331,"&lt;="&amp;Cover!$C$14),2)</f>
        <v>3465</v>
      </c>
      <c r="U972">
        <f>COUNTIFS('Bank Lines'!$G$5:$G$1640,A972,'Bank Lines'!$J$5:$J$1640,1,'Bank Lines'!$C$5:$C$1640,"&lt;="&amp;Cover!$C$14)</f>
        <v>1</v>
      </c>
      <c r="V972">
        <f>COUNTIFS('Odoo Items'!$J$5:$J$4331,A972,'Odoo Items'!$C$5:$C$4331,"&lt;="&amp;Cover!$C$14)</f>
        <v>1</v>
      </c>
      <c r="W972" t="str">
        <f>IF(AND(U972=0,V972=0),"",IF(U972=0,"ODOO-ONLY",IF(V972=0,"BANK-ONLY","BOTH")))</f>
        <v>BOTH</v>
      </c>
      <c r="X972" s="9">
        <f>IF(W972="BOTH",ROUND(S972-T972,2),0)</f>
        <v>0</v>
      </c>
      <c r="Y972" s="9">
        <f>ROUND(SUMIFS('Bank Lines'!$E$5:$E$1640,'Bank Lines'!$G$5:$G$1640,A972,'Bank Lines'!$J$5:$J$1640,1,'Bank Lines'!$C$5:$C$1640,"&lt;="&amp;Cover!$C$15),2)</f>
        <v>3465</v>
      </c>
      <c r="Z972" s="9">
        <f>ROUND(SUMIFS('Odoo Items'!$G$5:$G$4331,'Odoo Items'!$J$5:$J$4331,A972,'Odoo Items'!$C$5:$C$4331,"&lt;="&amp;Cover!$C$15),2)</f>
        <v>3465</v>
      </c>
      <c r="AA972">
        <f>COUNTIFS('Bank Lines'!$G$5:$G$1640,A972,'Bank Lines'!$J$5:$J$1640,1,'Bank Lines'!$C$5:$C$1640,"&lt;="&amp;Cover!$C$15)</f>
        <v>1</v>
      </c>
      <c r="AB972">
        <f>COUNTIFS('Odoo Items'!$J$5:$J$4331,A972,'Odoo Items'!$C$5:$C$4331,"&lt;="&amp;Cover!$C$15)</f>
        <v>1</v>
      </c>
      <c r="AC972" t="str">
        <f>IF(AND(AA972=0,AB972=0),"",IF(AA972=0,"ODOO-ONLY",IF(AB972=0,"BANK-ONLY","BOTH")))</f>
        <v>BOTH</v>
      </c>
      <c r="AD972" s="9">
        <f>IF(AC972="BOTH",ROUND(Y972-Z972,2),0)</f>
        <v>0</v>
      </c>
    </row>
    <row r="973">
      <c r="A973" t="inlineStr">
        <is>
          <t>G00969</t>
        </is>
      </c>
      <c r="B973" t="inlineStr">
        <is>
          <t>OPS</t>
        </is>
      </c>
      <c r="C973" t="inlineStr">
        <is>
          <t>R09</t>
        </is>
      </c>
      <c r="D973" t="inlineStr">
        <is>
          <t>MATCH</t>
        </is>
      </c>
      <c r="E973" t="inlineStr">
        <is>
          <t>Lockhart Glass</t>
        </is>
      </c>
      <c r="F973" t="n">
        <v>1</v>
      </c>
      <c r="G973" t="inlineStr">
        <is>
          <t>Reference INV/2026/03450</t>
        </is>
      </c>
      <c r="H973">
        <f>COUNTIFS('Bank Lines'!$G$5:$G$1640,A973,'Bank Lines'!$J$5:$J$1640,1)</f>
        <v>1</v>
      </c>
      <c r="I973">
        <f>COUNTIFS('Odoo Items'!$J$5:$J$4331,A973)</f>
        <v>1</v>
      </c>
      <c r="J973" s="9">
        <f>ROUND(SUMIFS('Bank Lines'!$E$5:$E$1640,'Bank Lines'!$G$5:$G$1640,A973,'Bank Lines'!$J$5:$J$1640,1),2)</f>
        <v>15950</v>
      </c>
      <c r="K973" s="9">
        <f>ROUND(SUMIFS('Odoo Items'!$G$5:$G$4331,'Odoo Items'!$J$5:$J$4331,A973),2)</f>
        <v>15950</v>
      </c>
      <c r="L973" s="9">
        <f>ROUND(J973-K973,2)</f>
        <v>0</v>
      </c>
      <c r="M973" s="9">
        <f>ROUND(SUMIFS('Bank Lines'!$E$5:$E$1640,'Bank Lines'!$G$5:$G$1640,A973,'Bank Lines'!$J$5:$J$1640,1,'Bank Lines'!$C$5:$C$1640,"&lt;="&amp;Cover!$C$13),2)</f>
        <v>15950</v>
      </c>
      <c r="N973" s="9">
        <f>ROUND(SUMIFS('Odoo Items'!$G$5:$G$4331,'Odoo Items'!$J$5:$J$4331,A973,'Odoo Items'!$C$5:$C$4331,"&lt;="&amp;Cover!$C$13),2)</f>
        <v>15950</v>
      </c>
      <c r="O973">
        <f>COUNTIFS('Bank Lines'!$G$5:$G$1640,A973,'Bank Lines'!$J$5:$J$1640,1,'Bank Lines'!$C$5:$C$1640,"&lt;="&amp;Cover!$C$13)</f>
        <v>1</v>
      </c>
      <c r="P973">
        <f>COUNTIFS('Odoo Items'!$J$5:$J$4331,A973,'Odoo Items'!$C$5:$C$4331,"&lt;="&amp;Cover!$C$13)</f>
        <v>1</v>
      </c>
      <c r="Q973" t="str">
        <f>IF(AND(O973=0,P973=0),"",IF(O973=0,"ODOO-ONLY",IF(P973=0,"BANK-ONLY","BOTH")))</f>
        <v>BOTH</v>
      </c>
      <c r="R973" s="9">
        <f>IF(Q973="BOTH",ROUND(M973-N973,2),0)</f>
        <v>0</v>
      </c>
      <c r="S973" s="9">
        <f>ROUND(SUMIFS('Bank Lines'!$E$5:$E$1640,'Bank Lines'!$G$5:$G$1640,A973,'Bank Lines'!$J$5:$J$1640,1,'Bank Lines'!$C$5:$C$1640,"&lt;="&amp;Cover!$C$14),2)</f>
        <v>15950</v>
      </c>
      <c r="T973" s="9">
        <f>ROUND(SUMIFS('Odoo Items'!$G$5:$G$4331,'Odoo Items'!$J$5:$J$4331,A973,'Odoo Items'!$C$5:$C$4331,"&lt;="&amp;Cover!$C$14),2)</f>
        <v>15950</v>
      </c>
      <c r="U973">
        <f>COUNTIFS('Bank Lines'!$G$5:$G$1640,A973,'Bank Lines'!$J$5:$J$1640,1,'Bank Lines'!$C$5:$C$1640,"&lt;="&amp;Cover!$C$14)</f>
        <v>1</v>
      </c>
      <c r="V973">
        <f>COUNTIFS('Odoo Items'!$J$5:$J$4331,A973,'Odoo Items'!$C$5:$C$4331,"&lt;="&amp;Cover!$C$14)</f>
        <v>1</v>
      </c>
      <c r="W973" t="str">
        <f>IF(AND(U973=0,V973=0),"",IF(U973=0,"ODOO-ONLY",IF(V973=0,"BANK-ONLY","BOTH")))</f>
        <v>BOTH</v>
      </c>
      <c r="X973" s="9">
        <f>IF(W973="BOTH",ROUND(S973-T973,2),0)</f>
        <v>0</v>
      </c>
      <c r="Y973" s="9">
        <f>ROUND(SUMIFS('Bank Lines'!$E$5:$E$1640,'Bank Lines'!$G$5:$G$1640,A973,'Bank Lines'!$J$5:$J$1640,1,'Bank Lines'!$C$5:$C$1640,"&lt;="&amp;Cover!$C$15),2)</f>
        <v>15950</v>
      </c>
      <c r="Z973" s="9">
        <f>ROUND(SUMIFS('Odoo Items'!$G$5:$G$4331,'Odoo Items'!$J$5:$J$4331,A973,'Odoo Items'!$C$5:$C$4331,"&lt;="&amp;Cover!$C$15),2)</f>
        <v>15950</v>
      </c>
      <c r="AA973">
        <f>COUNTIFS('Bank Lines'!$G$5:$G$1640,A973,'Bank Lines'!$J$5:$J$1640,1,'Bank Lines'!$C$5:$C$1640,"&lt;="&amp;Cover!$C$15)</f>
        <v>1</v>
      </c>
      <c r="AB973">
        <f>COUNTIFS('Odoo Items'!$J$5:$J$4331,A973,'Odoo Items'!$C$5:$C$4331,"&lt;="&amp;Cover!$C$15)</f>
        <v>1</v>
      </c>
      <c r="AC973" t="str">
        <f>IF(AND(AA973=0,AB973=0),"",IF(AA973=0,"ODOO-ONLY",IF(AB973=0,"BANK-ONLY","BOTH")))</f>
        <v>BOTH</v>
      </c>
      <c r="AD973" s="9">
        <f>IF(AC973="BOTH",ROUND(Y973-Z973,2),0)</f>
        <v>0</v>
      </c>
    </row>
    <row r="974">
      <c r="A974" t="inlineStr">
        <is>
          <t>G00970</t>
        </is>
      </c>
      <c r="B974" t="inlineStr">
        <is>
          <t>OPS</t>
        </is>
      </c>
      <c r="C974" t="inlineStr">
        <is>
          <t>R09</t>
        </is>
      </c>
      <c r="D974" t="inlineStr">
        <is>
          <t>MATCH</t>
        </is>
      </c>
      <c r="E974" t="inlineStr">
        <is>
          <t>Unity Workcover Agents</t>
        </is>
      </c>
      <c r="F974" t="n">
        <v>1</v>
      </c>
      <c r="G974" t="inlineStr">
        <is>
          <t>Reference INV/2026/02063</t>
        </is>
      </c>
      <c r="H974">
        <f>COUNTIFS('Bank Lines'!$G$5:$G$1640,A974,'Bank Lines'!$J$5:$J$1640,1)</f>
        <v>1</v>
      </c>
      <c r="I974">
        <f>COUNTIFS('Odoo Items'!$J$5:$J$4331,A974)</f>
        <v>1</v>
      </c>
      <c r="J974" s="9">
        <f>ROUND(SUMIFS('Bank Lines'!$E$5:$E$1640,'Bank Lines'!$G$5:$G$1640,A974,'Bank Lines'!$J$5:$J$1640,1),2)</f>
        <v>176</v>
      </c>
      <c r="K974" s="9">
        <f>ROUND(SUMIFS('Odoo Items'!$G$5:$G$4331,'Odoo Items'!$J$5:$J$4331,A974),2)</f>
        <v>176</v>
      </c>
      <c r="L974" s="9">
        <f>ROUND(J974-K974,2)</f>
        <v>0</v>
      </c>
      <c r="M974" s="9">
        <f>ROUND(SUMIFS('Bank Lines'!$E$5:$E$1640,'Bank Lines'!$G$5:$G$1640,A974,'Bank Lines'!$J$5:$J$1640,1,'Bank Lines'!$C$5:$C$1640,"&lt;="&amp;Cover!$C$13),2)</f>
        <v>176</v>
      </c>
      <c r="N974" s="9">
        <f>ROUND(SUMIFS('Odoo Items'!$G$5:$G$4331,'Odoo Items'!$J$5:$J$4331,A974,'Odoo Items'!$C$5:$C$4331,"&lt;="&amp;Cover!$C$13),2)</f>
        <v>176</v>
      </c>
      <c r="O974">
        <f>COUNTIFS('Bank Lines'!$G$5:$G$1640,A974,'Bank Lines'!$J$5:$J$1640,1,'Bank Lines'!$C$5:$C$1640,"&lt;="&amp;Cover!$C$13)</f>
        <v>1</v>
      </c>
      <c r="P974">
        <f>COUNTIFS('Odoo Items'!$J$5:$J$4331,A974,'Odoo Items'!$C$5:$C$4331,"&lt;="&amp;Cover!$C$13)</f>
        <v>1</v>
      </c>
      <c r="Q974" t="str">
        <f>IF(AND(O974=0,P974=0),"",IF(O974=0,"ODOO-ONLY",IF(P974=0,"BANK-ONLY","BOTH")))</f>
        <v>BOTH</v>
      </c>
      <c r="R974" s="9">
        <f>IF(Q974="BOTH",ROUND(M974-N974,2),0)</f>
        <v>0</v>
      </c>
      <c r="S974" s="9">
        <f>ROUND(SUMIFS('Bank Lines'!$E$5:$E$1640,'Bank Lines'!$G$5:$G$1640,A974,'Bank Lines'!$J$5:$J$1640,1,'Bank Lines'!$C$5:$C$1640,"&lt;="&amp;Cover!$C$14),2)</f>
        <v>176</v>
      </c>
      <c r="T974" s="9">
        <f>ROUND(SUMIFS('Odoo Items'!$G$5:$G$4331,'Odoo Items'!$J$5:$J$4331,A974,'Odoo Items'!$C$5:$C$4331,"&lt;="&amp;Cover!$C$14),2)</f>
        <v>176</v>
      </c>
      <c r="U974">
        <f>COUNTIFS('Bank Lines'!$G$5:$G$1640,A974,'Bank Lines'!$J$5:$J$1640,1,'Bank Lines'!$C$5:$C$1640,"&lt;="&amp;Cover!$C$14)</f>
        <v>1</v>
      </c>
      <c r="V974">
        <f>COUNTIFS('Odoo Items'!$J$5:$J$4331,A974,'Odoo Items'!$C$5:$C$4331,"&lt;="&amp;Cover!$C$14)</f>
        <v>1</v>
      </c>
      <c r="W974" t="str">
        <f>IF(AND(U974=0,V974=0),"",IF(U974=0,"ODOO-ONLY",IF(V974=0,"BANK-ONLY","BOTH")))</f>
        <v>BOTH</v>
      </c>
      <c r="X974" s="9">
        <f>IF(W974="BOTH",ROUND(S974-T974,2),0)</f>
        <v>0</v>
      </c>
      <c r="Y974" s="9">
        <f>ROUND(SUMIFS('Bank Lines'!$E$5:$E$1640,'Bank Lines'!$G$5:$G$1640,A974,'Bank Lines'!$J$5:$J$1640,1,'Bank Lines'!$C$5:$C$1640,"&lt;="&amp;Cover!$C$15),2)</f>
        <v>176</v>
      </c>
      <c r="Z974" s="9">
        <f>ROUND(SUMIFS('Odoo Items'!$G$5:$G$4331,'Odoo Items'!$J$5:$J$4331,A974,'Odoo Items'!$C$5:$C$4331,"&lt;="&amp;Cover!$C$15),2)</f>
        <v>176</v>
      </c>
      <c r="AA974">
        <f>COUNTIFS('Bank Lines'!$G$5:$G$1640,A974,'Bank Lines'!$J$5:$J$1640,1,'Bank Lines'!$C$5:$C$1640,"&lt;="&amp;Cover!$C$15)</f>
        <v>1</v>
      </c>
      <c r="AB974">
        <f>COUNTIFS('Odoo Items'!$J$5:$J$4331,A974,'Odoo Items'!$C$5:$C$4331,"&lt;="&amp;Cover!$C$15)</f>
        <v>1</v>
      </c>
      <c r="AC974" t="str">
        <f>IF(AND(AA974=0,AB974=0),"",IF(AA974=0,"ODOO-ONLY",IF(AB974=0,"BANK-ONLY","BOTH")))</f>
        <v>BOTH</v>
      </c>
      <c r="AD974" s="9">
        <f>IF(AC974="BOTH",ROUND(Y974-Z974,2),0)</f>
        <v>0</v>
      </c>
    </row>
    <row r="975">
      <c r="A975" t="inlineStr">
        <is>
          <t>G00971</t>
        </is>
      </c>
      <c r="B975" t="inlineStr">
        <is>
          <t>OPS</t>
        </is>
      </c>
      <c r="C975" t="inlineStr">
        <is>
          <t>R09</t>
        </is>
      </c>
      <c r="D975" t="inlineStr">
        <is>
          <t>MATCH</t>
        </is>
      </c>
      <c r="E975" t="inlineStr">
        <is>
          <t>Pinnacle Claims Services</t>
        </is>
      </c>
      <c r="F975" t="n">
        <v>1</v>
      </c>
      <c r="G975" t="inlineStr">
        <is>
          <t>Reference INV/2026/02086</t>
        </is>
      </c>
      <c r="H975">
        <f>COUNTIFS('Bank Lines'!$G$5:$G$1640,A975,'Bank Lines'!$J$5:$J$1640,1)</f>
        <v>1</v>
      </c>
      <c r="I975">
        <f>COUNTIFS('Odoo Items'!$J$5:$J$4331,A975)</f>
        <v>1</v>
      </c>
      <c r="J975" s="9">
        <f>ROUND(SUMIFS('Bank Lines'!$E$5:$E$1640,'Bank Lines'!$G$5:$G$1640,A975,'Bank Lines'!$J$5:$J$1640,1),2)</f>
        <v>990</v>
      </c>
      <c r="K975" s="9">
        <f>ROUND(SUMIFS('Odoo Items'!$G$5:$G$4331,'Odoo Items'!$J$5:$J$4331,A975),2)</f>
        <v>990</v>
      </c>
      <c r="L975" s="9">
        <f>ROUND(J975-K975,2)</f>
        <v>0</v>
      </c>
      <c r="M975" s="9">
        <f>ROUND(SUMIFS('Bank Lines'!$E$5:$E$1640,'Bank Lines'!$G$5:$G$1640,A975,'Bank Lines'!$J$5:$J$1640,1,'Bank Lines'!$C$5:$C$1640,"&lt;="&amp;Cover!$C$13),2)</f>
        <v>990</v>
      </c>
      <c r="N975" s="9">
        <f>ROUND(SUMIFS('Odoo Items'!$G$5:$G$4331,'Odoo Items'!$J$5:$J$4331,A975,'Odoo Items'!$C$5:$C$4331,"&lt;="&amp;Cover!$C$13),2)</f>
        <v>990</v>
      </c>
      <c r="O975">
        <f>COUNTIFS('Bank Lines'!$G$5:$G$1640,A975,'Bank Lines'!$J$5:$J$1640,1,'Bank Lines'!$C$5:$C$1640,"&lt;="&amp;Cover!$C$13)</f>
        <v>1</v>
      </c>
      <c r="P975">
        <f>COUNTIFS('Odoo Items'!$J$5:$J$4331,A975,'Odoo Items'!$C$5:$C$4331,"&lt;="&amp;Cover!$C$13)</f>
        <v>1</v>
      </c>
      <c r="Q975" t="str">
        <f>IF(AND(O975=0,P975=0),"",IF(O975=0,"ODOO-ONLY",IF(P975=0,"BANK-ONLY","BOTH")))</f>
        <v>BOTH</v>
      </c>
      <c r="R975" s="9">
        <f>IF(Q975="BOTH",ROUND(M975-N975,2),0)</f>
        <v>0</v>
      </c>
      <c r="S975" s="9">
        <f>ROUND(SUMIFS('Bank Lines'!$E$5:$E$1640,'Bank Lines'!$G$5:$G$1640,A975,'Bank Lines'!$J$5:$J$1640,1,'Bank Lines'!$C$5:$C$1640,"&lt;="&amp;Cover!$C$14),2)</f>
        <v>990</v>
      </c>
      <c r="T975" s="9">
        <f>ROUND(SUMIFS('Odoo Items'!$G$5:$G$4331,'Odoo Items'!$J$5:$J$4331,A975,'Odoo Items'!$C$5:$C$4331,"&lt;="&amp;Cover!$C$14),2)</f>
        <v>990</v>
      </c>
      <c r="U975">
        <f>COUNTIFS('Bank Lines'!$G$5:$G$1640,A975,'Bank Lines'!$J$5:$J$1640,1,'Bank Lines'!$C$5:$C$1640,"&lt;="&amp;Cover!$C$14)</f>
        <v>1</v>
      </c>
      <c r="V975">
        <f>COUNTIFS('Odoo Items'!$J$5:$J$4331,A975,'Odoo Items'!$C$5:$C$4331,"&lt;="&amp;Cover!$C$14)</f>
        <v>1</v>
      </c>
      <c r="W975" t="str">
        <f>IF(AND(U975=0,V975=0),"",IF(U975=0,"ODOO-ONLY",IF(V975=0,"BANK-ONLY","BOTH")))</f>
        <v>BOTH</v>
      </c>
      <c r="X975" s="9">
        <f>IF(W975="BOTH",ROUND(S975-T975,2),0)</f>
        <v>0</v>
      </c>
      <c r="Y975" s="9">
        <f>ROUND(SUMIFS('Bank Lines'!$E$5:$E$1640,'Bank Lines'!$G$5:$G$1640,A975,'Bank Lines'!$J$5:$J$1640,1,'Bank Lines'!$C$5:$C$1640,"&lt;="&amp;Cover!$C$15),2)</f>
        <v>990</v>
      </c>
      <c r="Z975" s="9">
        <f>ROUND(SUMIFS('Odoo Items'!$G$5:$G$4331,'Odoo Items'!$J$5:$J$4331,A975,'Odoo Items'!$C$5:$C$4331,"&lt;="&amp;Cover!$C$15),2)</f>
        <v>990</v>
      </c>
      <c r="AA975">
        <f>COUNTIFS('Bank Lines'!$G$5:$G$1640,A975,'Bank Lines'!$J$5:$J$1640,1,'Bank Lines'!$C$5:$C$1640,"&lt;="&amp;Cover!$C$15)</f>
        <v>1</v>
      </c>
      <c r="AB975">
        <f>COUNTIFS('Odoo Items'!$J$5:$J$4331,A975,'Odoo Items'!$C$5:$C$4331,"&lt;="&amp;Cover!$C$15)</f>
        <v>1</v>
      </c>
      <c r="AC975" t="str">
        <f>IF(AND(AA975=0,AB975=0),"",IF(AA975=0,"ODOO-ONLY",IF(AB975=0,"BANK-ONLY","BOTH")))</f>
        <v>BOTH</v>
      </c>
      <c r="AD975" s="9">
        <f>IF(AC975="BOTH",ROUND(Y975-Z975,2),0)</f>
        <v>0</v>
      </c>
    </row>
    <row r="976">
      <c r="A976" t="inlineStr">
        <is>
          <t>G00972</t>
        </is>
      </c>
      <c r="B976" t="inlineStr">
        <is>
          <t>OPS</t>
        </is>
      </c>
      <c r="C976" t="inlineStr">
        <is>
          <t>R09</t>
        </is>
      </c>
      <c r="D976" t="inlineStr">
        <is>
          <t>MATCH</t>
        </is>
      </c>
      <c r="E976" t="inlineStr">
        <is>
          <t>Meridian Health Cover</t>
        </is>
      </c>
      <c r="F976" t="n">
        <v>1</v>
      </c>
      <c r="G976" t="inlineStr">
        <is>
          <t>Reference INV/2026/02018</t>
        </is>
      </c>
      <c r="H976">
        <f>COUNTIFS('Bank Lines'!$G$5:$G$1640,A976,'Bank Lines'!$J$5:$J$1640,1)</f>
        <v>1</v>
      </c>
      <c r="I976">
        <f>COUNTIFS('Odoo Items'!$J$5:$J$4331,A976)</f>
        <v>1</v>
      </c>
      <c r="J976" s="9">
        <f>ROUND(SUMIFS('Bank Lines'!$E$5:$E$1640,'Bank Lines'!$G$5:$G$1640,A976,'Bank Lines'!$J$5:$J$1640,1),2)</f>
        <v>176</v>
      </c>
      <c r="K976" s="9">
        <f>ROUND(SUMIFS('Odoo Items'!$G$5:$G$4331,'Odoo Items'!$J$5:$J$4331,A976),2)</f>
        <v>176</v>
      </c>
      <c r="L976" s="9">
        <f>ROUND(J976-K976,2)</f>
        <v>0</v>
      </c>
      <c r="M976" s="9">
        <f>ROUND(SUMIFS('Bank Lines'!$E$5:$E$1640,'Bank Lines'!$G$5:$G$1640,A976,'Bank Lines'!$J$5:$J$1640,1,'Bank Lines'!$C$5:$C$1640,"&lt;="&amp;Cover!$C$13),2)</f>
        <v>176</v>
      </c>
      <c r="N976" s="9">
        <f>ROUND(SUMIFS('Odoo Items'!$G$5:$G$4331,'Odoo Items'!$J$5:$J$4331,A976,'Odoo Items'!$C$5:$C$4331,"&lt;="&amp;Cover!$C$13),2)</f>
        <v>176</v>
      </c>
      <c r="O976">
        <f>COUNTIFS('Bank Lines'!$G$5:$G$1640,A976,'Bank Lines'!$J$5:$J$1640,1,'Bank Lines'!$C$5:$C$1640,"&lt;="&amp;Cover!$C$13)</f>
        <v>1</v>
      </c>
      <c r="P976">
        <f>COUNTIFS('Odoo Items'!$J$5:$J$4331,A976,'Odoo Items'!$C$5:$C$4331,"&lt;="&amp;Cover!$C$13)</f>
        <v>1</v>
      </c>
      <c r="Q976" t="str">
        <f>IF(AND(O976=0,P976=0),"",IF(O976=0,"ODOO-ONLY",IF(P976=0,"BANK-ONLY","BOTH")))</f>
        <v>BOTH</v>
      </c>
      <c r="R976" s="9">
        <f>IF(Q976="BOTH",ROUND(M976-N976,2),0)</f>
        <v>0</v>
      </c>
      <c r="S976" s="9">
        <f>ROUND(SUMIFS('Bank Lines'!$E$5:$E$1640,'Bank Lines'!$G$5:$G$1640,A976,'Bank Lines'!$J$5:$J$1640,1,'Bank Lines'!$C$5:$C$1640,"&lt;="&amp;Cover!$C$14),2)</f>
        <v>176</v>
      </c>
      <c r="T976" s="9">
        <f>ROUND(SUMIFS('Odoo Items'!$G$5:$G$4331,'Odoo Items'!$J$5:$J$4331,A976,'Odoo Items'!$C$5:$C$4331,"&lt;="&amp;Cover!$C$14),2)</f>
        <v>176</v>
      </c>
      <c r="U976">
        <f>COUNTIFS('Bank Lines'!$G$5:$G$1640,A976,'Bank Lines'!$J$5:$J$1640,1,'Bank Lines'!$C$5:$C$1640,"&lt;="&amp;Cover!$C$14)</f>
        <v>1</v>
      </c>
      <c r="V976">
        <f>COUNTIFS('Odoo Items'!$J$5:$J$4331,A976,'Odoo Items'!$C$5:$C$4331,"&lt;="&amp;Cover!$C$14)</f>
        <v>1</v>
      </c>
      <c r="W976" t="str">
        <f>IF(AND(U976=0,V976=0),"",IF(U976=0,"ODOO-ONLY",IF(V976=0,"BANK-ONLY","BOTH")))</f>
        <v>BOTH</v>
      </c>
      <c r="X976" s="9">
        <f>IF(W976="BOTH",ROUND(S976-T976,2),0)</f>
        <v>0</v>
      </c>
      <c r="Y976" s="9">
        <f>ROUND(SUMIFS('Bank Lines'!$E$5:$E$1640,'Bank Lines'!$G$5:$G$1640,A976,'Bank Lines'!$J$5:$J$1640,1,'Bank Lines'!$C$5:$C$1640,"&lt;="&amp;Cover!$C$15),2)</f>
        <v>176</v>
      </c>
      <c r="Z976" s="9">
        <f>ROUND(SUMIFS('Odoo Items'!$G$5:$G$4331,'Odoo Items'!$J$5:$J$4331,A976,'Odoo Items'!$C$5:$C$4331,"&lt;="&amp;Cover!$C$15),2)</f>
        <v>176</v>
      </c>
      <c r="AA976">
        <f>COUNTIFS('Bank Lines'!$G$5:$G$1640,A976,'Bank Lines'!$J$5:$J$1640,1,'Bank Lines'!$C$5:$C$1640,"&lt;="&amp;Cover!$C$15)</f>
        <v>1</v>
      </c>
      <c r="AB976">
        <f>COUNTIFS('Odoo Items'!$J$5:$J$4331,A976,'Odoo Items'!$C$5:$C$4331,"&lt;="&amp;Cover!$C$15)</f>
        <v>1</v>
      </c>
      <c r="AC976" t="str">
        <f>IF(AND(AA976=0,AB976=0),"",IF(AA976=0,"ODOO-ONLY",IF(AB976=0,"BANK-ONLY","BOTH")))</f>
        <v>BOTH</v>
      </c>
      <c r="AD976" s="9">
        <f>IF(AC976="BOTH",ROUND(Y976-Z976,2),0)</f>
        <v>0</v>
      </c>
    </row>
    <row r="977">
      <c r="A977" t="inlineStr">
        <is>
          <t>G00973</t>
        </is>
      </c>
      <c r="B977" t="inlineStr">
        <is>
          <t>OPS</t>
        </is>
      </c>
      <c r="C977" t="inlineStr">
        <is>
          <t>R09</t>
        </is>
      </c>
      <c r="D977" t="inlineStr">
        <is>
          <t>MATCH</t>
        </is>
      </c>
      <c r="E977" t="inlineStr">
        <is>
          <t>Greystanes Building Co</t>
        </is>
      </c>
      <c r="F977" t="n">
        <v>1</v>
      </c>
      <c r="G977" t="inlineStr">
        <is>
          <t>Reference INV/2026/03423</t>
        </is>
      </c>
      <c r="H977">
        <f>COUNTIFS('Bank Lines'!$G$5:$G$1640,A977,'Bank Lines'!$J$5:$J$1640,1)</f>
        <v>1</v>
      </c>
      <c r="I977">
        <f>COUNTIFS('Odoo Items'!$J$5:$J$4331,A977)</f>
        <v>1</v>
      </c>
      <c r="J977" s="9">
        <f>ROUND(SUMIFS('Bank Lines'!$E$5:$E$1640,'Bank Lines'!$G$5:$G$1640,A977,'Bank Lines'!$J$5:$J$1640,1),2)</f>
        <v>1402.5</v>
      </c>
      <c r="K977" s="9">
        <f>ROUND(SUMIFS('Odoo Items'!$G$5:$G$4331,'Odoo Items'!$J$5:$J$4331,A977),2)</f>
        <v>1402.5</v>
      </c>
      <c r="L977" s="9">
        <f>ROUND(J977-K977,2)</f>
        <v>0</v>
      </c>
      <c r="M977" s="9">
        <f>ROUND(SUMIFS('Bank Lines'!$E$5:$E$1640,'Bank Lines'!$G$5:$G$1640,A977,'Bank Lines'!$J$5:$J$1640,1,'Bank Lines'!$C$5:$C$1640,"&lt;="&amp;Cover!$C$13),2)</f>
        <v>1402.5</v>
      </c>
      <c r="N977" s="9">
        <f>ROUND(SUMIFS('Odoo Items'!$G$5:$G$4331,'Odoo Items'!$J$5:$J$4331,A977,'Odoo Items'!$C$5:$C$4331,"&lt;="&amp;Cover!$C$13),2)</f>
        <v>1402.5</v>
      </c>
      <c r="O977">
        <f>COUNTIFS('Bank Lines'!$G$5:$G$1640,A977,'Bank Lines'!$J$5:$J$1640,1,'Bank Lines'!$C$5:$C$1640,"&lt;="&amp;Cover!$C$13)</f>
        <v>1</v>
      </c>
      <c r="P977">
        <f>COUNTIFS('Odoo Items'!$J$5:$J$4331,A977,'Odoo Items'!$C$5:$C$4331,"&lt;="&amp;Cover!$C$13)</f>
        <v>1</v>
      </c>
      <c r="Q977" t="str">
        <f>IF(AND(O977=0,P977=0),"",IF(O977=0,"ODOO-ONLY",IF(P977=0,"BANK-ONLY","BOTH")))</f>
        <v>BOTH</v>
      </c>
      <c r="R977" s="9">
        <f>IF(Q977="BOTH",ROUND(M977-N977,2),0)</f>
        <v>0</v>
      </c>
      <c r="S977" s="9">
        <f>ROUND(SUMIFS('Bank Lines'!$E$5:$E$1640,'Bank Lines'!$G$5:$G$1640,A977,'Bank Lines'!$J$5:$J$1640,1,'Bank Lines'!$C$5:$C$1640,"&lt;="&amp;Cover!$C$14),2)</f>
        <v>1402.5</v>
      </c>
      <c r="T977" s="9">
        <f>ROUND(SUMIFS('Odoo Items'!$G$5:$G$4331,'Odoo Items'!$J$5:$J$4331,A977,'Odoo Items'!$C$5:$C$4331,"&lt;="&amp;Cover!$C$14),2)</f>
        <v>1402.5</v>
      </c>
      <c r="U977">
        <f>COUNTIFS('Bank Lines'!$G$5:$G$1640,A977,'Bank Lines'!$J$5:$J$1640,1,'Bank Lines'!$C$5:$C$1640,"&lt;="&amp;Cover!$C$14)</f>
        <v>1</v>
      </c>
      <c r="V977">
        <f>COUNTIFS('Odoo Items'!$J$5:$J$4331,A977,'Odoo Items'!$C$5:$C$4331,"&lt;="&amp;Cover!$C$14)</f>
        <v>1</v>
      </c>
      <c r="W977" t="str">
        <f>IF(AND(U977=0,V977=0),"",IF(U977=0,"ODOO-ONLY",IF(V977=0,"BANK-ONLY","BOTH")))</f>
        <v>BOTH</v>
      </c>
      <c r="X977" s="9">
        <f>IF(W977="BOTH",ROUND(S977-T977,2),0)</f>
        <v>0</v>
      </c>
      <c r="Y977" s="9">
        <f>ROUND(SUMIFS('Bank Lines'!$E$5:$E$1640,'Bank Lines'!$G$5:$G$1640,A977,'Bank Lines'!$J$5:$J$1640,1,'Bank Lines'!$C$5:$C$1640,"&lt;="&amp;Cover!$C$15),2)</f>
        <v>1402.5</v>
      </c>
      <c r="Z977" s="9">
        <f>ROUND(SUMIFS('Odoo Items'!$G$5:$G$4331,'Odoo Items'!$J$5:$J$4331,A977,'Odoo Items'!$C$5:$C$4331,"&lt;="&amp;Cover!$C$15),2)</f>
        <v>1402.5</v>
      </c>
      <c r="AA977">
        <f>COUNTIFS('Bank Lines'!$G$5:$G$1640,A977,'Bank Lines'!$J$5:$J$1640,1,'Bank Lines'!$C$5:$C$1640,"&lt;="&amp;Cover!$C$15)</f>
        <v>1</v>
      </c>
      <c r="AB977">
        <f>COUNTIFS('Odoo Items'!$J$5:$J$4331,A977,'Odoo Items'!$C$5:$C$4331,"&lt;="&amp;Cover!$C$15)</f>
        <v>1</v>
      </c>
      <c r="AC977" t="str">
        <f>IF(AND(AA977=0,AB977=0),"",IF(AA977=0,"ODOO-ONLY",IF(AB977=0,"BANK-ONLY","BOTH")))</f>
        <v>BOTH</v>
      </c>
      <c r="AD977" s="9">
        <f>IF(AC977="BOTH",ROUND(Y977-Z977,2),0)</f>
        <v>0</v>
      </c>
    </row>
    <row r="978">
      <c r="A978" t="inlineStr">
        <is>
          <t>G00974</t>
        </is>
      </c>
      <c r="B978" t="inlineStr">
        <is>
          <t>OPS</t>
        </is>
      </c>
      <c r="C978" t="inlineStr">
        <is>
          <t>R09</t>
        </is>
      </c>
      <c r="D978" t="inlineStr">
        <is>
          <t>MATCH</t>
        </is>
      </c>
      <c r="E978" t="inlineStr">
        <is>
          <t>Mornane Electrical</t>
        </is>
      </c>
      <c r="F978" t="n">
        <v>1</v>
      </c>
      <c r="G978" t="inlineStr">
        <is>
          <t>Reference INV/2026/03451</t>
        </is>
      </c>
      <c r="H978">
        <f>COUNTIFS('Bank Lines'!$G$5:$G$1640,A978,'Bank Lines'!$J$5:$J$1640,1)</f>
        <v>1</v>
      </c>
      <c r="I978">
        <f>COUNTIFS('Odoo Items'!$J$5:$J$4331,A978)</f>
        <v>1</v>
      </c>
      <c r="J978" s="9">
        <f>ROUND(SUMIFS('Bank Lines'!$E$5:$E$1640,'Bank Lines'!$G$5:$G$1640,A978,'Bank Lines'!$J$5:$J$1640,1),2)</f>
        <v>1320</v>
      </c>
      <c r="K978" s="9">
        <f>ROUND(SUMIFS('Odoo Items'!$G$5:$G$4331,'Odoo Items'!$J$5:$J$4331,A978),2)</f>
        <v>1320</v>
      </c>
      <c r="L978" s="9">
        <f>ROUND(J978-K978,2)</f>
        <v>0</v>
      </c>
      <c r="M978" s="9">
        <f>ROUND(SUMIFS('Bank Lines'!$E$5:$E$1640,'Bank Lines'!$G$5:$G$1640,A978,'Bank Lines'!$J$5:$J$1640,1,'Bank Lines'!$C$5:$C$1640,"&lt;="&amp;Cover!$C$13),2)</f>
        <v>1320</v>
      </c>
      <c r="N978" s="9">
        <f>ROUND(SUMIFS('Odoo Items'!$G$5:$G$4331,'Odoo Items'!$J$5:$J$4331,A978,'Odoo Items'!$C$5:$C$4331,"&lt;="&amp;Cover!$C$13),2)</f>
        <v>1320</v>
      </c>
      <c r="O978">
        <f>COUNTIFS('Bank Lines'!$G$5:$G$1640,A978,'Bank Lines'!$J$5:$J$1640,1,'Bank Lines'!$C$5:$C$1640,"&lt;="&amp;Cover!$C$13)</f>
        <v>1</v>
      </c>
      <c r="P978">
        <f>COUNTIFS('Odoo Items'!$J$5:$J$4331,A978,'Odoo Items'!$C$5:$C$4331,"&lt;="&amp;Cover!$C$13)</f>
        <v>1</v>
      </c>
      <c r="Q978" t="str">
        <f>IF(AND(O978=0,P978=0),"",IF(O978=0,"ODOO-ONLY",IF(P978=0,"BANK-ONLY","BOTH")))</f>
        <v>BOTH</v>
      </c>
      <c r="R978" s="9">
        <f>IF(Q978="BOTH",ROUND(M978-N978,2),0)</f>
        <v>0</v>
      </c>
      <c r="S978" s="9">
        <f>ROUND(SUMIFS('Bank Lines'!$E$5:$E$1640,'Bank Lines'!$G$5:$G$1640,A978,'Bank Lines'!$J$5:$J$1640,1,'Bank Lines'!$C$5:$C$1640,"&lt;="&amp;Cover!$C$14),2)</f>
        <v>1320</v>
      </c>
      <c r="T978" s="9">
        <f>ROUND(SUMIFS('Odoo Items'!$G$5:$G$4331,'Odoo Items'!$J$5:$J$4331,A978,'Odoo Items'!$C$5:$C$4331,"&lt;="&amp;Cover!$C$14),2)</f>
        <v>1320</v>
      </c>
      <c r="U978">
        <f>COUNTIFS('Bank Lines'!$G$5:$G$1640,A978,'Bank Lines'!$J$5:$J$1640,1,'Bank Lines'!$C$5:$C$1640,"&lt;="&amp;Cover!$C$14)</f>
        <v>1</v>
      </c>
      <c r="V978">
        <f>COUNTIFS('Odoo Items'!$J$5:$J$4331,A978,'Odoo Items'!$C$5:$C$4331,"&lt;="&amp;Cover!$C$14)</f>
        <v>1</v>
      </c>
      <c r="W978" t="str">
        <f>IF(AND(U978=0,V978=0),"",IF(U978=0,"ODOO-ONLY",IF(V978=0,"BANK-ONLY","BOTH")))</f>
        <v>BOTH</v>
      </c>
      <c r="X978" s="9">
        <f>IF(W978="BOTH",ROUND(S978-T978,2),0)</f>
        <v>0</v>
      </c>
      <c r="Y978" s="9">
        <f>ROUND(SUMIFS('Bank Lines'!$E$5:$E$1640,'Bank Lines'!$G$5:$G$1640,A978,'Bank Lines'!$J$5:$J$1640,1,'Bank Lines'!$C$5:$C$1640,"&lt;="&amp;Cover!$C$15),2)</f>
        <v>1320</v>
      </c>
      <c r="Z978" s="9">
        <f>ROUND(SUMIFS('Odoo Items'!$G$5:$G$4331,'Odoo Items'!$J$5:$J$4331,A978,'Odoo Items'!$C$5:$C$4331,"&lt;="&amp;Cover!$C$15),2)</f>
        <v>1320</v>
      </c>
      <c r="AA978">
        <f>COUNTIFS('Bank Lines'!$G$5:$G$1640,A978,'Bank Lines'!$J$5:$J$1640,1,'Bank Lines'!$C$5:$C$1640,"&lt;="&amp;Cover!$C$15)</f>
        <v>1</v>
      </c>
      <c r="AB978">
        <f>COUNTIFS('Odoo Items'!$J$5:$J$4331,A978,'Odoo Items'!$C$5:$C$4331,"&lt;="&amp;Cover!$C$15)</f>
        <v>1</v>
      </c>
      <c r="AC978" t="str">
        <f>IF(AND(AA978=0,AB978=0),"",IF(AA978=0,"ODOO-ONLY",IF(AB978=0,"BANK-ONLY","BOTH")))</f>
        <v>BOTH</v>
      </c>
      <c r="AD978" s="9">
        <f>IF(AC978="BOTH",ROUND(Y978-Z978,2),0)</f>
        <v>0</v>
      </c>
    </row>
    <row r="979">
      <c r="A979" t="inlineStr">
        <is>
          <t>G00975</t>
        </is>
      </c>
      <c r="B979" t="inlineStr">
        <is>
          <t>OPS</t>
        </is>
      </c>
      <c r="C979" t="inlineStr">
        <is>
          <t>R09</t>
        </is>
      </c>
      <c r="D979" t="inlineStr">
        <is>
          <t>MATCH</t>
        </is>
      </c>
      <c r="E979" t="inlineStr">
        <is>
          <t>Pinnacle Claims Services</t>
        </is>
      </c>
      <c r="F979" t="n">
        <v>1</v>
      </c>
      <c r="G979" t="inlineStr">
        <is>
          <t>Reference INV/2026/02230</t>
        </is>
      </c>
      <c r="H979">
        <f>COUNTIFS('Bank Lines'!$G$5:$G$1640,A979,'Bank Lines'!$J$5:$J$1640,1)</f>
        <v>1</v>
      </c>
      <c r="I979">
        <f>COUNTIFS('Odoo Items'!$J$5:$J$4331,A979)</f>
        <v>1</v>
      </c>
      <c r="J979" s="9">
        <f>ROUND(SUMIFS('Bank Lines'!$E$5:$E$1640,'Bank Lines'!$G$5:$G$1640,A979,'Bank Lines'!$J$5:$J$1640,1),2)</f>
        <v>264</v>
      </c>
      <c r="K979" s="9">
        <f>ROUND(SUMIFS('Odoo Items'!$G$5:$G$4331,'Odoo Items'!$J$5:$J$4331,A979),2)</f>
        <v>264</v>
      </c>
      <c r="L979" s="9">
        <f>ROUND(J979-K979,2)</f>
        <v>0</v>
      </c>
      <c r="M979" s="9">
        <f>ROUND(SUMIFS('Bank Lines'!$E$5:$E$1640,'Bank Lines'!$G$5:$G$1640,A979,'Bank Lines'!$J$5:$J$1640,1,'Bank Lines'!$C$5:$C$1640,"&lt;="&amp;Cover!$C$13),2)</f>
        <v>264</v>
      </c>
      <c r="N979" s="9">
        <f>ROUND(SUMIFS('Odoo Items'!$G$5:$G$4331,'Odoo Items'!$J$5:$J$4331,A979,'Odoo Items'!$C$5:$C$4331,"&lt;="&amp;Cover!$C$13),2)</f>
        <v>264</v>
      </c>
      <c r="O979">
        <f>COUNTIFS('Bank Lines'!$G$5:$G$1640,A979,'Bank Lines'!$J$5:$J$1640,1,'Bank Lines'!$C$5:$C$1640,"&lt;="&amp;Cover!$C$13)</f>
        <v>1</v>
      </c>
      <c r="P979">
        <f>COUNTIFS('Odoo Items'!$J$5:$J$4331,A979,'Odoo Items'!$C$5:$C$4331,"&lt;="&amp;Cover!$C$13)</f>
        <v>1</v>
      </c>
      <c r="Q979" t="str">
        <f>IF(AND(O979=0,P979=0),"",IF(O979=0,"ODOO-ONLY",IF(P979=0,"BANK-ONLY","BOTH")))</f>
        <v>BOTH</v>
      </c>
      <c r="R979" s="9">
        <f>IF(Q979="BOTH",ROUND(M979-N979,2),0)</f>
        <v>0</v>
      </c>
      <c r="S979" s="9">
        <f>ROUND(SUMIFS('Bank Lines'!$E$5:$E$1640,'Bank Lines'!$G$5:$G$1640,A979,'Bank Lines'!$J$5:$J$1640,1,'Bank Lines'!$C$5:$C$1640,"&lt;="&amp;Cover!$C$14),2)</f>
        <v>264</v>
      </c>
      <c r="T979" s="9">
        <f>ROUND(SUMIFS('Odoo Items'!$G$5:$G$4331,'Odoo Items'!$J$5:$J$4331,A979,'Odoo Items'!$C$5:$C$4331,"&lt;="&amp;Cover!$C$14),2)</f>
        <v>264</v>
      </c>
      <c r="U979">
        <f>COUNTIFS('Bank Lines'!$G$5:$G$1640,A979,'Bank Lines'!$J$5:$J$1640,1,'Bank Lines'!$C$5:$C$1640,"&lt;="&amp;Cover!$C$14)</f>
        <v>1</v>
      </c>
      <c r="V979">
        <f>COUNTIFS('Odoo Items'!$J$5:$J$4331,A979,'Odoo Items'!$C$5:$C$4331,"&lt;="&amp;Cover!$C$14)</f>
        <v>1</v>
      </c>
      <c r="W979" t="str">
        <f>IF(AND(U979=0,V979=0),"",IF(U979=0,"ODOO-ONLY",IF(V979=0,"BANK-ONLY","BOTH")))</f>
        <v>BOTH</v>
      </c>
      <c r="X979" s="9">
        <f>IF(W979="BOTH",ROUND(S979-T979,2),0)</f>
        <v>0</v>
      </c>
      <c r="Y979" s="9">
        <f>ROUND(SUMIFS('Bank Lines'!$E$5:$E$1640,'Bank Lines'!$G$5:$G$1640,A979,'Bank Lines'!$J$5:$J$1640,1,'Bank Lines'!$C$5:$C$1640,"&lt;="&amp;Cover!$C$15),2)</f>
        <v>264</v>
      </c>
      <c r="Z979" s="9">
        <f>ROUND(SUMIFS('Odoo Items'!$G$5:$G$4331,'Odoo Items'!$J$5:$J$4331,A979,'Odoo Items'!$C$5:$C$4331,"&lt;="&amp;Cover!$C$15),2)</f>
        <v>264</v>
      </c>
      <c r="AA979">
        <f>COUNTIFS('Bank Lines'!$G$5:$G$1640,A979,'Bank Lines'!$J$5:$J$1640,1,'Bank Lines'!$C$5:$C$1640,"&lt;="&amp;Cover!$C$15)</f>
        <v>1</v>
      </c>
      <c r="AB979">
        <f>COUNTIFS('Odoo Items'!$J$5:$J$4331,A979,'Odoo Items'!$C$5:$C$4331,"&lt;="&amp;Cover!$C$15)</f>
        <v>1</v>
      </c>
      <c r="AC979" t="str">
        <f>IF(AND(AA979=0,AB979=0),"",IF(AA979=0,"ODOO-ONLY",IF(AB979=0,"BANK-ONLY","BOTH")))</f>
        <v>BOTH</v>
      </c>
      <c r="AD979" s="9">
        <f>IF(AC979="BOTH",ROUND(Y979-Z979,2),0)</f>
        <v>0</v>
      </c>
    </row>
    <row r="980">
      <c r="A980" t="inlineStr">
        <is>
          <t>G00976</t>
        </is>
      </c>
      <c r="B980" t="inlineStr">
        <is>
          <t>OPS</t>
        </is>
      </c>
      <c r="C980" t="inlineStr">
        <is>
          <t>R09</t>
        </is>
      </c>
      <c r="D980" t="inlineStr">
        <is>
          <t>MATCH</t>
        </is>
      </c>
      <c r="E980" t="inlineStr">
        <is>
          <t>Unity Workcover Agents</t>
        </is>
      </c>
      <c r="F980" t="n">
        <v>1</v>
      </c>
      <c r="G980" t="inlineStr">
        <is>
          <t>Reference INV/2026/02247</t>
        </is>
      </c>
      <c r="H980">
        <f>COUNTIFS('Bank Lines'!$G$5:$G$1640,A980,'Bank Lines'!$J$5:$J$1640,1)</f>
        <v>1</v>
      </c>
      <c r="I980">
        <f>COUNTIFS('Odoo Items'!$J$5:$J$4331,A980)</f>
        <v>1</v>
      </c>
      <c r="J980" s="9">
        <f>ROUND(SUMIFS('Bank Lines'!$E$5:$E$1640,'Bank Lines'!$G$5:$G$1640,A980,'Bank Lines'!$J$5:$J$1640,1),2)</f>
        <v>176</v>
      </c>
      <c r="K980" s="9">
        <f>ROUND(SUMIFS('Odoo Items'!$G$5:$G$4331,'Odoo Items'!$J$5:$J$4331,A980),2)</f>
        <v>176</v>
      </c>
      <c r="L980" s="9">
        <f>ROUND(J980-K980,2)</f>
        <v>0</v>
      </c>
      <c r="M980" s="9">
        <f>ROUND(SUMIFS('Bank Lines'!$E$5:$E$1640,'Bank Lines'!$G$5:$G$1640,A980,'Bank Lines'!$J$5:$J$1640,1,'Bank Lines'!$C$5:$C$1640,"&lt;="&amp;Cover!$C$13),2)</f>
        <v>176</v>
      </c>
      <c r="N980" s="9">
        <f>ROUND(SUMIFS('Odoo Items'!$G$5:$G$4331,'Odoo Items'!$J$5:$J$4331,A980,'Odoo Items'!$C$5:$C$4331,"&lt;="&amp;Cover!$C$13),2)</f>
        <v>176</v>
      </c>
      <c r="O980">
        <f>COUNTIFS('Bank Lines'!$G$5:$G$1640,A980,'Bank Lines'!$J$5:$J$1640,1,'Bank Lines'!$C$5:$C$1640,"&lt;="&amp;Cover!$C$13)</f>
        <v>1</v>
      </c>
      <c r="P980">
        <f>COUNTIFS('Odoo Items'!$J$5:$J$4331,A980,'Odoo Items'!$C$5:$C$4331,"&lt;="&amp;Cover!$C$13)</f>
        <v>1</v>
      </c>
      <c r="Q980" t="str">
        <f>IF(AND(O980=0,P980=0),"",IF(O980=0,"ODOO-ONLY",IF(P980=0,"BANK-ONLY","BOTH")))</f>
        <v>BOTH</v>
      </c>
      <c r="R980" s="9">
        <f>IF(Q980="BOTH",ROUND(M980-N980,2),0)</f>
        <v>0</v>
      </c>
      <c r="S980" s="9">
        <f>ROUND(SUMIFS('Bank Lines'!$E$5:$E$1640,'Bank Lines'!$G$5:$G$1640,A980,'Bank Lines'!$J$5:$J$1640,1,'Bank Lines'!$C$5:$C$1640,"&lt;="&amp;Cover!$C$14),2)</f>
        <v>176</v>
      </c>
      <c r="T980" s="9">
        <f>ROUND(SUMIFS('Odoo Items'!$G$5:$G$4331,'Odoo Items'!$J$5:$J$4331,A980,'Odoo Items'!$C$5:$C$4331,"&lt;="&amp;Cover!$C$14),2)</f>
        <v>176</v>
      </c>
      <c r="U980">
        <f>COUNTIFS('Bank Lines'!$G$5:$G$1640,A980,'Bank Lines'!$J$5:$J$1640,1,'Bank Lines'!$C$5:$C$1640,"&lt;="&amp;Cover!$C$14)</f>
        <v>1</v>
      </c>
      <c r="V980">
        <f>COUNTIFS('Odoo Items'!$J$5:$J$4331,A980,'Odoo Items'!$C$5:$C$4331,"&lt;="&amp;Cover!$C$14)</f>
        <v>1</v>
      </c>
      <c r="W980" t="str">
        <f>IF(AND(U980=0,V980=0),"",IF(U980=0,"ODOO-ONLY",IF(V980=0,"BANK-ONLY","BOTH")))</f>
        <v>BOTH</v>
      </c>
      <c r="X980" s="9">
        <f>IF(W980="BOTH",ROUND(S980-T980,2),0)</f>
        <v>0</v>
      </c>
      <c r="Y980" s="9">
        <f>ROUND(SUMIFS('Bank Lines'!$E$5:$E$1640,'Bank Lines'!$G$5:$G$1640,A980,'Bank Lines'!$J$5:$J$1640,1,'Bank Lines'!$C$5:$C$1640,"&lt;="&amp;Cover!$C$15),2)</f>
        <v>176</v>
      </c>
      <c r="Z980" s="9">
        <f>ROUND(SUMIFS('Odoo Items'!$G$5:$G$4331,'Odoo Items'!$J$5:$J$4331,A980,'Odoo Items'!$C$5:$C$4331,"&lt;="&amp;Cover!$C$15),2)</f>
        <v>176</v>
      </c>
      <c r="AA980">
        <f>COUNTIFS('Bank Lines'!$G$5:$G$1640,A980,'Bank Lines'!$J$5:$J$1640,1,'Bank Lines'!$C$5:$C$1640,"&lt;="&amp;Cover!$C$15)</f>
        <v>1</v>
      </c>
      <c r="AB980">
        <f>COUNTIFS('Odoo Items'!$J$5:$J$4331,A980,'Odoo Items'!$C$5:$C$4331,"&lt;="&amp;Cover!$C$15)</f>
        <v>1</v>
      </c>
      <c r="AC980" t="str">
        <f>IF(AND(AA980=0,AB980=0),"",IF(AA980=0,"ODOO-ONLY",IF(AB980=0,"BANK-ONLY","BOTH")))</f>
        <v>BOTH</v>
      </c>
      <c r="AD980" s="9">
        <f>IF(AC980="BOTH",ROUND(Y980-Z980,2),0)</f>
        <v>0</v>
      </c>
    </row>
    <row r="981">
      <c r="A981" t="inlineStr">
        <is>
          <t>G00977</t>
        </is>
      </c>
      <c r="B981" t="inlineStr">
        <is>
          <t>OPS</t>
        </is>
      </c>
      <c r="C981" t="inlineStr">
        <is>
          <t>R09</t>
        </is>
      </c>
      <c r="D981" t="inlineStr">
        <is>
          <t>MATCH</t>
        </is>
      </c>
      <c r="E981" t="inlineStr">
        <is>
          <t>Pinnacle Claims Services</t>
        </is>
      </c>
      <c r="F981" t="n">
        <v>1</v>
      </c>
      <c r="G981" t="inlineStr">
        <is>
          <t>Reference INV/2026/02153</t>
        </is>
      </c>
      <c r="H981">
        <f>COUNTIFS('Bank Lines'!$G$5:$G$1640,A981,'Bank Lines'!$J$5:$J$1640,1)</f>
        <v>1</v>
      </c>
      <c r="I981">
        <f>COUNTIFS('Odoo Items'!$J$5:$J$4331,A981)</f>
        <v>1</v>
      </c>
      <c r="J981" s="9">
        <f>ROUND(SUMIFS('Bank Lines'!$E$5:$E$1640,'Bank Lines'!$G$5:$G$1640,A981,'Bank Lines'!$J$5:$J$1640,1),2)</f>
        <v>88</v>
      </c>
      <c r="K981" s="9">
        <f>ROUND(SUMIFS('Odoo Items'!$G$5:$G$4331,'Odoo Items'!$J$5:$J$4331,A981),2)</f>
        <v>88</v>
      </c>
      <c r="L981" s="9">
        <f>ROUND(J981-K981,2)</f>
        <v>0</v>
      </c>
      <c r="M981" s="9">
        <f>ROUND(SUMIFS('Bank Lines'!$E$5:$E$1640,'Bank Lines'!$G$5:$G$1640,A981,'Bank Lines'!$J$5:$J$1640,1,'Bank Lines'!$C$5:$C$1640,"&lt;="&amp;Cover!$C$13),2)</f>
        <v>88</v>
      </c>
      <c r="N981" s="9">
        <f>ROUND(SUMIFS('Odoo Items'!$G$5:$G$4331,'Odoo Items'!$J$5:$J$4331,A981,'Odoo Items'!$C$5:$C$4331,"&lt;="&amp;Cover!$C$13),2)</f>
        <v>88</v>
      </c>
      <c r="O981">
        <f>COUNTIFS('Bank Lines'!$G$5:$G$1640,A981,'Bank Lines'!$J$5:$J$1640,1,'Bank Lines'!$C$5:$C$1640,"&lt;="&amp;Cover!$C$13)</f>
        <v>1</v>
      </c>
      <c r="P981">
        <f>COUNTIFS('Odoo Items'!$J$5:$J$4331,A981,'Odoo Items'!$C$5:$C$4331,"&lt;="&amp;Cover!$C$13)</f>
        <v>1</v>
      </c>
      <c r="Q981" t="str">
        <f>IF(AND(O981=0,P981=0),"",IF(O981=0,"ODOO-ONLY",IF(P981=0,"BANK-ONLY","BOTH")))</f>
        <v>BOTH</v>
      </c>
      <c r="R981" s="9">
        <f>IF(Q981="BOTH",ROUND(M981-N981,2),0)</f>
        <v>0</v>
      </c>
      <c r="S981" s="9">
        <f>ROUND(SUMIFS('Bank Lines'!$E$5:$E$1640,'Bank Lines'!$G$5:$G$1640,A981,'Bank Lines'!$J$5:$J$1640,1,'Bank Lines'!$C$5:$C$1640,"&lt;="&amp;Cover!$C$14),2)</f>
        <v>88</v>
      </c>
      <c r="T981" s="9">
        <f>ROUND(SUMIFS('Odoo Items'!$G$5:$G$4331,'Odoo Items'!$J$5:$J$4331,A981,'Odoo Items'!$C$5:$C$4331,"&lt;="&amp;Cover!$C$14),2)</f>
        <v>88</v>
      </c>
      <c r="U981">
        <f>COUNTIFS('Bank Lines'!$G$5:$G$1640,A981,'Bank Lines'!$J$5:$J$1640,1,'Bank Lines'!$C$5:$C$1640,"&lt;="&amp;Cover!$C$14)</f>
        <v>1</v>
      </c>
      <c r="V981">
        <f>COUNTIFS('Odoo Items'!$J$5:$J$4331,A981,'Odoo Items'!$C$5:$C$4331,"&lt;="&amp;Cover!$C$14)</f>
        <v>1</v>
      </c>
      <c r="W981" t="str">
        <f>IF(AND(U981=0,V981=0),"",IF(U981=0,"ODOO-ONLY",IF(V981=0,"BANK-ONLY","BOTH")))</f>
        <v>BOTH</v>
      </c>
      <c r="X981" s="9">
        <f>IF(W981="BOTH",ROUND(S981-T981,2),0)</f>
        <v>0</v>
      </c>
      <c r="Y981" s="9">
        <f>ROUND(SUMIFS('Bank Lines'!$E$5:$E$1640,'Bank Lines'!$G$5:$G$1640,A981,'Bank Lines'!$J$5:$J$1640,1,'Bank Lines'!$C$5:$C$1640,"&lt;="&amp;Cover!$C$15),2)</f>
        <v>88</v>
      </c>
      <c r="Z981" s="9">
        <f>ROUND(SUMIFS('Odoo Items'!$G$5:$G$4331,'Odoo Items'!$J$5:$J$4331,A981,'Odoo Items'!$C$5:$C$4331,"&lt;="&amp;Cover!$C$15),2)</f>
        <v>88</v>
      </c>
      <c r="AA981">
        <f>COUNTIFS('Bank Lines'!$G$5:$G$1640,A981,'Bank Lines'!$J$5:$J$1640,1,'Bank Lines'!$C$5:$C$1640,"&lt;="&amp;Cover!$C$15)</f>
        <v>1</v>
      </c>
      <c r="AB981">
        <f>COUNTIFS('Odoo Items'!$J$5:$J$4331,A981,'Odoo Items'!$C$5:$C$4331,"&lt;="&amp;Cover!$C$15)</f>
        <v>1</v>
      </c>
      <c r="AC981" t="str">
        <f>IF(AND(AA981=0,AB981=0),"",IF(AA981=0,"ODOO-ONLY",IF(AB981=0,"BANK-ONLY","BOTH")))</f>
        <v>BOTH</v>
      </c>
      <c r="AD981" s="9">
        <f>IF(AC981="BOTH",ROUND(Y981-Z981,2),0)</f>
        <v>0</v>
      </c>
    </row>
    <row r="982">
      <c r="A982" t="inlineStr">
        <is>
          <t>G00978</t>
        </is>
      </c>
      <c r="B982" t="inlineStr">
        <is>
          <t>OPS</t>
        </is>
      </c>
      <c r="C982" t="inlineStr">
        <is>
          <t>R09</t>
        </is>
      </c>
      <c r="D982" t="inlineStr">
        <is>
          <t>MATCH</t>
        </is>
      </c>
      <c r="E982" t="inlineStr">
        <is>
          <t>Meridian Health Cover</t>
        </is>
      </c>
      <c r="F982" t="n">
        <v>1</v>
      </c>
      <c r="G982" t="inlineStr">
        <is>
          <t>Reference INV/2026/02065</t>
        </is>
      </c>
      <c r="H982">
        <f>COUNTIFS('Bank Lines'!$G$5:$G$1640,A982,'Bank Lines'!$J$5:$J$1640,1)</f>
        <v>1</v>
      </c>
      <c r="I982">
        <f>COUNTIFS('Odoo Items'!$J$5:$J$4331,A982)</f>
        <v>1</v>
      </c>
      <c r="J982" s="9">
        <f>ROUND(SUMIFS('Bank Lines'!$E$5:$E$1640,'Bank Lines'!$G$5:$G$1640,A982,'Bank Lines'!$J$5:$J$1640,1),2)</f>
        <v>412.5</v>
      </c>
      <c r="K982" s="9">
        <f>ROUND(SUMIFS('Odoo Items'!$G$5:$G$4331,'Odoo Items'!$J$5:$J$4331,A982),2)</f>
        <v>412.5</v>
      </c>
      <c r="L982" s="9">
        <f>ROUND(J982-K982,2)</f>
        <v>0</v>
      </c>
      <c r="M982" s="9">
        <f>ROUND(SUMIFS('Bank Lines'!$E$5:$E$1640,'Bank Lines'!$G$5:$G$1640,A982,'Bank Lines'!$J$5:$J$1640,1,'Bank Lines'!$C$5:$C$1640,"&lt;="&amp;Cover!$C$13),2)</f>
        <v>412.5</v>
      </c>
      <c r="N982" s="9">
        <f>ROUND(SUMIFS('Odoo Items'!$G$5:$G$4331,'Odoo Items'!$J$5:$J$4331,A982,'Odoo Items'!$C$5:$C$4331,"&lt;="&amp;Cover!$C$13),2)</f>
        <v>412.5</v>
      </c>
      <c r="O982">
        <f>COUNTIFS('Bank Lines'!$G$5:$G$1640,A982,'Bank Lines'!$J$5:$J$1640,1,'Bank Lines'!$C$5:$C$1640,"&lt;="&amp;Cover!$C$13)</f>
        <v>1</v>
      </c>
      <c r="P982">
        <f>COUNTIFS('Odoo Items'!$J$5:$J$4331,A982,'Odoo Items'!$C$5:$C$4331,"&lt;="&amp;Cover!$C$13)</f>
        <v>1</v>
      </c>
      <c r="Q982" t="str">
        <f>IF(AND(O982=0,P982=0),"",IF(O982=0,"ODOO-ONLY",IF(P982=0,"BANK-ONLY","BOTH")))</f>
        <v>BOTH</v>
      </c>
      <c r="R982" s="9">
        <f>IF(Q982="BOTH",ROUND(M982-N982,2),0)</f>
        <v>0</v>
      </c>
      <c r="S982" s="9">
        <f>ROUND(SUMIFS('Bank Lines'!$E$5:$E$1640,'Bank Lines'!$G$5:$G$1640,A982,'Bank Lines'!$J$5:$J$1640,1,'Bank Lines'!$C$5:$C$1640,"&lt;="&amp;Cover!$C$14),2)</f>
        <v>412.5</v>
      </c>
      <c r="T982" s="9">
        <f>ROUND(SUMIFS('Odoo Items'!$G$5:$G$4331,'Odoo Items'!$J$5:$J$4331,A982,'Odoo Items'!$C$5:$C$4331,"&lt;="&amp;Cover!$C$14),2)</f>
        <v>412.5</v>
      </c>
      <c r="U982">
        <f>COUNTIFS('Bank Lines'!$G$5:$G$1640,A982,'Bank Lines'!$J$5:$J$1640,1,'Bank Lines'!$C$5:$C$1640,"&lt;="&amp;Cover!$C$14)</f>
        <v>1</v>
      </c>
      <c r="V982">
        <f>COUNTIFS('Odoo Items'!$J$5:$J$4331,A982,'Odoo Items'!$C$5:$C$4331,"&lt;="&amp;Cover!$C$14)</f>
        <v>1</v>
      </c>
      <c r="W982" t="str">
        <f>IF(AND(U982=0,V982=0),"",IF(U982=0,"ODOO-ONLY",IF(V982=0,"BANK-ONLY","BOTH")))</f>
        <v>BOTH</v>
      </c>
      <c r="X982" s="9">
        <f>IF(W982="BOTH",ROUND(S982-T982,2),0)</f>
        <v>0</v>
      </c>
      <c r="Y982" s="9">
        <f>ROUND(SUMIFS('Bank Lines'!$E$5:$E$1640,'Bank Lines'!$G$5:$G$1640,A982,'Bank Lines'!$J$5:$J$1640,1,'Bank Lines'!$C$5:$C$1640,"&lt;="&amp;Cover!$C$15),2)</f>
        <v>412.5</v>
      </c>
      <c r="Z982" s="9">
        <f>ROUND(SUMIFS('Odoo Items'!$G$5:$G$4331,'Odoo Items'!$J$5:$J$4331,A982,'Odoo Items'!$C$5:$C$4331,"&lt;="&amp;Cover!$C$15),2)</f>
        <v>412.5</v>
      </c>
      <c r="AA982">
        <f>COUNTIFS('Bank Lines'!$G$5:$G$1640,A982,'Bank Lines'!$J$5:$J$1640,1,'Bank Lines'!$C$5:$C$1640,"&lt;="&amp;Cover!$C$15)</f>
        <v>1</v>
      </c>
      <c r="AB982">
        <f>COUNTIFS('Odoo Items'!$J$5:$J$4331,A982,'Odoo Items'!$C$5:$C$4331,"&lt;="&amp;Cover!$C$15)</f>
        <v>1</v>
      </c>
      <c r="AC982" t="str">
        <f>IF(AND(AA982=0,AB982=0),"",IF(AA982=0,"ODOO-ONLY",IF(AB982=0,"BANK-ONLY","BOTH")))</f>
        <v>BOTH</v>
      </c>
      <c r="AD982" s="9">
        <f>IF(AC982="BOTH",ROUND(Y982-Z982,2),0)</f>
        <v>0</v>
      </c>
    </row>
    <row r="983">
      <c r="A983" t="inlineStr">
        <is>
          <t>G00979</t>
        </is>
      </c>
      <c r="B983" t="inlineStr">
        <is>
          <t>OPS</t>
        </is>
      </c>
      <c r="C983" t="inlineStr">
        <is>
          <t>R09</t>
        </is>
      </c>
      <c r="D983" t="inlineStr">
        <is>
          <t>MATCH</t>
        </is>
      </c>
      <c r="E983" t="inlineStr">
        <is>
          <t>Marlowe Print &amp; Pack</t>
        </is>
      </c>
      <c r="F983" t="n">
        <v>1</v>
      </c>
      <c r="G983" t="inlineStr">
        <is>
          <t>Reference INV/2026/03425</t>
        </is>
      </c>
      <c r="H983">
        <f>COUNTIFS('Bank Lines'!$G$5:$G$1640,A983,'Bank Lines'!$J$5:$J$1640,1)</f>
        <v>1</v>
      </c>
      <c r="I983">
        <f>COUNTIFS('Odoo Items'!$J$5:$J$4331,A983)</f>
        <v>1</v>
      </c>
      <c r="J983" s="9">
        <f>ROUND(SUMIFS('Bank Lines'!$E$5:$E$1640,'Bank Lines'!$G$5:$G$1640,A983,'Bank Lines'!$J$5:$J$1640,1),2)</f>
        <v>16032.5</v>
      </c>
      <c r="K983" s="9">
        <f>ROUND(SUMIFS('Odoo Items'!$G$5:$G$4331,'Odoo Items'!$J$5:$J$4331,A983),2)</f>
        <v>16032.5</v>
      </c>
      <c r="L983" s="9">
        <f>ROUND(J983-K983,2)</f>
        <v>0</v>
      </c>
      <c r="M983" s="9">
        <f>ROUND(SUMIFS('Bank Lines'!$E$5:$E$1640,'Bank Lines'!$G$5:$G$1640,A983,'Bank Lines'!$J$5:$J$1640,1,'Bank Lines'!$C$5:$C$1640,"&lt;="&amp;Cover!$C$13),2)</f>
        <v>16032.5</v>
      </c>
      <c r="N983" s="9">
        <f>ROUND(SUMIFS('Odoo Items'!$G$5:$G$4331,'Odoo Items'!$J$5:$J$4331,A983,'Odoo Items'!$C$5:$C$4331,"&lt;="&amp;Cover!$C$13),2)</f>
        <v>16032.5</v>
      </c>
      <c r="O983">
        <f>COUNTIFS('Bank Lines'!$G$5:$G$1640,A983,'Bank Lines'!$J$5:$J$1640,1,'Bank Lines'!$C$5:$C$1640,"&lt;="&amp;Cover!$C$13)</f>
        <v>1</v>
      </c>
      <c r="P983">
        <f>COUNTIFS('Odoo Items'!$J$5:$J$4331,A983,'Odoo Items'!$C$5:$C$4331,"&lt;="&amp;Cover!$C$13)</f>
        <v>1</v>
      </c>
      <c r="Q983" t="str">
        <f>IF(AND(O983=0,P983=0),"",IF(O983=0,"ODOO-ONLY",IF(P983=0,"BANK-ONLY","BOTH")))</f>
        <v>BOTH</v>
      </c>
      <c r="R983" s="9">
        <f>IF(Q983="BOTH",ROUND(M983-N983,2),0)</f>
        <v>0</v>
      </c>
      <c r="S983" s="9">
        <f>ROUND(SUMIFS('Bank Lines'!$E$5:$E$1640,'Bank Lines'!$G$5:$G$1640,A983,'Bank Lines'!$J$5:$J$1640,1,'Bank Lines'!$C$5:$C$1640,"&lt;="&amp;Cover!$C$14),2)</f>
        <v>16032.5</v>
      </c>
      <c r="T983" s="9">
        <f>ROUND(SUMIFS('Odoo Items'!$G$5:$G$4331,'Odoo Items'!$J$5:$J$4331,A983,'Odoo Items'!$C$5:$C$4331,"&lt;="&amp;Cover!$C$14),2)</f>
        <v>16032.5</v>
      </c>
      <c r="U983">
        <f>COUNTIFS('Bank Lines'!$G$5:$G$1640,A983,'Bank Lines'!$J$5:$J$1640,1,'Bank Lines'!$C$5:$C$1640,"&lt;="&amp;Cover!$C$14)</f>
        <v>1</v>
      </c>
      <c r="V983">
        <f>COUNTIFS('Odoo Items'!$J$5:$J$4331,A983,'Odoo Items'!$C$5:$C$4331,"&lt;="&amp;Cover!$C$14)</f>
        <v>1</v>
      </c>
      <c r="W983" t="str">
        <f>IF(AND(U983=0,V983=0),"",IF(U983=0,"ODOO-ONLY",IF(V983=0,"BANK-ONLY","BOTH")))</f>
        <v>BOTH</v>
      </c>
      <c r="X983" s="9">
        <f>IF(W983="BOTH",ROUND(S983-T983,2),0)</f>
        <v>0</v>
      </c>
      <c r="Y983" s="9">
        <f>ROUND(SUMIFS('Bank Lines'!$E$5:$E$1640,'Bank Lines'!$G$5:$G$1640,A983,'Bank Lines'!$J$5:$J$1640,1,'Bank Lines'!$C$5:$C$1640,"&lt;="&amp;Cover!$C$15),2)</f>
        <v>16032.5</v>
      </c>
      <c r="Z983" s="9">
        <f>ROUND(SUMIFS('Odoo Items'!$G$5:$G$4331,'Odoo Items'!$J$5:$J$4331,A983,'Odoo Items'!$C$5:$C$4331,"&lt;="&amp;Cover!$C$15),2)</f>
        <v>16032.5</v>
      </c>
      <c r="AA983">
        <f>COUNTIFS('Bank Lines'!$G$5:$G$1640,A983,'Bank Lines'!$J$5:$J$1640,1,'Bank Lines'!$C$5:$C$1640,"&lt;="&amp;Cover!$C$15)</f>
        <v>1</v>
      </c>
      <c r="AB983">
        <f>COUNTIFS('Odoo Items'!$J$5:$J$4331,A983,'Odoo Items'!$C$5:$C$4331,"&lt;="&amp;Cover!$C$15)</f>
        <v>1</v>
      </c>
      <c r="AC983" t="str">
        <f>IF(AND(AA983=0,AB983=0),"",IF(AA983=0,"ODOO-ONLY",IF(AB983=0,"BANK-ONLY","BOTH")))</f>
        <v>BOTH</v>
      </c>
      <c r="AD983" s="9">
        <f>IF(AC983="BOTH",ROUND(Y983-Z983,2),0)</f>
        <v>0</v>
      </c>
    </row>
    <row r="984">
      <c r="A984" t="inlineStr">
        <is>
          <t>G00980</t>
        </is>
      </c>
      <c r="B984" t="inlineStr">
        <is>
          <t>OPS</t>
        </is>
      </c>
      <c r="C984" t="inlineStr">
        <is>
          <t>R09</t>
        </is>
      </c>
      <c r="D984" t="inlineStr">
        <is>
          <t>MATCH</t>
        </is>
      </c>
      <c r="E984" t="inlineStr">
        <is>
          <t>Northline Injury Claims</t>
        </is>
      </c>
      <c r="F984" t="n">
        <v>1</v>
      </c>
      <c r="G984" t="inlineStr">
        <is>
          <t>Reference INV/2026/02155</t>
        </is>
      </c>
      <c r="H984">
        <f>COUNTIFS('Bank Lines'!$G$5:$G$1640,A984,'Bank Lines'!$J$5:$J$1640,1)</f>
        <v>1</v>
      </c>
      <c r="I984">
        <f>COUNTIFS('Odoo Items'!$J$5:$J$4331,A984)</f>
        <v>1</v>
      </c>
      <c r="J984" s="9">
        <f>ROUND(SUMIFS('Bank Lines'!$E$5:$E$1640,'Bank Lines'!$G$5:$G$1640,A984,'Bank Lines'!$J$5:$J$1640,1),2)</f>
        <v>412.5</v>
      </c>
      <c r="K984" s="9">
        <f>ROUND(SUMIFS('Odoo Items'!$G$5:$G$4331,'Odoo Items'!$J$5:$J$4331,A984),2)</f>
        <v>412.5</v>
      </c>
      <c r="L984" s="9">
        <f>ROUND(J984-K984,2)</f>
        <v>0</v>
      </c>
      <c r="M984" s="9">
        <f>ROUND(SUMIFS('Bank Lines'!$E$5:$E$1640,'Bank Lines'!$G$5:$G$1640,A984,'Bank Lines'!$J$5:$J$1640,1,'Bank Lines'!$C$5:$C$1640,"&lt;="&amp;Cover!$C$13),2)</f>
        <v>412.5</v>
      </c>
      <c r="N984" s="9">
        <f>ROUND(SUMIFS('Odoo Items'!$G$5:$G$4331,'Odoo Items'!$J$5:$J$4331,A984,'Odoo Items'!$C$5:$C$4331,"&lt;="&amp;Cover!$C$13),2)</f>
        <v>412.5</v>
      </c>
      <c r="O984">
        <f>COUNTIFS('Bank Lines'!$G$5:$G$1640,A984,'Bank Lines'!$J$5:$J$1640,1,'Bank Lines'!$C$5:$C$1640,"&lt;="&amp;Cover!$C$13)</f>
        <v>1</v>
      </c>
      <c r="P984">
        <f>COUNTIFS('Odoo Items'!$J$5:$J$4331,A984,'Odoo Items'!$C$5:$C$4331,"&lt;="&amp;Cover!$C$13)</f>
        <v>1</v>
      </c>
      <c r="Q984" t="str">
        <f>IF(AND(O984=0,P984=0),"",IF(O984=0,"ODOO-ONLY",IF(P984=0,"BANK-ONLY","BOTH")))</f>
        <v>BOTH</v>
      </c>
      <c r="R984" s="9">
        <f>IF(Q984="BOTH",ROUND(M984-N984,2),0)</f>
        <v>0</v>
      </c>
      <c r="S984" s="9">
        <f>ROUND(SUMIFS('Bank Lines'!$E$5:$E$1640,'Bank Lines'!$G$5:$G$1640,A984,'Bank Lines'!$J$5:$J$1640,1,'Bank Lines'!$C$5:$C$1640,"&lt;="&amp;Cover!$C$14),2)</f>
        <v>412.5</v>
      </c>
      <c r="T984" s="9">
        <f>ROUND(SUMIFS('Odoo Items'!$G$5:$G$4331,'Odoo Items'!$J$5:$J$4331,A984,'Odoo Items'!$C$5:$C$4331,"&lt;="&amp;Cover!$C$14),2)</f>
        <v>412.5</v>
      </c>
      <c r="U984">
        <f>COUNTIFS('Bank Lines'!$G$5:$G$1640,A984,'Bank Lines'!$J$5:$J$1640,1,'Bank Lines'!$C$5:$C$1640,"&lt;="&amp;Cover!$C$14)</f>
        <v>1</v>
      </c>
      <c r="V984">
        <f>COUNTIFS('Odoo Items'!$J$5:$J$4331,A984,'Odoo Items'!$C$5:$C$4331,"&lt;="&amp;Cover!$C$14)</f>
        <v>1</v>
      </c>
      <c r="W984" t="str">
        <f>IF(AND(U984=0,V984=0),"",IF(U984=0,"ODOO-ONLY",IF(V984=0,"BANK-ONLY","BOTH")))</f>
        <v>BOTH</v>
      </c>
      <c r="X984" s="9">
        <f>IF(W984="BOTH",ROUND(S984-T984,2),0)</f>
        <v>0</v>
      </c>
      <c r="Y984" s="9">
        <f>ROUND(SUMIFS('Bank Lines'!$E$5:$E$1640,'Bank Lines'!$G$5:$G$1640,A984,'Bank Lines'!$J$5:$J$1640,1,'Bank Lines'!$C$5:$C$1640,"&lt;="&amp;Cover!$C$15),2)</f>
        <v>412.5</v>
      </c>
      <c r="Z984" s="9">
        <f>ROUND(SUMIFS('Odoo Items'!$G$5:$G$4331,'Odoo Items'!$J$5:$J$4331,A984,'Odoo Items'!$C$5:$C$4331,"&lt;="&amp;Cover!$C$15),2)</f>
        <v>412.5</v>
      </c>
      <c r="AA984">
        <f>COUNTIFS('Bank Lines'!$G$5:$G$1640,A984,'Bank Lines'!$J$5:$J$1640,1,'Bank Lines'!$C$5:$C$1640,"&lt;="&amp;Cover!$C$15)</f>
        <v>1</v>
      </c>
      <c r="AB984">
        <f>COUNTIFS('Odoo Items'!$J$5:$J$4331,A984,'Odoo Items'!$C$5:$C$4331,"&lt;="&amp;Cover!$C$15)</f>
        <v>1</v>
      </c>
      <c r="AC984" t="str">
        <f>IF(AND(AA984=0,AB984=0),"",IF(AA984=0,"ODOO-ONLY",IF(AB984=0,"BANK-ONLY","BOTH")))</f>
        <v>BOTH</v>
      </c>
      <c r="AD984" s="9">
        <f>IF(AC984="BOTH",ROUND(Y984-Z984,2),0)</f>
        <v>0</v>
      </c>
    </row>
    <row r="985">
      <c r="A985" t="inlineStr">
        <is>
          <t>G00981</t>
        </is>
      </c>
      <c r="B985" t="inlineStr">
        <is>
          <t>OPS</t>
        </is>
      </c>
      <c r="C985" t="inlineStr">
        <is>
          <t>R09</t>
        </is>
      </c>
      <c r="D985" t="inlineStr">
        <is>
          <t>MATCH</t>
        </is>
      </c>
      <c r="E985" t="inlineStr">
        <is>
          <t>Hartigan Transport</t>
        </is>
      </c>
      <c r="F985" t="n">
        <v>1</v>
      </c>
      <c r="G985" t="inlineStr">
        <is>
          <t>Reference INV/2026/03480</t>
        </is>
      </c>
      <c r="H985">
        <f>COUNTIFS('Bank Lines'!$G$5:$G$1640,A985,'Bank Lines'!$J$5:$J$1640,1)</f>
        <v>1</v>
      </c>
      <c r="I985">
        <f>COUNTIFS('Odoo Items'!$J$5:$J$4331,A985)</f>
        <v>1</v>
      </c>
      <c r="J985" s="9">
        <f>ROUND(SUMIFS('Bank Lines'!$E$5:$E$1640,'Bank Lines'!$G$5:$G$1640,A985,'Bank Lines'!$J$5:$J$1640,1),2)</f>
        <v>10876.25</v>
      </c>
      <c r="K985" s="9">
        <f>ROUND(SUMIFS('Odoo Items'!$G$5:$G$4331,'Odoo Items'!$J$5:$J$4331,A985),2)</f>
        <v>10876.25</v>
      </c>
      <c r="L985" s="9">
        <f>ROUND(J985-K985,2)</f>
        <v>0</v>
      </c>
      <c r="M985" s="9">
        <f>ROUND(SUMIFS('Bank Lines'!$E$5:$E$1640,'Bank Lines'!$G$5:$G$1640,A985,'Bank Lines'!$J$5:$J$1640,1,'Bank Lines'!$C$5:$C$1640,"&lt;="&amp;Cover!$C$13),2)</f>
        <v>10876.25</v>
      </c>
      <c r="N985" s="9">
        <f>ROUND(SUMIFS('Odoo Items'!$G$5:$G$4331,'Odoo Items'!$J$5:$J$4331,A985,'Odoo Items'!$C$5:$C$4331,"&lt;="&amp;Cover!$C$13),2)</f>
        <v>0</v>
      </c>
      <c r="O985">
        <f>COUNTIFS('Bank Lines'!$G$5:$G$1640,A985,'Bank Lines'!$J$5:$J$1640,1,'Bank Lines'!$C$5:$C$1640,"&lt;="&amp;Cover!$C$13)</f>
        <v>1</v>
      </c>
      <c r="P985">
        <f>COUNTIFS('Odoo Items'!$J$5:$J$4331,A985,'Odoo Items'!$C$5:$C$4331,"&lt;="&amp;Cover!$C$13)</f>
        <v>0</v>
      </c>
      <c r="Q985" t="str">
        <f>IF(AND(O985=0,P985=0),"",IF(O985=0,"ODOO-ONLY",IF(P985=0,"BANK-ONLY","BOTH")))</f>
        <v>BANK-ONLY</v>
      </c>
      <c r="R985" s="9">
        <f>IF(Q985="BOTH",ROUND(M985-N985,2),0)</f>
        <v>0</v>
      </c>
      <c r="S985" s="9">
        <f>ROUND(SUMIFS('Bank Lines'!$E$5:$E$1640,'Bank Lines'!$G$5:$G$1640,A985,'Bank Lines'!$J$5:$J$1640,1,'Bank Lines'!$C$5:$C$1640,"&lt;="&amp;Cover!$C$14),2)</f>
        <v>10876.25</v>
      </c>
      <c r="T985" s="9">
        <f>ROUND(SUMIFS('Odoo Items'!$G$5:$G$4331,'Odoo Items'!$J$5:$J$4331,A985,'Odoo Items'!$C$5:$C$4331,"&lt;="&amp;Cover!$C$14),2)</f>
        <v>10876.25</v>
      </c>
      <c r="U985">
        <f>COUNTIFS('Bank Lines'!$G$5:$G$1640,A985,'Bank Lines'!$J$5:$J$1640,1,'Bank Lines'!$C$5:$C$1640,"&lt;="&amp;Cover!$C$14)</f>
        <v>1</v>
      </c>
      <c r="V985">
        <f>COUNTIFS('Odoo Items'!$J$5:$J$4331,A985,'Odoo Items'!$C$5:$C$4331,"&lt;="&amp;Cover!$C$14)</f>
        <v>1</v>
      </c>
      <c r="W985" t="str">
        <f>IF(AND(U985=0,V985=0),"",IF(U985=0,"ODOO-ONLY",IF(V985=0,"BANK-ONLY","BOTH")))</f>
        <v>BOTH</v>
      </c>
      <c r="X985" s="9">
        <f>IF(W985="BOTH",ROUND(S985-T985,2),0)</f>
        <v>0</v>
      </c>
      <c r="Y985" s="9">
        <f>ROUND(SUMIFS('Bank Lines'!$E$5:$E$1640,'Bank Lines'!$G$5:$G$1640,A985,'Bank Lines'!$J$5:$J$1640,1,'Bank Lines'!$C$5:$C$1640,"&lt;="&amp;Cover!$C$15),2)</f>
        <v>10876.25</v>
      </c>
      <c r="Z985" s="9">
        <f>ROUND(SUMIFS('Odoo Items'!$G$5:$G$4331,'Odoo Items'!$J$5:$J$4331,A985,'Odoo Items'!$C$5:$C$4331,"&lt;="&amp;Cover!$C$15),2)</f>
        <v>10876.25</v>
      </c>
      <c r="AA985">
        <f>COUNTIFS('Bank Lines'!$G$5:$G$1640,A985,'Bank Lines'!$J$5:$J$1640,1,'Bank Lines'!$C$5:$C$1640,"&lt;="&amp;Cover!$C$15)</f>
        <v>1</v>
      </c>
      <c r="AB985">
        <f>COUNTIFS('Odoo Items'!$J$5:$J$4331,A985,'Odoo Items'!$C$5:$C$4331,"&lt;="&amp;Cover!$C$15)</f>
        <v>1</v>
      </c>
      <c r="AC985" t="str">
        <f>IF(AND(AA985=0,AB985=0),"",IF(AA985=0,"ODOO-ONLY",IF(AB985=0,"BANK-ONLY","BOTH")))</f>
        <v>BOTH</v>
      </c>
      <c r="AD985" s="9">
        <f>IF(AC985="BOTH",ROUND(Y985-Z985,2),0)</f>
        <v>0</v>
      </c>
    </row>
    <row r="986">
      <c r="A986" t="inlineStr">
        <is>
          <t>G00982</t>
        </is>
      </c>
      <c r="B986" t="inlineStr">
        <is>
          <t>OPS</t>
        </is>
      </c>
      <c r="C986" t="inlineStr">
        <is>
          <t>R09</t>
        </is>
      </c>
      <c r="D986" t="inlineStr">
        <is>
          <t>MATCH</t>
        </is>
      </c>
      <c r="E986" t="inlineStr">
        <is>
          <t>Cobblestone Retail Group</t>
        </is>
      </c>
      <c r="F986" t="n">
        <v>1</v>
      </c>
      <c r="G986" t="inlineStr">
        <is>
          <t>Reference INV/2026/03491</t>
        </is>
      </c>
      <c r="H986">
        <f>COUNTIFS('Bank Lines'!$G$5:$G$1640,A986,'Bank Lines'!$J$5:$J$1640,1)</f>
        <v>1</v>
      </c>
      <c r="I986">
        <f>COUNTIFS('Odoo Items'!$J$5:$J$4331,A986)</f>
        <v>1</v>
      </c>
      <c r="J986" s="9">
        <f>ROUND(SUMIFS('Bank Lines'!$E$5:$E$1640,'Bank Lines'!$G$5:$G$1640,A986,'Bank Lines'!$J$5:$J$1640,1),2)</f>
        <v>1471.25</v>
      </c>
      <c r="K986" s="9">
        <f>ROUND(SUMIFS('Odoo Items'!$G$5:$G$4331,'Odoo Items'!$J$5:$J$4331,A986),2)</f>
        <v>1471.25</v>
      </c>
      <c r="L986" s="9">
        <f>ROUND(J986-K986,2)</f>
        <v>0</v>
      </c>
      <c r="M986" s="9">
        <f>ROUND(SUMIFS('Bank Lines'!$E$5:$E$1640,'Bank Lines'!$G$5:$G$1640,A986,'Bank Lines'!$J$5:$J$1640,1,'Bank Lines'!$C$5:$C$1640,"&lt;="&amp;Cover!$C$13),2)</f>
        <v>1471.25</v>
      </c>
      <c r="N986" s="9">
        <f>ROUND(SUMIFS('Odoo Items'!$G$5:$G$4331,'Odoo Items'!$J$5:$J$4331,A986,'Odoo Items'!$C$5:$C$4331,"&lt;="&amp;Cover!$C$13),2)</f>
        <v>0</v>
      </c>
      <c r="O986">
        <f>COUNTIFS('Bank Lines'!$G$5:$G$1640,A986,'Bank Lines'!$J$5:$J$1640,1,'Bank Lines'!$C$5:$C$1640,"&lt;="&amp;Cover!$C$13)</f>
        <v>1</v>
      </c>
      <c r="P986">
        <f>COUNTIFS('Odoo Items'!$J$5:$J$4331,A986,'Odoo Items'!$C$5:$C$4331,"&lt;="&amp;Cover!$C$13)</f>
        <v>0</v>
      </c>
      <c r="Q986" t="str">
        <f>IF(AND(O986=0,P986=0),"",IF(O986=0,"ODOO-ONLY",IF(P986=0,"BANK-ONLY","BOTH")))</f>
        <v>BANK-ONLY</v>
      </c>
      <c r="R986" s="9">
        <f>IF(Q986="BOTH",ROUND(M986-N986,2),0)</f>
        <v>0</v>
      </c>
      <c r="S986" s="9">
        <f>ROUND(SUMIFS('Bank Lines'!$E$5:$E$1640,'Bank Lines'!$G$5:$G$1640,A986,'Bank Lines'!$J$5:$J$1640,1,'Bank Lines'!$C$5:$C$1640,"&lt;="&amp;Cover!$C$14),2)</f>
        <v>1471.25</v>
      </c>
      <c r="T986" s="9">
        <f>ROUND(SUMIFS('Odoo Items'!$G$5:$G$4331,'Odoo Items'!$J$5:$J$4331,A986,'Odoo Items'!$C$5:$C$4331,"&lt;="&amp;Cover!$C$14),2)</f>
        <v>1471.25</v>
      </c>
      <c r="U986">
        <f>COUNTIFS('Bank Lines'!$G$5:$G$1640,A986,'Bank Lines'!$J$5:$J$1640,1,'Bank Lines'!$C$5:$C$1640,"&lt;="&amp;Cover!$C$14)</f>
        <v>1</v>
      </c>
      <c r="V986">
        <f>COUNTIFS('Odoo Items'!$J$5:$J$4331,A986,'Odoo Items'!$C$5:$C$4331,"&lt;="&amp;Cover!$C$14)</f>
        <v>1</v>
      </c>
      <c r="W986" t="str">
        <f>IF(AND(U986=0,V986=0),"",IF(U986=0,"ODOO-ONLY",IF(V986=0,"BANK-ONLY","BOTH")))</f>
        <v>BOTH</v>
      </c>
      <c r="X986" s="9">
        <f>IF(W986="BOTH",ROUND(S986-T986,2),0)</f>
        <v>0</v>
      </c>
      <c r="Y986" s="9">
        <f>ROUND(SUMIFS('Bank Lines'!$E$5:$E$1640,'Bank Lines'!$G$5:$G$1640,A986,'Bank Lines'!$J$5:$J$1640,1,'Bank Lines'!$C$5:$C$1640,"&lt;="&amp;Cover!$C$15),2)</f>
        <v>1471.25</v>
      </c>
      <c r="Z986" s="9">
        <f>ROUND(SUMIFS('Odoo Items'!$G$5:$G$4331,'Odoo Items'!$J$5:$J$4331,A986,'Odoo Items'!$C$5:$C$4331,"&lt;="&amp;Cover!$C$15),2)</f>
        <v>1471.25</v>
      </c>
      <c r="AA986">
        <f>COUNTIFS('Bank Lines'!$G$5:$G$1640,A986,'Bank Lines'!$J$5:$J$1640,1,'Bank Lines'!$C$5:$C$1640,"&lt;="&amp;Cover!$C$15)</f>
        <v>1</v>
      </c>
      <c r="AB986">
        <f>COUNTIFS('Odoo Items'!$J$5:$J$4331,A986,'Odoo Items'!$C$5:$C$4331,"&lt;="&amp;Cover!$C$15)</f>
        <v>1</v>
      </c>
      <c r="AC986" t="str">
        <f>IF(AND(AA986=0,AB986=0),"",IF(AA986=0,"ODOO-ONLY",IF(AB986=0,"BANK-ONLY","BOTH")))</f>
        <v>BOTH</v>
      </c>
      <c r="AD986" s="9">
        <f>IF(AC986="BOTH",ROUND(Y986-Z986,2),0)</f>
        <v>0</v>
      </c>
    </row>
    <row r="987">
      <c r="A987" t="inlineStr">
        <is>
          <t>G00983</t>
        </is>
      </c>
      <c r="B987" t="inlineStr">
        <is>
          <t>OPS</t>
        </is>
      </c>
      <c r="C987" t="inlineStr">
        <is>
          <t>R09</t>
        </is>
      </c>
      <c r="D987" t="inlineStr">
        <is>
          <t>MATCH</t>
        </is>
      </c>
      <c r="E987" t="inlineStr">
        <is>
          <t>Meridian Health Cover</t>
        </is>
      </c>
      <c r="F987" t="n">
        <v>1</v>
      </c>
      <c r="G987" t="inlineStr">
        <is>
          <t>Reference INV/2026/02201</t>
        </is>
      </c>
      <c r="H987">
        <f>COUNTIFS('Bank Lines'!$G$5:$G$1640,A987,'Bank Lines'!$J$5:$J$1640,1)</f>
        <v>1</v>
      </c>
      <c r="I987">
        <f>COUNTIFS('Odoo Items'!$J$5:$J$4331,A987)</f>
        <v>1</v>
      </c>
      <c r="J987" s="9">
        <f>ROUND(SUMIFS('Bank Lines'!$E$5:$E$1640,'Bank Lines'!$G$5:$G$1640,A987,'Bank Lines'!$J$5:$J$1640,1),2)</f>
        <v>132</v>
      </c>
      <c r="K987" s="9">
        <f>ROUND(SUMIFS('Odoo Items'!$G$5:$G$4331,'Odoo Items'!$J$5:$J$4331,A987),2)</f>
        <v>132</v>
      </c>
      <c r="L987" s="9">
        <f>ROUND(J987-K987,2)</f>
        <v>0</v>
      </c>
      <c r="M987" s="9">
        <f>ROUND(SUMIFS('Bank Lines'!$E$5:$E$1640,'Bank Lines'!$G$5:$G$1640,A987,'Bank Lines'!$J$5:$J$1640,1,'Bank Lines'!$C$5:$C$1640,"&lt;="&amp;Cover!$C$13),2)</f>
        <v>0</v>
      </c>
      <c r="N987" s="9">
        <f>ROUND(SUMIFS('Odoo Items'!$G$5:$G$4331,'Odoo Items'!$J$5:$J$4331,A987,'Odoo Items'!$C$5:$C$4331,"&lt;="&amp;Cover!$C$13),2)</f>
        <v>0</v>
      </c>
      <c r="O987">
        <f>COUNTIFS('Bank Lines'!$G$5:$G$1640,A987,'Bank Lines'!$J$5:$J$1640,1,'Bank Lines'!$C$5:$C$1640,"&lt;="&amp;Cover!$C$13)</f>
        <v>0</v>
      </c>
      <c r="P987">
        <f>COUNTIFS('Odoo Items'!$J$5:$J$4331,A987,'Odoo Items'!$C$5:$C$4331,"&lt;="&amp;Cover!$C$13)</f>
        <v>0</v>
      </c>
      <c r="Q987">
        <f>IF(AND(O987=0,P987=0),"",IF(O987=0,"ODOO-ONLY",IF(P987=0,"BANK-ONLY","BOTH")))</f>
      </c>
      <c r="R987" s="9">
        <f>IF(Q987="BOTH",ROUND(M987-N987,2),0)</f>
        <v>0</v>
      </c>
      <c r="S987" s="9">
        <f>ROUND(SUMIFS('Bank Lines'!$E$5:$E$1640,'Bank Lines'!$G$5:$G$1640,A987,'Bank Lines'!$J$5:$J$1640,1,'Bank Lines'!$C$5:$C$1640,"&lt;="&amp;Cover!$C$14),2)</f>
        <v>132</v>
      </c>
      <c r="T987" s="9">
        <f>ROUND(SUMIFS('Odoo Items'!$G$5:$G$4331,'Odoo Items'!$J$5:$J$4331,A987,'Odoo Items'!$C$5:$C$4331,"&lt;="&amp;Cover!$C$14),2)</f>
        <v>132</v>
      </c>
      <c r="U987">
        <f>COUNTIFS('Bank Lines'!$G$5:$G$1640,A987,'Bank Lines'!$J$5:$J$1640,1,'Bank Lines'!$C$5:$C$1640,"&lt;="&amp;Cover!$C$14)</f>
        <v>1</v>
      </c>
      <c r="V987">
        <f>COUNTIFS('Odoo Items'!$J$5:$J$4331,A987,'Odoo Items'!$C$5:$C$4331,"&lt;="&amp;Cover!$C$14)</f>
        <v>1</v>
      </c>
      <c r="W987" t="str">
        <f>IF(AND(U987=0,V987=0),"",IF(U987=0,"ODOO-ONLY",IF(V987=0,"BANK-ONLY","BOTH")))</f>
        <v>BOTH</v>
      </c>
      <c r="X987" s="9">
        <f>IF(W987="BOTH",ROUND(S987-T987,2),0)</f>
        <v>0</v>
      </c>
      <c r="Y987" s="9">
        <f>ROUND(SUMIFS('Bank Lines'!$E$5:$E$1640,'Bank Lines'!$G$5:$G$1640,A987,'Bank Lines'!$J$5:$J$1640,1,'Bank Lines'!$C$5:$C$1640,"&lt;="&amp;Cover!$C$15),2)</f>
        <v>132</v>
      </c>
      <c r="Z987" s="9">
        <f>ROUND(SUMIFS('Odoo Items'!$G$5:$G$4331,'Odoo Items'!$J$5:$J$4331,A987,'Odoo Items'!$C$5:$C$4331,"&lt;="&amp;Cover!$C$15),2)</f>
        <v>132</v>
      </c>
      <c r="AA987">
        <f>COUNTIFS('Bank Lines'!$G$5:$G$1640,A987,'Bank Lines'!$J$5:$J$1640,1,'Bank Lines'!$C$5:$C$1640,"&lt;="&amp;Cover!$C$15)</f>
        <v>1</v>
      </c>
      <c r="AB987">
        <f>COUNTIFS('Odoo Items'!$J$5:$J$4331,A987,'Odoo Items'!$C$5:$C$4331,"&lt;="&amp;Cover!$C$15)</f>
        <v>1</v>
      </c>
      <c r="AC987" t="str">
        <f>IF(AND(AA987=0,AB987=0),"",IF(AA987=0,"ODOO-ONLY",IF(AB987=0,"BANK-ONLY","BOTH")))</f>
        <v>BOTH</v>
      </c>
      <c r="AD987" s="9">
        <f>IF(AC987="BOTH",ROUND(Y987-Z987,2),0)</f>
        <v>0</v>
      </c>
    </row>
    <row r="988">
      <c r="A988" t="inlineStr">
        <is>
          <t>G00984</t>
        </is>
      </c>
      <c r="B988" t="inlineStr">
        <is>
          <t>OPS</t>
        </is>
      </c>
      <c r="C988" t="inlineStr">
        <is>
          <t>R09</t>
        </is>
      </c>
      <c r="D988" t="inlineStr">
        <is>
          <t>MATCH</t>
        </is>
      </c>
      <c r="E988" t="inlineStr">
        <is>
          <t>Meridian Health Cover</t>
        </is>
      </c>
      <c r="F988" t="n">
        <v>1</v>
      </c>
      <c r="G988" t="inlineStr">
        <is>
          <t>Reference INV/2026/02154</t>
        </is>
      </c>
      <c r="H988">
        <f>COUNTIFS('Bank Lines'!$G$5:$G$1640,A988,'Bank Lines'!$J$5:$J$1640,1)</f>
        <v>1</v>
      </c>
      <c r="I988">
        <f>COUNTIFS('Odoo Items'!$J$5:$J$4331,A988)</f>
        <v>1</v>
      </c>
      <c r="J988" s="9">
        <f>ROUND(SUMIFS('Bank Lines'!$E$5:$E$1640,'Bank Lines'!$G$5:$G$1640,A988,'Bank Lines'!$J$5:$J$1640,1),2)</f>
        <v>132</v>
      </c>
      <c r="K988" s="9">
        <f>ROUND(SUMIFS('Odoo Items'!$G$5:$G$4331,'Odoo Items'!$J$5:$J$4331,A988),2)</f>
        <v>132</v>
      </c>
      <c r="L988" s="9">
        <f>ROUND(J988-K988,2)</f>
        <v>0</v>
      </c>
      <c r="M988" s="9">
        <f>ROUND(SUMIFS('Bank Lines'!$E$5:$E$1640,'Bank Lines'!$G$5:$G$1640,A988,'Bank Lines'!$J$5:$J$1640,1,'Bank Lines'!$C$5:$C$1640,"&lt;="&amp;Cover!$C$13),2)</f>
        <v>0</v>
      </c>
      <c r="N988" s="9">
        <f>ROUND(SUMIFS('Odoo Items'!$G$5:$G$4331,'Odoo Items'!$J$5:$J$4331,A988,'Odoo Items'!$C$5:$C$4331,"&lt;="&amp;Cover!$C$13),2)</f>
        <v>0</v>
      </c>
      <c r="O988">
        <f>COUNTIFS('Bank Lines'!$G$5:$G$1640,A988,'Bank Lines'!$J$5:$J$1640,1,'Bank Lines'!$C$5:$C$1640,"&lt;="&amp;Cover!$C$13)</f>
        <v>0</v>
      </c>
      <c r="P988">
        <f>COUNTIFS('Odoo Items'!$J$5:$J$4331,A988,'Odoo Items'!$C$5:$C$4331,"&lt;="&amp;Cover!$C$13)</f>
        <v>0</v>
      </c>
      <c r="Q988">
        <f>IF(AND(O988=0,P988=0),"",IF(O988=0,"ODOO-ONLY",IF(P988=0,"BANK-ONLY","BOTH")))</f>
      </c>
      <c r="R988" s="9">
        <f>IF(Q988="BOTH",ROUND(M988-N988,2),0)</f>
        <v>0</v>
      </c>
      <c r="S988" s="9">
        <f>ROUND(SUMIFS('Bank Lines'!$E$5:$E$1640,'Bank Lines'!$G$5:$G$1640,A988,'Bank Lines'!$J$5:$J$1640,1,'Bank Lines'!$C$5:$C$1640,"&lt;="&amp;Cover!$C$14),2)</f>
        <v>132</v>
      </c>
      <c r="T988" s="9">
        <f>ROUND(SUMIFS('Odoo Items'!$G$5:$G$4331,'Odoo Items'!$J$5:$J$4331,A988,'Odoo Items'!$C$5:$C$4331,"&lt;="&amp;Cover!$C$14),2)</f>
        <v>132</v>
      </c>
      <c r="U988">
        <f>COUNTIFS('Bank Lines'!$G$5:$G$1640,A988,'Bank Lines'!$J$5:$J$1640,1,'Bank Lines'!$C$5:$C$1640,"&lt;="&amp;Cover!$C$14)</f>
        <v>1</v>
      </c>
      <c r="V988">
        <f>COUNTIFS('Odoo Items'!$J$5:$J$4331,A988,'Odoo Items'!$C$5:$C$4331,"&lt;="&amp;Cover!$C$14)</f>
        <v>1</v>
      </c>
      <c r="W988" t="str">
        <f>IF(AND(U988=0,V988=0),"",IF(U988=0,"ODOO-ONLY",IF(V988=0,"BANK-ONLY","BOTH")))</f>
        <v>BOTH</v>
      </c>
      <c r="X988" s="9">
        <f>IF(W988="BOTH",ROUND(S988-T988,2),0)</f>
        <v>0</v>
      </c>
      <c r="Y988" s="9">
        <f>ROUND(SUMIFS('Bank Lines'!$E$5:$E$1640,'Bank Lines'!$G$5:$G$1640,A988,'Bank Lines'!$J$5:$J$1640,1,'Bank Lines'!$C$5:$C$1640,"&lt;="&amp;Cover!$C$15),2)</f>
        <v>132</v>
      </c>
      <c r="Z988" s="9">
        <f>ROUND(SUMIFS('Odoo Items'!$G$5:$G$4331,'Odoo Items'!$J$5:$J$4331,A988,'Odoo Items'!$C$5:$C$4331,"&lt;="&amp;Cover!$C$15),2)</f>
        <v>132</v>
      </c>
      <c r="AA988">
        <f>COUNTIFS('Bank Lines'!$G$5:$G$1640,A988,'Bank Lines'!$J$5:$J$1640,1,'Bank Lines'!$C$5:$C$1640,"&lt;="&amp;Cover!$C$15)</f>
        <v>1</v>
      </c>
      <c r="AB988">
        <f>COUNTIFS('Odoo Items'!$J$5:$J$4331,A988,'Odoo Items'!$C$5:$C$4331,"&lt;="&amp;Cover!$C$15)</f>
        <v>1</v>
      </c>
      <c r="AC988" t="str">
        <f>IF(AND(AA988=0,AB988=0),"",IF(AA988=0,"ODOO-ONLY",IF(AB988=0,"BANK-ONLY","BOTH")))</f>
        <v>BOTH</v>
      </c>
      <c r="AD988" s="9">
        <f>IF(AC988="BOTH",ROUND(Y988-Z988,2),0)</f>
        <v>0</v>
      </c>
    </row>
    <row r="989">
      <c r="A989" t="inlineStr">
        <is>
          <t>G00985</t>
        </is>
      </c>
      <c r="B989" t="inlineStr">
        <is>
          <t>OPS</t>
        </is>
      </c>
      <c r="C989" t="inlineStr">
        <is>
          <t>R09</t>
        </is>
      </c>
      <c r="D989" t="inlineStr">
        <is>
          <t>MATCH</t>
        </is>
      </c>
      <c r="E989" t="inlineStr">
        <is>
          <t>Broadmeadow Plastics</t>
        </is>
      </c>
      <c r="F989" t="n">
        <v>1</v>
      </c>
      <c r="G989" t="inlineStr">
        <is>
          <t>Reference INV/2026/03487</t>
        </is>
      </c>
      <c r="H989">
        <f>COUNTIFS('Bank Lines'!$G$5:$G$1640,A989,'Bank Lines'!$J$5:$J$1640,1)</f>
        <v>1</v>
      </c>
      <c r="I989">
        <f>COUNTIFS('Odoo Items'!$J$5:$J$4331,A989)</f>
        <v>1</v>
      </c>
      <c r="J989" s="9">
        <f>ROUND(SUMIFS('Bank Lines'!$E$5:$E$1640,'Bank Lines'!$G$5:$G$1640,A989,'Bank Lines'!$J$5:$J$1640,1),2)</f>
        <v>2117.5</v>
      </c>
      <c r="K989" s="9">
        <f>ROUND(SUMIFS('Odoo Items'!$G$5:$G$4331,'Odoo Items'!$J$5:$J$4331,A989),2)</f>
        <v>2117.5</v>
      </c>
      <c r="L989" s="9">
        <f>ROUND(J989-K989,2)</f>
        <v>0</v>
      </c>
      <c r="M989" s="9">
        <f>ROUND(SUMIFS('Bank Lines'!$E$5:$E$1640,'Bank Lines'!$G$5:$G$1640,A989,'Bank Lines'!$J$5:$J$1640,1,'Bank Lines'!$C$5:$C$1640,"&lt;="&amp;Cover!$C$13),2)</f>
        <v>0</v>
      </c>
      <c r="N989" s="9">
        <f>ROUND(SUMIFS('Odoo Items'!$G$5:$G$4331,'Odoo Items'!$J$5:$J$4331,A989,'Odoo Items'!$C$5:$C$4331,"&lt;="&amp;Cover!$C$13),2)</f>
        <v>0</v>
      </c>
      <c r="O989">
        <f>COUNTIFS('Bank Lines'!$G$5:$G$1640,A989,'Bank Lines'!$J$5:$J$1640,1,'Bank Lines'!$C$5:$C$1640,"&lt;="&amp;Cover!$C$13)</f>
        <v>0</v>
      </c>
      <c r="P989">
        <f>COUNTIFS('Odoo Items'!$J$5:$J$4331,A989,'Odoo Items'!$C$5:$C$4331,"&lt;="&amp;Cover!$C$13)</f>
        <v>0</v>
      </c>
      <c r="Q989">
        <f>IF(AND(O989=0,P989=0),"",IF(O989=0,"ODOO-ONLY",IF(P989=0,"BANK-ONLY","BOTH")))</f>
      </c>
      <c r="R989" s="9">
        <f>IF(Q989="BOTH",ROUND(M989-N989,2),0)</f>
        <v>0</v>
      </c>
      <c r="S989" s="9">
        <f>ROUND(SUMIFS('Bank Lines'!$E$5:$E$1640,'Bank Lines'!$G$5:$G$1640,A989,'Bank Lines'!$J$5:$J$1640,1,'Bank Lines'!$C$5:$C$1640,"&lt;="&amp;Cover!$C$14),2)</f>
        <v>2117.5</v>
      </c>
      <c r="T989" s="9">
        <f>ROUND(SUMIFS('Odoo Items'!$G$5:$G$4331,'Odoo Items'!$J$5:$J$4331,A989,'Odoo Items'!$C$5:$C$4331,"&lt;="&amp;Cover!$C$14),2)</f>
        <v>2117.5</v>
      </c>
      <c r="U989">
        <f>COUNTIFS('Bank Lines'!$G$5:$G$1640,A989,'Bank Lines'!$J$5:$J$1640,1,'Bank Lines'!$C$5:$C$1640,"&lt;="&amp;Cover!$C$14)</f>
        <v>1</v>
      </c>
      <c r="V989">
        <f>COUNTIFS('Odoo Items'!$J$5:$J$4331,A989,'Odoo Items'!$C$5:$C$4331,"&lt;="&amp;Cover!$C$14)</f>
        <v>1</v>
      </c>
      <c r="W989" t="str">
        <f>IF(AND(U989=0,V989=0),"",IF(U989=0,"ODOO-ONLY",IF(V989=0,"BANK-ONLY","BOTH")))</f>
        <v>BOTH</v>
      </c>
      <c r="X989" s="9">
        <f>IF(W989="BOTH",ROUND(S989-T989,2),0)</f>
        <v>0</v>
      </c>
      <c r="Y989" s="9">
        <f>ROUND(SUMIFS('Bank Lines'!$E$5:$E$1640,'Bank Lines'!$G$5:$G$1640,A989,'Bank Lines'!$J$5:$J$1640,1,'Bank Lines'!$C$5:$C$1640,"&lt;="&amp;Cover!$C$15),2)</f>
        <v>2117.5</v>
      </c>
      <c r="Z989" s="9">
        <f>ROUND(SUMIFS('Odoo Items'!$G$5:$G$4331,'Odoo Items'!$J$5:$J$4331,A989,'Odoo Items'!$C$5:$C$4331,"&lt;="&amp;Cover!$C$15),2)</f>
        <v>2117.5</v>
      </c>
      <c r="AA989">
        <f>COUNTIFS('Bank Lines'!$G$5:$G$1640,A989,'Bank Lines'!$J$5:$J$1640,1,'Bank Lines'!$C$5:$C$1640,"&lt;="&amp;Cover!$C$15)</f>
        <v>1</v>
      </c>
      <c r="AB989">
        <f>COUNTIFS('Odoo Items'!$J$5:$J$4331,A989,'Odoo Items'!$C$5:$C$4331,"&lt;="&amp;Cover!$C$15)</f>
        <v>1</v>
      </c>
      <c r="AC989" t="str">
        <f>IF(AND(AA989=0,AB989=0),"",IF(AA989=0,"ODOO-ONLY",IF(AB989=0,"BANK-ONLY","BOTH")))</f>
        <v>BOTH</v>
      </c>
      <c r="AD989" s="9">
        <f>IF(AC989="BOTH",ROUND(Y989-Z989,2),0)</f>
        <v>0</v>
      </c>
    </row>
    <row r="990">
      <c r="A990" t="inlineStr">
        <is>
          <t>G00986</t>
        </is>
      </c>
      <c r="B990" t="inlineStr">
        <is>
          <t>OPS</t>
        </is>
      </c>
      <c r="C990" t="inlineStr">
        <is>
          <t>R09</t>
        </is>
      </c>
      <c r="D990" t="inlineStr">
        <is>
          <t>MATCH</t>
        </is>
      </c>
      <c r="E990" t="inlineStr">
        <is>
          <t>Unity Workcover Agents</t>
        </is>
      </c>
      <c r="F990" t="n">
        <v>1</v>
      </c>
      <c r="G990" t="inlineStr">
        <is>
          <t>Reference INV/2026/02298</t>
        </is>
      </c>
      <c r="H990">
        <f>COUNTIFS('Bank Lines'!$G$5:$G$1640,A990,'Bank Lines'!$J$5:$J$1640,1)</f>
        <v>1</v>
      </c>
      <c r="I990">
        <f>COUNTIFS('Odoo Items'!$J$5:$J$4331,A990)</f>
        <v>1</v>
      </c>
      <c r="J990" s="9">
        <f>ROUND(SUMIFS('Bank Lines'!$E$5:$E$1640,'Bank Lines'!$G$5:$G$1640,A990,'Bank Lines'!$J$5:$J$1640,1),2)</f>
        <v>412.5</v>
      </c>
      <c r="K990" s="9">
        <f>ROUND(SUMIFS('Odoo Items'!$G$5:$G$4331,'Odoo Items'!$J$5:$J$4331,A990),2)</f>
        <v>412.5</v>
      </c>
      <c r="L990" s="9">
        <f>ROUND(J990-K990,2)</f>
        <v>0</v>
      </c>
      <c r="M990" s="9">
        <f>ROUND(SUMIFS('Bank Lines'!$E$5:$E$1640,'Bank Lines'!$G$5:$G$1640,A990,'Bank Lines'!$J$5:$J$1640,1,'Bank Lines'!$C$5:$C$1640,"&lt;="&amp;Cover!$C$13),2)</f>
        <v>0</v>
      </c>
      <c r="N990" s="9">
        <f>ROUND(SUMIFS('Odoo Items'!$G$5:$G$4331,'Odoo Items'!$J$5:$J$4331,A990,'Odoo Items'!$C$5:$C$4331,"&lt;="&amp;Cover!$C$13),2)</f>
        <v>0</v>
      </c>
      <c r="O990">
        <f>COUNTIFS('Bank Lines'!$G$5:$G$1640,A990,'Bank Lines'!$J$5:$J$1640,1,'Bank Lines'!$C$5:$C$1640,"&lt;="&amp;Cover!$C$13)</f>
        <v>0</v>
      </c>
      <c r="P990">
        <f>COUNTIFS('Odoo Items'!$J$5:$J$4331,A990,'Odoo Items'!$C$5:$C$4331,"&lt;="&amp;Cover!$C$13)</f>
        <v>0</v>
      </c>
      <c r="Q990">
        <f>IF(AND(O990=0,P990=0),"",IF(O990=0,"ODOO-ONLY",IF(P990=0,"BANK-ONLY","BOTH")))</f>
      </c>
      <c r="R990" s="9">
        <f>IF(Q990="BOTH",ROUND(M990-N990,2),0)</f>
        <v>0</v>
      </c>
      <c r="S990" s="9">
        <f>ROUND(SUMIFS('Bank Lines'!$E$5:$E$1640,'Bank Lines'!$G$5:$G$1640,A990,'Bank Lines'!$J$5:$J$1640,1,'Bank Lines'!$C$5:$C$1640,"&lt;="&amp;Cover!$C$14),2)</f>
        <v>412.5</v>
      </c>
      <c r="T990" s="9">
        <f>ROUND(SUMIFS('Odoo Items'!$G$5:$G$4331,'Odoo Items'!$J$5:$J$4331,A990,'Odoo Items'!$C$5:$C$4331,"&lt;="&amp;Cover!$C$14),2)</f>
        <v>412.5</v>
      </c>
      <c r="U990">
        <f>COUNTIFS('Bank Lines'!$G$5:$G$1640,A990,'Bank Lines'!$J$5:$J$1640,1,'Bank Lines'!$C$5:$C$1640,"&lt;="&amp;Cover!$C$14)</f>
        <v>1</v>
      </c>
      <c r="V990">
        <f>COUNTIFS('Odoo Items'!$J$5:$J$4331,A990,'Odoo Items'!$C$5:$C$4331,"&lt;="&amp;Cover!$C$14)</f>
        <v>1</v>
      </c>
      <c r="W990" t="str">
        <f>IF(AND(U990=0,V990=0),"",IF(U990=0,"ODOO-ONLY",IF(V990=0,"BANK-ONLY","BOTH")))</f>
        <v>BOTH</v>
      </c>
      <c r="X990" s="9">
        <f>IF(W990="BOTH",ROUND(S990-T990,2),0)</f>
        <v>0</v>
      </c>
      <c r="Y990" s="9">
        <f>ROUND(SUMIFS('Bank Lines'!$E$5:$E$1640,'Bank Lines'!$G$5:$G$1640,A990,'Bank Lines'!$J$5:$J$1640,1,'Bank Lines'!$C$5:$C$1640,"&lt;="&amp;Cover!$C$15),2)</f>
        <v>412.5</v>
      </c>
      <c r="Z990" s="9">
        <f>ROUND(SUMIFS('Odoo Items'!$G$5:$G$4331,'Odoo Items'!$J$5:$J$4331,A990,'Odoo Items'!$C$5:$C$4331,"&lt;="&amp;Cover!$C$15),2)</f>
        <v>412.5</v>
      </c>
      <c r="AA990">
        <f>COUNTIFS('Bank Lines'!$G$5:$G$1640,A990,'Bank Lines'!$J$5:$J$1640,1,'Bank Lines'!$C$5:$C$1640,"&lt;="&amp;Cover!$C$15)</f>
        <v>1</v>
      </c>
      <c r="AB990">
        <f>COUNTIFS('Odoo Items'!$J$5:$J$4331,A990,'Odoo Items'!$C$5:$C$4331,"&lt;="&amp;Cover!$C$15)</f>
        <v>1</v>
      </c>
      <c r="AC990" t="str">
        <f>IF(AND(AA990=0,AB990=0),"",IF(AA990=0,"ODOO-ONLY",IF(AB990=0,"BANK-ONLY","BOTH")))</f>
        <v>BOTH</v>
      </c>
      <c r="AD990" s="9">
        <f>IF(AC990="BOTH",ROUND(Y990-Z990,2),0)</f>
        <v>0</v>
      </c>
    </row>
    <row r="991">
      <c r="A991" t="inlineStr">
        <is>
          <t>G00987</t>
        </is>
      </c>
      <c r="B991" t="inlineStr">
        <is>
          <t>OPS</t>
        </is>
      </c>
      <c r="C991" t="inlineStr">
        <is>
          <t>R09</t>
        </is>
      </c>
      <c r="D991" t="inlineStr">
        <is>
          <t>MATCH</t>
        </is>
      </c>
      <c r="E991" t="inlineStr">
        <is>
          <t>Pinnacle Claims Services</t>
        </is>
      </c>
      <c r="F991" t="n">
        <v>1</v>
      </c>
      <c r="G991" t="inlineStr">
        <is>
          <t>Reference INV/2026/02180</t>
        </is>
      </c>
      <c r="H991">
        <f>COUNTIFS('Bank Lines'!$G$5:$G$1640,A991,'Bank Lines'!$J$5:$J$1640,1)</f>
        <v>1</v>
      </c>
      <c r="I991">
        <f>COUNTIFS('Odoo Items'!$J$5:$J$4331,A991)</f>
        <v>1</v>
      </c>
      <c r="J991" s="9">
        <f>ROUND(SUMIFS('Bank Lines'!$E$5:$E$1640,'Bank Lines'!$G$5:$G$1640,A991,'Bank Lines'!$J$5:$J$1640,1),2)</f>
        <v>990</v>
      </c>
      <c r="K991" s="9">
        <f>ROUND(SUMIFS('Odoo Items'!$G$5:$G$4331,'Odoo Items'!$J$5:$J$4331,A991),2)</f>
        <v>990</v>
      </c>
      <c r="L991" s="9">
        <f>ROUND(J991-K991,2)</f>
        <v>0</v>
      </c>
      <c r="M991" s="9">
        <f>ROUND(SUMIFS('Bank Lines'!$E$5:$E$1640,'Bank Lines'!$G$5:$G$1640,A991,'Bank Lines'!$J$5:$J$1640,1,'Bank Lines'!$C$5:$C$1640,"&lt;="&amp;Cover!$C$13),2)</f>
        <v>0</v>
      </c>
      <c r="N991" s="9">
        <f>ROUND(SUMIFS('Odoo Items'!$G$5:$G$4331,'Odoo Items'!$J$5:$J$4331,A991,'Odoo Items'!$C$5:$C$4331,"&lt;="&amp;Cover!$C$13),2)</f>
        <v>0</v>
      </c>
      <c r="O991">
        <f>COUNTIFS('Bank Lines'!$G$5:$G$1640,A991,'Bank Lines'!$J$5:$J$1640,1,'Bank Lines'!$C$5:$C$1640,"&lt;="&amp;Cover!$C$13)</f>
        <v>0</v>
      </c>
      <c r="P991">
        <f>COUNTIFS('Odoo Items'!$J$5:$J$4331,A991,'Odoo Items'!$C$5:$C$4331,"&lt;="&amp;Cover!$C$13)</f>
        <v>0</v>
      </c>
      <c r="Q991">
        <f>IF(AND(O991=0,P991=0),"",IF(O991=0,"ODOO-ONLY",IF(P991=0,"BANK-ONLY","BOTH")))</f>
      </c>
      <c r="R991" s="9">
        <f>IF(Q991="BOTH",ROUND(M991-N991,2),0)</f>
        <v>0</v>
      </c>
      <c r="S991" s="9">
        <f>ROUND(SUMIFS('Bank Lines'!$E$5:$E$1640,'Bank Lines'!$G$5:$G$1640,A991,'Bank Lines'!$J$5:$J$1640,1,'Bank Lines'!$C$5:$C$1640,"&lt;="&amp;Cover!$C$14),2)</f>
        <v>990</v>
      </c>
      <c r="T991" s="9">
        <f>ROUND(SUMIFS('Odoo Items'!$G$5:$G$4331,'Odoo Items'!$J$5:$J$4331,A991,'Odoo Items'!$C$5:$C$4331,"&lt;="&amp;Cover!$C$14),2)</f>
        <v>990</v>
      </c>
      <c r="U991">
        <f>COUNTIFS('Bank Lines'!$G$5:$G$1640,A991,'Bank Lines'!$J$5:$J$1640,1,'Bank Lines'!$C$5:$C$1640,"&lt;="&amp;Cover!$C$14)</f>
        <v>1</v>
      </c>
      <c r="V991">
        <f>COUNTIFS('Odoo Items'!$J$5:$J$4331,A991,'Odoo Items'!$C$5:$C$4331,"&lt;="&amp;Cover!$C$14)</f>
        <v>1</v>
      </c>
      <c r="W991" t="str">
        <f>IF(AND(U991=0,V991=0),"",IF(U991=0,"ODOO-ONLY",IF(V991=0,"BANK-ONLY","BOTH")))</f>
        <v>BOTH</v>
      </c>
      <c r="X991" s="9">
        <f>IF(W991="BOTH",ROUND(S991-T991,2),0)</f>
        <v>0</v>
      </c>
      <c r="Y991" s="9">
        <f>ROUND(SUMIFS('Bank Lines'!$E$5:$E$1640,'Bank Lines'!$G$5:$G$1640,A991,'Bank Lines'!$J$5:$J$1640,1,'Bank Lines'!$C$5:$C$1640,"&lt;="&amp;Cover!$C$15),2)</f>
        <v>990</v>
      </c>
      <c r="Z991" s="9">
        <f>ROUND(SUMIFS('Odoo Items'!$G$5:$G$4331,'Odoo Items'!$J$5:$J$4331,A991,'Odoo Items'!$C$5:$C$4331,"&lt;="&amp;Cover!$C$15),2)</f>
        <v>990</v>
      </c>
      <c r="AA991">
        <f>COUNTIFS('Bank Lines'!$G$5:$G$1640,A991,'Bank Lines'!$J$5:$J$1640,1,'Bank Lines'!$C$5:$C$1640,"&lt;="&amp;Cover!$C$15)</f>
        <v>1</v>
      </c>
      <c r="AB991">
        <f>COUNTIFS('Odoo Items'!$J$5:$J$4331,A991,'Odoo Items'!$C$5:$C$4331,"&lt;="&amp;Cover!$C$15)</f>
        <v>1</v>
      </c>
      <c r="AC991" t="str">
        <f>IF(AND(AA991=0,AB991=0),"",IF(AA991=0,"ODOO-ONLY",IF(AB991=0,"BANK-ONLY","BOTH")))</f>
        <v>BOTH</v>
      </c>
      <c r="AD991" s="9">
        <f>IF(AC991="BOTH",ROUND(Y991-Z991,2),0)</f>
        <v>0</v>
      </c>
    </row>
    <row r="992">
      <c r="A992" t="inlineStr">
        <is>
          <t>G00988</t>
        </is>
      </c>
      <c r="B992" t="inlineStr">
        <is>
          <t>OPS</t>
        </is>
      </c>
      <c r="C992" t="inlineStr">
        <is>
          <t>R09</t>
        </is>
      </c>
      <c r="D992" t="inlineStr">
        <is>
          <t>MATCH</t>
        </is>
      </c>
      <c r="E992" t="inlineStr">
        <is>
          <t>Unity Workcover Agents</t>
        </is>
      </c>
      <c r="F992" t="n">
        <v>1</v>
      </c>
      <c r="G992" t="inlineStr">
        <is>
          <t>Reference INV/2026/02369</t>
        </is>
      </c>
      <c r="H992">
        <f>COUNTIFS('Bank Lines'!$G$5:$G$1640,A992,'Bank Lines'!$J$5:$J$1640,1)</f>
        <v>1</v>
      </c>
      <c r="I992">
        <f>COUNTIFS('Odoo Items'!$J$5:$J$4331,A992)</f>
        <v>1</v>
      </c>
      <c r="J992" s="9">
        <f>ROUND(SUMIFS('Bank Lines'!$E$5:$E$1640,'Bank Lines'!$G$5:$G$1640,A992,'Bank Lines'!$J$5:$J$1640,1),2)</f>
        <v>132</v>
      </c>
      <c r="K992" s="9">
        <f>ROUND(SUMIFS('Odoo Items'!$G$5:$G$4331,'Odoo Items'!$J$5:$J$4331,A992),2)</f>
        <v>132</v>
      </c>
      <c r="L992" s="9">
        <f>ROUND(J992-K992,2)</f>
        <v>0</v>
      </c>
      <c r="M992" s="9">
        <f>ROUND(SUMIFS('Bank Lines'!$E$5:$E$1640,'Bank Lines'!$G$5:$G$1640,A992,'Bank Lines'!$J$5:$J$1640,1,'Bank Lines'!$C$5:$C$1640,"&lt;="&amp;Cover!$C$13),2)</f>
        <v>0</v>
      </c>
      <c r="N992" s="9">
        <f>ROUND(SUMIFS('Odoo Items'!$G$5:$G$4331,'Odoo Items'!$J$5:$J$4331,A992,'Odoo Items'!$C$5:$C$4331,"&lt;="&amp;Cover!$C$13),2)</f>
        <v>0</v>
      </c>
      <c r="O992">
        <f>COUNTIFS('Bank Lines'!$G$5:$G$1640,A992,'Bank Lines'!$J$5:$J$1640,1,'Bank Lines'!$C$5:$C$1640,"&lt;="&amp;Cover!$C$13)</f>
        <v>0</v>
      </c>
      <c r="P992">
        <f>COUNTIFS('Odoo Items'!$J$5:$J$4331,A992,'Odoo Items'!$C$5:$C$4331,"&lt;="&amp;Cover!$C$13)</f>
        <v>0</v>
      </c>
      <c r="Q992">
        <f>IF(AND(O992=0,P992=0),"",IF(O992=0,"ODOO-ONLY",IF(P992=0,"BANK-ONLY","BOTH")))</f>
      </c>
      <c r="R992" s="9">
        <f>IF(Q992="BOTH",ROUND(M992-N992,2),0)</f>
        <v>0</v>
      </c>
      <c r="S992" s="9">
        <f>ROUND(SUMIFS('Bank Lines'!$E$5:$E$1640,'Bank Lines'!$G$5:$G$1640,A992,'Bank Lines'!$J$5:$J$1640,1,'Bank Lines'!$C$5:$C$1640,"&lt;="&amp;Cover!$C$14),2)</f>
        <v>132</v>
      </c>
      <c r="T992" s="9">
        <f>ROUND(SUMIFS('Odoo Items'!$G$5:$G$4331,'Odoo Items'!$J$5:$J$4331,A992,'Odoo Items'!$C$5:$C$4331,"&lt;="&amp;Cover!$C$14),2)</f>
        <v>132</v>
      </c>
      <c r="U992">
        <f>COUNTIFS('Bank Lines'!$G$5:$G$1640,A992,'Bank Lines'!$J$5:$J$1640,1,'Bank Lines'!$C$5:$C$1640,"&lt;="&amp;Cover!$C$14)</f>
        <v>1</v>
      </c>
      <c r="V992">
        <f>COUNTIFS('Odoo Items'!$J$5:$J$4331,A992,'Odoo Items'!$C$5:$C$4331,"&lt;="&amp;Cover!$C$14)</f>
        <v>1</v>
      </c>
      <c r="W992" t="str">
        <f>IF(AND(U992=0,V992=0),"",IF(U992=0,"ODOO-ONLY",IF(V992=0,"BANK-ONLY","BOTH")))</f>
        <v>BOTH</v>
      </c>
      <c r="X992" s="9">
        <f>IF(W992="BOTH",ROUND(S992-T992,2),0)</f>
        <v>0</v>
      </c>
      <c r="Y992" s="9">
        <f>ROUND(SUMIFS('Bank Lines'!$E$5:$E$1640,'Bank Lines'!$G$5:$G$1640,A992,'Bank Lines'!$J$5:$J$1640,1,'Bank Lines'!$C$5:$C$1640,"&lt;="&amp;Cover!$C$15),2)</f>
        <v>132</v>
      </c>
      <c r="Z992" s="9">
        <f>ROUND(SUMIFS('Odoo Items'!$G$5:$G$4331,'Odoo Items'!$J$5:$J$4331,A992,'Odoo Items'!$C$5:$C$4331,"&lt;="&amp;Cover!$C$15),2)</f>
        <v>132</v>
      </c>
      <c r="AA992">
        <f>COUNTIFS('Bank Lines'!$G$5:$G$1640,A992,'Bank Lines'!$J$5:$J$1640,1,'Bank Lines'!$C$5:$C$1640,"&lt;="&amp;Cover!$C$15)</f>
        <v>1</v>
      </c>
      <c r="AB992">
        <f>COUNTIFS('Odoo Items'!$J$5:$J$4331,A992,'Odoo Items'!$C$5:$C$4331,"&lt;="&amp;Cover!$C$15)</f>
        <v>1</v>
      </c>
      <c r="AC992" t="str">
        <f>IF(AND(AA992=0,AB992=0),"",IF(AA992=0,"ODOO-ONLY",IF(AB992=0,"BANK-ONLY","BOTH")))</f>
        <v>BOTH</v>
      </c>
      <c r="AD992" s="9">
        <f>IF(AC992="BOTH",ROUND(Y992-Z992,2),0)</f>
        <v>0</v>
      </c>
    </row>
    <row r="993">
      <c r="A993" t="inlineStr">
        <is>
          <t>G00989</t>
        </is>
      </c>
      <c r="B993" t="inlineStr">
        <is>
          <t>OPS</t>
        </is>
      </c>
      <c r="C993" t="inlineStr">
        <is>
          <t>R09</t>
        </is>
      </c>
      <c r="D993" t="inlineStr">
        <is>
          <t>MATCH</t>
        </is>
      </c>
      <c r="E993" t="inlineStr">
        <is>
          <t>Pinnacle Claims Services</t>
        </is>
      </c>
      <c r="F993" t="n">
        <v>1</v>
      </c>
      <c r="G993" t="inlineStr">
        <is>
          <t>Reference INV/2026/02387</t>
        </is>
      </c>
      <c r="H993">
        <f>COUNTIFS('Bank Lines'!$G$5:$G$1640,A993,'Bank Lines'!$J$5:$J$1640,1)</f>
        <v>1</v>
      </c>
      <c r="I993">
        <f>COUNTIFS('Odoo Items'!$J$5:$J$4331,A993)</f>
        <v>1</v>
      </c>
      <c r="J993" s="9">
        <f>ROUND(SUMIFS('Bank Lines'!$E$5:$E$1640,'Bank Lines'!$G$5:$G$1640,A993,'Bank Lines'!$J$5:$J$1640,1),2)</f>
        <v>132</v>
      </c>
      <c r="K993" s="9">
        <f>ROUND(SUMIFS('Odoo Items'!$G$5:$G$4331,'Odoo Items'!$J$5:$J$4331,A993),2)</f>
        <v>132</v>
      </c>
      <c r="L993" s="9">
        <f>ROUND(J993-K993,2)</f>
        <v>0</v>
      </c>
      <c r="M993" s="9">
        <f>ROUND(SUMIFS('Bank Lines'!$E$5:$E$1640,'Bank Lines'!$G$5:$G$1640,A993,'Bank Lines'!$J$5:$J$1640,1,'Bank Lines'!$C$5:$C$1640,"&lt;="&amp;Cover!$C$13),2)</f>
        <v>0</v>
      </c>
      <c r="N993" s="9">
        <f>ROUND(SUMIFS('Odoo Items'!$G$5:$G$4331,'Odoo Items'!$J$5:$J$4331,A993,'Odoo Items'!$C$5:$C$4331,"&lt;="&amp;Cover!$C$13),2)</f>
        <v>0</v>
      </c>
      <c r="O993">
        <f>COUNTIFS('Bank Lines'!$G$5:$G$1640,A993,'Bank Lines'!$J$5:$J$1640,1,'Bank Lines'!$C$5:$C$1640,"&lt;="&amp;Cover!$C$13)</f>
        <v>0</v>
      </c>
      <c r="P993">
        <f>COUNTIFS('Odoo Items'!$J$5:$J$4331,A993,'Odoo Items'!$C$5:$C$4331,"&lt;="&amp;Cover!$C$13)</f>
        <v>0</v>
      </c>
      <c r="Q993">
        <f>IF(AND(O993=0,P993=0),"",IF(O993=0,"ODOO-ONLY",IF(P993=0,"BANK-ONLY","BOTH")))</f>
      </c>
      <c r="R993" s="9">
        <f>IF(Q993="BOTH",ROUND(M993-N993,2),0)</f>
        <v>0</v>
      </c>
      <c r="S993" s="9">
        <f>ROUND(SUMIFS('Bank Lines'!$E$5:$E$1640,'Bank Lines'!$G$5:$G$1640,A993,'Bank Lines'!$J$5:$J$1640,1,'Bank Lines'!$C$5:$C$1640,"&lt;="&amp;Cover!$C$14),2)</f>
        <v>132</v>
      </c>
      <c r="T993" s="9">
        <f>ROUND(SUMIFS('Odoo Items'!$G$5:$G$4331,'Odoo Items'!$J$5:$J$4331,A993,'Odoo Items'!$C$5:$C$4331,"&lt;="&amp;Cover!$C$14),2)</f>
        <v>132</v>
      </c>
      <c r="U993">
        <f>COUNTIFS('Bank Lines'!$G$5:$G$1640,A993,'Bank Lines'!$J$5:$J$1640,1,'Bank Lines'!$C$5:$C$1640,"&lt;="&amp;Cover!$C$14)</f>
        <v>1</v>
      </c>
      <c r="V993">
        <f>COUNTIFS('Odoo Items'!$J$5:$J$4331,A993,'Odoo Items'!$C$5:$C$4331,"&lt;="&amp;Cover!$C$14)</f>
        <v>1</v>
      </c>
      <c r="W993" t="str">
        <f>IF(AND(U993=0,V993=0),"",IF(U993=0,"ODOO-ONLY",IF(V993=0,"BANK-ONLY","BOTH")))</f>
        <v>BOTH</v>
      </c>
      <c r="X993" s="9">
        <f>IF(W993="BOTH",ROUND(S993-T993,2),0)</f>
        <v>0</v>
      </c>
      <c r="Y993" s="9">
        <f>ROUND(SUMIFS('Bank Lines'!$E$5:$E$1640,'Bank Lines'!$G$5:$G$1640,A993,'Bank Lines'!$J$5:$J$1640,1,'Bank Lines'!$C$5:$C$1640,"&lt;="&amp;Cover!$C$15),2)</f>
        <v>132</v>
      </c>
      <c r="Z993" s="9">
        <f>ROUND(SUMIFS('Odoo Items'!$G$5:$G$4331,'Odoo Items'!$J$5:$J$4331,A993,'Odoo Items'!$C$5:$C$4331,"&lt;="&amp;Cover!$C$15),2)</f>
        <v>132</v>
      </c>
      <c r="AA993">
        <f>COUNTIFS('Bank Lines'!$G$5:$G$1640,A993,'Bank Lines'!$J$5:$J$1640,1,'Bank Lines'!$C$5:$C$1640,"&lt;="&amp;Cover!$C$15)</f>
        <v>1</v>
      </c>
      <c r="AB993">
        <f>COUNTIFS('Odoo Items'!$J$5:$J$4331,A993,'Odoo Items'!$C$5:$C$4331,"&lt;="&amp;Cover!$C$15)</f>
        <v>1</v>
      </c>
      <c r="AC993" t="str">
        <f>IF(AND(AA993=0,AB993=0),"",IF(AA993=0,"ODOO-ONLY",IF(AB993=0,"BANK-ONLY","BOTH")))</f>
        <v>BOTH</v>
      </c>
      <c r="AD993" s="9">
        <f>IF(AC993="BOTH",ROUND(Y993-Z993,2),0)</f>
        <v>0</v>
      </c>
    </row>
    <row r="994">
      <c r="A994" t="inlineStr">
        <is>
          <t>G00990</t>
        </is>
      </c>
      <c r="B994" t="inlineStr">
        <is>
          <t>OPS</t>
        </is>
      </c>
      <c r="C994" t="inlineStr">
        <is>
          <t>R09</t>
        </is>
      </c>
      <c r="D994" t="inlineStr">
        <is>
          <t>MATCH</t>
        </is>
      </c>
      <c r="E994" t="inlineStr">
        <is>
          <t>Northline Injury Claims</t>
        </is>
      </c>
      <c r="F994" t="n">
        <v>1</v>
      </c>
      <c r="G994" t="inlineStr">
        <is>
          <t>Reference INV/2026/02284</t>
        </is>
      </c>
      <c r="H994">
        <f>COUNTIFS('Bank Lines'!$G$5:$G$1640,A994,'Bank Lines'!$J$5:$J$1640,1)</f>
        <v>1</v>
      </c>
      <c r="I994">
        <f>COUNTIFS('Odoo Items'!$J$5:$J$4331,A994)</f>
        <v>1</v>
      </c>
      <c r="J994" s="9">
        <f>ROUND(SUMIFS('Bank Lines'!$E$5:$E$1640,'Bank Lines'!$G$5:$G$1640,A994,'Bank Lines'!$J$5:$J$1640,1),2)</f>
        <v>176</v>
      </c>
      <c r="K994" s="9">
        <f>ROUND(SUMIFS('Odoo Items'!$G$5:$G$4331,'Odoo Items'!$J$5:$J$4331,A994),2)</f>
        <v>176</v>
      </c>
      <c r="L994" s="9">
        <f>ROUND(J994-K994,2)</f>
        <v>0</v>
      </c>
      <c r="M994" s="9">
        <f>ROUND(SUMIFS('Bank Lines'!$E$5:$E$1640,'Bank Lines'!$G$5:$G$1640,A994,'Bank Lines'!$J$5:$J$1640,1,'Bank Lines'!$C$5:$C$1640,"&lt;="&amp;Cover!$C$13),2)</f>
        <v>0</v>
      </c>
      <c r="N994" s="9">
        <f>ROUND(SUMIFS('Odoo Items'!$G$5:$G$4331,'Odoo Items'!$J$5:$J$4331,A994,'Odoo Items'!$C$5:$C$4331,"&lt;="&amp;Cover!$C$13),2)</f>
        <v>0</v>
      </c>
      <c r="O994">
        <f>COUNTIFS('Bank Lines'!$G$5:$G$1640,A994,'Bank Lines'!$J$5:$J$1640,1,'Bank Lines'!$C$5:$C$1640,"&lt;="&amp;Cover!$C$13)</f>
        <v>0</v>
      </c>
      <c r="P994">
        <f>COUNTIFS('Odoo Items'!$J$5:$J$4331,A994,'Odoo Items'!$C$5:$C$4331,"&lt;="&amp;Cover!$C$13)</f>
        <v>0</v>
      </c>
      <c r="Q994">
        <f>IF(AND(O994=0,P994=0),"",IF(O994=0,"ODOO-ONLY",IF(P994=0,"BANK-ONLY","BOTH")))</f>
      </c>
      <c r="R994" s="9">
        <f>IF(Q994="BOTH",ROUND(M994-N994,2),0)</f>
        <v>0</v>
      </c>
      <c r="S994" s="9">
        <f>ROUND(SUMIFS('Bank Lines'!$E$5:$E$1640,'Bank Lines'!$G$5:$G$1640,A994,'Bank Lines'!$J$5:$J$1640,1,'Bank Lines'!$C$5:$C$1640,"&lt;="&amp;Cover!$C$14),2)</f>
        <v>176</v>
      </c>
      <c r="T994" s="9">
        <f>ROUND(SUMIFS('Odoo Items'!$G$5:$G$4331,'Odoo Items'!$J$5:$J$4331,A994,'Odoo Items'!$C$5:$C$4331,"&lt;="&amp;Cover!$C$14),2)</f>
        <v>176</v>
      </c>
      <c r="U994">
        <f>COUNTIFS('Bank Lines'!$G$5:$G$1640,A994,'Bank Lines'!$J$5:$J$1640,1,'Bank Lines'!$C$5:$C$1640,"&lt;="&amp;Cover!$C$14)</f>
        <v>1</v>
      </c>
      <c r="V994">
        <f>COUNTIFS('Odoo Items'!$J$5:$J$4331,A994,'Odoo Items'!$C$5:$C$4331,"&lt;="&amp;Cover!$C$14)</f>
        <v>1</v>
      </c>
      <c r="W994" t="str">
        <f>IF(AND(U994=0,V994=0),"",IF(U994=0,"ODOO-ONLY",IF(V994=0,"BANK-ONLY","BOTH")))</f>
        <v>BOTH</v>
      </c>
      <c r="X994" s="9">
        <f>IF(W994="BOTH",ROUND(S994-T994,2),0)</f>
        <v>0</v>
      </c>
      <c r="Y994" s="9">
        <f>ROUND(SUMIFS('Bank Lines'!$E$5:$E$1640,'Bank Lines'!$G$5:$G$1640,A994,'Bank Lines'!$J$5:$J$1640,1,'Bank Lines'!$C$5:$C$1640,"&lt;="&amp;Cover!$C$15),2)</f>
        <v>176</v>
      </c>
      <c r="Z994" s="9">
        <f>ROUND(SUMIFS('Odoo Items'!$G$5:$G$4331,'Odoo Items'!$J$5:$J$4331,A994,'Odoo Items'!$C$5:$C$4331,"&lt;="&amp;Cover!$C$15),2)</f>
        <v>176</v>
      </c>
      <c r="AA994">
        <f>COUNTIFS('Bank Lines'!$G$5:$G$1640,A994,'Bank Lines'!$J$5:$J$1640,1,'Bank Lines'!$C$5:$C$1640,"&lt;="&amp;Cover!$C$15)</f>
        <v>1</v>
      </c>
      <c r="AB994">
        <f>COUNTIFS('Odoo Items'!$J$5:$J$4331,A994,'Odoo Items'!$C$5:$C$4331,"&lt;="&amp;Cover!$C$15)</f>
        <v>1</v>
      </c>
      <c r="AC994" t="str">
        <f>IF(AND(AA994=0,AB994=0),"",IF(AA994=0,"ODOO-ONLY",IF(AB994=0,"BANK-ONLY","BOTH")))</f>
        <v>BOTH</v>
      </c>
      <c r="AD994" s="9">
        <f>IF(AC994="BOTH",ROUND(Y994-Z994,2),0)</f>
        <v>0</v>
      </c>
    </row>
    <row r="995">
      <c r="A995" t="inlineStr">
        <is>
          <t>G00991</t>
        </is>
      </c>
      <c r="B995" t="inlineStr">
        <is>
          <t>OPS</t>
        </is>
      </c>
      <c r="C995" t="inlineStr">
        <is>
          <t>R09</t>
        </is>
      </c>
      <c r="D995" t="inlineStr">
        <is>
          <t>MATCH</t>
        </is>
      </c>
      <c r="E995" t="inlineStr">
        <is>
          <t>Meridian Health Cover</t>
        </is>
      </c>
      <c r="F995" t="n">
        <v>1</v>
      </c>
      <c r="G995" t="inlineStr">
        <is>
          <t>Reference INV/2026/02370</t>
        </is>
      </c>
      <c r="H995">
        <f>COUNTIFS('Bank Lines'!$G$5:$G$1640,A995,'Bank Lines'!$J$5:$J$1640,1)</f>
        <v>1</v>
      </c>
      <c r="I995">
        <f>COUNTIFS('Odoo Items'!$J$5:$J$4331,A995)</f>
        <v>1</v>
      </c>
      <c r="J995" s="9">
        <f>ROUND(SUMIFS('Bank Lines'!$E$5:$E$1640,'Bank Lines'!$G$5:$G$1640,A995,'Bank Lines'!$J$5:$J$1640,1),2)</f>
        <v>264</v>
      </c>
      <c r="K995" s="9">
        <f>ROUND(SUMIFS('Odoo Items'!$G$5:$G$4331,'Odoo Items'!$J$5:$J$4331,A995),2)</f>
        <v>264</v>
      </c>
      <c r="L995" s="9">
        <f>ROUND(J995-K995,2)</f>
        <v>0</v>
      </c>
      <c r="M995" s="9">
        <f>ROUND(SUMIFS('Bank Lines'!$E$5:$E$1640,'Bank Lines'!$G$5:$G$1640,A995,'Bank Lines'!$J$5:$J$1640,1,'Bank Lines'!$C$5:$C$1640,"&lt;="&amp;Cover!$C$13),2)</f>
        <v>0</v>
      </c>
      <c r="N995" s="9">
        <f>ROUND(SUMIFS('Odoo Items'!$G$5:$G$4331,'Odoo Items'!$J$5:$J$4331,A995,'Odoo Items'!$C$5:$C$4331,"&lt;="&amp;Cover!$C$13),2)</f>
        <v>0</v>
      </c>
      <c r="O995">
        <f>COUNTIFS('Bank Lines'!$G$5:$G$1640,A995,'Bank Lines'!$J$5:$J$1640,1,'Bank Lines'!$C$5:$C$1640,"&lt;="&amp;Cover!$C$13)</f>
        <v>0</v>
      </c>
      <c r="P995">
        <f>COUNTIFS('Odoo Items'!$J$5:$J$4331,A995,'Odoo Items'!$C$5:$C$4331,"&lt;="&amp;Cover!$C$13)</f>
        <v>0</v>
      </c>
      <c r="Q995">
        <f>IF(AND(O995=0,P995=0),"",IF(O995=0,"ODOO-ONLY",IF(P995=0,"BANK-ONLY","BOTH")))</f>
      </c>
      <c r="R995" s="9">
        <f>IF(Q995="BOTH",ROUND(M995-N995,2),0)</f>
        <v>0</v>
      </c>
      <c r="S995" s="9">
        <f>ROUND(SUMIFS('Bank Lines'!$E$5:$E$1640,'Bank Lines'!$G$5:$G$1640,A995,'Bank Lines'!$J$5:$J$1640,1,'Bank Lines'!$C$5:$C$1640,"&lt;="&amp;Cover!$C$14),2)</f>
        <v>264</v>
      </c>
      <c r="T995" s="9">
        <f>ROUND(SUMIFS('Odoo Items'!$G$5:$G$4331,'Odoo Items'!$J$5:$J$4331,A995,'Odoo Items'!$C$5:$C$4331,"&lt;="&amp;Cover!$C$14),2)</f>
        <v>264</v>
      </c>
      <c r="U995">
        <f>COUNTIFS('Bank Lines'!$G$5:$G$1640,A995,'Bank Lines'!$J$5:$J$1640,1,'Bank Lines'!$C$5:$C$1640,"&lt;="&amp;Cover!$C$14)</f>
        <v>1</v>
      </c>
      <c r="V995">
        <f>COUNTIFS('Odoo Items'!$J$5:$J$4331,A995,'Odoo Items'!$C$5:$C$4331,"&lt;="&amp;Cover!$C$14)</f>
        <v>1</v>
      </c>
      <c r="W995" t="str">
        <f>IF(AND(U995=0,V995=0),"",IF(U995=0,"ODOO-ONLY",IF(V995=0,"BANK-ONLY","BOTH")))</f>
        <v>BOTH</v>
      </c>
      <c r="X995" s="9">
        <f>IF(W995="BOTH",ROUND(S995-T995,2),0)</f>
        <v>0</v>
      </c>
      <c r="Y995" s="9">
        <f>ROUND(SUMIFS('Bank Lines'!$E$5:$E$1640,'Bank Lines'!$G$5:$G$1640,A995,'Bank Lines'!$J$5:$J$1640,1,'Bank Lines'!$C$5:$C$1640,"&lt;="&amp;Cover!$C$15),2)</f>
        <v>264</v>
      </c>
      <c r="Z995" s="9">
        <f>ROUND(SUMIFS('Odoo Items'!$G$5:$G$4331,'Odoo Items'!$J$5:$J$4331,A995,'Odoo Items'!$C$5:$C$4331,"&lt;="&amp;Cover!$C$15),2)</f>
        <v>264</v>
      </c>
      <c r="AA995">
        <f>COUNTIFS('Bank Lines'!$G$5:$G$1640,A995,'Bank Lines'!$J$5:$J$1640,1,'Bank Lines'!$C$5:$C$1640,"&lt;="&amp;Cover!$C$15)</f>
        <v>1</v>
      </c>
      <c r="AB995">
        <f>COUNTIFS('Odoo Items'!$J$5:$J$4331,A995,'Odoo Items'!$C$5:$C$4331,"&lt;="&amp;Cover!$C$15)</f>
        <v>1</v>
      </c>
      <c r="AC995" t="str">
        <f>IF(AND(AA995=0,AB995=0),"",IF(AA995=0,"ODOO-ONLY",IF(AB995=0,"BANK-ONLY","BOTH")))</f>
        <v>BOTH</v>
      </c>
      <c r="AD995" s="9">
        <f>IF(AC995="BOTH",ROUND(Y995-Z995,2),0)</f>
        <v>0</v>
      </c>
    </row>
    <row r="996">
      <c r="A996" t="inlineStr">
        <is>
          <t>G00992</t>
        </is>
      </c>
      <c r="B996" t="inlineStr">
        <is>
          <t>OPS</t>
        </is>
      </c>
      <c r="C996" t="inlineStr">
        <is>
          <t>R09</t>
        </is>
      </c>
      <c r="D996" t="inlineStr">
        <is>
          <t>MATCH</t>
        </is>
      </c>
      <c r="E996" t="inlineStr">
        <is>
          <t>Gilmour Steel Pty Ltd</t>
        </is>
      </c>
      <c r="F996" t="n">
        <v>1</v>
      </c>
      <c r="G996" t="inlineStr">
        <is>
          <t>Reference INV/2026/03444</t>
        </is>
      </c>
      <c r="H996">
        <f>COUNTIFS('Bank Lines'!$G$5:$G$1640,A996,'Bank Lines'!$J$5:$J$1640,1)</f>
        <v>1</v>
      </c>
      <c r="I996">
        <f>COUNTIFS('Odoo Items'!$J$5:$J$4331,A996)</f>
        <v>1</v>
      </c>
      <c r="J996" s="9">
        <f>ROUND(SUMIFS('Bank Lines'!$E$5:$E$1640,'Bank Lines'!$G$5:$G$1640,A996,'Bank Lines'!$J$5:$J$1640,1),2)</f>
        <v>16032.5</v>
      </c>
      <c r="K996" s="9">
        <f>ROUND(SUMIFS('Odoo Items'!$G$5:$G$4331,'Odoo Items'!$J$5:$J$4331,A996),2)</f>
        <v>16032.5</v>
      </c>
      <c r="L996" s="9">
        <f>ROUND(J996-K996,2)</f>
        <v>0</v>
      </c>
      <c r="M996" s="9">
        <f>ROUND(SUMIFS('Bank Lines'!$E$5:$E$1640,'Bank Lines'!$G$5:$G$1640,A996,'Bank Lines'!$J$5:$J$1640,1,'Bank Lines'!$C$5:$C$1640,"&lt;="&amp;Cover!$C$13),2)</f>
        <v>0</v>
      </c>
      <c r="N996" s="9">
        <f>ROUND(SUMIFS('Odoo Items'!$G$5:$G$4331,'Odoo Items'!$J$5:$J$4331,A996,'Odoo Items'!$C$5:$C$4331,"&lt;="&amp;Cover!$C$13),2)</f>
        <v>0</v>
      </c>
      <c r="O996">
        <f>COUNTIFS('Bank Lines'!$G$5:$G$1640,A996,'Bank Lines'!$J$5:$J$1640,1,'Bank Lines'!$C$5:$C$1640,"&lt;="&amp;Cover!$C$13)</f>
        <v>0</v>
      </c>
      <c r="P996">
        <f>COUNTIFS('Odoo Items'!$J$5:$J$4331,A996,'Odoo Items'!$C$5:$C$4331,"&lt;="&amp;Cover!$C$13)</f>
        <v>0</v>
      </c>
      <c r="Q996">
        <f>IF(AND(O996=0,P996=0),"",IF(O996=0,"ODOO-ONLY",IF(P996=0,"BANK-ONLY","BOTH")))</f>
      </c>
      <c r="R996" s="9">
        <f>IF(Q996="BOTH",ROUND(M996-N996,2),0)</f>
        <v>0</v>
      </c>
      <c r="S996" s="9">
        <f>ROUND(SUMIFS('Bank Lines'!$E$5:$E$1640,'Bank Lines'!$G$5:$G$1640,A996,'Bank Lines'!$J$5:$J$1640,1,'Bank Lines'!$C$5:$C$1640,"&lt;="&amp;Cover!$C$14),2)</f>
        <v>16032.5</v>
      </c>
      <c r="T996" s="9">
        <f>ROUND(SUMIFS('Odoo Items'!$G$5:$G$4331,'Odoo Items'!$J$5:$J$4331,A996,'Odoo Items'!$C$5:$C$4331,"&lt;="&amp;Cover!$C$14),2)</f>
        <v>16032.5</v>
      </c>
      <c r="U996">
        <f>COUNTIFS('Bank Lines'!$G$5:$G$1640,A996,'Bank Lines'!$J$5:$J$1640,1,'Bank Lines'!$C$5:$C$1640,"&lt;="&amp;Cover!$C$14)</f>
        <v>1</v>
      </c>
      <c r="V996">
        <f>COUNTIFS('Odoo Items'!$J$5:$J$4331,A996,'Odoo Items'!$C$5:$C$4331,"&lt;="&amp;Cover!$C$14)</f>
        <v>1</v>
      </c>
      <c r="W996" t="str">
        <f>IF(AND(U996=0,V996=0),"",IF(U996=0,"ODOO-ONLY",IF(V996=0,"BANK-ONLY","BOTH")))</f>
        <v>BOTH</v>
      </c>
      <c r="X996" s="9">
        <f>IF(W996="BOTH",ROUND(S996-T996,2),0)</f>
        <v>0</v>
      </c>
      <c r="Y996" s="9">
        <f>ROUND(SUMIFS('Bank Lines'!$E$5:$E$1640,'Bank Lines'!$G$5:$G$1640,A996,'Bank Lines'!$J$5:$J$1640,1,'Bank Lines'!$C$5:$C$1640,"&lt;="&amp;Cover!$C$15),2)</f>
        <v>16032.5</v>
      </c>
      <c r="Z996" s="9">
        <f>ROUND(SUMIFS('Odoo Items'!$G$5:$G$4331,'Odoo Items'!$J$5:$J$4331,A996,'Odoo Items'!$C$5:$C$4331,"&lt;="&amp;Cover!$C$15),2)</f>
        <v>16032.5</v>
      </c>
      <c r="AA996">
        <f>COUNTIFS('Bank Lines'!$G$5:$G$1640,A996,'Bank Lines'!$J$5:$J$1640,1,'Bank Lines'!$C$5:$C$1640,"&lt;="&amp;Cover!$C$15)</f>
        <v>1</v>
      </c>
      <c r="AB996">
        <f>COUNTIFS('Odoo Items'!$J$5:$J$4331,A996,'Odoo Items'!$C$5:$C$4331,"&lt;="&amp;Cover!$C$15)</f>
        <v>1</v>
      </c>
      <c r="AC996" t="str">
        <f>IF(AND(AA996=0,AB996=0),"",IF(AA996=0,"ODOO-ONLY",IF(AB996=0,"BANK-ONLY","BOTH")))</f>
        <v>BOTH</v>
      </c>
      <c r="AD996" s="9">
        <f>IF(AC996="BOTH",ROUND(Y996-Z996,2),0)</f>
        <v>0</v>
      </c>
    </row>
    <row r="997">
      <c r="A997" t="inlineStr">
        <is>
          <t>G00993</t>
        </is>
      </c>
      <c r="B997" t="inlineStr">
        <is>
          <t>OPS</t>
        </is>
      </c>
      <c r="C997" t="inlineStr">
        <is>
          <t>R09</t>
        </is>
      </c>
      <c r="D997" t="inlineStr">
        <is>
          <t>MATCH</t>
        </is>
      </c>
      <c r="E997" t="inlineStr">
        <is>
          <t>Stanhope Trucking</t>
        </is>
      </c>
      <c r="F997" t="n">
        <v>1</v>
      </c>
      <c r="G997" t="inlineStr">
        <is>
          <t>Reference INV/2026/03511</t>
        </is>
      </c>
      <c r="H997">
        <f>COUNTIFS('Bank Lines'!$G$5:$G$1640,A997,'Bank Lines'!$J$5:$J$1640,1)</f>
        <v>1</v>
      </c>
      <c r="I997">
        <f>COUNTIFS('Odoo Items'!$J$5:$J$4331,A997)</f>
        <v>1</v>
      </c>
      <c r="J997" s="9">
        <f>ROUND(SUMIFS('Bank Lines'!$E$5:$E$1640,'Bank Lines'!$G$5:$G$1640,A997,'Bank Lines'!$J$5:$J$1640,1),2)</f>
        <v>1320</v>
      </c>
      <c r="K997" s="9">
        <f>ROUND(SUMIFS('Odoo Items'!$G$5:$G$4331,'Odoo Items'!$J$5:$J$4331,A997),2)</f>
        <v>1320</v>
      </c>
      <c r="L997" s="9">
        <f>ROUND(J997-K997,2)</f>
        <v>0</v>
      </c>
      <c r="M997" s="9">
        <f>ROUND(SUMIFS('Bank Lines'!$E$5:$E$1640,'Bank Lines'!$G$5:$G$1640,A997,'Bank Lines'!$J$5:$J$1640,1,'Bank Lines'!$C$5:$C$1640,"&lt;="&amp;Cover!$C$13),2)</f>
        <v>0</v>
      </c>
      <c r="N997" s="9">
        <f>ROUND(SUMIFS('Odoo Items'!$G$5:$G$4331,'Odoo Items'!$J$5:$J$4331,A997,'Odoo Items'!$C$5:$C$4331,"&lt;="&amp;Cover!$C$13),2)</f>
        <v>0</v>
      </c>
      <c r="O997">
        <f>COUNTIFS('Bank Lines'!$G$5:$G$1640,A997,'Bank Lines'!$J$5:$J$1640,1,'Bank Lines'!$C$5:$C$1640,"&lt;="&amp;Cover!$C$13)</f>
        <v>0</v>
      </c>
      <c r="P997">
        <f>COUNTIFS('Odoo Items'!$J$5:$J$4331,A997,'Odoo Items'!$C$5:$C$4331,"&lt;="&amp;Cover!$C$13)</f>
        <v>0</v>
      </c>
      <c r="Q997">
        <f>IF(AND(O997=0,P997=0),"",IF(O997=0,"ODOO-ONLY",IF(P997=0,"BANK-ONLY","BOTH")))</f>
      </c>
      <c r="R997" s="9">
        <f>IF(Q997="BOTH",ROUND(M997-N997,2),0)</f>
        <v>0</v>
      </c>
      <c r="S997" s="9">
        <f>ROUND(SUMIFS('Bank Lines'!$E$5:$E$1640,'Bank Lines'!$G$5:$G$1640,A997,'Bank Lines'!$J$5:$J$1640,1,'Bank Lines'!$C$5:$C$1640,"&lt;="&amp;Cover!$C$14),2)</f>
        <v>1320</v>
      </c>
      <c r="T997" s="9">
        <f>ROUND(SUMIFS('Odoo Items'!$G$5:$G$4331,'Odoo Items'!$J$5:$J$4331,A997,'Odoo Items'!$C$5:$C$4331,"&lt;="&amp;Cover!$C$14),2)</f>
        <v>1320</v>
      </c>
      <c r="U997">
        <f>COUNTIFS('Bank Lines'!$G$5:$G$1640,A997,'Bank Lines'!$J$5:$J$1640,1,'Bank Lines'!$C$5:$C$1640,"&lt;="&amp;Cover!$C$14)</f>
        <v>1</v>
      </c>
      <c r="V997">
        <f>COUNTIFS('Odoo Items'!$J$5:$J$4331,A997,'Odoo Items'!$C$5:$C$4331,"&lt;="&amp;Cover!$C$14)</f>
        <v>1</v>
      </c>
      <c r="W997" t="str">
        <f>IF(AND(U997=0,V997=0),"",IF(U997=0,"ODOO-ONLY",IF(V997=0,"BANK-ONLY","BOTH")))</f>
        <v>BOTH</v>
      </c>
      <c r="X997" s="9">
        <f>IF(W997="BOTH",ROUND(S997-T997,2),0)</f>
        <v>0</v>
      </c>
      <c r="Y997" s="9">
        <f>ROUND(SUMIFS('Bank Lines'!$E$5:$E$1640,'Bank Lines'!$G$5:$G$1640,A997,'Bank Lines'!$J$5:$J$1640,1,'Bank Lines'!$C$5:$C$1640,"&lt;="&amp;Cover!$C$15),2)</f>
        <v>1320</v>
      </c>
      <c r="Z997" s="9">
        <f>ROUND(SUMIFS('Odoo Items'!$G$5:$G$4331,'Odoo Items'!$J$5:$J$4331,A997,'Odoo Items'!$C$5:$C$4331,"&lt;="&amp;Cover!$C$15),2)</f>
        <v>1320</v>
      </c>
      <c r="AA997">
        <f>COUNTIFS('Bank Lines'!$G$5:$G$1640,A997,'Bank Lines'!$J$5:$J$1640,1,'Bank Lines'!$C$5:$C$1640,"&lt;="&amp;Cover!$C$15)</f>
        <v>1</v>
      </c>
      <c r="AB997">
        <f>COUNTIFS('Odoo Items'!$J$5:$J$4331,A997,'Odoo Items'!$C$5:$C$4331,"&lt;="&amp;Cover!$C$15)</f>
        <v>1</v>
      </c>
      <c r="AC997" t="str">
        <f>IF(AND(AA997=0,AB997=0),"",IF(AA997=0,"ODOO-ONLY",IF(AB997=0,"BANK-ONLY","BOTH")))</f>
        <v>BOTH</v>
      </c>
      <c r="AD997" s="9">
        <f>IF(AC997="BOTH",ROUND(Y997-Z997,2),0)</f>
        <v>0</v>
      </c>
    </row>
    <row r="998">
      <c r="A998" t="inlineStr">
        <is>
          <t>G00994</t>
        </is>
      </c>
      <c r="B998" t="inlineStr">
        <is>
          <t>OPS</t>
        </is>
      </c>
      <c r="C998" t="inlineStr">
        <is>
          <t>R09</t>
        </is>
      </c>
      <c r="D998" t="inlineStr">
        <is>
          <t>MATCH</t>
        </is>
      </c>
      <c r="E998" t="inlineStr">
        <is>
          <t>Harbour Mutual Health</t>
        </is>
      </c>
      <c r="F998" t="n">
        <v>1</v>
      </c>
      <c r="G998" t="inlineStr">
        <is>
          <t>Reference INV/2026/02386</t>
        </is>
      </c>
      <c r="H998">
        <f>COUNTIFS('Bank Lines'!$G$5:$G$1640,A998,'Bank Lines'!$J$5:$J$1640,1)</f>
        <v>1</v>
      </c>
      <c r="I998">
        <f>COUNTIFS('Odoo Items'!$J$5:$J$4331,A998)</f>
        <v>1</v>
      </c>
      <c r="J998" s="9">
        <f>ROUND(SUMIFS('Bank Lines'!$E$5:$E$1640,'Bank Lines'!$G$5:$G$1640,A998,'Bank Lines'!$J$5:$J$1640,1),2)</f>
        <v>88</v>
      </c>
      <c r="K998" s="9">
        <f>ROUND(SUMIFS('Odoo Items'!$G$5:$G$4331,'Odoo Items'!$J$5:$J$4331,A998),2)</f>
        <v>88</v>
      </c>
      <c r="L998" s="9">
        <f>ROUND(J998-K998,2)</f>
        <v>0</v>
      </c>
      <c r="M998" s="9">
        <f>ROUND(SUMIFS('Bank Lines'!$E$5:$E$1640,'Bank Lines'!$G$5:$G$1640,A998,'Bank Lines'!$J$5:$J$1640,1,'Bank Lines'!$C$5:$C$1640,"&lt;="&amp;Cover!$C$13),2)</f>
        <v>0</v>
      </c>
      <c r="N998" s="9">
        <f>ROUND(SUMIFS('Odoo Items'!$G$5:$G$4331,'Odoo Items'!$J$5:$J$4331,A998,'Odoo Items'!$C$5:$C$4331,"&lt;="&amp;Cover!$C$13),2)</f>
        <v>0</v>
      </c>
      <c r="O998">
        <f>COUNTIFS('Bank Lines'!$G$5:$G$1640,A998,'Bank Lines'!$J$5:$J$1640,1,'Bank Lines'!$C$5:$C$1640,"&lt;="&amp;Cover!$C$13)</f>
        <v>0</v>
      </c>
      <c r="P998">
        <f>COUNTIFS('Odoo Items'!$J$5:$J$4331,A998,'Odoo Items'!$C$5:$C$4331,"&lt;="&amp;Cover!$C$13)</f>
        <v>0</v>
      </c>
      <c r="Q998">
        <f>IF(AND(O998=0,P998=0),"",IF(O998=0,"ODOO-ONLY",IF(P998=0,"BANK-ONLY","BOTH")))</f>
      </c>
      <c r="R998" s="9">
        <f>IF(Q998="BOTH",ROUND(M998-N998,2),0)</f>
        <v>0</v>
      </c>
      <c r="S998" s="9">
        <f>ROUND(SUMIFS('Bank Lines'!$E$5:$E$1640,'Bank Lines'!$G$5:$G$1640,A998,'Bank Lines'!$J$5:$J$1640,1,'Bank Lines'!$C$5:$C$1640,"&lt;="&amp;Cover!$C$14),2)</f>
        <v>88</v>
      </c>
      <c r="T998" s="9">
        <f>ROUND(SUMIFS('Odoo Items'!$G$5:$G$4331,'Odoo Items'!$J$5:$J$4331,A998,'Odoo Items'!$C$5:$C$4331,"&lt;="&amp;Cover!$C$14),2)</f>
        <v>88</v>
      </c>
      <c r="U998">
        <f>COUNTIFS('Bank Lines'!$G$5:$G$1640,A998,'Bank Lines'!$J$5:$J$1640,1,'Bank Lines'!$C$5:$C$1640,"&lt;="&amp;Cover!$C$14)</f>
        <v>1</v>
      </c>
      <c r="V998">
        <f>COUNTIFS('Odoo Items'!$J$5:$J$4331,A998,'Odoo Items'!$C$5:$C$4331,"&lt;="&amp;Cover!$C$14)</f>
        <v>1</v>
      </c>
      <c r="W998" t="str">
        <f>IF(AND(U998=0,V998=0),"",IF(U998=0,"ODOO-ONLY",IF(V998=0,"BANK-ONLY","BOTH")))</f>
        <v>BOTH</v>
      </c>
      <c r="X998" s="9">
        <f>IF(W998="BOTH",ROUND(S998-T998,2),0)</f>
        <v>0</v>
      </c>
      <c r="Y998" s="9">
        <f>ROUND(SUMIFS('Bank Lines'!$E$5:$E$1640,'Bank Lines'!$G$5:$G$1640,A998,'Bank Lines'!$J$5:$J$1640,1,'Bank Lines'!$C$5:$C$1640,"&lt;="&amp;Cover!$C$15),2)</f>
        <v>88</v>
      </c>
      <c r="Z998" s="9">
        <f>ROUND(SUMIFS('Odoo Items'!$G$5:$G$4331,'Odoo Items'!$J$5:$J$4331,A998,'Odoo Items'!$C$5:$C$4331,"&lt;="&amp;Cover!$C$15),2)</f>
        <v>88</v>
      </c>
      <c r="AA998">
        <f>COUNTIFS('Bank Lines'!$G$5:$G$1640,A998,'Bank Lines'!$J$5:$J$1640,1,'Bank Lines'!$C$5:$C$1640,"&lt;="&amp;Cover!$C$15)</f>
        <v>1</v>
      </c>
      <c r="AB998">
        <f>COUNTIFS('Odoo Items'!$J$5:$J$4331,A998,'Odoo Items'!$C$5:$C$4331,"&lt;="&amp;Cover!$C$15)</f>
        <v>1</v>
      </c>
      <c r="AC998" t="str">
        <f>IF(AND(AA998=0,AB998=0),"",IF(AA998=0,"ODOO-ONLY",IF(AB998=0,"BANK-ONLY","BOTH")))</f>
        <v>BOTH</v>
      </c>
      <c r="AD998" s="9">
        <f>IF(AC998="BOTH",ROUND(Y998-Z998,2),0)</f>
        <v>0</v>
      </c>
    </row>
    <row r="999">
      <c r="A999" t="inlineStr">
        <is>
          <t>G00995</t>
        </is>
      </c>
      <c r="B999" t="inlineStr">
        <is>
          <t>OPS</t>
        </is>
      </c>
      <c r="C999" t="inlineStr">
        <is>
          <t>R09</t>
        </is>
      </c>
      <c r="D999" t="inlineStr">
        <is>
          <t>MATCH</t>
        </is>
      </c>
      <c r="E999" t="inlineStr">
        <is>
          <t>Meridian Health Cover</t>
        </is>
      </c>
      <c r="F999" t="n">
        <v>1</v>
      </c>
      <c r="G999" t="inlineStr">
        <is>
          <t>Reference INV/2026/02270</t>
        </is>
      </c>
      <c r="H999">
        <f>COUNTIFS('Bank Lines'!$G$5:$G$1640,A999,'Bank Lines'!$J$5:$J$1640,1)</f>
        <v>1</v>
      </c>
      <c r="I999">
        <f>COUNTIFS('Odoo Items'!$J$5:$J$4331,A999)</f>
        <v>1</v>
      </c>
      <c r="J999" s="9">
        <f>ROUND(SUMIFS('Bank Lines'!$E$5:$E$1640,'Bank Lines'!$G$5:$G$1640,A999,'Bank Lines'!$J$5:$J$1640,1),2)</f>
        <v>176</v>
      </c>
      <c r="K999" s="9">
        <f>ROUND(SUMIFS('Odoo Items'!$G$5:$G$4331,'Odoo Items'!$J$5:$J$4331,A999),2)</f>
        <v>176</v>
      </c>
      <c r="L999" s="9">
        <f>ROUND(J999-K999,2)</f>
        <v>0</v>
      </c>
      <c r="M999" s="9">
        <f>ROUND(SUMIFS('Bank Lines'!$E$5:$E$1640,'Bank Lines'!$G$5:$G$1640,A999,'Bank Lines'!$J$5:$J$1640,1,'Bank Lines'!$C$5:$C$1640,"&lt;="&amp;Cover!$C$13),2)</f>
        <v>0</v>
      </c>
      <c r="N999" s="9">
        <f>ROUND(SUMIFS('Odoo Items'!$G$5:$G$4331,'Odoo Items'!$J$5:$J$4331,A999,'Odoo Items'!$C$5:$C$4331,"&lt;="&amp;Cover!$C$13),2)</f>
        <v>0</v>
      </c>
      <c r="O999">
        <f>COUNTIFS('Bank Lines'!$G$5:$G$1640,A999,'Bank Lines'!$J$5:$J$1640,1,'Bank Lines'!$C$5:$C$1640,"&lt;="&amp;Cover!$C$13)</f>
        <v>0</v>
      </c>
      <c r="P999">
        <f>COUNTIFS('Odoo Items'!$J$5:$J$4331,A999,'Odoo Items'!$C$5:$C$4331,"&lt;="&amp;Cover!$C$13)</f>
        <v>0</v>
      </c>
      <c r="Q999">
        <f>IF(AND(O999=0,P999=0),"",IF(O999=0,"ODOO-ONLY",IF(P999=0,"BANK-ONLY","BOTH")))</f>
      </c>
      <c r="R999" s="9">
        <f>IF(Q999="BOTH",ROUND(M999-N999,2),0)</f>
        <v>0</v>
      </c>
      <c r="S999" s="9">
        <f>ROUND(SUMIFS('Bank Lines'!$E$5:$E$1640,'Bank Lines'!$G$5:$G$1640,A999,'Bank Lines'!$J$5:$J$1640,1,'Bank Lines'!$C$5:$C$1640,"&lt;="&amp;Cover!$C$14),2)</f>
        <v>176</v>
      </c>
      <c r="T999" s="9">
        <f>ROUND(SUMIFS('Odoo Items'!$G$5:$G$4331,'Odoo Items'!$J$5:$J$4331,A999,'Odoo Items'!$C$5:$C$4331,"&lt;="&amp;Cover!$C$14),2)</f>
        <v>176</v>
      </c>
      <c r="U999">
        <f>COUNTIFS('Bank Lines'!$G$5:$G$1640,A999,'Bank Lines'!$J$5:$J$1640,1,'Bank Lines'!$C$5:$C$1640,"&lt;="&amp;Cover!$C$14)</f>
        <v>1</v>
      </c>
      <c r="V999">
        <f>COUNTIFS('Odoo Items'!$J$5:$J$4331,A999,'Odoo Items'!$C$5:$C$4331,"&lt;="&amp;Cover!$C$14)</f>
        <v>1</v>
      </c>
      <c r="W999" t="str">
        <f>IF(AND(U999=0,V999=0),"",IF(U999=0,"ODOO-ONLY",IF(V999=0,"BANK-ONLY","BOTH")))</f>
        <v>BOTH</v>
      </c>
      <c r="X999" s="9">
        <f>IF(W999="BOTH",ROUND(S999-T999,2),0)</f>
        <v>0</v>
      </c>
      <c r="Y999" s="9">
        <f>ROUND(SUMIFS('Bank Lines'!$E$5:$E$1640,'Bank Lines'!$G$5:$G$1640,A999,'Bank Lines'!$J$5:$J$1640,1,'Bank Lines'!$C$5:$C$1640,"&lt;="&amp;Cover!$C$15),2)</f>
        <v>176</v>
      </c>
      <c r="Z999" s="9">
        <f>ROUND(SUMIFS('Odoo Items'!$G$5:$G$4331,'Odoo Items'!$J$5:$J$4331,A999,'Odoo Items'!$C$5:$C$4331,"&lt;="&amp;Cover!$C$15),2)</f>
        <v>176</v>
      </c>
      <c r="AA999">
        <f>COUNTIFS('Bank Lines'!$G$5:$G$1640,A999,'Bank Lines'!$J$5:$J$1640,1,'Bank Lines'!$C$5:$C$1640,"&lt;="&amp;Cover!$C$15)</f>
        <v>1</v>
      </c>
      <c r="AB999">
        <f>COUNTIFS('Odoo Items'!$J$5:$J$4331,A999,'Odoo Items'!$C$5:$C$4331,"&lt;="&amp;Cover!$C$15)</f>
        <v>1</v>
      </c>
      <c r="AC999" t="str">
        <f>IF(AND(AA999=0,AB999=0),"",IF(AA999=0,"ODOO-ONLY",IF(AB999=0,"BANK-ONLY","BOTH")))</f>
        <v>BOTH</v>
      </c>
      <c r="AD999" s="9">
        <f>IF(AC999="BOTH",ROUND(Y999-Z999,2),0)</f>
        <v>0</v>
      </c>
    </row>
    <row r="1000">
      <c r="A1000" t="inlineStr">
        <is>
          <t>G00996</t>
        </is>
      </c>
      <c r="B1000" t="inlineStr">
        <is>
          <t>OPS</t>
        </is>
      </c>
      <c r="C1000" t="inlineStr">
        <is>
          <t>R09</t>
        </is>
      </c>
      <c r="D1000" t="inlineStr">
        <is>
          <t>MATCH</t>
        </is>
      </c>
      <c r="E1000" t="inlineStr">
        <is>
          <t>Fernhill Aged Care</t>
        </is>
      </c>
      <c r="F1000" t="n">
        <v>1</v>
      </c>
      <c r="G1000" t="inlineStr">
        <is>
          <t>Reference INV/2026/03475</t>
        </is>
      </c>
      <c r="H1000">
        <f>COUNTIFS('Bank Lines'!$G$5:$G$1640,A1000,'Bank Lines'!$J$5:$J$1640,1)</f>
        <v>1</v>
      </c>
      <c r="I1000">
        <f>COUNTIFS('Odoo Items'!$J$5:$J$4331,A1000)</f>
        <v>1</v>
      </c>
      <c r="J1000" s="9">
        <f>ROUND(SUMIFS('Bank Lines'!$E$5:$E$1640,'Bank Lines'!$G$5:$G$1640,A1000,'Bank Lines'!$J$5:$J$1640,1),2)</f>
        <v>15950</v>
      </c>
      <c r="K1000" s="9">
        <f>ROUND(SUMIFS('Odoo Items'!$G$5:$G$4331,'Odoo Items'!$J$5:$J$4331,A1000),2)</f>
        <v>15950</v>
      </c>
      <c r="L1000" s="9">
        <f>ROUND(J1000-K1000,2)</f>
        <v>0</v>
      </c>
      <c r="M1000" s="9">
        <f>ROUND(SUMIFS('Bank Lines'!$E$5:$E$1640,'Bank Lines'!$G$5:$G$1640,A1000,'Bank Lines'!$J$5:$J$1640,1,'Bank Lines'!$C$5:$C$1640,"&lt;="&amp;Cover!$C$13),2)</f>
        <v>0</v>
      </c>
      <c r="N1000" s="9">
        <f>ROUND(SUMIFS('Odoo Items'!$G$5:$G$4331,'Odoo Items'!$J$5:$J$4331,A1000,'Odoo Items'!$C$5:$C$4331,"&lt;="&amp;Cover!$C$13),2)</f>
        <v>0</v>
      </c>
      <c r="O1000">
        <f>COUNTIFS('Bank Lines'!$G$5:$G$1640,A1000,'Bank Lines'!$J$5:$J$1640,1,'Bank Lines'!$C$5:$C$1640,"&lt;="&amp;Cover!$C$13)</f>
        <v>0</v>
      </c>
      <c r="P1000">
        <f>COUNTIFS('Odoo Items'!$J$5:$J$4331,A1000,'Odoo Items'!$C$5:$C$4331,"&lt;="&amp;Cover!$C$13)</f>
        <v>0</v>
      </c>
      <c r="Q1000">
        <f>IF(AND(O1000=0,P1000=0),"",IF(O1000=0,"ODOO-ONLY",IF(P1000=0,"BANK-ONLY","BOTH")))</f>
      </c>
      <c r="R1000" s="9">
        <f>IF(Q1000="BOTH",ROUND(M1000-N1000,2),0)</f>
        <v>0</v>
      </c>
      <c r="S1000" s="9">
        <f>ROUND(SUMIFS('Bank Lines'!$E$5:$E$1640,'Bank Lines'!$G$5:$G$1640,A1000,'Bank Lines'!$J$5:$J$1640,1,'Bank Lines'!$C$5:$C$1640,"&lt;="&amp;Cover!$C$14),2)</f>
        <v>15950</v>
      </c>
      <c r="T1000" s="9">
        <f>ROUND(SUMIFS('Odoo Items'!$G$5:$G$4331,'Odoo Items'!$J$5:$J$4331,A1000,'Odoo Items'!$C$5:$C$4331,"&lt;="&amp;Cover!$C$14),2)</f>
        <v>15950</v>
      </c>
      <c r="U1000">
        <f>COUNTIFS('Bank Lines'!$G$5:$G$1640,A1000,'Bank Lines'!$J$5:$J$1640,1,'Bank Lines'!$C$5:$C$1640,"&lt;="&amp;Cover!$C$14)</f>
        <v>1</v>
      </c>
      <c r="V1000">
        <f>COUNTIFS('Odoo Items'!$J$5:$J$4331,A1000,'Odoo Items'!$C$5:$C$4331,"&lt;="&amp;Cover!$C$14)</f>
        <v>1</v>
      </c>
      <c r="W1000" t="str">
        <f>IF(AND(U1000=0,V1000=0),"",IF(U1000=0,"ODOO-ONLY",IF(V1000=0,"BANK-ONLY","BOTH")))</f>
        <v>BOTH</v>
      </c>
      <c r="X1000" s="9">
        <f>IF(W1000="BOTH",ROUND(S1000-T1000,2),0)</f>
        <v>0</v>
      </c>
      <c r="Y1000" s="9">
        <f>ROUND(SUMIFS('Bank Lines'!$E$5:$E$1640,'Bank Lines'!$G$5:$G$1640,A1000,'Bank Lines'!$J$5:$J$1640,1,'Bank Lines'!$C$5:$C$1640,"&lt;="&amp;Cover!$C$15),2)</f>
        <v>15950</v>
      </c>
      <c r="Z1000" s="9">
        <f>ROUND(SUMIFS('Odoo Items'!$G$5:$G$4331,'Odoo Items'!$J$5:$J$4331,A1000,'Odoo Items'!$C$5:$C$4331,"&lt;="&amp;Cover!$C$15),2)</f>
        <v>15950</v>
      </c>
      <c r="AA1000">
        <f>COUNTIFS('Bank Lines'!$G$5:$G$1640,A1000,'Bank Lines'!$J$5:$J$1640,1,'Bank Lines'!$C$5:$C$1640,"&lt;="&amp;Cover!$C$15)</f>
        <v>1</v>
      </c>
      <c r="AB1000">
        <f>COUNTIFS('Odoo Items'!$J$5:$J$4331,A1000,'Odoo Items'!$C$5:$C$4331,"&lt;="&amp;Cover!$C$15)</f>
        <v>1</v>
      </c>
      <c r="AC1000" t="str">
        <f>IF(AND(AA1000=0,AB1000=0),"",IF(AA1000=0,"ODOO-ONLY",IF(AB1000=0,"BANK-ONLY","BOTH")))</f>
        <v>BOTH</v>
      </c>
      <c r="AD1000" s="9">
        <f>IF(AC1000="BOTH",ROUND(Y1000-Z1000,2),0)</f>
        <v>0</v>
      </c>
    </row>
    <row r="1001">
      <c r="A1001" t="inlineStr">
        <is>
          <t>G00997</t>
        </is>
      </c>
      <c r="B1001" t="inlineStr">
        <is>
          <t>OPS</t>
        </is>
      </c>
      <c r="C1001" t="inlineStr">
        <is>
          <t>R09</t>
        </is>
      </c>
      <c r="D1001" t="inlineStr">
        <is>
          <t>MATCH</t>
        </is>
      </c>
      <c r="E1001" t="inlineStr">
        <is>
          <t>Mornane Electrical</t>
        </is>
      </c>
      <c r="F1001" t="n">
        <v>1</v>
      </c>
      <c r="G1001" t="inlineStr">
        <is>
          <t>Reference INV/2026/03504</t>
        </is>
      </c>
      <c r="H1001">
        <f>COUNTIFS('Bank Lines'!$G$5:$G$1640,A1001,'Bank Lines'!$J$5:$J$1640,1)</f>
        <v>1</v>
      </c>
      <c r="I1001">
        <f>COUNTIFS('Odoo Items'!$J$5:$J$4331,A1001)</f>
        <v>1</v>
      </c>
      <c r="J1001" s="9">
        <f>ROUND(SUMIFS('Bank Lines'!$E$5:$E$1640,'Bank Lines'!$G$5:$G$1640,A1001,'Bank Lines'!$J$5:$J$1640,1),2)</f>
        <v>1402.5</v>
      </c>
      <c r="K1001" s="9">
        <f>ROUND(SUMIFS('Odoo Items'!$G$5:$G$4331,'Odoo Items'!$J$5:$J$4331,A1001),2)</f>
        <v>1402.5</v>
      </c>
      <c r="L1001" s="9">
        <f>ROUND(J1001-K1001,2)</f>
        <v>0</v>
      </c>
      <c r="M1001" s="9">
        <f>ROUND(SUMIFS('Bank Lines'!$E$5:$E$1640,'Bank Lines'!$G$5:$G$1640,A1001,'Bank Lines'!$J$5:$J$1640,1,'Bank Lines'!$C$5:$C$1640,"&lt;="&amp;Cover!$C$13),2)</f>
        <v>0</v>
      </c>
      <c r="N1001" s="9">
        <f>ROUND(SUMIFS('Odoo Items'!$G$5:$G$4331,'Odoo Items'!$J$5:$J$4331,A1001,'Odoo Items'!$C$5:$C$4331,"&lt;="&amp;Cover!$C$13),2)</f>
        <v>0</v>
      </c>
      <c r="O1001">
        <f>COUNTIFS('Bank Lines'!$G$5:$G$1640,A1001,'Bank Lines'!$J$5:$J$1640,1,'Bank Lines'!$C$5:$C$1640,"&lt;="&amp;Cover!$C$13)</f>
        <v>0</v>
      </c>
      <c r="P1001">
        <f>COUNTIFS('Odoo Items'!$J$5:$J$4331,A1001,'Odoo Items'!$C$5:$C$4331,"&lt;="&amp;Cover!$C$13)</f>
        <v>0</v>
      </c>
      <c r="Q1001">
        <f>IF(AND(O1001=0,P1001=0),"",IF(O1001=0,"ODOO-ONLY",IF(P1001=0,"BANK-ONLY","BOTH")))</f>
      </c>
      <c r="R1001" s="9">
        <f>IF(Q1001="BOTH",ROUND(M1001-N1001,2),0)</f>
        <v>0</v>
      </c>
      <c r="S1001" s="9">
        <f>ROUND(SUMIFS('Bank Lines'!$E$5:$E$1640,'Bank Lines'!$G$5:$G$1640,A1001,'Bank Lines'!$J$5:$J$1640,1,'Bank Lines'!$C$5:$C$1640,"&lt;="&amp;Cover!$C$14),2)</f>
        <v>1402.5</v>
      </c>
      <c r="T1001" s="9">
        <f>ROUND(SUMIFS('Odoo Items'!$G$5:$G$4331,'Odoo Items'!$J$5:$J$4331,A1001,'Odoo Items'!$C$5:$C$4331,"&lt;="&amp;Cover!$C$14),2)</f>
        <v>1402.5</v>
      </c>
      <c r="U1001">
        <f>COUNTIFS('Bank Lines'!$G$5:$G$1640,A1001,'Bank Lines'!$J$5:$J$1640,1,'Bank Lines'!$C$5:$C$1640,"&lt;="&amp;Cover!$C$14)</f>
        <v>1</v>
      </c>
      <c r="V1001">
        <f>COUNTIFS('Odoo Items'!$J$5:$J$4331,A1001,'Odoo Items'!$C$5:$C$4331,"&lt;="&amp;Cover!$C$14)</f>
        <v>1</v>
      </c>
      <c r="W1001" t="str">
        <f>IF(AND(U1001=0,V1001=0),"",IF(U1001=0,"ODOO-ONLY",IF(V1001=0,"BANK-ONLY","BOTH")))</f>
        <v>BOTH</v>
      </c>
      <c r="X1001" s="9">
        <f>IF(W1001="BOTH",ROUND(S1001-T1001,2),0)</f>
        <v>0</v>
      </c>
      <c r="Y1001" s="9">
        <f>ROUND(SUMIFS('Bank Lines'!$E$5:$E$1640,'Bank Lines'!$G$5:$G$1640,A1001,'Bank Lines'!$J$5:$J$1640,1,'Bank Lines'!$C$5:$C$1640,"&lt;="&amp;Cover!$C$15),2)</f>
        <v>1402.5</v>
      </c>
      <c r="Z1001" s="9">
        <f>ROUND(SUMIFS('Odoo Items'!$G$5:$G$4331,'Odoo Items'!$J$5:$J$4331,A1001,'Odoo Items'!$C$5:$C$4331,"&lt;="&amp;Cover!$C$15),2)</f>
        <v>1402.5</v>
      </c>
      <c r="AA1001">
        <f>COUNTIFS('Bank Lines'!$G$5:$G$1640,A1001,'Bank Lines'!$J$5:$J$1640,1,'Bank Lines'!$C$5:$C$1640,"&lt;="&amp;Cover!$C$15)</f>
        <v>1</v>
      </c>
      <c r="AB1001">
        <f>COUNTIFS('Odoo Items'!$J$5:$J$4331,A1001,'Odoo Items'!$C$5:$C$4331,"&lt;="&amp;Cover!$C$15)</f>
        <v>1</v>
      </c>
      <c r="AC1001" t="str">
        <f>IF(AND(AA1001=0,AB1001=0),"",IF(AA1001=0,"ODOO-ONLY",IF(AB1001=0,"BANK-ONLY","BOTH")))</f>
        <v>BOTH</v>
      </c>
      <c r="AD1001" s="9">
        <f>IF(AC1001="BOTH",ROUND(Y1001-Z1001,2),0)</f>
        <v>0</v>
      </c>
    </row>
    <row r="1002">
      <c r="A1002" t="inlineStr">
        <is>
          <t>G00998</t>
        </is>
      </c>
      <c r="B1002" t="inlineStr">
        <is>
          <t>OPS</t>
        </is>
      </c>
      <c r="C1002" t="inlineStr">
        <is>
          <t>R09</t>
        </is>
      </c>
      <c r="D1002" t="inlineStr">
        <is>
          <t>MATCH</t>
        </is>
      </c>
      <c r="E1002" t="inlineStr">
        <is>
          <t>Thornbury Textiles</t>
        </is>
      </c>
      <c r="F1002" t="n">
        <v>1</v>
      </c>
      <c r="G1002" t="inlineStr">
        <is>
          <t>Reference INV/2026/03513</t>
        </is>
      </c>
      <c r="H1002">
        <f>COUNTIFS('Bank Lines'!$G$5:$G$1640,A1002,'Bank Lines'!$J$5:$J$1640,1)</f>
        <v>1</v>
      </c>
      <c r="I1002">
        <f>COUNTIFS('Odoo Items'!$J$5:$J$4331,A1002)</f>
        <v>1</v>
      </c>
      <c r="J1002" s="9">
        <f>ROUND(SUMIFS('Bank Lines'!$E$5:$E$1640,'Bank Lines'!$G$5:$G$1640,A1002,'Bank Lines'!$J$5:$J$1640,1),2)</f>
        <v>6820</v>
      </c>
      <c r="K1002" s="9">
        <f>ROUND(SUMIFS('Odoo Items'!$G$5:$G$4331,'Odoo Items'!$J$5:$J$4331,A1002),2)</f>
        <v>6820</v>
      </c>
      <c r="L1002" s="9">
        <f>ROUND(J1002-K1002,2)</f>
        <v>0</v>
      </c>
      <c r="M1002" s="9">
        <f>ROUND(SUMIFS('Bank Lines'!$E$5:$E$1640,'Bank Lines'!$G$5:$G$1640,A1002,'Bank Lines'!$J$5:$J$1640,1,'Bank Lines'!$C$5:$C$1640,"&lt;="&amp;Cover!$C$13),2)</f>
        <v>0</v>
      </c>
      <c r="N1002" s="9">
        <f>ROUND(SUMIFS('Odoo Items'!$G$5:$G$4331,'Odoo Items'!$J$5:$J$4331,A1002,'Odoo Items'!$C$5:$C$4331,"&lt;="&amp;Cover!$C$13),2)</f>
        <v>0</v>
      </c>
      <c r="O1002">
        <f>COUNTIFS('Bank Lines'!$G$5:$G$1640,A1002,'Bank Lines'!$J$5:$J$1640,1,'Bank Lines'!$C$5:$C$1640,"&lt;="&amp;Cover!$C$13)</f>
        <v>0</v>
      </c>
      <c r="P1002">
        <f>COUNTIFS('Odoo Items'!$J$5:$J$4331,A1002,'Odoo Items'!$C$5:$C$4331,"&lt;="&amp;Cover!$C$13)</f>
        <v>0</v>
      </c>
      <c r="Q1002">
        <f>IF(AND(O1002=0,P1002=0),"",IF(O1002=0,"ODOO-ONLY",IF(P1002=0,"BANK-ONLY","BOTH")))</f>
      </c>
      <c r="R1002" s="9">
        <f>IF(Q1002="BOTH",ROUND(M1002-N1002,2),0)</f>
        <v>0</v>
      </c>
      <c r="S1002" s="9">
        <f>ROUND(SUMIFS('Bank Lines'!$E$5:$E$1640,'Bank Lines'!$G$5:$G$1640,A1002,'Bank Lines'!$J$5:$J$1640,1,'Bank Lines'!$C$5:$C$1640,"&lt;="&amp;Cover!$C$14),2)</f>
        <v>6820</v>
      </c>
      <c r="T1002" s="9">
        <f>ROUND(SUMIFS('Odoo Items'!$G$5:$G$4331,'Odoo Items'!$J$5:$J$4331,A1002,'Odoo Items'!$C$5:$C$4331,"&lt;="&amp;Cover!$C$14),2)</f>
        <v>6820</v>
      </c>
      <c r="U1002">
        <f>COUNTIFS('Bank Lines'!$G$5:$G$1640,A1002,'Bank Lines'!$J$5:$J$1640,1,'Bank Lines'!$C$5:$C$1640,"&lt;="&amp;Cover!$C$14)</f>
        <v>1</v>
      </c>
      <c r="V1002">
        <f>COUNTIFS('Odoo Items'!$J$5:$J$4331,A1002,'Odoo Items'!$C$5:$C$4331,"&lt;="&amp;Cover!$C$14)</f>
        <v>1</v>
      </c>
      <c r="W1002" t="str">
        <f>IF(AND(U1002=0,V1002=0),"",IF(U1002=0,"ODOO-ONLY",IF(V1002=0,"BANK-ONLY","BOTH")))</f>
        <v>BOTH</v>
      </c>
      <c r="X1002" s="9">
        <f>IF(W1002="BOTH",ROUND(S1002-T1002,2),0)</f>
        <v>0</v>
      </c>
      <c r="Y1002" s="9">
        <f>ROUND(SUMIFS('Bank Lines'!$E$5:$E$1640,'Bank Lines'!$G$5:$G$1640,A1002,'Bank Lines'!$J$5:$J$1640,1,'Bank Lines'!$C$5:$C$1640,"&lt;="&amp;Cover!$C$15),2)</f>
        <v>6820</v>
      </c>
      <c r="Z1002" s="9">
        <f>ROUND(SUMIFS('Odoo Items'!$G$5:$G$4331,'Odoo Items'!$J$5:$J$4331,A1002,'Odoo Items'!$C$5:$C$4331,"&lt;="&amp;Cover!$C$15),2)</f>
        <v>6820</v>
      </c>
      <c r="AA1002">
        <f>COUNTIFS('Bank Lines'!$G$5:$G$1640,A1002,'Bank Lines'!$J$5:$J$1640,1,'Bank Lines'!$C$5:$C$1640,"&lt;="&amp;Cover!$C$15)</f>
        <v>1</v>
      </c>
      <c r="AB1002">
        <f>COUNTIFS('Odoo Items'!$J$5:$J$4331,A1002,'Odoo Items'!$C$5:$C$4331,"&lt;="&amp;Cover!$C$15)</f>
        <v>1</v>
      </c>
      <c r="AC1002" t="str">
        <f>IF(AND(AA1002=0,AB1002=0),"",IF(AA1002=0,"ODOO-ONLY",IF(AB1002=0,"BANK-ONLY","BOTH")))</f>
        <v>BOTH</v>
      </c>
      <c r="AD1002" s="9">
        <f>IF(AC1002="BOTH",ROUND(Y1002-Z1002,2),0)</f>
        <v>0</v>
      </c>
    </row>
    <row r="1003">
      <c r="A1003" t="inlineStr">
        <is>
          <t>G00999</t>
        </is>
      </c>
      <c r="B1003" t="inlineStr">
        <is>
          <t>OPS</t>
        </is>
      </c>
      <c r="C1003" t="inlineStr">
        <is>
          <t>R09</t>
        </is>
      </c>
      <c r="D1003" t="inlineStr">
        <is>
          <t>MATCH</t>
        </is>
      </c>
      <c r="E1003" t="inlineStr">
        <is>
          <t>Unity Workcover Agents</t>
        </is>
      </c>
      <c r="F1003" t="n">
        <v>1</v>
      </c>
      <c r="G1003" t="inlineStr">
        <is>
          <t>Reference INV/2026/02439</t>
        </is>
      </c>
      <c r="H1003">
        <f>COUNTIFS('Bank Lines'!$G$5:$G$1640,A1003,'Bank Lines'!$J$5:$J$1640,1)</f>
        <v>1</v>
      </c>
      <c r="I1003">
        <f>COUNTIFS('Odoo Items'!$J$5:$J$4331,A1003)</f>
        <v>1</v>
      </c>
      <c r="J1003" s="9">
        <f>ROUND(SUMIFS('Bank Lines'!$E$5:$E$1640,'Bank Lines'!$G$5:$G$1640,A1003,'Bank Lines'!$J$5:$J$1640,1),2)</f>
        <v>990</v>
      </c>
      <c r="K1003" s="9">
        <f>ROUND(SUMIFS('Odoo Items'!$G$5:$G$4331,'Odoo Items'!$J$5:$J$4331,A1003),2)</f>
        <v>990</v>
      </c>
      <c r="L1003" s="9">
        <f>ROUND(J1003-K1003,2)</f>
        <v>0</v>
      </c>
      <c r="M1003" s="9">
        <f>ROUND(SUMIFS('Bank Lines'!$E$5:$E$1640,'Bank Lines'!$G$5:$G$1640,A1003,'Bank Lines'!$J$5:$J$1640,1,'Bank Lines'!$C$5:$C$1640,"&lt;="&amp;Cover!$C$13),2)</f>
        <v>0</v>
      </c>
      <c r="N1003" s="9">
        <f>ROUND(SUMIFS('Odoo Items'!$G$5:$G$4331,'Odoo Items'!$J$5:$J$4331,A1003,'Odoo Items'!$C$5:$C$4331,"&lt;="&amp;Cover!$C$13),2)</f>
        <v>0</v>
      </c>
      <c r="O1003">
        <f>COUNTIFS('Bank Lines'!$G$5:$G$1640,A1003,'Bank Lines'!$J$5:$J$1640,1,'Bank Lines'!$C$5:$C$1640,"&lt;="&amp;Cover!$C$13)</f>
        <v>0</v>
      </c>
      <c r="P1003">
        <f>COUNTIFS('Odoo Items'!$J$5:$J$4331,A1003,'Odoo Items'!$C$5:$C$4331,"&lt;="&amp;Cover!$C$13)</f>
        <v>0</v>
      </c>
      <c r="Q1003">
        <f>IF(AND(O1003=0,P1003=0),"",IF(O1003=0,"ODOO-ONLY",IF(P1003=0,"BANK-ONLY","BOTH")))</f>
      </c>
      <c r="R1003" s="9">
        <f>IF(Q1003="BOTH",ROUND(M1003-N1003,2),0)</f>
        <v>0</v>
      </c>
      <c r="S1003" s="9">
        <f>ROUND(SUMIFS('Bank Lines'!$E$5:$E$1640,'Bank Lines'!$G$5:$G$1640,A1003,'Bank Lines'!$J$5:$J$1640,1,'Bank Lines'!$C$5:$C$1640,"&lt;="&amp;Cover!$C$14),2)</f>
        <v>990</v>
      </c>
      <c r="T1003" s="9">
        <f>ROUND(SUMIFS('Odoo Items'!$G$5:$G$4331,'Odoo Items'!$J$5:$J$4331,A1003,'Odoo Items'!$C$5:$C$4331,"&lt;="&amp;Cover!$C$14),2)</f>
        <v>990</v>
      </c>
      <c r="U1003">
        <f>COUNTIFS('Bank Lines'!$G$5:$G$1640,A1003,'Bank Lines'!$J$5:$J$1640,1,'Bank Lines'!$C$5:$C$1640,"&lt;="&amp;Cover!$C$14)</f>
        <v>1</v>
      </c>
      <c r="V1003">
        <f>COUNTIFS('Odoo Items'!$J$5:$J$4331,A1003,'Odoo Items'!$C$5:$C$4331,"&lt;="&amp;Cover!$C$14)</f>
        <v>1</v>
      </c>
      <c r="W1003" t="str">
        <f>IF(AND(U1003=0,V1003=0),"",IF(U1003=0,"ODOO-ONLY",IF(V1003=0,"BANK-ONLY","BOTH")))</f>
        <v>BOTH</v>
      </c>
      <c r="X1003" s="9">
        <f>IF(W1003="BOTH",ROUND(S1003-T1003,2),0)</f>
        <v>0</v>
      </c>
      <c r="Y1003" s="9">
        <f>ROUND(SUMIFS('Bank Lines'!$E$5:$E$1640,'Bank Lines'!$G$5:$G$1640,A1003,'Bank Lines'!$J$5:$J$1640,1,'Bank Lines'!$C$5:$C$1640,"&lt;="&amp;Cover!$C$15),2)</f>
        <v>990</v>
      </c>
      <c r="Z1003" s="9">
        <f>ROUND(SUMIFS('Odoo Items'!$G$5:$G$4331,'Odoo Items'!$J$5:$J$4331,A1003,'Odoo Items'!$C$5:$C$4331,"&lt;="&amp;Cover!$C$15),2)</f>
        <v>990</v>
      </c>
      <c r="AA1003">
        <f>COUNTIFS('Bank Lines'!$G$5:$G$1640,A1003,'Bank Lines'!$J$5:$J$1640,1,'Bank Lines'!$C$5:$C$1640,"&lt;="&amp;Cover!$C$15)</f>
        <v>1</v>
      </c>
      <c r="AB1003">
        <f>COUNTIFS('Odoo Items'!$J$5:$J$4331,A1003,'Odoo Items'!$C$5:$C$4331,"&lt;="&amp;Cover!$C$15)</f>
        <v>1</v>
      </c>
      <c r="AC1003" t="str">
        <f>IF(AND(AA1003=0,AB1003=0),"",IF(AA1003=0,"ODOO-ONLY",IF(AB1003=0,"BANK-ONLY","BOTH")))</f>
        <v>BOTH</v>
      </c>
      <c r="AD1003" s="9">
        <f>IF(AC1003="BOTH",ROUND(Y1003-Z1003,2),0)</f>
        <v>0</v>
      </c>
    </row>
    <row r="1004">
      <c r="A1004" t="inlineStr">
        <is>
          <t>G01000</t>
        </is>
      </c>
      <c r="B1004" t="inlineStr">
        <is>
          <t>OPS</t>
        </is>
      </c>
      <c r="C1004" t="inlineStr">
        <is>
          <t>R09</t>
        </is>
      </c>
      <c r="D1004" t="inlineStr">
        <is>
          <t>MATCH</t>
        </is>
      </c>
      <c r="E1004" t="inlineStr">
        <is>
          <t>Meridian Health Cover</t>
        </is>
      </c>
      <c r="F1004" t="n">
        <v>1</v>
      </c>
      <c r="G1004" t="inlineStr">
        <is>
          <t>Reference INV/2026/02440</t>
        </is>
      </c>
      <c r="H1004">
        <f>COUNTIFS('Bank Lines'!$G$5:$G$1640,A1004,'Bank Lines'!$J$5:$J$1640,1)</f>
        <v>1</v>
      </c>
      <c r="I1004">
        <f>COUNTIFS('Odoo Items'!$J$5:$J$4331,A1004)</f>
        <v>1</v>
      </c>
      <c r="J1004" s="9">
        <f>ROUND(SUMIFS('Bank Lines'!$E$5:$E$1640,'Bank Lines'!$G$5:$G$1640,A1004,'Bank Lines'!$J$5:$J$1640,1),2)</f>
        <v>88</v>
      </c>
      <c r="K1004" s="9">
        <f>ROUND(SUMIFS('Odoo Items'!$G$5:$G$4331,'Odoo Items'!$J$5:$J$4331,A1004),2)</f>
        <v>88</v>
      </c>
      <c r="L1004" s="9">
        <f>ROUND(J1004-K1004,2)</f>
        <v>0</v>
      </c>
      <c r="M1004" s="9">
        <f>ROUND(SUMIFS('Bank Lines'!$E$5:$E$1640,'Bank Lines'!$G$5:$G$1640,A1004,'Bank Lines'!$J$5:$J$1640,1,'Bank Lines'!$C$5:$C$1640,"&lt;="&amp;Cover!$C$13),2)</f>
        <v>0</v>
      </c>
      <c r="N1004" s="9">
        <f>ROUND(SUMIFS('Odoo Items'!$G$5:$G$4331,'Odoo Items'!$J$5:$J$4331,A1004,'Odoo Items'!$C$5:$C$4331,"&lt;="&amp;Cover!$C$13),2)</f>
        <v>0</v>
      </c>
      <c r="O1004">
        <f>COUNTIFS('Bank Lines'!$G$5:$G$1640,A1004,'Bank Lines'!$J$5:$J$1640,1,'Bank Lines'!$C$5:$C$1640,"&lt;="&amp;Cover!$C$13)</f>
        <v>0</v>
      </c>
      <c r="P1004">
        <f>COUNTIFS('Odoo Items'!$J$5:$J$4331,A1004,'Odoo Items'!$C$5:$C$4331,"&lt;="&amp;Cover!$C$13)</f>
        <v>0</v>
      </c>
      <c r="Q1004">
        <f>IF(AND(O1004=0,P1004=0),"",IF(O1004=0,"ODOO-ONLY",IF(P1004=0,"BANK-ONLY","BOTH")))</f>
      </c>
      <c r="R1004" s="9">
        <f>IF(Q1004="BOTH",ROUND(M1004-N1004,2),0)</f>
        <v>0</v>
      </c>
      <c r="S1004" s="9">
        <f>ROUND(SUMIFS('Bank Lines'!$E$5:$E$1640,'Bank Lines'!$G$5:$G$1640,A1004,'Bank Lines'!$J$5:$J$1640,1,'Bank Lines'!$C$5:$C$1640,"&lt;="&amp;Cover!$C$14),2)</f>
        <v>88</v>
      </c>
      <c r="T1004" s="9">
        <f>ROUND(SUMIFS('Odoo Items'!$G$5:$G$4331,'Odoo Items'!$J$5:$J$4331,A1004,'Odoo Items'!$C$5:$C$4331,"&lt;="&amp;Cover!$C$14),2)</f>
        <v>88</v>
      </c>
      <c r="U1004">
        <f>COUNTIFS('Bank Lines'!$G$5:$G$1640,A1004,'Bank Lines'!$J$5:$J$1640,1,'Bank Lines'!$C$5:$C$1640,"&lt;="&amp;Cover!$C$14)</f>
        <v>1</v>
      </c>
      <c r="V1004">
        <f>COUNTIFS('Odoo Items'!$J$5:$J$4331,A1004,'Odoo Items'!$C$5:$C$4331,"&lt;="&amp;Cover!$C$14)</f>
        <v>1</v>
      </c>
      <c r="W1004" t="str">
        <f>IF(AND(U1004=0,V1004=0),"",IF(U1004=0,"ODOO-ONLY",IF(V1004=0,"BANK-ONLY","BOTH")))</f>
        <v>BOTH</v>
      </c>
      <c r="X1004" s="9">
        <f>IF(W1004="BOTH",ROUND(S1004-T1004,2),0)</f>
        <v>0</v>
      </c>
      <c r="Y1004" s="9">
        <f>ROUND(SUMIFS('Bank Lines'!$E$5:$E$1640,'Bank Lines'!$G$5:$G$1640,A1004,'Bank Lines'!$J$5:$J$1640,1,'Bank Lines'!$C$5:$C$1640,"&lt;="&amp;Cover!$C$15),2)</f>
        <v>88</v>
      </c>
      <c r="Z1004" s="9">
        <f>ROUND(SUMIFS('Odoo Items'!$G$5:$G$4331,'Odoo Items'!$J$5:$J$4331,A1004,'Odoo Items'!$C$5:$C$4331,"&lt;="&amp;Cover!$C$15),2)</f>
        <v>88</v>
      </c>
      <c r="AA1004">
        <f>COUNTIFS('Bank Lines'!$G$5:$G$1640,A1004,'Bank Lines'!$J$5:$J$1640,1,'Bank Lines'!$C$5:$C$1640,"&lt;="&amp;Cover!$C$15)</f>
        <v>1</v>
      </c>
      <c r="AB1004">
        <f>COUNTIFS('Odoo Items'!$J$5:$J$4331,A1004,'Odoo Items'!$C$5:$C$4331,"&lt;="&amp;Cover!$C$15)</f>
        <v>1</v>
      </c>
      <c r="AC1004" t="str">
        <f>IF(AND(AA1004=0,AB1004=0),"",IF(AA1004=0,"ODOO-ONLY",IF(AB1004=0,"BANK-ONLY","BOTH")))</f>
        <v>BOTH</v>
      </c>
      <c r="AD1004" s="9">
        <f>IF(AC1004="BOTH",ROUND(Y1004-Z1004,2),0)</f>
        <v>0</v>
      </c>
    </row>
    <row r="1005">
      <c r="A1005" t="inlineStr">
        <is>
          <t>G01001</t>
        </is>
      </c>
      <c r="B1005" t="inlineStr">
        <is>
          <t>OPS</t>
        </is>
      </c>
      <c r="C1005" t="inlineStr">
        <is>
          <t>R09</t>
        </is>
      </c>
      <c r="D1005" t="inlineStr">
        <is>
          <t>MATCH</t>
        </is>
      </c>
      <c r="E1005" t="inlineStr">
        <is>
          <t>Talisker Mining Services</t>
        </is>
      </c>
      <c r="F1005" t="n">
        <v>1</v>
      </c>
      <c r="G1005" t="inlineStr">
        <is>
          <t>Reference INV/2026/03486</t>
        </is>
      </c>
      <c r="H1005">
        <f>COUNTIFS('Bank Lines'!$G$5:$G$1640,A1005,'Bank Lines'!$J$5:$J$1640,1)</f>
        <v>1</v>
      </c>
      <c r="I1005">
        <f>COUNTIFS('Odoo Items'!$J$5:$J$4331,A1005)</f>
        <v>1</v>
      </c>
      <c r="J1005" s="9">
        <f>ROUND(SUMIFS('Bank Lines'!$E$5:$E$1640,'Bank Lines'!$G$5:$G$1640,A1005,'Bank Lines'!$J$5:$J$1640,1),2)</f>
        <v>10725</v>
      </c>
      <c r="K1005" s="9">
        <f>ROUND(SUMIFS('Odoo Items'!$G$5:$G$4331,'Odoo Items'!$J$5:$J$4331,A1005),2)</f>
        <v>10725</v>
      </c>
      <c r="L1005" s="9">
        <f>ROUND(J1005-K1005,2)</f>
        <v>0</v>
      </c>
      <c r="M1005" s="9">
        <f>ROUND(SUMIFS('Bank Lines'!$E$5:$E$1640,'Bank Lines'!$G$5:$G$1640,A1005,'Bank Lines'!$J$5:$J$1640,1,'Bank Lines'!$C$5:$C$1640,"&lt;="&amp;Cover!$C$13),2)</f>
        <v>0</v>
      </c>
      <c r="N1005" s="9">
        <f>ROUND(SUMIFS('Odoo Items'!$G$5:$G$4331,'Odoo Items'!$J$5:$J$4331,A1005,'Odoo Items'!$C$5:$C$4331,"&lt;="&amp;Cover!$C$13),2)</f>
        <v>0</v>
      </c>
      <c r="O1005">
        <f>COUNTIFS('Bank Lines'!$G$5:$G$1640,A1005,'Bank Lines'!$J$5:$J$1640,1,'Bank Lines'!$C$5:$C$1640,"&lt;="&amp;Cover!$C$13)</f>
        <v>0</v>
      </c>
      <c r="P1005">
        <f>COUNTIFS('Odoo Items'!$J$5:$J$4331,A1005,'Odoo Items'!$C$5:$C$4331,"&lt;="&amp;Cover!$C$13)</f>
        <v>0</v>
      </c>
      <c r="Q1005">
        <f>IF(AND(O1005=0,P1005=0),"",IF(O1005=0,"ODOO-ONLY",IF(P1005=0,"BANK-ONLY","BOTH")))</f>
      </c>
      <c r="R1005" s="9">
        <f>IF(Q1005="BOTH",ROUND(M1005-N1005,2),0)</f>
        <v>0</v>
      </c>
      <c r="S1005" s="9">
        <f>ROUND(SUMIFS('Bank Lines'!$E$5:$E$1640,'Bank Lines'!$G$5:$G$1640,A1005,'Bank Lines'!$J$5:$J$1640,1,'Bank Lines'!$C$5:$C$1640,"&lt;="&amp;Cover!$C$14),2)</f>
        <v>10725</v>
      </c>
      <c r="T1005" s="9">
        <f>ROUND(SUMIFS('Odoo Items'!$G$5:$G$4331,'Odoo Items'!$J$5:$J$4331,A1005,'Odoo Items'!$C$5:$C$4331,"&lt;="&amp;Cover!$C$14),2)</f>
        <v>10725</v>
      </c>
      <c r="U1005">
        <f>COUNTIFS('Bank Lines'!$G$5:$G$1640,A1005,'Bank Lines'!$J$5:$J$1640,1,'Bank Lines'!$C$5:$C$1640,"&lt;="&amp;Cover!$C$14)</f>
        <v>1</v>
      </c>
      <c r="V1005">
        <f>COUNTIFS('Odoo Items'!$J$5:$J$4331,A1005,'Odoo Items'!$C$5:$C$4331,"&lt;="&amp;Cover!$C$14)</f>
        <v>1</v>
      </c>
      <c r="W1005" t="str">
        <f>IF(AND(U1005=0,V1005=0),"",IF(U1005=0,"ODOO-ONLY",IF(V1005=0,"BANK-ONLY","BOTH")))</f>
        <v>BOTH</v>
      </c>
      <c r="X1005" s="9">
        <f>IF(W1005="BOTH",ROUND(S1005-T1005,2),0)</f>
        <v>0</v>
      </c>
      <c r="Y1005" s="9">
        <f>ROUND(SUMIFS('Bank Lines'!$E$5:$E$1640,'Bank Lines'!$G$5:$G$1640,A1005,'Bank Lines'!$J$5:$J$1640,1,'Bank Lines'!$C$5:$C$1640,"&lt;="&amp;Cover!$C$15),2)</f>
        <v>10725</v>
      </c>
      <c r="Z1005" s="9">
        <f>ROUND(SUMIFS('Odoo Items'!$G$5:$G$4331,'Odoo Items'!$J$5:$J$4331,A1005,'Odoo Items'!$C$5:$C$4331,"&lt;="&amp;Cover!$C$15),2)</f>
        <v>10725</v>
      </c>
      <c r="AA1005">
        <f>COUNTIFS('Bank Lines'!$G$5:$G$1640,A1005,'Bank Lines'!$J$5:$J$1640,1,'Bank Lines'!$C$5:$C$1640,"&lt;="&amp;Cover!$C$15)</f>
        <v>1</v>
      </c>
      <c r="AB1005">
        <f>COUNTIFS('Odoo Items'!$J$5:$J$4331,A1005,'Odoo Items'!$C$5:$C$4331,"&lt;="&amp;Cover!$C$15)</f>
        <v>1</v>
      </c>
      <c r="AC1005" t="str">
        <f>IF(AND(AA1005=0,AB1005=0),"",IF(AA1005=0,"ODOO-ONLY",IF(AB1005=0,"BANK-ONLY","BOTH")))</f>
        <v>BOTH</v>
      </c>
      <c r="AD1005" s="9">
        <f>IF(AC1005="BOTH",ROUND(Y1005-Z1005,2),0)</f>
        <v>0</v>
      </c>
    </row>
    <row r="1006">
      <c r="A1006" t="inlineStr">
        <is>
          <t>G01002</t>
        </is>
      </c>
      <c r="B1006" t="inlineStr">
        <is>
          <t>OPS</t>
        </is>
      </c>
      <c r="C1006" t="inlineStr">
        <is>
          <t>R09</t>
        </is>
      </c>
      <c r="D1006" t="inlineStr">
        <is>
          <t>MATCH</t>
        </is>
      </c>
      <c r="E1006" t="inlineStr">
        <is>
          <t>Daintree Packaging</t>
        </is>
      </c>
      <c r="F1006" t="n">
        <v>1</v>
      </c>
      <c r="G1006" t="inlineStr">
        <is>
          <t>Reference INV/2026/03493</t>
        </is>
      </c>
      <c r="H1006">
        <f>COUNTIFS('Bank Lines'!$G$5:$G$1640,A1006,'Bank Lines'!$J$5:$J$1640,1)</f>
        <v>1</v>
      </c>
      <c r="I1006">
        <f>COUNTIFS('Odoo Items'!$J$5:$J$4331,A1006)</f>
        <v>1</v>
      </c>
      <c r="J1006" s="9">
        <f>ROUND(SUMIFS('Bank Lines'!$E$5:$E$1640,'Bank Lines'!$G$5:$G$1640,A1006,'Bank Lines'!$J$5:$J$1640,1),2)</f>
        <v>16032.5</v>
      </c>
      <c r="K1006" s="9">
        <f>ROUND(SUMIFS('Odoo Items'!$G$5:$G$4331,'Odoo Items'!$J$5:$J$4331,A1006),2)</f>
        <v>16032.5</v>
      </c>
      <c r="L1006" s="9">
        <f>ROUND(J1006-K1006,2)</f>
        <v>0</v>
      </c>
      <c r="M1006" s="9">
        <f>ROUND(SUMIFS('Bank Lines'!$E$5:$E$1640,'Bank Lines'!$G$5:$G$1640,A1006,'Bank Lines'!$J$5:$J$1640,1,'Bank Lines'!$C$5:$C$1640,"&lt;="&amp;Cover!$C$13),2)</f>
        <v>0</v>
      </c>
      <c r="N1006" s="9">
        <f>ROUND(SUMIFS('Odoo Items'!$G$5:$G$4331,'Odoo Items'!$J$5:$J$4331,A1006,'Odoo Items'!$C$5:$C$4331,"&lt;="&amp;Cover!$C$13),2)</f>
        <v>0</v>
      </c>
      <c r="O1006">
        <f>COUNTIFS('Bank Lines'!$G$5:$G$1640,A1006,'Bank Lines'!$J$5:$J$1640,1,'Bank Lines'!$C$5:$C$1640,"&lt;="&amp;Cover!$C$13)</f>
        <v>0</v>
      </c>
      <c r="P1006">
        <f>COUNTIFS('Odoo Items'!$J$5:$J$4331,A1006,'Odoo Items'!$C$5:$C$4331,"&lt;="&amp;Cover!$C$13)</f>
        <v>0</v>
      </c>
      <c r="Q1006">
        <f>IF(AND(O1006=0,P1006=0),"",IF(O1006=0,"ODOO-ONLY",IF(P1006=0,"BANK-ONLY","BOTH")))</f>
      </c>
      <c r="R1006" s="9">
        <f>IF(Q1006="BOTH",ROUND(M1006-N1006,2),0)</f>
        <v>0</v>
      </c>
      <c r="S1006" s="9">
        <f>ROUND(SUMIFS('Bank Lines'!$E$5:$E$1640,'Bank Lines'!$G$5:$G$1640,A1006,'Bank Lines'!$J$5:$J$1640,1,'Bank Lines'!$C$5:$C$1640,"&lt;="&amp;Cover!$C$14),2)</f>
        <v>16032.5</v>
      </c>
      <c r="T1006" s="9">
        <f>ROUND(SUMIFS('Odoo Items'!$G$5:$G$4331,'Odoo Items'!$J$5:$J$4331,A1006,'Odoo Items'!$C$5:$C$4331,"&lt;="&amp;Cover!$C$14),2)</f>
        <v>16032.5</v>
      </c>
      <c r="U1006">
        <f>COUNTIFS('Bank Lines'!$G$5:$G$1640,A1006,'Bank Lines'!$J$5:$J$1640,1,'Bank Lines'!$C$5:$C$1640,"&lt;="&amp;Cover!$C$14)</f>
        <v>1</v>
      </c>
      <c r="V1006">
        <f>COUNTIFS('Odoo Items'!$J$5:$J$4331,A1006,'Odoo Items'!$C$5:$C$4331,"&lt;="&amp;Cover!$C$14)</f>
        <v>1</v>
      </c>
      <c r="W1006" t="str">
        <f>IF(AND(U1006=0,V1006=0),"",IF(U1006=0,"ODOO-ONLY",IF(V1006=0,"BANK-ONLY","BOTH")))</f>
        <v>BOTH</v>
      </c>
      <c r="X1006" s="9">
        <f>IF(W1006="BOTH",ROUND(S1006-T1006,2),0)</f>
        <v>0</v>
      </c>
      <c r="Y1006" s="9">
        <f>ROUND(SUMIFS('Bank Lines'!$E$5:$E$1640,'Bank Lines'!$G$5:$G$1640,A1006,'Bank Lines'!$J$5:$J$1640,1,'Bank Lines'!$C$5:$C$1640,"&lt;="&amp;Cover!$C$15),2)</f>
        <v>16032.5</v>
      </c>
      <c r="Z1006" s="9">
        <f>ROUND(SUMIFS('Odoo Items'!$G$5:$G$4331,'Odoo Items'!$J$5:$J$4331,A1006,'Odoo Items'!$C$5:$C$4331,"&lt;="&amp;Cover!$C$15),2)</f>
        <v>16032.5</v>
      </c>
      <c r="AA1006">
        <f>COUNTIFS('Bank Lines'!$G$5:$G$1640,A1006,'Bank Lines'!$J$5:$J$1640,1,'Bank Lines'!$C$5:$C$1640,"&lt;="&amp;Cover!$C$15)</f>
        <v>1</v>
      </c>
      <c r="AB1006">
        <f>COUNTIFS('Odoo Items'!$J$5:$J$4331,A1006,'Odoo Items'!$C$5:$C$4331,"&lt;="&amp;Cover!$C$15)</f>
        <v>1</v>
      </c>
      <c r="AC1006" t="str">
        <f>IF(AND(AA1006=0,AB1006=0),"",IF(AA1006=0,"ODOO-ONLY",IF(AB1006=0,"BANK-ONLY","BOTH")))</f>
        <v>BOTH</v>
      </c>
      <c r="AD1006" s="9">
        <f>IF(AC1006="BOTH",ROUND(Y1006-Z1006,2),0)</f>
        <v>0</v>
      </c>
    </row>
    <row r="1007">
      <c r="A1007" t="inlineStr">
        <is>
          <t>G01003</t>
        </is>
      </c>
      <c r="B1007" t="inlineStr">
        <is>
          <t>OPS</t>
        </is>
      </c>
      <c r="C1007" t="inlineStr">
        <is>
          <t>R09</t>
        </is>
      </c>
      <c r="D1007" t="inlineStr">
        <is>
          <t>MATCH</t>
        </is>
      </c>
      <c r="E1007" t="inlineStr">
        <is>
          <t>Hollis &amp; Fry Architects</t>
        </is>
      </c>
      <c r="F1007" t="n">
        <v>1</v>
      </c>
      <c r="G1007" t="inlineStr">
        <is>
          <t>Reference INV/2026/03498</t>
        </is>
      </c>
      <c r="H1007">
        <f>COUNTIFS('Bank Lines'!$G$5:$G$1640,A1007,'Bank Lines'!$J$5:$J$1640,1)</f>
        <v>1</v>
      </c>
      <c r="I1007">
        <f>COUNTIFS('Odoo Items'!$J$5:$J$4331,A1007)</f>
        <v>1</v>
      </c>
      <c r="J1007" s="9">
        <f>ROUND(SUMIFS('Bank Lines'!$E$5:$E$1640,'Bank Lines'!$G$5:$G$1640,A1007,'Bank Lines'!$J$5:$J$1640,1),2)</f>
        <v>1471.25</v>
      </c>
      <c r="K1007" s="9">
        <f>ROUND(SUMIFS('Odoo Items'!$G$5:$G$4331,'Odoo Items'!$J$5:$J$4331,A1007),2)</f>
        <v>1471.25</v>
      </c>
      <c r="L1007" s="9">
        <f>ROUND(J1007-K1007,2)</f>
        <v>0</v>
      </c>
      <c r="M1007" s="9">
        <f>ROUND(SUMIFS('Bank Lines'!$E$5:$E$1640,'Bank Lines'!$G$5:$G$1640,A1007,'Bank Lines'!$J$5:$J$1640,1,'Bank Lines'!$C$5:$C$1640,"&lt;="&amp;Cover!$C$13),2)</f>
        <v>0</v>
      </c>
      <c r="N1007" s="9">
        <f>ROUND(SUMIFS('Odoo Items'!$G$5:$G$4331,'Odoo Items'!$J$5:$J$4331,A1007,'Odoo Items'!$C$5:$C$4331,"&lt;="&amp;Cover!$C$13),2)</f>
        <v>0</v>
      </c>
      <c r="O1007">
        <f>COUNTIFS('Bank Lines'!$G$5:$G$1640,A1007,'Bank Lines'!$J$5:$J$1640,1,'Bank Lines'!$C$5:$C$1640,"&lt;="&amp;Cover!$C$13)</f>
        <v>0</v>
      </c>
      <c r="P1007">
        <f>COUNTIFS('Odoo Items'!$J$5:$J$4331,A1007,'Odoo Items'!$C$5:$C$4331,"&lt;="&amp;Cover!$C$13)</f>
        <v>0</v>
      </c>
      <c r="Q1007">
        <f>IF(AND(O1007=0,P1007=0),"",IF(O1007=0,"ODOO-ONLY",IF(P1007=0,"BANK-ONLY","BOTH")))</f>
      </c>
      <c r="R1007" s="9">
        <f>IF(Q1007="BOTH",ROUND(M1007-N1007,2),0)</f>
        <v>0</v>
      </c>
      <c r="S1007" s="9">
        <f>ROUND(SUMIFS('Bank Lines'!$E$5:$E$1640,'Bank Lines'!$G$5:$G$1640,A1007,'Bank Lines'!$J$5:$J$1640,1,'Bank Lines'!$C$5:$C$1640,"&lt;="&amp;Cover!$C$14),2)</f>
        <v>1471.25</v>
      </c>
      <c r="T1007" s="9">
        <f>ROUND(SUMIFS('Odoo Items'!$G$5:$G$4331,'Odoo Items'!$J$5:$J$4331,A1007,'Odoo Items'!$C$5:$C$4331,"&lt;="&amp;Cover!$C$14),2)</f>
        <v>1471.25</v>
      </c>
      <c r="U1007">
        <f>COUNTIFS('Bank Lines'!$G$5:$G$1640,A1007,'Bank Lines'!$J$5:$J$1640,1,'Bank Lines'!$C$5:$C$1640,"&lt;="&amp;Cover!$C$14)</f>
        <v>1</v>
      </c>
      <c r="V1007">
        <f>COUNTIFS('Odoo Items'!$J$5:$J$4331,A1007,'Odoo Items'!$C$5:$C$4331,"&lt;="&amp;Cover!$C$14)</f>
        <v>1</v>
      </c>
      <c r="W1007" t="str">
        <f>IF(AND(U1007=0,V1007=0),"",IF(U1007=0,"ODOO-ONLY",IF(V1007=0,"BANK-ONLY","BOTH")))</f>
        <v>BOTH</v>
      </c>
      <c r="X1007" s="9">
        <f>IF(W1007="BOTH",ROUND(S1007-T1007,2),0)</f>
        <v>0</v>
      </c>
      <c r="Y1007" s="9">
        <f>ROUND(SUMIFS('Bank Lines'!$E$5:$E$1640,'Bank Lines'!$G$5:$G$1640,A1007,'Bank Lines'!$J$5:$J$1640,1,'Bank Lines'!$C$5:$C$1640,"&lt;="&amp;Cover!$C$15),2)</f>
        <v>1471.25</v>
      </c>
      <c r="Z1007" s="9">
        <f>ROUND(SUMIFS('Odoo Items'!$G$5:$G$4331,'Odoo Items'!$J$5:$J$4331,A1007,'Odoo Items'!$C$5:$C$4331,"&lt;="&amp;Cover!$C$15),2)</f>
        <v>1471.25</v>
      </c>
      <c r="AA1007">
        <f>COUNTIFS('Bank Lines'!$G$5:$G$1640,A1007,'Bank Lines'!$J$5:$J$1640,1,'Bank Lines'!$C$5:$C$1640,"&lt;="&amp;Cover!$C$15)</f>
        <v>1</v>
      </c>
      <c r="AB1007">
        <f>COUNTIFS('Odoo Items'!$J$5:$J$4331,A1007,'Odoo Items'!$C$5:$C$4331,"&lt;="&amp;Cover!$C$15)</f>
        <v>1</v>
      </c>
      <c r="AC1007" t="str">
        <f>IF(AND(AA1007=0,AB1007=0),"",IF(AA1007=0,"ODOO-ONLY",IF(AB1007=0,"BANK-ONLY","BOTH")))</f>
        <v>BOTH</v>
      </c>
      <c r="AD1007" s="9">
        <f>IF(AC1007="BOTH",ROUND(Y1007-Z1007,2),0)</f>
        <v>0</v>
      </c>
    </row>
    <row r="1008">
      <c r="A1008" t="inlineStr">
        <is>
          <t>G01004</t>
        </is>
      </c>
      <c r="B1008" t="inlineStr">
        <is>
          <t>OPS</t>
        </is>
      </c>
      <c r="C1008" t="inlineStr">
        <is>
          <t>R09</t>
        </is>
      </c>
      <c r="D1008" t="inlineStr">
        <is>
          <t>MATCH</t>
        </is>
      </c>
      <c r="E1008" t="inlineStr">
        <is>
          <t>Northline Injury Claims</t>
        </is>
      </c>
      <c r="F1008" t="n">
        <v>1</v>
      </c>
      <c r="G1008" t="inlineStr">
        <is>
          <t>Reference INV/2026/02317</t>
        </is>
      </c>
      <c r="H1008">
        <f>COUNTIFS('Bank Lines'!$G$5:$G$1640,A1008,'Bank Lines'!$J$5:$J$1640,1)</f>
        <v>1</v>
      </c>
      <c r="I1008">
        <f>COUNTIFS('Odoo Items'!$J$5:$J$4331,A1008)</f>
        <v>1</v>
      </c>
      <c r="J1008" s="9">
        <f>ROUND(SUMIFS('Bank Lines'!$E$5:$E$1640,'Bank Lines'!$G$5:$G$1640,A1008,'Bank Lines'!$J$5:$J$1640,1),2)</f>
        <v>990</v>
      </c>
      <c r="K1008" s="9">
        <f>ROUND(SUMIFS('Odoo Items'!$G$5:$G$4331,'Odoo Items'!$J$5:$J$4331,A1008),2)</f>
        <v>990</v>
      </c>
      <c r="L1008" s="9">
        <f>ROUND(J1008-K1008,2)</f>
        <v>0</v>
      </c>
      <c r="M1008" s="9">
        <f>ROUND(SUMIFS('Bank Lines'!$E$5:$E$1640,'Bank Lines'!$G$5:$G$1640,A1008,'Bank Lines'!$J$5:$J$1640,1,'Bank Lines'!$C$5:$C$1640,"&lt;="&amp;Cover!$C$13),2)</f>
        <v>0</v>
      </c>
      <c r="N1008" s="9">
        <f>ROUND(SUMIFS('Odoo Items'!$G$5:$G$4331,'Odoo Items'!$J$5:$J$4331,A1008,'Odoo Items'!$C$5:$C$4331,"&lt;="&amp;Cover!$C$13),2)</f>
        <v>0</v>
      </c>
      <c r="O1008">
        <f>COUNTIFS('Bank Lines'!$G$5:$G$1640,A1008,'Bank Lines'!$J$5:$J$1640,1,'Bank Lines'!$C$5:$C$1640,"&lt;="&amp;Cover!$C$13)</f>
        <v>0</v>
      </c>
      <c r="P1008">
        <f>COUNTIFS('Odoo Items'!$J$5:$J$4331,A1008,'Odoo Items'!$C$5:$C$4331,"&lt;="&amp;Cover!$C$13)</f>
        <v>0</v>
      </c>
      <c r="Q1008">
        <f>IF(AND(O1008=0,P1008=0),"",IF(O1008=0,"ODOO-ONLY",IF(P1008=0,"BANK-ONLY","BOTH")))</f>
      </c>
      <c r="R1008" s="9">
        <f>IF(Q1008="BOTH",ROUND(M1008-N1008,2),0)</f>
        <v>0</v>
      </c>
      <c r="S1008" s="9">
        <f>ROUND(SUMIFS('Bank Lines'!$E$5:$E$1640,'Bank Lines'!$G$5:$G$1640,A1008,'Bank Lines'!$J$5:$J$1640,1,'Bank Lines'!$C$5:$C$1640,"&lt;="&amp;Cover!$C$14),2)</f>
        <v>990</v>
      </c>
      <c r="T1008" s="9">
        <f>ROUND(SUMIFS('Odoo Items'!$G$5:$G$4331,'Odoo Items'!$J$5:$J$4331,A1008,'Odoo Items'!$C$5:$C$4331,"&lt;="&amp;Cover!$C$14),2)</f>
        <v>990</v>
      </c>
      <c r="U1008">
        <f>COUNTIFS('Bank Lines'!$G$5:$G$1640,A1008,'Bank Lines'!$J$5:$J$1640,1,'Bank Lines'!$C$5:$C$1640,"&lt;="&amp;Cover!$C$14)</f>
        <v>1</v>
      </c>
      <c r="V1008">
        <f>COUNTIFS('Odoo Items'!$J$5:$J$4331,A1008,'Odoo Items'!$C$5:$C$4331,"&lt;="&amp;Cover!$C$14)</f>
        <v>1</v>
      </c>
      <c r="W1008" t="str">
        <f>IF(AND(U1008=0,V1008=0),"",IF(U1008=0,"ODOO-ONLY",IF(V1008=0,"BANK-ONLY","BOTH")))</f>
        <v>BOTH</v>
      </c>
      <c r="X1008" s="9">
        <f>IF(W1008="BOTH",ROUND(S1008-T1008,2),0)</f>
        <v>0</v>
      </c>
      <c r="Y1008" s="9">
        <f>ROUND(SUMIFS('Bank Lines'!$E$5:$E$1640,'Bank Lines'!$G$5:$G$1640,A1008,'Bank Lines'!$J$5:$J$1640,1,'Bank Lines'!$C$5:$C$1640,"&lt;="&amp;Cover!$C$15),2)</f>
        <v>990</v>
      </c>
      <c r="Z1008" s="9">
        <f>ROUND(SUMIFS('Odoo Items'!$G$5:$G$4331,'Odoo Items'!$J$5:$J$4331,A1008,'Odoo Items'!$C$5:$C$4331,"&lt;="&amp;Cover!$C$15),2)</f>
        <v>990</v>
      </c>
      <c r="AA1008">
        <f>COUNTIFS('Bank Lines'!$G$5:$G$1640,A1008,'Bank Lines'!$J$5:$J$1640,1,'Bank Lines'!$C$5:$C$1640,"&lt;="&amp;Cover!$C$15)</f>
        <v>1</v>
      </c>
      <c r="AB1008">
        <f>COUNTIFS('Odoo Items'!$J$5:$J$4331,A1008,'Odoo Items'!$C$5:$C$4331,"&lt;="&amp;Cover!$C$15)</f>
        <v>1</v>
      </c>
      <c r="AC1008" t="str">
        <f>IF(AND(AA1008=0,AB1008=0),"",IF(AA1008=0,"ODOO-ONLY",IF(AB1008=0,"BANK-ONLY","BOTH")))</f>
        <v>BOTH</v>
      </c>
      <c r="AD1008" s="9">
        <f>IF(AC1008="BOTH",ROUND(Y1008-Z1008,2),0)</f>
        <v>0</v>
      </c>
    </row>
    <row r="1009">
      <c r="A1009" t="inlineStr">
        <is>
          <t>G01005</t>
        </is>
      </c>
      <c r="B1009" t="inlineStr">
        <is>
          <t>OPS</t>
        </is>
      </c>
      <c r="C1009" t="inlineStr">
        <is>
          <t>R09</t>
        </is>
      </c>
      <c r="D1009" t="inlineStr">
        <is>
          <t>MATCH</t>
        </is>
      </c>
      <c r="E1009" t="inlineStr">
        <is>
          <t>Kestrel Lane Foods</t>
        </is>
      </c>
      <c r="F1009" t="n">
        <v>1</v>
      </c>
      <c r="G1009" t="inlineStr">
        <is>
          <t>Reference INV/2026/03464</t>
        </is>
      </c>
      <c r="H1009">
        <f>COUNTIFS('Bank Lines'!$G$5:$G$1640,A1009,'Bank Lines'!$J$5:$J$1640,1)</f>
        <v>1</v>
      </c>
      <c r="I1009">
        <f>COUNTIFS('Odoo Items'!$J$5:$J$4331,A1009)</f>
        <v>1</v>
      </c>
      <c r="J1009" s="9">
        <f>ROUND(SUMIFS('Bank Lines'!$E$5:$E$1640,'Bank Lines'!$G$5:$G$1640,A1009,'Bank Lines'!$J$5:$J$1640,1),2)</f>
        <v>10876.25</v>
      </c>
      <c r="K1009" s="9">
        <f>ROUND(SUMIFS('Odoo Items'!$G$5:$G$4331,'Odoo Items'!$J$5:$J$4331,A1009),2)</f>
        <v>10876.25</v>
      </c>
      <c r="L1009" s="9">
        <f>ROUND(J1009-K1009,2)</f>
        <v>0</v>
      </c>
      <c r="M1009" s="9">
        <f>ROUND(SUMIFS('Bank Lines'!$E$5:$E$1640,'Bank Lines'!$G$5:$G$1640,A1009,'Bank Lines'!$J$5:$J$1640,1,'Bank Lines'!$C$5:$C$1640,"&lt;="&amp;Cover!$C$13),2)</f>
        <v>0</v>
      </c>
      <c r="N1009" s="9">
        <f>ROUND(SUMIFS('Odoo Items'!$G$5:$G$4331,'Odoo Items'!$J$5:$J$4331,A1009,'Odoo Items'!$C$5:$C$4331,"&lt;="&amp;Cover!$C$13),2)</f>
        <v>0</v>
      </c>
      <c r="O1009">
        <f>COUNTIFS('Bank Lines'!$G$5:$G$1640,A1009,'Bank Lines'!$J$5:$J$1640,1,'Bank Lines'!$C$5:$C$1640,"&lt;="&amp;Cover!$C$13)</f>
        <v>0</v>
      </c>
      <c r="P1009">
        <f>COUNTIFS('Odoo Items'!$J$5:$J$4331,A1009,'Odoo Items'!$C$5:$C$4331,"&lt;="&amp;Cover!$C$13)</f>
        <v>0</v>
      </c>
      <c r="Q1009">
        <f>IF(AND(O1009=0,P1009=0),"",IF(O1009=0,"ODOO-ONLY",IF(P1009=0,"BANK-ONLY","BOTH")))</f>
      </c>
      <c r="R1009" s="9">
        <f>IF(Q1009="BOTH",ROUND(M1009-N1009,2),0)</f>
        <v>0</v>
      </c>
      <c r="S1009" s="9">
        <f>ROUND(SUMIFS('Bank Lines'!$E$5:$E$1640,'Bank Lines'!$G$5:$G$1640,A1009,'Bank Lines'!$J$5:$J$1640,1,'Bank Lines'!$C$5:$C$1640,"&lt;="&amp;Cover!$C$14),2)</f>
        <v>10876.25</v>
      </c>
      <c r="T1009" s="9">
        <f>ROUND(SUMIFS('Odoo Items'!$G$5:$G$4331,'Odoo Items'!$J$5:$J$4331,A1009,'Odoo Items'!$C$5:$C$4331,"&lt;="&amp;Cover!$C$14),2)</f>
        <v>10876.25</v>
      </c>
      <c r="U1009">
        <f>COUNTIFS('Bank Lines'!$G$5:$G$1640,A1009,'Bank Lines'!$J$5:$J$1640,1,'Bank Lines'!$C$5:$C$1640,"&lt;="&amp;Cover!$C$14)</f>
        <v>1</v>
      </c>
      <c r="V1009">
        <f>COUNTIFS('Odoo Items'!$J$5:$J$4331,A1009,'Odoo Items'!$C$5:$C$4331,"&lt;="&amp;Cover!$C$14)</f>
        <v>1</v>
      </c>
      <c r="W1009" t="str">
        <f>IF(AND(U1009=0,V1009=0),"",IF(U1009=0,"ODOO-ONLY",IF(V1009=0,"BANK-ONLY","BOTH")))</f>
        <v>BOTH</v>
      </c>
      <c r="X1009" s="9">
        <f>IF(W1009="BOTH",ROUND(S1009-T1009,2),0)</f>
        <v>0</v>
      </c>
      <c r="Y1009" s="9">
        <f>ROUND(SUMIFS('Bank Lines'!$E$5:$E$1640,'Bank Lines'!$G$5:$G$1640,A1009,'Bank Lines'!$J$5:$J$1640,1,'Bank Lines'!$C$5:$C$1640,"&lt;="&amp;Cover!$C$15),2)</f>
        <v>10876.25</v>
      </c>
      <c r="Z1009" s="9">
        <f>ROUND(SUMIFS('Odoo Items'!$G$5:$G$4331,'Odoo Items'!$J$5:$J$4331,A1009,'Odoo Items'!$C$5:$C$4331,"&lt;="&amp;Cover!$C$15),2)</f>
        <v>10876.25</v>
      </c>
      <c r="AA1009">
        <f>COUNTIFS('Bank Lines'!$G$5:$G$1640,A1009,'Bank Lines'!$J$5:$J$1640,1,'Bank Lines'!$C$5:$C$1640,"&lt;="&amp;Cover!$C$15)</f>
        <v>1</v>
      </c>
      <c r="AB1009">
        <f>COUNTIFS('Odoo Items'!$J$5:$J$4331,A1009,'Odoo Items'!$C$5:$C$4331,"&lt;="&amp;Cover!$C$15)</f>
        <v>1</v>
      </c>
      <c r="AC1009" t="str">
        <f>IF(AND(AA1009=0,AB1009=0),"",IF(AA1009=0,"ODOO-ONLY",IF(AB1009=0,"BANK-ONLY","BOTH")))</f>
        <v>BOTH</v>
      </c>
      <c r="AD1009" s="9">
        <f>IF(AC1009="BOTH",ROUND(Y1009-Z1009,2),0)</f>
        <v>0</v>
      </c>
    </row>
    <row r="1010">
      <c r="A1010" t="inlineStr">
        <is>
          <t>G01006</t>
        </is>
      </c>
      <c r="B1010" t="inlineStr">
        <is>
          <t>OPS</t>
        </is>
      </c>
      <c r="C1010" t="inlineStr">
        <is>
          <t>R09</t>
        </is>
      </c>
      <c r="D1010" t="inlineStr">
        <is>
          <t>MATCH</t>
        </is>
      </c>
      <c r="E1010" t="inlineStr">
        <is>
          <t>Harbour Mutual Health</t>
        </is>
      </c>
      <c r="F1010" t="n">
        <v>1</v>
      </c>
      <c r="G1010" t="inlineStr">
        <is>
          <t>Reference INV/2026/02416</t>
        </is>
      </c>
      <c r="H1010">
        <f>COUNTIFS('Bank Lines'!$G$5:$G$1640,A1010,'Bank Lines'!$J$5:$J$1640,1)</f>
        <v>1</v>
      </c>
      <c r="I1010">
        <f>COUNTIFS('Odoo Items'!$J$5:$J$4331,A1010)</f>
        <v>1</v>
      </c>
      <c r="J1010" s="9">
        <f>ROUND(SUMIFS('Bank Lines'!$E$5:$E$1640,'Bank Lines'!$G$5:$G$1640,A1010,'Bank Lines'!$J$5:$J$1640,1),2)</f>
        <v>132</v>
      </c>
      <c r="K1010" s="9">
        <f>ROUND(SUMIFS('Odoo Items'!$G$5:$G$4331,'Odoo Items'!$J$5:$J$4331,A1010),2)</f>
        <v>132</v>
      </c>
      <c r="L1010" s="9">
        <f>ROUND(J1010-K1010,2)</f>
        <v>0</v>
      </c>
      <c r="M1010" s="9">
        <f>ROUND(SUMIFS('Bank Lines'!$E$5:$E$1640,'Bank Lines'!$G$5:$G$1640,A1010,'Bank Lines'!$J$5:$J$1640,1,'Bank Lines'!$C$5:$C$1640,"&lt;="&amp;Cover!$C$13),2)</f>
        <v>0</v>
      </c>
      <c r="N1010" s="9">
        <f>ROUND(SUMIFS('Odoo Items'!$G$5:$G$4331,'Odoo Items'!$J$5:$J$4331,A1010,'Odoo Items'!$C$5:$C$4331,"&lt;="&amp;Cover!$C$13),2)</f>
        <v>0</v>
      </c>
      <c r="O1010">
        <f>COUNTIFS('Bank Lines'!$G$5:$G$1640,A1010,'Bank Lines'!$J$5:$J$1640,1,'Bank Lines'!$C$5:$C$1640,"&lt;="&amp;Cover!$C$13)</f>
        <v>0</v>
      </c>
      <c r="P1010">
        <f>COUNTIFS('Odoo Items'!$J$5:$J$4331,A1010,'Odoo Items'!$C$5:$C$4331,"&lt;="&amp;Cover!$C$13)</f>
        <v>0</v>
      </c>
      <c r="Q1010">
        <f>IF(AND(O1010=0,P1010=0),"",IF(O1010=0,"ODOO-ONLY",IF(P1010=0,"BANK-ONLY","BOTH")))</f>
      </c>
      <c r="R1010" s="9">
        <f>IF(Q1010="BOTH",ROUND(M1010-N1010,2),0)</f>
        <v>0</v>
      </c>
      <c r="S1010" s="9">
        <f>ROUND(SUMIFS('Bank Lines'!$E$5:$E$1640,'Bank Lines'!$G$5:$G$1640,A1010,'Bank Lines'!$J$5:$J$1640,1,'Bank Lines'!$C$5:$C$1640,"&lt;="&amp;Cover!$C$14),2)</f>
        <v>132</v>
      </c>
      <c r="T1010" s="9">
        <f>ROUND(SUMIFS('Odoo Items'!$G$5:$G$4331,'Odoo Items'!$J$5:$J$4331,A1010,'Odoo Items'!$C$5:$C$4331,"&lt;="&amp;Cover!$C$14),2)</f>
        <v>132</v>
      </c>
      <c r="U1010">
        <f>COUNTIFS('Bank Lines'!$G$5:$G$1640,A1010,'Bank Lines'!$J$5:$J$1640,1,'Bank Lines'!$C$5:$C$1640,"&lt;="&amp;Cover!$C$14)</f>
        <v>1</v>
      </c>
      <c r="V1010">
        <f>COUNTIFS('Odoo Items'!$J$5:$J$4331,A1010,'Odoo Items'!$C$5:$C$4331,"&lt;="&amp;Cover!$C$14)</f>
        <v>1</v>
      </c>
      <c r="W1010" t="str">
        <f>IF(AND(U1010=0,V1010=0),"",IF(U1010=0,"ODOO-ONLY",IF(V1010=0,"BANK-ONLY","BOTH")))</f>
        <v>BOTH</v>
      </c>
      <c r="X1010" s="9">
        <f>IF(W1010="BOTH",ROUND(S1010-T1010,2),0)</f>
        <v>0</v>
      </c>
      <c r="Y1010" s="9">
        <f>ROUND(SUMIFS('Bank Lines'!$E$5:$E$1640,'Bank Lines'!$G$5:$G$1640,A1010,'Bank Lines'!$J$5:$J$1640,1,'Bank Lines'!$C$5:$C$1640,"&lt;="&amp;Cover!$C$15),2)</f>
        <v>132</v>
      </c>
      <c r="Z1010" s="9">
        <f>ROUND(SUMIFS('Odoo Items'!$G$5:$G$4331,'Odoo Items'!$J$5:$J$4331,A1010,'Odoo Items'!$C$5:$C$4331,"&lt;="&amp;Cover!$C$15),2)</f>
        <v>132</v>
      </c>
      <c r="AA1010">
        <f>COUNTIFS('Bank Lines'!$G$5:$G$1640,A1010,'Bank Lines'!$J$5:$J$1640,1,'Bank Lines'!$C$5:$C$1640,"&lt;="&amp;Cover!$C$15)</f>
        <v>1</v>
      </c>
      <c r="AB1010">
        <f>COUNTIFS('Odoo Items'!$J$5:$J$4331,A1010,'Odoo Items'!$C$5:$C$4331,"&lt;="&amp;Cover!$C$15)</f>
        <v>1</v>
      </c>
      <c r="AC1010" t="str">
        <f>IF(AND(AA1010=0,AB1010=0),"",IF(AA1010=0,"ODOO-ONLY",IF(AB1010=0,"BANK-ONLY","BOTH")))</f>
        <v>BOTH</v>
      </c>
      <c r="AD1010" s="9">
        <f>IF(AC1010="BOTH",ROUND(Y1010-Z1010,2),0)</f>
        <v>0</v>
      </c>
    </row>
    <row r="1011">
      <c r="A1011" t="inlineStr">
        <is>
          <t>G01007</t>
        </is>
      </c>
      <c r="B1011" t="inlineStr">
        <is>
          <t>OPS</t>
        </is>
      </c>
      <c r="C1011" t="inlineStr">
        <is>
          <t>R09</t>
        </is>
      </c>
      <c r="D1011" t="inlineStr">
        <is>
          <t>MATCH</t>
        </is>
      </c>
      <c r="E1011" t="inlineStr">
        <is>
          <t>Meridian Health Cover</t>
        </is>
      </c>
      <c r="F1011" t="n">
        <v>1</v>
      </c>
      <c r="G1011" t="inlineStr">
        <is>
          <t>Reference INV/2026/02510</t>
        </is>
      </c>
      <c r="H1011">
        <f>COUNTIFS('Bank Lines'!$G$5:$G$1640,A1011,'Bank Lines'!$J$5:$J$1640,1)</f>
        <v>1</v>
      </c>
      <c r="I1011">
        <f>COUNTIFS('Odoo Items'!$J$5:$J$4331,A1011)</f>
        <v>1</v>
      </c>
      <c r="J1011" s="9">
        <f>ROUND(SUMIFS('Bank Lines'!$E$5:$E$1640,'Bank Lines'!$G$5:$G$1640,A1011,'Bank Lines'!$J$5:$J$1640,1),2)</f>
        <v>412.5</v>
      </c>
      <c r="K1011" s="9">
        <f>ROUND(SUMIFS('Odoo Items'!$G$5:$G$4331,'Odoo Items'!$J$5:$J$4331,A1011),2)</f>
        <v>412.5</v>
      </c>
      <c r="L1011" s="9">
        <f>ROUND(J1011-K1011,2)</f>
        <v>0</v>
      </c>
      <c r="M1011" s="9">
        <f>ROUND(SUMIFS('Bank Lines'!$E$5:$E$1640,'Bank Lines'!$G$5:$G$1640,A1011,'Bank Lines'!$J$5:$J$1640,1,'Bank Lines'!$C$5:$C$1640,"&lt;="&amp;Cover!$C$13),2)</f>
        <v>0</v>
      </c>
      <c r="N1011" s="9">
        <f>ROUND(SUMIFS('Odoo Items'!$G$5:$G$4331,'Odoo Items'!$J$5:$J$4331,A1011,'Odoo Items'!$C$5:$C$4331,"&lt;="&amp;Cover!$C$13),2)</f>
        <v>0</v>
      </c>
      <c r="O1011">
        <f>COUNTIFS('Bank Lines'!$G$5:$G$1640,A1011,'Bank Lines'!$J$5:$J$1640,1,'Bank Lines'!$C$5:$C$1640,"&lt;="&amp;Cover!$C$13)</f>
        <v>0</v>
      </c>
      <c r="P1011">
        <f>COUNTIFS('Odoo Items'!$J$5:$J$4331,A1011,'Odoo Items'!$C$5:$C$4331,"&lt;="&amp;Cover!$C$13)</f>
        <v>0</v>
      </c>
      <c r="Q1011">
        <f>IF(AND(O1011=0,P1011=0),"",IF(O1011=0,"ODOO-ONLY",IF(P1011=0,"BANK-ONLY","BOTH")))</f>
      </c>
      <c r="R1011" s="9">
        <f>IF(Q1011="BOTH",ROUND(M1011-N1011,2),0)</f>
        <v>0</v>
      </c>
      <c r="S1011" s="9">
        <f>ROUND(SUMIFS('Bank Lines'!$E$5:$E$1640,'Bank Lines'!$G$5:$G$1640,A1011,'Bank Lines'!$J$5:$J$1640,1,'Bank Lines'!$C$5:$C$1640,"&lt;="&amp;Cover!$C$14),2)</f>
        <v>412.5</v>
      </c>
      <c r="T1011" s="9">
        <f>ROUND(SUMIFS('Odoo Items'!$G$5:$G$4331,'Odoo Items'!$J$5:$J$4331,A1011,'Odoo Items'!$C$5:$C$4331,"&lt;="&amp;Cover!$C$14),2)</f>
        <v>412.5</v>
      </c>
      <c r="U1011">
        <f>COUNTIFS('Bank Lines'!$G$5:$G$1640,A1011,'Bank Lines'!$J$5:$J$1640,1,'Bank Lines'!$C$5:$C$1640,"&lt;="&amp;Cover!$C$14)</f>
        <v>1</v>
      </c>
      <c r="V1011">
        <f>COUNTIFS('Odoo Items'!$J$5:$J$4331,A1011,'Odoo Items'!$C$5:$C$4331,"&lt;="&amp;Cover!$C$14)</f>
        <v>1</v>
      </c>
      <c r="W1011" t="str">
        <f>IF(AND(U1011=0,V1011=0),"",IF(U1011=0,"ODOO-ONLY",IF(V1011=0,"BANK-ONLY","BOTH")))</f>
        <v>BOTH</v>
      </c>
      <c r="X1011" s="9">
        <f>IF(W1011="BOTH",ROUND(S1011-T1011,2),0)</f>
        <v>0</v>
      </c>
      <c r="Y1011" s="9">
        <f>ROUND(SUMIFS('Bank Lines'!$E$5:$E$1640,'Bank Lines'!$G$5:$G$1640,A1011,'Bank Lines'!$J$5:$J$1640,1,'Bank Lines'!$C$5:$C$1640,"&lt;="&amp;Cover!$C$15),2)</f>
        <v>412.5</v>
      </c>
      <c r="Z1011" s="9">
        <f>ROUND(SUMIFS('Odoo Items'!$G$5:$G$4331,'Odoo Items'!$J$5:$J$4331,A1011,'Odoo Items'!$C$5:$C$4331,"&lt;="&amp;Cover!$C$15),2)</f>
        <v>412.5</v>
      </c>
      <c r="AA1011">
        <f>COUNTIFS('Bank Lines'!$G$5:$G$1640,A1011,'Bank Lines'!$J$5:$J$1640,1,'Bank Lines'!$C$5:$C$1640,"&lt;="&amp;Cover!$C$15)</f>
        <v>1</v>
      </c>
      <c r="AB1011">
        <f>COUNTIFS('Odoo Items'!$J$5:$J$4331,A1011,'Odoo Items'!$C$5:$C$4331,"&lt;="&amp;Cover!$C$15)</f>
        <v>1</v>
      </c>
      <c r="AC1011" t="str">
        <f>IF(AND(AA1011=0,AB1011=0),"",IF(AA1011=0,"ODOO-ONLY",IF(AB1011=0,"BANK-ONLY","BOTH")))</f>
        <v>BOTH</v>
      </c>
      <c r="AD1011" s="9">
        <f>IF(AC1011="BOTH",ROUND(Y1011-Z1011,2),0)</f>
        <v>0</v>
      </c>
    </row>
    <row r="1012">
      <c r="A1012" t="inlineStr">
        <is>
          <t>G01008</t>
        </is>
      </c>
      <c r="B1012" t="inlineStr">
        <is>
          <t>OPS</t>
        </is>
      </c>
      <c r="C1012" t="inlineStr">
        <is>
          <t>R09</t>
        </is>
      </c>
      <c r="D1012" t="inlineStr">
        <is>
          <t>MATCH</t>
        </is>
      </c>
      <c r="E1012" t="inlineStr">
        <is>
          <t>Stanhope Trucking</t>
        </is>
      </c>
      <c r="F1012" t="n">
        <v>1</v>
      </c>
      <c r="G1012" t="inlineStr">
        <is>
          <t>Reference INV/2026/03512</t>
        </is>
      </c>
      <c r="H1012">
        <f>COUNTIFS('Bank Lines'!$G$5:$G$1640,A1012,'Bank Lines'!$J$5:$J$1640,1)</f>
        <v>1</v>
      </c>
      <c r="I1012">
        <f>COUNTIFS('Odoo Items'!$J$5:$J$4331,A1012)</f>
        <v>1</v>
      </c>
      <c r="J1012" s="9">
        <f>ROUND(SUMIFS('Bank Lines'!$E$5:$E$1640,'Bank Lines'!$G$5:$G$1640,A1012,'Bank Lines'!$J$5:$J$1640,1),2)</f>
        <v>3465</v>
      </c>
      <c r="K1012" s="9">
        <f>ROUND(SUMIFS('Odoo Items'!$G$5:$G$4331,'Odoo Items'!$J$5:$J$4331,A1012),2)</f>
        <v>3465</v>
      </c>
      <c r="L1012" s="9">
        <f>ROUND(J1012-K1012,2)</f>
        <v>0</v>
      </c>
      <c r="M1012" s="9">
        <f>ROUND(SUMIFS('Bank Lines'!$E$5:$E$1640,'Bank Lines'!$G$5:$G$1640,A1012,'Bank Lines'!$J$5:$J$1640,1,'Bank Lines'!$C$5:$C$1640,"&lt;="&amp;Cover!$C$13),2)</f>
        <v>0</v>
      </c>
      <c r="N1012" s="9">
        <f>ROUND(SUMIFS('Odoo Items'!$G$5:$G$4331,'Odoo Items'!$J$5:$J$4331,A1012,'Odoo Items'!$C$5:$C$4331,"&lt;="&amp;Cover!$C$13),2)</f>
        <v>0</v>
      </c>
      <c r="O1012">
        <f>COUNTIFS('Bank Lines'!$G$5:$G$1640,A1012,'Bank Lines'!$J$5:$J$1640,1,'Bank Lines'!$C$5:$C$1640,"&lt;="&amp;Cover!$C$13)</f>
        <v>0</v>
      </c>
      <c r="P1012">
        <f>COUNTIFS('Odoo Items'!$J$5:$J$4331,A1012,'Odoo Items'!$C$5:$C$4331,"&lt;="&amp;Cover!$C$13)</f>
        <v>0</v>
      </c>
      <c r="Q1012">
        <f>IF(AND(O1012=0,P1012=0),"",IF(O1012=0,"ODOO-ONLY",IF(P1012=0,"BANK-ONLY","BOTH")))</f>
      </c>
      <c r="R1012" s="9">
        <f>IF(Q1012="BOTH",ROUND(M1012-N1012,2),0)</f>
        <v>0</v>
      </c>
      <c r="S1012" s="9">
        <f>ROUND(SUMIFS('Bank Lines'!$E$5:$E$1640,'Bank Lines'!$G$5:$G$1640,A1012,'Bank Lines'!$J$5:$J$1640,1,'Bank Lines'!$C$5:$C$1640,"&lt;="&amp;Cover!$C$14),2)</f>
        <v>3465</v>
      </c>
      <c r="T1012" s="9">
        <f>ROUND(SUMIFS('Odoo Items'!$G$5:$G$4331,'Odoo Items'!$J$5:$J$4331,A1012,'Odoo Items'!$C$5:$C$4331,"&lt;="&amp;Cover!$C$14),2)</f>
        <v>3465</v>
      </c>
      <c r="U1012">
        <f>COUNTIFS('Bank Lines'!$G$5:$G$1640,A1012,'Bank Lines'!$J$5:$J$1640,1,'Bank Lines'!$C$5:$C$1640,"&lt;="&amp;Cover!$C$14)</f>
        <v>1</v>
      </c>
      <c r="V1012">
        <f>COUNTIFS('Odoo Items'!$J$5:$J$4331,A1012,'Odoo Items'!$C$5:$C$4331,"&lt;="&amp;Cover!$C$14)</f>
        <v>1</v>
      </c>
      <c r="W1012" t="str">
        <f>IF(AND(U1012=0,V1012=0),"",IF(U1012=0,"ODOO-ONLY",IF(V1012=0,"BANK-ONLY","BOTH")))</f>
        <v>BOTH</v>
      </c>
      <c r="X1012" s="9">
        <f>IF(W1012="BOTH",ROUND(S1012-T1012,2),0)</f>
        <v>0</v>
      </c>
      <c r="Y1012" s="9">
        <f>ROUND(SUMIFS('Bank Lines'!$E$5:$E$1640,'Bank Lines'!$G$5:$G$1640,A1012,'Bank Lines'!$J$5:$J$1640,1,'Bank Lines'!$C$5:$C$1640,"&lt;="&amp;Cover!$C$15),2)</f>
        <v>3465</v>
      </c>
      <c r="Z1012" s="9">
        <f>ROUND(SUMIFS('Odoo Items'!$G$5:$G$4331,'Odoo Items'!$J$5:$J$4331,A1012,'Odoo Items'!$C$5:$C$4331,"&lt;="&amp;Cover!$C$15),2)</f>
        <v>3465</v>
      </c>
      <c r="AA1012">
        <f>COUNTIFS('Bank Lines'!$G$5:$G$1640,A1012,'Bank Lines'!$J$5:$J$1640,1,'Bank Lines'!$C$5:$C$1640,"&lt;="&amp;Cover!$C$15)</f>
        <v>1</v>
      </c>
      <c r="AB1012">
        <f>COUNTIFS('Odoo Items'!$J$5:$J$4331,A1012,'Odoo Items'!$C$5:$C$4331,"&lt;="&amp;Cover!$C$15)</f>
        <v>1</v>
      </c>
      <c r="AC1012" t="str">
        <f>IF(AND(AA1012=0,AB1012=0),"",IF(AA1012=0,"ODOO-ONLY",IF(AB1012=0,"BANK-ONLY","BOTH")))</f>
        <v>BOTH</v>
      </c>
      <c r="AD1012" s="9">
        <f>IF(AC1012="BOTH",ROUND(Y1012-Z1012,2),0)</f>
        <v>0</v>
      </c>
    </row>
    <row r="1013">
      <c r="A1013" t="inlineStr">
        <is>
          <t>G01009</t>
        </is>
      </c>
      <c r="B1013" t="inlineStr">
        <is>
          <t>OPS</t>
        </is>
      </c>
      <c r="C1013" t="inlineStr">
        <is>
          <t>R09</t>
        </is>
      </c>
      <c r="D1013" t="inlineStr">
        <is>
          <t>MATCH</t>
        </is>
      </c>
      <c r="E1013" t="inlineStr">
        <is>
          <t>Northline Injury Claims</t>
        </is>
      </c>
      <c r="F1013" t="n">
        <v>1</v>
      </c>
      <c r="G1013" t="inlineStr">
        <is>
          <t>Reference INV/2026/02534</t>
        </is>
      </c>
      <c r="H1013">
        <f>COUNTIFS('Bank Lines'!$G$5:$G$1640,A1013,'Bank Lines'!$J$5:$J$1640,1)</f>
        <v>1</v>
      </c>
      <c r="I1013">
        <f>COUNTIFS('Odoo Items'!$J$5:$J$4331,A1013)</f>
        <v>1</v>
      </c>
      <c r="J1013" s="9">
        <f>ROUND(SUMIFS('Bank Lines'!$E$5:$E$1640,'Bank Lines'!$G$5:$G$1640,A1013,'Bank Lines'!$J$5:$J$1640,1),2)</f>
        <v>88</v>
      </c>
      <c r="K1013" s="9">
        <f>ROUND(SUMIFS('Odoo Items'!$G$5:$G$4331,'Odoo Items'!$J$5:$J$4331,A1013),2)</f>
        <v>88</v>
      </c>
      <c r="L1013" s="9">
        <f>ROUND(J1013-K1013,2)</f>
        <v>0</v>
      </c>
      <c r="M1013" s="9">
        <f>ROUND(SUMIFS('Bank Lines'!$E$5:$E$1640,'Bank Lines'!$G$5:$G$1640,A1013,'Bank Lines'!$J$5:$J$1640,1,'Bank Lines'!$C$5:$C$1640,"&lt;="&amp;Cover!$C$13),2)</f>
        <v>0</v>
      </c>
      <c r="N1013" s="9">
        <f>ROUND(SUMIFS('Odoo Items'!$G$5:$G$4331,'Odoo Items'!$J$5:$J$4331,A1013,'Odoo Items'!$C$5:$C$4331,"&lt;="&amp;Cover!$C$13),2)</f>
        <v>0</v>
      </c>
      <c r="O1013">
        <f>COUNTIFS('Bank Lines'!$G$5:$G$1640,A1013,'Bank Lines'!$J$5:$J$1640,1,'Bank Lines'!$C$5:$C$1640,"&lt;="&amp;Cover!$C$13)</f>
        <v>0</v>
      </c>
      <c r="P1013">
        <f>COUNTIFS('Odoo Items'!$J$5:$J$4331,A1013,'Odoo Items'!$C$5:$C$4331,"&lt;="&amp;Cover!$C$13)</f>
        <v>0</v>
      </c>
      <c r="Q1013">
        <f>IF(AND(O1013=0,P1013=0),"",IF(O1013=0,"ODOO-ONLY",IF(P1013=0,"BANK-ONLY","BOTH")))</f>
      </c>
      <c r="R1013" s="9">
        <f>IF(Q1013="BOTH",ROUND(M1013-N1013,2),0)</f>
        <v>0</v>
      </c>
      <c r="S1013" s="9">
        <f>ROUND(SUMIFS('Bank Lines'!$E$5:$E$1640,'Bank Lines'!$G$5:$G$1640,A1013,'Bank Lines'!$J$5:$J$1640,1,'Bank Lines'!$C$5:$C$1640,"&lt;="&amp;Cover!$C$14),2)</f>
        <v>88</v>
      </c>
      <c r="T1013" s="9">
        <f>ROUND(SUMIFS('Odoo Items'!$G$5:$G$4331,'Odoo Items'!$J$5:$J$4331,A1013,'Odoo Items'!$C$5:$C$4331,"&lt;="&amp;Cover!$C$14),2)</f>
        <v>88</v>
      </c>
      <c r="U1013">
        <f>COUNTIFS('Bank Lines'!$G$5:$G$1640,A1013,'Bank Lines'!$J$5:$J$1640,1,'Bank Lines'!$C$5:$C$1640,"&lt;="&amp;Cover!$C$14)</f>
        <v>1</v>
      </c>
      <c r="V1013">
        <f>COUNTIFS('Odoo Items'!$J$5:$J$4331,A1013,'Odoo Items'!$C$5:$C$4331,"&lt;="&amp;Cover!$C$14)</f>
        <v>1</v>
      </c>
      <c r="W1013" t="str">
        <f>IF(AND(U1013=0,V1013=0),"",IF(U1013=0,"ODOO-ONLY",IF(V1013=0,"BANK-ONLY","BOTH")))</f>
        <v>BOTH</v>
      </c>
      <c r="X1013" s="9">
        <f>IF(W1013="BOTH",ROUND(S1013-T1013,2),0)</f>
        <v>0</v>
      </c>
      <c r="Y1013" s="9">
        <f>ROUND(SUMIFS('Bank Lines'!$E$5:$E$1640,'Bank Lines'!$G$5:$G$1640,A1013,'Bank Lines'!$J$5:$J$1640,1,'Bank Lines'!$C$5:$C$1640,"&lt;="&amp;Cover!$C$15),2)</f>
        <v>88</v>
      </c>
      <c r="Z1013" s="9">
        <f>ROUND(SUMIFS('Odoo Items'!$G$5:$G$4331,'Odoo Items'!$J$5:$J$4331,A1013,'Odoo Items'!$C$5:$C$4331,"&lt;="&amp;Cover!$C$15),2)</f>
        <v>88</v>
      </c>
      <c r="AA1013">
        <f>COUNTIFS('Bank Lines'!$G$5:$G$1640,A1013,'Bank Lines'!$J$5:$J$1640,1,'Bank Lines'!$C$5:$C$1640,"&lt;="&amp;Cover!$C$15)</f>
        <v>1</v>
      </c>
      <c r="AB1013">
        <f>COUNTIFS('Odoo Items'!$J$5:$J$4331,A1013,'Odoo Items'!$C$5:$C$4331,"&lt;="&amp;Cover!$C$15)</f>
        <v>1</v>
      </c>
      <c r="AC1013" t="str">
        <f>IF(AND(AA1013=0,AB1013=0),"",IF(AA1013=0,"ODOO-ONLY",IF(AB1013=0,"BANK-ONLY","BOTH")))</f>
        <v>BOTH</v>
      </c>
      <c r="AD1013" s="9">
        <f>IF(AC1013="BOTH",ROUND(Y1013-Z1013,2),0)</f>
        <v>0</v>
      </c>
    </row>
    <row r="1014">
      <c r="A1014" t="inlineStr">
        <is>
          <t>G01010</t>
        </is>
      </c>
      <c r="B1014" t="inlineStr">
        <is>
          <t>OPS</t>
        </is>
      </c>
      <c r="C1014" t="inlineStr">
        <is>
          <t>R09</t>
        </is>
      </c>
      <c r="D1014" t="inlineStr">
        <is>
          <t>MATCH</t>
        </is>
      </c>
      <c r="E1014" t="inlineStr">
        <is>
          <t>Ostrander Manufacturing</t>
        </is>
      </c>
      <c r="F1014" t="n">
        <v>1</v>
      </c>
      <c r="G1014" t="inlineStr">
        <is>
          <t>Reference INV/2026/03472</t>
        </is>
      </c>
      <c r="H1014">
        <f>COUNTIFS('Bank Lines'!$G$5:$G$1640,A1014,'Bank Lines'!$J$5:$J$1640,1)</f>
        <v>1</v>
      </c>
      <c r="I1014">
        <f>COUNTIFS('Odoo Items'!$J$5:$J$4331,A1014)</f>
        <v>1</v>
      </c>
      <c r="J1014" s="9">
        <f>ROUND(SUMIFS('Bank Lines'!$E$5:$E$1640,'Bank Lines'!$G$5:$G$1640,A1014,'Bank Lines'!$J$5:$J$1640,1),2)</f>
        <v>6902.5</v>
      </c>
      <c r="K1014" s="9">
        <f>ROUND(SUMIFS('Odoo Items'!$G$5:$G$4331,'Odoo Items'!$J$5:$J$4331,A1014),2)</f>
        <v>6902.5</v>
      </c>
      <c r="L1014" s="9">
        <f>ROUND(J1014-K1014,2)</f>
        <v>0</v>
      </c>
      <c r="M1014" s="9">
        <f>ROUND(SUMIFS('Bank Lines'!$E$5:$E$1640,'Bank Lines'!$G$5:$G$1640,A1014,'Bank Lines'!$J$5:$J$1640,1,'Bank Lines'!$C$5:$C$1640,"&lt;="&amp;Cover!$C$13),2)</f>
        <v>0</v>
      </c>
      <c r="N1014" s="9">
        <f>ROUND(SUMIFS('Odoo Items'!$G$5:$G$4331,'Odoo Items'!$J$5:$J$4331,A1014,'Odoo Items'!$C$5:$C$4331,"&lt;="&amp;Cover!$C$13),2)</f>
        <v>0</v>
      </c>
      <c r="O1014">
        <f>COUNTIFS('Bank Lines'!$G$5:$G$1640,A1014,'Bank Lines'!$J$5:$J$1640,1,'Bank Lines'!$C$5:$C$1640,"&lt;="&amp;Cover!$C$13)</f>
        <v>0</v>
      </c>
      <c r="P1014">
        <f>COUNTIFS('Odoo Items'!$J$5:$J$4331,A1014,'Odoo Items'!$C$5:$C$4331,"&lt;="&amp;Cover!$C$13)</f>
        <v>0</v>
      </c>
      <c r="Q1014">
        <f>IF(AND(O1014=0,P1014=0),"",IF(O1014=0,"ODOO-ONLY",IF(P1014=0,"BANK-ONLY","BOTH")))</f>
      </c>
      <c r="R1014" s="9">
        <f>IF(Q1014="BOTH",ROUND(M1014-N1014,2),0)</f>
        <v>0</v>
      </c>
      <c r="S1014" s="9">
        <f>ROUND(SUMIFS('Bank Lines'!$E$5:$E$1640,'Bank Lines'!$G$5:$G$1640,A1014,'Bank Lines'!$J$5:$J$1640,1,'Bank Lines'!$C$5:$C$1640,"&lt;="&amp;Cover!$C$14),2)</f>
        <v>6902.5</v>
      </c>
      <c r="T1014" s="9">
        <f>ROUND(SUMIFS('Odoo Items'!$G$5:$G$4331,'Odoo Items'!$J$5:$J$4331,A1014,'Odoo Items'!$C$5:$C$4331,"&lt;="&amp;Cover!$C$14),2)</f>
        <v>6902.5</v>
      </c>
      <c r="U1014">
        <f>COUNTIFS('Bank Lines'!$G$5:$G$1640,A1014,'Bank Lines'!$J$5:$J$1640,1,'Bank Lines'!$C$5:$C$1640,"&lt;="&amp;Cover!$C$14)</f>
        <v>1</v>
      </c>
      <c r="V1014">
        <f>COUNTIFS('Odoo Items'!$J$5:$J$4331,A1014,'Odoo Items'!$C$5:$C$4331,"&lt;="&amp;Cover!$C$14)</f>
        <v>1</v>
      </c>
      <c r="W1014" t="str">
        <f>IF(AND(U1014=0,V1014=0),"",IF(U1014=0,"ODOO-ONLY",IF(V1014=0,"BANK-ONLY","BOTH")))</f>
        <v>BOTH</v>
      </c>
      <c r="X1014" s="9">
        <f>IF(W1014="BOTH",ROUND(S1014-T1014,2),0)</f>
        <v>0</v>
      </c>
      <c r="Y1014" s="9">
        <f>ROUND(SUMIFS('Bank Lines'!$E$5:$E$1640,'Bank Lines'!$G$5:$G$1640,A1014,'Bank Lines'!$J$5:$J$1640,1,'Bank Lines'!$C$5:$C$1640,"&lt;="&amp;Cover!$C$15),2)</f>
        <v>6902.5</v>
      </c>
      <c r="Z1014" s="9">
        <f>ROUND(SUMIFS('Odoo Items'!$G$5:$G$4331,'Odoo Items'!$J$5:$J$4331,A1014,'Odoo Items'!$C$5:$C$4331,"&lt;="&amp;Cover!$C$15),2)</f>
        <v>6902.5</v>
      </c>
      <c r="AA1014">
        <f>COUNTIFS('Bank Lines'!$G$5:$G$1640,A1014,'Bank Lines'!$J$5:$J$1640,1,'Bank Lines'!$C$5:$C$1640,"&lt;="&amp;Cover!$C$15)</f>
        <v>1</v>
      </c>
      <c r="AB1014">
        <f>COUNTIFS('Odoo Items'!$J$5:$J$4331,A1014,'Odoo Items'!$C$5:$C$4331,"&lt;="&amp;Cover!$C$15)</f>
        <v>1</v>
      </c>
      <c r="AC1014" t="str">
        <f>IF(AND(AA1014=0,AB1014=0),"",IF(AA1014=0,"ODOO-ONLY",IF(AB1014=0,"BANK-ONLY","BOTH")))</f>
        <v>BOTH</v>
      </c>
      <c r="AD1014" s="9">
        <f>IF(AC1014="BOTH",ROUND(Y1014-Z1014,2),0)</f>
        <v>0</v>
      </c>
    </row>
    <row r="1015">
      <c r="A1015" t="inlineStr">
        <is>
          <t>G01011</t>
        </is>
      </c>
      <c r="B1015" t="inlineStr">
        <is>
          <t>OPS</t>
        </is>
      </c>
      <c r="C1015" t="inlineStr">
        <is>
          <t>R09</t>
        </is>
      </c>
      <c r="D1015" t="inlineStr">
        <is>
          <t>MATCH</t>
        </is>
      </c>
      <c r="E1015" t="inlineStr">
        <is>
          <t>Quillon Engineering</t>
        </is>
      </c>
      <c r="F1015" t="n">
        <v>1</v>
      </c>
      <c r="G1015" t="inlineStr">
        <is>
          <t>Reference INV/2026/03477</t>
        </is>
      </c>
      <c r="H1015">
        <f>COUNTIFS('Bank Lines'!$G$5:$G$1640,A1015,'Bank Lines'!$J$5:$J$1640,1)</f>
        <v>1</v>
      </c>
      <c r="I1015">
        <f>COUNTIFS('Odoo Items'!$J$5:$J$4331,A1015)</f>
        <v>1</v>
      </c>
      <c r="J1015" s="9">
        <f>ROUND(SUMIFS('Bank Lines'!$E$5:$E$1640,'Bank Lines'!$G$5:$G$1640,A1015,'Bank Lines'!$J$5:$J$1640,1),2)</f>
        <v>6971.25</v>
      </c>
      <c r="K1015" s="9">
        <f>ROUND(SUMIFS('Odoo Items'!$G$5:$G$4331,'Odoo Items'!$J$5:$J$4331,A1015),2)</f>
        <v>6971.25</v>
      </c>
      <c r="L1015" s="9">
        <f>ROUND(J1015-K1015,2)</f>
        <v>0</v>
      </c>
      <c r="M1015" s="9">
        <f>ROUND(SUMIFS('Bank Lines'!$E$5:$E$1640,'Bank Lines'!$G$5:$G$1640,A1015,'Bank Lines'!$J$5:$J$1640,1,'Bank Lines'!$C$5:$C$1640,"&lt;="&amp;Cover!$C$13),2)</f>
        <v>0</v>
      </c>
      <c r="N1015" s="9">
        <f>ROUND(SUMIFS('Odoo Items'!$G$5:$G$4331,'Odoo Items'!$J$5:$J$4331,A1015,'Odoo Items'!$C$5:$C$4331,"&lt;="&amp;Cover!$C$13),2)</f>
        <v>0</v>
      </c>
      <c r="O1015">
        <f>COUNTIFS('Bank Lines'!$G$5:$G$1640,A1015,'Bank Lines'!$J$5:$J$1640,1,'Bank Lines'!$C$5:$C$1640,"&lt;="&amp;Cover!$C$13)</f>
        <v>0</v>
      </c>
      <c r="P1015">
        <f>COUNTIFS('Odoo Items'!$J$5:$J$4331,A1015,'Odoo Items'!$C$5:$C$4331,"&lt;="&amp;Cover!$C$13)</f>
        <v>0</v>
      </c>
      <c r="Q1015">
        <f>IF(AND(O1015=0,P1015=0),"",IF(O1015=0,"ODOO-ONLY",IF(P1015=0,"BANK-ONLY","BOTH")))</f>
      </c>
      <c r="R1015" s="9">
        <f>IF(Q1015="BOTH",ROUND(M1015-N1015,2),0)</f>
        <v>0</v>
      </c>
      <c r="S1015" s="9">
        <f>ROUND(SUMIFS('Bank Lines'!$E$5:$E$1640,'Bank Lines'!$G$5:$G$1640,A1015,'Bank Lines'!$J$5:$J$1640,1,'Bank Lines'!$C$5:$C$1640,"&lt;="&amp;Cover!$C$14),2)</f>
        <v>6971.25</v>
      </c>
      <c r="T1015" s="9">
        <f>ROUND(SUMIFS('Odoo Items'!$G$5:$G$4331,'Odoo Items'!$J$5:$J$4331,A1015,'Odoo Items'!$C$5:$C$4331,"&lt;="&amp;Cover!$C$14),2)</f>
        <v>6971.25</v>
      </c>
      <c r="U1015">
        <f>COUNTIFS('Bank Lines'!$G$5:$G$1640,A1015,'Bank Lines'!$J$5:$J$1640,1,'Bank Lines'!$C$5:$C$1640,"&lt;="&amp;Cover!$C$14)</f>
        <v>1</v>
      </c>
      <c r="V1015">
        <f>COUNTIFS('Odoo Items'!$J$5:$J$4331,A1015,'Odoo Items'!$C$5:$C$4331,"&lt;="&amp;Cover!$C$14)</f>
        <v>1</v>
      </c>
      <c r="W1015" t="str">
        <f>IF(AND(U1015=0,V1015=0),"",IF(U1015=0,"ODOO-ONLY",IF(V1015=0,"BANK-ONLY","BOTH")))</f>
        <v>BOTH</v>
      </c>
      <c r="X1015" s="9">
        <f>IF(W1015="BOTH",ROUND(S1015-T1015,2),0)</f>
        <v>0</v>
      </c>
      <c r="Y1015" s="9">
        <f>ROUND(SUMIFS('Bank Lines'!$E$5:$E$1640,'Bank Lines'!$G$5:$G$1640,A1015,'Bank Lines'!$J$5:$J$1640,1,'Bank Lines'!$C$5:$C$1640,"&lt;="&amp;Cover!$C$15),2)</f>
        <v>6971.25</v>
      </c>
      <c r="Z1015" s="9">
        <f>ROUND(SUMIFS('Odoo Items'!$G$5:$G$4331,'Odoo Items'!$J$5:$J$4331,A1015,'Odoo Items'!$C$5:$C$4331,"&lt;="&amp;Cover!$C$15),2)</f>
        <v>6971.25</v>
      </c>
      <c r="AA1015">
        <f>COUNTIFS('Bank Lines'!$G$5:$G$1640,A1015,'Bank Lines'!$J$5:$J$1640,1,'Bank Lines'!$C$5:$C$1640,"&lt;="&amp;Cover!$C$15)</f>
        <v>1</v>
      </c>
      <c r="AB1015">
        <f>COUNTIFS('Odoo Items'!$J$5:$J$4331,A1015,'Odoo Items'!$C$5:$C$4331,"&lt;="&amp;Cover!$C$15)</f>
        <v>1</v>
      </c>
      <c r="AC1015" t="str">
        <f>IF(AND(AA1015=0,AB1015=0),"",IF(AA1015=0,"ODOO-ONLY",IF(AB1015=0,"BANK-ONLY","BOTH")))</f>
        <v>BOTH</v>
      </c>
      <c r="AD1015" s="9">
        <f>IF(AC1015="BOTH",ROUND(Y1015-Z1015,2),0)</f>
        <v>0</v>
      </c>
    </row>
    <row r="1016">
      <c r="A1016" t="inlineStr">
        <is>
          <t>G01012</t>
        </is>
      </c>
      <c r="B1016" t="inlineStr">
        <is>
          <t>OPS</t>
        </is>
      </c>
      <c r="C1016" t="inlineStr">
        <is>
          <t>R09</t>
        </is>
      </c>
      <c r="D1016" t="inlineStr">
        <is>
          <t>MATCH</t>
        </is>
      </c>
      <c r="E1016" t="inlineStr">
        <is>
          <t>Pellucid Software Pty Ltd</t>
        </is>
      </c>
      <c r="F1016" t="n">
        <v>1</v>
      </c>
      <c r="G1016" t="inlineStr">
        <is>
          <t>Reference INV/2026/03473</t>
        </is>
      </c>
      <c r="H1016">
        <f>COUNTIFS('Bank Lines'!$G$5:$G$1640,A1016,'Bank Lines'!$J$5:$J$1640,1)</f>
        <v>1</v>
      </c>
      <c r="I1016">
        <f>COUNTIFS('Odoo Items'!$J$5:$J$4331,A1016)</f>
        <v>1</v>
      </c>
      <c r="J1016" s="9">
        <f>ROUND(SUMIFS('Bank Lines'!$E$5:$E$1640,'Bank Lines'!$G$5:$G$1640,A1016,'Bank Lines'!$J$5:$J$1640,1),2)</f>
        <v>2117.5</v>
      </c>
      <c r="K1016" s="9">
        <f>ROUND(SUMIFS('Odoo Items'!$G$5:$G$4331,'Odoo Items'!$J$5:$J$4331,A1016),2)</f>
        <v>2117.5</v>
      </c>
      <c r="L1016" s="9">
        <f>ROUND(J1016-K1016,2)</f>
        <v>0</v>
      </c>
      <c r="M1016" s="9">
        <f>ROUND(SUMIFS('Bank Lines'!$E$5:$E$1640,'Bank Lines'!$G$5:$G$1640,A1016,'Bank Lines'!$J$5:$J$1640,1,'Bank Lines'!$C$5:$C$1640,"&lt;="&amp;Cover!$C$13),2)</f>
        <v>0</v>
      </c>
      <c r="N1016" s="9">
        <f>ROUND(SUMIFS('Odoo Items'!$G$5:$G$4331,'Odoo Items'!$J$5:$J$4331,A1016,'Odoo Items'!$C$5:$C$4331,"&lt;="&amp;Cover!$C$13),2)</f>
        <v>0</v>
      </c>
      <c r="O1016">
        <f>COUNTIFS('Bank Lines'!$G$5:$G$1640,A1016,'Bank Lines'!$J$5:$J$1640,1,'Bank Lines'!$C$5:$C$1640,"&lt;="&amp;Cover!$C$13)</f>
        <v>0</v>
      </c>
      <c r="P1016">
        <f>COUNTIFS('Odoo Items'!$J$5:$J$4331,A1016,'Odoo Items'!$C$5:$C$4331,"&lt;="&amp;Cover!$C$13)</f>
        <v>0</v>
      </c>
      <c r="Q1016">
        <f>IF(AND(O1016=0,P1016=0),"",IF(O1016=0,"ODOO-ONLY",IF(P1016=0,"BANK-ONLY","BOTH")))</f>
      </c>
      <c r="R1016" s="9">
        <f>IF(Q1016="BOTH",ROUND(M1016-N1016,2),0)</f>
        <v>0</v>
      </c>
      <c r="S1016" s="9">
        <f>ROUND(SUMIFS('Bank Lines'!$E$5:$E$1640,'Bank Lines'!$G$5:$G$1640,A1016,'Bank Lines'!$J$5:$J$1640,1,'Bank Lines'!$C$5:$C$1640,"&lt;="&amp;Cover!$C$14),2)</f>
        <v>2117.5</v>
      </c>
      <c r="T1016" s="9">
        <f>ROUND(SUMIFS('Odoo Items'!$G$5:$G$4331,'Odoo Items'!$J$5:$J$4331,A1016,'Odoo Items'!$C$5:$C$4331,"&lt;="&amp;Cover!$C$14),2)</f>
        <v>2117.5</v>
      </c>
      <c r="U1016">
        <f>COUNTIFS('Bank Lines'!$G$5:$G$1640,A1016,'Bank Lines'!$J$5:$J$1640,1,'Bank Lines'!$C$5:$C$1640,"&lt;="&amp;Cover!$C$14)</f>
        <v>1</v>
      </c>
      <c r="V1016">
        <f>COUNTIFS('Odoo Items'!$J$5:$J$4331,A1016,'Odoo Items'!$C$5:$C$4331,"&lt;="&amp;Cover!$C$14)</f>
        <v>1</v>
      </c>
      <c r="W1016" t="str">
        <f>IF(AND(U1016=0,V1016=0),"",IF(U1016=0,"ODOO-ONLY",IF(V1016=0,"BANK-ONLY","BOTH")))</f>
        <v>BOTH</v>
      </c>
      <c r="X1016" s="9">
        <f>IF(W1016="BOTH",ROUND(S1016-T1016,2),0)</f>
        <v>0</v>
      </c>
      <c r="Y1016" s="9">
        <f>ROUND(SUMIFS('Bank Lines'!$E$5:$E$1640,'Bank Lines'!$G$5:$G$1640,A1016,'Bank Lines'!$J$5:$J$1640,1,'Bank Lines'!$C$5:$C$1640,"&lt;="&amp;Cover!$C$15),2)</f>
        <v>2117.5</v>
      </c>
      <c r="Z1016" s="9">
        <f>ROUND(SUMIFS('Odoo Items'!$G$5:$G$4331,'Odoo Items'!$J$5:$J$4331,A1016,'Odoo Items'!$C$5:$C$4331,"&lt;="&amp;Cover!$C$15),2)</f>
        <v>2117.5</v>
      </c>
      <c r="AA1016">
        <f>COUNTIFS('Bank Lines'!$G$5:$G$1640,A1016,'Bank Lines'!$J$5:$J$1640,1,'Bank Lines'!$C$5:$C$1640,"&lt;="&amp;Cover!$C$15)</f>
        <v>1</v>
      </c>
      <c r="AB1016">
        <f>COUNTIFS('Odoo Items'!$J$5:$J$4331,A1016,'Odoo Items'!$C$5:$C$4331,"&lt;="&amp;Cover!$C$15)</f>
        <v>1</v>
      </c>
      <c r="AC1016" t="str">
        <f>IF(AND(AA1016=0,AB1016=0),"",IF(AA1016=0,"ODOO-ONLY",IF(AB1016=0,"BANK-ONLY","BOTH")))</f>
        <v>BOTH</v>
      </c>
      <c r="AD1016" s="9">
        <f>IF(AC1016="BOTH",ROUND(Y1016-Z1016,2),0)</f>
        <v>0</v>
      </c>
    </row>
    <row r="1017">
      <c r="A1017" t="inlineStr">
        <is>
          <t>G01013</t>
        </is>
      </c>
      <c r="B1017" t="inlineStr">
        <is>
          <t>OPS</t>
        </is>
      </c>
      <c r="C1017" t="inlineStr">
        <is>
          <t>R09</t>
        </is>
      </c>
      <c r="D1017" t="inlineStr">
        <is>
          <t>MATCH</t>
        </is>
      </c>
      <c r="E1017" t="inlineStr">
        <is>
          <t>Quillon Engineering</t>
        </is>
      </c>
      <c r="F1017" t="n">
        <v>1</v>
      </c>
      <c r="G1017" t="inlineStr">
        <is>
          <t>Reference INV/2026/03478</t>
        </is>
      </c>
      <c r="H1017">
        <f>COUNTIFS('Bank Lines'!$G$5:$G$1640,A1017,'Bank Lines'!$J$5:$J$1640,1)</f>
        <v>1</v>
      </c>
      <c r="I1017">
        <f>COUNTIFS('Odoo Items'!$J$5:$J$4331,A1017)</f>
        <v>1</v>
      </c>
      <c r="J1017" s="9">
        <f>ROUND(SUMIFS('Bank Lines'!$E$5:$E$1640,'Bank Lines'!$G$5:$G$1640,A1017,'Bank Lines'!$J$5:$J$1640,1),2)</f>
        <v>2186.25</v>
      </c>
      <c r="K1017" s="9">
        <f>ROUND(SUMIFS('Odoo Items'!$G$5:$G$4331,'Odoo Items'!$J$5:$J$4331,A1017),2)</f>
        <v>2186.25</v>
      </c>
      <c r="L1017" s="9">
        <f>ROUND(J1017-K1017,2)</f>
        <v>0</v>
      </c>
      <c r="M1017" s="9">
        <f>ROUND(SUMIFS('Bank Lines'!$E$5:$E$1640,'Bank Lines'!$G$5:$G$1640,A1017,'Bank Lines'!$J$5:$J$1640,1,'Bank Lines'!$C$5:$C$1640,"&lt;="&amp;Cover!$C$13),2)</f>
        <v>0</v>
      </c>
      <c r="N1017" s="9">
        <f>ROUND(SUMIFS('Odoo Items'!$G$5:$G$4331,'Odoo Items'!$J$5:$J$4331,A1017,'Odoo Items'!$C$5:$C$4331,"&lt;="&amp;Cover!$C$13),2)</f>
        <v>0</v>
      </c>
      <c r="O1017">
        <f>COUNTIFS('Bank Lines'!$G$5:$G$1640,A1017,'Bank Lines'!$J$5:$J$1640,1,'Bank Lines'!$C$5:$C$1640,"&lt;="&amp;Cover!$C$13)</f>
        <v>0</v>
      </c>
      <c r="P1017">
        <f>COUNTIFS('Odoo Items'!$J$5:$J$4331,A1017,'Odoo Items'!$C$5:$C$4331,"&lt;="&amp;Cover!$C$13)</f>
        <v>0</v>
      </c>
      <c r="Q1017">
        <f>IF(AND(O1017=0,P1017=0),"",IF(O1017=0,"ODOO-ONLY",IF(P1017=0,"BANK-ONLY","BOTH")))</f>
      </c>
      <c r="R1017" s="9">
        <f>IF(Q1017="BOTH",ROUND(M1017-N1017,2),0)</f>
        <v>0</v>
      </c>
      <c r="S1017" s="9">
        <f>ROUND(SUMIFS('Bank Lines'!$E$5:$E$1640,'Bank Lines'!$G$5:$G$1640,A1017,'Bank Lines'!$J$5:$J$1640,1,'Bank Lines'!$C$5:$C$1640,"&lt;="&amp;Cover!$C$14),2)</f>
        <v>2186.25</v>
      </c>
      <c r="T1017" s="9">
        <f>ROUND(SUMIFS('Odoo Items'!$G$5:$G$4331,'Odoo Items'!$J$5:$J$4331,A1017,'Odoo Items'!$C$5:$C$4331,"&lt;="&amp;Cover!$C$14),2)</f>
        <v>2186.25</v>
      </c>
      <c r="U1017">
        <f>COUNTIFS('Bank Lines'!$G$5:$G$1640,A1017,'Bank Lines'!$J$5:$J$1640,1,'Bank Lines'!$C$5:$C$1640,"&lt;="&amp;Cover!$C$14)</f>
        <v>1</v>
      </c>
      <c r="V1017">
        <f>COUNTIFS('Odoo Items'!$J$5:$J$4331,A1017,'Odoo Items'!$C$5:$C$4331,"&lt;="&amp;Cover!$C$14)</f>
        <v>1</v>
      </c>
      <c r="W1017" t="str">
        <f>IF(AND(U1017=0,V1017=0),"",IF(U1017=0,"ODOO-ONLY",IF(V1017=0,"BANK-ONLY","BOTH")))</f>
        <v>BOTH</v>
      </c>
      <c r="X1017" s="9">
        <f>IF(W1017="BOTH",ROUND(S1017-T1017,2),0)</f>
        <v>0</v>
      </c>
      <c r="Y1017" s="9">
        <f>ROUND(SUMIFS('Bank Lines'!$E$5:$E$1640,'Bank Lines'!$G$5:$G$1640,A1017,'Bank Lines'!$J$5:$J$1640,1,'Bank Lines'!$C$5:$C$1640,"&lt;="&amp;Cover!$C$15),2)</f>
        <v>2186.25</v>
      </c>
      <c r="Z1017" s="9">
        <f>ROUND(SUMIFS('Odoo Items'!$G$5:$G$4331,'Odoo Items'!$J$5:$J$4331,A1017,'Odoo Items'!$C$5:$C$4331,"&lt;="&amp;Cover!$C$15),2)</f>
        <v>2186.25</v>
      </c>
      <c r="AA1017">
        <f>COUNTIFS('Bank Lines'!$G$5:$G$1640,A1017,'Bank Lines'!$J$5:$J$1640,1,'Bank Lines'!$C$5:$C$1640,"&lt;="&amp;Cover!$C$15)</f>
        <v>1</v>
      </c>
      <c r="AB1017">
        <f>COUNTIFS('Odoo Items'!$J$5:$J$4331,A1017,'Odoo Items'!$C$5:$C$4331,"&lt;="&amp;Cover!$C$15)</f>
        <v>1</v>
      </c>
      <c r="AC1017" t="str">
        <f>IF(AND(AA1017=0,AB1017=0),"",IF(AA1017=0,"ODOO-ONLY",IF(AB1017=0,"BANK-ONLY","BOTH")))</f>
        <v>BOTH</v>
      </c>
      <c r="AD1017" s="9">
        <f>IF(AC1017="BOTH",ROUND(Y1017-Z1017,2),0)</f>
        <v>0</v>
      </c>
    </row>
    <row r="1018">
      <c r="A1018" t="inlineStr">
        <is>
          <t>G01014</t>
        </is>
      </c>
      <c r="B1018" t="inlineStr">
        <is>
          <t>OPS</t>
        </is>
      </c>
      <c r="C1018" t="inlineStr">
        <is>
          <t>R09</t>
        </is>
      </c>
      <c r="D1018" t="inlineStr">
        <is>
          <t>MATCH</t>
        </is>
      </c>
      <c r="E1018" t="inlineStr">
        <is>
          <t>Northline Injury Claims</t>
        </is>
      </c>
      <c r="F1018" t="n">
        <v>1</v>
      </c>
      <c r="G1018" t="inlineStr">
        <is>
          <t>Reference INV/2026/02491</t>
        </is>
      </c>
      <c r="H1018">
        <f>COUNTIFS('Bank Lines'!$G$5:$G$1640,A1018,'Bank Lines'!$J$5:$J$1640,1)</f>
        <v>1</v>
      </c>
      <c r="I1018">
        <f>COUNTIFS('Odoo Items'!$J$5:$J$4331,A1018)</f>
        <v>1</v>
      </c>
      <c r="J1018" s="9">
        <f>ROUND(SUMIFS('Bank Lines'!$E$5:$E$1640,'Bank Lines'!$G$5:$G$1640,A1018,'Bank Lines'!$J$5:$J$1640,1),2)</f>
        <v>264</v>
      </c>
      <c r="K1018" s="9">
        <f>ROUND(SUMIFS('Odoo Items'!$G$5:$G$4331,'Odoo Items'!$J$5:$J$4331,A1018),2)</f>
        <v>264</v>
      </c>
      <c r="L1018" s="9">
        <f>ROUND(J1018-K1018,2)</f>
        <v>0</v>
      </c>
      <c r="M1018" s="9">
        <f>ROUND(SUMIFS('Bank Lines'!$E$5:$E$1640,'Bank Lines'!$G$5:$G$1640,A1018,'Bank Lines'!$J$5:$J$1640,1,'Bank Lines'!$C$5:$C$1640,"&lt;="&amp;Cover!$C$13),2)</f>
        <v>0</v>
      </c>
      <c r="N1018" s="9">
        <f>ROUND(SUMIFS('Odoo Items'!$G$5:$G$4331,'Odoo Items'!$J$5:$J$4331,A1018,'Odoo Items'!$C$5:$C$4331,"&lt;="&amp;Cover!$C$13),2)</f>
        <v>0</v>
      </c>
      <c r="O1018">
        <f>COUNTIFS('Bank Lines'!$G$5:$G$1640,A1018,'Bank Lines'!$J$5:$J$1640,1,'Bank Lines'!$C$5:$C$1640,"&lt;="&amp;Cover!$C$13)</f>
        <v>0</v>
      </c>
      <c r="P1018">
        <f>COUNTIFS('Odoo Items'!$J$5:$J$4331,A1018,'Odoo Items'!$C$5:$C$4331,"&lt;="&amp;Cover!$C$13)</f>
        <v>0</v>
      </c>
      <c r="Q1018">
        <f>IF(AND(O1018=0,P1018=0),"",IF(O1018=0,"ODOO-ONLY",IF(P1018=0,"BANK-ONLY","BOTH")))</f>
      </c>
      <c r="R1018" s="9">
        <f>IF(Q1018="BOTH",ROUND(M1018-N1018,2),0)</f>
        <v>0</v>
      </c>
      <c r="S1018" s="9">
        <f>ROUND(SUMIFS('Bank Lines'!$E$5:$E$1640,'Bank Lines'!$G$5:$G$1640,A1018,'Bank Lines'!$J$5:$J$1640,1,'Bank Lines'!$C$5:$C$1640,"&lt;="&amp;Cover!$C$14),2)</f>
        <v>264</v>
      </c>
      <c r="T1018" s="9">
        <f>ROUND(SUMIFS('Odoo Items'!$G$5:$G$4331,'Odoo Items'!$J$5:$J$4331,A1018,'Odoo Items'!$C$5:$C$4331,"&lt;="&amp;Cover!$C$14),2)</f>
        <v>264</v>
      </c>
      <c r="U1018">
        <f>COUNTIFS('Bank Lines'!$G$5:$G$1640,A1018,'Bank Lines'!$J$5:$J$1640,1,'Bank Lines'!$C$5:$C$1640,"&lt;="&amp;Cover!$C$14)</f>
        <v>1</v>
      </c>
      <c r="V1018">
        <f>COUNTIFS('Odoo Items'!$J$5:$J$4331,A1018,'Odoo Items'!$C$5:$C$4331,"&lt;="&amp;Cover!$C$14)</f>
        <v>1</v>
      </c>
      <c r="W1018" t="str">
        <f>IF(AND(U1018=0,V1018=0),"",IF(U1018=0,"ODOO-ONLY",IF(V1018=0,"BANK-ONLY","BOTH")))</f>
        <v>BOTH</v>
      </c>
      <c r="X1018" s="9">
        <f>IF(W1018="BOTH",ROUND(S1018-T1018,2),0)</f>
        <v>0</v>
      </c>
      <c r="Y1018" s="9">
        <f>ROUND(SUMIFS('Bank Lines'!$E$5:$E$1640,'Bank Lines'!$G$5:$G$1640,A1018,'Bank Lines'!$J$5:$J$1640,1,'Bank Lines'!$C$5:$C$1640,"&lt;="&amp;Cover!$C$15),2)</f>
        <v>264</v>
      </c>
      <c r="Z1018" s="9">
        <f>ROUND(SUMIFS('Odoo Items'!$G$5:$G$4331,'Odoo Items'!$J$5:$J$4331,A1018,'Odoo Items'!$C$5:$C$4331,"&lt;="&amp;Cover!$C$15),2)</f>
        <v>264</v>
      </c>
      <c r="AA1018">
        <f>COUNTIFS('Bank Lines'!$G$5:$G$1640,A1018,'Bank Lines'!$J$5:$J$1640,1,'Bank Lines'!$C$5:$C$1640,"&lt;="&amp;Cover!$C$15)</f>
        <v>1</v>
      </c>
      <c r="AB1018">
        <f>COUNTIFS('Odoo Items'!$J$5:$J$4331,A1018,'Odoo Items'!$C$5:$C$4331,"&lt;="&amp;Cover!$C$15)</f>
        <v>1</v>
      </c>
      <c r="AC1018" t="str">
        <f>IF(AND(AA1018=0,AB1018=0),"",IF(AA1018=0,"ODOO-ONLY",IF(AB1018=0,"BANK-ONLY","BOTH")))</f>
        <v>BOTH</v>
      </c>
      <c r="AD1018" s="9">
        <f>IF(AC1018="BOTH",ROUND(Y1018-Z1018,2),0)</f>
        <v>0</v>
      </c>
    </row>
    <row r="1019">
      <c r="A1019" t="inlineStr">
        <is>
          <t>G01015</t>
        </is>
      </c>
      <c r="B1019" t="inlineStr">
        <is>
          <t>OPS</t>
        </is>
      </c>
      <c r="C1019" t="inlineStr">
        <is>
          <t>R09</t>
        </is>
      </c>
      <c r="D1019" t="inlineStr">
        <is>
          <t>MATCH</t>
        </is>
      </c>
      <c r="E1019" t="inlineStr">
        <is>
          <t>Meridian Health Cover</t>
        </is>
      </c>
      <c r="F1019" t="n">
        <v>1</v>
      </c>
      <c r="G1019" t="inlineStr">
        <is>
          <t>Reference INV/2026/02461</t>
        </is>
      </c>
      <c r="H1019">
        <f>COUNTIFS('Bank Lines'!$G$5:$G$1640,A1019,'Bank Lines'!$J$5:$J$1640,1)</f>
        <v>1</v>
      </c>
      <c r="I1019">
        <f>COUNTIFS('Odoo Items'!$J$5:$J$4331,A1019)</f>
        <v>1</v>
      </c>
      <c r="J1019" s="9">
        <f>ROUND(SUMIFS('Bank Lines'!$E$5:$E$1640,'Bank Lines'!$G$5:$G$1640,A1019,'Bank Lines'!$J$5:$J$1640,1),2)</f>
        <v>88</v>
      </c>
      <c r="K1019" s="9">
        <f>ROUND(SUMIFS('Odoo Items'!$G$5:$G$4331,'Odoo Items'!$J$5:$J$4331,A1019),2)</f>
        <v>88</v>
      </c>
      <c r="L1019" s="9">
        <f>ROUND(J1019-K1019,2)</f>
        <v>0</v>
      </c>
      <c r="M1019" s="9">
        <f>ROUND(SUMIFS('Bank Lines'!$E$5:$E$1640,'Bank Lines'!$G$5:$G$1640,A1019,'Bank Lines'!$J$5:$J$1640,1,'Bank Lines'!$C$5:$C$1640,"&lt;="&amp;Cover!$C$13),2)</f>
        <v>0</v>
      </c>
      <c r="N1019" s="9">
        <f>ROUND(SUMIFS('Odoo Items'!$G$5:$G$4331,'Odoo Items'!$J$5:$J$4331,A1019,'Odoo Items'!$C$5:$C$4331,"&lt;="&amp;Cover!$C$13),2)</f>
        <v>0</v>
      </c>
      <c r="O1019">
        <f>COUNTIFS('Bank Lines'!$G$5:$G$1640,A1019,'Bank Lines'!$J$5:$J$1640,1,'Bank Lines'!$C$5:$C$1640,"&lt;="&amp;Cover!$C$13)</f>
        <v>0</v>
      </c>
      <c r="P1019">
        <f>COUNTIFS('Odoo Items'!$J$5:$J$4331,A1019,'Odoo Items'!$C$5:$C$4331,"&lt;="&amp;Cover!$C$13)</f>
        <v>0</v>
      </c>
      <c r="Q1019">
        <f>IF(AND(O1019=0,P1019=0),"",IF(O1019=0,"ODOO-ONLY",IF(P1019=0,"BANK-ONLY","BOTH")))</f>
      </c>
      <c r="R1019" s="9">
        <f>IF(Q1019="BOTH",ROUND(M1019-N1019,2),0)</f>
        <v>0</v>
      </c>
      <c r="S1019" s="9">
        <f>ROUND(SUMIFS('Bank Lines'!$E$5:$E$1640,'Bank Lines'!$G$5:$G$1640,A1019,'Bank Lines'!$J$5:$J$1640,1,'Bank Lines'!$C$5:$C$1640,"&lt;="&amp;Cover!$C$14),2)</f>
        <v>88</v>
      </c>
      <c r="T1019" s="9">
        <f>ROUND(SUMIFS('Odoo Items'!$G$5:$G$4331,'Odoo Items'!$J$5:$J$4331,A1019,'Odoo Items'!$C$5:$C$4331,"&lt;="&amp;Cover!$C$14),2)</f>
        <v>88</v>
      </c>
      <c r="U1019">
        <f>COUNTIFS('Bank Lines'!$G$5:$G$1640,A1019,'Bank Lines'!$J$5:$J$1640,1,'Bank Lines'!$C$5:$C$1640,"&lt;="&amp;Cover!$C$14)</f>
        <v>1</v>
      </c>
      <c r="V1019">
        <f>COUNTIFS('Odoo Items'!$J$5:$J$4331,A1019,'Odoo Items'!$C$5:$C$4331,"&lt;="&amp;Cover!$C$14)</f>
        <v>1</v>
      </c>
      <c r="W1019" t="str">
        <f>IF(AND(U1019=0,V1019=0),"",IF(U1019=0,"ODOO-ONLY",IF(V1019=0,"BANK-ONLY","BOTH")))</f>
        <v>BOTH</v>
      </c>
      <c r="X1019" s="9">
        <f>IF(W1019="BOTH",ROUND(S1019-T1019,2),0)</f>
        <v>0</v>
      </c>
      <c r="Y1019" s="9">
        <f>ROUND(SUMIFS('Bank Lines'!$E$5:$E$1640,'Bank Lines'!$G$5:$G$1640,A1019,'Bank Lines'!$J$5:$J$1640,1,'Bank Lines'!$C$5:$C$1640,"&lt;="&amp;Cover!$C$15),2)</f>
        <v>88</v>
      </c>
      <c r="Z1019" s="9">
        <f>ROUND(SUMIFS('Odoo Items'!$G$5:$G$4331,'Odoo Items'!$J$5:$J$4331,A1019,'Odoo Items'!$C$5:$C$4331,"&lt;="&amp;Cover!$C$15),2)</f>
        <v>88</v>
      </c>
      <c r="AA1019">
        <f>COUNTIFS('Bank Lines'!$G$5:$G$1640,A1019,'Bank Lines'!$J$5:$J$1640,1,'Bank Lines'!$C$5:$C$1640,"&lt;="&amp;Cover!$C$15)</f>
        <v>1</v>
      </c>
      <c r="AB1019">
        <f>COUNTIFS('Odoo Items'!$J$5:$J$4331,A1019,'Odoo Items'!$C$5:$C$4331,"&lt;="&amp;Cover!$C$15)</f>
        <v>1</v>
      </c>
      <c r="AC1019" t="str">
        <f>IF(AND(AA1019=0,AB1019=0),"",IF(AA1019=0,"ODOO-ONLY",IF(AB1019=0,"BANK-ONLY","BOTH")))</f>
        <v>BOTH</v>
      </c>
      <c r="AD1019" s="9">
        <f>IF(AC1019="BOTH",ROUND(Y1019-Z1019,2),0)</f>
        <v>0</v>
      </c>
    </row>
    <row r="1020">
      <c r="A1020" t="inlineStr">
        <is>
          <t>G01016</t>
        </is>
      </c>
      <c r="B1020" t="inlineStr">
        <is>
          <t>OPS</t>
        </is>
      </c>
      <c r="C1020" t="inlineStr">
        <is>
          <t>R09</t>
        </is>
      </c>
      <c r="D1020" t="inlineStr">
        <is>
          <t>MATCH</t>
        </is>
      </c>
      <c r="E1020" t="inlineStr">
        <is>
          <t>Northline Injury Claims</t>
        </is>
      </c>
      <c r="F1020" t="n">
        <v>1</v>
      </c>
      <c r="G1020" t="inlineStr">
        <is>
          <t>Reference INV/2026/02441</t>
        </is>
      </c>
      <c r="H1020">
        <f>COUNTIFS('Bank Lines'!$G$5:$G$1640,A1020,'Bank Lines'!$J$5:$J$1640,1)</f>
        <v>1</v>
      </c>
      <c r="I1020">
        <f>COUNTIFS('Odoo Items'!$J$5:$J$4331,A1020)</f>
        <v>1</v>
      </c>
      <c r="J1020" s="9">
        <f>ROUND(SUMIFS('Bank Lines'!$E$5:$E$1640,'Bank Lines'!$G$5:$G$1640,A1020,'Bank Lines'!$J$5:$J$1640,1),2)</f>
        <v>990</v>
      </c>
      <c r="K1020" s="9">
        <f>ROUND(SUMIFS('Odoo Items'!$G$5:$G$4331,'Odoo Items'!$J$5:$J$4331,A1020),2)</f>
        <v>990</v>
      </c>
      <c r="L1020" s="9">
        <f>ROUND(J1020-K1020,2)</f>
        <v>0</v>
      </c>
      <c r="M1020" s="9">
        <f>ROUND(SUMIFS('Bank Lines'!$E$5:$E$1640,'Bank Lines'!$G$5:$G$1640,A1020,'Bank Lines'!$J$5:$J$1640,1,'Bank Lines'!$C$5:$C$1640,"&lt;="&amp;Cover!$C$13),2)</f>
        <v>0</v>
      </c>
      <c r="N1020" s="9">
        <f>ROUND(SUMIFS('Odoo Items'!$G$5:$G$4331,'Odoo Items'!$J$5:$J$4331,A1020,'Odoo Items'!$C$5:$C$4331,"&lt;="&amp;Cover!$C$13),2)</f>
        <v>0</v>
      </c>
      <c r="O1020">
        <f>COUNTIFS('Bank Lines'!$G$5:$G$1640,A1020,'Bank Lines'!$J$5:$J$1640,1,'Bank Lines'!$C$5:$C$1640,"&lt;="&amp;Cover!$C$13)</f>
        <v>0</v>
      </c>
      <c r="P1020">
        <f>COUNTIFS('Odoo Items'!$J$5:$J$4331,A1020,'Odoo Items'!$C$5:$C$4331,"&lt;="&amp;Cover!$C$13)</f>
        <v>0</v>
      </c>
      <c r="Q1020">
        <f>IF(AND(O1020=0,P1020=0),"",IF(O1020=0,"ODOO-ONLY",IF(P1020=0,"BANK-ONLY","BOTH")))</f>
      </c>
      <c r="R1020" s="9">
        <f>IF(Q1020="BOTH",ROUND(M1020-N1020,2),0)</f>
        <v>0</v>
      </c>
      <c r="S1020" s="9">
        <f>ROUND(SUMIFS('Bank Lines'!$E$5:$E$1640,'Bank Lines'!$G$5:$G$1640,A1020,'Bank Lines'!$J$5:$J$1640,1,'Bank Lines'!$C$5:$C$1640,"&lt;="&amp;Cover!$C$14),2)</f>
        <v>990</v>
      </c>
      <c r="T1020" s="9">
        <f>ROUND(SUMIFS('Odoo Items'!$G$5:$G$4331,'Odoo Items'!$J$5:$J$4331,A1020,'Odoo Items'!$C$5:$C$4331,"&lt;="&amp;Cover!$C$14),2)</f>
        <v>990</v>
      </c>
      <c r="U1020">
        <f>COUNTIFS('Bank Lines'!$G$5:$G$1640,A1020,'Bank Lines'!$J$5:$J$1640,1,'Bank Lines'!$C$5:$C$1640,"&lt;="&amp;Cover!$C$14)</f>
        <v>1</v>
      </c>
      <c r="V1020">
        <f>COUNTIFS('Odoo Items'!$J$5:$J$4331,A1020,'Odoo Items'!$C$5:$C$4331,"&lt;="&amp;Cover!$C$14)</f>
        <v>1</v>
      </c>
      <c r="W1020" t="str">
        <f>IF(AND(U1020=0,V1020=0),"",IF(U1020=0,"ODOO-ONLY",IF(V1020=0,"BANK-ONLY","BOTH")))</f>
        <v>BOTH</v>
      </c>
      <c r="X1020" s="9">
        <f>IF(W1020="BOTH",ROUND(S1020-T1020,2),0)</f>
        <v>0</v>
      </c>
      <c r="Y1020" s="9">
        <f>ROUND(SUMIFS('Bank Lines'!$E$5:$E$1640,'Bank Lines'!$G$5:$G$1640,A1020,'Bank Lines'!$J$5:$J$1640,1,'Bank Lines'!$C$5:$C$1640,"&lt;="&amp;Cover!$C$15),2)</f>
        <v>990</v>
      </c>
      <c r="Z1020" s="9">
        <f>ROUND(SUMIFS('Odoo Items'!$G$5:$G$4331,'Odoo Items'!$J$5:$J$4331,A1020,'Odoo Items'!$C$5:$C$4331,"&lt;="&amp;Cover!$C$15),2)</f>
        <v>990</v>
      </c>
      <c r="AA1020">
        <f>COUNTIFS('Bank Lines'!$G$5:$G$1640,A1020,'Bank Lines'!$J$5:$J$1640,1,'Bank Lines'!$C$5:$C$1640,"&lt;="&amp;Cover!$C$15)</f>
        <v>1</v>
      </c>
      <c r="AB1020">
        <f>COUNTIFS('Odoo Items'!$J$5:$J$4331,A1020,'Odoo Items'!$C$5:$C$4331,"&lt;="&amp;Cover!$C$15)</f>
        <v>1</v>
      </c>
      <c r="AC1020" t="str">
        <f>IF(AND(AA1020=0,AB1020=0),"",IF(AA1020=0,"ODOO-ONLY",IF(AB1020=0,"BANK-ONLY","BOTH")))</f>
        <v>BOTH</v>
      </c>
      <c r="AD1020" s="9">
        <f>IF(AC1020="BOTH",ROUND(Y1020-Z1020,2),0)</f>
        <v>0</v>
      </c>
    </row>
    <row r="1021">
      <c r="A1021" t="inlineStr">
        <is>
          <t>G01017</t>
        </is>
      </c>
      <c r="B1021" t="inlineStr">
        <is>
          <t>OPS</t>
        </is>
      </c>
      <c r="C1021" t="inlineStr">
        <is>
          <t>R09</t>
        </is>
      </c>
      <c r="D1021" t="inlineStr">
        <is>
          <t>MATCH</t>
        </is>
      </c>
      <c r="E1021" t="inlineStr">
        <is>
          <t>Meridian Health Cover</t>
        </is>
      </c>
      <c r="F1021" t="n">
        <v>1</v>
      </c>
      <c r="G1021" t="inlineStr">
        <is>
          <t>Reference INV/2026/02657</t>
        </is>
      </c>
      <c r="H1021">
        <f>COUNTIFS('Bank Lines'!$G$5:$G$1640,A1021,'Bank Lines'!$J$5:$J$1640,1)</f>
        <v>1</v>
      </c>
      <c r="I1021">
        <f>COUNTIFS('Odoo Items'!$J$5:$J$4331,A1021)</f>
        <v>1</v>
      </c>
      <c r="J1021" s="9">
        <f>ROUND(SUMIFS('Bank Lines'!$E$5:$E$1640,'Bank Lines'!$G$5:$G$1640,A1021,'Bank Lines'!$J$5:$J$1640,1),2)</f>
        <v>264</v>
      </c>
      <c r="K1021" s="9">
        <f>ROUND(SUMIFS('Odoo Items'!$G$5:$G$4331,'Odoo Items'!$J$5:$J$4331,A1021),2)</f>
        <v>264</v>
      </c>
      <c r="L1021" s="9">
        <f>ROUND(J1021-K1021,2)</f>
        <v>0</v>
      </c>
      <c r="M1021" s="9">
        <f>ROUND(SUMIFS('Bank Lines'!$E$5:$E$1640,'Bank Lines'!$G$5:$G$1640,A1021,'Bank Lines'!$J$5:$J$1640,1,'Bank Lines'!$C$5:$C$1640,"&lt;="&amp;Cover!$C$13),2)</f>
        <v>0</v>
      </c>
      <c r="N1021" s="9">
        <f>ROUND(SUMIFS('Odoo Items'!$G$5:$G$4331,'Odoo Items'!$J$5:$J$4331,A1021,'Odoo Items'!$C$5:$C$4331,"&lt;="&amp;Cover!$C$13),2)</f>
        <v>0</v>
      </c>
      <c r="O1021">
        <f>COUNTIFS('Bank Lines'!$G$5:$G$1640,A1021,'Bank Lines'!$J$5:$J$1640,1,'Bank Lines'!$C$5:$C$1640,"&lt;="&amp;Cover!$C$13)</f>
        <v>0</v>
      </c>
      <c r="P1021">
        <f>COUNTIFS('Odoo Items'!$J$5:$J$4331,A1021,'Odoo Items'!$C$5:$C$4331,"&lt;="&amp;Cover!$C$13)</f>
        <v>0</v>
      </c>
      <c r="Q1021">
        <f>IF(AND(O1021=0,P1021=0),"",IF(O1021=0,"ODOO-ONLY",IF(P1021=0,"BANK-ONLY","BOTH")))</f>
      </c>
      <c r="R1021" s="9">
        <f>IF(Q1021="BOTH",ROUND(M1021-N1021,2),0)</f>
        <v>0</v>
      </c>
      <c r="S1021" s="9">
        <f>ROUND(SUMIFS('Bank Lines'!$E$5:$E$1640,'Bank Lines'!$G$5:$G$1640,A1021,'Bank Lines'!$J$5:$J$1640,1,'Bank Lines'!$C$5:$C$1640,"&lt;="&amp;Cover!$C$14),2)</f>
        <v>264</v>
      </c>
      <c r="T1021" s="9">
        <f>ROUND(SUMIFS('Odoo Items'!$G$5:$G$4331,'Odoo Items'!$J$5:$J$4331,A1021,'Odoo Items'!$C$5:$C$4331,"&lt;="&amp;Cover!$C$14),2)</f>
        <v>264</v>
      </c>
      <c r="U1021">
        <f>COUNTIFS('Bank Lines'!$G$5:$G$1640,A1021,'Bank Lines'!$J$5:$J$1640,1,'Bank Lines'!$C$5:$C$1640,"&lt;="&amp;Cover!$C$14)</f>
        <v>1</v>
      </c>
      <c r="V1021">
        <f>COUNTIFS('Odoo Items'!$J$5:$J$4331,A1021,'Odoo Items'!$C$5:$C$4331,"&lt;="&amp;Cover!$C$14)</f>
        <v>1</v>
      </c>
      <c r="W1021" t="str">
        <f>IF(AND(U1021=0,V1021=0),"",IF(U1021=0,"ODOO-ONLY",IF(V1021=0,"BANK-ONLY","BOTH")))</f>
        <v>BOTH</v>
      </c>
      <c r="X1021" s="9">
        <f>IF(W1021="BOTH",ROUND(S1021-T1021,2),0)</f>
        <v>0</v>
      </c>
      <c r="Y1021" s="9">
        <f>ROUND(SUMIFS('Bank Lines'!$E$5:$E$1640,'Bank Lines'!$G$5:$G$1640,A1021,'Bank Lines'!$J$5:$J$1640,1,'Bank Lines'!$C$5:$C$1640,"&lt;="&amp;Cover!$C$15),2)</f>
        <v>264</v>
      </c>
      <c r="Z1021" s="9">
        <f>ROUND(SUMIFS('Odoo Items'!$G$5:$G$4331,'Odoo Items'!$J$5:$J$4331,A1021,'Odoo Items'!$C$5:$C$4331,"&lt;="&amp;Cover!$C$15),2)</f>
        <v>264</v>
      </c>
      <c r="AA1021">
        <f>COUNTIFS('Bank Lines'!$G$5:$G$1640,A1021,'Bank Lines'!$J$5:$J$1640,1,'Bank Lines'!$C$5:$C$1640,"&lt;="&amp;Cover!$C$15)</f>
        <v>1</v>
      </c>
      <c r="AB1021">
        <f>COUNTIFS('Odoo Items'!$J$5:$J$4331,A1021,'Odoo Items'!$C$5:$C$4331,"&lt;="&amp;Cover!$C$15)</f>
        <v>1</v>
      </c>
      <c r="AC1021" t="str">
        <f>IF(AND(AA1021=0,AB1021=0),"",IF(AA1021=0,"ODOO-ONLY",IF(AB1021=0,"BANK-ONLY","BOTH")))</f>
        <v>BOTH</v>
      </c>
      <c r="AD1021" s="9">
        <f>IF(AC1021="BOTH",ROUND(Y1021-Z1021,2),0)</f>
        <v>0</v>
      </c>
    </row>
    <row r="1022">
      <c r="A1022" t="inlineStr">
        <is>
          <t>G01018</t>
        </is>
      </c>
      <c r="B1022" t="inlineStr">
        <is>
          <t>OPS</t>
        </is>
      </c>
      <c r="C1022" t="inlineStr">
        <is>
          <t>R09</t>
        </is>
      </c>
      <c r="D1022" t="inlineStr">
        <is>
          <t>MATCH</t>
        </is>
      </c>
      <c r="E1022" t="inlineStr">
        <is>
          <t>Calder Freight Group</t>
        </is>
      </c>
      <c r="F1022" t="n">
        <v>1</v>
      </c>
      <c r="G1022" t="inlineStr">
        <is>
          <t>Reference INV/2026/03470</t>
        </is>
      </c>
      <c r="H1022">
        <f>COUNTIFS('Bank Lines'!$G$5:$G$1640,A1022,'Bank Lines'!$J$5:$J$1640,1)</f>
        <v>1</v>
      </c>
      <c r="I1022">
        <f>COUNTIFS('Odoo Items'!$J$5:$J$4331,A1022)</f>
        <v>1</v>
      </c>
      <c r="J1022" s="9">
        <f>ROUND(SUMIFS('Bank Lines'!$E$5:$E$1640,'Bank Lines'!$G$5:$G$1640,A1022,'Bank Lines'!$J$5:$J$1640,1),2)</f>
        <v>2791.25</v>
      </c>
      <c r="K1022" s="9">
        <f>ROUND(SUMIFS('Odoo Items'!$G$5:$G$4331,'Odoo Items'!$J$5:$J$4331,A1022),2)</f>
        <v>2791.25</v>
      </c>
      <c r="L1022" s="9">
        <f>ROUND(J1022-K1022,2)</f>
        <v>0</v>
      </c>
      <c r="M1022" s="9">
        <f>ROUND(SUMIFS('Bank Lines'!$E$5:$E$1640,'Bank Lines'!$G$5:$G$1640,A1022,'Bank Lines'!$J$5:$J$1640,1,'Bank Lines'!$C$5:$C$1640,"&lt;="&amp;Cover!$C$13),2)</f>
        <v>0</v>
      </c>
      <c r="N1022" s="9">
        <f>ROUND(SUMIFS('Odoo Items'!$G$5:$G$4331,'Odoo Items'!$J$5:$J$4331,A1022,'Odoo Items'!$C$5:$C$4331,"&lt;="&amp;Cover!$C$13),2)</f>
        <v>0</v>
      </c>
      <c r="O1022">
        <f>COUNTIFS('Bank Lines'!$G$5:$G$1640,A1022,'Bank Lines'!$J$5:$J$1640,1,'Bank Lines'!$C$5:$C$1640,"&lt;="&amp;Cover!$C$13)</f>
        <v>0</v>
      </c>
      <c r="P1022">
        <f>COUNTIFS('Odoo Items'!$J$5:$J$4331,A1022,'Odoo Items'!$C$5:$C$4331,"&lt;="&amp;Cover!$C$13)</f>
        <v>0</v>
      </c>
      <c r="Q1022">
        <f>IF(AND(O1022=0,P1022=0),"",IF(O1022=0,"ODOO-ONLY",IF(P1022=0,"BANK-ONLY","BOTH")))</f>
      </c>
      <c r="R1022" s="9">
        <f>IF(Q1022="BOTH",ROUND(M1022-N1022,2),0)</f>
        <v>0</v>
      </c>
      <c r="S1022" s="9">
        <f>ROUND(SUMIFS('Bank Lines'!$E$5:$E$1640,'Bank Lines'!$G$5:$G$1640,A1022,'Bank Lines'!$J$5:$J$1640,1,'Bank Lines'!$C$5:$C$1640,"&lt;="&amp;Cover!$C$14),2)</f>
        <v>2791.25</v>
      </c>
      <c r="T1022" s="9">
        <f>ROUND(SUMIFS('Odoo Items'!$G$5:$G$4331,'Odoo Items'!$J$5:$J$4331,A1022,'Odoo Items'!$C$5:$C$4331,"&lt;="&amp;Cover!$C$14),2)</f>
        <v>2791.25</v>
      </c>
      <c r="U1022">
        <f>COUNTIFS('Bank Lines'!$G$5:$G$1640,A1022,'Bank Lines'!$J$5:$J$1640,1,'Bank Lines'!$C$5:$C$1640,"&lt;="&amp;Cover!$C$14)</f>
        <v>1</v>
      </c>
      <c r="V1022">
        <f>COUNTIFS('Odoo Items'!$J$5:$J$4331,A1022,'Odoo Items'!$C$5:$C$4331,"&lt;="&amp;Cover!$C$14)</f>
        <v>1</v>
      </c>
      <c r="W1022" t="str">
        <f>IF(AND(U1022=0,V1022=0),"",IF(U1022=0,"ODOO-ONLY",IF(V1022=0,"BANK-ONLY","BOTH")))</f>
        <v>BOTH</v>
      </c>
      <c r="X1022" s="9">
        <f>IF(W1022="BOTH",ROUND(S1022-T1022,2),0)</f>
        <v>0</v>
      </c>
      <c r="Y1022" s="9">
        <f>ROUND(SUMIFS('Bank Lines'!$E$5:$E$1640,'Bank Lines'!$G$5:$G$1640,A1022,'Bank Lines'!$J$5:$J$1640,1,'Bank Lines'!$C$5:$C$1640,"&lt;="&amp;Cover!$C$15),2)</f>
        <v>2791.25</v>
      </c>
      <c r="Z1022" s="9">
        <f>ROUND(SUMIFS('Odoo Items'!$G$5:$G$4331,'Odoo Items'!$J$5:$J$4331,A1022,'Odoo Items'!$C$5:$C$4331,"&lt;="&amp;Cover!$C$15),2)</f>
        <v>2791.25</v>
      </c>
      <c r="AA1022">
        <f>COUNTIFS('Bank Lines'!$G$5:$G$1640,A1022,'Bank Lines'!$J$5:$J$1640,1,'Bank Lines'!$C$5:$C$1640,"&lt;="&amp;Cover!$C$15)</f>
        <v>1</v>
      </c>
      <c r="AB1022">
        <f>COUNTIFS('Odoo Items'!$J$5:$J$4331,A1022,'Odoo Items'!$C$5:$C$4331,"&lt;="&amp;Cover!$C$15)</f>
        <v>1</v>
      </c>
      <c r="AC1022" t="str">
        <f>IF(AND(AA1022=0,AB1022=0),"",IF(AA1022=0,"ODOO-ONLY",IF(AB1022=0,"BANK-ONLY","BOTH")))</f>
        <v>BOTH</v>
      </c>
      <c r="AD1022" s="9">
        <f>IF(AC1022="BOTH",ROUND(Y1022-Z1022,2),0)</f>
        <v>0</v>
      </c>
    </row>
    <row r="1023">
      <c r="A1023" t="inlineStr">
        <is>
          <t>G01019</t>
        </is>
      </c>
      <c r="B1023" t="inlineStr">
        <is>
          <t>OPS</t>
        </is>
      </c>
      <c r="C1023" t="inlineStr">
        <is>
          <t>R09</t>
        </is>
      </c>
      <c r="D1023" t="inlineStr">
        <is>
          <t>MATCH</t>
        </is>
      </c>
      <c r="E1023" t="inlineStr">
        <is>
          <t>Harbour Mutual Health</t>
        </is>
      </c>
      <c r="F1023" t="n">
        <v>1</v>
      </c>
      <c r="G1023" t="inlineStr">
        <is>
          <t>Reference INV/2026/02708</t>
        </is>
      </c>
      <c r="H1023">
        <f>COUNTIFS('Bank Lines'!$G$5:$G$1640,A1023,'Bank Lines'!$J$5:$J$1640,1)</f>
        <v>1</v>
      </c>
      <c r="I1023">
        <f>COUNTIFS('Odoo Items'!$J$5:$J$4331,A1023)</f>
        <v>1</v>
      </c>
      <c r="J1023" s="9">
        <f>ROUND(SUMIFS('Bank Lines'!$E$5:$E$1640,'Bank Lines'!$G$5:$G$1640,A1023,'Bank Lines'!$J$5:$J$1640,1),2)</f>
        <v>990</v>
      </c>
      <c r="K1023" s="9">
        <f>ROUND(SUMIFS('Odoo Items'!$G$5:$G$4331,'Odoo Items'!$J$5:$J$4331,A1023),2)</f>
        <v>990</v>
      </c>
      <c r="L1023" s="9">
        <f>ROUND(J1023-K1023,2)</f>
        <v>0</v>
      </c>
      <c r="M1023" s="9">
        <f>ROUND(SUMIFS('Bank Lines'!$E$5:$E$1640,'Bank Lines'!$G$5:$G$1640,A1023,'Bank Lines'!$J$5:$J$1640,1,'Bank Lines'!$C$5:$C$1640,"&lt;="&amp;Cover!$C$13),2)</f>
        <v>0</v>
      </c>
      <c r="N1023" s="9">
        <f>ROUND(SUMIFS('Odoo Items'!$G$5:$G$4331,'Odoo Items'!$J$5:$J$4331,A1023,'Odoo Items'!$C$5:$C$4331,"&lt;="&amp;Cover!$C$13),2)</f>
        <v>0</v>
      </c>
      <c r="O1023">
        <f>COUNTIFS('Bank Lines'!$G$5:$G$1640,A1023,'Bank Lines'!$J$5:$J$1640,1,'Bank Lines'!$C$5:$C$1640,"&lt;="&amp;Cover!$C$13)</f>
        <v>0</v>
      </c>
      <c r="P1023">
        <f>COUNTIFS('Odoo Items'!$J$5:$J$4331,A1023,'Odoo Items'!$C$5:$C$4331,"&lt;="&amp;Cover!$C$13)</f>
        <v>0</v>
      </c>
      <c r="Q1023">
        <f>IF(AND(O1023=0,P1023=0),"",IF(O1023=0,"ODOO-ONLY",IF(P1023=0,"BANK-ONLY","BOTH")))</f>
      </c>
      <c r="R1023" s="9">
        <f>IF(Q1023="BOTH",ROUND(M1023-N1023,2),0)</f>
        <v>0</v>
      </c>
      <c r="S1023" s="9">
        <f>ROUND(SUMIFS('Bank Lines'!$E$5:$E$1640,'Bank Lines'!$G$5:$G$1640,A1023,'Bank Lines'!$J$5:$J$1640,1,'Bank Lines'!$C$5:$C$1640,"&lt;="&amp;Cover!$C$14),2)</f>
        <v>990</v>
      </c>
      <c r="T1023" s="9">
        <f>ROUND(SUMIFS('Odoo Items'!$G$5:$G$4331,'Odoo Items'!$J$5:$J$4331,A1023,'Odoo Items'!$C$5:$C$4331,"&lt;="&amp;Cover!$C$14),2)</f>
        <v>990</v>
      </c>
      <c r="U1023">
        <f>COUNTIFS('Bank Lines'!$G$5:$G$1640,A1023,'Bank Lines'!$J$5:$J$1640,1,'Bank Lines'!$C$5:$C$1640,"&lt;="&amp;Cover!$C$14)</f>
        <v>1</v>
      </c>
      <c r="V1023">
        <f>COUNTIFS('Odoo Items'!$J$5:$J$4331,A1023,'Odoo Items'!$C$5:$C$4331,"&lt;="&amp;Cover!$C$14)</f>
        <v>1</v>
      </c>
      <c r="W1023" t="str">
        <f>IF(AND(U1023=0,V1023=0),"",IF(U1023=0,"ODOO-ONLY",IF(V1023=0,"BANK-ONLY","BOTH")))</f>
        <v>BOTH</v>
      </c>
      <c r="X1023" s="9">
        <f>IF(W1023="BOTH",ROUND(S1023-T1023,2),0)</f>
        <v>0</v>
      </c>
      <c r="Y1023" s="9">
        <f>ROUND(SUMIFS('Bank Lines'!$E$5:$E$1640,'Bank Lines'!$G$5:$G$1640,A1023,'Bank Lines'!$J$5:$J$1640,1,'Bank Lines'!$C$5:$C$1640,"&lt;="&amp;Cover!$C$15),2)</f>
        <v>990</v>
      </c>
      <c r="Z1023" s="9">
        <f>ROUND(SUMIFS('Odoo Items'!$G$5:$G$4331,'Odoo Items'!$J$5:$J$4331,A1023,'Odoo Items'!$C$5:$C$4331,"&lt;="&amp;Cover!$C$15),2)</f>
        <v>990</v>
      </c>
      <c r="AA1023">
        <f>COUNTIFS('Bank Lines'!$G$5:$G$1640,A1023,'Bank Lines'!$J$5:$J$1640,1,'Bank Lines'!$C$5:$C$1640,"&lt;="&amp;Cover!$C$15)</f>
        <v>1</v>
      </c>
      <c r="AB1023">
        <f>COUNTIFS('Odoo Items'!$J$5:$J$4331,A1023,'Odoo Items'!$C$5:$C$4331,"&lt;="&amp;Cover!$C$15)</f>
        <v>1</v>
      </c>
      <c r="AC1023" t="str">
        <f>IF(AND(AA1023=0,AB1023=0),"",IF(AA1023=0,"ODOO-ONLY",IF(AB1023=0,"BANK-ONLY","BOTH")))</f>
        <v>BOTH</v>
      </c>
      <c r="AD1023" s="9">
        <f>IF(AC1023="BOTH",ROUND(Y1023-Z1023,2),0)</f>
        <v>0</v>
      </c>
    </row>
    <row r="1024">
      <c r="A1024" t="inlineStr">
        <is>
          <t>G01020</t>
        </is>
      </c>
      <c r="B1024" t="inlineStr">
        <is>
          <t>OPS</t>
        </is>
      </c>
      <c r="C1024" t="inlineStr">
        <is>
          <t>R09</t>
        </is>
      </c>
      <c r="D1024" t="inlineStr">
        <is>
          <t>MATCH</t>
        </is>
      </c>
      <c r="E1024" t="inlineStr">
        <is>
          <t>Northline Injury Claims</t>
        </is>
      </c>
      <c r="F1024" t="n">
        <v>1</v>
      </c>
      <c r="G1024" t="inlineStr">
        <is>
          <t>Reference INV/2026/02580</t>
        </is>
      </c>
      <c r="H1024">
        <f>COUNTIFS('Bank Lines'!$G$5:$G$1640,A1024,'Bank Lines'!$J$5:$J$1640,1)</f>
        <v>1</v>
      </c>
      <c r="I1024">
        <f>COUNTIFS('Odoo Items'!$J$5:$J$4331,A1024)</f>
        <v>1</v>
      </c>
      <c r="J1024" s="9">
        <f>ROUND(SUMIFS('Bank Lines'!$E$5:$E$1640,'Bank Lines'!$G$5:$G$1640,A1024,'Bank Lines'!$J$5:$J$1640,1),2)</f>
        <v>88</v>
      </c>
      <c r="K1024" s="9">
        <f>ROUND(SUMIFS('Odoo Items'!$G$5:$G$4331,'Odoo Items'!$J$5:$J$4331,A1024),2)</f>
        <v>88</v>
      </c>
      <c r="L1024" s="9">
        <f>ROUND(J1024-K1024,2)</f>
        <v>0</v>
      </c>
      <c r="M1024" s="9">
        <f>ROUND(SUMIFS('Bank Lines'!$E$5:$E$1640,'Bank Lines'!$G$5:$G$1640,A1024,'Bank Lines'!$J$5:$J$1640,1,'Bank Lines'!$C$5:$C$1640,"&lt;="&amp;Cover!$C$13),2)</f>
        <v>0</v>
      </c>
      <c r="N1024" s="9">
        <f>ROUND(SUMIFS('Odoo Items'!$G$5:$G$4331,'Odoo Items'!$J$5:$J$4331,A1024,'Odoo Items'!$C$5:$C$4331,"&lt;="&amp;Cover!$C$13),2)</f>
        <v>0</v>
      </c>
      <c r="O1024">
        <f>COUNTIFS('Bank Lines'!$G$5:$G$1640,A1024,'Bank Lines'!$J$5:$J$1640,1,'Bank Lines'!$C$5:$C$1640,"&lt;="&amp;Cover!$C$13)</f>
        <v>0</v>
      </c>
      <c r="P1024">
        <f>COUNTIFS('Odoo Items'!$J$5:$J$4331,A1024,'Odoo Items'!$C$5:$C$4331,"&lt;="&amp;Cover!$C$13)</f>
        <v>0</v>
      </c>
      <c r="Q1024">
        <f>IF(AND(O1024=0,P1024=0),"",IF(O1024=0,"ODOO-ONLY",IF(P1024=0,"BANK-ONLY","BOTH")))</f>
      </c>
      <c r="R1024" s="9">
        <f>IF(Q1024="BOTH",ROUND(M1024-N1024,2),0)</f>
        <v>0</v>
      </c>
      <c r="S1024" s="9">
        <f>ROUND(SUMIFS('Bank Lines'!$E$5:$E$1640,'Bank Lines'!$G$5:$G$1640,A1024,'Bank Lines'!$J$5:$J$1640,1,'Bank Lines'!$C$5:$C$1640,"&lt;="&amp;Cover!$C$14),2)</f>
        <v>88</v>
      </c>
      <c r="T1024" s="9">
        <f>ROUND(SUMIFS('Odoo Items'!$G$5:$G$4331,'Odoo Items'!$J$5:$J$4331,A1024,'Odoo Items'!$C$5:$C$4331,"&lt;="&amp;Cover!$C$14),2)</f>
        <v>88</v>
      </c>
      <c r="U1024">
        <f>COUNTIFS('Bank Lines'!$G$5:$G$1640,A1024,'Bank Lines'!$J$5:$J$1640,1,'Bank Lines'!$C$5:$C$1640,"&lt;="&amp;Cover!$C$14)</f>
        <v>1</v>
      </c>
      <c r="V1024">
        <f>COUNTIFS('Odoo Items'!$J$5:$J$4331,A1024,'Odoo Items'!$C$5:$C$4331,"&lt;="&amp;Cover!$C$14)</f>
        <v>1</v>
      </c>
      <c r="W1024" t="str">
        <f>IF(AND(U1024=0,V1024=0),"",IF(U1024=0,"ODOO-ONLY",IF(V1024=0,"BANK-ONLY","BOTH")))</f>
        <v>BOTH</v>
      </c>
      <c r="X1024" s="9">
        <f>IF(W1024="BOTH",ROUND(S1024-T1024,2),0)</f>
        <v>0</v>
      </c>
      <c r="Y1024" s="9">
        <f>ROUND(SUMIFS('Bank Lines'!$E$5:$E$1640,'Bank Lines'!$G$5:$G$1640,A1024,'Bank Lines'!$J$5:$J$1640,1,'Bank Lines'!$C$5:$C$1640,"&lt;="&amp;Cover!$C$15),2)</f>
        <v>88</v>
      </c>
      <c r="Z1024" s="9">
        <f>ROUND(SUMIFS('Odoo Items'!$G$5:$G$4331,'Odoo Items'!$J$5:$J$4331,A1024,'Odoo Items'!$C$5:$C$4331,"&lt;="&amp;Cover!$C$15),2)</f>
        <v>88</v>
      </c>
      <c r="AA1024">
        <f>COUNTIFS('Bank Lines'!$G$5:$G$1640,A1024,'Bank Lines'!$J$5:$J$1640,1,'Bank Lines'!$C$5:$C$1640,"&lt;="&amp;Cover!$C$15)</f>
        <v>1</v>
      </c>
      <c r="AB1024">
        <f>COUNTIFS('Odoo Items'!$J$5:$J$4331,A1024,'Odoo Items'!$C$5:$C$4331,"&lt;="&amp;Cover!$C$15)</f>
        <v>1</v>
      </c>
      <c r="AC1024" t="str">
        <f>IF(AND(AA1024=0,AB1024=0),"",IF(AA1024=0,"ODOO-ONLY",IF(AB1024=0,"BANK-ONLY","BOTH")))</f>
        <v>BOTH</v>
      </c>
      <c r="AD1024" s="9">
        <f>IF(AC1024="BOTH",ROUND(Y1024-Z1024,2),0)</f>
        <v>0</v>
      </c>
    </row>
    <row r="1025">
      <c r="A1025" t="inlineStr">
        <is>
          <t>G01021</t>
        </is>
      </c>
      <c r="B1025" t="inlineStr">
        <is>
          <t>OPS</t>
        </is>
      </c>
      <c r="C1025" t="inlineStr">
        <is>
          <t>R09</t>
        </is>
      </c>
      <c r="D1025" t="inlineStr">
        <is>
          <t>MATCH</t>
        </is>
      </c>
      <c r="E1025" t="inlineStr">
        <is>
          <t>Brightwater Civil Pty Ltd</t>
        </is>
      </c>
      <c r="F1025" t="n">
        <v>1</v>
      </c>
      <c r="G1025" t="inlineStr">
        <is>
          <t>Reference INV/2026/03466</t>
        </is>
      </c>
      <c r="H1025">
        <f>COUNTIFS('Bank Lines'!$G$5:$G$1640,A1025,'Bank Lines'!$J$5:$J$1640,1)</f>
        <v>1</v>
      </c>
      <c r="I1025">
        <f>COUNTIFS('Odoo Items'!$J$5:$J$4331,A1025)</f>
        <v>1</v>
      </c>
      <c r="J1025" s="9">
        <f>ROUND(SUMIFS('Bank Lines'!$E$5:$E$1640,'Bank Lines'!$G$5:$G$1640,A1025,'Bank Lines'!$J$5:$J$1640,1),2)</f>
        <v>2117.5</v>
      </c>
      <c r="K1025" s="9">
        <f>ROUND(SUMIFS('Odoo Items'!$G$5:$G$4331,'Odoo Items'!$J$5:$J$4331,A1025),2)</f>
        <v>2117.5</v>
      </c>
      <c r="L1025" s="9">
        <f>ROUND(J1025-K1025,2)</f>
        <v>0</v>
      </c>
      <c r="M1025" s="9">
        <f>ROUND(SUMIFS('Bank Lines'!$E$5:$E$1640,'Bank Lines'!$G$5:$G$1640,A1025,'Bank Lines'!$J$5:$J$1640,1,'Bank Lines'!$C$5:$C$1640,"&lt;="&amp;Cover!$C$13),2)</f>
        <v>0</v>
      </c>
      <c r="N1025" s="9">
        <f>ROUND(SUMIFS('Odoo Items'!$G$5:$G$4331,'Odoo Items'!$J$5:$J$4331,A1025,'Odoo Items'!$C$5:$C$4331,"&lt;="&amp;Cover!$C$13),2)</f>
        <v>0</v>
      </c>
      <c r="O1025">
        <f>COUNTIFS('Bank Lines'!$G$5:$G$1640,A1025,'Bank Lines'!$J$5:$J$1640,1,'Bank Lines'!$C$5:$C$1640,"&lt;="&amp;Cover!$C$13)</f>
        <v>0</v>
      </c>
      <c r="P1025">
        <f>COUNTIFS('Odoo Items'!$J$5:$J$4331,A1025,'Odoo Items'!$C$5:$C$4331,"&lt;="&amp;Cover!$C$13)</f>
        <v>0</v>
      </c>
      <c r="Q1025">
        <f>IF(AND(O1025=0,P1025=0),"",IF(O1025=0,"ODOO-ONLY",IF(P1025=0,"BANK-ONLY","BOTH")))</f>
      </c>
      <c r="R1025" s="9">
        <f>IF(Q1025="BOTH",ROUND(M1025-N1025,2),0)</f>
        <v>0</v>
      </c>
      <c r="S1025" s="9">
        <f>ROUND(SUMIFS('Bank Lines'!$E$5:$E$1640,'Bank Lines'!$G$5:$G$1640,A1025,'Bank Lines'!$J$5:$J$1640,1,'Bank Lines'!$C$5:$C$1640,"&lt;="&amp;Cover!$C$14),2)</f>
        <v>2117.5</v>
      </c>
      <c r="T1025" s="9">
        <f>ROUND(SUMIFS('Odoo Items'!$G$5:$G$4331,'Odoo Items'!$J$5:$J$4331,A1025,'Odoo Items'!$C$5:$C$4331,"&lt;="&amp;Cover!$C$14),2)</f>
        <v>2117.5</v>
      </c>
      <c r="U1025">
        <f>COUNTIFS('Bank Lines'!$G$5:$G$1640,A1025,'Bank Lines'!$J$5:$J$1640,1,'Bank Lines'!$C$5:$C$1640,"&lt;="&amp;Cover!$C$14)</f>
        <v>1</v>
      </c>
      <c r="V1025">
        <f>COUNTIFS('Odoo Items'!$J$5:$J$4331,A1025,'Odoo Items'!$C$5:$C$4331,"&lt;="&amp;Cover!$C$14)</f>
        <v>1</v>
      </c>
      <c r="W1025" t="str">
        <f>IF(AND(U1025=0,V1025=0),"",IF(U1025=0,"ODOO-ONLY",IF(V1025=0,"BANK-ONLY","BOTH")))</f>
        <v>BOTH</v>
      </c>
      <c r="X1025" s="9">
        <f>IF(W1025="BOTH",ROUND(S1025-T1025,2),0)</f>
        <v>0</v>
      </c>
      <c r="Y1025" s="9">
        <f>ROUND(SUMIFS('Bank Lines'!$E$5:$E$1640,'Bank Lines'!$G$5:$G$1640,A1025,'Bank Lines'!$J$5:$J$1640,1,'Bank Lines'!$C$5:$C$1640,"&lt;="&amp;Cover!$C$15),2)</f>
        <v>2117.5</v>
      </c>
      <c r="Z1025" s="9">
        <f>ROUND(SUMIFS('Odoo Items'!$G$5:$G$4331,'Odoo Items'!$J$5:$J$4331,A1025,'Odoo Items'!$C$5:$C$4331,"&lt;="&amp;Cover!$C$15),2)</f>
        <v>2117.5</v>
      </c>
      <c r="AA1025">
        <f>COUNTIFS('Bank Lines'!$G$5:$G$1640,A1025,'Bank Lines'!$J$5:$J$1640,1,'Bank Lines'!$C$5:$C$1640,"&lt;="&amp;Cover!$C$15)</f>
        <v>1</v>
      </c>
      <c r="AB1025">
        <f>COUNTIFS('Odoo Items'!$J$5:$J$4331,A1025,'Odoo Items'!$C$5:$C$4331,"&lt;="&amp;Cover!$C$15)</f>
        <v>1</v>
      </c>
      <c r="AC1025" t="str">
        <f>IF(AND(AA1025=0,AB1025=0),"",IF(AA1025=0,"ODOO-ONLY",IF(AB1025=0,"BANK-ONLY","BOTH")))</f>
        <v>BOTH</v>
      </c>
      <c r="AD1025" s="9">
        <f>IF(AC1025="BOTH",ROUND(Y1025-Z1025,2),0)</f>
        <v>0</v>
      </c>
    </row>
    <row r="1026">
      <c r="A1026" t="inlineStr">
        <is>
          <t>G01022</t>
        </is>
      </c>
      <c r="B1026" t="inlineStr">
        <is>
          <t>OPS</t>
        </is>
      </c>
      <c r="C1026" t="inlineStr">
        <is>
          <t>R09</t>
        </is>
      </c>
      <c r="D1026" t="inlineStr">
        <is>
          <t>MATCH</t>
        </is>
      </c>
      <c r="E1026" t="inlineStr">
        <is>
          <t>Hartigan Transport</t>
        </is>
      </c>
      <c r="F1026" t="n">
        <v>1</v>
      </c>
      <c r="G1026" t="inlineStr">
        <is>
          <t>Reference INV/2026/03479</t>
        </is>
      </c>
      <c r="H1026">
        <f>COUNTIFS('Bank Lines'!$G$5:$G$1640,A1026,'Bank Lines'!$J$5:$J$1640,1)</f>
        <v>1</v>
      </c>
      <c r="I1026">
        <f>COUNTIFS('Odoo Items'!$J$5:$J$4331,A1026)</f>
        <v>1</v>
      </c>
      <c r="J1026" s="9">
        <f>ROUND(SUMIFS('Bank Lines'!$E$5:$E$1640,'Bank Lines'!$G$5:$G$1640,A1026,'Bank Lines'!$J$5:$J$1640,1),2)</f>
        <v>6820</v>
      </c>
      <c r="K1026" s="9">
        <f>ROUND(SUMIFS('Odoo Items'!$G$5:$G$4331,'Odoo Items'!$J$5:$J$4331,A1026),2)</f>
        <v>6820</v>
      </c>
      <c r="L1026" s="9">
        <f>ROUND(J1026-K1026,2)</f>
        <v>0</v>
      </c>
      <c r="M1026" s="9">
        <f>ROUND(SUMIFS('Bank Lines'!$E$5:$E$1640,'Bank Lines'!$G$5:$G$1640,A1026,'Bank Lines'!$J$5:$J$1640,1,'Bank Lines'!$C$5:$C$1640,"&lt;="&amp;Cover!$C$13),2)</f>
        <v>0</v>
      </c>
      <c r="N1026" s="9">
        <f>ROUND(SUMIFS('Odoo Items'!$G$5:$G$4331,'Odoo Items'!$J$5:$J$4331,A1026,'Odoo Items'!$C$5:$C$4331,"&lt;="&amp;Cover!$C$13),2)</f>
        <v>0</v>
      </c>
      <c r="O1026">
        <f>COUNTIFS('Bank Lines'!$G$5:$G$1640,A1026,'Bank Lines'!$J$5:$J$1640,1,'Bank Lines'!$C$5:$C$1640,"&lt;="&amp;Cover!$C$13)</f>
        <v>0</v>
      </c>
      <c r="P1026">
        <f>COUNTIFS('Odoo Items'!$J$5:$J$4331,A1026,'Odoo Items'!$C$5:$C$4331,"&lt;="&amp;Cover!$C$13)</f>
        <v>0</v>
      </c>
      <c r="Q1026">
        <f>IF(AND(O1026=0,P1026=0),"",IF(O1026=0,"ODOO-ONLY",IF(P1026=0,"BANK-ONLY","BOTH")))</f>
      </c>
      <c r="R1026" s="9">
        <f>IF(Q1026="BOTH",ROUND(M1026-N1026,2),0)</f>
        <v>0</v>
      </c>
      <c r="S1026" s="9">
        <f>ROUND(SUMIFS('Bank Lines'!$E$5:$E$1640,'Bank Lines'!$G$5:$G$1640,A1026,'Bank Lines'!$J$5:$J$1640,1,'Bank Lines'!$C$5:$C$1640,"&lt;="&amp;Cover!$C$14),2)</f>
        <v>6820</v>
      </c>
      <c r="T1026" s="9">
        <f>ROUND(SUMIFS('Odoo Items'!$G$5:$G$4331,'Odoo Items'!$J$5:$J$4331,A1026,'Odoo Items'!$C$5:$C$4331,"&lt;="&amp;Cover!$C$14),2)</f>
        <v>6820</v>
      </c>
      <c r="U1026">
        <f>COUNTIFS('Bank Lines'!$G$5:$G$1640,A1026,'Bank Lines'!$J$5:$J$1640,1,'Bank Lines'!$C$5:$C$1640,"&lt;="&amp;Cover!$C$14)</f>
        <v>1</v>
      </c>
      <c r="V1026">
        <f>COUNTIFS('Odoo Items'!$J$5:$J$4331,A1026,'Odoo Items'!$C$5:$C$4331,"&lt;="&amp;Cover!$C$14)</f>
        <v>1</v>
      </c>
      <c r="W1026" t="str">
        <f>IF(AND(U1026=0,V1026=0),"",IF(U1026=0,"ODOO-ONLY",IF(V1026=0,"BANK-ONLY","BOTH")))</f>
        <v>BOTH</v>
      </c>
      <c r="X1026" s="9">
        <f>IF(W1026="BOTH",ROUND(S1026-T1026,2),0)</f>
        <v>0</v>
      </c>
      <c r="Y1026" s="9">
        <f>ROUND(SUMIFS('Bank Lines'!$E$5:$E$1640,'Bank Lines'!$G$5:$G$1640,A1026,'Bank Lines'!$J$5:$J$1640,1,'Bank Lines'!$C$5:$C$1640,"&lt;="&amp;Cover!$C$15),2)</f>
        <v>6820</v>
      </c>
      <c r="Z1026" s="9">
        <f>ROUND(SUMIFS('Odoo Items'!$G$5:$G$4331,'Odoo Items'!$J$5:$J$4331,A1026,'Odoo Items'!$C$5:$C$4331,"&lt;="&amp;Cover!$C$15),2)</f>
        <v>6820</v>
      </c>
      <c r="AA1026">
        <f>COUNTIFS('Bank Lines'!$G$5:$G$1640,A1026,'Bank Lines'!$J$5:$J$1640,1,'Bank Lines'!$C$5:$C$1640,"&lt;="&amp;Cover!$C$15)</f>
        <v>1</v>
      </c>
      <c r="AB1026">
        <f>COUNTIFS('Odoo Items'!$J$5:$J$4331,A1026,'Odoo Items'!$C$5:$C$4331,"&lt;="&amp;Cover!$C$15)</f>
        <v>1</v>
      </c>
      <c r="AC1026" t="str">
        <f>IF(AND(AA1026=0,AB1026=0),"",IF(AA1026=0,"ODOO-ONLY",IF(AB1026=0,"BANK-ONLY","BOTH")))</f>
        <v>BOTH</v>
      </c>
      <c r="AD1026" s="9">
        <f>IF(AC1026="BOTH",ROUND(Y1026-Z1026,2),0)</f>
        <v>0</v>
      </c>
    </row>
    <row r="1027">
      <c r="A1027" t="inlineStr">
        <is>
          <t>G01023</t>
        </is>
      </c>
      <c r="B1027" t="inlineStr">
        <is>
          <t>OPS</t>
        </is>
      </c>
      <c r="C1027" t="inlineStr">
        <is>
          <t>R09</t>
        </is>
      </c>
      <c r="D1027" t="inlineStr">
        <is>
          <t>MATCH</t>
        </is>
      </c>
      <c r="E1027" t="inlineStr">
        <is>
          <t>Jarrah Ridge Estates</t>
        </is>
      </c>
      <c r="F1027" t="n">
        <v>0.973</v>
      </c>
      <c r="G1027" t="inlineStr">
        <is>
          <t>Reference INV/2026/03501</t>
        </is>
      </c>
      <c r="H1027">
        <f>COUNTIFS('Bank Lines'!$G$5:$G$1640,A1027,'Bank Lines'!$J$5:$J$1640,1)</f>
        <v>1</v>
      </c>
      <c r="I1027">
        <f>COUNTIFS('Odoo Items'!$J$5:$J$4331,A1027)</f>
        <v>1</v>
      </c>
      <c r="J1027" s="9">
        <f>ROUND(SUMIFS('Bank Lines'!$E$5:$E$1640,'Bank Lines'!$G$5:$G$1640,A1027,'Bank Lines'!$J$5:$J$1640,1),2)</f>
        <v>2722.5</v>
      </c>
      <c r="K1027" s="9">
        <f>ROUND(SUMIFS('Odoo Items'!$G$5:$G$4331,'Odoo Items'!$J$5:$J$4331,A1027),2)</f>
        <v>2722.5</v>
      </c>
      <c r="L1027" s="9">
        <f>ROUND(J1027-K1027,2)</f>
        <v>0</v>
      </c>
      <c r="M1027" s="9">
        <f>ROUND(SUMIFS('Bank Lines'!$E$5:$E$1640,'Bank Lines'!$G$5:$G$1640,A1027,'Bank Lines'!$J$5:$J$1640,1,'Bank Lines'!$C$5:$C$1640,"&lt;="&amp;Cover!$C$13),2)</f>
        <v>0</v>
      </c>
      <c r="N1027" s="9">
        <f>ROUND(SUMIFS('Odoo Items'!$G$5:$G$4331,'Odoo Items'!$J$5:$J$4331,A1027,'Odoo Items'!$C$5:$C$4331,"&lt;="&amp;Cover!$C$13),2)</f>
        <v>0</v>
      </c>
      <c r="O1027">
        <f>COUNTIFS('Bank Lines'!$G$5:$G$1640,A1027,'Bank Lines'!$J$5:$J$1640,1,'Bank Lines'!$C$5:$C$1640,"&lt;="&amp;Cover!$C$13)</f>
        <v>0</v>
      </c>
      <c r="P1027">
        <f>COUNTIFS('Odoo Items'!$J$5:$J$4331,A1027,'Odoo Items'!$C$5:$C$4331,"&lt;="&amp;Cover!$C$13)</f>
        <v>0</v>
      </c>
      <c r="Q1027">
        <f>IF(AND(O1027=0,P1027=0),"",IF(O1027=0,"ODOO-ONLY",IF(P1027=0,"BANK-ONLY","BOTH")))</f>
      </c>
      <c r="R1027" s="9">
        <f>IF(Q1027="BOTH",ROUND(M1027-N1027,2),0)</f>
        <v>0</v>
      </c>
      <c r="S1027" s="9">
        <f>ROUND(SUMIFS('Bank Lines'!$E$5:$E$1640,'Bank Lines'!$G$5:$G$1640,A1027,'Bank Lines'!$J$5:$J$1640,1,'Bank Lines'!$C$5:$C$1640,"&lt;="&amp;Cover!$C$14),2)</f>
        <v>2722.5</v>
      </c>
      <c r="T1027" s="9">
        <f>ROUND(SUMIFS('Odoo Items'!$G$5:$G$4331,'Odoo Items'!$J$5:$J$4331,A1027,'Odoo Items'!$C$5:$C$4331,"&lt;="&amp;Cover!$C$14),2)</f>
        <v>2722.5</v>
      </c>
      <c r="U1027">
        <f>COUNTIFS('Bank Lines'!$G$5:$G$1640,A1027,'Bank Lines'!$J$5:$J$1640,1,'Bank Lines'!$C$5:$C$1640,"&lt;="&amp;Cover!$C$14)</f>
        <v>1</v>
      </c>
      <c r="V1027">
        <f>COUNTIFS('Odoo Items'!$J$5:$J$4331,A1027,'Odoo Items'!$C$5:$C$4331,"&lt;="&amp;Cover!$C$14)</f>
        <v>1</v>
      </c>
      <c r="W1027" t="str">
        <f>IF(AND(U1027=0,V1027=0),"",IF(U1027=0,"ODOO-ONLY",IF(V1027=0,"BANK-ONLY","BOTH")))</f>
        <v>BOTH</v>
      </c>
      <c r="X1027" s="9">
        <f>IF(W1027="BOTH",ROUND(S1027-T1027,2),0)</f>
        <v>0</v>
      </c>
      <c r="Y1027" s="9">
        <f>ROUND(SUMIFS('Bank Lines'!$E$5:$E$1640,'Bank Lines'!$G$5:$G$1640,A1027,'Bank Lines'!$J$5:$J$1640,1,'Bank Lines'!$C$5:$C$1640,"&lt;="&amp;Cover!$C$15),2)</f>
        <v>2722.5</v>
      </c>
      <c r="Z1027" s="9">
        <f>ROUND(SUMIFS('Odoo Items'!$G$5:$G$4331,'Odoo Items'!$J$5:$J$4331,A1027,'Odoo Items'!$C$5:$C$4331,"&lt;="&amp;Cover!$C$15),2)</f>
        <v>2722.5</v>
      </c>
      <c r="AA1027">
        <f>COUNTIFS('Bank Lines'!$G$5:$G$1640,A1027,'Bank Lines'!$J$5:$J$1640,1,'Bank Lines'!$C$5:$C$1640,"&lt;="&amp;Cover!$C$15)</f>
        <v>1</v>
      </c>
      <c r="AB1027">
        <f>COUNTIFS('Odoo Items'!$J$5:$J$4331,A1027,'Odoo Items'!$C$5:$C$4331,"&lt;="&amp;Cover!$C$15)</f>
        <v>1</v>
      </c>
      <c r="AC1027" t="str">
        <f>IF(AND(AA1027=0,AB1027=0),"",IF(AA1027=0,"ODOO-ONLY",IF(AB1027=0,"BANK-ONLY","BOTH")))</f>
        <v>BOTH</v>
      </c>
      <c r="AD1027" s="9">
        <f>IF(AC1027="BOTH",ROUND(Y1027-Z1027,2),0)</f>
        <v>0</v>
      </c>
    </row>
    <row r="1028">
      <c r="A1028" t="inlineStr">
        <is>
          <t>G01024</t>
        </is>
      </c>
      <c r="B1028" t="inlineStr">
        <is>
          <t>OPS</t>
        </is>
      </c>
      <c r="C1028" t="inlineStr">
        <is>
          <t>R09</t>
        </is>
      </c>
      <c r="D1028" t="inlineStr">
        <is>
          <t>MATCH</t>
        </is>
      </c>
      <c r="E1028" t="inlineStr">
        <is>
          <t>Unity Workcover Agents</t>
        </is>
      </c>
      <c r="F1028" t="n">
        <v>1</v>
      </c>
      <c r="G1028" t="inlineStr">
        <is>
          <t>Reference INV/2026/02559</t>
        </is>
      </c>
      <c r="H1028">
        <f>COUNTIFS('Bank Lines'!$G$5:$G$1640,A1028,'Bank Lines'!$J$5:$J$1640,1)</f>
        <v>1</v>
      </c>
      <c r="I1028">
        <f>COUNTIFS('Odoo Items'!$J$5:$J$4331,A1028)</f>
        <v>1</v>
      </c>
      <c r="J1028" s="9">
        <f>ROUND(SUMIFS('Bank Lines'!$E$5:$E$1640,'Bank Lines'!$G$5:$G$1640,A1028,'Bank Lines'!$J$5:$J$1640,1),2)</f>
        <v>990</v>
      </c>
      <c r="K1028" s="9">
        <f>ROUND(SUMIFS('Odoo Items'!$G$5:$G$4331,'Odoo Items'!$J$5:$J$4331,A1028),2)</f>
        <v>990</v>
      </c>
      <c r="L1028" s="9">
        <f>ROUND(J1028-K1028,2)</f>
        <v>0</v>
      </c>
      <c r="M1028" s="9">
        <f>ROUND(SUMIFS('Bank Lines'!$E$5:$E$1640,'Bank Lines'!$G$5:$G$1640,A1028,'Bank Lines'!$J$5:$J$1640,1,'Bank Lines'!$C$5:$C$1640,"&lt;="&amp;Cover!$C$13),2)</f>
        <v>0</v>
      </c>
      <c r="N1028" s="9">
        <f>ROUND(SUMIFS('Odoo Items'!$G$5:$G$4331,'Odoo Items'!$J$5:$J$4331,A1028,'Odoo Items'!$C$5:$C$4331,"&lt;="&amp;Cover!$C$13),2)</f>
        <v>0</v>
      </c>
      <c r="O1028">
        <f>COUNTIFS('Bank Lines'!$G$5:$G$1640,A1028,'Bank Lines'!$J$5:$J$1640,1,'Bank Lines'!$C$5:$C$1640,"&lt;="&amp;Cover!$C$13)</f>
        <v>0</v>
      </c>
      <c r="P1028">
        <f>COUNTIFS('Odoo Items'!$J$5:$J$4331,A1028,'Odoo Items'!$C$5:$C$4331,"&lt;="&amp;Cover!$C$13)</f>
        <v>0</v>
      </c>
      <c r="Q1028">
        <f>IF(AND(O1028=0,P1028=0),"",IF(O1028=0,"ODOO-ONLY",IF(P1028=0,"BANK-ONLY","BOTH")))</f>
      </c>
      <c r="R1028" s="9">
        <f>IF(Q1028="BOTH",ROUND(M1028-N1028,2),0)</f>
        <v>0</v>
      </c>
      <c r="S1028" s="9">
        <f>ROUND(SUMIFS('Bank Lines'!$E$5:$E$1640,'Bank Lines'!$G$5:$G$1640,A1028,'Bank Lines'!$J$5:$J$1640,1,'Bank Lines'!$C$5:$C$1640,"&lt;="&amp;Cover!$C$14),2)</f>
        <v>990</v>
      </c>
      <c r="T1028" s="9">
        <f>ROUND(SUMIFS('Odoo Items'!$G$5:$G$4331,'Odoo Items'!$J$5:$J$4331,A1028,'Odoo Items'!$C$5:$C$4331,"&lt;="&amp;Cover!$C$14),2)</f>
        <v>990</v>
      </c>
      <c r="U1028">
        <f>COUNTIFS('Bank Lines'!$G$5:$G$1640,A1028,'Bank Lines'!$J$5:$J$1640,1,'Bank Lines'!$C$5:$C$1640,"&lt;="&amp;Cover!$C$14)</f>
        <v>1</v>
      </c>
      <c r="V1028">
        <f>COUNTIFS('Odoo Items'!$J$5:$J$4331,A1028,'Odoo Items'!$C$5:$C$4331,"&lt;="&amp;Cover!$C$14)</f>
        <v>1</v>
      </c>
      <c r="W1028" t="str">
        <f>IF(AND(U1028=0,V1028=0),"",IF(U1028=0,"ODOO-ONLY",IF(V1028=0,"BANK-ONLY","BOTH")))</f>
        <v>BOTH</v>
      </c>
      <c r="X1028" s="9">
        <f>IF(W1028="BOTH",ROUND(S1028-T1028,2),0)</f>
        <v>0</v>
      </c>
      <c r="Y1028" s="9">
        <f>ROUND(SUMIFS('Bank Lines'!$E$5:$E$1640,'Bank Lines'!$G$5:$G$1640,A1028,'Bank Lines'!$J$5:$J$1640,1,'Bank Lines'!$C$5:$C$1640,"&lt;="&amp;Cover!$C$15),2)</f>
        <v>990</v>
      </c>
      <c r="Z1028" s="9">
        <f>ROUND(SUMIFS('Odoo Items'!$G$5:$G$4331,'Odoo Items'!$J$5:$J$4331,A1028,'Odoo Items'!$C$5:$C$4331,"&lt;="&amp;Cover!$C$15),2)</f>
        <v>990</v>
      </c>
      <c r="AA1028">
        <f>COUNTIFS('Bank Lines'!$G$5:$G$1640,A1028,'Bank Lines'!$J$5:$J$1640,1,'Bank Lines'!$C$5:$C$1640,"&lt;="&amp;Cover!$C$15)</f>
        <v>1</v>
      </c>
      <c r="AB1028">
        <f>COUNTIFS('Odoo Items'!$J$5:$J$4331,A1028,'Odoo Items'!$C$5:$C$4331,"&lt;="&amp;Cover!$C$15)</f>
        <v>1</v>
      </c>
      <c r="AC1028" t="str">
        <f>IF(AND(AA1028=0,AB1028=0),"",IF(AA1028=0,"ODOO-ONLY",IF(AB1028=0,"BANK-ONLY","BOTH")))</f>
        <v>BOTH</v>
      </c>
      <c r="AD1028" s="9">
        <f>IF(AC1028="BOTH",ROUND(Y1028-Z1028,2),0)</f>
        <v>0</v>
      </c>
    </row>
    <row r="1029">
      <c r="A1029" t="inlineStr">
        <is>
          <t>G01025</t>
        </is>
      </c>
      <c r="B1029" t="inlineStr">
        <is>
          <t>OPS</t>
        </is>
      </c>
      <c r="C1029" t="inlineStr">
        <is>
          <t>R09</t>
        </is>
      </c>
      <c r="D1029" t="inlineStr">
        <is>
          <t>MATCH</t>
        </is>
      </c>
      <c r="E1029" t="inlineStr">
        <is>
          <t>Pinnacle Claims Services</t>
        </is>
      </c>
      <c r="F1029" t="n">
        <v>1</v>
      </c>
      <c r="G1029" t="inlineStr">
        <is>
          <t>Reference INV/2026/02753</t>
        </is>
      </c>
      <c r="H1029">
        <f>COUNTIFS('Bank Lines'!$G$5:$G$1640,A1029,'Bank Lines'!$J$5:$J$1640,1)</f>
        <v>1</v>
      </c>
      <c r="I1029">
        <f>COUNTIFS('Odoo Items'!$J$5:$J$4331,A1029)</f>
        <v>1</v>
      </c>
      <c r="J1029" s="9">
        <f>ROUND(SUMIFS('Bank Lines'!$E$5:$E$1640,'Bank Lines'!$G$5:$G$1640,A1029,'Bank Lines'!$J$5:$J$1640,1),2)</f>
        <v>990</v>
      </c>
      <c r="K1029" s="9">
        <f>ROUND(SUMIFS('Odoo Items'!$G$5:$G$4331,'Odoo Items'!$J$5:$J$4331,A1029),2)</f>
        <v>990</v>
      </c>
      <c r="L1029" s="9">
        <f>ROUND(J1029-K1029,2)</f>
        <v>0</v>
      </c>
      <c r="M1029" s="9">
        <f>ROUND(SUMIFS('Bank Lines'!$E$5:$E$1640,'Bank Lines'!$G$5:$G$1640,A1029,'Bank Lines'!$J$5:$J$1640,1,'Bank Lines'!$C$5:$C$1640,"&lt;="&amp;Cover!$C$13),2)</f>
        <v>0</v>
      </c>
      <c r="N1029" s="9">
        <f>ROUND(SUMIFS('Odoo Items'!$G$5:$G$4331,'Odoo Items'!$J$5:$J$4331,A1029,'Odoo Items'!$C$5:$C$4331,"&lt;="&amp;Cover!$C$13),2)</f>
        <v>0</v>
      </c>
      <c r="O1029">
        <f>COUNTIFS('Bank Lines'!$G$5:$G$1640,A1029,'Bank Lines'!$J$5:$J$1640,1,'Bank Lines'!$C$5:$C$1640,"&lt;="&amp;Cover!$C$13)</f>
        <v>0</v>
      </c>
      <c r="P1029">
        <f>COUNTIFS('Odoo Items'!$J$5:$J$4331,A1029,'Odoo Items'!$C$5:$C$4331,"&lt;="&amp;Cover!$C$13)</f>
        <v>0</v>
      </c>
      <c r="Q1029">
        <f>IF(AND(O1029=0,P1029=0),"",IF(O1029=0,"ODOO-ONLY",IF(P1029=0,"BANK-ONLY","BOTH")))</f>
      </c>
      <c r="R1029" s="9">
        <f>IF(Q1029="BOTH",ROUND(M1029-N1029,2),0)</f>
        <v>0</v>
      </c>
      <c r="S1029" s="9">
        <f>ROUND(SUMIFS('Bank Lines'!$E$5:$E$1640,'Bank Lines'!$G$5:$G$1640,A1029,'Bank Lines'!$J$5:$J$1640,1,'Bank Lines'!$C$5:$C$1640,"&lt;="&amp;Cover!$C$14),2)</f>
        <v>990</v>
      </c>
      <c r="T1029" s="9">
        <f>ROUND(SUMIFS('Odoo Items'!$G$5:$G$4331,'Odoo Items'!$J$5:$J$4331,A1029,'Odoo Items'!$C$5:$C$4331,"&lt;="&amp;Cover!$C$14),2)</f>
        <v>990</v>
      </c>
      <c r="U1029">
        <f>COUNTIFS('Bank Lines'!$G$5:$G$1640,A1029,'Bank Lines'!$J$5:$J$1640,1,'Bank Lines'!$C$5:$C$1640,"&lt;="&amp;Cover!$C$14)</f>
        <v>1</v>
      </c>
      <c r="V1029">
        <f>COUNTIFS('Odoo Items'!$J$5:$J$4331,A1029,'Odoo Items'!$C$5:$C$4331,"&lt;="&amp;Cover!$C$14)</f>
        <v>1</v>
      </c>
      <c r="W1029" t="str">
        <f>IF(AND(U1029=0,V1029=0),"",IF(U1029=0,"ODOO-ONLY",IF(V1029=0,"BANK-ONLY","BOTH")))</f>
        <v>BOTH</v>
      </c>
      <c r="X1029" s="9">
        <f>IF(W1029="BOTH",ROUND(S1029-T1029,2),0)</f>
        <v>0</v>
      </c>
      <c r="Y1029" s="9">
        <f>ROUND(SUMIFS('Bank Lines'!$E$5:$E$1640,'Bank Lines'!$G$5:$G$1640,A1029,'Bank Lines'!$J$5:$J$1640,1,'Bank Lines'!$C$5:$C$1640,"&lt;="&amp;Cover!$C$15),2)</f>
        <v>990</v>
      </c>
      <c r="Z1029" s="9">
        <f>ROUND(SUMIFS('Odoo Items'!$G$5:$G$4331,'Odoo Items'!$J$5:$J$4331,A1029,'Odoo Items'!$C$5:$C$4331,"&lt;="&amp;Cover!$C$15),2)</f>
        <v>990</v>
      </c>
      <c r="AA1029">
        <f>COUNTIFS('Bank Lines'!$G$5:$G$1640,A1029,'Bank Lines'!$J$5:$J$1640,1,'Bank Lines'!$C$5:$C$1640,"&lt;="&amp;Cover!$C$15)</f>
        <v>1</v>
      </c>
      <c r="AB1029">
        <f>COUNTIFS('Odoo Items'!$J$5:$J$4331,A1029,'Odoo Items'!$C$5:$C$4331,"&lt;="&amp;Cover!$C$15)</f>
        <v>1</v>
      </c>
      <c r="AC1029" t="str">
        <f>IF(AND(AA1029=0,AB1029=0),"",IF(AA1029=0,"ODOO-ONLY",IF(AB1029=0,"BANK-ONLY","BOTH")))</f>
        <v>BOTH</v>
      </c>
      <c r="AD1029" s="9">
        <f>IF(AC1029="BOTH",ROUND(Y1029-Z1029,2),0)</f>
        <v>0</v>
      </c>
    </row>
    <row r="1030">
      <c r="A1030" t="inlineStr">
        <is>
          <t>G01026</t>
        </is>
      </c>
      <c r="B1030" t="inlineStr">
        <is>
          <t>OPS</t>
        </is>
      </c>
      <c r="C1030" t="inlineStr">
        <is>
          <t>R09</t>
        </is>
      </c>
      <c r="D1030" t="inlineStr">
        <is>
          <t>MATCH</t>
        </is>
      </c>
      <c r="E1030" t="inlineStr">
        <is>
          <t>Pinnacle Claims Services</t>
        </is>
      </c>
      <c r="F1030" t="n">
        <v>1</v>
      </c>
      <c r="G1030" t="inlineStr">
        <is>
          <t>Reference INV/2026/02560</t>
        </is>
      </c>
      <c r="H1030">
        <f>COUNTIFS('Bank Lines'!$G$5:$G$1640,A1030,'Bank Lines'!$J$5:$J$1640,1)</f>
        <v>1</v>
      </c>
      <c r="I1030">
        <f>COUNTIFS('Odoo Items'!$J$5:$J$4331,A1030)</f>
        <v>1</v>
      </c>
      <c r="J1030" s="9">
        <f>ROUND(SUMIFS('Bank Lines'!$E$5:$E$1640,'Bank Lines'!$G$5:$G$1640,A1030,'Bank Lines'!$J$5:$J$1640,1),2)</f>
        <v>88</v>
      </c>
      <c r="K1030" s="9">
        <f>ROUND(SUMIFS('Odoo Items'!$G$5:$G$4331,'Odoo Items'!$J$5:$J$4331,A1030),2)</f>
        <v>88</v>
      </c>
      <c r="L1030" s="9">
        <f>ROUND(J1030-K1030,2)</f>
        <v>0</v>
      </c>
      <c r="M1030" s="9">
        <f>ROUND(SUMIFS('Bank Lines'!$E$5:$E$1640,'Bank Lines'!$G$5:$G$1640,A1030,'Bank Lines'!$J$5:$J$1640,1,'Bank Lines'!$C$5:$C$1640,"&lt;="&amp;Cover!$C$13),2)</f>
        <v>0</v>
      </c>
      <c r="N1030" s="9">
        <f>ROUND(SUMIFS('Odoo Items'!$G$5:$G$4331,'Odoo Items'!$J$5:$J$4331,A1030,'Odoo Items'!$C$5:$C$4331,"&lt;="&amp;Cover!$C$13),2)</f>
        <v>0</v>
      </c>
      <c r="O1030">
        <f>COUNTIFS('Bank Lines'!$G$5:$G$1640,A1030,'Bank Lines'!$J$5:$J$1640,1,'Bank Lines'!$C$5:$C$1640,"&lt;="&amp;Cover!$C$13)</f>
        <v>0</v>
      </c>
      <c r="P1030">
        <f>COUNTIFS('Odoo Items'!$J$5:$J$4331,A1030,'Odoo Items'!$C$5:$C$4331,"&lt;="&amp;Cover!$C$13)</f>
        <v>0</v>
      </c>
      <c r="Q1030">
        <f>IF(AND(O1030=0,P1030=0),"",IF(O1030=0,"ODOO-ONLY",IF(P1030=0,"BANK-ONLY","BOTH")))</f>
      </c>
      <c r="R1030" s="9">
        <f>IF(Q1030="BOTH",ROUND(M1030-N1030,2),0)</f>
        <v>0</v>
      </c>
      <c r="S1030" s="9">
        <f>ROUND(SUMIFS('Bank Lines'!$E$5:$E$1640,'Bank Lines'!$G$5:$G$1640,A1030,'Bank Lines'!$J$5:$J$1640,1,'Bank Lines'!$C$5:$C$1640,"&lt;="&amp;Cover!$C$14),2)</f>
        <v>88</v>
      </c>
      <c r="T1030" s="9">
        <f>ROUND(SUMIFS('Odoo Items'!$G$5:$G$4331,'Odoo Items'!$J$5:$J$4331,A1030,'Odoo Items'!$C$5:$C$4331,"&lt;="&amp;Cover!$C$14),2)</f>
        <v>88</v>
      </c>
      <c r="U1030">
        <f>COUNTIFS('Bank Lines'!$G$5:$G$1640,A1030,'Bank Lines'!$J$5:$J$1640,1,'Bank Lines'!$C$5:$C$1640,"&lt;="&amp;Cover!$C$14)</f>
        <v>1</v>
      </c>
      <c r="V1030">
        <f>COUNTIFS('Odoo Items'!$J$5:$J$4331,A1030,'Odoo Items'!$C$5:$C$4331,"&lt;="&amp;Cover!$C$14)</f>
        <v>1</v>
      </c>
      <c r="W1030" t="str">
        <f>IF(AND(U1030=0,V1030=0),"",IF(U1030=0,"ODOO-ONLY",IF(V1030=0,"BANK-ONLY","BOTH")))</f>
        <v>BOTH</v>
      </c>
      <c r="X1030" s="9">
        <f>IF(W1030="BOTH",ROUND(S1030-T1030,2),0)</f>
        <v>0</v>
      </c>
      <c r="Y1030" s="9">
        <f>ROUND(SUMIFS('Bank Lines'!$E$5:$E$1640,'Bank Lines'!$G$5:$G$1640,A1030,'Bank Lines'!$J$5:$J$1640,1,'Bank Lines'!$C$5:$C$1640,"&lt;="&amp;Cover!$C$15),2)</f>
        <v>88</v>
      </c>
      <c r="Z1030" s="9">
        <f>ROUND(SUMIFS('Odoo Items'!$G$5:$G$4331,'Odoo Items'!$J$5:$J$4331,A1030,'Odoo Items'!$C$5:$C$4331,"&lt;="&amp;Cover!$C$15),2)</f>
        <v>88</v>
      </c>
      <c r="AA1030">
        <f>COUNTIFS('Bank Lines'!$G$5:$G$1640,A1030,'Bank Lines'!$J$5:$J$1640,1,'Bank Lines'!$C$5:$C$1640,"&lt;="&amp;Cover!$C$15)</f>
        <v>1</v>
      </c>
      <c r="AB1030">
        <f>COUNTIFS('Odoo Items'!$J$5:$J$4331,A1030,'Odoo Items'!$C$5:$C$4331,"&lt;="&amp;Cover!$C$15)</f>
        <v>1</v>
      </c>
      <c r="AC1030" t="str">
        <f>IF(AND(AA1030=0,AB1030=0),"",IF(AA1030=0,"ODOO-ONLY",IF(AB1030=0,"BANK-ONLY","BOTH")))</f>
        <v>BOTH</v>
      </c>
      <c r="AD1030" s="9">
        <f>IF(AC1030="BOTH",ROUND(Y1030-Z1030,2),0)</f>
        <v>0</v>
      </c>
    </row>
    <row r="1031">
      <c r="A1031" t="inlineStr">
        <is>
          <t>G01027</t>
        </is>
      </c>
      <c r="B1031" t="inlineStr">
        <is>
          <t>OPS</t>
        </is>
      </c>
      <c r="C1031" t="inlineStr">
        <is>
          <t>R09</t>
        </is>
      </c>
      <c r="D1031" t="inlineStr">
        <is>
          <t>MATCH</t>
        </is>
      </c>
      <c r="E1031" t="inlineStr">
        <is>
          <t>Broadmeadow Plastics</t>
        </is>
      </c>
      <c r="F1031" t="n">
        <v>1</v>
      </c>
      <c r="G1031" t="inlineStr">
        <is>
          <t>Reference INV/2026/03541</t>
        </is>
      </c>
      <c r="H1031">
        <f>COUNTIFS('Bank Lines'!$G$5:$G$1640,A1031,'Bank Lines'!$J$5:$J$1640,1)</f>
        <v>1</v>
      </c>
      <c r="I1031">
        <f>COUNTIFS('Odoo Items'!$J$5:$J$4331,A1031)</f>
        <v>1</v>
      </c>
      <c r="J1031" s="9">
        <f>ROUND(SUMIFS('Bank Lines'!$E$5:$E$1640,'Bank Lines'!$G$5:$G$1640,A1031,'Bank Lines'!$J$5:$J$1640,1),2)</f>
        <v>2117.5</v>
      </c>
      <c r="K1031" s="9">
        <f>ROUND(SUMIFS('Odoo Items'!$G$5:$G$4331,'Odoo Items'!$J$5:$J$4331,A1031),2)</f>
        <v>2117.5</v>
      </c>
      <c r="L1031" s="9">
        <f>ROUND(J1031-K1031,2)</f>
        <v>0</v>
      </c>
      <c r="M1031" s="9">
        <f>ROUND(SUMIFS('Bank Lines'!$E$5:$E$1640,'Bank Lines'!$G$5:$G$1640,A1031,'Bank Lines'!$J$5:$J$1640,1,'Bank Lines'!$C$5:$C$1640,"&lt;="&amp;Cover!$C$13),2)</f>
        <v>0</v>
      </c>
      <c r="N1031" s="9">
        <f>ROUND(SUMIFS('Odoo Items'!$G$5:$G$4331,'Odoo Items'!$J$5:$J$4331,A1031,'Odoo Items'!$C$5:$C$4331,"&lt;="&amp;Cover!$C$13),2)</f>
        <v>0</v>
      </c>
      <c r="O1031">
        <f>COUNTIFS('Bank Lines'!$G$5:$G$1640,A1031,'Bank Lines'!$J$5:$J$1640,1,'Bank Lines'!$C$5:$C$1640,"&lt;="&amp;Cover!$C$13)</f>
        <v>0</v>
      </c>
      <c r="P1031">
        <f>COUNTIFS('Odoo Items'!$J$5:$J$4331,A1031,'Odoo Items'!$C$5:$C$4331,"&lt;="&amp;Cover!$C$13)</f>
        <v>0</v>
      </c>
      <c r="Q1031">
        <f>IF(AND(O1031=0,P1031=0),"",IF(O1031=0,"ODOO-ONLY",IF(P1031=0,"BANK-ONLY","BOTH")))</f>
      </c>
      <c r="R1031" s="9">
        <f>IF(Q1031="BOTH",ROUND(M1031-N1031,2),0)</f>
        <v>0</v>
      </c>
      <c r="S1031" s="9">
        <f>ROUND(SUMIFS('Bank Lines'!$E$5:$E$1640,'Bank Lines'!$G$5:$G$1640,A1031,'Bank Lines'!$J$5:$J$1640,1,'Bank Lines'!$C$5:$C$1640,"&lt;="&amp;Cover!$C$14),2)</f>
        <v>2117.5</v>
      </c>
      <c r="T1031" s="9">
        <f>ROUND(SUMIFS('Odoo Items'!$G$5:$G$4331,'Odoo Items'!$J$5:$J$4331,A1031,'Odoo Items'!$C$5:$C$4331,"&lt;="&amp;Cover!$C$14),2)</f>
        <v>2117.5</v>
      </c>
      <c r="U1031">
        <f>COUNTIFS('Bank Lines'!$G$5:$G$1640,A1031,'Bank Lines'!$J$5:$J$1640,1,'Bank Lines'!$C$5:$C$1640,"&lt;="&amp;Cover!$C$14)</f>
        <v>1</v>
      </c>
      <c r="V1031">
        <f>COUNTIFS('Odoo Items'!$J$5:$J$4331,A1031,'Odoo Items'!$C$5:$C$4331,"&lt;="&amp;Cover!$C$14)</f>
        <v>1</v>
      </c>
      <c r="W1031" t="str">
        <f>IF(AND(U1031=0,V1031=0),"",IF(U1031=0,"ODOO-ONLY",IF(V1031=0,"BANK-ONLY","BOTH")))</f>
        <v>BOTH</v>
      </c>
      <c r="X1031" s="9">
        <f>IF(W1031="BOTH",ROUND(S1031-T1031,2),0)</f>
        <v>0</v>
      </c>
      <c r="Y1031" s="9">
        <f>ROUND(SUMIFS('Bank Lines'!$E$5:$E$1640,'Bank Lines'!$G$5:$G$1640,A1031,'Bank Lines'!$J$5:$J$1640,1,'Bank Lines'!$C$5:$C$1640,"&lt;="&amp;Cover!$C$15),2)</f>
        <v>2117.5</v>
      </c>
      <c r="Z1031" s="9">
        <f>ROUND(SUMIFS('Odoo Items'!$G$5:$G$4331,'Odoo Items'!$J$5:$J$4331,A1031,'Odoo Items'!$C$5:$C$4331,"&lt;="&amp;Cover!$C$15),2)</f>
        <v>2117.5</v>
      </c>
      <c r="AA1031">
        <f>COUNTIFS('Bank Lines'!$G$5:$G$1640,A1031,'Bank Lines'!$J$5:$J$1640,1,'Bank Lines'!$C$5:$C$1640,"&lt;="&amp;Cover!$C$15)</f>
        <v>1</v>
      </c>
      <c r="AB1031">
        <f>COUNTIFS('Odoo Items'!$J$5:$J$4331,A1031,'Odoo Items'!$C$5:$C$4331,"&lt;="&amp;Cover!$C$15)</f>
        <v>1</v>
      </c>
      <c r="AC1031" t="str">
        <f>IF(AND(AA1031=0,AB1031=0),"",IF(AA1031=0,"ODOO-ONLY",IF(AB1031=0,"BANK-ONLY","BOTH")))</f>
        <v>BOTH</v>
      </c>
      <c r="AD1031" s="9">
        <f>IF(AC1031="BOTH",ROUND(Y1031-Z1031,2),0)</f>
        <v>0</v>
      </c>
    </row>
    <row r="1032">
      <c r="A1032" t="inlineStr">
        <is>
          <t>G01028</t>
        </is>
      </c>
      <c r="B1032" t="inlineStr">
        <is>
          <t>OPS</t>
        </is>
      </c>
      <c r="C1032" t="inlineStr">
        <is>
          <t>R09</t>
        </is>
      </c>
      <c r="D1032" t="inlineStr">
        <is>
          <t>MATCH</t>
        </is>
      </c>
      <c r="E1032" t="inlineStr">
        <is>
          <t>Ashgrove Accounting</t>
        </is>
      </c>
      <c r="F1032" t="n">
        <v>1</v>
      </c>
      <c r="G1032" t="inlineStr">
        <is>
          <t>Reference INV/2026/03489</t>
        </is>
      </c>
      <c r="H1032">
        <f>COUNTIFS('Bank Lines'!$G$5:$G$1640,A1032,'Bank Lines'!$J$5:$J$1640,1)</f>
        <v>1</v>
      </c>
      <c r="I1032">
        <f>COUNTIFS('Odoo Items'!$J$5:$J$4331,A1032)</f>
        <v>1</v>
      </c>
      <c r="J1032" s="9">
        <f>ROUND(SUMIFS('Bank Lines'!$E$5:$E$1640,'Bank Lines'!$G$5:$G$1640,A1032,'Bank Lines'!$J$5:$J$1640,1),2)</f>
        <v>10725</v>
      </c>
      <c r="K1032" s="9">
        <f>ROUND(SUMIFS('Odoo Items'!$G$5:$G$4331,'Odoo Items'!$J$5:$J$4331,A1032),2)</f>
        <v>10725</v>
      </c>
      <c r="L1032" s="9">
        <f>ROUND(J1032-K1032,2)</f>
        <v>0</v>
      </c>
      <c r="M1032" s="9">
        <f>ROUND(SUMIFS('Bank Lines'!$E$5:$E$1640,'Bank Lines'!$G$5:$G$1640,A1032,'Bank Lines'!$J$5:$J$1640,1,'Bank Lines'!$C$5:$C$1640,"&lt;="&amp;Cover!$C$13),2)</f>
        <v>0</v>
      </c>
      <c r="N1032" s="9">
        <f>ROUND(SUMIFS('Odoo Items'!$G$5:$G$4331,'Odoo Items'!$J$5:$J$4331,A1032,'Odoo Items'!$C$5:$C$4331,"&lt;="&amp;Cover!$C$13),2)</f>
        <v>0</v>
      </c>
      <c r="O1032">
        <f>COUNTIFS('Bank Lines'!$G$5:$G$1640,A1032,'Bank Lines'!$J$5:$J$1640,1,'Bank Lines'!$C$5:$C$1640,"&lt;="&amp;Cover!$C$13)</f>
        <v>0</v>
      </c>
      <c r="P1032">
        <f>COUNTIFS('Odoo Items'!$J$5:$J$4331,A1032,'Odoo Items'!$C$5:$C$4331,"&lt;="&amp;Cover!$C$13)</f>
        <v>0</v>
      </c>
      <c r="Q1032">
        <f>IF(AND(O1032=0,P1032=0),"",IF(O1032=0,"ODOO-ONLY",IF(P1032=0,"BANK-ONLY","BOTH")))</f>
      </c>
      <c r="R1032" s="9">
        <f>IF(Q1032="BOTH",ROUND(M1032-N1032,2),0)</f>
        <v>0</v>
      </c>
      <c r="S1032" s="9">
        <f>ROUND(SUMIFS('Bank Lines'!$E$5:$E$1640,'Bank Lines'!$G$5:$G$1640,A1032,'Bank Lines'!$J$5:$J$1640,1,'Bank Lines'!$C$5:$C$1640,"&lt;="&amp;Cover!$C$14),2)</f>
        <v>10725</v>
      </c>
      <c r="T1032" s="9">
        <f>ROUND(SUMIFS('Odoo Items'!$G$5:$G$4331,'Odoo Items'!$J$5:$J$4331,A1032,'Odoo Items'!$C$5:$C$4331,"&lt;="&amp;Cover!$C$14),2)</f>
        <v>10725</v>
      </c>
      <c r="U1032">
        <f>COUNTIFS('Bank Lines'!$G$5:$G$1640,A1032,'Bank Lines'!$J$5:$J$1640,1,'Bank Lines'!$C$5:$C$1640,"&lt;="&amp;Cover!$C$14)</f>
        <v>1</v>
      </c>
      <c r="V1032">
        <f>COUNTIFS('Odoo Items'!$J$5:$J$4331,A1032,'Odoo Items'!$C$5:$C$4331,"&lt;="&amp;Cover!$C$14)</f>
        <v>1</v>
      </c>
      <c r="W1032" t="str">
        <f>IF(AND(U1032=0,V1032=0),"",IF(U1032=0,"ODOO-ONLY",IF(V1032=0,"BANK-ONLY","BOTH")))</f>
        <v>BOTH</v>
      </c>
      <c r="X1032" s="9">
        <f>IF(W1032="BOTH",ROUND(S1032-T1032,2),0)</f>
        <v>0</v>
      </c>
      <c r="Y1032" s="9">
        <f>ROUND(SUMIFS('Bank Lines'!$E$5:$E$1640,'Bank Lines'!$G$5:$G$1640,A1032,'Bank Lines'!$J$5:$J$1640,1,'Bank Lines'!$C$5:$C$1640,"&lt;="&amp;Cover!$C$15),2)</f>
        <v>10725</v>
      </c>
      <c r="Z1032" s="9">
        <f>ROUND(SUMIFS('Odoo Items'!$G$5:$G$4331,'Odoo Items'!$J$5:$J$4331,A1032,'Odoo Items'!$C$5:$C$4331,"&lt;="&amp;Cover!$C$15),2)</f>
        <v>10725</v>
      </c>
      <c r="AA1032">
        <f>COUNTIFS('Bank Lines'!$G$5:$G$1640,A1032,'Bank Lines'!$J$5:$J$1640,1,'Bank Lines'!$C$5:$C$1640,"&lt;="&amp;Cover!$C$15)</f>
        <v>1</v>
      </c>
      <c r="AB1032">
        <f>COUNTIFS('Odoo Items'!$J$5:$J$4331,A1032,'Odoo Items'!$C$5:$C$4331,"&lt;="&amp;Cover!$C$15)</f>
        <v>1</v>
      </c>
      <c r="AC1032" t="str">
        <f>IF(AND(AA1032=0,AB1032=0),"",IF(AA1032=0,"ODOO-ONLY",IF(AB1032=0,"BANK-ONLY","BOTH")))</f>
        <v>BOTH</v>
      </c>
      <c r="AD1032" s="9">
        <f>IF(AC1032="BOTH",ROUND(Y1032-Z1032,2),0)</f>
        <v>0</v>
      </c>
    </row>
    <row r="1033">
      <c r="A1033" t="inlineStr">
        <is>
          <t>G01029</t>
        </is>
      </c>
      <c r="B1033" t="inlineStr">
        <is>
          <t>OPS</t>
        </is>
      </c>
      <c r="C1033" t="inlineStr">
        <is>
          <t>R09</t>
        </is>
      </c>
      <c r="D1033" t="inlineStr">
        <is>
          <t>MATCH</t>
        </is>
      </c>
      <c r="E1033" t="inlineStr">
        <is>
          <t>Daintree Packaging</t>
        </is>
      </c>
      <c r="F1033" t="n">
        <v>1</v>
      </c>
      <c r="G1033" t="inlineStr">
        <is>
          <t>Reference INV/2026/03492</t>
        </is>
      </c>
      <c r="H1033">
        <f>COUNTIFS('Bank Lines'!$G$5:$G$1640,A1033,'Bank Lines'!$J$5:$J$1640,1)</f>
        <v>1</v>
      </c>
      <c r="I1033">
        <f>COUNTIFS('Odoo Items'!$J$5:$J$4331,A1033)</f>
        <v>1</v>
      </c>
      <c r="J1033" s="9">
        <f>ROUND(SUMIFS('Bank Lines'!$E$5:$E$1640,'Bank Lines'!$G$5:$G$1640,A1033,'Bank Lines'!$J$5:$J$1640,1),2)</f>
        <v>3616.25</v>
      </c>
      <c r="K1033" s="9">
        <f>ROUND(SUMIFS('Odoo Items'!$G$5:$G$4331,'Odoo Items'!$J$5:$J$4331,A1033),2)</f>
        <v>3616.25</v>
      </c>
      <c r="L1033" s="9">
        <f>ROUND(J1033-K1033,2)</f>
        <v>0</v>
      </c>
      <c r="M1033" s="9">
        <f>ROUND(SUMIFS('Bank Lines'!$E$5:$E$1640,'Bank Lines'!$G$5:$G$1640,A1033,'Bank Lines'!$J$5:$J$1640,1,'Bank Lines'!$C$5:$C$1640,"&lt;="&amp;Cover!$C$13),2)</f>
        <v>0</v>
      </c>
      <c r="N1033" s="9">
        <f>ROUND(SUMIFS('Odoo Items'!$G$5:$G$4331,'Odoo Items'!$J$5:$J$4331,A1033,'Odoo Items'!$C$5:$C$4331,"&lt;="&amp;Cover!$C$13),2)</f>
        <v>0</v>
      </c>
      <c r="O1033">
        <f>COUNTIFS('Bank Lines'!$G$5:$G$1640,A1033,'Bank Lines'!$J$5:$J$1640,1,'Bank Lines'!$C$5:$C$1640,"&lt;="&amp;Cover!$C$13)</f>
        <v>0</v>
      </c>
      <c r="P1033">
        <f>COUNTIFS('Odoo Items'!$J$5:$J$4331,A1033,'Odoo Items'!$C$5:$C$4331,"&lt;="&amp;Cover!$C$13)</f>
        <v>0</v>
      </c>
      <c r="Q1033">
        <f>IF(AND(O1033=0,P1033=0),"",IF(O1033=0,"ODOO-ONLY",IF(P1033=0,"BANK-ONLY","BOTH")))</f>
      </c>
      <c r="R1033" s="9">
        <f>IF(Q1033="BOTH",ROUND(M1033-N1033,2),0)</f>
        <v>0</v>
      </c>
      <c r="S1033" s="9">
        <f>ROUND(SUMIFS('Bank Lines'!$E$5:$E$1640,'Bank Lines'!$G$5:$G$1640,A1033,'Bank Lines'!$J$5:$J$1640,1,'Bank Lines'!$C$5:$C$1640,"&lt;="&amp;Cover!$C$14),2)</f>
        <v>3616.25</v>
      </c>
      <c r="T1033" s="9">
        <f>ROUND(SUMIFS('Odoo Items'!$G$5:$G$4331,'Odoo Items'!$J$5:$J$4331,A1033,'Odoo Items'!$C$5:$C$4331,"&lt;="&amp;Cover!$C$14),2)</f>
        <v>3616.25</v>
      </c>
      <c r="U1033">
        <f>COUNTIFS('Bank Lines'!$G$5:$G$1640,A1033,'Bank Lines'!$J$5:$J$1640,1,'Bank Lines'!$C$5:$C$1640,"&lt;="&amp;Cover!$C$14)</f>
        <v>1</v>
      </c>
      <c r="V1033">
        <f>COUNTIFS('Odoo Items'!$J$5:$J$4331,A1033,'Odoo Items'!$C$5:$C$4331,"&lt;="&amp;Cover!$C$14)</f>
        <v>1</v>
      </c>
      <c r="W1033" t="str">
        <f>IF(AND(U1033=0,V1033=0),"",IF(U1033=0,"ODOO-ONLY",IF(V1033=0,"BANK-ONLY","BOTH")))</f>
        <v>BOTH</v>
      </c>
      <c r="X1033" s="9">
        <f>IF(W1033="BOTH",ROUND(S1033-T1033,2),0)</f>
        <v>0</v>
      </c>
      <c r="Y1033" s="9">
        <f>ROUND(SUMIFS('Bank Lines'!$E$5:$E$1640,'Bank Lines'!$G$5:$G$1640,A1033,'Bank Lines'!$J$5:$J$1640,1,'Bank Lines'!$C$5:$C$1640,"&lt;="&amp;Cover!$C$15),2)</f>
        <v>3616.25</v>
      </c>
      <c r="Z1033" s="9">
        <f>ROUND(SUMIFS('Odoo Items'!$G$5:$G$4331,'Odoo Items'!$J$5:$J$4331,A1033,'Odoo Items'!$C$5:$C$4331,"&lt;="&amp;Cover!$C$15),2)</f>
        <v>3616.25</v>
      </c>
      <c r="AA1033">
        <f>COUNTIFS('Bank Lines'!$G$5:$G$1640,A1033,'Bank Lines'!$J$5:$J$1640,1,'Bank Lines'!$C$5:$C$1640,"&lt;="&amp;Cover!$C$15)</f>
        <v>1</v>
      </c>
      <c r="AB1033">
        <f>COUNTIFS('Odoo Items'!$J$5:$J$4331,A1033,'Odoo Items'!$C$5:$C$4331,"&lt;="&amp;Cover!$C$15)</f>
        <v>1</v>
      </c>
      <c r="AC1033" t="str">
        <f>IF(AND(AA1033=0,AB1033=0),"",IF(AA1033=0,"ODOO-ONLY",IF(AB1033=0,"BANK-ONLY","BOTH")))</f>
        <v>BOTH</v>
      </c>
      <c r="AD1033" s="9">
        <f>IF(AC1033="BOTH",ROUND(Y1033-Z1033,2),0)</f>
        <v>0</v>
      </c>
    </row>
    <row r="1034">
      <c r="A1034" t="inlineStr">
        <is>
          <t>G01030</t>
        </is>
      </c>
      <c r="B1034" t="inlineStr">
        <is>
          <t>OPS</t>
        </is>
      </c>
      <c r="C1034" t="inlineStr">
        <is>
          <t>R09</t>
        </is>
      </c>
      <c r="D1034" t="inlineStr">
        <is>
          <t>MATCH</t>
        </is>
      </c>
      <c r="E1034" t="inlineStr">
        <is>
          <t>Gilmour Steel Pty Ltd</t>
        </is>
      </c>
      <c r="F1034" t="n">
        <v>1</v>
      </c>
      <c r="G1034" t="inlineStr">
        <is>
          <t>Reference INV/2026/03496</t>
        </is>
      </c>
      <c r="H1034">
        <f>COUNTIFS('Bank Lines'!$G$5:$G$1640,A1034,'Bank Lines'!$J$5:$J$1640,1)</f>
        <v>1</v>
      </c>
      <c r="I1034">
        <f>COUNTIFS('Odoo Items'!$J$5:$J$4331,A1034)</f>
        <v>1</v>
      </c>
      <c r="J1034" s="9">
        <f>ROUND(SUMIFS('Bank Lines'!$E$5:$E$1640,'Bank Lines'!$G$5:$G$1640,A1034,'Bank Lines'!$J$5:$J$1640,1),2)</f>
        <v>5280</v>
      </c>
      <c r="K1034" s="9">
        <f>ROUND(SUMIFS('Odoo Items'!$G$5:$G$4331,'Odoo Items'!$J$5:$J$4331,A1034),2)</f>
        <v>5280</v>
      </c>
      <c r="L1034" s="9">
        <f>ROUND(J1034-K1034,2)</f>
        <v>0</v>
      </c>
      <c r="M1034" s="9">
        <f>ROUND(SUMIFS('Bank Lines'!$E$5:$E$1640,'Bank Lines'!$G$5:$G$1640,A1034,'Bank Lines'!$J$5:$J$1640,1,'Bank Lines'!$C$5:$C$1640,"&lt;="&amp;Cover!$C$13),2)</f>
        <v>0</v>
      </c>
      <c r="N1034" s="9">
        <f>ROUND(SUMIFS('Odoo Items'!$G$5:$G$4331,'Odoo Items'!$J$5:$J$4331,A1034,'Odoo Items'!$C$5:$C$4331,"&lt;="&amp;Cover!$C$13),2)</f>
        <v>0</v>
      </c>
      <c r="O1034">
        <f>COUNTIFS('Bank Lines'!$G$5:$G$1640,A1034,'Bank Lines'!$J$5:$J$1640,1,'Bank Lines'!$C$5:$C$1640,"&lt;="&amp;Cover!$C$13)</f>
        <v>0</v>
      </c>
      <c r="P1034">
        <f>COUNTIFS('Odoo Items'!$J$5:$J$4331,A1034,'Odoo Items'!$C$5:$C$4331,"&lt;="&amp;Cover!$C$13)</f>
        <v>0</v>
      </c>
      <c r="Q1034">
        <f>IF(AND(O1034=0,P1034=0),"",IF(O1034=0,"ODOO-ONLY",IF(P1034=0,"BANK-ONLY","BOTH")))</f>
      </c>
      <c r="R1034" s="9">
        <f>IF(Q1034="BOTH",ROUND(M1034-N1034,2),0)</f>
        <v>0</v>
      </c>
      <c r="S1034" s="9">
        <f>ROUND(SUMIFS('Bank Lines'!$E$5:$E$1640,'Bank Lines'!$G$5:$G$1640,A1034,'Bank Lines'!$J$5:$J$1640,1,'Bank Lines'!$C$5:$C$1640,"&lt;="&amp;Cover!$C$14),2)</f>
        <v>5280</v>
      </c>
      <c r="T1034" s="9">
        <f>ROUND(SUMIFS('Odoo Items'!$G$5:$G$4331,'Odoo Items'!$J$5:$J$4331,A1034,'Odoo Items'!$C$5:$C$4331,"&lt;="&amp;Cover!$C$14),2)</f>
        <v>5280</v>
      </c>
      <c r="U1034">
        <f>COUNTIFS('Bank Lines'!$G$5:$G$1640,A1034,'Bank Lines'!$J$5:$J$1640,1,'Bank Lines'!$C$5:$C$1640,"&lt;="&amp;Cover!$C$14)</f>
        <v>1</v>
      </c>
      <c r="V1034">
        <f>COUNTIFS('Odoo Items'!$J$5:$J$4331,A1034,'Odoo Items'!$C$5:$C$4331,"&lt;="&amp;Cover!$C$14)</f>
        <v>1</v>
      </c>
      <c r="W1034" t="str">
        <f>IF(AND(U1034=0,V1034=0),"",IF(U1034=0,"ODOO-ONLY",IF(V1034=0,"BANK-ONLY","BOTH")))</f>
        <v>BOTH</v>
      </c>
      <c r="X1034" s="9">
        <f>IF(W1034="BOTH",ROUND(S1034-T1034,2),0)</f>
        <v>0</v>
      </c>
      <c r="Y1034" s="9">
        <f>ROUND(SUMIFS('Bank Lines'!$E$5:$E$1640,'Bank Lines'!$G$5:$G$1640,A1034,'Bank Lines'!$J$5:$J$1640,1,'Bank Lines'!$C$5:$C$1640,"&lt;="&amp;Cover!$C$15),2)</f>
        <v>5280</v>
      </c>
      <c r="Z1034" s="9">
        <f>ROUND(SUMIFS('Odoo Items'!$G$5:$G$4331,'Odoo Items'!$J$5:$J$4331,A1034,'Odoo Items'!$C$5:$C$4331,"&lt;="&amp;Cover!$C$15),2)</f>
        <v>5280</v>
      </c>
      <c r="AA1034">
        <f>COUNTIFS('Bank Lines'!$G$5:$G$1640,A1034,'Bank Lines'!$J$5:$J$1640,1,'Bank Lines'!$C$5:$C$1640,"&lt;="&amp;Cover!$C$15)</f>
        <v>1</v>
      </c>
      <c r="AB1034">
        <f>COUNTIFS('Odoo Items'!$J$5:$J$4331,A1034,'Odoo Items'!$C$5:$C$4331,"&lt;="&amp;Cover!$C$15)</f>
        <v>1</v>
      </c>
      <c r="AC1034" t="str">
        <f>IF(AND(AA1034=0,AB1034=0),"",IF(AA1034=0,"ODOO-ONLY",IF(AB1034=0,"BANK-ONLY","BOTH")))</f>
        <v>BOTH</v>
      </c>
      <c r="AD1034" s="9">
        <f>IF(AC1034="BOTH",ROUND(Y1034-Z1034,2),0)</f>
        <v>0</v>
      </c>
    </row>
    <row r="1035">
      <c r="A1035" t="inlineStr">
        <is>
          <t>G01031</t>
        </is>
      </c>
      <c r="B1035" t="inlineStr">
        <is>
          <t>OPS</t>
        </is>
      </c>
      <c r="C1035" t="inlineStr">
        <is>
          <t>R09</t>
        </is>
      </c>
      <c r="D1035" t="inlineStr">
        <is>
          <t>MATCH</t>
        </is>
      </c>
      <c r="E1035" t="inlineStr">
        <is>
          <t>Inglewood Cold Storage</t>
        </is>
      </c>
      <c r="F1035" t="n">
        <v>1</v>
      </c>
      <c r="G1035" t="inlineStr">
        <is>
          <t>Reference INV/2026/03499</t>
        </is>
      </c>
      <c r="H1035">
        <f>COUNTIFS('Bank Lines'!$G$5:$G$1640,A1035,'Bank Lines'!$J$5:$J$1640,1)</f>
        <v>1</v>
      </c>
      <c r="I1035">
        <f>COUNTIFS('Odoo Items'!$J$5:$J$4331,A1035)</f>
        <v>1</v>
      </c>
      <c r="J1035" s="9">
        <f>ROUND(SUMIFS('Bank Lines'!$E$5:$E$1640,'Bank Lines'!$G$5:$G$1640,A1035,'Bank Lines'!$J$5:$J$1640,1),2)</f>
        <v>2791.25</v>
      </c>
      <c r="K1035" s="9">
        <f>ROUND(SUMIFS('Odoo Items'!$G$5:$G$4331,'Odoo Items'!$J$5:$J$4331,A1035),2)</f>
        <v>2791.25</v>
      </c>
      <c r="L1035" s="9">
        <f>ROUND(J1035-K1035,2)</f>
        <v>0</v>
      </c>
      <c r="M1035" s="9">
        <f>ROUND(SUMIFS('Bank Lines'!$E$5:$E$1640,'Bank Lines'!$G$5:$G$1640,A1035,'Bank Lines'!$J$5:$J$1640,1,'Bank Lines'!$C$5:$C$1640,"&lt;="&amp;Cover!$C$13),2)</f>
        <v>0</v>
      </c>
      <c r="N1035" s="9">
        <f>ROUND(SUMIFS('Odoo Items'!$G$5:$G$4331,'Odoo Items'!$J$5:$J$4331,A1035,'Odoo Items'!$C$5:$C$4331,"&lt;="&amp;Cover!$C$13),2)</f>
        <v>0</v>
      </c>
      <c r="O1035">
        <f>COUNTIFS('Bank Lines'!$G$5:$G$1640,A1035,'Bank Lines'!$J$5:$J$1640,1,'Bank Lines'!$C$5:$C$1640,"&lt;="&amp;Cover!$C$13)</f>
        <v>0</v>
      </c>
      <c r="P1035">
        <f>COUNTIFS('Odoo Items'!$J$5:$J$4331,A1035,'Odoo Items'!$C$5:$C$4331,"&lt;="&amp;Cover!$C$13)</f>
        <v>0</v>
      </c>
      <c r="Q1035">
        <f>IF(AND(O1035=0,P1035=0),"",IF(O1035=0,"ODOO-ONLY",IF(P1035=0,"BANK-ONLY","BOTH")))</f>
      </c>
      <c r="R1035" s="9">
        <f>IF(Q1035="BOTH",ROUND(M1035-N1035,2),0)</f>
        <v>0</v>
      </c>
      <c r="S1035" s="9">
        <f>ROUND(SUMIFS('Bank Lines'!$E$5:$E$1640,'Bank Lines'!$G$5:$G$1640,A1035,'Bank Lines'!$J$5:$J$1640,1,'Bank Lines'!$C$5:$C$1640,"&lt;="&amp;Cover!$C$14),2)</f>
        <v>2791.25</v>
      </c>
      <c r="T1035" s="9">
        <f>ROUND(SUMIFS('Odoo Items'!$G$5:$G$4331,'Odoo Items'!$J$5:$J$4331,A1035,'Odoo Items'!$C$5:$C$4331,"&lt;="&amp;Cover!$C$14),2)</f>
        <v>2791.25</v>
      </c>
      <c r="U1035">
        <f>COUNTIFS('Bank Lines'!$G$5:$G$1640,A1035,'Bank Lines'!$J$5:$J$1640,1,'Bank Lines'!$C$5:$C$1640,"&lt;="&amp;Cover!$C$14)</f>
        <v>1</v>
      </c>
      <c r="V1035">
        <f>COUNTIFS('Odoo Items'!$J$5:$J$4331,A1035,'Odoo Items'!$C$5:$C$4331,"&lt;="&amp;Cover!$C$14)</f>
        <v>1</v>
      </c>
      <c r="W1035" t="str">
        <f>IF(AND(U1035=0,V1035=0),"",IF(U1035=0,"ODOO-ONLY",IF(V1035=0,"BANK-ONLY","BOTH")))</f>
        <v>BOTH</v>
      </c>
      <c r="X1035" s="9">
        <f>IF(W1035="BOTH",ROUND(S1035-T1035,2),0)</f>
        <v>0</v>
      </c>
      <c r="Y1035" s="9">
        <f>ROUND(SUMIFS('Bank Lines'!$E$5:$E$1640,'Bank Lines'!$G$5:$G$1640,A1035,'Bank Lines'!$J$5:$J$1640,1,'Bank Lines'!$C$5:$C$1640,"&lt;="&amp;Cover!$C$15),2)</f>
        <v>2791.25</v>
      </c>
      <c r="Z1035" s="9">
        <f>ROUND(SUMIFS('Odoo Items'!$G$5:$G$4331,'Odoo Items'!$J$5:$J$4331,A1035,'Odoo Items'!$C$5:$C$4331,"&lt;="&amp;Cover!$C$15),2)</f>
        <v>2791.25</v>
      </c>
      <c r="AA1035">
        <f>COUNTIFS('Bank Lines'!$G$5:$G$1640,A1035,'Bank Lines'!$J$5:$J$1640,1,'Bank Lines'!$C$5:$C$1640,"&lt;="&amp;Cover!$C$15)</f>
        <v>1</v>
      </c>
      <c r="AB1035">
        <f>COUNTIFS('Odoo Items'!$J$5:$J$4331,A1035,'Odoo Items'!$C$5:$C$4331,"&lt;="&amp;Cover!$C$15)</f>
        <v>1</v>
      </c>
      <c r="AC1035" t="str">
        <f>IF(AND(AA1035=0,AB1035=0),"",IF(AA1035=0,"ODOO-ONLY",IF(AB1035=0,"BANK-ONLY","BOTH")))</f>
        <v>BOTH</v>
      </c>
      <c r="AD1035" s="9">
        <f>IF(AC1035="BOTH",ROUND(Y1035-Z1035,2),0)</f>
        <v>0</v>
      </c>
    </row>
    <row r="1036">
      <c r="A1036" t="inlineStr">
        <is>
          <t>G01032</t>
        </is>
      </c>
      <c r="B1036" t="inlineStr">
        <is>
          <t>OPS</t>
        </is>
      </c>
      <c r="C1036" t="inlineStr">
        <is>
          <t>R09</t>
        </is>
      </c>
      <c r="D1036" t="inlineStr">
        <is>
          <t>MATCH</t>
        </is>
      </c>
      <c r="E1036" t="inlineStr">
        <is>
          <t>Thornbury Textiles</t>
        </is>
      </c>
      <c r="F1036" t="n">
        <v>1</v>
      </c>
      <c r="G1036" t="inlineStr">
        <is>
          <t>Reference INV/2026/03568</t>
        </is>
      </c>
      <c r="H1036">
        <f>COUNTIFS('Bank Lines'!$G$5:$G$1640,A1036,'Bank Lines'!$J$5:$J$1640,1)</f>
        <v>1</v>
      </c>
      <c r="I1036">
        <f>COUNTIFS('Odoo Items'!$J$5:$J$4331,A1036)</f>
        <v>1</v>
      </c>
      <c r="J1036" s="9">
        <f>ROUND(SUMIFS('Bank Lines'!$E$5:$E$1640,'Bank Lines'!$G$5:$G$1640,A1036,'Bank Lines'!$J$5:$J$1640,1),2)</f>
        <v>3465</v>
      </c>
      <c r="K1036" s="9">
        <f>ROUND(SUMIFS('Odoo Items'!$G$5:$G$4331,'Odoo Items'!$J$5:$J$4331,A1036),2)</f>
        <v>3465</v>
      </c>
      <c r="L1036" s="9">
        <f>ROUND(J1036-K1036,2)</f>
        <v>0</v>
      </c>
      <c r="M1036" s="9">
        <f>ROUND(SUMIFS('Bank Lines'!$E$5:$E$1640,'Bank Lines'!$G$5:$G$1640,A1036,'Bank Lines'!$J$5:$J$1640,1,'Bank Lines'!$C$5:$C$1640,"&lt;="&amp;Cover!$C$13),2)</f>
        <v>0</v>
      </c>
      <c r="N1036" s="9">
        <f>ROUND(SUMIFS('Odoo Items'!$G$5:$G$4331,'Odoo Items'!$J$5:$J$4331,A1036,'Odoo Items'!$C$5:$C$4331,"&lt;="&amp;Cover!$C$13),2)</f>
        <v>0</v>
      </c>
      <c r="O1036">
        <f>COUNTIFS('Bank Lines'!$G$5:$G$1640,A1036,'Bank Lines'!$J$5:$J$1640,1,'Bank Lines'!$C$5:$C$1640,"&lt;="&amp;Cover!$C$13)</f>
        <v>0</v>
      </c>
      <c r="P1036">
        <f>COUNTIFS('Odoo Items'!$J$5:$J$4331,A1036,'Odoo Items'!$C$5:$C$4331,"&lt;="&amp;Cover!$C$13)</f>
        <v>0</v>
      </c>
      <c r="Q1036">
        <f>IF(AND(O1036=0,P1036=0),"",IF(O1036=0,"ODOO-ONLY",IF(P1036=0,"BANK-ONLY","BOTH")))</f>
      </c>
      <c r="R1036" s="9">
        <f>IF(Q1036="BOTH",ROUND(M1036-N1036,2),0)</f>
        <v>0</v>
      </c>
      <c r="S1036" s="9">
        <f>ROUND(SUMIFS('Bank Lines'!$E$5:$E$1640,'Bank Lines'!$G$5:$G$1640,A1036,'Bank Lines'!$J$5:$J$1640,1,'Bank Lines'!$C$5:$C$1640,"&lt;="&amp;Cover!$C$14),2)</f>
        <v>3465</v>
      </c>
      <c r="T1036" s="9">
        <f>ROUND(SUMIFS('Odoo Items'!$G$5:$G$4331,'Odoo Items'!$J$5:$J$4331,A1036,'Odoo Items'!$C$5:$C$4331,"&lt;="&amp;Cover!$C$14),2)</f>
        <v>3465</v>
      </c>
      <c r="U1036">
        <f>COUNTIFS('Bank Lines'!$G$5:$G$1640,A1036,'Bank Lines'!$J$5:$J$1640,1,'Bank Lines'!$C$5:$C$1640,"&lt;="&amp;Cover!$C$14)</f>
        <v>1</v>
      </c>
      <c r="V1036">
        <f>COUNTIFS('Odoo Items'!$J$5:$J$4331,A1036,'Odoo Items'!$C$5:$C$4331,"&lt;="&amp;Cover!$C$14)</f>
        <v>1</v>
      </c>
      <c r="W1036" t="str">
        <f>IF(AND(U1036=0,V1036=0),"",IF(U1036=0,"ODOO-ONLY",IF(V1036=0,"BANK-ONLY","BOTH")))</f>
        <v>BOTH</v>
      </c>
      <c r="X1036" s="9">
        <f>IF(W1036="BOTH",ROUND(S1036-T1036,2),0)</f>
        <v>0</v>
      </c>
      <c r="Y1036" s="9">
        <f>ROUND(SUMIFS('Bank Lines'!$E$5:$E$1640,'Bank Lines'!$G$5:$G$1640,A1036,'Bank Lines'!$J$5:$J$1640,1,'Bank Lines'!$C$5:$C$1640,"&lt;="&amp;Cover!$C$15),2)</f>
        <v>3465</v>
      </c>
      <c r="Z1036" s="9">
        <f>ROUND(SUMIFS('Odoo Items'!$G$5:$G$4331,'Odoo Items'!$J$5:$J$4331,A1036,'Odoo Items'!$C$5:$C$4331,"&lt;="&amp;Cover!$C$15),2)</f>
        <v>3465</v>
      </c>
      <c r="AA1036">
        <f>COUNTIFS('Bank Lines'!$G$5:$G$1640,A1036,'Bank Lines'!$J$5:$J$1640,1,'Bank Lines'!$C$5:$C$1640,"&lt;="&amp;Cover!$C$15)</f>
        <v>1</v>
      </c>
      <c r="AB1036">
        <f>COUNTIFS('Odoo Items'!$J$5:$J$4331,A1036,'Odoo Items'!$C$5:$C$4331,"&lt;="&amp;Cover!$C$15)</f>
        <v>1</v>
      </c>
      <c r="AC1036" t="str">
        <f>IF(AND(AA1036=0,AB1036=0),"",IF(AA1036=0,"ODOO-ONLY",IF(AB1036=0,"BANK-ONLY","BOTH")))</f>
        <v>BOTH</v>
      </c>
      <c r="AD1036" s="9">
        <f>IF(AC1036="BOTH",ROUND(Y1036-Z1036,2),0)</f>
        <v>0</v>
      </c>
    </row>
    <row r="1037">
      <c r="A1037" t="inlineStr">
        <is>
          <t>G01033</t>
        </is>
      </c>
      <c r="B1037" t="inlineStr">
        <is>
          <t>OPS</t>
        </is>
      </c>
      <c r="C1037" t="inlineStr">
        <is>
          <t>R09</t>
        </is>
      </c>
      <c r="D1037" t="inlineStr">
        <is>
          <t>MATCH</t>
        </is>
      </c>
      <c r="E1037" t="inlineStr">
        <is>
          <t>Coastline Health Fund</t>
        </is>
      </c>
      <c r="F1037" t="n">
        <v>1</v>
      </c>
      <c r="G1037" t="inlineStr">
        <is>
          <t>Reference INV/2026/02610</t>
        </is>
      </c>
      <c r="H1037">
        <f>COUNTIFS('Bank Lines'!$G$5:$G$1640,A1037,'Bank Lines'!$J$5:$J$1640,1)</f>
        <v>1</v>
      </c>
      <c r="I1037">
        <f>COUNTIFS('Odoo Items'!$J$5:$J$4331,A1037)</f>
        <v>1</v>
      </c>
      <c r="J1037" s="9">
        <f>ROUND(SUMIFS('Bank Lines'!$E$5:$E$1640,'Bank Lines'!$G$5:$G$1640,A1037,'Bank Lines'!$J$5:$J$1640,1),2)</f>
        <v>88</v>
      </c>
      <c r="K1037" s="9">
        <f>ROUND(SUMIFS('Odoo Items'!$G$5:$G$4331,'Odoo Items'!$J$5:$J$4331,A1037),2)</f>
        <v>88</v>
      </c>
      <c r="L1037" s="9">
        <f>ROUND(J1037-K1037,2)</f>
        <v>0</v>
      </c>
      <c r="M1037" s="9">
        <f>ROUND(SUMIFS('Bank Lines'!$E$5:$E$1640,'Bank Lines'!$G$5:$G$1640,A1037,'Bank Lines'!$J$5:$J$1640,1,'Bank Lines'!$C$5:$C$1640,"&lt;="&amp;Cover!$C$13),2)</f>
        <v>0</v>
      </c>
      <c r="N1037" s="9">
        <f>ROUND(SUMIFS('Odoo Items'!$G$5:$G$4331,'Odoo Items'!$J$5:$J$4331,A1037,'Odoo Items'!$C$5:$C$4331,"&lt;="&amp;Cover!$C$13),2)</f>
        <v>0</v>
      </c>
      <c r="O1037">
        <f>COUNTIFS('Bank Lines'!$G$5:$G$1640,A1037,'Bank Lines'!$J$5:$J$1640,1,'Bank Lines'!$C$5:$C$1640,"&lt;="&amp;Cover!$C$13)</f>
        <v>0</v>
      </c>
      <c r="P1037">
        <f>COUNTIFS('Odoo Items'!$J$5:$J$4331,A1037,'Odoo Items'!$C$5:$C$4331,"&lt;="&amp;Cover!$C$13)</f>
        <v>0</v>
      </c>
      <c r="Q1037">
        <f>IF(AND(O1037=0,P1037=0),"",IF(O1037=0,"ODOO-ONLY",IF(P1037=0,"BANK-ONLY","BOTH")))</f>
      </c>
      <c r="R1037" s="9">
        <f>IF(Q1037="BOTH",ROUND(M1037-N1037,2),0)</f>
        <v>0</v>
      </c>
      <c r="S1037" s="9">
        <f>ROUND(SUMIFS('Bank Lines'!$E$5:$E$1640,'Bank Lines'!$G$5:$G$1640,A1037,'Bank Lines'!$J$5:$J$1640,1,'Bank Lines'!$C$5:$C$1640,"&lt;="&amp;Cover!$C$14),2)</f>
        <v>88</v>
      </c>
      <c r="T1037" s="9">
        <f>ROUND(SUMIFS('Odoo Items'!$G$5:$G$4331,'Odoo Items'!$J$5:$J$4331,A1037,'Odoo Items'!$C$5:$C$4331,"&lt;="&amp;Cover!$C$14),2)</f>
        <v>0</v>
      </c>
      <c r="U1037">
        <f>COUNTIFS('Bank Lines'!$G$5:$G$1640,A1037,'Bank Lines'!$J$5:$J$1640,1,'Bank Lines'!$C$5:$C$1640,"&lt;="&amp;Cover!$C$14)</f>
        <v>1</v>
      </c>
      <c r="V1037">
        <f>COUNTIFS('Odoo Items'!$J$5:$J$4331,A1037,'Odoo Items'!$C$5:$C$4331,"&lt;="&amp;Cover!$C$14)</f>
        <v>0</v>
      </c>
      <c r="W1037" t="str">
        <f>IF(AND(U1037=0,V1037=0),"",IF(U1037=0,"ODOO-ONLY",IF(V1037=0,"BANK-ONLY","BOTH")))</f>
        <v>BANK-ONLY</v>
      </c>
      <c r="X1037" s="9">
        <f>IF(W1037="BOTH",ROUND(S1037-T1037,2),0)</f>
        <v>0</v>
      </c>
      <c r="Y1037" s="9">
        <f>ROUND(SUMIFS('Bank Lines'!$E$5:$E$1640,'Bank Lines'!$G$5:$G$1640,A1037,'Bank Lines'!$J$5:$J$1640,1,'Bank Lines'!$C$5:$C$1640,"&lt;="&amp;Cover!$C$15),2)</f>
        <v>88</v>
      </c>
      <c r="Z1037" s="9">
        <f>ROUND(SUMIFS('Odoo Items'!$G$5:$G$4331,'Odoo Items'!$J$5:$J$4331,A1037,'Odoo Items'!$C$5:$C$4331,"&lt;="&amp;Cover!$C$15),2)</f>
        <v>88</v>
      </c>
      <c r="AA1037">
        <f>COUNTIFS('Bank Lines'!$G$5:$G$1640,A1037,'Bank Lines'!$J$5:$J$1640,1,'Bank Lines'!$C$5:$C$1640,"&lt;="&amp;Cover!$C$15)</f>
        <v>1</v>
      </c>
      <c r="AB1037">
        <f>COUNTIFS('Odoo Items'!$J$5:$J$4331,A1037,'Odoo Items'!$C$5:$C$4331,"&lt;="&amp;Cover!$C$15)</f>
        <v>1</v>
      </c>
      <c r="AC1037" t="str">
        <f>IF(AND(AA1037=0,AB1037=0),"",IF(AA1037=0,"ODOO-ONLY",IF(AB1037=0,"BANK-ONLY","BOTH")))</f>
        <v>BOTH</v>
      </c>
      <c r="AD1037" s="9">
        <f>IF(AC1037="BOTH",ROUND(Y1037-Z1037,2),0)</f>
        <v>0</v>
      </c>
    </row>
    <row r="1038">
      <c r="A1038" t="inlineStr">
        <is>
          <t>G01034</t>
        </is>
      </c>
      <c r="B1038" t="inlineStr">
        <is>
          <t>OPS</t>
        </is>
      </c>
      <c r="C1038" t="inlineStr">
        <is>
          <t>R09</t>
        </is>
      </c>
      <c r="D1038" t="inlineStr">
        <is>
          <t>MATCH</t>
        </is>
      </c>
      <c r="E1038" t="inlineStr">
        <is>
          <t>Unity Workcover Agents</t>
        </is>
      </c>
      <c r="F1038" t="n">
        <v>1</v>
      </c>
      <c r="G1038" t="inlineStr">
        <is>
          <t>Reference INV/2026/02655</t>
        </is>
      </c>
      <c r="H1038">
        <f>COUNTIFS('Bank Lines'!$G$5:$G$1640,A1038,'Bank Lines'!$J$5:$J$1640,1)</f>
        <v>1</v>
      </c>
      <c r="I1038">
        <f>COUNTIFS('Odoo Items'!$J$5:$J$4331,A1038)</f>
        <v>1</v>
      </c>
      <c r="J1038" s="9">
        <f>ROUND(SUMIFS('Bank Lines'!$E$5:$E$1640,'Bank Lines'!$G$5:$G$1640,A1038,'Bank Lines'!$J$5:$J$1640,1),2)</f>
        <v>412.5</v>
      </c>
      <c r="K1038" s="9">
        <f>ROUND(SUMIFS('Odoo Items'!$G$5:$G$4331,'Odoo Items'!$J$5:$J$4331,A1038),2)</f>
        <v>412.5</v>
      </c>
      <c r="L1038" s="9">
        <f>ROUND(J1038-K1038,2)</f>
        <v>0</v>
      </c>
      <c r="M1038" s="9">
        <f>ROUND(SUMIFS('Bank Lines'!$E$5:$E$1640,'Bank Lines'!$G$5:$G$1640,A1038,'Bank Lines'!$J$5:$J$1640,1,'Bank Lines'!$C$5:$C$1640,"&lt;="&amp;Cover!$C$13),2)</f>
        <v>0</v>
      </c>
      <c r="N1038" s="9">
        <f>ROUND(SUMIFS('Odoo Items'!$G$5:$G$4331,'Odoo Items'!$J$5:$J$4331,A1038,'Odoo Items'!$C$5:$C$4331,"&lt;="&amp;Cover!$C$13),2)</f>
        <v>0</v>
      </c>
      <c r="O1038">
        <f>COUNTIFS('Bank Lines'!$G$5:$G$1640,A1038,'Bank Lines'!$J$5:$J$1640,1,'Bank Lines'!$C$5:$C$1640,"&lt;="&amp;Cover!$C$13)</f>
        <v>0</v>
      </c>
      <c r="P1038">
        <f>COUNTIFS('Odoo Items'!$J$5:$J$4331,A1038,'Odoo Items'!$C$5:$C$4331,"&lt;="&amp;Cover!$C$13)</f>
        <v>0</v>
      </c>
      <c r="Q1038">
        <f>IF(AND(O1038=0,P1038=0),"",IF(O1038=0,"ODOO-ONLY",IF(P1038=0,"BANK-ONLY","BOTH")))</f>
      </c>
      <c r="R1038" s="9">
        <f>IF(Q1038="BOTH",ROUND(M1038-N1038,2),0)</f>
        <v>0</v>
      </c>
      <c r="S1038" s="9">
        <f>ROUND(SUMIFS('Bank Lines'!$E$5:$E$1640,'Bank Lines'!$G$5:$G$1640,A1038,'Bank Lines'!$J$5:$J$1640,1,'Bank Lines'!$C$5:$C$1640,"&lt;="&amp;Cover!$C$14),2)</f>
        <v>412.5</v>
      </c>
      <c r="T1038" s="9">
        <f>ROUND(SUMIFS('Odoo Items'!$G$5:$G$4331,'Odoo Items'!$J$5:$J$4331,A1038,'Odoo Items'!$C$5:$C$4331,"&lt;="&amp;Cover!$C$14),2)</f>
        <v>412.5</v>
      </c>
      <c r="U1038">
        <f>COUNTIFS('Bank Lines'!$G$5:$G$1640,A1038,'Bank Lines'!$J$5:$J$1640,1,'Bank Lines'!$C$5:$C$1640,"&lt;="&amp;Cover!$C$14)</f>
        <v>1</v>
      </c>
      <c r="V1038">
        <f>COUNTIFS('Odoo Items'!$J$5:$J$4331,A1038,'Odoo Items'!$C$5:$C$4331,"&lt;="&amp;Cover!$C$14)</f>
        <v>1</v>
      </c>
      <c r="W1038" t="str">
        <f>IF(AND(U1038=0,V1038=0),"",IF(U1038=0,"ODOO-ONLY",IF(V1038=0,"BANK-ONLY","BOTH")))</f>
        <v>BOTH</v>
      </c>
      <c r="X1038" s="9">
        <f>IF(W1038="BOTH",ROUND(S1038-T1038,2),0)</f>
        <v>0</v>
      </c>
      <c r="Y1038" s="9">
        <f>ROUND(SUMIFS('Bank Lines'!$E$5:$E$1640,'Bank Lines'!$G$5:$G$1640,A1038,'Bank Lines'!$J$5:$J$1640,1,'Bank Lines'!$C$5:$C$1640,"&lt;="&amp;Cover!$C$15),2)</f>
        <v>412.5</v>
      </c>
      <c r="Z1038" s="9">
        <f>ROUND(SUMIFS('Odoo Items'!$G$5:$G$4331,'Odoo Items'!$J$5:$J$4331,A1038,'Odoo Items'!$C$5:$C$4331,"&lt;="&amp;Cover!$C$15),2)</f>
        <v>412.5</v>
      </c>
      <c r="AA1038">
        <f>COUNTIFS('Bank Lines'!$G$5:$G$1640,A1038,'Bank Lines'!$J$5:$J$1640,1,'Bank Lines'!$C$5:$C$1640,"&lt;="&amp;Cover!$C$15)</f>
        <v>1</v>
      </c>
      <c r="AB1038">
        <f>COUNTIFS('Odoo Items'!$J$5:$J$4331,A1038,'Odoo Items'!$C$5:$C$4331,"&lt;="&amp;Cover!$C$15)</f>
        <v>1</v>
      </c>
      <c r="AC1038" t="str">
        <f>IF(AND(AA1038=0,AB1038=0),"",IF(AA1038=0,"ODOO-ONLY",IF(AB1038=0,"BANK-ONLY","BOTH")))</f>
        <v>BOTH</v>
      </c>
      <c r="AD1038" s="9">
        <f>IF(AC1038="BOTH",ROUND(Y1038-Z1038,2),0)</f>
        <v>0</v>
      </c>
    </row>
    <row r="1039">
      <c r="A1039" t="inlineStr">
        <is>
          <t>G01035</t>
        </is>
      </c>
      <c r="B1039" t="inlineStr">
        <is>
          <t>OPS</t>
        </is>
      </c>
      <c r="C1039" t="inlineStr">
        <is>
          <t>R09</t>
        </is>
      </c>
      <c r="D1039" t="inlineStr">
        <is>
          <t>MATCH</t>
        </is>
      </c>
      <c r="E1039" t="inlineStr">
        <is>
          <t>Brightwater Civil Pty Ltd</t>
        </is>
      </c>
      <c r="F1039" t="n">
        <v>1</v>
      </c>
      <c r="G1039" t="inlineStr">
        <is>
          <t>Reference INV/2026/03467</t>
        </is>
      </c>
      <c r="H1039">
        <f>COUNTIFS('Bank Lines'!$G$5:$G$1640,A1039,'Bank Lines'!$J$5:$J$1640,1)</f>
        <v>1</v>
      </c>
      <c r="I1039">
        <f>COUNTIFS('Odoo Items'!$J$5:$J$4331,A1039)</f>
        <v>1</v>
      </c>
      <c r="J1039" s="9">
        <f>ROUND(SUMIFS('Bank Lines'!$E$5:$E$1640,'Bank Lines'!$G$5:$G$1640,A1039,'Bank Lines'!$J$5:$J$1640,1),2)</f>
        <v>2640</v>
      </c>
      <c r="K1039" s="9">
        <f>ROUND(SUMIFS('Odoo Items'!$G$5:$G$4331,'Odoo Items'!$J$5:$J$4331,A1039),2)</f>
        <v>2640</v>
      </c>
      <c r="L1039" s="9">
        <f>ROUND(J1039-K1039,2)</f>
        <v>0</v>
      </c>
      <c r="M1039" s="9">
        <f>ROUND(SUMIFS('Bank Lines'!$E$5:$E$1640,'Bank Lines'!$G$5:$G$1640,A1039,'Bank Lines'!$J$5:$J$1640,1,'Bank Lines'!$C$5:$C$1640,"&lt;="&amp;Cover!$C$13),2)</f>
        <v>0</v>
      </c>
      <c r="N1039" s="9">
        <f>ROUND(SUMIFS('Odoo Items'!$G$5:$G$4331,'Odoo Items'!$J$5:$J$4331,A1039,'Odoo Items'!$C$5:$C$4331,"&lt;="&amp;Cover!$C$13),2)</f>
        <v>0</v>
      </c>
      <c r="O1039">
        <f>COUNTIFS('Bank Lines'!$G$5:$G$1640,A1039,'Bank Lines'!$J$5:$J$1640,1,'Bank Lines'!$C$5:$C$1640,"&lt;="&amp;Cover!$C$13)</f>
        <v>0</v>
      </c>
      <c r="P1039">
        <f>COUNTIFS('Odoo Items'!$J$5:$J$4331,A1039,'Odoo Items'!$C$5:$C$4331,"&lt;="&amp;Cover!$C$13)</f>
        <v>0</v>
      </c>
      <c r="Q1039">
        <f>IF(AND(O1039=0,P1039=0),"",IF(O1039=0,"ODOO-ONLY",IF(P1039=0,"BANK-ONLY","BOTH")))</f>
      </c>
      <c r="R1039" s="9">
        <f>IF(Q1039="BOTH",ROUND(M1039-N1039,2),0)</f>
        <v>0</v>
      </c>
      <c r="S1039" s="9">
        <f>ROUND(SUMIFS('Bank Lines'!$E$5:$E$1640,'Bank Lines'!$G$5:$G$1640,A1039,'Bank Lines'!$J$5:$J$1640,1,'Bank Lines'!$C$5:$C$1640,"&lt;="&amp;Cover!$C$14),2)</f>
        <v>2640</v>
      </c>
      <c r="T1039" s="9">
        <f>ROUND(SUMIFS('Odoo Items'!$G$5:$G$4331,'Odoo Items'!$J$5:$J$4331,A1039,'Odoo Items'!$C$5:$C$4331,"&lt;="&amp;Cover!$C$14),2)</f>
        <v>0</v>
      </c>
      <c r="U1039">
        <f>COUNTIFS('Bank Lines'!$G$5:$G$1640,A1039,'Bank Lines'!$J$5:$J$1640,1,'Bank Lines'!$C$5:$C$1640,"&lt;="&amp;Cover!$C$14)</f>
        <v>1</v>
      </c>
      <c r="V1039">
        <f>COUNTIFS('Odoo Items'!$J$5:$J$4331,A1039,'Odoo Items'!$C$5:$C$4331,"&lt;="&amp;Cover!$C$14)</f>
        <v>0</v>
      </c>
      <c r="W1039" t="str">
        <f>IF(AND(U1039=0,V1039=0),"",IF(U1039=0,"ODOO-ONLY",IF(V1039=0,"BANK-ONLY","BOTH")))</f>
        <v>BANK-ONLY</v>
      </c>
      <c r="X1039" s="9">
        <f>IF(W1039="BOTH",ROUND(S1039-T1039,2),0)</f>
        <v>0</v>
      </c>
      <c r="Y1039" s="9">
        <f>ROUND(SUMIFS('Bank Lines'!$E$5:$E$1640,'Bank Lines'!$G$5:$G$1640,A1039,'Bank Lines'!$J$5:$J$1640,1,'Bank Lines'!$C$5:$C$1640,"&lt;="&amp;Cover!$C$15),2)</f>
        <v>2640</v>
      </c>
      <c r="Z1039" s="9">
        <f>ROUND(SUMIFS('Odoo Items'!$G$5:$G$4331,'Odoo Items'!$J$5:$J$4331,A1039,'Odoo Items'!$C$5:$C$4331,"&lt;="&amp;Cover!$C$15),2)</f>
        <v>2640</v>
      </c>
      <c r="AA1039">
        <f>COUNTIFS('Bank Lines'!$G$5:$G$1640,A1039,'Bank Lines'!$J$5:$J$1640,1,'Bank Lines'!$C$5:$C$1640,"&lt;="&amp;Cover!$C$15)</f>
        <v>1</v>
      </c>
      <c r="AB1039">
        <f>COUNTIFS('Odoo Items'!$J$5:$J$4331,A1039,'Odoo Items'!$C$5:$C$4331,"&lt;="&amp;Cover!$C$15)</f>
        <v>1</v>
      </c>
      <c r="AC1039" t="str">
        <f>IF(AND(AA1039=0,AB1039=0),"",IF(AA1039=0,"ODOO-ONLY",IF(AB1039=0,"BANK-ONLY","BOTH")))</f>
        <v>BOTH</v>
      </c>
      <c r="AD1039" s="9">
        <f>IF(AC1039="BOTH",ROUND(Y1039-Z1039,2),0)</f>
        <v>0</v>
      </c>
    </row>
    <row r="1040">
      <c r="A1040" t="inlineStr">
        <is>
          <t>G01036</t>
        </is>
      </c>
      <c r="B1040" t="inlineStr">
        <is>
          <t>OPS</t>
        </is>
      </c>
      <c r="C1040" t="inlineStr">
        <is>
          <t>R09</t>
        </is>
      </c>
      <c r="D1040" t="inlineStr">
        <is>
          <t>MATCH</t>
        </is>
      </c>
      <c r="E1040" t="inlineStr">
        <is>
          <t>Hartigan Transport</t>
        </is>
      </c>
      <c r="F1040" t="n">
        <v>1</v>
      </c>
      <c r="G1040" t="inlineStr">
        <is>
          <t>Reference INV/2026/03532</t>
        </is>
      </c>
      <c r="H1040">
        <f>COUNTIFS('Bank Lines'!$G$5:$G$1640,A1040,'Bank Lines'!$J$5:$J$1640,1)</f>
        <v>1</v>
      </c>
      <c r="I1040">
        <f>COUNTIFS('Odoo Items'!$J$5:$J$4331,A1040)</f>
        <v>1</v>
      </c>
      <c r="J1040" s="9">
        <f>ROUND(SUMIFS('Bank Lines'!$E$5:$E$1640,'Bank Lines'!$G$5:$G$1640,A1040,'Bank Lines'!$J$5:$J$1640,1),2)</f>
        <v>1320</v>
      </c>
      <c r="K1040" s="9">
        <f>ROUND(SUMIFS('Odoo Items'!$G$5:$G$4331,'Odoo Items'!$J$5:$J$4331,A1040),2)</f>
        <v>1320</v>
      </c>
      <c r="L1040" s="9">
        <f>ROUND(J1040-K1040,2)</f>
        <v>0</v>
      </c>
      <c r="M1040" s="9">
        <f>ROUND(SUMIFS('Bank Lines'!$E$5:$E$1640,'Bank Lines'!$G$5:$G$1640,A1040,'Bank Lines'!$J$5:$J$1640,1,'Bank Lines'!$C$5:$C$1640,"&lt;="&amp;Cover!$C$13),2)</f>
        <v>0</v>
      </c>
      <c r="N1040" s="9">
        <f>ROUND(SUMIFS('Odoo Items'!$G$5:$G$4331,'Odoo Items'!$J$5:$J$4331,A1040,'Odoo Items'!$C$5:$C$4331,"&lt;="&amp;Cover!$C$13),2)</f>
        <v>0</v>
      </c>
      <c r="O1040">
        <f>COUNTIFS('Bank Lines'!$G$5:$G$1640,A1040,'Bank Lines'!$J$5:$J$1640,1,'Bank Lines'!$C$5:$C$1640,"&lt;="&amp;Cover!$C$13)</f>
        <v>0</v>
      </c>
      <c r="P1040">
        <f>COUNTIFS('Odoo Items'!$J$5:$J$4331,A1040,'Odoo Items'!$C$5:$C$4331,"&lt;="&amp;Cover!$C$13)</f>
        <v>0</v>
      </c>
      <c r="Q1040">
        <f>IF(AND(O1040=0,P1040=0),"",IF(O1040=0,"ODOO-ONLY",IF(P1040=0,"BANK-ONLY","BOTH")))</f>
      </c>
      <c r="R1040" s="9">
        <f>IF(Q1040="BOTH",ROUND(M1040-N1040,2),0)</f>
        <v>0</v>
      </c>
      <c r="S1040" s="9">
        <f>ROUND(SUMIFS('Bank Lines'!$E$5:$E$1640,'Bank Lines'!$G$5:$G$1640,A1040,'Bank Lines'!$J$5:$J$1640,1,'Bank Lines'!$C$5:$C$1640,"&lt;="&amp;Cover!$C$14),2)</f>
        <v>1320</v>
      </c>
      <c r="T1040" s="9">
        <f>ROUND(SUMIFS('Odoo Items'!$G$5:$G$4331,'Odoo Items'!$J$5:$J$4331,A1040,'Odoo Items'!$C$5:$C$4331,"&lt;="&amp;Cover!$C$14),2)</f>
        <v>1320</v>
      </c>
      <c r="U1040">
        <f>COUNTIFS('Bank Lines'!$G$5:$G$1640,A1040,'Bank Lines'!$J$5:$J$1640,1,'Bank Lines'!$C$5:$C$1640,"&lt;="&amp;Cover!$C$14)</f>
        <v>1</v>
      </c>
      <c r="V1040">
        <f>COUNTIFS('Odoo Items'!$J$5:$J$4331,A1040,'Odoo Items'!$C$5:$C$4331,"&lt;="&amp;Cover!$C$14)</f>
        <v>1</v>
      </c>
      <c r="W1040" t="str">
        <f>IF(AND(U1040=0,V1040=0),"",IF(U1040=0,"ODOO-ONLY",IF(V1040=0,"BANK-ONLY","BOTH")))</f>
        <v>BOTH</v>
      </c>
      <c r="X1040" s="9">
        <f>IF(W1040="BOTH",ROUND(S1040-T1040,2),0)</f>
        <v>0</v>
      </c>
      <c r="Y1040" s="9">
        <f>ROUND(SUMIFS('Bank Lines'!$E$5:$E$1640,'Bank Lines'!$G$5:$G$1640,A1040,'Bank Lines'!$J$5:$J$1640,1,'Bank Lines'!$C$5:$C$1640,"&lt;="&amp;Cover!$C$15),2)</f>
        <v>1320</v>
      </c>
      <c r="Z1040" s="9">
        <f>ROUND(SUMIFS('Odoo Items'!$G$5:$G$4331,'Odoo Items'!$J$5:$J$4331,A1040,'Odoo Items'!$C$5:$C$4331,"&lt;="&amp;Cover!$C$15),2)</f>
        <v>1320</v>
      </c>
      <c r="AA1040">
        <f>COUNTIFS('Bank Lines'!$G$5:$G$1640,A1040,'Bank Lines'!$J$5:$J$1640,1,'Bank Lines'!$C$5:$C$1640,"&lt;="&amp;Cover!$C$15)</f>
        <v>1</v>
      </c>
      <c r="AB1040">
        <f>COUNTIFS('Odoo Items'!$J$5:$J$4331,A1040,'Odoo Items'!$C$5:$C$4331,"&lt;="&amp;Cover!$C$15)</f>
        <v>1</v>
      </c>
      <c r="AC1040" t="str">
        <f>IF(AND(AA1040=0,AB1040=0),"",IF(AA1040=0,"ODOO-ONLY",IF(AB1040=0,"BANK-ONLY","BOTH")))</f>
        <v>BOTH</v>
      </c>
      <c r="AD1040" s="9">
        <f>IF(AC1040="BOTH",ROUND(Y1040-Z1040,2),0)</f>
        <v>0</v>
      </c>
    </row>
    <row r="1041">
      <c r="A1041" t="inlineStr">
        <is>
          <t>G01037</t>
        </is>
      </c>
      <c r="B1041" t="inlineStr">
        <is>
          <t>OPS</t>
        </is>
      </c>
      <c r="C1041" t="inlineStr">
        <is>
          <t>R09</t>
        </is>
      </c>
      <c r="D1041" t="inlineStr">
        <is>
          <t>MATCH</t>
        </is>
      </c>
      <c r="E1041" t="inlineStr">
        <is>
          <t>Sorrento Bay Hotels</t>
        </is>
      </c>
      <c r="F1041" t="n">
        <v>0.944</v>
      </c>
      <c r="G1041" t="inlineStr">
        <is>
          <t>Reference INV/2026/03485</t>
        </is>
      </c>
      <c r="H1041">
        <f>COUNTIFS('Bank Lines'!$G$5:$G$1640,A1041,'Bank Lines'!$J$5:$J$1640,1)</f>
        <v>1</v>
      </c>
      <c r="I1041">
        <f>COUNTIFS('Odoo Items'!$J$5:$J$4331,A1041)</f>
        <v>1</v>
      </c>
      <c r="J1041" s="9">
        <f>ROUND(SUMIFS('Bank Lines'!$E$5:$E$1640,'Bank Lines'!$G$5:$G$1640,A1041,'Bank Lines'!$J$5:$J$1640,1),2)</f>
        <v>16101.25</v>
      </c>
      <c r="K1041" s="9">
        <f>ROUND(SUMIFS('Odoo Items'!$G$5:$G$4331,'Odoo Items'!$J$5:$J$4331,A1041),2)</f>
        <v>16101.25</v>
      </c>
      <c r="L1041" s="9">
        <f>ROUND(J1041-K1041,2)</f>
        <v>0</v>
      </c>
      <c r="M1041" s="9">
        <f>ROUND(SUMIFS('Bank Lines'!$E$5:$E$1640,'Bank Lines'!$G$5:$G$1640,A1041,'Bank Lines'!$J$5:$J$1640,1,'Bank Lines'!$C$5:$C$1640,"&lt;="&amp;Cover!$C$13),2)</f>
        <v>0</v>
      </c>
      <c r="N1041" s="9">
        <f>ROUND(SUMIFS('Odoo Items'!$G$5:$G$4331,'Odoo Items'!$J$5:$J$4331,A1041,'Odoo Items'!$C$5:$C$4331,"&lt;="&amp;Cover!$C$13),2)</f>
        <v>0</v>
      </c>
      <c r="O1041">
        <f>COUNTIFS('Bank Lines'!$G$5:$G$1640,A1041,'Bank Lines'!$J$5:$J$1640,1,'Bank Lines'!$C$5:$C$1640,"&lt;="&amp;Cover!$C$13)</f>
        <v>0</v>
      </c>
      <c r="P1041">
        <f>COUNTIFS('Odoo Items'!$J$5:$J$4331,A1041,'Odoo Items'!$C$5:$C$4331,"&lt;="&amp;Cover!$C$13)</f>
        <v>0</v>
      </c>
      <c r="Q1041">
        <f>IF(AND(O1041=0,P1041=0),"",IF(O1041=0,"ODOO-ONLY",IF(P1041=0,"BANK-ONLY","BOTH")))</f>
      </c>
      <c r="R1041" s="9">
        <f>IF(Q1041="BOTH",ROUND(M1041-N1041,2),0)</f>
        <v>0</v>
      </c>
      <c r="S1041" s="9">
        <f>ROUND(SUMIFS('Bank Lines'!$E$5:$E$1640,'Bank Lines'!$G$5:$G$1640,A1041,'Bank Lines'!$J$5:$J$1640,1,'Bank Lines'!$C$5:$C$1640,"&lt;="&amp;Cover!$C$14),2)</f>
        <v>16101.25</v>
      </c>
      <c r="T1041" s="9">
        <f>ROUND(SUMIFS('Odoo Items'!$G$5:$G$4331,'Odoo Items'!$J$5:$J$4331,A1041,'Odoo Items'!$C$5:$C$4331,"&lt;="&amp;Cover!$C$14),2)</f>
        <v>0</v>
      </c>
      <c r="U1041">
        <f>COUNTIFS('Bank Lines'!$G$5:$G$1640,A1041,'Bank Lines'!$J$5:$J$1640,1,'Bank Lines'!$C$5:$C$1640,"&lt;="&amp;Cover!$C$14)</f>
        <v>1</v>
      </c>
      <c r="V1041">
        <f>COUNTIFS('Odoo Items'!$J$5:$J$4331,A1041,'Odoo Items'!$C$5:$C$4331,"&lt;="&amp;Cover!$C$14)</f>
        <v>0</v>
      </c>
      <c r="W1041" t="str">
        <f>IF(AND(U1041=0,V1041=0),"",IF(U1041=0,"ODOO-ONLY",IF(V1041=0,"BANK-ONLY","BOTH")))</f>
        <v>BANK-ONLY</v>
      </c>
      <c r="X1041" s="9">
        <f>IF(W1041="BOTH",ROUND(S1041-T1041,2),0)</f>
        <v>0</v>
      </c>
      <c r="Y1041" s="9">
        <f>ROUND(SUMIFS('Bank Lines'!$E$5:$E$1640,'Bank Lines'!$G$5:$G$1640,A1041,'Bank Lines'!$J$5:$J$1640,1,'Bank Lines'!$C$5:$C$1640,"&lt;="&amp;Cover!$C$15),2)</f>
        <v>16101.25</v>
      </c>
      <c r="Z1041" s="9">
        <f>ROUND(SUMIFS('Odoo Items'!$G$5:$G$4331,'Odoo Items'!$J$5:$J$4331,A1041,'Odoo Items'!$C$5:$C$4331,"&lt;="&amp;Cover!$C$15),2)</f>
        <v>16101.25</v>
      </c>
      <c r="AA1041">
        <f>COUNTIFS('Bank Lines'!$G$5:$G$1640,A1041,'Bank Lines'!$J$5:$J$1640,1,'Bank Lines'!$C$5:$C$1640,"&lt;="&amp;Cover!$C$15)</f>
        <v>1</v>
      </c>
      <c r="AB1041">
        <f>COUNTIFS('Odoo Items'!$J$5:$J$4331,A1041,'Odoo Items'!$C$5:$C$4331,"&lt;="&amp;Cover!$C$15)</f>
        <v>1</v>
      </c>
      <c r="AC1041" t="str">
        <f>IF(AND(AA1041=0,AB1041=0),"",IF(AA1041=0,"ODOO-ONLY",IF(AB1041=0,"BANK-ONLY","BOTH")))</f>
        <v>BOTH</v>
      </c>
      <c r="AD1041" s="9">
        <f>IF(AC1041="BOTH",ROUND(Y1041-Z1041,2),0)</f>
        <v>0</v>
      </c>
    </row>
    <row r="1042">
      <c r="A1042" t="inlineStr">
        <is>
          <t>G01038</t>
        </is>
      </c>
      <c r="B1042" t="inlineStr">
        <is>
          <t>OPS</t>
        </is>
      </c>
      <c r="C1042" t="inlineStr">
        <is>
          <t>R09</t>
        </is>
      </c>
      <c r="D1042" t="inlineStr">
        <is>
          <t>MATCH</t>
        </is>
      </c>
      <c r="E1042" t="inlineStr">
        <is>
          <t>Gilmour Steel Pty Ltd</t>
        </is>
      </c>
      <c r="F1042" t="n">
        <v>1</v>
      </c>
      <c r="G1042" t="inlineStr">
        <is>
          <t>Reference INV/2026/03497</t>
        </is>
      </c>
      <c r="H1042">
        <f>COUNTIFS('Bank Lines'!$G$5:$G$1640,A1042,'Bank Lines'!$J$5:$J$1640,1)</f>
        <v>1</v>
      </c>
      <c r="I1042">
        <f>COUNTIFS('Odoo Items'!$J$5:$J$4331,A1042)</f>
        <v>1</v>
      </c>
      <c r="J1042" s="9">
        <f>ROUND(SUMIFS('Bank Lines'!$E$5:$E$1640,'Bank Lines'!$G$5:$G$1640,A1042,'Bank Lines'!$J$5:$J$1640,1),2)</f>
        <v>2117.5</v>
      </c>
      <c r="K1042" s="9">
        <f>ROUND(SUMIFS('Odoo Items'!$G$5:$G$4331,'Odoo Items'!$J$5:$J$4331,A1042),2)</f>
        <v>2117.5</v>
      </c>
      <c r="L1042" s="9">
        <f>ROUND(J1042-K1042,2)</f>
        <v>0</v>
      </c>
      <c r="M1042" s="9">
        <f>ROUND(SUMIFS('Bank Lines'!$E$5:$E$1640,'Bank Lines'!$G$5:$G$1640,A1042,'Bank Lines'!$J$5:$J$1640,1,'Bank Lines'!$C$5:$C$1640,"&lt;="&amp;Cover!$C$13),2)</f>
        <v>0</v>
      </c>
      <c r="N1042" s="9">
        <f>ROUND(SUMIFS('Odoo Items'!$G$5:$G$4331,'Odoo Items'!$J$5:$J$4331,A1042,'Odoo Items'!$C$5:$C$4331,"&lt;="&amp;Cover!$C$13),2)</f>
        <v>0</v>
      </c>
      <c r="O1042">
        <f>COUNTIFS('Bank Lines'!$G$5:$G$1640,A1042,'Bank Lines'!$J$5:$J$1640,1,'Bank Lines'!$C$5:$C$1640,"&lt;="&amp;Cover!$C$13)</f>
        <v>0</v>
      </c>
      <c r="P1042">
        <f>COUNTIFS('Odoo Items'!$J$5:$J$4331,A1042,'Odoo Items'!$C$5:$C$4331,"&lt;="&amp;Cover!$C$13)</f>
        <v>0</v>
      </c>
      <c r="Q1042">
        <f>IF(AND(O1042=0,P1042=0),"",IF(O1042=0,"ODOO-ONLY",IF(P1042=0,"BANK-ONLY","BOTH")))</f>
      </c>
      <c r="R1042" s="9">
        <f>IF(Q1042="BOTH",ROUND(M1042-N1042,2),0)</f>
        <v>0</v>
      </c>
      <c r="S1042" s="9">
        <f>ROUND(SUMIFS('Bank Lines'!$E$5:$E$1640,'Bank Lines'!$G$5:$G$1640,A1042,'Bank Lines'!$J$5:$J$1640,1,'Bank Lines'!$C$5:$C$1640,"&lt;="&amp;Cover!$C$14),2)</f>
        <v>2117.5</v>
      </c>
      <c r="T1042" s="9">
        <f>ROUND(SUMIFS('Odoo Items'!$G$5:$G$4331,'Odoo Items'!$J$5:$J$4331,A1042,'Odoo Items'!$C$5:$C$4331,"&lt;="&amp;Cover!$C$14),2)</f>
        <v>2117.5</v>
      </c>
      <c r="U1042">
        <f>COUNTIFS('Bank Lines'!$G$5:$G$1640,A1042,'Bank Lines'!$J$5:$J$1640,1,'Bank Lines'!$C$5:$C$1640,"&lt;="&amp;Cover!$C$14)</f>
        <v>1</v>
      </c>
      <c r="V1042">
        <f>COUNTIFS('Odoo Items'!$J$5:$J$4331,A1042,'Odoo Items'!$C$5:$C$4331,"&lt;="&amp;Cover!$C$14)</f>
        <v>1</v>
      </c>
      <c r="W1042" t="str">
        <f>IF(AND(U1042=0,V1042=0),"",IF(U1042=0,"ODOO-ONLY",IF(V1042=0,"BANK-ONLY","BOTH")))</f>
        <v>BOTH</v>
      </c>
      <c r="X1042" s="9">
        <f>IF(W1042="BOTH",ROUND(S1042-T1042,2),0)</f>
        <v>0</v>
      </c>
      <c r="Y1042" s="9">
        <f>ROUND(SUMIFS('Bank Lines'!$E$5:$E$1640,'Bank Lines'!$G$5:$G$1640,A1042,'Bank Lines'!$J$5:$J$1640,1,'Bank Lines'!$C$5:$C$1640,"&lt;="&amp;Cover!$C$15),2)</f>
        <v>2117.5</v>
      </c>
      <c r="Z1042" s="9">
        <f>ROUND(SUMIFS('Odoo Items'!$G$5:$G$4331,'Odoo Items'!$J$5:$J$4331,A1042,'Odoo Items'!$C$5:$C$4331,"&lt;="&amp;Cover!$C$15),2)</f>
        <v>2117.5</v>
      </c>
      <c r="AA1042">
        <f>COUNTIFS('Bank Lines'!$G$5:$G$1640,A1042,'Bank Lines'!$J$5:$J$1640,1,'Bank Lines'!$C$5:$C$1640,"&lt;="&amp;Cover!$C$15)</f>
        <v>1</v>
      </c>
      <c r="AB1042">
        <f>COUNTIFS('Odoo Items'!$J$5:$J$4331,A1042,'Odoo Items'!$C$5:$C$4331,"&lt;="&amp;Cover!$C$15)</f>
        <v>1</v>
      </c>
      <c r="AC1042" t="str">
        <f>IF(AND(AA1042=0,AB1042=0),"",IF(AA1042=0,"ODOO-ONLY",IF(AB1042=0,"BANK-ONLY","BOTH")))</f>
        <v>BOTH</v>
      </c>
      <c r="AD1042" s="9">
        <f>IF(AC1042="BOTH",ROUND(Y1042-Z1042,2),0)</f>
        <v>0</v>
      </c>
    </row>
    <row r="1043">
      <c r="A1043" t="inlineStr">
        <is>
          <t>G01039</t>
        </is>
      </c>
      <c r="B1043" t="inlineStr">
        <is>
          <t>OPS</t>
        </is>
      </c>
      <c r="C1043" t="inlineStr">
        <is>
          <t>R09</t>
        </is>
      </c>
      <c r="D1043" t="inlineStr">
        <is>
          <t>MATCH</t>
        </is>
      </c>
      <c r="E1043" t="inlineStr">
        <is>
          <t>Harbour Mutual Health</t>
        </is>
      </c>
      <c r="F1043" t="n">
        <v>1</v>
      </c>
      <c r="G1043" t="inlineStr">
        <is>
          <t>Reference INV/2026/02654</t>
        </is>
      </c>
      <c r="H1043">
        <f>COUNTIFS('Bank Lines'!$G$5:$G$1640,A1043,'Bank Lines'!$J$5:$J$1640,1)</f>
        <v>1</v>
      </c>
      <c r="I1043">
        <f>COUNTIFS('Odoo Items'!$J$5:$J$4331,A1043)</f>
        <v>1</v>
      </c>
      <c r="J1043" s="9">
        <f>ROUND(SUMIFS('Bank Lines'!$E$5:$E$1640,'Bank Lines'!$G$5:$G$1640,A1043,'Bank Lines'!$J$5:$J$1640,1),2)</f>
        <v>88</v>
      </c>
      <c r="K1043" s="9">
        <f>ROUND(SUMIFS('Odoo Items'!$G$5:$G$4331,'Odoo Items'!$J$5:$J$4331,A1043),2)</f>
        <v>88</v>
      </c>
      <c r="L1043" s="9">
        <f>ROUND(J1043-K1043,2)</f>
        <v>0</v>
      </c>
      <c r="M1043" s="9">
        <f>ROUND(SUMIFS('Bank Lines'!$E$5:$E$1640,'Bank Lines'!$G$5:$G$1640,A1043,'Bank Lines'!$J$5:$J$1640,1,'Bank Lines'!$C$5:$C$1640,"&lt;="&amp;Cover!$C$13),2)</f>
        <v>0</v>
      </c>
      <c r="N1043" s="9">
        <f>ROUND(SUMIFS('Odoo Items'!$G$5:$G$4331,'Odoo Items'!$J$5:$J$4331,A1043,'Odoo Items'!$C$5:$C$4331,"&lt;="&amp;Cover!$C$13),2)</f>
        <v>0</v>
      </c>
      <c r="O1043">
        <f>COUNTIFS('Bank Lines'!$G$5:$G$1640,A1043,'Bank Lines'!$J$5:$J$1640,1,'Bank Lines'!$C$5:$C$1640,"&lt;="&amp;Cover!$C$13)</f>
        <v>0</v>
      </c>
      <c r="P1043">
        <f>COUNTIFS('Odoo Items'!$J$5:$J$4331,A1043,'Odoo Items'!$C$5:$C$4331,"&lt;="&amp;Cover!$C$13)</f>
        <v>0</v>
      </c>
      <c r="Q1043">
        <f>IF(AND(O1043=0,P1043=0),"",IF(O1043=0,"ODOO-ONLY",IF(P1043=0,"BANK-ONLY","BOTH")))</f>
      </c>
      <c r="R1043" s="9">
        <f>IF(Q1043="BOTH",ROUND(M1043-N1043,2),0)</f>
        <v>0</v>
      </c>
      <c r="S1043" s="9">
        <f>ROUND(SUMIFS('Bank Lines'!$E$5:$E$1640,'Bank Lines'!$G$5:$G$1640,A1043,'Bank Lines'!$J$5:$J$1640,1,'Bank Lines'!$C$5:$C$1640,"&lt;="&amp;Cover!$C$14),2)</f>
        <v>0</v>
      </c>
      <c r="T1043" s="9">
        <f>ROUND(SUMIFS('Odoo Items'!$G$5:$G$4331,'Odoo Items'!$J$5:$J$4331,A1043,'Odoo Items'!$C$5:$C$4331,"&lt;="&amp;Cover!$C$14),2)</f>
        <v>0</v>
      </c>
      <c r="U1043">
        <f>COUNTIFS('Bank Lines'!$G$5:$G$1640,A1043,'Bank Lines'!$J$5:$J$1640,1,'Bank Lines'!$C$5:$C$1640,"&lt;="&amp;Cover!$C$14)</f>
        <v>0</v>
      </c>
      <c r="V1043">
        <f>COUNTIFS('Odoo Items'!$J$5:$J$4331,A1043,'Odoo Items'!$C$5:$C$4331,"&lt;="&amp;Cover!$C$14)</f>
        <v>0</v>
      </c>
      <c r="W1043">
        <f>IF(AND(U1043=0,V1043=0),"",IF(U1043=0,"ODOO-ONLY",IF(V1043=0,"BANK-ONLY","BOTH")))</f>
      </c>
      <c r="X1043" s="9">
        <f>IF(W1043="BOTH",ROUND(S1043-T1043,2),0)</f>
        <v>0</v>
      </c>
      <c r="Y1043" s="9">
        <f>ROUND(SUMIFS('Bank Lines'!$E$5:$E$1640,'Bank Lines'!$G$5:$G$1640,A1043,'Bank Lines'!$J$5:$J$1640,1,'Bank Lines'!$C$5:$C$1640,"&lt;="&amp;Cover!$C$15),2)</f>
        <v>88</v>
      </c>
      <c r="Z1043" s="9">
        <f>ROUND(SUMIFS('Odoo Items'!$G$5:$G$4331,'Odoo Items'!$J$5:$J$4331,A1043,'Odoo Items'!$C$5:$C$4331,"&lt;="&amp;Cover!$C$15),2)</f>
        <v>88</v>
      </c>
      <c r="AA1043">
        <f>COUNTIFS('Bank Lines'!$G$5:$G$1640,A1043,'Bank Lines'!$J$5:$J$1640,1,'Bank Lines'!$C$5:$C$1640,"&lt;="&amp;Cover!$C$15)</f>
        <v>1</v>
      </c>
      <c r="AB1043">
        <f>COUNTIFS('Odoo Items'!$J$5:$J$4331,A1043,'Odoo Items'!$C$5:$C$4331,"&lt;="&amp;Cover!$C$15)</f>
        <v>1</v>
      </c>
      <c r="AC1043" t="str">
        <f>IF(AND(AA1043=0,AB1043=0),"",IF(AA1043=0,"ODOO-ONLY",IF(AB1043=0,"BANK-ONLY","BOTH")))</f>
        <v>BOTH</v>
      </c>
      <c r="AD1043" s="9">
        <f>IF(AC1043="BOTH",ROUND(Y1043-Z1043,2),0)</f>
        <v>0</v>
      </c>
    </row>
    <row r="1044">
      <c r="A1044" t="inlineStr">
        <is>
          <t>G01040</t>
        </is>
      </c>
      <c r="B1044" t="inlineStr">
        <is>
          <t>OPS</t>
        </is>
      </c>
      <c r="C1044" t="inlineStr">
        <is>
          <t>R09</t>
        </is>
      </c>
      <c r="D1044" t="inlineStr">
        <is>
          <t>MATCH</t>
        </is>
      </c>
      <c r="E1044" t="inlineStr">
        <is>
          <t>Harbour Mutual Health</t>
        </is>
      </c>
      <c r="F1044" t="n">
        <v>1</v>
      </c>
      <c r="G1044" t="inlineStr">
        <is>
          <t>Reference INV/2026/02684</t>
        </is>
      </c>
      <c r="H1044">
        <f>COUNTIFS('Bank Lines'!$G$5:$G$1640,A1044,'Bank Lines'!$J$5:$J$1640,1)</f>
        <v>1</v>
      </c>
      <c r="I1044">
        <f>COUNTIFS('Odoo Items'!$J$5:$J$4331,A1044)</f>
        <v>1</v>
      </c>
      <c r="J1044" s="9">
        <f>ROUND(SUMIFS('Bank Lines'!$E$5:$E$1640,'Bank Lines'!$G$5:$G$1640,A1044,'Bank Lines'!$J$5:$J$1640,1),2)</f>
        <v>990</v>
      </c>
      <c r="K1044" s="9">
        <f>ROUND(SUMIFS('Odoo Items'!$G$5:$G$4331,'Odoo Items'!$J$5:$J$4331,A1044),2)</f>
        <v>990</v>
      </c>
      <c r="L1044" s="9">
        <f>ROUND(J1044-K1044,2)</f>
        <v>0</v>
      </c>
      <c r="M1044" s="9">
        <f>ROUND(SUMIFS('Bank Lines'!$E$5:$E$1640,'Bank Lines'!$G$5:$G$1640,A1044,'Bank Lines'!$J$5:$J$1640,1,'Bank Lines'!$C$5:$C$1640,"&lt;="&amp;Cover!$C$13),2)</f>
        <v>0</v>
      </c>
      <c r="N1044" s="9">
        <f>ROUND(SUMIFS('Odoo Items'!$G$5:$G$4331,'Odoo Items'!$J$5:$J$4331,A1044,'Odoo Items'!$C$5:$C$4331,"&lt;="&amp;Cover!$C$13),2)</f>
        <v>0</v>
      </c>
      <c r="O1044">
        <f>COUNTIFS('Bank Lines'!$G$5:$G$1640,A1044,'Bank Lines'!$J$5:$J$1640,1,'Bank Lines'!$C$5:$C$1640,"&lt;="&amp;Cover!$C$13)</f>
        <v>0</v>
      </c>
      <c r="P1044">
        <f>COUNTIFS('Odoo Items'!$J$5:$J$4331,A1044,'Odoo Items'!$C$5:$C$4331,"&lt;="&amp;Cover!$C$13)</f>
        <v>0</v>
      </c>
      <c r="Q1044">
        <f>IF(AND(O1044=0,P1044=0),"",IF(O1044=0,"ODOO-ONLY",IF(P1044=0,"BANK-ONLY","BOTH")))</f>
      </c>
      <c r="R1044" s="9">
        <f>IF(Q1044="BOTH",ROUND(M1044-N1044,2),0)</f>
        <v>0</v>
      </c>
      <c r="S1044" s="9">
        <f>ROUND(SUMIFS('Bank Lines'!$E$5:$E$1640,'Bank Lines'!$G$5:$G$1640,A1044,'Bank Lines'!$J$5:$J$1640,1,'Bank Lines'!$C$5:$C$1640,"&lt;="&amp;Cover!$C$14),2)</f>
        <v>0</v>
      </c>
      <c r="T1044" s="9">
        <f>ROUND(SUMIFS('Odoo Items'!$G$5:$G$4331,'Odoo Items'!$J$5:$J$4331,A1044,'Odoo Items'!$C$5:$C$4331,"&lt;="&amp;Cover!$C$14),2)</f>
        <v>0</v>
      </c>
      <c r="U1044">
        <f>COUNTIFS('Bank Lines'!$G$5:$G$1640,A1044,'Bank Lines'!$J$5:$J$1640,1,'Bank Lines'!$C$5:$C$1640,"&lt;="&amp;Cover!$C$14)</f>
        <v>0</v>
      </c>
      <c r="V1044">
        <f>COUNTIFS('Odoo Items'!$J$5:$J$4331,A1044,'Odoo Items'!$C$5:$C$4331,"&lt;="&amp;Cover!$C$14)</f>
        <v>0</v>
      </c>
      <c r="W1044">
        <f>IF(AND(U1044=0,V1044=0),"",IF(U1044=0,"ODOO-ONLY",IF(V1044=0,"BANK-ONLY","BOTH")))</f>
      </c>
      <c r="X1044" s="9">
        <f>IF(W1044="BOTH",ROUND(S1044-T1044,2),0)</f>
        <v>0</v>
      </c>
      <c r="Y1044" s="9">
        <f>ROUND(SUMIFS('Bank Lines'!$E$5:$E$1640,'Bank Lines'!$G$5:$G$1640,A1044,'Bank Lines'!$J$5:$J$1640,1,'Bank Lines'!$C$5:$C$1640,"&lt;="&amp;Cover!$C$15),2)</f>
        <v>990</v>
      </c>
      <c r="Z1044" s="9">
        <f>ROUND(SUMIFS('Odoo Items'!$G$5:$G$4331,'Odoo Items'!$J$5:$J$4331,A1044,'Odoo Items'!$C$5:$C$4331,"&lt;="&amp;Cover!$C$15),2)</f>
        <v>990</v>
      </c>
      <c r="AA1044">
        <f>COUNTIFS('Bank Lines'!$G$5:$G$1640,A1044,'Bank Lines'!$J$5:$J$1640,1,'Bank Lines'!$C$5:$C$1640,"&lt;="&amp;Cover!$C$15)</f>
        <v>1</v>
      </c>
      <c r="AB1044">
        <f>COUNTIFS('Odoo Items'!$J$5:$J$4331,A1044,'Odoo Items'!$C$5:$C$4331,"&lt;="&amp;Cover!$C$15)</f>
        <v>1</v>
      </c>
      <c r="AC1044" t="str">
        <f>IF(AND(AA1044=0,AB1044=0),"",IF(AA1044=0,"ODOO-ONLY",IF(AB1044=0,"BANK-ONLY","BOTH")))</f>
        <v>BOTH</v>
      </c>
      <c r="AD1044" s="9">
        <f>IF(AC1044="BOTH",ROUND(Y1044-Z1044,2),0)</f>
        <v>0</v>
      </c>
    </row>
    <row r="1045">
      <c r="A1045" t="inlineStr">
        <is>
          <t>G01041</t>
        </is>
      </c>
      <c r="B1045" t="inlineStr">
        <is>
          <t>OPS</t>
        </is>
      </c>
      <c r="C1045" t="inlineStr">
        <is>
          <t>R09</t>
        </is>
      </c>
      <c r="D1045" t="inlineStr">
        <is>
          <t>MATCH</t>
        </is>
      </c>
      <c r="E1045" t="inlineStr">
        <is>
          <t>Harbour Mutual Health</t>
        </is>
      </c>
      <c r="F1045" t="n">
        <v>1</v>
      </c>
      <c r="G1045" t="inlineStr">
        <is>
          <t>Reference INV/2026/02818</t>
        </is>
      </c>
      <c r="H1045">
        <f>COUNTIFS('Bank Lines'!$G$5:$G$1640,A1045,'Bank Lines'!$J$5:$J$1640,1)</f>
        <v>1</v>
      </c>
      <c r="I1045">
        <f>COUNTIFS('Odoo Items'!$J$5:$J$4331,A1045)</f>
        <v>1</v>
      </c>
      <c r="J1045" s="9">
        <f>ROUND(SUMIFS('Bank Lines'!$E$5:$E$1640,'Bank Lines'!$G$5:$G$1640,A1045,'Bank Lines'!$J$5:$J$1640,1),2)</f>
        <v>176</v>
      </c>
      <c r="K1045" s="9">
        <f>ROUND(SUMIFS('Odoo Items'!$G$5:$G$4331,'Odoo Items'!$J$5:$J$4331,A1045),2)</f>
        <v>176</v>
      </c>
      <c r="L1045" s="9">
        <f>ROUND(J1045-K1045,2)</f>
        <v>0</v>
      </c>
      <c r="M1045" s="9">
        <f>ROUND(SUMIFS('Bank Lines'!$E$5:$E$1640,'Bank Lines'!$G$5:$G$1640,A1045,'Bank Lines'!$J$5:$J$1640,1,'Bank Lines'!$C$5:$C$1640,"&lt;="&amp;Cover!$C$13),2)</f>
        <v>0</v>
      </c>
      <c r="N1045" s="9">
        <f>ROUND(SUMIFS('Odoo Items'!$G$5:$G$4331,'Odoo Items'!$J$5:$J$4331,A1045,'Odoo Items'!$C$5:$C$4331,"&lt;="&amp;Cover!$C$13),2)</f>
        <v>0</v>
      </c>
      <c r="O1045">
        <f>COUNTIFS('Bank Lines'!$G$5:$G$1640,A1045,'Bank Lines'!$J$5:$J$1640,1,'Bank Lines'!$C$5:$C$1640,"&lt;="&amp;Cover!$C$13)</f>
        <v>0</v>
      </c>
      <c r="P1045">
        <f>COUNTIFS('Odoo Items'!$J$5:$J$4331,A1045,'Odoo Items'!$C$5:$C$4331,"&lt;="&amp;Cover!$C$13)</f>
        <v>0</v>
      </c>
      <c r="Q1045">
        <f>IF(AND(O1045=0,P1045=0),"",IF(O1045=0,"ODOO-ONLY",IF(P1045=0,"BANK-ONLY","BOTH")))</f>
      </c>
      <c r="R1045" s="9">
        <f>IF(Q1045="BOTH",ROUND(M1045-N1045,2),0)</f>
        <v>0</v>
      </c>
      <c r="S1045" s="9">
        <f>ROUND(SUMIFS('Bank Lines'!$E$5:$E$1640,'Bank Lines'!$G$5:$G$1640,A1045,'Bank Lines'!$J$5:$J$1640,1,'Bank Lines'!$C$5:$C$1640,"&lt;="&amp;Cover!$C$14),2)</f>
        <v>0</v>
      </c>
      <c r="T1045" s="9">
        <f>ROUND(SUMIFS('Odoo Items'!$G$5:$G$4331,'Odoo Items'!$J$5:$J$4331,A1045,'Odoo Items'!$C$5:$C$4331,"&lt;="&amp;Cover!$C$14),2)</f>
        <v>0</v>
      </c>
      <c r="U1045">
        <f>COUNTIFS('Bank Lines'!$G$5:$G$1640,A1045,'Bank Lines'!$J$5:$J$1640,1,'Bank Lines'!$C$5:$C$1640,"&lt;="&amp;Cover!$C$14)</f>
        <v>0</v>
      </c>
      <c r="V1045">
        <f>COUNTIFS('Odoo Items'!$J$5:$J$4331,A1045,'Odoo Items'!$C$5:$C$4331,"&lt;="&amp;Cover!$C$14)</f>
        <v>0</v>
      </c>
      <c r="W1045">
        <f>IF(AND(U1045=0,V1045=0),"",IF(U1045=0,"ODOO-ONLY",IF(V1045=0,"BANK-ONLY","BOTH")))</f>
      </c>
      <c r="X1045" s="9">
        <f>IF(W1045="BOTH",ROUND(S1045-T1045,2),0)</f>
        <v>0</v>
      </c>
      <c r="Y1045" s="9">
        <f>ROUND(SUMIFS('Bank Lines'!$E$5:$E$1640,'Bank Lines'!$G$5:$G$1640,A1045,'Bank Lines'!$J$5:$J$1640,1,'Bank Lines'!$C$5:$C$1640,"&lt;="&amp;Cover!$C$15),2)</f>
        <v>176</v>
      </c>
      <c r="Z1045" s="9">
        <f>ROUND(SUMIFS('Odoo Items'!$G$5:$G$4331,'Odoo Items'!$J$5:$J$4331,A1045,'Odoo Items'!$C$5:$C$4331,"&lt;="&amp;Cover!$C$15),2)</f>
        <v>176</v>
      </c>
      <c r="AA1045">
        <f>COUNTIFS('Bank Lines'!$G$5:$G$1640,A1045,'Bank Lines'!$J$5:$J$1640,1,'Bank Lines'!$C$5:$C$1640,"&lt;="&amp;Cover!$C$15)</f>
        <v>1</v>
      </c>
      <c r="AB1045">
        <f>COUNTIFS('Odoo Items'!$J$5:$J$4331,A1045,'Odoo Items'!$C$5:$C$4331,"&lt;="&amp;Cover!$C$15)</f>
        <v>1</v>
      </c>
      <c r="AC1045" t="str">
        <f>IF(AND(AA1045=0,AB1045=0),"",IF(AA1045=0,"ODOO-ONLY",IF(AB1045=0,"BANK-ONLY","BOTH")))</f>
        <v>BOTH</v>
      </c>
      <c r="AD1045" s="9">
        <f>IF(AC1045="BOTH",ROUND(Y1045-Z1045,2),0)</f>
        <v>0</v>
      </c>
    </row>
    <row r="1046">
      <c r="A1046" t="inlineStr">
        <is>
          <t>G01042</t>
        </is>
      </c>
      <c r="B1046" t="inlineStr">
        <is>
          <t>OPS</t>
        </is>
      </c>
      <c r="C1046" t="inlineStr">
        <is>
          <t>R09</t>
        </is>
      </c>
      <c r="D1046" t="inlineStr">
        <is>
          <t>MATCH</t>
        </is>
      </c>
      <c r="E1046" t="inlineStr">
        <is>
          <t>Harbour Mutual Health</t>
        </is>
      </c>
      <c r="F1046" t="n">
        <v>1</v>
      </c>
      <c r="G1046" t="inlineStr">
        <is>
          <t>Reference INV/2026/02862</t>
        </is>
      </c>
      <c r="H1046">
        <f>COUNTIFS('Bank Lines'!$G$5:$G$1640,A1046,'Bank Lines'!$J$5:$J$1640,1)</f>
        <v>1</v>
      </c>
      <c r="I1046">
        <f>COUNTIFS('Odoo Items'!$J$5:$J$4331,A1046)</f>
        <v>1</v>
      </c>
      <c r="J1046" s="9">
        <f>ROUND(SUMIFS('Bank Lines'!$E$5:$E$1640,'Bank Lines'!$G$5:$G$1640,A1046,'Bank Lines'!$J$5:$J$1640,1),2)</f>
        <v>412.5</v>
      </c>
      <c r="K1046" s="9">
        <f>ROUND(SUMIFS('Odoo Items'!$G$5:$G$4331,'Odoo Items'!$J$5:$J$4331,A1046),2)</f>
        <v>412.5</v>
      </c>
      <c r="L1046" s="9">
        <f>ROUND(J1046-K1046,2)</f>
        <v>0</v>
      </c>
      <c r="M1046" s="9">
        <f>ROUND(SUMIFS('Bank Lines'!$E$5:$E$1640,'Bank Lines'!$G$5:$G$1640,A1046,'Bank Lines'!$J$5:$J$1640,1,'Bank Lines'!$C$5:$C$1640,"&lt;="&amp;Cover!$C$13),2)</f>
        <v>0</v>
      </c>
      <c r="N1046" s="9">
        <f>ROUND(SUMIFS('Odoo Items'!$G$5:$G$4331,'Odoo Items'!$J$5:$J$4331,A1046,'Odoo Items'!$C$5:$C$4331,"&lt;="&amp;Cover!$C$13),2)</f>
        <v>0</v>
      </c>
      <c r="O1046">
        <f>COUNTIFS('Bank Lines'!$G$5:$G$1640,A1046,'Bank Lines'!$J$5:$J$1640,1,'Bank Lines'!$C$5:$C$1640,"&lt;="&amp;Cover!$C$13)</f>
        <v>0</v>
      </c>
      <c r="P1046">
        <f>COUNTIFS('Odoo Items'!$J$5:$J$4331,A1046,'Odoo Items'!$C$5:$C$4331,"&lt;="&amp;Cover!$C$13)</f>
        <v>0</v>
      </c>
      <c r="Q1046">
        <f>IF(AND(O1046=0,P1046=0),"",IF(O1046=0,"ODOO-ONLY",IF(P1046=0,"BANK-ONLY","BOTH")))</f>
      </c>
      <c r="R1046" s="9">
        <f>IF(Q1046="BOTH",ROUND(M1046-N1046,2),0)</f>
        <v>0</v>
      </c>
      <c r="S1046" s="9">
        <f>ROUND(SUMIFS('Bank Lines'!$E$5:$E$1640,'Bank Lines'!$G$5:$G$1640,A1046,'Bank Lines'!$J$5:$J$1640,1,'Bank Lines'!$C$5:$C$1640,"&lt;="&amp;Cover!$C$14),2)</f>
        <v>0</v>
      </c>
      <c r="T1046" s="9">
        <f>ROUND(SUMIFS('Odoo Items'!$G$5:$G$4331,'Odoo Items'!$J$5:$J$4331,A1046,'Odoo Items'!$C$5:$C$4331,"&lt;="&amp;Cover!$C$14),2)</f>
        <v>0</v>
      </c>
      <c r="U1046">
        <f>COUNTIFS('Bank Lines'!$G$5:$G$1640,A1046,'Bank Lines'!$J$5:$J$1640,1,'Bank Lines'!$C$5:$C$1640,"&lt;="&amp;Cover!$C$14)</f>
        <v>0</v>
      </c>
      <c r="V1046">
        <f>COUNTIFS('Odoo Items'!$J$5:$J$4331,A1046,'Odoo Items'!$C$5:$C$4331,"&lt;="&amp;Cover!$C$14)</f>
        <v>0</v>
      </c>
      <c r="W1046">
        <f>IF(AND(U1046=0,V1046=0),"",IF(U1046=0,"ODOO-ONLY",IF(V1046=0,"BANK-ONLY","BOTH")))</f>
      </c>
      <c r="X1046" s="9">
        <f>IF(W1046="BOTH",ROUND(S1046-T1046,2),0)</f>
        <v>0</v>
      </c>
      <c r="Y1046" s="9">
        <f>ROUND(SUMIFS('Bank Lines'!$E$5:$E$1640,'Bank Lines'!$G$5:$G$1640,A1046,'Bank Lines'!$J$5:$J$1640,1,'Bank Lines'!$C$5:$C$1640,"&lt;="&amp;Cover!$C$15),2)</f>
        <v>412.5</v>
      </c>
      <c r="Z1046" s="9">
        <f>ROUND(SUMIFS('Odoo Items'!$G$5:$G$4331,'Odoo Items'!$J$5:$J$4331,A1046,'Odoo Items'!$C$5:$C$4331,"&lt;="&amp;Cover!$C$15),2)</f>
        <v>412.5</v>
      </c>
      <c r="AA1046">
        <f>COUNTIFS('Bank Lines'!$G$5:$G$1640,A1046,'Bank Lines'!$J$5:$J$1640,1,'Bank Lines'!$C$5:$C$1640,"&lt;="&amp;Cover!$C$15)</f>
        <v>1</v>
      </c>
      <c r="AB1046">
        <f>COUNTIFS('Odoo Items'!$J$5:$J$4331,A1046,'Odoo Items'!$C$5:$C$4331,"&lt;="&amp;Cover!$C$15)</f>
        <v>1</v>
      </c>
      <c r="AC1046" t="str">
        <f>IF(AND(AA1046=0,AB1046=0),"",IF(AA1046=0,"ODOO-ONLY",IF(AB1046=0,"BANK-ONLY","BOTH")))</f>
        <v>BOTH</v>
      </c>
      <c r="AD1046" s="9">
        <f>IF(AC1046="BOTH",ROUND(Y1046-Z1046,2),0)</f>
        <v>0</v>
      </c>
    </row>
    <row r="1047">
      <c r="A1047" t="inlineStr">
        <is>
          <t>G01043</t>
        </is>
      </c>
      <c r="B1047" t="inlineStr">
        <is>
          <t>OPS</t>
        </is>
      </c>
      <c r="C1047" t="inlineStr">
        <is>
          <t>R09</t>
        </is>
      </c>
      <c r="D1047" t="inlineStr">
        <is>
          <t>MATCH</t>
        </is>
      </c>
      <c r="E1047" t="inlineStr">
        <is>
          <t>Coastline Health Fund</t>
        </is>
      </c>
      <c r="F1047" t="n">
        <v>1</v>
      </c>
      <c r="G1047" t="inlineStr">
        <is>
          <t>Reference INV/2026/02734</t>
        </is>
      </c>
      <c r="H1047">
        <f>COUNTIFS('Bank Lines'!$G$5:$G$1640,A1047,'Bank Lines'!$J$5:$J$1640,1)</f>
        <v>1</v>
      </c>
      <c r="I1047">
        <f>COUNTIFS('Odoo Items'!$J$5:$J$4331,A1047)</f>
        <v>1</v>
      </c>
      <c r="J1047" s="9">
        <f>ROUND(SUMIFS('Bank Lines'!$E$5:$E$1640,'Bank Lines'!$G$5:$G$1640,A1047,'Bank Lines'!$J$5:$J$1640,1),2)</f>
        <v>132</v>
      </c>
      <c r="K1047" s="9">
        <f>ROUND(SUMIFS('Odoo Items'!$G$5:$G$4331,'Odoo Items'!$J$5:$J$4331,A1047),2)</f>
        <v>132</v>
      </c>
      <c r="L1047" s="9">
        <f>ROUND(J1047-K1047,2)</f>
        <v>0</v>
      </c>
      <c r="M1047" s="9">
        <f>ROUND(SUMIFS('Bank Lines'!$E$5:$E$1640,'Bank Lines'!$G$5:$G$1640,A1047,'Bank Lines'!$J$5:$J$1640,1,'Bank Lines'!$C$5:$C$1640,"&lt;="&amp;Cover!$C$13),2)</f>
        <v>0</v>
      </c>
      <c r="N1047" s="9">
        <f>ROUND(SUMIFS('Odoo Items'!$G$5:$G$4331,'Odoo Items'!$J$5:$J$4331,A1047,'Odoo Items'!$C$5:$C$4331,"&lt;="&amp;Cover!$C$13),2)</f>
        <v>0</v>
      </c>
      <c r="O1047">
        <f>COUNTIFS('Bank Lines'!$G$5:$G$1640,A1047,'Bank Lines'!$J$5:$J$1640,1,'Bank Lines'!$C$5:$C$1640,"&lt;="&amp;Cover!$C$13)</f>
        <v>0</v>
      </c>
      <c r="P1047">
        <f>COUNTIFS('Odoo Items'!$J$5:$J$4331,A1047,'Odoo Items'!$C$5:$C$4331,"&lt;="&amp;Cover!$C$13)</f>
        <v>0</v>
      </c>
      <c r="Q1047">
        <f>IF(AND(O1047=0,P1047=0),"",IF(O1047=0,"ODOO-ONLY",IF(P1047=0,"BANK-ONLY","BOTH")))</f>
      </c>
      <c r="R1047" s="9">
        <f>IF(Q1047="BOTH",ROUND(M1047-N1047,2),0)</f>
        <v>0</v>
      </c>
      <c r="S1047" s="9">
        <f>ROUND(SUMIFS('Bank Lines'!$E$5:$E$1640,'Bank Lines'!$G$5:$G$1640,A1047,'Bank Lines'!$J$5:$J$1640,1,'Bank Lines'!$C$5:$C$1640,"&lt;="&amp;Cover!$C$14),2)</f>
        <v>0</v>
      </c>
      <c r="T1047" s="9">
        <f>ROUND(SUMIFS('Odoo Items'!$G$5:$G$4331,'Odoo Items'!$J$5:$J$4331,A1047,'Odoo Items'!$C$5:$C$4331,"&lt;="&amp;Cover!$C$14),2)</f>
        <v>0</v>
      </c>
      <c r="U1047">
        <f>COUNTIFS('Bank Lines'!$G$5:$G$1640,A1047,'Bank Lines'!$J$5:$J$1640,1,'Bank Lines'!$C$5:$C$1640,"&lt;="&amp;Cover!$C$14)</f>
        <v>0</v>
      </c>
      <c r="V1047">
        <f>COUNTIFS('Odoo Items'!$J$5:$J$4331,A1047,'Odoo Items'!$C$5:$C$4331,"&lt;="&amp;Cover!$C$14)</f>
        <v>0</v>
      </c>
      <c r="W1047">
        <f>IF(AND(U1047=0,V1047=0),"",IF(U1047=0,"ODOO-ONLY",IF(V1047=0,"BANK-ONLY","BOTH")))</f>
      </c>
      <c r="X1047" s="9">
        <f>IF(W1047="BOTH",ROUND(S1047-T1047,2),0)</f>
        <v>0</v>
      </c>
      <c r="Y1047" s="9">
        <f>ROUND(SUMIFS('Bank Lines'!$E$5:$E$1640,'Bank Lines'!$G$5:$G$1640,A1047,'Bank Lines'!$J$5:$J$1640,1,'Bank Lines'!$C$5:$C$1640,"&lt;="&amp;Cover!$C$15),2)</f>
        <v>132</v>
      </c>
      <c r="Z1047" s="9">
        <f>ROUND(SUMIFS('Odoo Items'!$G$5:$G$4331,'Odoo Items'!$J$5:$J$4331,A1047,'Odoo Items'!$C$5:$C$4331,"&lt;="&amp;Cover!$C$15),2)</f>
        <v>132</v>
      </c>
      <c r="AA1047">
        <f>COUNTIFS('Bank Lines'!$G$5:$G$1640,A1047,'Bank Lines'!$J$5:$J$1640,1,'Bank Lines'!$C$5:$C$1640,"&lt;="&amp;Cover!$C$15)</f>
        <v>1</v>
      </c>
      <c r="AB1047">
        <f>COUNTIFS('Odoo Items'!$J$5:$J$4331,A1047,'Odoo Items'!$C$5:$C$4331,"&lt;="&amp;Cover!$C$15)</f>
        <v>1</v>
      </c>
      <c r="AC1047" t="str">
        <f>IF(AND(AA1047=0,AB1047=0),"",IF(AA1047=0,"ODOO-ONLY",IF(AB1047=0,"BANK-ONLY","BOTH")))</f>
        <v>BOTH</v>
      </c>
      <c r="AD1047" s="9">
        <f>IF(AC1047="BOTH",ROUND(Y1047-Z1047,2),0)</f>
        <v>0</v>
      </c>
    </row>
    <row r="1048">
      <c r="A1048" t="inlineStr">
        <is>
          <t>G01044</t>
        </is>
      </c>
      <c r="B1048" t="inlineStr">
        <is>
          <t>OPS</t>
        </is>
      </c>
      <c r="C1048" t="inlineStr">
        <is>
          <t>R09</t>
        </is>
      </c>
      <c r="D1048" t="inlineStr">
        <is>
          <t>MATCH</t>
        </is>
      </c>
      <c r="E1048" t="inlineStr">
        <is>
          <t>Pinnacle Claims Services</t>
        </is>
      </c>
      <c r="F1048" t="n">
        <v>1</v>
      </c>
      <c r="G1048" t="inlineStr">
        <is>
          <t>Reference INV/2026/02736</t>
        </is>
      </c>
      <c r="H1048">
        <f>COUNTIFS('Bank Lines'!$G$5:$G$1640,A1048,'Bank Lines'!$J$5:$J$1640,1)</f>
        <v>1</v>
      </c>
      <c r="I1048">
        <f>COUNTIFS('Odoo Items'!$J$5:$J$4331,A1048)</f>
        <v>1</v>
      </c>
      <c r="J1048" s="9">
        <f>ROUND(SUMIFS('Bank Lines'!$E$5:$E$1640,'Bank Lines'!$G$5:$G$1640,A1048,'Bank Lines'!$J$5:$J$1640,1),2)</f>
        <v>176</v>
      </c>
      <c r="K1048" s="9">
        <f>ROUND(SUMIFS('Odoo Items'!$G$5:$G$4331,'Odoo Items'!$J$5:$J$4331,A1048),2)</f>
        <v>176</v>
      </c>
      <c r="L1048" s="9">
        <f>ROUND(J1048-K1048,2)</f>
        <v>0</v>
      </c>
      <c r="M1048" s="9">
        <f>ROUND(SUMIFS('Bank Lines'!$E$5:$E$1640,'Bank Lines'!$G$5:$G$1640,A1048,'Bank Lines'!$J$5:$J$1640,1,'Bank Lines'!$C$5:$C$1640,"&lt;="&amp;Cover!$C$13),2)</f>
        <v>0</v>
      </c>
      <c r="N1048" s="9">
        <f>ROUND(SUMIFS('Odoo Items'!$G$5:$G$4331,'Odoo Items'!$J$5:$J$4331,A1048,'Odoo Items'!$C$5:$C$4331,"&lt;="&amp;Cover!$C$13),2)</f>
        <v>0</v>
      </c>
      <c r="O1048">
        <f>COUNTIFS('Bank Lines'!$G$5:$G$1640,A1048,'Bank Lines'!$J$5:$J$1640,1,'Bank Lines'!$C$5:$C$1640,"&lt;="&amp;Cover!$C$13)</f>
        <v>0</v>
      </c>
      <c r="P1048">
        <f>COUNTIFS('Odoo Items'!$J$5:$J$4331,A1048,'Odoo Items'!$C$5:$C$4331,"&lt;="&amp;Cover!$C$13)</f>
        <v>0</v>
      </c>
      <c r="Q1048">
        <f>IF(AND(O1048=0,P1048=0),"",IF(O1048=0,"ODOO-ONLY",IF(P1048=0,"BANK-ONLY","BOTH")))</f>
      </c>
      <c r="R1048" s="9">
        <f>IF(Q1048="BOTH",ROUND(M1048-N1048,2),0)</f>
        <v>0</v>
      </c>
      <c r="S1048" s="9">
        <f>ROUND(SUMIFS('Bank Lines'!$E$5:$E$1640,'Bank Lines'!$G$5:$G$1640,A1048,'Bank Lines'!$J$5:$J$1640,1,'Bank Lines'!$C$5:$C$1640,"&lt;="&amp;Cover!$C$14),2)</f>
        <v>0</v>
      </c>
      <c r="T1048" s="9">
        <f>ROUND(SUMIFS('Odoo Items'!$G$5:$G$4331,'Odoo Items'!$J$5:$J$4331,A1048,'Odoo Items'!$C$5:$C$4331,"&lt;="&amp;Cover!$C$14),2)</f>
        <v>0</v>
      </c>
      <c r="U1048">
        <f>COUNTIFS('Bank Lines'!$G$5:$G$1640,A1048,'Bank Lines'!$J$5:$J$1640,1,'Bank Lines'!$C$5:$C$1640,"&lt;="&amp;Cover!$C$14)</f>
        <v>0</v>
      </c>
      <c r="V1048">
        <f>COUNTIFS('Odoo Items'!$J$5:$J$4331,A1048,'Odoo Items'!$C$5:$C$4331,"&lt;="&amp;Cover!$C$14)</f>
        <v>0</v>
      </c>
      <c r="W1048">
        <f>IF(AND(U1048=0,V1048=0),"",IF(U1048=0,"ODOO-ONLY",IF(V1048=0,"BANK-ONLY","BOTH")))</f>
      </c>
      <c r="X1048" s="9">
        <f>IF(W1048="BOTH",ROUND(S1048-T1048,2),0)</f>
        <v>0</v>
      </c>
      <c r="Y1048" s="9">
        <f>ROUND(SUMIFS('Bank Lines'!$E$5:$E$1640,'Bank Lines'!$G$5:$G$1640,A1048,'Bank Lines'!$J$5:$J$1640,1,'Bank Lines'!$C$5:$C$1640,"&lt;="&amp;Cover!$C$15),2)</f>
        <v>176</v>
      </c>
      <c r="Z1048" s="9">
        <f>ROUND(SUMIFS('Odoo Items'!$G$5:$G$4331,'Odoo Items'!$J$5:$J$4331,A1048,'Odoo Items'!$C$5:$C$4331,"&lt;="&amp;Cover!$C$15),2)</f>
        <v>176</v>
      </c>
      <c r="AA1048">
        <f>COUNTIFS('Bank Lines'!$G$5:$G$1640,A1048,'Bank Lines'!$J$5:$J$1640,1,'Bank Lines'!$C$5:$C$1640,"&lt;="&amp;Cover!$C$15)</f>
        <v>1</v>
      </c>
      <c r="AB1048">
        <f>COUNTIFS('Odoo Items'!$J$5:$J$4331,A1048,'Odoo Items'!$C$5:$C$4331,"&lt;="&amp;Cover!$C$15)</f>
        <v>1</v>
      </c>
      <c r="AC1048" t="str">
        <f>IF(AND(AA1048=0,AB1048=0),"",IF(AA1048=0,"ODOO-ONLY",IF(AB1048=0,"BANK-ONLY","BOTH")))</f>
        <v>BOTH</v>
      </c>
      <c r="AD1048" s="9">
        <f>IF(AC1048="BOTH",ROUND(Y1048-Z1048,2),0)</f>
        <v>0</v>
      </c>
    </row>
    <row r="1049">
      <c r="A1049" t="inlineStr">
        <is>
          <t>G01045</t>
        </is>
      </c>
      <c r="B1049" t="inlineStr">
        <is>
          <t>OPS</t>
        </is>
      </c>
      <c r="C1049" t="inlineStr">
        <is>
          <t>R09</t>
        </is>
      </c>
      <c r="D1049" t="inlineStr">
        <is>
          <t>MATCH</t>
        </is>
      </c>
      <c r="E1049" t="inlineStr">
        <is>
          <t>Pendle Hill Bakery</t>
        </is>
      </c>
      <c r="F1049" t="n">
        <v>1</v>
      </c>
      <c r="G1049" t="inlineStr">
        <is>
          <t>Reference INV/2026/03564</t>
        </is>
      </c>
      <c r="H1049">
        <f>COUNTIFS('Bank Lines'!$G$5:$G$1640,A1049,'Bank Lines'!$J$5:$J$1640,1)</f>
        <v>1</v>
      </c>
      <c r="I1049">
        <f>COUNTIFS('Odoo Items'!$J$5:$J$4331,A1049)</f>
        <v>1</v>
      </c>
      <c r="J1049" s="9">
        <f>ROUND(SUMIFS('Bank Lines'!$E$5:$E$1640,'Bank Lines'!$G$5:$G$1640,A1049,'Bank Lines'!$J$5:$J$1640,1),2)</f>
        <v>3547.5</v>
      </c>
      <c r="K1049" s="9">
        <f>ROUND(SUMIFS('Odoo Items'!$G$5:$G$4331,'Odoo Items'!$J$5:$J$4331,A1049),2)</f>
        <v>3547.5</v>
      </c>
      <c r="L1049" s="9">
        <f>ROUND(J1049-K1049,2)</f>
        <v>0</v>
      </c>
      <c r="M1049" s="9">
        <f>ROUND(SUMIFS('Bank Lines'!$E$5:$E$1640,'Bank Lines'!$G$5:$G$1640,A1049,'Bank Lines'!$J$5:$J$1640,1,'Bank Lines'!$C$5:$C$1640,"&lt;="&amp;Cover!$C$13),2)</f>
        <v>0</v>
      </c>
      <c r="N1049" s="9">
        <f>ROUND(SUMIFS('Odoo Items'!$G$5:$G$4331,'Odoo Items'!$J$5:$J$4331,A1049,'Odoo Items'!$C$5:$C$4331,"&lt;="&amp;Cover!$C$13),2)</f>
        <v>0</v>
      </c>
      <c r="O1049">
        <f>COUNTIFS('Bank Lines'!$G$5:$G$1640,A1049,'Bank Lines'!$J$5:$J$1640,1,'Bank Lines'!$C$5:$C$1640,"&lt;="&amp;Cover!$C$13)</f>
        <v>0</v>
      </c>
      <c r="P1049">
        <f>COUNTIFS('Odoo Items'!$J$5:$J$4331,A1049,'Odoo Items'!$C$5:$C$4331,"&lt;="&amp;Cover!$C$13)</f>
        <v>0</v>
      </c>
      <c r="Q1049">
        <f>IF(AND(O1049=0,P1049=0),"",IF(O1049=0,"ODOO-ONLY",IF(P1049=0,"BANK-ONLY","BOTH")))</f>
      </c>
      <c r="R1049" s="9">
        <f>IF(Q1049="BOTH",ROUND(M1049-N1049,2),0)</f>
        <v>0</v>
      </c>
      <c r="S1049" s="9">
        <f>ROUND(SUMIFS('Bank Lines'!$E$5:$E$1640,'Bank Lines'!$G$5:$G$1640,A1049,'Bank Lines'!$J$5:$J$1640,1,'Bank Lines'!$C$5:$C$1640,"&lt;="&amp;Cover!$C$14),2)</f>
        <v>0</v>
      </c>
      <c r="T1049" s="9">
        <f>ROUND(SUMIFS('Odoo Items'!$G$5:$G$4331,'Odoo Items'!$J$5:$J$4331,A1049,'Odoo Items'!$C$5:$C$4331,"&lt;="&amp;Cover!$C$14),2)</f>
        <v>0</v>
      </c>
      <c r="U1049">
        <f>COUNTIFS('Bank Lines'!$G$5:$G$1640,A1049,'Bank Lines'!$J$5:$J$1640,1,'Bank Lines'!$C$5:$C$1640,"&lt;="&amp;Cover!$C$14)</f>
        <v>0</v>
      </c>
      <c r="V1049">
        <f>COUNTIFS('Odoo Items'!$J$5:$J$4331,A1049,'Odoo Items'!$C$5:$C$4331,"&lt;="&amp;Cover!$C$14)</f>
        <v>0</v>
      </c>
      <c r="W1049">
        <f>IF(AND(U1049=0,V1049=0),"",IF(U1049=0,"ODOO-ONLY",IF(V1049=0,"BANK-ONLY","BOTH")))</f>
      </c>
      <c r="X1049" s="9">
        <f>IF(W1049="BOTH",ROUND(S1049-T1049,2),0)</f>
        <v>0</v>
      </c>
      <c r="Y1049" s="9">
        <f>ROUND(SUMIFS('Bank Lines'!$E$5:$E$1640,'Bank Lines'!$G$5:$G$1640,A1049,'Bank Lines'!$J$5:$J$1640,1,'Bank Lines'!$C$5:$C$1640,"&lt;="&amp;Cover!$C$15),2)</f>
        <v>3547.5</v>
      </c>
      <c r="Z1049" s="9">
        <f>ROUND(SUMIFS('Odoo Items'!$G$5:$G$4331,'Odoo Items'!$J$5:$J$4331,A1049,'Odoo Items'!$C$5:$C$4331,"&lt;="&amp;Cover!$C$15),2)</f>
        <v>3547.5</v>
      </c>
      <c r="AA1049">
        <f>COUNTIFS('Bank Lines'!$G$5:$G$1640,A1049,'Bank Lines'!$J$5:$J$1640,1,'Bank Lines'!$C$5:$C$1640,"&lt;="&amp;Cover!$C$15)</f>
        <v>1</v>
      </c>
      <c r="AB1049">
        <f>COUNTIFS('Odoo Items'!$J$5:$J$4331,A1049,'Odoo Items'!$C$5:$C$4331,"&lt;="&amp;Cover!$C$15)</f>
        <v>1</v>
      </c>
      <c r="AC1049" t="str">
        <f>IF(AND(AA1049=0,AB1049=0),"",IF(AA1049=0,"ODOO-ONLY",IF(AB1049=0,"BANK-ONLY","BOTH")))</f>
        <v>BOTH</v>
      </c>
      <c r="AD1049" s="9">
        <f>IF(AC1049="BOTH",ROUND(Y1049-Z1049,2),0)</f>
        <v>0</v>
      </c>
    </row>
    <row r="1050">
      <c r="A1050" t="inlineStr">
        <is>
          <t>G01046</t>
        </is>
      </c>
      <c r="B1050" t="inlineStr">
        <is>
          <t>OPS</t>
        </is>
      </c>
      <c r="C1050" t="inlineStr">
        <is>
          <t>R09</t>
        </is>
      </c>
      <c r="D1050" t="inlineStr">
        <is>
          <t>MATCH</t>
        </is>
      </c>
      <c r="E1050" t="inlineStr">
        <is>
          <t>Rosedale Nurseries</t>
        </is>
      </c>
      <c r="F1050" t="n">
        <v>1</v>
      </c>
      <c r="G1050" t="inlineStr">
        <is>
          <t>Reference INV/2026/03566</t>
        </is>
      </c>
      <c r="H1050">
        <f>COUNTIFS('Bank Lines'!$G$5:$G$1640,A1050,'Bank Lines'!$J$5:$J$1640,1)</f>
        <v>1</v>
      </c>
      <c r="I1050">
        <f>COUNTIFS('Odoo Items'!$J$5:$J$4331,A1050)</f>
        <v>1</v>
      </c>
      <c r="J1050" s="9">
        <f>ROUND(SUMIFS('Bank Lines'!$E$5:$E$1640,'Bank Lines'!$G$5:$G$1640,A1050,'Bank Lines'!$J$5:$J$1640,1),2)</f>
        <v>10876.25</v>
      </c>
      <c r="K1050" s="9">
        <f>ROUND(SUMIFS('Odoo Items'!$G$5:$G$4331,'Odoo Items'!$J$5:$J$4331,A1050),2)</f>
        <v>10876.25</v>
      </c>
      <c r="L1050" s="9">
        <f>ROUND(J1050-K1050,2)</f>
        <v>0</v>
      </c>
      <c r="M1050" s="9">
        <f>ROUND(SUMIFS('Bank Lines'!$E$5:$E$1640,'Bank Lines'!$G$5:$G$1640,A1050,'Bank Lines'!$J$5:$J$1640,1,'Bank Lines'!$C$5:$C$1640,"&lt;="&amp;Cover!$C$13),2)</f>
        <v>0</v>
      </c>
      <c r="N1050" s="9">
        <f>ROUND(SUMIFS('Odoo Items'!$G$5:$G$4331,'Odoo Items'!$J$5:$J$4331,A1050,'Odoo Items'!$C$5:$C$4331,"&lt;="&amp;Cover!$C$13),2)</f>
        <v>0</v>
      </c>
      <c r="O1050">
        <f>COUNTIFS('Bank Lines'!$G$5:$G$1640,A1050,'Bank Lines'!$J$5:$J$1640,1,'Bank Lines'!$C$5:$C$1640,"&lt;="&amp;Cover!$C$13)</f>
        <v>0</v>
      </c>
      <c r="P1050">
        <f>COUNTIFS('Odoo Items'!$J$5:$J$4331,A1050,'Odoo Items'!$C$5:$C$4331,"&lt;="&amp;Cover!$C$13)</f>
        <v>0</v>
      </c>
      <c r="Q1050">
        <f>IF(AND(O1050=0,P1050=0),"",IF(O1050=0,"ODOO-ONLY",IF(P1050=0,"BANK-ONLY","BOTH")))</f>
      </c>
      <c r="R1050" s="9">
        <f>IF(Q1050="BOTH",ROUND(M1050-N1050,2),0)</f>
        <v>0</v>
      </c>
      <c r="S1050" s="9">
        <f>ROUND(SUMIFS('Bank Lines'!$E$5:$E$1640,'Bank Lines'!$G$5:$G$1640,A1050,'Bank Lines'!$J$5:$J$1640,1,'Bank Lines'!$C$5:$C$1640,"&lt;="&amp;Cover!$C$14),2)</f>
        <v>0</v>
      </c>
      <c r="T1050" s="9">
        <f>ROUND(SUMIFS('Odoo Items'!$G$5:$G$4331,'Odoo Items'!$J$5:$J$4331,A1050,'Odoo Items'!$C$5:$C$4331,"&lt;="&amp;Cover!$C$14),2)</f>
        <v>0</v>
      </c>
      <c r="U1050">
        <f>COUNTIFS('Bank Lines'!$G$5:$G$1640,A1050,'Bank Lines'!$J$5:$J$1640,1,'Bank Lines'!$C$5:$C$1640,"&lt;="&amp;Cover!$C$14)</f>
        <v>0</v>
      </c>
      <c r="V1050">
        <f>COUNTIFS('Odoo Items'!$J$5:$J$4331,A1050,'Odoo Items'!$C$5:$C$4331,"&lt;="&amp;Cover!$C$14)</f>
        <v>0</v>
      </c>
      <c r="W1050">
        <f>IF(AND(U1050=0,V1050=0),"",IF(U1050=0,"ODOO-ONLY",IF(V1050=0,"BANK-ONLY","BOTH")))</f>
      </c>
      <c r="X1050" s="9">
        <f>IF(W1050="BOTH",ROUND(S1050-T1050,2),0)</f>
        <v>0</v>
      </c>
      <c r="Y1050" s="9">
        <f>ROUND(SUMIFS('Bank Lines'!$E$5:$E$1640,'Bank Lines'!$G$5:$G$1640,A1050,'Bank Lines'!$J$5:$J$1640,1,'Bank Lines'!$C$5:$C$1640,"&lt;="&amp;Cover!$C$15),2)</f>
        <v>10876.25</v>
      </c>
      <c r="Z1050" s="9">
        <f>ROUND(SUMIFS('Odoo Items'!$G$5:$G$4331,'Odoo Items'!$J$5:$J$4331,A1050,'Odoo Items'!$C$5:$C$4331,"&lt;="&amp;Cover!$C$15),2)</f>
        <v>10876.25</v>
      </c>
      <c r="AA1050">
        <f>COUNTIFS('Bank Lines'!$G$5:$G$1640,A1050,'Bank Lines'!$J$5:$J$1640,1,'Bank Lines'!$C$5:$C$1640,"&lt;="&amp;Cover!$C$15)</f>
        <v>1</v>
      </c>
      <c r="AB1050">
        <f>COUNTIFS('Odoo Items'!$J$5:$J$4331,A1050,'Odoo Items'!$C$5:$C$4331,"&lt;="&amp;Cover!$C$15)</f>
        <v>1</v>
      </c>
      <c r="AC1050" t="str">
        <f>IF(AND(AA1050=0,AB1050=0),"",IF(AA1050=0,"ODOO-ONLY",IF(AB1050=0,"BANK-ONLY","BOTH")))</f>
        <v>BOTH</v>
      </c>
      <c r="AD1050" s="9">
        <f>IF(AC1050="BOTH",ROUND(Y1050-Z1050,2),0)</f>
        <v>0</v>
      </c>
    </row>
    <row r="1051">
      <c r="A1051" t="inlineStr">
        <is>
          <t>G01047</t>
        </is>
      </c>
      <c r="B1051" t="inlineStr">
        <is>
          <t>OPS</t>
        </is>
      </c>
      <c r="C1051" t="inlineStr">
        <is>
          <t>R09</t>
        </is>
      </c>
      <c r="D1051" t="inlineStr">
        <is>
          <t>MATCH</t>
        </is>
      </c>
      <c r="E1051" t="inlineStr">
        <is>
          <t>Northline Injury Claims</t>
        </is>
      </c>
      <c r="F1051" t="n">
        <v>1</v>
      </c>
      <c r="G1051" t="inlineStr">
        <is>
          <t>Reference INV/2026/02709</t>
        </is>
      </c>
      <c r="H1051">
        <f>COUNTIFS('Bank Lines'!$G$5:$G$1640,A1051,'Bank Lines'!$J$5:$J$1640,1)</f>
        <v>1</v>
      </c>
      <c r="I1051">
        <f>COUNTIFS('Odoo Items'!$J$5:$J$4331,A1051)</f>
        <v>1</v>
      </c>
      <c r="J1051" s="9">
        <f>ROUND(SUMIFS('Bank Lines'!$E$5:$E$1640,'Bank Lines'!$G$5:$G$1640,A1051,'Bank Lines'!$J$5:$J$1640,1),2)</f>
        <v>412.5</v>
      </c>
      <c r="K1051" s="9">
        <f>ROUND(SUMIFS('Odoo Items'!$G$5:$G$4331,'Odoo Items'!$J$5:$J$4331,A1051),2)</f>
        <v>412.5</v>
      </c>
      <c r="L1051" s="9">
        <f>ROUND(J1051-K1051,2)</f>
        <v>0</v>
      </c>
      <c r="M1051" s="9">
        <f>ROUND(SUMIFS('Bank Lines'!$E$5:$E$1640,'Bank Lines'!$G$5:$G$1640,A1051,'Bank Lines'!$J$5:$J$1640,1,'Bank Lines'!$C$5:$C$1640,"&lt;="&amp;Cover!$C$13),2)</f>
        <v>0</v>
      </c>
      <c r="N1051" s="9">
        <f>ROUND(SUMIFS('Odoo Items'!$G$5:$G$4331,'Odoo Items'!$J$5:$J$4331,A1051,'Odoo Items'!$C$5:$C$4331,"&lt;="&amp;Cover!$C$13),2)</f>
        <v>0</v>
      </c>
      <c r="O1051">
        <f>COUNTIFS('Bank Lines'!$G$5:$G$1640,A1051,'Bank Lines'!$J$5:$J$1640,1,'Bank Lines'!$C$5:$C$1640,"&lt;="&amp;Cover!$C$13)</f>
        <v>0</v>
      </c>
      <c r="P1051">
        <f>COUNTIFS('Odoo Items'!$J$5:$J$4331,A1051,'Odoo Items'!$C$5:$C$4331,"&lt;="&amp;Cover!$C$13)</f>
        <v>0</v>
      </c>
      <c r="Q1051">
        <f>IF(AND(O1051=0,P1051=0),"",IF(O1051=0,"ODOO-ONLY",IF(P1051=0,"BANK-ONLY","BOTH")))</f>
      </c>
      <c r="R1051" s="9">
        <f>IF(Q1051="BOTH",ROUND(M1051-N1051,2),0)</f>
        <v>0</v>
      </c>
      <c r="S1051" s="9">
        <f>ROUND(SUMIFS('Bank Lines'!$E$5:$E$1640,'Bank Lines'!$G$5:$G$1640,A1051,'Bank Lines'!$J$5:$J$1640,1,'Bank Lines'!$C$5:$C$1640,"&lt;="&amp;Cover!$C$14),2)</f>
        <v>0</v>
      </c>
      <c r="T1051" s="9">
        <f>ROUND(SUMIFS('Odoo Items'!$G$5:$G$4331,'Odoo Items'!$J$5:$J$4331,A1051,'Odoo Items'!$C$5:$C$4331,"&lt;="&amp;Cover!$C$14),2)</f>
        <v>0</v>
      </c>
      <c r="U1051">
        <f>COUNTIFS('Bank Lines'!$G$5:$G$1640,A1051,'Bank Lines'!$J$5:$J$1640,1,'Bank Lines'!$C$5:$C$1640,"&lt;="&amp;Cover!$C$14)</f>
        <v>0</v>
      </c>
      <c r="V1051">
        <f>COUNTIFS('Odoo Items'!$J$5:$J$4331,A1051,'Odoo Items'!$C$5:$C$4331,"&lt;="&amp;Cover!$C$14)</f>
        <v>0</v>
      </c>
      <c r="W1051">
        <f>IF(AND(U1051=0,V1051=0),"",IF(U1051=0,"ODOO-ONLY",IF(V1051=0,"BANK-ONLY","BOTH")))</f>
      </c>
      <c r="X1051" s="9">
        <f>IF(W1051="BOTH",ROUND(S1051-T1051,2),0)</f>
        <v>0</v>
      </c>
      <c r="Y1051" s="9">
        <f>ROUND(SUMIFS('Bank Lines'!$E$5:$E$1640,'Bank Lines'!$G$5:$G$1640,A1051,'Bank Lines'!$J$5:$J$1640,1,'Bank Lines'!$C$5:$C$1640,"&lt;="&amp;Cover!$C$15),2)</f>
        <v>412.5</v>
      </c>
      <c r="Z1051" s="9">
        <f>ROUND(SUMIFS('Odoo Items'!$G$5:$G$4331,'Odoo Items'!$J$5:$J$4331,A1051,'Odoo Items'!$C$5:$C$4331,"&lt;="&amp;Cover!$C$15),2)</f>
        <v>412.5</v>
      </c>
      <c r="AA1051">
        <f>COUNTIFS('Bank Lines'!$G$5:$G$1640,A1051,'Bank Lines'!$J$5:$J$1640,1,'Bank Lines'!$C$5:$C$1640,"&lt;="&amp;Cover!$C$15)</f>
        <v>1</v>
      </c>
      <c r="AB1051">
        <f>COUNTIFS('Odoo Items'!$J$5:$J$4331,A1051,'Odoo Items'!$C$5:$C$4331,"&lt;="&amp;Cover!$C$15)</f>
        <v>1</v>
      </c>
      <c r="AC1051" t="str">
        <f>IF(AND(AA1051=0,AB1051=0),"",IF(AA1051=0,"ODOO-ONLY",IF(AB1051=0,"BANK-ONLY","BOTH")))</f>
        <v>BOTH</v>
      </c>
      <c r="AD1051" s="9">
        <f>IF(AC1051="BOTH",ROUND(Y1051-Z1051,2),0)</f>
        <v>0</v>
      </c>
    </row>
    <row r="1052">
      <c r="A1052" t="inlineStr">
        <is>
          <t>G01048</t>
        </is>
      </c>
      <c r="B1052" t="inlineStr">
        <is>
          <t>OPS</t>
        </is>
      </c>
      <c r="C1052" t="inlineStr">
        <is>
          <t>R09</t>
        </is>
      </c>
      <c r="D1052" t="inlineStr">
        <is>
          <t>MATCH</t>
        </is>
      </c>
      <c r="E1052" t="inlineStr">
        <is>
          <t>Northline Injury Claims</t>
        </is>
      </c>
      <c r="F1052" t="n">
        <v>1</v>
      </c>
      <c r="G1052" t="inlineStr">
        <is>
          <t>Reference INV/2026/02777</t>
        </is>
      </c>
      <c r="H1052">
        <f>COUNTIFS('Bank Lines'!$G$5:$G$1640,A1052,'Bank Lines'!$J$5:$J$1640,1)</f>
        <v>1</v>
      </c>
      <c r="I1052">
        <f>COUNTIFS('Odoo Items'!$J$5:$J$4331,A1052)</f>
        <v>1</v>
      </c>
      <c r="J1052" s="9">
        <f>ROUND(SUMIFS('Bank Lines'!$E$5:$E$1640,'Bank Lines'!$G$5:$G$1640,A1052,'Bank Lines'!$J$5:$J$1640,1),2)</f>
        <v>132</v>
      </c>
      <c r="K1052" s="9">
        <f>ROUND(SUMIFS('Odoo Items'!$G$5:$G$4331,'Odoo Items'!$J$5:$J$4331,A1052),2)</f>
        <v>132</v>
      </c>
      <c r="L1052" s="9">
        <f>ROUND(J1052-K1052,2)</f>
        <v>0</v>
      </c>
      <c r="M1052" s="9">
        <f>ROUND(SUMIFS('Bank Lines'!$E$5:$E$1640,'Bank Lines'!$G$5:$G$1640,A1052,'Bank Lines'!$J$5:$J$1640,1,'Bank Lines'!$C$5:$C$1640,"&lt;="&amp;Cover!$C$13),2)</f>
        <v>0</v>
      </c>
      <c r="N1052" s="9">
        <f>ROUND(SUMIFS('Odoo Items'!$G$5:$G$4331,'Odoo Items'!$J$5:$J$4331,A1052,'Odoo Items'!$C$5:$C$4331,"&lt;="&amp;Cover!$C$13),2)</f>
        <v>0</v>
      </c>
      <c r="O1052">
        <f>COUNTIFS('Bank Lines'!$G$5:$G$1640,A1052,'Bank Lines'!$J$5:$J$1640,1,'Bank Lines'!$C$5:$C$1640,"&lt;="&amp;Cover!$C$13)</f>
        <v>0</v>
      </c>
      <c r="P1052">
        <f>COUNTIFS('Odoo Items'!$J$5:$J$4331,A1052,'Odoo Items'!$C$5:$C$4331,"&lt;="&amp;Cover!$C$13)</f>
        <v>0</v>
      </c>
      <c r="Q1052">
        <f>IF(AND(O1052=0,P1052=0),"",IF(O1052=0,"ODOO-ONLY",IF(P1052=0,"BANK-ONLY","BOTH")))</f>
      </c>
      <c r="R1052" s="9">
        <f>IF(Q1052="BOTH",ROUND(M1052-N1052,2),0)</f>
        <v>0</v>
      </c>
      <c r="S1052" s="9">
        <f>ROUND(SUMIFS('Bank Lines'!$E$5:$E$1640,'Bank Lines'!$G$5:$G$1640,A1052,'Bank Lines'!$J$5:$J$1640,1,'Bank Lines'!$C$5:$C$1640,"&lt;="&amp;Cover!$C$14),2)</f>
        <v>0</v>
      </c>
      <c r="T1052" s="9">
        <f>ROUND(SUMIFS('Odoo Items'!$G$5:$G$4331,'Odoo Items'!$J$5:$J$4331,A1052,'Odoo Items'!$C$5:$C$4331,"&lt;="&amp;Cover!$C$14),2)</f>
        <v>0</v>
      </c>
      <c r="U1052">
        <f>COUNTIFS('Bank Lines'!$G$5:$G$1640,A1052,'Bank Lines'!$J$5:$J$1640,1,'Bank Lines'!$C$5:$C$1640,"&lt;="&amp;Cover!$C$14)</f>
        <v>0</v>
      </c>
      <c r="V1052">
        <f>COUNTIFS('Odoo Items'!$J$5:$J$4331,A1052,'Odoo Items'!$C$5:$C$4331,"&lt;="&amp;Cover!$C$14)</f>
        <v>0</v>
      </c>
      <c r="W1052">
        <f>IF(AND(U1052=0,V1052=0),"",IF(U1052=0,"ODOO-ONLY",IF(V1052=0,"BANK-ONLY","BOTH")))</f>
      </c>
      <c r="X1052" s="9">
        <f>IF(W1052="BOTH",ROUND(S1052-T1052,2),0)</f>
        <v>0</v>
      </c>
      <c r="Y1052" s="9">
        <f>ROUND(SUMIFS('Bank Lines'!$E$5:$E$1640,'Bank Lines'!$G$5:$G$1640,A1052,'Bank Lines'!$J$5:$J$1640,1,'Bank Lines'!$C$5:$C$1640,"&lt;="&amp;Cover!$C$15),2)</f>
        <v>132</v>
      </c>
      <c r="Z1052" s="9">
        <f>ROUND(SUMIFS('Odoo Items'!$G$5:$G$4331,'Odoo Items'!$J$5:$J$4331,A1052,'Odoo Items'!$C$5:$C$4331,"&lt;="&amp;Cover!$C$15),2)</f>
        <v>132</v>
      </c>
      <c r="AA1052">
        <f>COUNTIFS('Bank Lines'!$G$5:$G$1640,A1052,'Bank Lines'!$J$5:$J$1640,1,'Bank Lines'!$C$5:$C$1640,"&lt;="&amp;Cover!$C$15)</f>
        <v>1</v>
      </c>
      <c r="AB1052">
        <f>COUNTIFS('Odoo Items'!$J$5:$J$4331,A1052,'Odoo Items'!$C$5:$C$4331,"&lt;="&amp;Cover!$C$15)</f>
        <v>1</v>
      </c>
      <c r="AC1052" t="str">
        <f>IF(AND(AA1052=0,AB1052=0),"",IF(AA1052=0,"ODOO-ONLY",IF(AB1052=0,"BANK-ONLY","BOTH")))</f>
        <v>BOTH</v>
      </c>
      <c r="AD1052" s="9">
        <f>IF(AC1052="BOTH",ROUND(Y1052-Z1052,2),0)</f>
        <v>0</v>
      </c>
    </row>
    <row r="1053">
      <c r="A1053" t="inlineStr">
        <is>
          <t>G01049</t>
        </is>
      </c>
      <c r="B1053" t="inlineStr">
        <is>
          <t>OPS</t>
        </is>
      </c>
      <c r="C1053" t="inlineStr">
        <is>
          <t>R09</t>
        </is>
      </c>
      <c r="D1053" t="inlineStr">
        <is>
          <t>MATCH</t>
        </is>
      </c>
      <c r="E1053" t="inlineStr">
        <is>
          <t>Peregrine Security</t>
        </is>
      </c>
      <c r="F1053" t="n">
        <v>1</v>
      </c>
      <c r="G1053" t="inlineStr">
        <is>
          <t>Reference INV/2026/03544</t>
        </is>
      </c>
      <c r="H1053">
        <f>COUNTIFS('Bank Lines'!$G$5:$G$1640,A1053,'Bank Lines'!$J$5:$J$1640,1)</f>
        <v>1</v>
      </c>
      <c r="I1053">
        <f>COUNTIFS('Odoo Items'!$J$5:$J$4331,A1053)</f>
        <v>1</v>
      </c>
      <c r="J1053" s="9">
        <f>ROUND(SUMIFS('Bank Lines'!$E$5:$E$1640,'Bank Lines'!$G$5:$G$1640,A1053,'Bank Lines'!$J$5:$J$1640,1),2)</f>
        <v>3616.25</v>
      </c>
      <c r="K1053" s="9">
        <f>ROUND(SUMIFS('Odoo Items'!$G$5:$G$4331,'Odoo Items'!$J$5:$J$4331,A1053),2)</f>
        <v>3616.25</v>
      </c>
      <c r="L1053" s="9">
        <f>ROUND(J1053-K1053,2)</f>
        <v>0</v>
      </c>
      <c r="M1053" s="9">
        <f>ROUND(SUMIFS('Bank Lines'!$E$5:$E$1640,'Bank Lines'!$G$5:$G$1640,A1053,'Bank Lines'!$J$5:$J$1640,1,'Bank Lines'!$C$5:$C$1640,"&lt;="&amp;Cover!$C$13),2)</f>
        <v>0</v>
      </c>
      <c r="N1053" s="9">
        <f>ROUND(SUMIFS('Odoo Items'!$G$5:$G$4331,'Odoo Items'!$J$5:$J$4331,A1053,'Odoo Items'!$C$5:$C$4331,"&lt;="&amp;Cover!$C$13),2)</f>
        <v>0</v>
      </c>
      <c r="O1053">
        <f>COUNTIFS('Bank Lines'!$G$5:$G$1640,A1053,'Bank Lines'!$J$5:$J$1640,1,'Bank Lines'!$C$5:$C$1640,"&lt;="&amp;Cover!$C$13)</f>
        <v>0</v>
      </c>
      <c r="P1053">
        <f>COUNTIFS('Odoo Items'!$J$5:$J$4331,A1053,'Odoo Items'!$C$5:$C$4331,"&lt;="&amp;Cover!$C$13)</f>
        <v>0</v>
      </c>
      <c r="Q1053">
        <f>IF(AND(O1053=0,P1053=0),"",IF(O1053=0,"ODOO-ONLY",IF(P1053=0,"BANK-ONLY","BOTH")))</f>
      </c>
      <c r="R1053" s="9">
        <f>IF(Q1053="BOTH",ROUND(M1053-N1053,2),0)</f>
        <v>0</v>
      </c>
      <c r="S1053" s="9">
        <f>ROUND(SUMIFS('Bank Lines'!$E$5:$E$1640,'Bank Lines'!$G$5:$G$1640,A1053,'Bank Lines'!$J$5:$J$1640,1,'Bank Lines'!$C$5:$C$1640,"&lt;="&amp;Cover!$C$14),2)</f>
        <v>0</v>
      </c>
      <c r="T1053" s="9">
        <f>ROUND(SUMIFS('Odoo Items'!$G$5:$G$4331,'Odoo Items'!$J$5:$J$4331,A1053,'Odoo Items'!$C$5:$C$4331,"&lt;="&amp;Cover!$C$14),2)</f>
        <v>0</v>
      </c>
      <c r="U1053">
        <f>COUNTIFS('Bank Lines'!$G$5:$G$1640,A1053,'Bank Lines'!$J$5:$J$1640,1,'Bank Lines'!$C$5:$C$1640,"&lt;="&amp;Cover!$C$14)</f>
        <v>0</v>
      </c>
      <c r="V1053">
        <f>COUNTIFS('Odoo Items'!$J$5:$J$4331,A1053,'Odoo Items'!$C$5:$C$4331,"&lt;="&amp;Cover!$C$14)</f>
        <v>0</v>
      </c>
      <c r="W1053">
        <f>IF(AND(U1053=0,V1053=0),"",IF(U1053=0,"ODOO-ONLY",IF(V1053=0,"BANK-ONLY","BOTH")))</f>
      </c>
      <c r="X1053" s="9">
        <f>IF(W1053="BOTH",ROUND(S1053-T1053,2),0)</f>
        <v>0</v>
      </c>
      <c r="Y1053" s="9">
        <f>ROUND(SUMIFS('Bank Lines'!$E$5:$E$1640,'Bank Lines'!$G$5:$G$1640,A1053,'Bank Lines'!$J$5:$J$1640,1,'Bank Lines'!$C$5:$C$1640,"&lt;="&amp;Cover!$C$15),2)</f>
        <v>3616.25</v>
      </c>
      <c r="Z1053" s="9">
        <f>ROUND(SUMIFS('Odoo Items'!$G$5:$G$4331,'Odoo Items'!$J$5:$J$4331,A1053,'Odoo Items'!$C$5:$C$4331,"&lt;="&amp;Cover!$C$15),2)</f>
        <v>3616.25</v>
      </c>
      <c r="AA1053">
        <f>COUNTIFS('Bank Lines'!$G$5:$G$1640,A1053,'Bank Lines'!$J$5:$J$1640,1,'Bank Lines'!$C$5:$C$1640,"&lt;="&amp;Cover!$C$15)</f>
        <v>1</v>
      </c>
      <c r="AB1053">
        <f>COUNTIFS('Odoo Items'!$J$5:$J$4331,A1053,'Odoo Items'!$C$5:$C$4331,"&lt;="&amp;Cover!$C$15)</f>
        <v>1</v>
      </c>
      <c r="AC1053" t="str">
        <f>IF(AND(AA1053=0,AB1053=0),"",IF(AA1053=0,"ODOO-ONLY",IF(AB1053=0,"BANK-ONLY","BOTH")))</f>
        <v>BOTH</v>
      </c>
      <c r="AD1053" s="9">
        <f>IF(AC1053="BOTH",ROUND(Y1053-Z1053,2),0)</f>
        <v>0</v>
      </c>
    </row>
    <row r="1054">
      <c r="A1054" t="inlineStr">
        <is>
          <t>G01050</t>
        </is>
      </c>
      <c r="B1054" t="inlineStr">
        <is>
          <t>OPS</t>
        </is>
      </c>
      <c r="C1054" t="inlineStr">
        <is>
          <t>R09</t>
        </is>
      </c>
      <c r="D1054" t="inlineStr">
        <is>
          <t>MATCH</t>
        </is>
      </c>
      <c r="E1054" t="inlineStr">
        <is>
          <t>Unity Workcover Agents</t>
        </is>
      </c>
      <c r="F1054" t="n">
        <v>1</v>
      </c>
      <c r="G1054" t="inlineStr">
        <is>
          <t>Reference INV/2026/02864</t>
        </is>
      </c>
      <c r="H1054">
        <f>COUNTIFS('Bank Lines'!$G$5:$G$1640,A1054,'Bank Lines'!$J$5:$J$1640,1)</f>
        <v>1</v>
      </c>
      <c r="I1054">
        <f>COUNTIFS('Odoo Items'!$J$5:$J$4331,A1054)</f>
        <v>1</v>
      </c>
      <c r="J1054" s="9">
        <f>ROUND(SUMIFS('Bank Lines'!$E$5:$E$1640,'Bank Lines'!$G$5:$G$1640,A1054,'Bank Lines'!$J$5:$J$1640,1),2)</f>
        <v>990</v>
      </c>
      <c r="K1054" s="9">
        <f>ROUND(SUMIFS('Odoo Items'!$G$5:$G$4331,'Odoo Items'!$J$5:$J$4331,A1054),2)</f>
        <v>990</v>
      </c>
      <c r="L1054" s="9">
        <f>ROUND(J1054-K1054,2)</f>
        <v>0</v>
      </c>
      <c r="M1054" s="9">
        <f>ROUND(SUMIFS('Bank Lines'!$E$5:$E$1640,'Bank Lines'!$G$5:$G$1640,A1054,'Bank Lines'!$J$5:$J$1640,1,'Bank Lines'!$C$5:$C$1640,"&lt;="&amp;Cover!$C$13),2)</f>
        <v>0</v>
      </c>
      <c r="N1054" s="9">
        <f>ROUND(SUMIFS('Odoo Items'!$G$5:$G$4331,'Odoo Items'!$J$5:$J$4331,A1054,'Odoo Items'!$C$5:$C$4331,"&lt;="&amp;Cover!$C$13),2)</f>
        <v>0</v>
      </c>
      <c r="O1054">
        <f>COUNTIFS('Bank Lines'!$G$5:$G$1640,A1054,'Bank Lines'!$J$5:$J$1640,1,'Bank Lines'!$C$5:$C$1640,"&lt;="&amp;Cover!$C$13)</f>
        <v>0</v>
      </c>
      <c r="P1054">
        <f>COUNTIFS('Odoo Items'!$J$5:$J$4331,A1054,'Odoo Items'!$C$5:$C$4331,"&lt;="&amp;Cover!$C$13)</f>
        <v>0</v>
      </c>
      <c r="Q1054">
        <f>IF(AND(O1054=0,P1054=0),"",IF(O1054=0,"ODOO-ONLY",IF(P1054=0,"BANK-ONLY","BOTH")))</f>
      </c>
      <c r="R1054" s="9">
        <f>IF(Q1054="BOTH",ROUND(M1054-N1054,2),0)</f>
        <v>0</v>
      </c>
      <c r="S1054" s="9">
        <f>ROUND(SUMIFS('Bank Lines'!$E$5:$E$1640,'Bank Lines'!$G$5:$G$1640,A1054,'Bank Lines'!$J$5:$J$1640,1,'Bank Lines'!$C$5:$C$1640,"&lt;="&amp;Cover!$C$14),2)</f>
        <v>0</v>
      </c>
      <c r="T1054" s="9">
        <f>ROUND(SUMIFS('Odoo Items'!$G$5:$G$4331,'Odoo Items'!$J$5:$J$4331,A1054,'Odoo Items'!$C$5:$C$4331,"&lt;="&amp;Cover!$C$14),2)</f>
        <v>0</v>
      </c>
      <c r="U1054">
        <f>COUNTIFS('Bank Lines'!$G$5:$G$1640,A1054,'Bank Lines'!$J$5:$J$1640,1,'Bank Lines'!$C$5:$C$1640,"&lt;="&amp;Cover!$C$14)</f>
        <v>0</v>
      </c>
      <c r="V1054">
        <f>COUNTIFS('Odoo Items'!$J$5:$J$4331,A1054,'Odoo Items'!$C$5:$C$4331,"&lt;="&amp;Cover!$C$14)</f>
        <v>0</v>
      </c>
      <c r="W1054">
        <f>IF(AND(U1054=0,V1054=0),"",IF(U1054=0,"ODOO-ONLY",IF(V1054=0,"BANK-ONLY","BOTH")))</f>
      </c>
      <c r="X1054" s="9">
        <f>IF(W1054="BOTH",ROUND(S1054-T1054,2),0)</f>
        <v>0</v>
      </c>
      <c r="Y1054" s="9">
        <f>ROUND(SUMIFS('Bank Lines'!$E$5:$E$1640,'Bank Lines'!$G$5:$G$1640,A1054,'Bank Lines'!$J$5:$J$1640,1,'Bank Lines'!$C$5:$C$1640,"&lt;="&amp;Cover!$C$15),2)</f>
        <v>990</v>
      </c>
      <c r="Z1054" s="9">
        <f>ROUND(SUMIFS('Odoo Items'!$G$5:$G$4331,'Odoo Items'!$J$5:$J$4331,A1054,'Odoo Items'!$C$5:$C$4331,"&lt;="&amp;Cover!$C$15),2)</f>
        <v>990</v>
      </c>
      <c r="AA1054">
        <f>COUNTIFS('Bank Lines'!$G$5:$G$1640,A1054,'Bank Lines'!$J$5:$J$1640,1,'Bank Lines'!$C$5:$C$1640,"&lt;="&amp;Cover!$C$15)</f>
        <v>1</v>
      </c>
      <c r="AB1054">
        <f>COUNTIFS('Odoo Items'!$J$5:$J$4331,A1054,'Odoo Items'!$C$5:$C$4331,"&lt;="&amp;Cover!$C$15)</f>
        <v>1</v>
      </c>
      <c r="AC1054" t="str">
        <f>IF(AND(AA1054=0,AB1054=0),"",IF(AA1054=0,"ODOO-ONLY",IF(AB1054=0,"BANK-ONLY","BOTH")))</f>
        <v>BOTH</v>
      </c>
      <c r="AD1054" s="9">
        <f>IF(AC1054="BOTH",ROUND(Y1054-Z1054,2),0)</f>
        <v>0</v>
      </c>
    </row>
    <row r="1055">
      <c r="A1055" t="inlineStr">
        <is>
          <t>G01051</t>
        </is>
      </c>
      <c r="B1055" t="inlineStr">
        <is>
          <t>OPS</t>
        </is>
      </c>
      <c r="C1055" t="inlineStr">
        <is>
          <t>R09</t>
        </is>
      </c>
      <c r="D1055" t="inlineStr">
        <is>
          <t>MATCH</t>
        </is>
      </c>
      <c r="E1055" t="inlineStr">
        <is>
          <t>Harbour Mutual Health</t>
        </is>
      </c>
      <c r="F1055" t="n">
        <v>1</v>
      </c>
      <c r="G1055" t="inlineStr">
        <is>
          <t>Reference INV/2026/02752</t>
        </is>
      </c>
      <c r="H1055">
        <f>COUNTIFS('Bank Lines'!$G$5:$G$1640,A1055,'Bank Lines'!$J$5:$J$1640,1)</f>
        <v>1</v>
      </c>
      <c r="I1055">
        <f>COUNTIFS('Odoo Items'!$J$5:$J$4331,A1055)</f>
        <v>1</v>
      </c>
      <c r="J1055" s="9">
        <f>ROUND(SUMIFS('Bank Lines'!$E$5:$E$1640,'Bank Lines'!$G$5:$G$1640,A1055,'Bank Lines'!$J$5:$J$1640,1),2)</f>
        <v>88</v>
      </c>
      <c r="K1055" s="9">
        <f>ROUND(SUMIFS('Odoo Items'!$G$5:$G$4331,'Odoo Items'!$J$5:$J$4331,A1055),2)</f>
        <v>88</v>
      </c>
      <c r="L1055" s="9">
        <f>ROUND(J1055-K1055,2)</f>
        <v>0</v>
      </c>
      <c r="M1055" s="9">
        <f>ROUND(SUMIFS('Bank Lines'!$E$5:$E$1640,'Bank Lines'!$G$5:$G$1640,A1055,'Bank Lines'!$J$5:$J$1640,1,'Bank Lines'!$C$5:$C$1640,"&lt;="&amp;Cover!$C$13),2)</f>
        <v>0</v>
      </c>
      <c r="N1055" s="9">
        <f>ROUND(SUMIFS('Odoo Items'!$G$5:$G$4331,'Odoo Items'!$J$5:$J$4331,A1055,'Odoo Items'!$C$5:$C$4331,"&lt;="&amp;Cover!$C$13),2)</f>
        <v>0</v>
      </c>
      <c r="O1055">
        <f>COUNTIFS('Bank Lines'!$G$5:$G$1640,A1055,'Bank Lines'!$J$5:$J$1640,1,'Bank Lines'!$C$5:$C$1640,"&lt;="&amp;Cover!$C$13)</f>
        <v>0</v>
      </c>
      <c r="P1055">
        <f>COUNTIFS('Odoo Items'!$J$5:$J$4331,A1055,'Odoo Items'!$C$5:$C$4331,"&lt;="&amp;Cover!$C$13)</f>
        <v>0</v>
      </c>
      <c r="Q1055">
        <f>IF(AND(O1055=0,P1055=0),"",IF(O1055=0,"ODOO-ONLY",IF(P1055=0,"BANK-ONLY","BOTH")))</f>
      </c>
      <c r="R1055" s="9">
        <f>IF(Q1055="BOTH",ROUND(M1055-N1055,2),0)</f>
        <v>0</v>
      </c>
      <c r="S1055" s="9">
        <f>ROUND(SUMIFS('Bank Lines'!$E$5:$E$1640,'Bank Lines'!$G$5:$G$1640,A1055,'Bank Lines'!$J$5:$J$1640,1,'Bank Lines'!$C$5:$C$1640,"&lt;="&amp;Cover!$C$14),2)</f>
        <v>0</v>
      </c>
      <c r="T1055" s="9">
        <f>ROUND(SUMIFS('Odoo Items'!$G$5:$G$4331,'Odoo Items'!$J$5:$J$4331,A1055,'Odoo Items'!$C$5:$C$4331,"&lt;="&amp;Cover!$C$14),2)</f>
        <v>0</v>
      </c>
      <c r="U1055">
        <f>COUNTIFS('Bank Lines'!$G$5:$G$1640,A1055,'Bank Lines'!$J$5:$J$1640,1,'Bank Lines'!$C$5:$C$1640,"&lt;="&amp;Cover!$C$14)</f>
        <v>0</v>
      </c>
      <c r="V1055">
        <f>COUNTIFS('Odoo Items'!$J$5:$J$4331,A1055,'Odoo Items'!$C$5:$C$4331,"&lt;="&amp;Cover!$C$14)</f>
        <v>0</v>
      </c>
      <c r="W1055">
        <f>IF(AND(U1055=0,V1055=0),"",IF(U1055=0,"ODOO-ONLY",IF(V1055=0,"BANK-ONLY","BOTH")))</f>
      </c>
      <c r="X1055" s="9">
        <f>IF(W1055="BOTH",ROUND(S1055-T1055,2),0)</f>
        <v>0</v>
      </c>
      <c r="Y1055" s="9">
        <f>ROUND(SUMIFS('Bank Lines'!$E$5:$E$1640,'Bank Lines'!$G$5:$G$1640,A1055,'Bank Lines'!$J$5:$J$1640,1,'Bank Lines'!$C$5:$C$1640,"&lt;="&amp;Cover!$C$15),2)</f>
        <v>88</v>
      </c>
      <c r="Z1055" s="9">
        <f>ROUND(SUMIFS('Odoo Items'!$G$5:$G$4331,'Odoo Items'!$J$5:$J$4331,A1055,'Odoo Items'!$C$5:$C$4331,"&lt;="&amp;Cover!$C$15),2)</f>
        <v>88</v>
      </c>
      <c r="AA1055">
        <f>COUNTIFS('Bank Lines'!$G$5:$G$1640,A1055,'Bank Lines'!$J$5:$J$1640,1,'Bank Lines'!$C$5:$C$1640,"&lt;="&amp;Cover!$C$15)</f>
        <v>1</v>
      </c>
      <c r="AB1055">
        <f>COUNTIFS('Odoo Items'!$J$5:$J$4331,A1055,'Odoo Items'!$C$5:$C$4331,"&lt;="&amp;Cover!$C$15)</f>
        <v>1</v>
      </c>
      <c r="AC1055" t="str">
        <f>IF(AND(AA1055=0,AB1055=0),"",IF(AA1055=0,"ODOO-ONLY",IF(AB1055=0,"BANK-ONLY","BOTH")))</f>
        <v>BOTH</v>
      </c>
      <c r="AD1055" s="9">
        <f>IF(AC1055="BOTH",ROUND(Y1055-Z1055,2),0)</f>
        <v>0</v>
      </c>
    </row>
    <row r="1056">
      <c r="A1056" t="inlineStr">
        <is>
          <t>G01052</t>
        </is>
      </c>
      <c r="B1056" t="inlineStr">
        <is>
          <t>OPS</t>
        </is>
      </c>
      <c r="C1056" t="inlineStr">
        <is>
          <t>R09</t>
        </is>
      </c>
      <c r="D1056" t="inlineStr">
        <is>
          <t>MATCH</t>
        </is>
      </c>
      <c r="E1056" t="inlineStr">
        <is>
          <t>Harbour Mutual Health</t>
        </is>
      </c>
      <c r="F1056" t="n">
        <v>1</v>
      </c>
      <c r="G1056" t="inlineStr">
        <is>
          <t>Reference INV/2026/02925</t>
        </is>
      </c>
      <c r="H1056">
        <f>COUNTIFS('Bank Lines'!$G$5:$G$1640,A1056,'Bank Lines'!$J$5:$J$1640,1)</f>
        <v>1</v>
      </c>
      <c r="I1056">
        <f>COUNTIFS('Odoo Items'!$J$5:$J$4331,A1056)</f>
        <v>1</v>
      </c>
      <c r="J1056" s="9">
        <f>ROUND(SUMIFS('Bank Lines'!$E$5:$E$1640,'Bank Lines'!$G$5:$G$1640,A1056,'Bank Lines'!$J$5:$J$1640,1),2)</f>
        <v>88</v>
      </c>
      <c r="K1056" s="9">
        <f>ROUND(SUMIFS('Odoo Items'!$G$5:$G$4331,'Odoo Items'!$J$5:$J$4331,A1056),2)</f>
        <v>88</v>
      </c>
      <c r="L1056" s="9">
        <f>ROUND(J1056-K1056,2)</f>
        <v>0</v>
      </c>
      <c r="M1056" s="9">
        <f>ROUND(SUMIFS('Bank Lines'!$E$5:$E$1640,'Bank Lines'!$G$5:$G$1640,A1056,'Bank Lines'!$J$5:$J$1640,1,'Bank Lines'!$C$5:$C$1640,"&lt;="&amp;Cover!$C$13),2)</f>
        <v>0</v>
      </c>
      <c r="N1056" s="9">
        <f>ROUND(SUMIFS('Odoo Items'!$G$5:$G$4331,'Odoo Items'!$J$5:$J$4331,A1056,'Odoo Items'!$C$5:$C$4331,"&lt;="&amp;Cover!$C$13),2)</f>
        <v>0</v>
      </c>
      <c r="O1056">
        <f>COUNTIFS('Bank Lines'!$G$5:$G$1640,A1056,'Bank Lines'!$J$5:$J$1640,1,'Bank Lines'!$C$5:$C$1640,"&lt;="&amp;Cover!$C$13)</f>
        <v>0</v>
      </c>
      <c r="P1056">
        <f>COUNTIFS('Odoo Items'!$J$5:$J$4331,A1056,'Odoo Items'!$C$5:$C$4331,"&lt;="&amp;Cover!$C$13)</f>
        <v>0</v>
      </c>
      <c r="Q1056">
        <f>IF(AND(O1056=0,P1056=0),"",IF(O1056=0,"ODOO-ONLY",IF(P1056=0,"BANK-ONLY","BOTH")))</f>
      </c>
      <c r="R1056" s="9">
        <f>IF(Q1056="BOTH",ROUND(M1056-N1056,2),0)</f>
        <v>0</v>
      </c>
      <c r="S1056" s="9">
        <f>ROUND(SUMIFS('Bank Lines'!$E$5:$E$1640,'Bank Lines'!$G$5:$G$1640,A1056,'Bank Lines'!$J$5:$J$1640,1,'Bank Lines'!$C$5:$C$1640,"&lt;="&amp;Cover!$C$14),2)</f>
        <v>0</v>
      </c>
      <c r="T1056" s="9">
        <f>ROUND(SUMIFS('Odoo Items'!$G$5:$G$4331,'Odoo Items'!$J$5:$J$4331,A1056,'Odoo Items'!$C$5:$C$4331,"&lt;="&amp;Cover!$C$14),2)</f>
        <v>0</v>
      </c>
      <c r="U1056">
        <f>COUNTIFS('Bank Lines'!$G$5:$G$1640,A1056,'Bank Lines'!$J$5:$J$1640,1,'Bank Lines'!$C$5:$C$1640,"&lt;="&amp;Cover!$C$14)</f>
        <v>0</v>
      </c>
      <c r="V1056">
        <f>COUNTIFS('Odoo Items'!$J$5:$J$4331,A1056,'Odoo Items'!$C$5:$C$4331,"&lt;="&amp;Cover!$C$14)</f>
        <v>0</v>
      </c>
      <c r="W1056">
        <f>IF(AND(U1056=0,V1056=0),"",IF(U1056=0,"ODOO-ONLY",IF(V1056=0,"BANK-ONLY","BOTH")))</f>
      </c>
      <c r="X1056" s="9">
        <f>IF(W1056="BOTH",ROUND(S1056-T1056,2),0)</f>
        <v>0</v>
      </c>
      <c r="Y1056" s="9">
        <f>ROUND(SUMIFS('Bank Lines'!$E$5:$E$1640,'Bank Lines'!$G$5:$G$1640,A1056,'Bank Lines'!$J$5:$J$1640,1,'Bank Lines'!$C$5:$C$1640,"&lt;="&amp;Cover!$C$15),2)</f>
        <v>88</v>
      </c>
      <c r="Z1056" s="9">
        <f>ROUND(SUMIFS('Odoo Items'!$G$5:$G$4331,'Odoo Items'!$J$5:$J$4331,A1056,'Odoo Items'!$C$5:$C$4331,"&lt;="&amp;Cover!$C$15),2)</f>
        <v>88</v>
      </c>
      <c r="AA1056">
        <f>COUNTIFS('Bank Lines'!$G$5:$G$1640,A1056,'Bank Lines'!$J$5:$J$1640,1,'Bank Lines'!$C$5:$C$1640,"&lt;="&amp;Cover!$C$15)</f>
        <v>1</v>
      </c>
      <c r="AB1056">
        <f>COUNTIFS('Odoo Items'!$J$5:$J$4331,A1056,'Odoo Items'!$C$5:$C$4331,"&lt;="&amp;Cover!$C$15)</f>
        <v>1</v>
      </c>
      <c r="AC1056" t="str">
        <f>IF(AND(AA1056=0,AB1056=0),"",IF(AA1056=0,"ODOO-ONLY",IF(AB1056=0,"BANK-ONLY","BOTH")))</f>
        <v>BOTH</v>
      </c>
      <c r="AD1056" s="9">
        <f>IF(AC1056="BOTH",ROUND(Y1056-Z1056,2),0)</f>
        <v>0</v>
      </c>
    </row>
    <row r="1057">
      <c r="A1057" t="inlineStr">
        <is>
          <t>G01053</t>
        </is>
      </c>
      <c r="B1057" t="inlineStr">
        <is>
          <t>OPS</t>
        </is>
      </c>
      <c r="C1057" t="inlineStr">
        <is>
          <t>R09</t>
        </is>
      </c>
      <c r="D1057" t="inlineStr">
        <is>
          <t>MATCH</t>
        </is>
      </c>
      <c r="E1057" t="inlineStr">
        <is>
          <t>Coastline Health Fund</t>
        </is>
      </c>
      <c r="F1057" t="n">
        <v>1</v>
      </c>
      <c r="G1057" t="inlineStr">
        <is>
          <t>Reference INV/2026/02819</t>
        </is>
      </c>
      <c r="H1057">
        <f>COUNTIFS('Bank Lines'!$G$5:$G$1640,A1057,'Bank Lines'!$J$5:$J$1640,1)</f>
        <v>1</v>
      </c>
      <c r="I1057">
        <f>COUNTIFS('Odoo Items'!$J$5:$J$4331,A1057)</f>
        <v>1</v>
      </c>
      <c r="J1057" s="9">
        <f>ROUND(SUMIFS('Bank Lines'!$E$5:$E$1640,'Bank Lines'!$G$5:$G$1640,A1057,'Bank Lines'!$J$5:$J$1640,1),2)</f>
        <v>264</v>
      </c>
      <c r="K1057" s="9">
        <f>ROUND(SUMIFS('Odoo Items'!$G$5:$G$4331,'Odoo Items'!$J$5:$J$4331,A1057),2)</f>
        <v>264</v>
      </c>
      <c r="L1057" s="9">
        <f>ROUND(J1057-K1057,2)</f>
        <v>0</v>
      </c>
      <c r="M1057" s="9">
        <f>ROUND(SUMIFS('Bank Lines'!$E$5:$E$1640,'Bank Lines'!$G$5:$G$1640,A1057,'Bank Lines'!$J$5:$J$1640,1,'Bank Lines'!$C$5:$C$1640,"&lt;="&amp;Cover!$C$13),2)</f>
        <v>0</v>
      </c>
      <c r="N1057" s="9">
        <f>ROUND(SUMIFS('Odoo Items'!$G$5:$G$4331,'Odoo Items'!$J$5:$J$4331,A1057,'Odoo Items'!$C$5:$C$4331,"&lt;="&amp;Cover!$C$13),2)</f>
        <v>0</v>
      </c>
      <c r="O1057">
        <f>COUNTIFS('Bank Lines'!$G$5:$G$1640,A1057,'Bank Lines'!$J$5:$J$1640,1,'Bank Lines'!$C$5:$C$1640,"&lt;="&amp;Cover!$C$13)</f>
        <v>0</v>
      </c>
      <c r="P1057">
        <f>COUNTIFS('Odoo Items'!$J$5:$J$4331,A1057,'Odoo Items'!$C$5:$C$4331,"&lt;="&amp;Cover!$C$13)</f>
        <v>0</v>
      </c>
      <c r="Q1057">
        <f>IF(AND(O1057=0,P1057=0),"",IF(O1057=0,"ODOO-ONLY",IF(P1057=0,"BANK-ONLY","BOTH")))</f>
      </c>
      <c r="R1057" s="9">
        <f>IF(Q1057="BOTH",ROUND(M1057-N1057,2),0)</f>
        <v>0</v>
      </c>
      <c r="S1057" s="9">
        <f>ROUND(SUMIFS('Bank Lines'!$E$5:$E$1640,'Bank Lines'!$G$5:$G$1640,A1057,'Bank Lines'!$J$5:$J$1640,1,'Bank Lines'!$C$5:$C$1640,"&lt;="&amp;Cover!$C$14),2)</f>
        <v>0</v>
      </c>
      <c r="T1057" s="9">
        <f>ROUND(SUMIFS('Odoo Items'!$G$5:$G$4331,'Odoo Items'!$J$5:$J$4331,A1057,'Odoo Items'!$C$5:$C$4331,"&lt;="&amp;Cover!$C$14),2)</f>
        <v>0</v>
      </c>
      <c r="U1057">
        <f>COUNTIFS('Bank Lines'!$G$5:$G$1640,A1057,'Bank Lines'!$J$5:$J$1640,1,'Bank Lines'!$C$5:$C$1640,"&lt;="&amp;Cover!$C$14)</f>
        <v>0</v>
      </c>
      <c r="V1057">
        <f>COUNTIFS('Odoo Items'!$J$5:$J$4331,A1057,'Odoo Items'!$C$5:$C$4331,"&lt;="&amp;Cover!$C$14)</f>
        <v>0</v>
      </c>
      <c r="W1057">
        <f>IF(AND(U1057=0,V1057=0),"",IF(U1057=0,"ODOO-ONLY",IF(V1057=0,"BANK-ONLY","BOTH")))</f>
      </c>
      <c r="X1057" s="9">
        <f>IF(W1057="BOTH",ROUND(S1057-T1057,2),0)</f>
        <v>0</v>
      </c>
      <c r="Y1057" s="9">
        <f>ROUND(SUMIFS('Bank Lines'!$E$5:$E$1640,'Bank Lines'!$G$5:$G$1640,A1057,'Bank Lines'!$J$5:$J$1640,1,'Bank Lines'!$C$5:$C$1640,"&lt;="&amp;Cover!$C$15),2)</f>
        <v>264</v>
      </c>
      <c r="Z1057" s="9">
        <f>ROUND(SUMIFS('Odoo Items'!$G$5:$G$4331,'Odoo Items'!$J$5:$J$4331,A1057,'Odoo Items'!$C$5:$C$4331,"&lt;="&amp;Cover!$C$15),2)</f>
        <v>264</v>
      </c>
      <c r="AA1057">
        <f>COUNTIFS('Bank Lines'!$G$5:$G$1640,A1057,'Bank Lines'!$J$5:$J$1640,1,'Bank Lines'!$C$5:$C$1640,"&lt;="&amp;Cover!$C$15)</f>
        <v>1</v>
      </c>
      <c r="AB1057">
        <f>COUNTIFS('Odoo Items'!$J$5:$J$4331,A1057,'Odoo Items'!$C$5:$C$4331,"&lt;="&amp;Cover!$C$15)</f>
        <v>1</v>
      </c>
      <c r="AC1057" t="str">
        <f>IF(AND(AA1057=0,AB1057=0),"",IF(AA1057=0,"ODOO-ONLY",IF(AB1057=0,"BANK-ONLY","BOTH")))</f>
        <v>BOTH</v>
      </c>
      <c r="AD1057" s="9">
        <f>IF(AC1057="BOTH",ROUND(Y1057-Z1057,2),0)</f>
        <v>0</v>
      </c>
    </row>
    <row r="1058">
      <c r="A1058" t="inlineStr">
        <is>
          <t>G01054</t>
        </is>
      </c>
      <c r="B1058" t="inlineStr">
        <is>
          <t>OPS</t>
        </is>
      </c>
      <c r="C1058" t="inlineStr">
        <is>
          <t>R09</t>
        </is>
      </c>
      <c r="D1058" t="inlineStr">
        <is>
          <t>MATCH</t>
        </is>
      </c>
      <c r="E1058" t="inlineStr">
        <is>
          <t>Meridian Health Cover</t>
        </is>
      </c>
      <c r="F1058" t="n">
        <v>1</v>
      </c>
      <c r="G1058" t="inlineStr">
        <is>
          <t>Reference INV/2026/02776</t>
        </is>
      </c>
      <c r="H1058">
        <f>COUNTIFS('Bank Lines'!$G$5:$G$1640,A1058,'Bank Lines'!$J$5:$J$1640,1)</f>
        <v>1</v>
      </c>
      <c r="I1058">
        <f>COUNTIFS('Odoo Items'!$J$5:$J$4331,A1058)</f>
        <v>1</v>
      </c>
      <c r="J1058" s="9">
        <f>ROUND(SUMIFS('Bank Lines'!$E$5:$E$1640,'Bank Lines'!$G$5:$G$1640,A1058,'Bank Lines'!$J$5:$J$1640,1),2)</f>
        <v>264</v>
      </c>
      <c r="K1058" s="9">
        <f>ROUND(SUMIFS('Odoo Items'!$G$5:$G$4331,'Odoo Items'!$J$5:$J$4331,A1058),2)</f>
        <v>264</v>
      </c>
      <c r="L1058" s="9">
        <f>ROUND(J1058-K1058,2)</f>
        <v>0</v>
      </c>
      <c r="M1058" s="9">
        <f>ROUND(SUMIFS('Bank Lines'!$E$5:$E$1640,'Bank Lines'!$G$5:$G$1640,A1058,'Bank Lines'!$J$5:$J$1640,1,'Bank Lines'!$C$5:$C$1640,"&lt;="&amp;Cover!$C$13),2)</f>
        <v>0</v>
      </c>
      <c r="N1058" s="9">
        <f>ROUND(SUMIFS('Odoo Items'!$G$5:$G$4331,'Odoo Items'!$J$5:$J$4331,A1058,'Odoo Items'!$C$5:$C$4331,"&lt;="&amp;Cover!$C$13),2)</f>
        <v>0</v>
      </c>
      <c r="O1058">
        <f>COUNTIFS('Bank Lines'!$G$5:$G$1640,A1058,'Bank Lines'!$J$5:$J$1640,1,'Bank Lines'!$C$5:$C$1640,"&lt;="&amp;Cover!$C$13)</f>
        <v>0</v>
      </c>
      <c r="P1058">
        <f>COUNTIFS('Odoo Items'!$J$5:$J$4331,A1058,'Odoo Items'!$C$5:$C$4331,"&lt;="&amp;Cover!$C$13)</f>
        <v>0</v>
      </c>
      <c r="Q1058">
        <f>IF(AND(O1058=0,P1058=0),"",IF(O1058=0,"ODOO-ONLY",IF(P1058=0,"BANK-ONLY","BOTH")))</f>
      </c>
      <c r="R1058" s="9">
        <f>IF(Q1058="BOTH",ROUND(M1058-N1058,2),0)</f>
        <v>0</v>
      </c>
      <c r="S1058" s="9">
        <f>ROUND(SUMIFS('Bank Lines'!$E$5:$E$1640,'Bank Lines'!$G$5:$G$1640,A1058,'Bank Lines'!$J$5:$J$1640,1,'Bank Lines'!$C$5:$C$1640,"&lt;="&amp;Cover!$C$14),2)</f>
        <v>0</v>
      </c>
      <c r="T1058" s="9">
        <f>ROUND(SUMIFS('Odoo Items'!$G$5:$G$4331,'Odoo Items'!$J$5:$J$4331,A1058,'Odoo Items'!$C$5:$C$4331,"&lt;="&amp;Cover!$C$14),2)</f>
        <v>0</v>
      </c>
      <c r="U1058">
        <f>COUNTIFS('Bank Lines'!$G$5:$G$1640,A1058,'Bank Lines'!$J$5:$J$1640,1,'Bank Lines'!$C$5:$C$1640,"&lt;="&amp;Cover!$C$14)</f>
        <v>0</v>
      </c>
      <c r="V1058">
        <f>COUNTIFS('Odoo Items'!$J$5:$J$4331,A1058,'Odoo Items'!$C$5:$C$4331,"&lt;="&amp;Cover!$C$14)</f>
        <v>0</v>
      </c>
      <c r="W1058">
        <f>IF(AND(U1058=0,V1058=0),"",IF(U1058=0,"ODOO-ONLY",IF(V1058=0,"BANK-ONLY","BOTH")))</f>
      </c>
      <c r="X1058" s="9">
        <f>IF(W1058="BOTH",ROUND(S1058-T1058,2),0)</f>
        <v>0</v>
      </c>
      <c r="Y1058" s="9">
        <f>ROUND(SUMIFS('Bank Lines'!$E$5:$E$1640,'Bank Lines'!$G$5:$G$1640,A1058,'Bank Lines'!$J$5:$J$1640,1,'Bank Lines'!$C$5:$C$1640,"&lt;="&amp;Cover!$C$15),2)</f>
        <v>264</v>
      </c>
      <c r="Z1058" s="9">
        <f>ROUND(SUMIFS('Odoo Items'!$G$5:$G$4331,'Odoo Items'!$J$5:$J$4331,A1058,'Odoo Items'!$C$5:$C$4331,"&lt;="&amp;Cover!$C$15),2)</f>
        <v>264</v>
      </c>
      <c r="AA1058">
        <f>COUNTIFS('Bank Lines'!$G$5:$G$1640,A1058,'Bank Lines'!$J$5:$J$1640,1,'Bank Lines'!$C$5:$C$1640,"&lt;="&amp;Cover!$C$15)</f>
        <v>1</v>
      </c>
      <c r="AB1058">
        <f>COUNTIFS('Odoo Items'!$J$5:$J$4331,A1058,'Odoo Items'!$C$5:$C$4331,"&lt;="&amp;Cover!$C$15)</f>
        <v>1</v>
      </c>
      <c r="AC1058" t="str">
        <f>IF(AND(AA1058=0,AB1058=0),"",IF(AA1058=0,"ODOO-ONLY",IF(AB1058=0,"BANK-ONLY","BOTH")))</f>
        <v>BOTH</v>
      </c>
      <c r="AD1058" s="9">
        <f>IF(AC1058="BOTH",ROUND(Y1058-Z1058,2),0)</f>
        <v>0</v>
      </c>
    </row>
    <row r="1059">
      <c r="A1059" t="inlineStr">
        <is>
          <t>G01055</t>
        </is>
      </c>
      <c r="B1059" t="inlineStr">
        <is>
          <t>OPS</t>
        </is>
      </c>
      <c r="C1059" t="inlineStr">
        <is>
          <t>R09</t>
        </is>
      </c>
      <c r="D1059" t="inlineStr">
        <is>
          <t>MATCH</t>
        </is>
      </c>
      <c r="E1059" t="inlineStr">
        <is>
          <t>Varga &amp; Holt Logistics</t>
        </is>
      </c>
      <c r="F1059" t="n">
        <v>1</v>
      </c>
      <c r="G1059" t="inlineStr">
        <is>
          <t>Reference INV/2026/03514</t>
        </is>
      </c>
      <c r="H1059">
        <f>COUNTIFS('Bank Lines'!$G$5:$G$1640,A1059,'Bank Lines'!$J$5:$J$1640,1)</f>
        <v>1</v>
      </c>
      <c r="I1059">
        <f>COUNTIFS('Odoo Items'!$J$5:$J$4331,A1059)</f>
        <v>1</v>
      </c>
      <c r="J1059" s="9">
        <f>ROUND(SUMIFS('Bank Lines'!$E$5:$E$1640,'Bank Lines'!$G$5:$G$1640,A1059,'Bank Lines'!$J$5:$J$1640,1),2)</f>
        <v>3465</v>
      </c>
      <c r="K1059" s="9">
        <f>ROUND(SUMIFS('Odoo Items'!$G$5:$G$4331,'Odoo Items'!$J$5:$J$4331,A1059),2)</f>
        <v>3465</v>
      </c>
      <c r="L1059" s="9">
        <f>ROUND(J1059-K1059,2)</f>
        <v>0</v>
      </c>
      <c r="M1059" s="9">
        <f>ROUND(SUMIFS('Bank Lines'!$E$5:$E$1640,'Bank Lines'!$G$5:$G$1640,A1059,'Bank Lines'!$J$5:$J$1640,1,'Bank Lines'!$C$5:$C$1640,"&lt;="&amp;Cover!$C$13),2)</f>
        <v>0</v>
      </c>
      <c r="N1059" s="9">
        <f>ROUND(SUMIFS('Odoo Items'!$G$5:$G$4331,'Odoo Items'!$J$5:$J$4331,A1059,'Odoo Items'!$C$5:$C$4331,"&lt;="&amp;Cover!$C$13),2)</f>
        <v>0</v>
      </c>
      <c r="O1059">
        <f>COUNTIFS('Bank Lines'!$G$5:$G$1640,A1059,'Bank Lines'!$J$5:$J$1640,1,'Bank Lines'!$C$5:$C$1640,"&lt;="&amp;Cover!$C$13)</f>
        <v>0</v>
      </c>
      <c r="P1059">
        <f>COUNTIFS('Odoo Items'!$J$5:$J$4331,A1059,'Odoo Items'!$C$5:$C$4331,"&lt;="&amp;Cover!$C$13)</f>
        <v>0</v>
      </c>
      <c r="Q1059">
        <f>IF(AND(O1059=0,P1059=0),"",IF(O1059=0,"ODOO-ONLY",IF(P1059=0,"BANK-ONLY","BOTH")))</f>
      </c>
      <c r="R1059" s="9">
        <f>IF(Q1059="BOTH",ROUND(M1059-N1059,2),0)</f>
        <v>0</v>
      </c>
      <c r="S1059" s="9">
        <f>ROUND(SUMIFS('Bank Lines'!$E$5:$E$1640,'Bank Lines'!$G$5:$G$1640,A1059,'Bank Lines'!$J$5:$J$1640,1,'Bank Lines'!$C$5:$C$1640,"&lt;="&amp;Cover!$C$14),2)</f>
        <v>0</v>
      </c>
      <c r="T1059" s="9">
        <f>ROUND(SUMIFS('Odoo Items'!$G$5:$G$4331,'Odoo Items'!$J$5:$J$4331,A1059,'Odoo Items'!$C$5:$C$4331,"&lt;="&amp;Cover!$C$14),2)</f>
        <v>0</v>
      </c>
      <c r="U1059">
        <f>COUNTIFS('Bank Lines'!$G$5:$G$1640,A1059,'Bank Lines'!$J$5:$J$1640,1,'Bank Lines'!$C$5:$C$1640,"&lt;="&amp;Cover!$C$14)</f>
        <v>0</v>
      </c>
      <c r="V1059">
        <f>COUNTIFS('Odoo Items'!$J$5:$J$4331,A1059,'Odoo Items'!$C$5:$C$4331,"&lt;="&amp;Cover!$C$14)</f>
        <v>0</v>
      </c>
      <c r="W1059">
        <f>IF(AND(U1059=0,V1059=0),"",IF(U1059=0,"ODOO-ONLY",IF(V1059=0,"BANK-ONLY","BOTH")))</f>
      </c>
      <c r="X1059" s="9">
        <f>IF(W1059="BOTH",ROUND(S1059-T1059,2),0)</f>
        <v>0</v>
      </c>
      <c r="Y1059" s="9">
        <f>ROUND(SUMIFS('Bank Lines'!$E$5:$E$1640,'Bank Lines'!$G$5:$G$1640,A1059,'Bank Lines'!$J$5:$J$1640,1,'Bank Lines'!$C$5:$C$1640,"&lt;="&amp;Cover!$C$15),2)</f>
        <v>3465</v>
      </c>
      <c r="Z1059" s="9">
        <f>ROUND(SUMIFS('Odoo Items'!$G$5:$G$4331,'Odoo Items'!$J$5:$J$4331,A1059,'Odoo Items'!$C$5:$C$4331,"&lt;="&amp;Cover!$C$15),2)</f>
        <v>3465</v>
      </c>
      <c r="AA1059">
        <f>COUNTIFS('Bank Lines'!$G$5:$G$1640,A1059,'Bank Lines'!$J$5:$J$1640,1,'Bank Lines'!$C$5:$C$1640,"&lt;="&amp;Cover!$C$15)</f>
        <v>1</v>
      </c>
      <c r="AB1059">
        <f>COUNTIFS('Odoo Items'!$J$5:$J$4331,A1059,'Odoo Items'!$C$5:$C$4331,"&lt;="&amp;Cover!$C$15)</f>
        <v>1</v>
      </c>
      <c r="AC1059" t="str">
        <f>IF(AND(AA1059=0,AB1059=0),"",IF(AA1059=0,"ODOO-ONLY",IF(AB1059=0,"BANK-ONLY","BOTH")))</f>
        <v>BOTH</v>
      </c>
      <c r="AD1059" s="9">
        <f>IF(AC1059="BOTH",ROUND(Y1059-Z1059,2),0)</f>
        <v>0</v>
      </c>
    </row>
    <row r="1060">
      <c r="A1060" t="inlineStr">
        <is>
          <t>G01056</t>
        </is>
      </c>
      <c r="B1060" t="inlineStr">
        <is>
          <t>OPS</t>
        </is>
      </c>
      <c r="C1060" t="inlineStr">
        <is>
          <t>R09</t>
        </is>
      </c>
      <c r="D1060" t="inlineStr">
        <is>
          <t>MATCH</t>
        </is>
      </c>
      <c r="E1060" t="inlineStr">
        <is>
          <t>Fairlie Bros Plumbing</t>
        </is>
      </c>
      <c r="F1060" t="n">
        <v>1</v>
      </c>
      <c r="G1060" t="inlineStr">
        <is>
          <t>Reference INV/2026/03495</t>
        </is>
      </c>
      <c r="H1060">
        <f>COUNTIFS('Bank Lines'!$G$5:$G$1640,A1060,'Bank Lines'!$J$5:$J$1640,1)</f>
        <v>1</v>
      </c>
      <c r="I1060">
        <f>COUNTIFS('Odoo Items'!$J$5:$J$4331,A1060)</f>
        <v>1</v>
      </c>
      <c r="J1060" s="9">
        <f>ROUND(SUMIFS('Bank Lines'!$E$5:$E$1640,'Bank Lines'!$G$5:$G$1640,A1060,'Bank Lines'!$J$5:$J$1640,1),2)</f>
        <v>1402.5</v>
      </c>
      <c r="K1060" s="9">
        <f>ROUND(SUMIFS('Odoo Items'!$G$5:$G$4331,'Odoo Items'!$J$5:$J$4331,A1060),2)</f>
        <v>1402.5</v>
      </c>
      <c r="L1060" s="9">
        <f>ROUND(J1060-K1060,2)</f>
        <v>0</v>
      </c>
      <c r="M1060" s="9">
        <f>ROUND(SUMIFS('Bank Lines'!$E$5:$E$1640,'Bank Lines'!$G$5:$G$1640,A1060,'Bank Lines'!$J$5:$J$1640,1,'Bank Lines'!$C$5:$C$1640,"&lt;="&amp;Cover!$C$13),2)</f>
        <v>0</v>
      </c>
      <c r="N1060" s="9">
        <f>ROUND(SUMIFS('Odoo Items'!$G$5:$G$4331,'Odoo Items'!$J$5:$J$4331,A1060,'Odoo Items'!$C$5:$C$4331,"&lt;="&amp;Cover!$C$13),2)</f>
        <v>0</v>
      </c>
      <c r="O1060">
        <f>COUNTIFS('Bank Lines'!$G$5:$G$1640,A1060,'Bank Lines'!$J$5:$J$1640,1,'Bank Lines'!$C$5:$C$1640,"&lt;="&amp;Cover!$C$13)</f>
        <v>0</v>
      </c>
      <c r="P1060">
        <f>COUNTIFS('Odoo Items'!$J$5:$J$4331,A1060,'Odoo Items'!$C$5:$C$4331,"&lt;="&amp;Cover!$C$13)</f>
        <v>0</v>
      </c>
      <c r="Q1060">
        <f>IF(AND(O1060=0,P1060=0),"",IF(O1060=0,"ODOO-ONLY",IF(P1060=0,"BANK-ONLY","BOTH")))</f>
      </c>
      <c r="R1060" s="9">
        <f>IF(Q1060="BOTH",ROUND(M1060-N1060,2),0)</f>
        <v>0</v>
      </c>
      <c r="S1060" s="9">
        <f>ROUND(SUMIFS('Bank Lines'!$E$5:$E$1640,'Bank Lines'!$G$5:$G$1640,A1060,'Bank Lines'!$J$5:$J$1640,1,'Bank Lines'!$C$5:$C$1640,"&lt;="&amp;Cover!$C$14),2)</f>
        <v>0</v>
      </c>
      <c r="T1060" s="9">
        <f>ROUND(SUMIFS('Odoo Items'!$G$5:$G$4331,'Odoo Items'!$J$5:$J$4331,A1060,'Odoo Items'!$C$5:$C$4331,"&lt;="&amp;Cover!$C$14),2)</f>
        <v>0</v>
      </c>
      <c r="U1060">
        <f>COUNTIFS('Bank Lines'!$G$5:$G$1640,A1060,'Bank Lines'!$J$5:$J$1640,1,'Bank Lines'!$C$5:$C$1640,"&lt;="&amp;Cover!$C$14)</f>
        <v>0</v>
      </c>
      <c r="V1060">
        <f>COUNTIFS('Odoo Items'!$J$5:$J$4331,A1060,'Odoo Items'!$C$5:$C$4331,"&lt;="&amp;Cover!$C$14)</f>
        <v>0</v>
      </c>
      <c r="W1060">
        <f>IF(AND(U1060=0,V1060=0),"",IF(U1060=0,"ODOO-ONLY",IF(V1060=0,"BANK-ONLY","BOTH")))</f>
      </c>
      <c r="X1060" s="9">
        <f>IF(W1060="BOTH",ROUND(S1060-T1060,2),0)</f>
        <v>0</v>
      </c>
      <c r="Y1060" s="9">
        <f>ROUND(SUMIFS('Bank Lines'!$E$5:$E$1640,'Bank Lines'!$G$5:$G$1640,A1060,'Bank Lines'!$J$5:$J$1640,1,'Bank Lines'!$C$5:$C$1640,"&lt;="&amp;Cover!$C$15),2)</f>
        <v>1402.5</v>
      </c>
      <c r="Z1060" s="9">
        <f>ROUND(SUMIFS('Odoo Items'!$G$5:$G$4331,'Odoo Items'!$J$5:$J$4331,A1060,'Odoo Items'!$C$5:$C$4331,"&lt;="&amp;Cover!$C$15),2)</f>
        <v>1402.5</v>
      </c>
      <c r="AA1060">
        <f>COUNTIFS('Bank Lines'!$G$5:$G$1640,A1060,'Bank Lines'!$J$5:$J$1640,1,'Bank Lines'!$C$5:$C$1640,"&lt;="&amp;Cover!$C$15)</f>
        <v>1</v>
      </c>
      <c r="AB1060">
        <f>COUNTIFS('Odoo Items'!$J$5:$J$4331,A1060,'Odoo Items'!$C$5:$C$4331,"&lt;="&amp;Cover!$C$15)</f>
        <v>1</v>
      </c>
      <c r="AC1060" t="str">
        <f>IF(AND(AA1060=0,AB1060=0),"",IF(AA1060=0,"ODOO-ONLY",IF(AB1060=0,"BANK-ONLY","BOTH")))</f>
        <v>BOTH</v>
      </c>
      <c r="AD1060" s="9">
        <f>IF(AC1060="BOTH",ROUND(Y1060-Z1060,2),0)</f>
        <v>0</v>
      </c>
    </row>
    <row r="1061">
      <c r="A1061" t="inlineStr">
        <is>
          <t>G01057</t>
        </is>
      </c>
      <c r="B1061" t="inlineStr">
        <is>
          <t>OPS</t>
        </is>
      </c>
      <c r="C1061" t="inlineStr">
        <is>
          <t>R09</t>
        </is>
      </c>
      <c r="D1061" t="inlineStr">
        <is>
          <t>MATCH</t>
        </is>
      </c>
      <c r="E1061" t="inlineStr">
        <is>
          <t>Hollis &amp; Fry Architects</t>
        </is>
      </c>
      <c r="F1061" t="n">
        <v>1</v>
      </c>
      <c r="G1061" t="inlineStr">
        <is>
          <t>Reference INV/2026/03552</t>
        </is>
      </c>
      <c r="H1061">
        <f>COUNTIFS('Bank Lines'!$G$5:$G$1640,A1061,'Bank Lines'!$J$5:$J$1640,1)</f>
        <v>1</v>
      </c>
      <c r="I1061">
        <f>COUNTIFS('Odoo Items'!$J$5:$J$4331,A1061)</f>
        <v>1</v>
      </c>
      <c r="J1061" s="9">
        <f>ROUND(SUMIFS('Bank Lines'!$E$5:$E$1640,'Bank Lines'!$G$5:$G$1640,A1061,'Bank Lines'!$J$5:$J$1640,1),2)</f>
        <v>6820</v>
      </c>
      <c r="K1061" s="9">
        <f>ROUND(SUMIFS('Odoo Items'!$G$5:$G$4331,'Odoo Items'!$J$5:$J$4331,A1061),2)</f>
        <v>6820</v>
      </c>
      <c r="L1061" s="9">
        <f>ROUND(J1061-K1061,2)</f>
        <v>0</v>
      </c>
      <c r="M1061" s="9">
        <f>ROUND(SUMIFS('Bank Lines'!$E$5:$E$1640,'Bank Lines'!$G$5:$G$1640,A1061,'Bank Lines'!$J$5:$J$1640,1,'Bank Lines'!$C$5:$C$1640,"&lt;="&amp;Cover!$C$13),2)</f>
        <v>0</v>
      </c>
      <c r="N1061" s="9">
        <f>ROUND(SUMIFS('Odoo Items'!$G$5:$G$4331,'Odoo Items'!$J$5:$J$4331,A1061,'Odoo Items'!$C$5:$C$4331,"&lt;="&amp;Cover!$C$13),2)</f>
        <v>0</v>
      </c>
      <c r="O1061">
        <f>COUNTIFS('Bank Lines'!$G$5:$G$1640,A1061,'Bank Lines'!$J$5:$J$1640,1,'Bank Lines'!$C$5:$C$1640,"&lt;="&amp;Cover!$C$13)</f>
        <v>0</v>
      </c>
      <c r="P1061">
        <f>COUNTIFS('Odoo Items'!$J$5:$J$4331,A1061,'Odoo Items'!$C$5:$C$4331,"&lt;="&amp;Cover!$C$13)</f>
        <v>0</v>
      </c>
      <c r="Q1061">
        <f>IF(AND(O1061=0,P1061=0),"",IF(O1061=0,"ODOO-ONLY",IF(P1061=0,"BANK-ONLY","BOTH")))</f>
      </c>
      <c r="R1061" s="9">
        <f>IF(Q1061="BOTH",ROUND(M1061-N1061,2),0)</f>
        <v>0</v>
      </c>
      <c r="S1061" s="9">
        <f>ROUND(SUMIFS('Bank Lines'!$E$5:$E$1640,'Bank Lines'!$G$5:$G$1640,A1061,'Bank Lines'!$J$5:$J$1640,1,'Bank Lines'!$C$5:$C$1640,"&lt;="&amp;Cover!$C$14),2)</f>
        <v>0</v>
      </c>
      <c r="T1061" s="9">
        <f>ROUND(SUMIFS('Odoo Items'!$G$5:$G$4331,'Odoo Items'!$J$5:$J$4331,A1061,'Odoo Items'!$C$5:$C$4331,"&lt;="&amp;Cover!$C$14),2)</f>
        <v>0</v>
      </c>
      <c r="U1061">
        <f>COUNTIFS('Bank Lines'!$G$5:$G$1640,A1061,'Bank Lines'!$J$5:$J$1640,1,'Bank Lines'!$C$5:$C$1640,"&lt;="&amp;Cover!$C$14)</f>
        <v>0</v>
      </c>
      <c r="V1061">
        <f>COUNTIFS('Odoo Items'!$J$5:$J$4331,A1061,'Odoo Items'!$C$5:$C$4331,"&lt;="&amp;Cover!$C$14)</f>
        <v>0</v>
      </c>
      <c r="W1061">
        <f>IF(AND(U1061=0,V1061=0),"",IF(U1061=0,"ODOO-ONLY",IF(V1061=0,"BANK-ONLY","BOTH")))</f>
      </c>
      <c r="X1061" s="9">
        <f>IF(W1061="BOTH",ROUND(S1061-T1061,2),0)</f>
        <v>0</v>
      </c>
      <c r="Y1061" s="9">
        <f>ROUND(SUMIFS('Bank Lines'!$E$5:$E$1640,'Bank Lines'!$G$5:$G$1640,A1061,'Bank Lines'!$J$5:$J$1640,1,'Bank Lines'!$C$5:$C$1640,"&lt;="&amp;Cover!$C$15),2)</f>
        <v>6820</v>
      </c>
      <c r="Z1061" s="9">
        <f>ROUND(SUMIFS('Odoo Items'!$G$5:$G$4331,'Odoo Items'!$J$5:$J$4331,A1061,'Odoo Items'!$C$5:$C$4331,"&lt;="&amp;Cover!$C$15),2)</f>
        <v>6820</v>
      </c>
      <c r="AA1061">
        <f>COUNTIFS('Bank Lines'!$G$5:$G$1640,A1061,'Bank Lines'!$J$5:$J$1640,1,'Bank Lines'!$C$5:$C$1640,"&lt;="&amp;Cover!$C$15)</f>
        <v>1</v>
      </c>
      <c r="AB1061">
        <f>COUNTIFS('Odoo Items'!$J$5:$J$4331,A1061,'Odoo Items'!$C$5:$C$4331,"&lt;="&amp;Cover!$C$15)</f>
        <v>1</v>
      </c>
      <c r="AC1061" t="str">
        <f>IF(AND(AA1061=0,AB1061=0),"",IF(AA1061=0,"ODOO-ONLY",IF(AB1061=0,"BANK-ONLY","BOTH")))</f>
        <v>BOTH</v>
      </c>
      <c r="AD1061" s="9">
        <f>IF(AC1061="BOTH",ROUND(Y1061-Z1061,2),0)</f>
        <v>0</v>
      </c>
    </row>
    <row r="1062">
      <c r="A1062" t="inlineStr">
        <is>
          <t>G01058</t>
        </is>
      </c>
      <c r="B1062" t="inlineStr">
        <is>
          <t>OPS</t>
        </is>
      </c>
      <c r="C1062" t="inlineStr">
        <is>
          <t>R09</t>
        </is>
      </c>
      <c r="D1062" t="inlineStr">
        <is>
          <t>MATCH</t>
        </is>
      </c>
      <c r="E1062" t="inlineStr">
        <is>
          <t>Mornane Electrical</t>
        </is>
      </c>
      <c r="F1062" t="n">
        <v>1</v>
      </c>
      <c r="G1062" t="inlineStr">
        <is>
          <t>Reference INV/2026/03505</t>
        </is>
      </c>
      <c r="H1062">
        <f>COUNTIFS('Bank Lines'!$G$5:$G$1640,A1062,'Bank Lines'!$J$5:$J$1640,1)</f>
        <v>1</v>
      </c>
      <c r="I1062">
        <f>COUNTIFS('Odoo Items'!$J$5:$J$4331,A1062)</f>
        <v>1</v>
      </c>
      <c r="J1062" s="9">
        <f>ROUND(SUMIFS('Bank Lines'!$E$5:$E$1640,'Bank Lines'!$G$5:$G$1640,A1062,'Bank Lines'!$J$5:$J$1640,1),2)</f>
        <v>5280</v>
      </c>
      <c r="K1062" s="9">
        <f>ROUND(SUMIFS('Odoo Items'!$G$5:$G$4331,'Odoo Items'!$J$5:$J$4331,A1062),2)</f>
        <v>5280</v>
      </c>
      <c r="L1062" s="9">
        <f>ROUND(J1062-K1062,2)</f>
        <v>0</v>
      </c>
      <c r="M1062" s="9">
        <f>ROUND(SUMIFS('Bank Lines'!$E$5:$E$1640,'Bank Lines'!$G$5:$G$1640,A1062,'Bank Lines'!$J$5:$J$1640,1,'Bank Lines'!$C$5:$C$1640,"&lt;="&amp;Cover!$C$13),2)</f>
        <v>0</v>
      </c>
      <c r="N1062" s="9">
        <f>ROUND(SUMIFS('Odoo Items'!$G$5:$G$4331,'Odoo Items'!$J$5:$J$4331,A1062,'Odoo Items'!$C$5:$C$4331,"&lt;="&amp;Cover!$C$13),2)</f>
        <v>0</v>
      </c>
      <c r="O1062">
        <f>COUNTIFS('Bank Lines'!$G$5:$G$1640,A1062,'Bank Lines'!$J$5:$J$1640,1,'Bank Lines'!$C$5:$C$1640,"&lt;="&amp;Cover!$C$13)</f>
        <v>0</v>
      </c>
      <c r="P1062">
        <f>COUNTIFS('Odoo Items'!$J$5:$J$4331,A1062,'Odoo Items'!$C$5:$C$4331,"&lt;="&amp;Cover!$C$13)</f>
        <v>0</v>
      </c>
      <c r="Q1062">
        <f>IF(AND(O1062=0,P1062=0),"",IF(O1062=0,"ODOO-ONLY",IF(P1062=0,"BANK-ONLY","BOTH")))</f>
      </c>
      <c r="R1062" s="9">
        <f>IF(Q1062="BOTH",ROUND(M1062-N1062,2),0)</f>
        <v>0</v>
      </c>
      <c r="S1062" s="9">
        <f>ROUND(SUMIFS('Bank Lines'!$E$5:$E$1640,'Bank Lines'!$G$5:$G$1640,A1062,'Bank Lines'!$J$5:$J$1640,1,'Bank Lines'!$C$5:$C$1640,"&lt;="&amp;Cover!$C$14),2)</f>
        <v>0</v>
      </c>
      <c r="T1062" s="9">
        <f>ROUND(SUMIFS('Odoo Items'!$G$5:$G$4331,'Odoo Items'!$J$5:$J$4331,A1062,'Odoo Items'!$C$5:$C$4331,"&lt;="&amp;Cover!$C$14),2)</f>
        <v>0</v>
      </c>
      <c r="U1062">
        <f>COUNTIFS('Bank Lines'!$G$5:$G$1640,A1062,'Bank Lines'!$J$5:$J$1640,1,'Bank Lines'!$C$5:$C$1640,"&lt;="&amp;Cover!$C$14)</f>
        <v>0</v>
      </c>
      <c r="V1062">
        <f>COUNTIFS('Odoo Items'!$J$5:$J$4331,A1062,'Odoo Items'!$C$5:$C$4331,"&lt;="&amp;Cover!$C$14)</f>
        <v>0</v>
      </c>
      <c r="W1062">
        <f>IF(AND(U1062=0,V1062=0),"",IF(U1062=0,"ODOO-ONLY",IF(V1062=0,"BANK-ONLY","BOTH")))</f>
      </c>
      <c r="X1062" s="9">
        <f>IF(W1062="BOTH",ROUND(S1062-T1062,2),0)</f>
        <v>0</v>
      </c>
      <c r="Y1062" s="9">
        <f>ROUND(SUMIFS('Bank Lines'!$E$5:$E$1640,'Bank Lines'!$G$5:$G$1640,A1062,'Bank Lines'!$J$5:$J$1640,1,'Bank Lines'!$C$5:$C$1640,"&lt;="&amp;Cover!$C$15),2)</f>
        <v>5280</v>
      </c>
      <c r="Z1062" s="9">
        <f>ROUND(SUMIFS('Odoo Items'!$G$5:$G$4331,'Odoo Items'!$J$5:$J$4331,A1062,'Odoo Items'!$C$5:$C$4331,"&lt;="&amp;Cover!$C$15),2)</f>
        <v>5280</v>
      </c>
      <c r="AA1062">
        <f>COUNTIFS('Bank Lines'!$G$5:$G$1640,A1062,'Bank Lines'!$J$5:$J$1640,1,'Bank Lines'!$C$5:$C$1640,"&lt;="&amp;Cover!$C$15)</f>
        <v>1</v>
      </c>
      <c r="AB1062">
        <f>COUNTIFS('Odoo Items'!$J$5:$J$4331,A1062,'Odoo Items'!$C$5:$C$4331,"&lt;="&amp;Cover!$C$15)</f>
        <v>1</v>
      </c>
      <c r="AC1062" t="str">
        <f>IF(AND(AA1062=0,AB1062=0),"",IF(AA1062=0,"ODOO-ONLY",IF(AB1062=0,"BANK-ONLY","BOTH")))</f>
        <v>BOTH</v>
      </c>
      <c r="AD1062" s="9">
        <f>IF(AC1062="BOTH",ROUND(Y1062-Z1062,2),0)</f>
        <v>0</v>
      </c>
    </row>
    <row r="1063">
      <c r="A1063" t="inlineStr">
        <is>
          <t>G01059</t>
        </is>
      </c>
      <c r="B1063" t="inlineStr">
        <is>
          <t>OPS</t>
        </is>
      </c>
      <c r="C1063" t="inlineStr">
        <is>
          <t>R09</t>
        </is>
      </c>
      <c r="D1063" t="inlineStr">
        <is>
          <t>MATCH</t>
        </is>
      </c>
      <c r="E1063" t="inlineStr">
        <is>
          <t>Northline Injury Claims</t>
        </is>
      </c>
      <c r="F1063" t="n">
        <v>1</v>
      </c>
      <c r="G1063" t="inlineStr">
        <is>
          <t>Reference INV/2026/02820</t>
        </is>
      </c>
      <c r="H1063">
        <f>COUNTIFS('Bank Lines'!$G$5:$G$1640,A1063,'Bank Lines'!$J$5:$J$1640,1)</f>
        <v>1</v>
      </c>
      <c r="I1063">
        <f>COUNTIFS('Odoo Items'!$J$5:$J$4331,A1063)</f>
        <v>1</v>
      </c>
      <c r="J1063" s="9">
        <f>ROUND(SUMIFS('Bank Lines'!$E$5:$E$1640,'Bank Lines'!$G$5:$G$1640,A1063,'Bank Lines'!$J$5:$J$1640,1),2)</f>
        <v>176</v>
      </c>
      <c r="K1063" s="9">
        <f>ROUND(SUMIFS('Odoo Items'!$G$5:$G$4331,'Odoo Items'!$J$5:$J$4331,A1063),2)</f>
        <v>176</v>
      </c>
      <c r="L1063" s="9">
        <f>ROUND(J1063-K1063,2)</f>
        <v>0</v>
      </c>
      <c r="M1063" s="9">
        <f>ROUND(SUMIFS('Bank Lines'!$E$5:$E$1640,'Bank Lines'!$G$5:$G$1640,A1063,'Bank Lines'!$J$5:$J$1640,1,'Bank Lines'!$C$5:$C$1640,"&lt;="&amp;Cover!$C$13),2)</f>
        <v>0</v>
      </c>
      <c r="N1063" s="9">
        <f>ROUND(SUMIFS('Odoo Items'!$G$5:$G$4331,'Odoo Items'!$J$5:$J$4331,A1063,'Odoo Items'!$C$5:$C$4331,"&lt;="&amp;Cover!$C$13),2)</f>
        <v>0</v>
      </c>
      <c r="O1063">
        <f>COUNTIFS('Bank Lines'!$G$5:$G$1640,A1063,'Bank Lines'!$J$5:$J$1640,1,'Bank Lines'!$C$5:$C$1640,"&lt;="&amp;Cover!$C$13)</f>
        <v>0</v>
      </c>
      <c r="P1063">
        <f>COUNTIFS('Odoo Items'!$J$5:$J$4331,A1063,'Odoo Items'!$C$5:$C$4331,"&lt;="&amp;Cover!$C$13)</f>
        <v>0</v>
      </c>
      <c r="Q1063">
        <f>IF(AND(O1063=0,P1063=0),"",IF(O1063=0,"ODOO-ONLY",IF(P1063=0,"BANK-ONLY","BOTH")))</f>
      </c>
      <c r="R1063" s="9">
        <f>IF(Q1063="BOTH",ROUND(M1063-N1063,2),0)</f>
        <v>0</v>
      </c>
      <c r="S1063" s="9">
        <f>ROUND(SUMIFS('Bank Lines'!$E$5:$E$1640,'Bank Lines'!$G$5:$G$1640,A1063,'Bank Lines'!$J$5:$J$1640,1,'Bank Lines'!$C$5:$C$1640,"&lt;="&amp;Cover!$C$14),2)</f>
        <v>0</v>
      </c>
      <c r="T1063" s="9">
        <f>ROUND(SUMIFS('Odoo Items'!$G$5:$G$4331,'Odoo Items'!$J$5:$J$4331,A1063,'Odoo Items'!$C$5:$C$4331,"&lt;="&amp;Cover!$C$14),2)</f>
        <v>0</v>
      </c>
      <c r="U1063">
        <f>COUNTIFS('Bank Lines'!$G$5:$G$1640,A1063,'Bank Lines'!$J$5:$J$1640,1,'Bank Lines'!$C$5:$C$1640,"&lt;="&amp;Cover!$C$14)</f>
        <v>0</v>
      </c>
      <c r="V1063">
        <f>COUNTIFS('Odoo Items'!$J$5:$J$4331,A1063,'Odoo Items'!$C$5:$C$4331,"&lt;="&amp;Cover!$C$14)</f>
        <v>0</v>
      </c>
      <c r="W1063">
        <f>IF(AND(U1063=0,V1063=0),"",IF(U1063=0,"ODOO-ONLY",IF(V1063=0,"BANK-ONLY","BOTH")))</f>
      </c>
      <c r="X1063" s="9">
        <f>IF(W1063="BOTH",ROUND(S1063-T1063,2),0)</f>
        <v>0</v>
      </c>
      <c r="Y1063" s="9">
        <f>ROUND(SUMIFS('Bank Lines'!$E$5:$E$1640,'Bank Lines'!$G$5:$G$1640,A1063,'Bank Lines'!$J$5:$J$1640,1,'Bank Lines'!$C$5:$C$1640,"&lt;="&amp;Cover!$C$15),2)</f>
        <v>176</v>
      </c>
      <c r="Z1063" s="9">
        <f>ROUND(SUMIFS('Odoo Items'!$G$5:$G$4331,'Odoo Items'!$J$5:$J$4331,A1063,'Odoo Items'!$C$5:$C$4331,"&lt;="&amp;Cover!$C$15),2)</f>
        <v>176</v>
      </c>
      <c r="AA1063">
        <f>COUNTIFS('Bank Lines'!$G$5:$G$1640,A1063,'Bank Lines'!$J$5:$J$1640,1,'Bank Lines'!$C$5:$C$1640,"&lt;="&amp;Cover!$C$15)</f>
        <v>1</v>
      </c>
      <c r="AB1063">
        <f>COUNTIFS('Odoo Items'!$J$5:$J$4331,A1063,'Odoo Items'!$C$5:$C$4331,"&lt;="&amp;Cover!$C$15)</f>
        <v>1</v>
      </c>
      <c r="AC1063" t="str">
        <f>IF(AND(AA1063=0,AB1063=0),"",IF(AA1063=0,"ODOO-ONLY",IF(AB1063=0,"BANK-ONLY","BOTH")))</f>
        <v>BOTH</v>
      </c>
      <c r="AD1063" s="9">
        <f>IF(AC1063="BOTH",ROUND(Y1063-Z1063,2),0)</f>
        <v>0</v>
      </c>
    </row>
    <row r="1064">
      <c r="A1064" t="inlineStr">
        <is>
          <t>G01060</t>
        </is>
      </c>
      <c r="B1064" t="inlineStr">
        <is>
          <t>OPS</t>
        </is>
      </c>
      <c r="C1064" t="inlineStr">
        <is>
          <t>R09</t>
        </is>
      </c>
      <c r="D1064" t="inlineStr">
        <is>
          <t>MATCH</t>
        </is>
      </c>
      <c r="E1064" t="inlineStr">
        <is>
          <t>Meridian Health Cover</t>
        </is>
      </c>
      <c r="F1064" t="n">
        <v>1</v>
      </c>
      <c r="G1064" t="inlineStr">
        <is>
          <t>Reference INV/2026/02797</t>
        </is>
      </c>
      <c r="H1064">
        <f>COUNTIFS('Bank Lines'!$G$5:$G$1640,A1064,'Bank Lines'!$J$5:$J$1640,1)</f>
        <v>1</v>
      </c>
      <c r="I1064">
        <f>COUNTIFS('Odoo Items'!$J$5:$J$4331,A1064)</f>
        <v>1</v>
      </c>
      <c r="J1064" s="9">
        <f>ROUND(SUMIFS('Bank Lines'!$E$5:$E$1640,'Bank Lines'!$G$5:$G$1640,A1064,'Bank Lines'!$J$5:$J$1640,1),2)</f>
        <v>88</v>
      </c>
      <c r="K1064" s="9">
        <f>ROUND(SUMIFS('Odoo Items'!$G$5:$G$4331,'Odoo Items'!$J$5:$J$4331,A1064),2)</f>
        <v>88</v>
      </c>
      <c r="L1064" s="9">
        <f>ROUND(J1064-K1064,2)</f>
        <v>0</v>
      </c>
      <c r="M1064" s="9">
        <f>ROUND(SUMIFS('Bank Lines'!$E$5:$E$1640,'Bank Lines'!$G$5:$G$1640,A1064,'Bank Lines'!$J$5:$J$1640,1,'Bank Lines'!$C$5:$C$1640,"&lt;="&amp;Cover!$C$13),2)</f>
        <v>0</v>
      </c>
      <c r="N1064" s="9">
        <f>ROUND(SUMIFS('Odoo Items'!$G$5:$G$4331,'Odoo Items'!$J$5:$J$4331,A1064,'Odoo Items'!$C$5:$C$4331,"&lt;="&amp;Cover!$C$13),2)</f>
        <v>0</v>
      </c>
      <c r="O1064">
        <f>COUNTIFS('Bank Lines'!$G$5:$G$1640,A1064,'Bank Lines'!$J$5:$J$1640,1,'Bank Lines'!$C$5:$C$1640,"&lt;="&amp;Cover!$C$13)</f>
        <v>0</v>
      </c>
      <c r="P1064">
        <f>COUNTIFS('Odoo Items'!$J$5:$J$4331,A1064,'Odoo Items'!$C$5:$C$4331,"&lt;="&amp;Cover!$C$13)</f>
        <v>0</v>
      </c>
      <c r="Q1064">
        <f>IF(AND(O1064=0,P1064=0),"",IF(O1064=0,"ODOO-ONLY",IF(P1064=0,"BANK-ONLY","BOTH")))</f>
      </c>
      <c r="R1064" s="9">
        <f>IF(Q1064="BOTH",ROUND(M1064-N1064,2),0)</f>
        <v>0</v>
      </c>
      <c r="S1064" s="9">
        <f>ROUND(SUMIFS('Bank Lines'!$E$5:$E$1640,'Bank Lines'!$G$5:$G$1640,A1064,'Bank Lines'!$J$5:$J$1640,1,'Bank Lines'!$C$5:$C$1640,"&lt;="&amp;Cover!$C$14),2)</f>
        <v>0</v>
      </c>
      <c r="T1064" s="9">
        <f>ROUND(SUMIFS('Odoo Items'!$G$5:$G$4331,'Odoo Items'!$J$5:$J$4331,A1064,'Odoo Items'!$C$5:$C$4331,"&lt;="&amp;Cover!$C$14),2)</f>
        <v>0</v>
      </c>
      <c r="U1064">
        <f>COUNTIFS('Bank Lines'!$G$5:$G$1640,A1064,'Bank Lines'!$J$5:$J$1640,1,'Bank Lines'!$C$5:$C$1640,"&lt;="&amp;Cover!$C$14)</f>
        <v>0</v>
      </c>
      <c r="V1064">
        <f>COUNTIFS('Odoo Items'!$J$5:$J$4331,A1064,'Odoo Items'!$C$5:$C$4331,"&lt;="&amp;Cover!$C$14)</f>
        <v>0</v>
      </c>
      <c r="W1064">
        <f>IF(AND(U1064=0,V1064=0),"",IF(U1064=0,"ODOO-ONLY",IF(V1064=0,"BANK-ONLY","BOTH")))</f>
      </c>
      <c r="X1064" s="9">
        <f>IF(W1064="BOTH",ROUND(S1064-T1064,2),0)</f>
        <v>0</v>
      </c>
      <c r="Y1064" s="9">
        <f>ROUND(SUMIFS('Bank Lines'!$E$5:$E$1640,'Bank Lines'!$G$5:$G$1640,A1064,'Bank Lines'!$J$5:$J$1640,1,'Bank Lines'!$C$5:$C$1640,"&lt;="&amp;Cover!$C$15),2)</f>
        <v>88</v>
      </c>
      <c r="Z1064" s="9">
        <f>ROUND(SUMIFS('Odoo Items'!$G$5:$G$4331,'Odoo Items'!$J$5:$J$4331,A1064,'Odoo Items'!$C$5:$C$4331,"&lt;="&amp;Cover!$C$15),2)</f>
        <v>88</v>
      </c>
      <c r="AA1064">
        <f>COUNTIFS('Bank Lines'!$G$5:$G$1640,A1064,'Bank Lines'!$J$5:$J$1640,1,'Bank Lines'!$C$5:$C$1640,"&lt;="&amp;Cover!$C$15)</f>
        <v>1</v>
      </c>
      <c r="AB1064">
        <f>COUNTIFS('Odoo Items'!$J$5:$J$4331,A1064,'Odoo Items'!$C$5:$C$4331,"&lt;="&amp;Cover!$C$15)</f>
        <v>1</v>
      </c>
      <c r="AC1064" t="str">
        <f>IF(AND(AA1064=0,AB1064=0),"",IF(AA1064=0,"ODOO-ONLY",IF(AB1064=0,"BANK-ONLY","BOTH")))</f>
        <v>BOTH</v>
      </c>
      <c r="AD1064" s="9">
        <f>IF(AC1064="BOTH",ROUND(Y1064-Z1064,2),0)</f>
        <v>0</v>
      </c>
    </row>
    <row r="1065">
      <c r="A1065" t="inlineStr">
        <is>
          <t>G01061</t>
        </is>
      </c>
      <c r="B1065" t="inlineStr">
        <is>
          <t>OPS</t>
        </is>
      </c>
      <c r="C1065" t="inlineStr">
        <is>
          <t>R09</t>
        </is>
      </c>
      <c r="D1065" t="inlineStr">
        <is>
          <t>MATCH</t>
        </is>
      </c>
      <c r="E1065" t="inlineStr">
        <is>
          <t>Northline Injury Claims</t>
        </is>
      </c>
      <c r="F1065" t="n">
        <v>1</v>
      </c>
      <c r="G1065" t="inlineStr">
        <is>
          <t>Reference INV/2026/02884</t>
        </is>
      </c>
      <c r="H1065">
        <f>COUNTIFS('Bank Lines'!$G$5:$G$1640,A1065,'Bank Lines'!$J$5:$J$1640,1)</f>
        <v>1</v>
      </c>
      <c r="I1065">
        <f>COUNTIFS('Odoo Items'!$J$5:$J$4331,A1065)</f>
        <v>1</v>
      </c>
      <c r="J1065" s="9">
        <f>ROUND(SUMIFS('Bank Lines'!$E$5:$E$1640,'Bank Lines'!$G$5:$G$1640,A1065,'Bank Lines'!$J$5:$J$1640,1),2)</f>
        <v>132</v>
      </c>
      <c r="K1065" s="9">
        <f>ROUND(SUMIFS('Odoo Items'!$G$5:$G$4331,'Odoo Items'!$J$5:$J$4331,A1065),2)</f>
        <v>132</v>
      </c>
      <c r="L1065" s="9">
        <f>ROUND(J1065-K1065,2)</f>
        <v>0</v>
      </c>
      <c r="M1065" s="9">
        <f>ROUND(SUMIFS('Bank Lines'!$E$5:$E$1640,'Bank Lines'!$G$5:$G$1640,A1065,'Bank Lines'!$J$5:$J$1640,1,'Bank Lines'!$C$5:$C$1640,"&lt;="&amp;Cover!$C$13),2)</f>
        <v>0</v>
      </c>
      <c r="N1065" s="9">
        <f>ROUND(SUMIFS('Odoo Items'!$G$5:$G$4331,'Odoo Items'!$J$5:$J$4331,A1065,'Odoo Items'!$C$5:$C$4331,"&lt;="&amp;Cover!$C$13),2)</f>
        <v>0</v>
      </c>
      <c r="O1065">
        <f>COUNTIFS('Bank Lines'!$G$5:$G$1640,A1065,'Bank Lines'!$J$5:$J$1640,1,'Bank Lines'!$C$5:$C$1640,"&lt;="&amp;Cover!$C$13)</f>
        <v>0</v>
      </c>
      <c r="P1065">
        <f>COUNTIFS('Odoo Items'!$J$5:$J$4331,A1065,'Odoo Items'!$C$5:$C$4331,"&lt;="&amp;Cover!$C$13)</f>
        <v>0</v>
      </c>
      <c r="Q1065">
        <f>IF(AND(O1065=0,P1065=0),"",IF(O1065=0,"ODOO-ONLY",IF(P1065=0,"BANK-ONLY","BOTH")))</f>
      </c>
      <c r="R1065" s="9">
        <f>IF(Q1065="BOTH",ROUND(M1065-N1065,2),0)</f>
        <v>0</v>
      </c>
      <c r="S1065" s="9">
        <f>ROUND(SUMIFS('Bank Lines'!$E$5:$E$1640,'Bank Lines'!$G$5:$G$1640,A1065,'Bank Lines'!$J$5:$J$1640,1,'Bank Lines'!$C$5:$C$1640,"&lt;="&amp;Cover!$C$14),2)</f>
        <v>0</v>
      </c>
      <c r="T1065" s="9">
        <f>ROUND(SUMIFS('Odoo Items'!$G$5:$G$4331,'Odoo Items'!$J$5:$J$4331,A1065,'Odoo Items'!$C$5:$C$4331,"&lt;="&amp;Cover!$C$14),2)</f>
        <v>0</v>
      </c>
      <c r="U1065">
        <f>COUNTIFS('Bank Lines'!$G$5:$G$1640,A1065,'Bank Lines'!$J$5:$J$1640,1,'Bank Lines'!$C$5:$C$1640,"&lt;="&amp;Cover!$C$14)</f>
        <v>0</v>
      </c>
      <c r="V1065">
        <f>COUNTIFS('Odoo Items'!$J$5:$J$4331,A1065,'Odoo Items'!$C$5:$C$4331,"&lt;="&amp;Cover!$C$14)</f>
        <v>0</v>
      </c>
      <c r="W1065">
        <f>IF(AND(U1065=0,V1065=0),"",IF(U1065=0,"ODOO-ONLY",IF(V1065=0,"BANK-ONLY","BOTH")))</f>
      </c>
      <c r="X1065" s="9">
        <f>IF(W1065="BOTH",ROUND(S1065-T1065,2),0)</f>
        <v>0</v>
      </c>
      <c r="Y1065" s="9">
        <f>ROUND(SUMIFS('Bank Lines'!$E$5:$E$1640,'Bank Lines'!$G$5:$G$1640,A1065,'Bank Lines'!$J$5:$J$1640,1,'Bank Lines'!$C$5:$C$1640,"&lt;="&amp;Cover!$C$15),2)</f>
        <v>132</v>
      </c>
      <c r="Z1065" s="9">
        <f>ROUND(SUMIFS('Odoo Items'!$G$5:$G$4331,'Odoo Items'!$J$5:$J$4331,A1065,'Odoo Items'!$C$5:$C$4331,"&lt;="&amp;Cover!$C$15),2)</f>
        <v>132</v>
      </c>
      <c r="AA1065">
        <f>COUNTIFS('Bank Lines'!$G$5:$G$1640,A1065,'Bank Lines'!$J$5:$J$1640,1,'Bank Lines'!$C$5:$C$1640,"&lt;="&amp;Cover!$C$15)</f>
        <v>1</v>
      </c>
      <c r="AB1065">
        <f>COUNTIFS('Odoo Items'!$J$5:$J$4331,A1065,'Odoo Items'!$C$5:$C$4331,"&lt;="&amp;Cover!$C$15)</f>
        <v>1</v>
      </c>
      <c r="AC1065" t="str">
        <f>IF(AND(AA1065=0,AB1065=0),"",IF(AA1065=0,"ODOO-ONLY",IF(AB1065=0,"BANK-ONLY","BOTH")))</f>
        <v>BOTH</v>
      </c>
      <c r="AD1065" s="9">
        <f>IF(AC1065="BOTH",ROUND(Y1065-Z1065,2),0)</f>
        <v>0</v>
      </c>
    </row>
    <row r="1066">
      <c r="A1066" t="inlineStr">
        <is>
          <t>G01062</t>
        </is>
      </c>
      <c r="B1066" t="inlineStr">
        <is>
          <t>OPS</t>
        </is>
      </c>
      <c r="C1066" t="inlineStr">
        <is>
          <t>R09</t>
        </is>
      </c>
      <c r="D1066" t="inlineStr">
        <is>
          <t>MATCH</t>
        </is>
      </c>
      <c r="E1066" t="inlineStr">
        <is>
          <t>Quillon Engineering</t>
        </is>
      </c>
      <c r="F1066" t="n">
        <v>1</v>
      </c>
      <c r="G1066" t="inlineStr">
        <is>
          <t>Reference INV/2026/03531</t>
        </is>
      </c>
      <c r="H1066">
        <f>COUNTIFS('Bank Lines'!$G$5:$G$1640,A1066,'Bank Lines'!$J$5:$J$1640,1)</f>
        <v>1</v>
      </c>
      <c r="I1066">
        <f>COUNTIFS('Odoo Items'!$J$5:$J$4331,A1066)</f>
        <v>1</v>
      </c>
      <c r="J1066" s="9">
        <f>ROUND(SUMIFS('Bank Lines'!$E$5:$E$1640,'Bank Lines'!$G$5:$G$1640,A1066,'Bank Lines'!$J$5:$J$1640,1),2)</f>
        <v>2186.25</v>
      </c>
      <c r="K1066" s="9">
        <f>ROUND(SUMIFS('Odoo Items'!$G$5:$G$4331,'Odoo Items'!$J$5:$J$4331,A1066),2)</f>
        <v>2186.25</v>
      </c>
      <c r="L1066" s="9">
        <f>ROUND(J1066-K1066,2)</f>
        <v>0</v>
      </c>
      <c r="M1066" s="9">
        <f>ROUND(SUMIFS('Bank Lines'!$E$5:$E$1640,'Bank Lines'!$G$5:$G$1640,A1066,'Bank Lines'!$J$5:$J$1640,1,'Bank Lines'!$C$5:$C$1640,"&lt;="&amp;Cover!$C$13),2)</f>
        <v>0</v>
      </c>
      <c r="N1066" s="9">
        <f>ROUND(SUMIFS('Odoo Items'!$G$5:$G$4331,'Odoo Items'!$J$5:$J$4331,A1066,'Odoo Items'!$C$5:$C$4331,"&lt;="&amp;Cover!$C$13),2)</f>
        <v>0</v>
      </c>
      <c r="O1066">
        <f>COUNTIFS('Bank Lines'!$G$5:$G$1640,A1066,'Bank Lines'!$J$5:$J$1640,1,'Bank Lines'!$C$5:$C$1640,"&lt;="&amp;Cover!$C$13)</f>
        <v>0</v>
      </c>
      <c r="P1066">
        <f>COUNTIFS('Odoo Items'!$J$5:$J$4331,A1066,'Odoo Items'!$C$5:$C$4331,"&lt;="&amp;Cover!$C$13)</f>
        <v>0</v>
      </c>
      <c r="Q1066">
        <f>IF(AND(O1066=0,P1066=0),"",IF(O1066=0,"ODOO-ONLY",IF(P1066=0,"BANK-ONLY","BOTH")))</f>
      </c>
      <c r="R1066" s="9">
        <f>IF(Q1066="BOTH",ROUND(M1066-N1066,2),0)</f>
        <v>0</v>
      </c>
      <c r="S1066" s="9">
        <f>ROUND(SUMIFS('Bank Lines'!$E$5:$E$1640,'Bank Lines'!$G$5:$G$1640,A1066,'Bank Lines'!$J$5:$J$1640,1,'Bank Lines'!$C$5:$C$1640,"&lt;="&amp;Cover!$C$14),2)</f>
        <v>0</v>
      </c>
      <c r="T1066" s="9">
        <f>ROUND(SUMIFS('Odoo Items'!$G$5:$G$4331,'Odoo Items'!$J$5:$J$4331,A1066,'Odoo Items'!$C$5:$C$4331,"&lt;="&amp;Cover!$C$14),2)</f>
        <v>0</v>
      </c>
      <c r="U1066">
        <f>COUNTIFS('Bank Lines'!$G$5:$G$1640,A1066,'Bank Lines'!$J$5:$J$1640,1,'Bank Lines'!$C$5:$C$1640,"&lt;="&amp;Cover!$C$14)</f>
        <v>0</v>
      </c>
      <c r="V1066">
        <f>COUNTIFS('Odoo Items'!$J$5:$J$4331,A1066,'Odoo Items'!$C$5:$C$4331,"&lt;="&amp;Cover!$C$14)</f>
        <v>0</v>
      </c>
      <c r="W1066">
        <f>IF(AND(U1066=0,V1066=0),"",IF(U1066=0,"ODOO-ONLY",IF(V1066=0,"BANK-ONLY","BOTH")))</f>
      </c>
      <c r="X1066" s="9">
        <f>IF(W1066="BOTH",ROUND(S1066-T1066,2),0)</f>
        <v>0</v>
      </c>
      <c r="Y1066" s="9">
        <f>ROUND(SUMIFS('Bank Lines'!$E$5:$E$1640,'Bank Lines'!$G$5:$G$1640,A1066,'Bank Lines'!$J$5:$J$1640,1,'Bank Lines'!$C$5:$C$1640,"&lt;="&amp;Cover!$C$15),2)</f>
        <v>2186.25</v>
      </c>
      <c r="Z1066" s="9">
        <f>ROUND(SUMIFS('Odoo Items'!$G$5:$G$4331,'Odoo Items'!$J$5:$J$4331,A1066,'Odoo Items'!$C$5:$C$4331,"&lt;="&amp;Cover!$C$15),2)</f>
        <v>2186.25</v>
      </c>
      <c r="AA1066">
        <f>COUNTIFS('Bank Lines'!$G$5:$G$1640,A1066,'Bank Lines'!$J$5:$J$1640,1,'Bank Lines'!$C$5:$C$1640,"&lt;="&amp;Cover!$C$15)</f>
        <v>1</v>
      </c>
      <c r="AB1066">
        <f>COUNTIFS('Odoo Items'!$J$5:$J$4331,A1066,'Odoo Items'!$C$5:$C$4331,"&lt;="&amp;Cover!$C$15)</f>
        <v>1</v>
      </c>
      <c r="AC1066" t="str">
        <f>IF(AND(AA1066=0,AB1066=0),"",IF(AA1066=0,"ODOO-ONLY",IF(AB1066=0,"BANK-ONLY","BOTH")))</f>
        <v>BOTH</v>
      </c>
      <c r="AD1066" s="9">
        <f>IF(AC1066="BOTH",ROUND(Y1066-Z1066,2),0)</f>
        <v>0</v>
      </c>
    </row>
    <row r="1067">
      <c r="A1067" t="inlineStr">
        <is>
          <t>G01063</t>
        </is>
      </c>
      <c r="B1067" t="inlineStr">
        <is>
          <t>OPS</t>
        </is>
      </c>
      <c r="C1067" t="inlineStr">
        <is>
          <t>R09</t>
        </is>
      </c>
      <c r="D1067" t="inlineStr">
        <is>
          <t>MATCH</t>
        </is>
      </c>
      <c r="E1067" t="inlineStr">
        <is>
          <t>Stanhope Trucking</t>
        </is>
      </c>
      <c r="F1067" t="n">
        <v>1</v>
      </c>
      <c r="G1067" t="inlineStr">
        <is>
          <t>Reference INV/2026/03567</t>
        </is>
      </c>
      <c r="H1067">
        <f>COUNTIFS('Bank Lines'!$G$5:$G$1640,A1067,'Bank Lines'!$J$5:$J$1640,1)</f>
        <v>1</v>
      </c>
      <c r="I1067">
        <f>COUNTIFS('Odoo Items'!$J$5:$J$4331,A1067)</f>
        <v>1</v>
      </c>
      <c r="J1067" s="9">
        <f>ROUND(SUMIFS('Bank Lines'!$E$5:$E$1640,'Bank Lines'!$G$5:$G$1640,A1067,'Bank Lines'!$J$5:$J$1640,1),2)</f>
        <v>5280</v>
      </c>
      <c r="K1067" s="9">
        <f>ROUND(SUMIFS('Odoo Items'!$G$5:$G$4331,'Odoo Items'!$J$5:$J$4331,A1067),2)</f>
        <v>5280</v>
      </c>
      <c r="L1067" s="9">
        <f>ROUND(J1067-K1067,2)</f>
        <v>0</v>
      </c>
      <c r="M1067" s="9">
        <f>ROUND(SUMIFS('Bank Lines'!$E$5:$E$1640,'Bank Lines'!$G$5:$G$1640,A1067,'Bank Lines'!$J$5:$J$1640,1,'Bank Lines'!$C$5:$C$1640,"&lt;="&amp;Cover!$C$13),2)</f>
        <v>0</v>
      </c>
      <c r="N1067" s="9">
        <f>ROUND(SUMIFS('Odoo Items'!$G$5:$G$4331,'Odoo Items'!$J$5:$J$4331,A1067,'Odoo Items'!$C$5:$C$4331,"&lt;="&amp;Cover!$C$13),2)</f>
        <v>0</v>
      </c>
      <c r="O1067">
        <f>COUNTIFS('Bank Lines'!$G$5:$G$1640,A1067,'Bank Lines'!$J$5:$J$1640,1,'Bank Lines'!$C$5:$C$1640,"&lt;="&amp;Cover!$C$13)</f>
        <v>0</v>
      </c>
      <c r="P1067">
        <f>COUNTIFS('Odoo Items'!$J$5:$J$4331,A1067,'Odoo Items'!$C$5:$C$4331,"&lt;="&amp;Cover!$C$13)</f>
        <v>0</v>
      </c>
      <c r="Q1067">
        <f>IF(AND(O1067=0,P1067=0),"",IF(O1067=0,"ODOO-ONLY",IF(P1067=0,"BANK-ONLY","BOTH")))</f>
      </c>
      <c r="R1067" s="9">
        <f>IF(Q1067="BOTH",ROUND(M1067-N1067,2),0)</f>
        <v>0</v>
      </c>
      <c r="S1067" s="9">
        <f>ROUND(SUMIFS('Bank Lines'!$E$5:$E$1640,'Bank Lines'!$G$5:$G$1640,A1067,'Bank Lines'!$J$5:$J$1640,1,'Bank Lines'!$C$5:$C$1640,"&lt;="&amp;Cover!$C$14),2)</f>
        <v>0</v>
      </c>
      <c r="T1067" s="9">
        <f>ROUND(SUMIFS('Odoo Items'!$G$5:$G$4331,'Odoo Items'!$J$5:$J$4331,A1067,'Odoo Items'!$C$5:$C$4331,"&lt;="&amp;Cover!$C$14),2)</f>
        <v>0</v>
      </c>
      <c r="U1067">
        <f>COUNTIFS('Bank Lines'!$G$5:$G$1640,A1067,'Bank Lines'!$J$5:$J$1640,1,'Bank Lines'!$C$5:$C$1640,"&lt;="&amp;Cover!$C$14)</f>
        <v>0</v>
      </c>
      <c r="V1067">
        <f>COUNTIFS('Odoo Items'!$J$5:$J$4331,A1067,'Odoo Items'!$C$5:$C$4331,"&lt;="&amp;Cover!$C$14)</f>
        <v>0</v>
      </c>
      <c r="W1067">
        <f>IF(AND(U1067=0,V1067=0),"",IF(U1067=0,"ODOO-ONLY",IF(V1067=0,"BANK-ONLY","BOTH")))</f>
      </c>
      <c r="X1067" s="9">
        <f>IF(W1067="BOTH",ROUND(S1067-T1067,2),0)</f>
        <v>0</v>
      </c>
      <c r="Y1067" s="9">
        <f>ROUND(SUMIFS('Bank Lines'!$E$5:$E$1640,'Bank Lines'!$G$5:$G$1640,A1067,'Bank Lines'!$J$5:$J$1640,1,'Bank Lines'!$C$5:$C$1640,"&lt;="&amp;Cover!$C$15),2)</f>
        <v>5280</v>
      </c>
      <c r="Z1067" s="9">
        <f>ROUND(SUMIFS('Odoo Items'!$G$5:$G$4331,'Odoo Items'!$J$5:$J$4331,A1067,'Odoo Items'!$C$5:$C$4331,"&lt;="&amp;Cover!$C$15),2)</f>
        <v>5280</v>
      </c>
      <c r="AA1067">
        <f>COUNTIFS('Bank Lines'!$G$5:$G$1640,A1067,'Bank Lines'!$J$5:$J$1640,1,'Bank Lines'!$C$5:$C$1640,"&lt;="&amp;Cover!$C$15)</f>
        <v>1</v>
      </c>
      <c r="AB1067">
        <f>COUNTIFS('Odoo Items'!$J$5:$J$4331,A1067,'Odoo Items'!$C$5:$C$4331,"&lt;="&amp;Cover!$C$15)</f>
        <v>1</v>
      </c>
      <c r="AC1067" t="str">
        <f>IF(AND(AA1067=0,AB1067=0),"",IF(AA1067=0,"ODOO-ONLY",IF(AB1067=0,"BANK-ONLY","BOTH")))</f>
        <v>BOTH</v>
      </c>
      <c r="AD1067" s="9">
        <f>IF(AC1067="BOTH",ROUND(Y1067-Z1067,2),0)</f>
        <v>0</v>
      </c>
    </row>
    <row r="1068">
      <c r="A1068" t="inlineStr">
        <is>
          <t>G01064</t>
        </is>
      </c>
      <c r="B1068" t="inlineStr">
        <is>
          <t>OPS</t>
        </is>
      </c>
      <c r="C1068" t="inlineStr">
        <is>
          <t>R09</t>
        </is>
      </c>
      <c r="D1068" t="inlineStr">
        <is>
          <t>MATCH</t>
        </is>
      </c>
      <c r="E1068" t="inlineStr">
        <is>
          <t>Coastline Health Fund</t>
        </is>
      </c>
      <c r="F1068" t="n">
        <v>1</v>
      </c>
      <c r="G1068" t="inlineStr">
        <is>
          <t>Reference INV/2026/02863</t>
        </is>
      </c>
      <c r="H1068">
        <f>COUNTIFS('Bank Lines'!$G$5:$G$1640,A1068,'Bank Lines'!$J$5:$J$1640,1)</f>
        <v>1</v>
      </c>
      <c r="I1068">
        <f>COUNTIFS('Odoo Items'!$J$5:$J$4331,A1068)</f>
        <v>1</v>
      </c>
      <c r="J1068" s="9">
        <f>ROUND(SUMIFS('Bank Lines'!$E$5:$E$1640,'Bank Lines'!$G$5:$G$1640,A1068,'Bank Lines'!$J$5:$J$1640,1),2)</f>
        <v>88</v>
      </c>
      <c r="K1068" s="9">
        <f>ROUND(SUMIFS('Odoo Items'!$G$5:$G$4331,'Odoo Items'!$J$5:$J$4331,A1068),2)</f>
        <v>88</v>
      </c>
      <c r="L1068" s="9">
        <f>ROUND(J1068-K1068,2)</f>
        <v>0</v>
      </c>
      <c r="M1068" s="9">
        <f>ROUND(SUMIFS('Bank Lines'!$E$5:$E$1640,'Bank Lines'!$G$5:$G$1640,A1068,'Bank Lines'!$J$5:$J$1640,1,'Bank Lines'!$C$5:$C$1640,"&lt;="&amp;Cover!$C$13),2)</f>
        <v>0</v>
      </c>
      <c r="N1068" s="9">
        <f>ROUND(SUMIFS('Odoo Items'!$G$5:$G$4331,'Odoo Items'!$J$5:$J$4331,A1068,'Odoo Items'!$C$5:$C$4331,"&lt;="&amp;Cover!$C$13),2)</f>
        <v>0</v>
      </c>
      <c r="O1068">
        <f>COUNTIFS('Bank Lines'!$G$5:$G$1640,A1068,'Bank Lines'!$J$5:$J$1640,1,'Bank Lines'!$C$5:$C$1640,"&lt;="&amp;Cover!$C$13)</f>
        <v>0</v>
      </c>
      <c r="P1068">
        <f>COUNTIFS('Odoo Items'!$J$5:$J$4331,A1068,'Odoo Items'!$C$5:$C$4331,"&lt;="&amp;Cover!$C$13)</f>
        <v>0</v>
      </c>
      <c r="Q1068">
        <f>IF(AND(O1068=0,P1068=0),"",IF(O1068=0,"ODOO-ONLY",IF(P1068=0,"BANK-ONLY","BOTH")))</f>
      </c>
      <c r="R1068" s="9">
        <f>IF(Q1068="BOTH",ROUND(M1068-N1068,2),0)</f>
        <v>0</v>
      </c>
      <c r="S1068" s="9">
        <f>ROUND(SUMIFS('Bank Lines'!$E$5:$E$1640,'Bank Lines'!$G$5:$G$1640,A1068,'Bank Lines'!$J$5:$J$1640,1,'Bank Lines'!$C$5:$C$1640,"&lt;="&amp;Cover!$C$14),2)</f>
        <v>0</v>
      </c>
      <c r="T1068" s="9">
        <f>ROUND(SUMIFS('Odoo Items'!$G$5:$G$4331,'Odoo Items'!$J$5:$J$4331,A1068,'Odoo Items'!$C$5:$C$4331,"&lt;="&amp;Cover!$C$14),2)</f>
        <v>0</v>
      </c>
      <c r="U1068">
        <f>COUNTIFS('Bank Lines'!$G$5:$G$1640,A1068,'Bank Lines'!$J$5:$J$1640,1,'Bank Lines'!$C$5:$C$1640,"&lt;="&amp;Cover!$C$14)</f>
        <v>0</v>
      </c>
      <c r="V1068">
        <f>COUNTIFS('Odoo Items'!$J$5:$J$4331,A1068,'Odoo Items'!$C$5:$C$4331,"&lt;="&amp;Cover!$C$14)</f>
        <v>0</v>
      </c>
      <c r="W1068">
        <f>IF(AND(U1068=0,V1068=0),"",IF(U1068=0,"ODOO-ONLY",IF(V1068=0,"BANK-ONLY","BOTH")))</f>
      </c>
      <c r="X1068" s="9">
        <f>IF(W1068="BOTH",ROUND(S1068-T1068,2),0)</f>
        <v>0</v>
      </c>
      <c r="Y1068" s="9">
        <f>ROUND(SUMIFS('Bank Lines'!$E$5:$E$1640,'Bank Lines'!$G$5:$G$1640,A1068,'Bank Lines'!$J$5:$J$1640,1,'Bank Lines'!$C$5:$C$1640,"&lt;="&amp;Cover!$C$15),2)</f>
        <v>88</v>
      </c>
      <c r="Z1068" s="9">
        <f>ROUND(SUMIFS('Odoo Items'!$G$5:$G$4331,'Odoo Items'!$J$5:$J$4331,A1068,'Odoo Items'!$C$5:$C$4331,"&lt;="&amp;Cover!$C$15),2)</f>
        <v>88</v>
      </c>
      <c r="AA1068">
        <f>COUNTIFS('Bank Lines'!$G$5:$G$1640,A1068,'Bank Lines'!$J$5:$J$1640,1,'Bank Lines'!$C$5:$C$1640,"&lt;="&amp;Cover!$C$15)</f>
        <v>1</v>
      </c>
      <c r="AB1068">
        <f>COUNTIFS('Odoo Items'!$J$5:$J$4331,A1068,'Odoo Items'!$C$5:$C$4331,"&lt;="&amp;Cover!$C$15)</f>
        <v>1</v>
      </c>
      <c r="AC1068" t="str">
        <f>IF(AND(AA1068=0,AB1068=0),"",IF(AA1068=0,"ODOO-ONLY",IF(AB1068=0,"BANK-ONLY","BOTH")))</f>
        <v>BOTH</v>
      </c>
      <c r="AD1068" s="9">
        <f>IF(AC1068="BOTH",ROUND(Y1068-Z1068,2),0)</f>
        <v>0</v>
      </c>
    </row>
    <row r="1069">
      <c r="A1069" t="inlineStr">
        <is>
          <t>G01065</t>
        </is>
      </c>
      <c r="B1069" t="inlineStr">
        <is>
          <t>OPS</t>
        </is>
      </c>
      <c r="C1069" t="inlineStr">
        <is>
          <t>R09</t>
        </is>
      </c>
      <c r="D1069" t="inlineStr">
        <is>
          <t>MATCH</t>
        </is>
      </c>
      <c r="E1069" t="inlineStr">
        <is>
          <t>Unity Workcover Agents</t>
        </is>
      </c>
      <c r="F1069" t="n">
        <v>1</v>
      </c>
      <c r="G1069" t="inlineStr">
        <is>
          <t>Reference INV/2026/02839</t>
        </is>
      </c>
      <c r="H1069">
        <f>COUNTIFS('Bank Lines'!$G$5:$G$1640,A1069,'Bank Lines'!$J$5:$J$1640,1)</f>
        <v>1</v>
      </c>
      <c r="I1069">
        <f>COUNTIFS('Odoo Items'!$J$5:$J$4331,A1069)</f>
        <v>1</v>
      </c>
      <c r="J1069" s="9">
        <f>ROUND(SUMIFS('Bank Lines'!$E$5:$E$1640,'Bank Lines'!$G$5:$G$1640,A1069,'Bank Lines'!$J$5:$J$1640,1),2)</f>
        <v>132</v>
      </c>
      <c r="K1069" s="9">
        <f>ROUND(SUMIFS('Odoo Items'!$G$5:$G$4331,'Odoo Items'!$J$5:$J$4331,A1069),2)</f>
        <v>132</v>
      </c>
      <c r="L1069" s="9">
        <f>ROUND(J1069-K1069,2)</f>
        <v>0</v>
      </c>
      <c r="M1069" s="9">
        <f>ROUND(SUMIFS('Bank Lines'!$E$5:$E$1640,'Bank Lines'!$G$5:$G$1640,A1069,'Bank Lines'!$J$5:$J$1640,1,'Bank Lines'!$C$5:$C$1640,"&lt;="&amp;Cover!$C$13),2)</f>
        <v>0</v>
      </c>
      <c r="N1069" s="9">
        <f>ROUND(SUMIFS('Odoo Items'!$G$5:$G$4331,'Odoo Items'!$J$5:$J$4331,A1069,'Odoo Items'!$C$5:$C$4331,"&lt;="&amp;Cover!$C$13),2)</f>
        <v>0</v>
      </c>
      <c r="O1069">
        <f>COUNTIFS('Bank Lines'!$G$5:$G$1640,A1069,'Bank Lines'!$J$5:$J$1640,1,'Bank Lines'!$C$5:$C$1640,"&lt;="&amp;Cover!$C$13)</f>
        <v>0</v>
      </c>
      <c r="P1069">
        <f>COUNTIFS('Odoo Items'!$J$5:$J$4331,A1069,'Odoo Items'!$C$5:$C$4331,"&lt;="&amp;Cover!$C$13)</f>
        <v>0</v>
      </c>
      <c r="Q1069">
        <f>IF(AND(O1069=0,P1069=0),"",IF(O1069=0,"ODOO-ONLY",IF(P1069=0,"BANK-ONLY","BOTH")))</f>
      </c>
      <c r="R1069" s="9">
        <f>IF(Q1069="BOTH",ROUND(M1069-N1069,2),0)</f>
        <v>0</v>
      </c>
      <c r="S1069" s="9">
        <f>ROUND(SUMIFS('Bank Lines'!$E$5:$E$1640,'Bank Lines'!$G$5:$G$1640,A1069,'Bank Lines'!$J$5:$J$1640,1,'Bank Lines'!$C$5:$C$1640,"&lt;="&amp;Cover!$C$14),2)</f>
        <v>0</v>
      </c>
      <c r="T1069" s="9">
        <f>ROUND(SUMIFS('Odoo Items'!$G$5:$G$4331,'Odoo Items'!$J$5:$J$4331,A1069,'Odoo Items'!$C$5:$C$4331,"&lt;="&amp;Cover!$C$14),2)</f>
        <v>0</v>
      </c>
      <c r="U1069">
        <f>COUNTIFS('Bank Lines'!$G$5:$G$1640,A1069,'Bank Lines'!$J$5:$J$1640,1,'Bank Lines'!$C$5:$C$1640,"&lt;="&amp;Cover!$C$14)</f>
        <v>0</v>
      </c>
      <c r="V1069">
        <f>COUNTIFS('Odoo Items'!$J$5:$J$4331,A1069,'Odoo Items'!$C$5:$C$4331,"&lt;="&amp;Cover!$C$14)</f>
        <v>0</v>
      </c>
      <c r="W1069">
        <f>IF(AND(U1069=0,V1069=0),"",IF(U1069=0,"ODOO-ONLY",IF(V1069=0,"BANK-ONLY","BOTH")))</f>
      </c>
      <c r="X1069" s="9">
        <f>IF(W1069="BOTH",ROUND(S1069-T1069,2),0)</f>
        <v>0</v>
      </c>
      <c r="Y1069" s="9">
        <f>ROUND(SUMIFS('Bank Lines'!$E$5:$E$1640,'Bank Lines'!$G$5:$G$1640,A1069,'Bank Lines'!$J$5:$J$1640,1,'Bank Lines'!$C$5:$C$1640,"&lt;="&amp;Cover!$C$15),2)</f>
        <v>132</v>
      </c>
      <c r="Z1069" s="9">
        <f>ROUND(SUMIFS('Odoo Items'!$G$5:$G$4331,'Odoo Items'!$J$5:$J$4331,A1069,'Odoo Items'!$C$5:$C$4331,"&lt;="&amp;Cover!$C$15),2)</f>
        <v>132</v>
      </c>
      <c r="AA1069">
        <f>COUNTIFS('Bank Lines'!$G$5:$G$1640,A1069,'Bank Lines'!$J$5:$J$1640,1,'Bank Lines'!$C$5:$C$1640,"&lt;="&amp;Cover!$C$15)</f>
        <v>1</v>
      </c>
      <c r="AB1069">
        <f>COUNTIFS('Odoo Items'!$J$5:$J$4331,A1069,'Odoo Items'!$C$5:$C$4331,"&lt;="&amp;Cover!$C$15)</f>
        <v>1</v>
      </c>
      <c r="AC1069" t="str">
        <f>IF(AND(AA1069=0,AB1069=0),"",IF(AA1069=0,"ODOO-ONLY",IF(AB1069=0,"BANK-ONLY","BOTH")))</f>
        <v>BOTH</v>
      </c>
      <c r="AD1069" s="9">
        <f>IF(AC1069="BOTH",ROUND(Y1069-Z1069,2),0)</f>
        <v>0</v>
      </c>
    </row>
    <row r="1070">
      <c r="A1070" t="inlineStr">
        <is>
          <t>G01066</t>
        </is>
      </c>
      <c r="B1070" t="inlineStr">
        <is>
          <t>OPS</t>
        </is>
      </c>
      <c r="C1070" t="inlineStr">
        <is>
          <t>R09</t>
        </is>
      </c>
      <c r="D1070" t="inlineStr">
        <is>
          <t>MATCH</t>
        </is>
      </c>
      <c r="E1070" t="inlineStr">
        <is>
          <t>Pinnacle Claims Services</t>
        </is>
      </c>
      <c r="F1070" t="n">
        <v>1</v>
      </c>
      <c r="G1070" t="inlineStr">
        <is>
          <t>Reference INV/2026/02927</t>
        </is>
      </c>
      <c r="H1070">
        <f>COUNTIFS('Bank Lines'!$G$5:$G$1640,A1070,'Bank Lines'!$J$5:$J$1640,1)</f>
        <v>1</v>
      </c>
      <c r="I1070">
        <f>COUNTIFS('Odoo Items'!$J$5:$J$4331,A1070)</f>
        <v>1</v>
      </c>
      <c r="J1070" s="9">
        <f>ROUND(SUMIFS('Bank Lines'!$E$5:$E$1640,'Bank Lines'!$G$5:$G$1640,A1070,'Bank Lines'!$J$5:$J$1640,1),2)</f>
        <v>412.5</v>
      </c>
      <c r="K1070" s="9">
        <f>ROUND(SUMIFS('Odoo Items'!$G$5:$G$4331,'Odoo Items'!$J$5:$J$4331,A1070),2)</f>
        <v>412.5</v>
      </c>
      <c r="L1070" s="9">
        <f>ROUND(J1070-K1070,2)</f>
        <v>0</v>
      </c>
      <c r="M1070" s="9">
        <f>ROUND(SUMIFS('Bank Lines'!$E$5:$E$1640,'Bank Lines'!$G$5:$G$1640,A1070,'Bank Lines'!$J$5:$J$1640,1,'Bank Lines'!$C$5:$C$1640,"&lt;="&amp;Cover!$C$13),2)</f>
        <v>0</v>
      </c>
      <c r="N1070" s="9">
        <f>ROUND(SUMIFS('Odoo Items'!$G$5:$G$4331,'Odoo Items'!$J$5:$J$4331,A1070,'Odoo Items'!$C$5:$C$4331,"&lt;="&amp;Cover!$C$13),2)</f>
        <v>0</v>
      </c>
      <c r="O1070">
        <f>COUNTIFS('Bank Lines'!$G$5:$G$1640,A1070,'Bank Lines'!$J$5:$J$1640,1,'Bank Lines'!$C$5:$C$1640,"&lt;="&amp;Cover!$C$13)</f>
        <v>0</v>
      </c>
      <c r="P1070">
        <f>COUNTIFS('Odoo Items'!$J$5:$J$4331,A1070,'Odoo Items'!$C$5:$C$4331,"&lt;="&amp;Cover!$C$13)</f>
        <v>0</v>
      </c>
      <c r="Q1070">
        <f>IF(AND(O1070=0,P1070=0),"",IF(O1070=0,"ODOO-ONLY",IF(P1070=0,"BANK-ONLY","BOTH")))</f>
      </c>
      <c r="R1070" s="9">
        <f>IF(Q1070="BOTH",ROUND(M1070-N1070,2),0)</f>
        <v>0</v>
      </c>
      <c r="S1070" s="9">
        <f>ROUND(SUMIFS('Bank Lines'!$E$5:$E$1640,'Bank Lines'!$G$5:$G$1640,A1070,'Bank Lines'!$J$5:$J$1640,1,'Bank Lines'!$C$5:$C$1640,"&lt;="&amp;Cover!$C$14),2)</f>
        <v>0</v>
      </c>
      <c r="T1070" s="9">
        <f>ROUND(SUMIFS('Odoo Items'!$G$5:$G$4331,'Odoo Items'!$J$5:$J$4331,A1070,'Odoo Items'!$C$5:$C$4331,"&lt;="&amp;Cover!$C$14),2)</f>
        <v>0</v>
      </c>
      <c r="U1070">
        <f>COUNTIFS('Bank Lines'!$G$5:$G$1640,A1070,'Bank Lines'!$J$5:$J$1640,1,'Bank Lines'!$C$5:$C$1640,"&lt;="&amp;Cover!$C$14)</f>
        <v>0</v>
      </c>
      <c r="V1070">
        <f>COUNTIFS('Odoo Items'!$J$5:$J$4331,A1070,'Odoo Items'!$C$5:$C$4331,"&lt;="&amp;Cover!$C$14)</f>
        <v>0</v>
      </c>
      <c r="W1070">
        <f>IF(AND(U1070=0,V1070=0),"",IF(U1070=0,"ODOO-ONLY",IF(V1070=0,"BANK-ONLY","BOTH")))</f>
      </c>
      <c r="X1070" s="9">
        <f>IF(W1070="BOTH",ROUND(S1070-T1070,2),0)</f>
        <v>0</v>
      </c>
      <c r="Y1070" s="9">
        <f>ROUND(SUMIFS('Bank Lines'!$E$5:$E$1640,'Bank Lines'!$G$5:$G$1640,A1070,'Bank Lines'!$J$5:$J$1640,1,'Bank Lines'!$C$5:$C$1640,"&lt;="&amp;Cover!$C$15),2)</f>
        <v>412.5</v>
      </c>
      <c r="Z1070" s="9">
        <f>ROUND(SUMIFS('Odoo Items'!$G$5:$G$4331,'Odoo Items'!$J$5:$J$4331,A1070,'Odoo Items'!$C$5:$C$4331,"&lt;="&amp;Cover!$C$15),2)</f>
        <v>412.5</v>
      </c>
      <c r="AA1070">
        <f>COUNTIFS('Bank Lines'!$G$5:$G$1640,A1070,'Bank Lines'!$J$5:$J$1640,1,'Bank Lines'!$C$5:$C$1640,"&lt;="&amp;Cover!$C$15)</f>
        <v>1</v>
      </c>
      <c r="AB1070">
        <f>COUNTIFS('Odoo Items'!$J$5:$J$4331,A1070,'Odoo Items'!$C$5:$C$4331,"&lt;="&amp;Cover!$C$15)</f>
        <v>1</v>
      </c>
      <c r="AC1070" t="str">
        <f>IF(AND(AA1070=0,AB1070=0),"",IF(AA1070=0,"ODOO-ONLY",IF(AB1070=0,"BANK-ONLY","BOTH")))</f>
        <v>BOTH</v>
      </c>
      <c r="AD1070" s="9">
        <f>IF(AC1070="BOTH",ROUND(Y1070-Z1070,2),0)</f>
        <v>0</v>
      </c>
    </row>
    <row r="1071">
      <c r="A1071" t="inlineStr">
        <is>
          <t>G01067</t>
        </is>
      </c>
      <c r="B1071" t="inlineStr">
        <is>
          <t>OPS</t>
        </is>
      </c>
      <c r="C1071" t="inlineStr">
        <is>
          <t>R09</t>
        </is>
      </c>
      <c r="D1071" t="inlineStr">
        <is>
          <t>MATCH</t>
        </is>
      </c>
      <c r="E1071" t="inlineStr">
        <is>
          <t>Northline Injury Claims</t>
        </is>
      </c>
      <c r="F1071" t="n">
        <v>1</v>
      </c>
      <c r="G1071" t="inlineStr">
        <is>
          <t>Reference INV/2026/02840</t>
        </is>
      </c>
      <c r="H1071">
        <f>COUNTIFS('Bank Lines'!$G$5:$G$1640,A1071,'Bank Lines'!$J$5:$J$1640,1)</f>
        <v>1</v>
      </c>
      <c r="I1071">
        <f>COUNTIFS('Odoo Items'!$J$5:$J$4331,A1071)</f>
        <v>1</v>
      </c>
      <c r="J1071" s="9">
        <f>ROUND(SUMIFS('Bank Lines'!$E$5:$E$1640,'Bank Lines'!$G$5:$G$1640,A1071,'Bank Lines'!$J$5:$J$1640,1),2)</f>
        <v>412.5</v>
      </c>
      <c r="K1071" s="9">
        <f>ROUND(SUMIFS('Odoo Items'!$G$5:$G$4331,'Odoo Items'!$J$5:$J$4331,A1071),2)</f>
        <v>412.5</v>
      </c>
      <c r="L1071" s="9">
        <f>ROUND(J1071-K1071,2)</f>
        <v>0</v>
      </c>
      <c r="M1071" s="9">
        <f>ROUND(SUMIFS('Bank Lines'!$E$5:$E$1640,'Bank Lines'!$G$5:$G$1640,A1071,'Bank Lines'!$J$5:$J$1640,1,'Bank Lines'!$C$5:$C$1640,"&lt;="&amp;Cover!$C$13),2)</f>
        <v>0</v>
      </c>
      <c r="N1071" s="9">
        <f>ROUND(SUMIFS('Odoo Items'!$G$5:$G$4331,'Odoo Items'!$J$5:$J$4331,A1071,'Odoo Items'!$C$5:$C$4331,"&lt;="&amp;Cover!$C$13),2)</f>
        <v>0</v>
      </c>
      <c r="O1071">
        <f>COUNTIFS('Bank Lines'!$G$5:$G$1640,A1071,'Bank Lines'!$J$5:$J$1640,1,'Bank Lines'!$C$5:$C$1640,"&lt;="&amp;Cover!$C$13)</f>
        <v>0</v>
      </c>
      <c r="P1071">
        <f>COUNTIFS('Odoo Items'!$J$5:$J$4331,A1071,'Odoo Items'!$C$5:$C$4331,"&lt;="&amp;Cover!$C$13)</f>
        <v>0</v>
      </c>
      <c r="Q1071">
        <f>IF(AND(O1071=0,P1071=0),"",IF(O1071=0,"ODOO-ONLY",IF(P1071=0,"BANK-ONLY","BOTH")))</f>
      </c>
      <c r="R1071" s="9">
        <f>IF(Q1071="BOTH",ROUND(M1071-N1071,2),0)</f>
        <v>0</v>
      </c>
      <c r="S1071" s="9">
        <f>ROUND(SUMIFS('Bank Lines'!$E$5:$E$1640,'Bank Lines'!$G$5:$G$1640,A1071,'Bank Lines'!$J$5:$J$1640,1,'Bank Lines'!$C$5:$C$1640,"&lt;="&amp;Cover!$C$14),2)</f>
        <v>0</v>
      </c>
      <c r="T1071" s="9">
        <f>ROUND(SUMIFS('Odoo Items'!$G$5:$G$4331,'Odoo Items'!$J$5:$J$4331,A1071,'Odoo Items'!$C$5:$C$4331,"&lt;="&amp;Cover!$C$14),2)</f>
        <v>0</v>
      </c>
      <c r="U1071">
        <f>COUNTIFS('Bank Lines'!$G$5:$G$1640,A1071,'Bank Lines'!$J$5:$J$1640,1,'Bank Lines'!$C$5:$C$1640,"&lt;="&amp;Cover!$C$14)</f>
        <v>0</v>
      </c>
      <c r="V1071">
        <f>COUNTIFS('Odoo Items'!$J$5:$J$4331,A1071,'Odoo Items'!$C$5:$C$4331,"&lt;="&amp;Cover!$C$14)</f>
        <v>0</v>
      </c>
      <c r="W1071">
        <f>IF(AND(U1071=0,V1071=0),"",IF(U1071=0,"ODOO-ONLY",IF(V1071=0,"BANK-ONLY","BOTH")))</f>
      </c>
      <c r="X1071" s="9">
        <f>IF(W1071="BOTH",ROUND(S1071-T1071,2),0)</f>
        <v>0</v>
      </c>
      <c r="Y1071" s="9">
        <f>ROUND(SUMIFS('Bank Lines'!$E$5:$E$1640,'Bank Lines'!$G$5:$G$1640,A1071,'Bank Lines'!$J$5:$J$1640,1,'Bank Lines'!$C$5:$C$1640,"&lt;="&amp;Cover!$C$15),2)</f>
        <v>412.5</v>
      </c>
      <c r="Z1071" s="9">
        <f>ROUND(SUMIFS('Odoo Items'!$G$5:$G$4331,'Odoo Items'!$J$5:$J$4331,A1071,'Odoo Items'!$C$5:$C$4331,"&lt;="&amp;Cover!$C$15),2)</f>
        <v>412.5</v>
      </c>
      <c r="AA1071">
        <f>COUNTIFS('Bank Lines'!$G$5:$G$1640,A1071,'Bank Lines'!$J$5:$J$1640,1,'Bank Lines'!$C$5:$C$1640,"&lt;="&amp;Cover!$C$15)</f>
        <v>1</v>
      </c>
      <c r="AB1071">
        <f>COUNTIFS('Odoo Items'!$J$5:$J$4331,A1071,'Odoo Items'!$C$5:$C$4331,"&lt;="&amp;Cover!$C$15)</f>
        <v>1</v>
      </c>
      <c r="AC1071" t="str">
        <f>IF(AND(AA1071=0,AB1071=0),"",IF(AA1071=0,"ODOO-ONLY",IF(AB1071=0,"BANK-ONLY","BOTH")))</f>
        <v>BOTH</v>
      </c>
      <c r="AD1071" s="9">
        <f>IF(AC1071="BOTH",ROUND(Y1071-Z1071,2),0)</f>
        <v>0</v>
      </c>
    </row>
    <row r="1072">
      <c r="A1072" t="inlineStr">
        <is>
          <t>G01068</t>
        </is>
      </c>
      <c r="B1072" t="inlineStr">
        <is>
          <t>OPS</t>
        </is>
      </c>
      <c r="C1072" t="inlineStr">
        <is>
          <t>R09</t>
        </is>
      </c>
      <c r="D1072" t="inlineStr">
        <is>
          <t>MATCH</t>
        </is>
      </c>
      <c r="E1072" t="inlineStr">
        <is>
          <t>Northline Injury Claims</t>
        </is>
      </c>
      <c r="F1072" t="n">
        <v>1</v>
      </c>
      <c r="G1072" t="inlineStr">
        <is>
          <t>Reference INV/2026/02928</t>
        </is>
      </c>
      <c r="H1072">
        <f>COUNTIFS('Bank Lines'!$G$5:$G$1640,A1072,'Bank Lines'!$J$5:$J$1640,1)</f>
        <v>1</v>
      </c>
      <c r="I1072">
        <f>COUNTIFS('Odoo Items'!$J$5:$J$4331,A1072)</f>
        <v>1</v>
      </c>
      <c r="J1072" s="9">
        <f>ROUND(SUMIFS('Bank Lines'!$E$5:$E$1640,'Bank Lines'!$G$5:$G$1640,A1072,'Bank Lines'!$J$5:$J$1640,1),2)</f>
        <v>264</v>
      </c>
      <c r="K1072" s="9">
        <f>ROUND(SUMIFS('Odoo Items'!$G$5:$G$4331,'Odoo Items'!$J$5:$J$4331,A1072),2)</f>
        <v>264</v>
      </c>
      <c r="L1072" s="9">
        <f>ROUND(J1072-K1072,2)</f>
        <v>0</v>
      </c>
      <c r="M1072" s="9">
        <f>ROUND(SUMIFS('Bank Lines'!$E$5:$E$1640,'Bank Lines'!$G$5:$G$1640,A1072,'Bank Lines'!$J$5:$J$1640,1,'Bank Lines'!$C$5:$C$1640,"&lt;="&amp;Cover!$C$13),2)</f>
        <v>0</v>
      </c>
      <c r="N1072" s="9">
        <f>ROUND(SUMIFS('Odoo Items'!$G$5:$G$4331,'Odoo Items'!$J$5:$J$4331,A1072,'Odoo Items'!$C$5:$C$4331,"&lt;="&amp;Cover!$C$13),2)</f>
        <v>0</v>
      </c>
      <c r="O1072">
        <f>COUNTIFS('Bank Lines'!$G$5:$G$1640,A1072,'Bank Lines'!$J$5:$J$1640,1,'Bank Lines'!$C$5:$C$1640,"&lt;="&amp;Cover!$C$13)</f>
        <v>0</v>
      </c>
      <c r="P1072">
        <f>COUNTIFS('Odoo Items'!$J$5:$J$4331,A1072,'Odoo Items'!$C$5:$C$4331,"&lt;="&amp;Cover!$C$13)</f>
        <v>0</v>
      </c>
      <c r="Q1072">
        <f>IF(AND(O1072=0,P1072=0),"",IF(O1072=0,"ODOO-ONLY",IF(P1072=0,"BANK-ONLY","BOTH")))</f>
      </c>
      <c r="R1072" s="9">
        <f>IF(Q1072="BOTH",ROUND(M1072-N1072,2),0)</f>
        <v>0</v>
      </c>
      <c r="S1072" s="9">
        <f>ROUND(SUMIFS('Bank Lines'!$E$5:$E$1640,'Bank Lines'!$G$5:$G$1640,A1072,'Bank Lines'!$J$5:$J$1640,1,'Bank Lines'!$C$5:$C$1640,"&lt;="&amp;Cover!$C$14),2)</f>
        <v>0</v>
      </c>
      <c r="T1072" s="9">
        <f>ROUND(SUMIFS('Odoo Items'!$G$5:$G$4331,'Odoo Items'!$J$5:$J$4331,A1072,'Odoo Items'!$C$5:$C$4331,"&lt;="&amp;Cover!$C$14),2)</f>
        <v>0</v>
      </c>
      <c r="U1072">
        <f>COUNTIFS('Bank Lines'!$G$5:$G$1640,A1072,'Bank Lines'!$J$5:$J$1640,1,'Bank Lines'!$C$5:$C$1640,"&lt;="&amp;Cover!$C$14)</f>
        <v>0</v>
      </c>
      <c r="V1072">
        <f>COUNTIFS('Odoo Items'!$J$5:$J$4331,A1072,'Odoo Items'!$C$5:$C$4331,"&lt;="&amp;Cover!$C$14)</f>
        <v>0</v>
      </c>
      <c r="W1072">
        <f>IF(AND(U1072=0,V1072=0),"",IF(U1072=0,"ODOO-ONLY",IF(V1072=0,"BANK-ONLY","BOTH")))</f>
      </c>
      <c r="X1072" s="9">
        <f>IF(W1072="BOTH",ROUND(S1072-T1072,2),0)</f>
        <v>0</v>
      </c>
      <c r="Y1072" s="9">
        <f>ROUND(SUMIFS('Bank Lines'!$E$5:$E$1640,'Bank Lines'!$G$5:$G$1640,A1072,'Bank Lines'!$J$5:$J$1640,1,'Bank Lines'!$C$5:$C$1640,"&lt;="&amp;Cover!$C$15),2)</f>
        <v>264</v>
      </c>
      <c r="Z1072" s="9">
        <f>ROUND(SUMIFS('Odoo Items'!$G$5:$G$4331,'Odoo Items'!$J$5:$J$4331,A1072,'Odoo Items'!$C$5:$C$4331,"&lt;="&amp;Cover!$C$15),2)</f>
        <v>264</v>
      </c>
      <c r="AA1072">
        <f>COUNTIFS('Bank Lines'!$G$5:$G$1640,A1072,'Bank Lines'!$J$5:$J$1640,1,'Bank Lines'!$C$5:$C$1640,"&lt;="&amp;Cover!$C$15)</f>
        <v>1</v>
      </c>
      <c r="AB1072">
        <f>COUNTIFS('Odoo Items'!$J$5:$J$4331,A1072,'Odoo Items'!$C$5:$C$4331,"&lt;="&amp;Cover!$C$15)</f>
        <v>1</v>
      </c>
      <c r="AC1072" t="str">
        <f>IF(AND(AA1072=0,AB1072=0),"",IF(AA1072=0,"ODOO-ONLY",IF(AB1072=0,"BANK-ONLY","BOTH")))</f>
        <v>BOTH</v>
      </c>
      <c r="AD1072" s="9">
        <f>IF(AC1072="BOTH",ROUND(Y1072-Z1072,2),0)</f>
        <v>0</v>
      </c>
    </row>
    <row r="1073">
      <c r="A1073" t="inlineStr">
        <is>
          <t>G01069</t>
        </is>
      </c>
      <c r="B1073" t="inlineStr">
        <is>
          <t>OPS</t>
        </is>
      </c>
      <c r="C1073" t="inlineStr">
        <is>
          <t>R09</t>
        </is>
      </c>
      <c r="D1073" t="inlineStr">
        <is>
          <t>MATCH</t>
        </is>
      </c>
      <c r="E1073" t="inlineStr">
        <is>
          <t>Copperleaf Childcare</t>
        </is>
      </c>
      <c r="F1073" t="n">
        <v>1</v>
      </c>
      <c r="G1073" t="inlineStr">
        <is>
          <t>Reference INV/2026/03533</t>
        </is>
      </c>
      <c r="H1073">
        <f>COUNTIFS('Bank Lines'!$G$5:$G$1640,A1073,'Bank Lines'!$J$5:$J$1640,1)</f>
        <v>1</v>
      </c>
      <c r="I1073">
        <f>COUNTIFS('Odoo Items'!$J$5:$J$4331,A1073)</f>
        <v>1</v>
      </c>
      <c r="J1073" s="9">
        <f>ROUND(SUMIFS('Bank Lines'!$E$5:$E$1640,'Bank Lines'!$G$5:$G$1640,A1073,'Bank Lines'!$J$5:$J$1640,1),2)</f>
        <v>1471.25</v>
      </c>
      <c r="K1073" s="9">
        <f>ROUND(SUMIFS('Odoo Items'!$G$5:$G$4331,'Odoo Items'!$J$5:$J$4331,A1073),2)</f>
        <v>1471.25</v>
      </c>
      <c r="L1073" s="9">
        <f>ROUND(J1073-K1073,2)</f>
        <v>0</v>
      </c>
      <c r="M1073" s="9">
        <f>ROUND(SUMIFS('Bank Lines'!$E$5:$E$1640,'Bank Lines'!$G$5:$G$1640,A1073,'Bank Lines'!$J$5:$J$1640,1,'Bank Lines'!$C$5:$C$1640,"&lt;="&amp;Cover!$C$13),2)</f>
        <v>0</v>
      </c>
      <c r="N1073" s="9">
        <f>ROUND(SUMIFS('Odoo Items'!$G$5:$G$4331,'Odoo Items'!$J$5:$J$4331,A1073,'Odoo Items'!$C$5:$C$4331,"&lt;="&amp;Cover!$C$13),2)</f>
        <v>0</v>
      </c>
      <c r="O1073">
        <f>COUNTIFS('Bank Lines'!$G$5:$G$1640,A1073,'Bank Lines'!$J$5:$J$1640,1,'Bank Lines'!$C$5:$C$1640,"&lt;="&amp;Cover!$C$13)</f>
        <v>0</v>
      </c>
      <c r="P1073">
        <f>COUNTIFS('Odoo Items'!$J$5:$J$4331,A1073,'Odoo Items'!$C$5:$C$4331,"&lt;="&amp;Cover!$C$13)</f>
        <v>0</v>
      </c>
      <c r="Q1073">
        <f>IF(AND(O1073=0,P1073=0),"",IF(O1073=0,"ODOO-ONLY",IF(P1073=0,"BANK-ONLY","BOTH")))</f>
      </c>
      <c r="R1073" s="9">
        <f>IF(Q1073="BOTH",ROUND(M1073-N1073,2),0)</f>
        <v>0</v>
      </c>
      <c r="S1073" s="9">
        <f>ROUND(SUMIFS('Bank Lines'!$E$5:$E$1640,'Bank Lines'!$G$5:$G$1640,A1073,'Bank Lines'!$J$5:$J$1640,1,'Bank Lines'!$C$5:$C$1640,"&lt;="&amp;Cover!$C$14),2)</f>
        <v>0</v>
      </c>
      <c r="T1073" s="9">
        <f>ROUND(SUMIFS('Odoo Items'!$G$5:$G$4331,'Odoo Items'!$J$5:$J$4331,A1073,'Odoo Items'!$C$5:$C$4331,"&lt;="&amp;Cover!$C$14),2)</f>
        <v>0</v>
      </c>
      <c r="U1073">
        <f>COUNTIFS('Bank Lines'!$G$5:$G$1640,A1073,'Bank Lines'!$J$5:$J$1640,1,'Bank Lines'!$C$5:$C$1640,"&lt;="&amp;Cover!$C$14)</f>
        <v>0</v>
      </c>
      <c r="V1073">
        <f>COUNTIFS('Odoo Items'!$J$5:$J$4331,A1073,'Odoo Items'!$C$5:$C$4331,"&lt;="&amp;Cover!$C$14)</f>
        <v>0</v>
      </c>
      <c r="W1073">
        <f>IF(AND(U1073=0,V1073=0),"",IF(U1073=0,"ODOO-ONLY",IF(V1073=0,"BANK-ONLY","BOTH")))</f>
      </c>
      <c r="X1073" s="9">
        <f>IF(W1073="BOTH",ROUND(S1073-T1073,2),0)</f>
        <v>0</v>
      </c>
      <c r="Y1073" s="9">
        <f>ROUND(SUMIFS('Bank Lines'!$E$5:$E$1640,'Bank Lines'!$G$5:$G$1640,A1073,'Bank Lines'!$J$5:$J$1640,1,'Bank Lines'!$C$5:$C$1640,"&lt;="&amp;Cover!$C$15),2)</f>
        <v>1471.25</v>
      </c>
      <c r="Z1073" s="9">
        <f>ROUND(SUMIFS('Odoo Items'!$G$5:$G$4331,'Odoo Items'!$J$5:$J$4331,A1073,'Odoo Items'!$C$5:$C$4331,"&lt;="&amp;Cover!$C$15),2)</f>
        <v>1471.25</v>
      </c>
      <c r="AA1073">
        <f>COUNTIFS('Bank Lines'!$G$5:$G$1640,A1073,'Bank Lines'!$J$5:$J$1640,1,'Bank Lines'!$C$5:$C$1640,"&lt;="&amp;Cover!$C$15)</f>
        <v>1</v>
      </c>
      <c r="AB1073">
        <f>COUNTIFS('Odoo Items'!$J$5:$J$4331,A1073,'Odoo Items'!$C$5:$C$4331,"&lt;="&amp;Cover!$C$15)</f>
        <v>1</v>
      </c>
      <c r="AC1073" t="str">
        <f>IF(AND(AA1073=0,AB1073=0),"",IF(AA1073=0,"ODOO-ONLY",IF(AB1073=0,"BANK-ONLY","BOTH")))</f>
        <v>BOTH</v>
      </c>
      <c r="AD1073" s="9">
        <f>IF(AC1073="BOTH",ROUND(Y1073-Z1073,2),0)</f>
        <v>0</v>
      </c>
    </row>
    <row r="1074">
      <c r="A1074" t="inlineStr">
        <is>
          <t>G01070</t>
        </is>
      </c>
      <c r="B1074" t="inlineStr">
        <is>
          <t>OPS</t>
        </is>
      </c>
      <c r="C1074" t="inlineStr">
        <is>
          <t>R09</t>
        </is>
      </c>
      <c r="D1074" t="inlineStr">
        <is>
          <t>MATCH</t>
        </is>
      </c>
      <c r="E1074" t="inlineStr">
        <is>
          <t>Cobblestone Retail Group</t>
        </is>
      </c>
      <c r="F1074" t="n">
        <v>1</v>
      </c>
      <c r="G1074" t="inlineStr">
        <is>
          <t>Reference INV/2026/03545</t>
        </is>
      </c>
      <c r="H1074">
        <f>COUNTIFS('Bank Lines'!$G$5:$G$1640,A1074,'Bank Lines'!$J$5:$J$1640,1)</f>
        <v>1</v>
      </c>
      <c r="I1074">
        <f>COUNTIFS('Odoo Items'!$J$5:$J$4331,A1074)</f>
        <v>1</v>
      </c>
      <c r="J1074" s="9">
        <f>ROUND(SUMIFS('Bank Lines'!$E$5:$E$1640,'Bank Lines'!$G$5:$G$1640,A1074,'Bank Lines'!$J$5:$J$1640,1),2)</f>
        <v>15950</v>
      </c>
      <c r="K1074" s="9">
        <f>ROUND(SUMIFS('Odoo Items'!$G$5:$G$4331,'Odoo Items'!$J$5:$J$4331,A1074),2)</f>
        <v>15950</v>
      </c>
      <c r="L1074" s="9">
        <f>ROUND(J1074-K1074,2)</f>
        <v>0</v>
      </c>
      <c r="M1074" s="9">
        <f>ROUND(SUMIFS('Bank Lines'!$E$5:$E$1640,'Bank Lines'!$G$5:$G$1640,A1074,'Bank Lines'!$J$5:$J$1640,1,'Bank Lines'!$C$5:$C$1640,"&lt;="&amp;Cover!$C$13),2)</f>
        <v>0</v>
      </c>
      <c r="N1074" s="9">
        <f>ROUND(SUMIFS('Odoo Items'!$G$5:$G$4331,'Odoo Items'!$J$5:$J$4331,A1074,'Odoo Items'!$C$5:$C$4331,"&lt;="&amp;Cover!$C$13),2)</f>
        <v>0</v>
      </c>
      <c r="O1074">
        <f>COUNTIFS('Bank Lines'!$G$5:$G$1640,A1074,'Bank Lines'!$J$5:$J$1640,1,'Bank Lines'!$C$5:$C$1640,"&lt;="&amp;Cover!$C$13)</f>
        <v>0</v>
      </c>
      <c r="P1074">
        <f>COUNTIFS('Odoo Items'!$J$5:$J$4331,A1074,'Odoo Items'!$C$5:$C$4331,"&lt;="&amp;Cover!$C$13)</f>
        <v>0</v>
      </c>
      <c r="Q1074">
        <f>IF(AND(O1074=0,P1074=0),"",IF(O1074=0,"ODOO-ONLY",IF(P1074=0,"BANK-ONLY","BOTH")))</f>
      </c>
      <c r="R1074" s="9">
        <f>IF(Q1074="BOTH",ROUND(M1074-N1074,2),0)</f>
        <v>0</v>
      </c>
      <c r="S1074" s="9">
        <f>ROUND(SUMIFS('Bank Lines'!$E$5:$E$1640,'Bank Lines'!$G$5:$G$1640,A1074,'Bank Lines'!$J$5:$J$1640,1,'Bank Lines'!$C$5:$C$1640,"&lt;="&amp;Cover!$C$14),2)</f>
        <v>0</v>
      </c>
      <c r="T1074" s="9">
        <f>ROUND(SUMIFS('Odoo Items'!$G$5:$G$4331,'Odoo Items'!$J$5:$J$4331,A1074,'Odoo Items'!$C$5:$C$4331,"&lt;="&amp;Cover!$C$14),2)</f>
        <v>0</v>
      </c>
      <c r="U1074">
        <f>COUNTIFS('Bank Lines'!$G$5:$G$1640,A1074,'Bank Lines'!$J$5:$J$1640,1,'Bank Lines'!$C$5:$C$1640,"&lt;="&amp;Cover!$C$14)</f>
        <v>0</v>
      </c>
      <c r="V1074">
        <f>COUNTIFS('Odoo Items'!$J$5:$J$4331,A1074,'Odoo Items'!$C$5:$C$4331,"&lt;="&amp;Cover!$C$14)</f>
        <v>0</v>
      </c>
      <c r="W1074">
        <f>IF(AND(U1074=0,V1074=0),"",IF(U1074=0,"ODOO-ONLY",IF(V1074=0,"BANK-ONLY","BOTH")))</f>
      </c>
      <c r="X1074" s="9">
        <f>IF(W1074="BOTH",ROUND(S1074-T1074,2),0)</f>
        <v>0</v>
      </c>
      <c r="Y1074" s="9">
        <f>ROUND(SUMIFS('Bank Lines'!$E$5:$E$1640,'Bank Lines'!$G$5:$G$1640,A1074,'Bank Lines'!$J$5:$J$1640,1,'Bank Lines'!$C$5:$C$1640,"&lt;="&amp;Cover!$C$15),2)</f>
        <v>15950</v>
      </c>
      <c r="Z1074" s="9">
        <f>ROUND(SUMIFS('Odoo Items'!$G$5:$G$4331,'Odoo Items'!$J$5:$J$4331,A1074,'Odoo Items'!$C$5:$C$4331,"&lt;="&amp;Cover!$C$15),2)</f>
        <v>15950</v>
      </c>
      <c r="AA1074">
        <f>COUNTIFS('Bank Lines'!$G$5:$G$1640,A1074,'Bank Lines'!$J$5:$J$1640,1,'Bank Lines'!$C$5:$C$1640,"&lt;="&amp;Cover!$C$15)</f>
        <v>1</v>
      </c>
      <c r="AB1074">
        <f>COUNTIFS('Odoo Items'!$J$5:$J$4331,A1074,'Odoo Items'!$C$5:$C$4331,"&lt;="&amp;Cover!$C$15)</f>
        <v>1</v>
      </c>
      <c r="AC1074" t="str">
        <f>IF(AND(AA1074=0,AB1074=0),"",IF(AA1074=0,"ODOO-ONLY",IF(AB1074=0,"BANK-ONLY","BOTH")))</f>
        <v>BOTH</v>
      </c>
      <c r="AD1074" s="9">
        <f>IF(AC1074="BOTH",ROUND(Y1074-Z1074,2),0)</f>
        <v>0</v>
      </c>
    </row>
    <row r="1075">
      <c r="A1075" t="inlineStr">
        <is>
          <t>G01071</t>
        </is>
      </c>
      <c r="B1075" t="inlineStr">
        <is>
          <t>OPS</t>
        </is>
      </c>
      <c r="C1075" t="inlineStr">
        <is>
          <t>R09</t>
        </is>
      </c>
      <c r="D1075" t="inlineStr">
        <is>
          <t>MATCH</t>
        </is>
      </c>
      <c r="E1075" t="inlineStr">
        <is>
          <t>Fairlie Bros Plumbing</t>
        </is>
      </c>
      <c r="F1075" t="n">
        <v>1</v>
      </c>
      <c r="G1075" t="inlineStr">
        <is>
          <t>Reference INV/2026/03550</t>
        </is>
      </c>
      <c r="H1075">
        <f>COUNTIFS('Bank Lines'!$G$5:$G$1640,A1075,'Bank Lines'!$J$5:$J$1640,1)</f>
        <v>1</v>
      </c>
      <c r="I1075">
        <f>COUNTIFS('Odoo Items'!$J$5:$J$4331,A1075)</f>
        <v>1</v>
      </c>
      <c r="J1075" s="9">
        <f>ROUND(SUMIFS('Bank Lines'!$E$5:$E$1640,'Bank Lines'!$G$5:$G$1640,A1075,'Bank Lines'!$J$5:$J$1640,1),2)</f>
        <v>10807.5</v>
      </c>
      <c r="K1075" s="9">
        <f>ROUND(SUMIFS('Odoo Items'!$G$5:$G$4331,'Odoo Items'!$J$5:$J$4331,A1075),2)</f>
        <v>10807.5</v>
      </c>
      <c r="L1075" s="9">
        <f>ROUND(J1075-K1075,2)</f>
        <v>0</v>
      </c>
      <c r="M1075" s="9">
        <f>ROUND(SUMIFS('Bank Lines'!$E$5:$E$1640,'Bank Lines'!$G$5:$G$1640,A1075,'Bank Lines'!$J$5:$J$1640,1,'Bank Lines'!$C$5:$C$1640,"&lt;="&amp;Cover!$C$13),2)</f>
        <v>0</v>
      </c>
      <c r="N1075" s="9">
        <f>ROUND(SUMIFS('Odoo Items'!$G$5:$G$4331,'Odoo Items'!$J$5:$J$4331,A1075,'Odoo Items'!$C$5:$C$4331,"&lt;="&amp;Cover!$C$13),2)</f>
        <v>0</v>
      </c>
      <c r="O1075">
        <f>COUNTIFS('Bank Lines'!$G$5:$G$1640,A1075,'Bank Lines'!$J$5:$J$1640,1,'Bank Lines'!$C$5:$C$1640,"&lt;="&amp;Cover!$C$13)</f>
        <v>0</v>
      </c>
      <c r="P1075">
        <f>COUNTIFS('Odoo Items'!$J$5:$J$4331,A1075,'Odoo Items'!$C$5:$C$4331,"&lt;="&amp;Cover!$C$13)</f>
        <v>0</v>
      </c>
      <c r="Q1075">
        <f>IF(AND(O1075=0,P1075=0),"",IF(O1075=0,"ODOO-ONLY",IF(P1075=0,"BANK-ONLY","BOTH")))</f>
      </c>
      <c r="R1075" s="9">
        <f>IF(Q1075="BOTH",ROUND(M1075-N1075,2),0)</f>
        <v>0</v>
      </c>
      <c r="S1075" s="9">
        <f>ROUND(SUMIFS('Bank Lines'!$E$5:$E$1640,'Bank Lines'!$G$5:$G$1640,A1075,'Bank Lines'!$J$5:$J$1640,1,'Bank Lines'!$C$5:$C$1640,"&lt;="&amp;Cover!$C$14),2)</f>
        <v>0</v>
      </c>
      <c r="T1075" s="9">
        <f>ROUND(SUMIFS('Odoo Items'!$G$5:$G$4331,'Odoo Items'!$J$5:$J$4331,A1075,'Odoo Items'!$C$5:$C$4331,"&lt;="&amp;Cover!$C$14),2)</f>
        <v>0</v>
      </c>
      <c r="U1075">
        <f>COUNTIFS('Bank Lines'!$G$5:$G$1640,A1075,'Bank Lines'!$J$5:$J$1640,1,'Bank Lines'!$C$5:$C$1640,"&lt;="&amp;Cover!$C$14)</f>
        <v>0</v>
      </c>
      <c r="V1075">
        <f>COUNTIFS('Odoo Items'!$J$5:$J$4331,A1075,'Odoo Items'!$C$5:$C$4331,"&lt;="&amp;Cover!$C$14)</f>
        <v>0</v>
      </c>
      <c r="W1075">
        <f>IF(AND(U1075=0,V1075=0),"",IF(U1075=0,"ODOO-ONLY",IF(V1075=0,"BANK-ONLY","BOTH")))</f>
      </c>
      <c r="X1075" s="9">
        <f>IF(W1075="BOTH",ROUND(S1075-T1075,2),0)</f>
        <v>0</v>
      </c>
      <c r="Y1075" s="9">
        <f>ROUND(SUMIFS('Bank Lines'!$E$5:$E$1640,'Bank Lines'!$G$5:$G$1640,A1075,'Bank Lines'!$J$5:$J$1640,1,'Bank Lines'!$C$5:$C$1640,"&lt;="&amp;Cover!$C$15),2)</f>
        <v>10807.5</v>
      </c>
      <c r="Z1075" s="9">
        <f>ROUND(SUMIFS('Odoo Items'!$G$5:$G$4331,'Odoo Items'!$J$5:$J$4331,A1075,'Odoo Items'!$C$5:$C$4331,"&lt;="&amp;Cover!$C$15),2)</f>
        <v>10807.5</v>
      </c>
      <c r="AA1075">
        <f>COUNTIFS('Bank Lines'!$G$5:$G$1640,A1075,'Bank Lines'!$J$5:$J$1640,1,'Bank Lines'!$C$5:$C$1640,"&lt;="&amp;Cover!$C$15)</f>
        <v>1</v>
      </c>
      <c r="AB1075">
        <f>COUNTIFS('Odoo Items'!$J$5:$J$4331,A1075,'Odoo Items'!$C$5:$C$4331,"&lt;="&amp;Cover!$C$15)</f>
        <v>1</v>
      </c>
      <c r="AC1075" t="str">
        <f>IF(AND(AA1075=0,AB1075=0),"",IF(AA1075=0,"ODOO-ONLY",IF(AB1075=0,"BANK-ONLY","BOTH")))</f>
        <v>BOTH</v>
      </c>
      <c r="AD1075" s="9">
        <f>IF(AC1075="BOTH",ROUND(Y1075-Z1075,2),0)</f>
        <v>0</v>
      </c>
    </row>
    <row r="1076">
      <c r="A1076" t="inlineStr">
        <is>
          <t>G01072</t>
        </is>
      </c>
      <c r="B1076" t="inlineStr">
        <is>
          <t>OPS</t>
        </is>
      </c>
      <c r="C1076" t="inlineStr">
        <is>
          <t>R09</t>
        </is>
      </c>
      <c r="D1076" t="inlineStr">
        <is>
          <t>MATCH</t>
        </is>
      </c>
      <c r="E1076" t="inlineStr">
        <is>
          <t>Brightwater Civil Pty Ltd</t>
        </is>
      </c>
      <c r="F1076" t="n">
        <v>1</v>
      </c>
      <c r="G1076" t="inlineStr">
        <is>
          <t>Reference INV/2026/03517</t>
        </is>
      </c>
      <c r="H1076">
        <f>COUNTIFS('Bank Lines'!$G$5:$G$1640,A1076,'Bank Lines'!$J$5:$J$1640,1)</f>
        <v>1</v>
      </c>
      <c r="I1076">
        <f>COUNTIFS('Odoo Items'!$J$5:$J$4331,A1076)</f>
        <v>1</v>
      </c>
      <c r="J1076" s="9">
        <f>ROUND(SUMIFS('Bank Lines'!$E$5:$E$1640,'Bank Lines'!$G$5:$G$1640,A1076,'Bank Lines'!$J$5:$J$1640,1),2)</f>
        <v>3465</v>
      </c>
      <c r="K1076" s="9">
        <f>ROUND(SUMIFS('Odoo Items'!$G$5:$G$4331,'Odoo Items'!$J$5:$J$4331,A1076),2)</f>
        <v>3465</v>
      </c>
      <c r="L1076" s="9">
        <f>ROUND(J1076-K1076,2)</f>
        <v>0</v>
      </c>
      <c r="M1076" s="9">
        <f>ROUND(SUMIFS('Bank Lines'!$E$5:$E$1640,'Bank Lines'!$G$5:$G$1640,A1076,'Bank Lines'!$J$5:$J$1640,1,'Bank Lines'!$C$5:$C$1640,"&lt;="&amp;Cover!$C$13),2)</f>
        <v>0</v>
      </c>
      <c r="N1076" s="9">
        <f>ROUND(SUMIFS('Odoo Items'!$G$5:$G$4331,'Odoo Items'!$J$5:$J$4331,A1076,'Odoo Items'!$C$5:$C$4331,"&lt;="&amp;Cover!$C$13),2)</f>
        <v>0</v>
      </c>
      <c r="O1076">
        <f>COUNTIFS('Bank Lines'!$G$5:$G$1640,A1076,'Bank Lines'!$J$5:$J$1640,1,'Bank Lines'!$C$5:$C$1640,"&lt;="&amp;Cover!$C$13)</f>
        <v>0</v>
      </c>
      <c r="P1076">
        <f>COUNTIFS('Odoo Items'!$J$5:$J$4331,A1076,'Odoo Items'!$C$5:$C$4331,"&lt;="&amp;Cover!$C$13)</f>
        <v>0</v>
      </c>
      <c r="Q1076">
        <f>IF(AND(O1076=0,P1076=0),"",IF(O1076=0,"ODOO-ONLY",IF(P1076=0,"BANK-ONLY","BOTH")))</f>
      </c>
      <c r="R1076" s="9">
        <f>IF(Q1076="BOTH",ROUND(M1076-N1076,2),0)</f>
        <v>0</v>
      </c>
      <c r="S1076" s="9">
        <f>ROUND(SUMIFS('Bank Lines'!$E$5:$E$1640,'Bank Lines'!$G$5:$G$1640,A1076,'Bank Lines'!$J$5:$J$1640,1,'Bank Lines'!$C$5:$C$1640,"&lt;="&amp;Cover!$C$14),2)</f>
        <v>0</v>
      </c>
      <c r="T1076" s="9">
        <f>ROUND(SUMIFS('Odoo Items'!$G$5:$G$4331,'Odoo Items'!$J$5:$J$4331,A1076,'Odoo Items'!$C$5:$C$4331,"&lt;="&amp;Cover!$C$14),2)</f>
        <v>0</v>
      </c>
      <c r="U1076">
        <f>COUNTIFS('Bank Lines'!$G$5:$G$1640,A1076,'Bank Lines'!$J$5:$J$1640,1,'Bank Lines'!$C$5:$C$1640,"&lt;="&amp;Cover!$C$14)</f>
        <v>0</v>
      </c>
      <c r="V1076">
        <f>COUNTIFS('Odoo Items'!$J$5:$J$4331,A1076,'Odoo Items'!$C$5:$C$4331,"&lt;="&amp;Cover!$C$14)</f>
        <v>0</v>
      </c>
      <c r="W1076">
        <f>IF(AND(U1076=0,V1076=0),"",IF(U1076=0,"ODOO-ONLY",IF(V1076=0,"BANK-ONLY","BOTH")))</f>
      </c>
      <c r="X1076" s="9">
        <f>IF(W1076="BOTH",ROUND(S1076-T1076,2),0)</f>
        <v>0</v>
      </c>
      <c r="Y1076" s="9">
        <f>ROUND(SUMIFS('Bank Lines'!$E$5:$E$1640,'Bank Lines'!$G$5:$G$1640,A1076,'Bank Lines'!$J$5:$J$1640,1,'Bank Lines'!$C$5:$C$1640,"&lt;="&amp;Cover!$C$15),2)</f>
        <v>3465</v>
      </c>
      <c r="Z1076" s="9">
        <f>ROUND(SUMIFS('Odoo Items'!$G$5:$G$4331,'Odoo Items'!$J$5:$J$4331,A1076,'Odoo Items'!$C$5:$C$4331,"&lt;="&amp;Cover!$C$15),2)</f>
        <v>3465</v>
      </c>
      <c r="AA1076">
        <f>COUNTIFS('Bank Lines'!$G$5:$G$1640,A1076,'Bank Lines'!$J$5:$J$1640,1,'Bank Lines'!$C$5:$C$1640,"&lt;="&amp;Cover!$C$15)</f>
        <v>1</v>
      </c>
      <c r="AB1076">
        <f>COUNTIFS('Odoo Items'!$J$5:$J$4331,A1076,'Odoo Items'!$C$5:$C$4331,"&lt;="&amp;Cover!$C$15)</f>
        <v>1</v>
      </c>
      <c r="AC1076" t="str">
        <f>IF(AND(AA1076=0,AB1076=0),"",IF(AA1076=0,"ODOO-ONLY",IF(AB1076=0,"BANK-ONLY","BOTH")))</f>
        <v>BOTH</v>
      </c>
      <c r="AD1076" s="9">
        <f>IF(AC1076="BOTH",ROUND(Y1076-Z1076,2),0)</f>
        <v>0</v>
      </c>
    </row>
    <row r="1077">
      <c r="A1077" t="inlineStr">
        <is>
          <t>G01073</t>
        </is>
      </c>
      <c r="B1077" t="inlineStr">
        <is>
          <t>OPS</t>
        </is>
      </c>
      <c r="C1077" t="inlineStr">
        <is>
          <t>R09</t>
        </is>
      </c>
      <c r="D1077" t="inlineStr">
        <is>
          <t>MATCH</t>
        </is>
      </c>
      <c r="E1077" t="inlineStr">
        <is>
          <t>Quillon Engineering</t>
        </is>
      </c>
      <c r="F1077" t="n">
        <v>1</v>
      </c>
      <c r="G1077" t="inlineStr">
        <is>
          <t>Reference INV/2026/03530</t>
        </is>
      </c>
      <c r="H1077">
        <f>COUNTIFS('Bank Lines'!$G$5:$G$1640,A1077,'Bank Lines'!$J$5:$J$1640,1)</f>
        <v>1</v>
      </c>
      <c r="I1077">
        <f>COUNTIFS('Odoo Items'!$J$5:$J$4331,A1077)</f>
        <v>1</v>
      </c>
      <c r="J1077" s="9">
        <f>ROUND(SUMIFS('Bank Lines'!$E$5:$E$1640,'Bank Lines'!$G$5:$G$1640,A1077,'Bank Lines'!$J$5:$J$1640,1),2)</f>
        <v>2186.25</v>
      </c>
      <c r="K1077" s="9">
        <f>ROUND(SUMIFS('Odoo Items'!$G$5:$G$4331,'Odoo Items'!$J$5:$J$4331,A1077),2)</f>
        <v>2186.25</v>
      </c>
      <c r="L1077" s="9">
        <f>ROUND(J1077-K1077,2)</f>
        <v>0</v>
      </c>
      <c r="M1077" s="9">
        <f>ROUND(SUMIFS('Bank Lines'!$E$5:$E$1640,'Bank Lines'!$G$5:$G$1640,A1077,'Bank Lines'!$J$5:$J$1640,1,'Bank Lines'!$C$5:$C$1640,"&lt;="&amp;Cover!$C$13),2)</f>
        <v>0</v>
      </c>
      <c r="N1077" s="9">
        <f>ROUND(SUMIFS('Odoo Items'!$G$5:$G$4331,'Odoo Items'!$J$5:$J$4331,A1077,'Odoo Items'!$C$5:$C$4331,"&lt;="&amp;Cover!$C$13),2)</f>
        <v>0</v>
      </c>
      <c r="O1077">
        <f>COUNTIFS('Bank Lines'!$G$5:$G$1640,A1077,'Bank Lines'!$J$5:$J$1640,1,'Bank Lines'!$C$5:$C$1640,"&lt;="&amp;Cover!$C$13)</f>
        <v>0</v>
      </c>
      <c r="P1077">
        <f>COUNTIFS('Odoo Items'!$J$5:$J$4331,A1077,'Odoo Items'!$C$5:$C$4331,"&lt;="&amp;Cover!$C$13)</f>
        <v>0</v>
      </c>
      <c r="Q1077">
        <f>IF(AND(O1077=0,P1077=0),"",IF(O1077=0,"ODOO-ONLY",IF(P1077=0,"BANK-ONLY","BOTH")))</f>
      </c>
      <c r="R1077" s="9">
        <f>IF(Q1077="BOTH",ROUND(M1077-N1077,2),0)</f>
        <v>0</v>
      </c>
      <c r="S1077" s="9">
        <f>ROUND(SUMIFS('Bank Lines'!$E$5:$E$1640,'Bank Lines'!$G$5:$G$1640,A1077,'Bank Lines'!$J$5:$J$1640,1,'Bank Lines'!$C$5:$C$1640,"&lt;="&amp;Cover!$C$14),2)</f>
        <v>0</v>
      </c>
      <c r="T1077" s="9">
        <f>ROUND(SUMIFS('Odoo Items'!$G$5:$G$4331,'Odoo Items'!$J$5:$J$4331,A1077,'Odoo Items'!$C$5:$C$4331,"&lt;="&amp;Cover!$C$14),2)</f>
        <v>0</v>
      </c>
      <c r="U1077">
        <f>COUNTIFS('Bank Lines'!$G$5:$G$1640,A1077,'Bank Lines'!$J$5:$J$1640,1,'Bank Lines'!$C$5:$C$1640,"&lt;="&amp;Cover!$C$14)</f>
        <v>0</v>
      </c>
      <c r="V1077">
        <f>COUNTIFS('Odoo Items'!$J$5:$J$4331,A1077,'Odoo Items'!$C$5:$C$4331,"&lt;="&amp;Cover!$C$14)</f>
        <v>0</v>
      </c>
      <c r="W1077">
        <f>IF(AND(U1077=0,V1077=0),"",IF(U1077=0,"ODOO-ONLY",IF(V1077=0,"BANK-ONLY","BOTH")))</f>
      </c>
      <c r="X1077" s="9">
        <f>IF(W1077="BOTH",ROUND(S1077-T1077,2),0)</f>
        <v>0</v>
      </c>
      <c r="Y1077" s="9">
        <f>ROUND(SUMIFS('Bank Lines'!$E$5:$E$1640,'Bank Lines'!$G$5:$G$1640,A1077,'Bank Lines'!$J$5:$J$1640,1,'Bank Lines'!$C$5:$C$1640,"&lt;="&amp;Cover!$C$15),2)</f>
        <v>2186.25</v>
      </c>
      <c r="Z1077" s="9">
        <f>ROUND(SUMIFS('Odoo Items'!$G$5:$G$4331,'Odoo Items'!$J$5:$J$4331,A1077,'Odoo Items'!$C$5:$C$4331,"&lt;="&amp;Cover!$C$15),2)</f>
        <v>2186.25</v>
      </c>
      <c r="AA1077">
        <f>COUNTIFS('Bank Lines'!$G$5:$G$1640,A1077,'Bank Lines'!$J$5:$J$1640,1,'Bank Lines'!$C$5:$C$1640,"&lt;="&amp;Cover!$C$15)</f>
        <v>1</v>
      </c>
      <c r="AB1077">
        <f>COUNTIFS('Odoo Items'!$J$5:$J$4331,A1077,'Odoo Items'!$C$5:$C$4331,"&lt;="&amp;Cover!$C$15)</f>
        <v>1</v>
      </c>
      <c r="AC1077" t="str">
        <f>IF(AND(AA1077=0,AB1077=0),"",IF(AA1077=0,"ODOO-ONLY",IF(AB1077=0,"BANK-ONLY","BOTH")))</f>
        <v>BOTH</v>
      </c>
      <c r="AD1077" s="9">
        <f>IF(AC1077="BOTH",ROUND(Y1077-Z1077,2),0)</f>
        <v>0</v>
      </c>
    </row>
    <row r="1078">
      <c r="A1078" t="inlineStr">
        <is>
          <t>G01074</t>
        </is>
      </c>
      <c r="B1078" t="inlineStr">
        <is>
          <t>OPS</t>
        </is>
      </c>
      <c r="C1078" t="inlineStr">
        <is>
          <t>R09</t>
        </is>
      </c>
      <c r="D1078" t="inlineStr">
        <is>
          <t>MATCH</t>
        </is>
      </c>
      <c r="E1078" t="inlineStr">
        <is>
          <t>Copperleaf Childcare</t>
        </is>
      </c>
      <c r="F1078" t="n">
        <v>0.974</v>
      </c>
      <c r="G1078" t="inlineStr">
        <is>
          <t>Reference INV/2026/03534</t>
        </is>
      </c>
      <c r="H1078">
        <f>COUNTIFS('Bank Lines'!$G$5:$G$1640,A1078,'Bank Lines'!$J$5:$J$1640,1)</f>
        <v>1</v>
      </c>
      <c r="I1078">
        <f>COUNTIFS('Odoo Items'!$J$5:$J$4331,A1078)</f>
        <v>1</v>
      </c>
      <c r="J1078" s="9">
        <f>ROUND(SUMIFS('Bank Lines'!$E$5:$E$1640,'Bank Lines'!$G$5:$G$1640,A1078,'Bank Lines'!$J$5:$J$1640,1),2)</f>
        <v>3465</v>
      </c>
      <c r="K1078" s="9">
        <f>ROUND(SUMIFS('Odoo Items'!$G$5:$G$4331,'Odoo Items'!$J$5:$J$4331,A1078),2)</f>
        <v>3465</v>
      </c>
      <c r="L1078" s="9">
        <f>ROUND(J1078-K1078,2)</f>
        <v>0</v>
      </c>
      <c r="M1078" s="9">
        <f>ROUND(SUMIFS('Bank Lines'!$E$5:$E$1640,'Bank Lines'!$G$5:$G$1640,A1078,'Bank Lines'!$J$5:$J$1640,1,'Bank Lines'!$C$5:$C$1640,"&lt;="&amp;Cover!$C$13),2)</f>
        <v>0</v>
      </c>
      <c r="N1078" s="9">
        <f>ROUND(SUMIFS('Odoo Items'!$G$5:$G$4331,'Odoo Items'!$J$5:$J$4331,A1078,'Odoo Items'!$C$5:$C$4331,"&lt;="&amp;Cover!$C$13),2)</f>
        <v>0</v>
      </c>
      <c r="O1078">
        <f>COUNTIFS('Bank Lines'!$G$5:$G$1640,A1078,'Bank Lines'!$J$5:$J$1640,1,'Bank Lines'!$C$5:$C$1640,"&lt;="&amp;Cover!$C$13)</f>
        <v>0</v>
      </c>
      <c r="P1078">
        <f>COUNTIFS('Odoo Items'!$J$5:$J$4331,A1078,'Odoo Items'!$C$5:$C$4331,"&lt;="&amp;Cover!$C$13)</f>
        <v>0</v>
      </c>
      <c r="Q1078">
        <f>IF(AND(O1078=0,P1078=0),"",IF(O1078=0,"ODOO-ONLY",IF(P1078=0,"BANK-ONLY","BOTH")))</f>
      </c>
      <c r="R1078" s="9">
        <f>IF(Q1078="BOTH",ROUND(M1078-N1078,2),0)</f>
        <v>0</v>
      </c>
      <c r="S1078" s="9">
        <f>ROUND(SUMIFS('Bank Lines'!$E$5:$E$1640,'Bank Lines'!$G$5:$G$1640,A1078,'Bank Lines'!$J$5:$J$1640,1,'Bank Lines'!$C$5:$C$1640,"&lt;="&amp;Cover!$C$14),2)</f>
        <v>0</v>
      </c>
      <c r="T1078" s="9">
        <f>ROUND(SUMIFS('Odoo Items'!$G$5:$G$4331,'Odoo Items'!$J$5:$J$4331,A1078,'Odoo Items'!$C$5:$C$4331,"&lt;="&amp;Cover!$C$14),2)</f>
        <v>0</v>
      </c>
      <c r="U1078">
        <f>COUNTIFS('Bank Lines'!$G$5:$G$1640,A1078,'Bank Lines'!$J$5:$J$1640,1,'Bank Lines'!$C$5:$C$1640,"&lt;="&amp;Cover!$C$14)</f>
        <v>0</v>
      </c>
      <c r="V1078">
        <f>COUNTIFS('Odoo Items'!$J$5:$J$4331,A1078,'Odoo Items'!$C$5:$C$4331,"&lt;="&amp;Cover!$C$14)</f>
        <v>0</v>
      </c>
      <c r="W1078">
        <f>IF(AND(U1078=0,V1078=0),"",IF(U1078=0,"ODOO-ONLY",IF(V1078=0,"BANK-ONLY","BOTH")))</f>
      </c>
      <c r="X1078" s="9">
        <f>IF(W1078="BOTH",ROUND(S1078-T1078,2),0)</f>
        <v>0</v>
      </c>
      <c r="Y1078" s="9">
        <f>ROUND(SUMIFS('Bank Lines'!$E$5:$E$1640,'Bank Lines'!$G$5:$G$1640,A1078,'Bank Lines'!$J$5:$J$1640,1,'Bank Lines'!$C$5:$C$1640,"&lt;="&amp;Cover!$C$15),2)</f>
        <v>3465</v>
      </c>
      <c r="Z1078" s="9">
        <f>ROUND(SUMIFS('Odoo Items'!$G$5:$G$4331,'Odoo Items'!$J$5:$J$4331,A1078,'Odoo Items'!$C$5:$C$4331,"&lt;="&amp;Cover!$C$15),2)</f>
        <v>3465</v>
      </c>
      <c r="AA1078">
        <f>COUNTIFS('Bank Lines'!$G$5:$G$1640,A1078,'Bank Lines'!$J$5:$J$1640,1,'Bank Lines'!$C$5:$C$1640,"&lt;="&amp;Cover!$C$15)</f>
        <v>1</v>
      </c>
      <c r="AB1078">
        <f>COUNTIFS('Odoo Items'!$J$5:$J$4331,A1078,'Odoo Items'!$C$5:$C$4331,"&lt;="&amp;Cover!$C$15)</f>
        <v>1</v>
      </c>
      <c r="AC1078" t="str">
        <f>IF(AND(AA1078=0,AB1078=0),"",IF(AA1078=0,"ODOO-ONLY",IF(AB1078=0,"BANK-ONLY","BOTH")))</f>
        <v>BOTH</v>
      </c>
      <c r="AD1078" s="9">
        <f>IF(AC1078="BOTH",ROUND(Y1078-Z1078,2),0)</f>
        <v>0</v>
      </c>
    </row>
    <row r="1079">
      <c r="A1079" t="inlineStr">
        <is>
          <t>G01075</t>
        </is>
      </c>
      <c r="B1079" t="inlineStr">
        <is>
          <t>OPS</t>
        </is>
      </c>
      <c r="C1079" t="inlineStr">
        <is>
          <t>R09</t>
        </is>
      </c>
      <c r="D1079" t="inlineStr">
        <is>
          <t>MATCH</t>
        </is>
      </c>
      <c r="E1079" t="inlineStr">
        <is>
          <t>Unity Workcover Agents</t>
        </is>
      </c>
      <c r="F1079" t="n">
        <v>1</v>
      </c>
      <c r="G1079" t="inlineStr">
        <is>
          <t>Reference INV/2026/02902</t>
        </is>
      </c>
      <c r="H1079">
        <f>COUNTIFS('Bank Lines'!$G$5:$G$1640,A1079,'Bank Lines'!$J$5:$J$1640,1)</f>
        <v>1</v>
      </c>
      <c r="I1079">
        <f>COUNTIFS('Odoo Items'!$J$5:$J$4331,A1079)</f>
        <v>1</v>
      </c>
      <c r="J1079" s="9">
        <f>ROUND(SUMIFS('Bank Lines'!$E$5:$E$1640,'Bank Lines'!$G$5:$G$1640,A1079,'Bank Lines'!$J$5:$J$1640,1),2)</f>
        <v>132</v>
      </c>
      <c r="K1079" s="9">
        <f>ROUND(SUMIFS('Odoo Items'!$G$5:$G$4331,'Odoo Items'!$J$5:$J$4331,A1079),2)</f>
        <v>132</v>
      </c>
      <c r="L1079" s="9">
        <f>ROUND(J1079-K1079,2)</f>
        <v>0</v>
      </c>
      <c r="M1079" s="9">
        <f>ROUND(SUMIFS('Bank Lines'!$E$5:$E$1640,'Bank Lines'!$G$5:$G$1640,A1079,'Bank Lines'!$J$5:$J$1640,1,'Bank Lines'!$C$5:$C$1640,"&lt;="&amp;Cover!$C$13),2)</f>
        <v>0</v>
      </c>
      <c r="N1079" s="9">
        <f>ROUND(SUMIFS('Odoo Items'!$G$5:$G$4331,'Odoo Items'!$J$5:$J$4331,A1079,'Odoo Items'!$C$5:$C$4331,"&lt;="&amp;Cover!$C$13),2)</f>
        <v>0</v>
      </c>
      <c r="O1079">
        <f>COUNTIFS('Bank Lines'!$G$5:$G$1640,A1079,'Bank Lines'!$J$5:$J$1640,1,'Bank Lines'!$C$5:$C$1640,"&lt;="&amp;Cover!$C$13)</f>
        <v>0</v>
      </c>
      <c r="P1079">
        <f>COUNTIFS('Odoo Items'!$J$5:$J$4331,A1079,'Odoo Items'!$C$5:$C$4331,"&lt;="&amp;Cover!$C$13)</f>
        <v>0</v>
      </c>
      <c r="Q1079">
        <f>IF(AND(O1079=0,P1079=0),"",IF(O1079=0,"ODOO-ONLY",IF(P1079=0,"BANK-ONLY","BOTH")))</f>
      </c>
      <c r="R1079" s="9">
        <f>IF(Q1079="BOTH",ROUND(M1079-N1079,2),0)</f>
        <v>0</v>
      </c>
      <c r="S1079" s="9">
        <f>ROUND(SUMIFS('Bank Lines'!$E$5:$E$1640,'Bank Lines'!$G$5:$G$1640,A1079,'Bank Lines'!$J$5:$J$1640,1,'Bank Lines'!$C$5:$C$1640,"&lt;="&amp;Cover!$C$14),2)</f>
        <v>0</v>
      </c>
      <c r="T1079" s="9">
        <f>ROUND(SUMIFS('Odoo Items'!$G$5:$G$4331,'Odoo Items'!$J$5:$J$4331,A1079,'Odoo Items'!$C$5:$C$4331,"&lt;="&amp;Cover!$C$14),2)</f>
        <v>0</v>
      </c>
      <c r="U1079">
        <f>COUNTIFS('Bank Lines'!$G$5:$G$1640,A1079,'Bank Lines'!$J$5:$J$1640,1,'Bank Lines'!$C$5:$C$1640,"&lt;="&amp;Cover!$C$14)</f>
        <v>0</v>
      </c>
      <c r="V1079">
        <f>COUNTIFS('Odoo Items'!$J$5:$J$4331,A1079,'Odoo Items'!$C$5:$C$4331,"&lt;="&amp;Cover!$C$14)</f>
        <v>0</v>
      </c>
      <c r="W1079">
        <f>IF(AND(U1079=0,V1079=0),"",IF(U1079=0,"ODOO-ONLY",IF(V1079=0,"BANK-ONLY","BOTH")))</f>
      </c>
      <c r="X1079" s="9">
        <f>IF(W1079="BOTH",ROUND(S1079-T1079,2),0)</f>
        <v>0</v>
      </c>
      <c r="Y1079" s="9">
        <f>ROUND(SUMIFS('Bank Lines'!$E$5:$E$1640,'Bank Lines'!$G$5:$G$1640,A1079,'Bank Lines'!$J$5:$J$1640,1,'Bank Lines'!$C$5:$C$1640,"&lt;="&amp;Cover!$C$15),2)</f>
        <v>132</v>
      </c>
      <c r="Z1079" s="9">
        <f>ROUND(SUMIFS('Odoo Items'!$G$5:$G$4331,'Odoo Items'!$J$5:$J$4331,A1079,'Odoo Items'!$C$5:$C$4331,"&lt;="&amp;Cover!$C$15),2)</f>
        <v>132</v>
      </c>
      <c r="AA1079">
        <f>COUNTIFS('Bank Lines'!$G$5:$G$1640,A1079,'Bank Lines'!$J$5:$J$1640,1,'Bank Lines'!$C$5:$C$1640,"&lt;="&amp;Cover!$C$15)</f>
        <v>1</v>
      </c>
      <c r="AB1079">
        <f>COUNTIFS('Odoo Items'!$J$5:$J$4331,A1079,'Odoo Items'!$C$5:$C$4331,"&lt;="&amp;Cover!$C$15)</f>
        <v>1</v>
      </c>
      <c r="AC1079" t="str">
        <f>IF(AND(AA1079=0,AB1079=0),"",IF(AA1079=0,"ODOO-ONLY",IF(AB1079=0,"BANK-ONLY","BOTH")))</f>
        <v>BOTH</v>
      </c>
      <c r="AD1079" s="9">
        <f>IF(AC1079="BOTH",ROUND(Y1079-Z1079,2),0)</f>
        <v>0</v>
      </c>
    </row>
    <row r="1080">
      <c r="A1080" t="inlineStr">
        <is>
          <t>G01076</t>
        </is>
      </c>
      <c r="B1080" t="inlineStr">
        <is>
          <t>OPS</t>
        </is>
      </c>
      <c r="C1080" t="inlineStr">
        <is>
          <t>R09</t>
        </is>
      </c>
      <c r="D1080" t="inlineStr">
        <is>
          <t>MATCH</t>
        </is>
      </c>
      <c r="E1080" t="inlineStr">
        <is>
          <t>Northline Injury Claims</t>
        </is>
      </c>
      <c r="F1080" t="n">
        <v>1</v>
      </c>
      <c r="G1080" t="inlineStr">
        <is>
          <t>Reference INV/2026/03121</t>
        </is>
      </c>
      <c r="H1080">
        <f>COUNTIFS('Bank Lines'!$G$5:$G$1640,A1080,'Bank Lines'!$J$5:$J$1640,1)</f>
        <v>1</v>
      </c>
      <c r="I1080">
        <f>COUNTIFS('Odoo Items'!$J$5:$J$4331,A1080)</f>
        <v>1</v>
      </c>
      <c r="J1080" s="9">
        <f>ROUND(SUMIFS('Bank Lines'!$E$5:$E$1640,'Bank Lines'!$G$5:$G$1640,A1080,'Bank Lines'!$J$5:$J$1640,1),2)</f>
        <v>132</v>
      </c>
      <c r="K1080" s="9">
        <f>ROUND(SUMIFS('Odoo Items'!$G$5:$G$4331,'Odoo Items'!$J$5:$J$4331,A1080),2)</f>
        <v>132</v>
      </c>
      <c r="L1080" s="9">
        <f>ROUND(J1080-K1080,2)</f>
        <v>0</v>
      </c>
      <c r="M1080" s="9">
        <f>ROUND(SUMIFS('Bank Lines'!$E$5:$E$1640,'Bank Lines'!$G$5:$G$1640,A1080,'Bank Lines'!$J$5:$J$1640,1,'Bank Lines'!$C$5:$C$1640,"&lt;="&amp;Cover!$C$13),2)</f>
        <v>0</v>
      </c>
      <c r="N1080" s="9">
        <f>ROUND(SUMIFS('Odoo Items'!$G$5:$G$4331,'Odoo Items'!$J$5:$J$4331,A1080,'Odoo Items'!$C$5:$C$4331,"&lt;="&amp;Cover!$C$13),2)</f>
        <v>0</v>
      </c>
      <c r="O1080">
        <f>COUNTIFS('Bank Lines'!$G$5:$G$1640,A1080,'Bank Lines'!$J$5:$J$1640,1,'Bank Lines'!$C$5:$C$1640,"&lt;="&amp;Cover!$C$13)</f>
        <v>0</v>
      </c>
      <c r="P1080">
        <f>COUNTIFS('Odoo Items'!$J$5:$J$4331,A1080,'Odoo Items'!$C$5:$C$4331,"&lt;="&amp;Cover!$C$13)</f>
        <v>0</v>
      </c>
      <c r="Q1080">
        <f>IF(AND(O1080=0,P1080=0),"",IF(O1080=0,"ODOO-ONLY",IF(P1080=0,"BANK-ONLY","BOTH")))</f>
      </c>
      <c r="R1080" s="9">
        <f>IF(Q1080="BOTH",ROUND(M1080-N1080,2),0)</f>
        <v>0</v>
      </c>
      <c r="S1080" s="9">
        <f>ROUND(SUMIFS('Bank Lines'!$E$5:$E$1640,'Bank Lines'!$G$5:$G$1640,A1080,'Bank Lines'!$J$5:$J$1640,1,'Bank Lines'!$C$5:$C$1640,"&lt;="&amp;Cover!$C$14),2)</f>
        <v>0</v>
      </c>
      <c r="T1080" s="9">
        <f>ROUND(SUMIFS('Odoo Items'!$G$5:$G$4331,'Odoo Items'!$J$5:$J$4331,A1080,'Odoo Items'!$C$5:$C$4331,"&lt;="&amp;Cover!$C$14),2)</f>
        <v>0</v>
      </c>
      <c r="U1080">
        <f>COUNTIFS('Bank Lines'!$G$5:$G$1640,A1080,'Bank Lines'!$J$5:$J$1640,1,'Bank Lines'!$C$5:$C$1640,"&lt;="&amp;Cover!$C$14)</f>
        <v>0</v>
      </c>
      <c r="V1080">
        <f>COUNTIFS('Odoo Items'!$J$5:$J$4331,A1080,'Odoo Items'!$C$5:$C$4331,"&lt;="&amp;Cover!$C$14)</f>
        <v>0</v>
      </c>
      <c r="W1080">
        <f>IF(AND(U1080=0,V1080=0),"",IF(U1080=0,"ODOO-ONLY",IF(V1080=0,"BANK-ONLY","BOTH")))</f>
      </c>
      <c r="X1080" s="9">
        <f>IF(W1080="BOTH",ROUND(S1080-T1080,2),0)</f>
        <v>0</v>
      </c>
      <c r="Y1080" s="9">
        <f>ROUND(SUMIFS('Bank Lines'!$E$5:$E$1640,'Bank Lines'!$G$5:$G$1640,A1080,'Bank Lines'!$J$5:$J$1640,1,'Bank Lines'!$C$5:$C$1640,"&lt;="&amp;Cover!$C$15),2)</f>
        <v>132</v>
      </c>
      <c r="Z1080" s="9">
        <f>ROUND(SUMIFS('Odoo Items'!$G$5:$G$4331,'Odoo Items'!$J$5:$J$4331,A1080,'Odoo Items'!$C$5:$C$4331,"&lt;="&amp;Cover!$C$15),2)</f>
        <v>132</v>
      </c>
      <c r="AA1080">
        <f>COUNTIFS('Bank Lines'!$G$5:$G$1640,A1080,'Bank Lines'!$J$5:$J$1640,1,'Bank Lines'!$C$5:$C$1640,"&lt;="&amp;Cover!$C$15)</f>
        <v>1</v>
      </c>
      <c r="AB1080">
        <f>COUNTIFS('Odoo Items'!$J$5:$J$4331,A1080,'Odoo Items'!$C$5:$C$4331,"&lt;="&amp;Cover!$C$15)</f>
        <v>1</v>
      </c>
      <c r="AC1080" t="str">
        <f>IF(AND(AA1080=0,AB1080=0),"",IF(AA1080=0,"ODOO-ONLY",IF(AB1080=0,"BANK-ONLY","BOTH")))</f>
        <v>BOTH</v>
      </c>
      <c r="AD1080" s="9">
        <f>IF(AC1080="BOTH",ROUND(Y1080-Z1080,2),0)</f>
        <v>0</v>
      </c>
    </row>
    <row r="1081">
      <c r="A1081" t="inlineStr">
        <is>
          <t>G01077</t>
        </is>
      </c>
      <c r="B1081" t="inlineStr">
        <is>
          <t>OPS</t>
        </is>
      </c>
      <c r="C1081" t="inlineStr">
        <is>
          <t>R09</t>
        </is>
      </c>
      <c r="D1081" t="inlineStr">
        <is>
          <t>MATCH</t>
        </is>
      </c>
      <c r="E1081" t="inlineStr">
        <is>
          <t>Harbour Mutual Health</t>
        </is>
      </c>
      <c r="F1081" t="n">
        <v>1</v>
      </c>
      <c r="G1081" t="inlineStr">
        <is>
          <t>Reference INV/2026/03074</t>
        </is>
      </c>
      <c r="H1081">
        <f>COUNTIFS('Bank Lines'!$G$5:$G$1640,A1081,'Bank Lines'!$J$5:$J$1640,1)</f>
        <v>1</v>
      </c>
      <c r="I1081">
        <f>COUNTIFS('Odoo Items'!$J$5:$J$4331,A1081)</f>
        <v>1</v>
      </c>
      <c r="J1081" s="9">
        <f>ROUND(SUMIFS('Bank Lines'!$E$5:$E$1640,'Bank Lines'!$G$5:$G$1640,A1081,'Bank Lines'!$J$5:$J$1640,1),2)</f>
        <v>990</v>
      </c>
      <c r="K1081" s="9">
        <f>ROUND(SUMIFS('Odoo Items'!$G$5:$G$4331,'Odoo Items'!$J$5:$J$4331,A1081),2)</f>
        <v>990</v>
      </c>
      <c r="L1081" s="9">
        <f>ROUND(J1081-K1081,2)</f>
        <v>0</v>
      </c>
      <c r="M1081" s="9">
        <f>ROUND(SUMIFS('Bank Lines'!$E$5:$E$1640,'Bank Lines'!$G$5:$G$1640,A1081,'Bank Lines'!$J$5:$J$1640,1,'Bank Lines'!$C$5:$C$1640,"&lt;="&amp;Cover!$C$13),2)</f>
        <v>0</v>
      </c>
      <c r="N1081" s="9">
        <f>ROUND(SUMIFS('Odoo Items'!$G$5:$G$4331,'Odoo Items'!$J$5:$J$4331,A1081,'Odoo Items'!$C$5:$C$4331,"&lt;="&amp;Cover!$C$13),2)</f>
        <v>0</v>
      </c>
      <c r="O1081">
        <f>COUNTIFS('Bank Lines'!$G$5:$G$1640,A1081,'Bank Lines'!$J$5:$J$1640,1,'Bank Lines'!$C$5:$C$1640,"&lt;="&amp;Cover!$C$13)</f>
        <v>0</v>
      </c>
      <c r="P1081">
        <f>COUNTIFS('Odoo Items'!$J$5:$J$4331,A1081,'Odoo Items'!$C$5:$C$4331,"&lt;="&amp;Cover!$C$13)</f>
        <v>0</v>
      </c>
      <c r="Q1081">
        <f>IF(AND(O1081=0,P1081=0),"",IF(O1081=0,"ODOO-ONLY",IF(P1081=0,"BANK-ONLY","BOTH")))</f>
      </c>
      <c r="R1081" s="9">
        <f>IF(Q1081="BOTH",ROUND(M1081-N1081,2),0)</f>
        <v>0</v>
      </c>
      <c r="S1081" s="9">
        <f>ROUND(SUMIFS('Bank Lines'!$E$5:$E$1640,'Bank Lines'!$G$5:$G$1640,A1081,'Bank Lines'!$J$5:$J$1640,1,'Bank Lines'!$C$5:$C$1640,"&lt;="&amp;Cover!$C$14),2)</f>
        <v>0</v>
      </c>
      <c r="T1081" s="9">
        <f>ROUND(SUMIFS('Odoo Items'!$G$5:$G$4331,'Odoo Items'!$J$5:$J$4331,A1081,'Odoo Items'!$C$5:$C$4331,"&lt;="&amp;Cover!$C$14),2)</f>
        <v>0</v>
      </c>
      <c r="U1081">
        <f>COUNTIFS('Bank Lines'!$G$5:$G$1640,A1081,'Bank Lines'!$J$5:$J$1640,1,'Bank Lines'!$C$5:$C$1640,"&lt;="&amp;Cover!$C$14)</f>
        <v>0</v>
      </c>
      <c r="V1081">
        <f>COUNTIFS('Odoo Items'!$J$5:$J$4331,A1081,'Odoo Items'!$C$5:$C$4331,"&lt;="&amp;Cover!$C$14)</f>
        <v>0</v>
      </c>
      <c r="W1081">
        <f>IF(AND(U1081=0,V1081=0),"",IF(U1081=0,"ODOO-ONLY",IF(V1081=0,"BANK-ONLY","BOTH")))</f>
      </c>
      <c r="X1081" s="9">
        <f>IF(W1081="BOTH",ROUND(S1081-T1081,2),0)</f>
        <v>0</v>
      </c>
      <c r="Y1081" s="9">
        <f>ROUND(SUMIFS('Bank Lines'!$E$5:$E$1640,'Bank Lines'!$G$5:$G$1640,A1081,'Bank Lines'!$J$5:$J$1640,1,'Bank Lines'!$C$5:$C$1640,"&lt;="&amp;Cover!$C$15),2)</f>
        <v>990</v>
      </c>
      <c r="Z1081" s="9">
        <f>ROUND(SUMIFS('Odoo Items'!$G$5:$G$4331,'Odoo Items'!$J$5:$J$4331,A1081,'Odoo Items'!$C$5:$C$4331,"&lt;="&amp;Cover!$C$15),2)</f>
        <v>990</v>
      </c>
      <c r="AA1081">
        <f>COUNTIFS('Bank Lines'!$G$5:$G$1640,A1081,'Bank Lines'!$J$5:$J$1640,1,'Bank Lines'!$C$5:$C$1640,"&lt;="&amp;Cover!$C$15)</f>
        <v>1</v>
      </c>
      <c r="AB1081">
        <f>COUNTIFS('Odoo Items'!$J$5:$J$4331,A1081,'Odoo Items'!$C$5:$C$4331,"&lt;="&amp;Cover!$C$15)</f>
        <v>1</v>
      </c>
      <c r="AC1081" t="str">
        <f>IF(AND(AA1081=0,AB1081=0),"",IF(AA1081=0,"ODOO-ONLY",IF(AB1081=0,"BANK-ONLY","BOTH")))</f>
        <v>BOTH</v>
      </c>
      <c r="AD1081" s="9">
        <f>IF(AC1081="BOTH",ROUND(Y1081-Z1081,2),0)</f>
        <v>0</v>
      </c>
    </row>
    <row r="1082">
      <c r="A1082" t="inlineStr">
        <is>
          <t>G01078</t>
        </is>
      </c>
      <c r="B1082" t="inlineStr">
        <is>
          <t>OPS</t>
        </is>
      </c>
      <c r="C1082" t="inlineStr">
        <is>
          <t>R09</t>
        </is>
      </c>
      <c r="D1082" t="inlineStr">
        <is>
          <t>MATCH</t>
        </is>
      </c>
      <c r="E1082" t="inlineStr">
        <is>
          <t>Harbour Mutual Health</t>
        </is>
      </c>
      <c r="F1082" t="n">
        <v>1</v>
      </c>
      <c r="G1082" t="inlineStr">
        <is>
          <t>Reference INV/2026/03148</t>
        </is>
      </c>
      <c r="H1082">
        <f>COUNTIFS('Bank Lines'!$G$5:$G$1640,A1082,'Bank Lines'!$J$5:$J$1640,1)</f>
        <v>1</v>
      </c>
      <c r="I1082">
        <f>COUNTIFS('Odoo Items'!$J$5:$J$4331,A1082)</f>
        <v>1</v>
      </c>
      <c r="J1082" s="9">
        <f>ROUND(SUMIFS('Bank Lines'!$E$5:$E$1640,'Bank Lines'!$G$5:$G$1640,A1082,'Bank Lines'!$J$5:$J$1640,1),2)</f>
        <v>990</v>
      </c>
      <c r="K1082" s="9">
        <f>ROUND(SUMIFS('Odoo Items'!$G$5:$G$4331,'Odoo Items'!$J$5:$J$4331,A1082),2)</f>
        <v>990</v>
      </c>
      <c r="L1082" s="9">
        <f>ROUND(J1082-K1082,2)</f>
        <v>0</v>
      </c>
      <c r="M1082" s="9">
        <f>ROUND(SUMIFS('Bank Lines'!$E$5:$E$1640,'Bank Lines'!$G$5:$G$1640,A1082,'Bank Lines'!$J$5:$J$1640,1,'Bank Lines'!$C$5:$C$1640,"&lt;="&amp;Cover!$C$13),2)</f>
        <v>0</v>
      </c>
      <c r="N1082" s="9">
        <f>ROUND(SUMIFS('Odoo Items'!$G$5:$G$4331,'Odoo Items'!$J$5:$J$4331,A1082,'Odoo Items'!$C$5:$C$4331,"&lt;="&amp;Cover!$C$13),2)</f>
        <v>0</v>
      </c>
      <c r="O1082">
        <f>COUNTIFS('Bank Lines'!$G$5:$G$1640,A1082,'Bank Lines'!$J$5:$J$1640,1,'Bank Lines'!$C$5:$C$1640,"&lt;="&amp;Cover!$C$13)</f>
        <v>0</v>
      </c>
      <c r="P1082">
        <f>COUNTIFS('Odoo Items'!$J$5:$J$4331,A1082,'Odoo Items'!$C$5:$C$4331,"&lt;="&amp;Cover!$C$13)</f>
        <v>0</v>
      </c>
      <c r="Q1082">
        <f>IF(AND(O1082=0,P1082=0),"",IF(O1082=0,"ODOO-ONLY",IF(P1082=0,"BANK-ONLY","BOTH")))</f>
      </c>
      <c r="R1082" s="9">
        <f>IF(Q1082="BOTH",ROUND(M1082-N1082,2),0)</f>
        <v>0</v>
      </c>
      <c r="S1082" s="9">
        <f>ROUND(SUMIFS('Bank Lines'!$E$5:$E$1640,'Bank Lines'!$G$5:$G$1640,A1082,'Bank Lines'!$J$5:$J$1640,1,'Bank Lines'!$C$5:$C$1640,"&lt;="&amp;Cover!$C$14),2)</f>
        <v>0</v>
      </c>
      <c r="T1082" s="9">
        <f>ROUND(SUMIFS('Odoo Items'!$G$5:$G$4331,'Odoo Items'!$J$5:$J$4331,A1082,'Odoo Items'!$C$5:$C$4331,"&lt;="&amp;Cover!$C$14),2)</f>
        <v>0</v>
      </c>
      <c r="U1082">
        <f>COUNTIFS('Bank Lines'!$G$5:$G$1640,A1082,'Bank Lines'!$J$5:$J$1640,1,'Bank Lines'!$C$5:$C$1640,"&lt;="&amp;Cover!$C$14)</f>
        <v>0</v>
      </c>
      <c r="V1082">
        <f>COUNTIFS('Odoo Items'!$J$5:$J$4331,A1082,'Odoo Items'!$C$5:$C$4331,"&lt;="&amp;Cover!$C$14)</f>
        <v>0</v>
      </c>
      <c r="W1082">
        <f>IF(AND(U1082=0,V1082=0),"",IF(U1082=0,"ODOO-ONLY",IF(V1082=0,"BANK-ONLY","BOTH")))</f>
      </c>
      <c r="X1082" s="9">
        <f>IF(W1082="BOTH",ROUND(S1082-T1082,2),0)</f>
        <v>0</v>
      </c>
      <c r="Y1082" s="9">
        <f>ROUND(SUMIFS('Bank Lines'!$E$5:$E$1640,'Bank Lines'!$G$5:$G$1640,A1082,'Bank Lines'!$J$5:$J$1640,1,'Bank Lines'!$C$5:$C$1640,"&lt;="&amp;Cover!$C$15),2)</f>
        <v>990</v>
      </c>
      <c r="Z1082" s="9">
        <f>ROUND(SUMIFS('Odoo Items'!$G$5:$G$4331,'Odoo Items'!$J$5:$J$4331,A1082,'Odoo Items'!$C$5:$C$4331,"&lt;="&amp;Cover!$C$15),2)</f>
        <v>990</v>
      </c>
      <c r="AA1082">
        <f>COUNTIFS('Bank Lines'!$G$5:$G$1640,A1082,'Bank Lines'!$J$5:$J$1640,1,'Bank Lines'!$C$5:$C$1640,"&lt;="&amp;Cover!$C$15)</f>
        <v>1</v>
      </c>
      <c r="AB1082">
        <f>COUNTIFS('Odoo Items'!$J$5:$J$4331,A1082,'Odoo Items'!$C$5:$C$4331,"&lt;="&amp;Cover!$C$15)</f>
        <v>1</v>
      </c>
      <c r="AC1082" t="str">
        <f>IF(AND(AA1082=0,AB1082=0),"",IF(AA1082=0,"ODOO-ONLY",IF(AB1082=0,"BANK-ONLY","BOTH")))</f>
        <v>BOTH</v>
      </c>
      <c r="AD1082" s="9">
        <f>IF(AC1082="BOTH",ROUND(Y1082-Z1082,2),0)</f>
        <v>0</v>
      </c>
    </row>
    <row r="1083">
      <c r="A1083" t="inlineStr">
        <is>
          <t>G01079</t>
        </is>
      </c>
      <c r="B1083" t="inlineStr">
        <is>
          <t>OPS</t>
        </is>
      </c>
      <c r="C1083" t="inlineStr">
        <is>
          <t>R09</t>
        </is>
      </c>
      <c r="D1083" t="inlineStr">
        <is>
          <t>MATCH</t>
        </is>
      </c>
      <c r="E1083" t="inlineStr">
        <is>
          <t>Meridian Health Cover</t>
        </is>
      </c>
      <c r="F1083" t="n">
        <v>1</v>
      </c>
      <c r="G1083" t="inlineStr">
        <is>
          <t>Reference INV/2026/03031</t>
        </is>
      </c>
      <c r="H1083">
        <f>COUNTIFS('Bank Lines'!$G$5:$G$1640,A1083,'Bank Lines'!$J$5:$J$1640,1)</f>
        <v>1</v>
      </c>
      <c r="I1083">
        <f>COUNTIFS('Odoo Items'!$J$5:$J$4331,A1083)</f>
        <v>1</v>
      </c>
      <c r="J1083" s="9">
        <f>ROUND(SUMIFS('Bank Lines'!$E$5:$E$1640,'Bank Lines'!$G$5:$G$1640,A1083,'Bank Lines'!$J$5:$J$1640,1),2)</f>
        <v>264</v>
      </c>
      <c r="K1083" s="9">
        <f>ROUND(SUMIFS('Odoo Items'!$G$5:$G$4331,'Odoo Items'!$J$5:$J$4331,A1083),2)</f>
        <v>264</v>
      </c>
      <c r="L1083" s="9">
        <f>ROUND(J1083-K1083,2)</f>
        <v>0</v>
      </c>
      <c r="M1083" s="9">
        <f>ROUND(SUMIFS('Bank Lines'!$E$5:$E$1640,'Bank Lines'!$G$5:$G$1640,A1083,'Bank Lines'!$J$5:$J$1640,1,'Bank Lines'!$C$5:$C$1640,"&lt;="&amp;Cover!$C$13),2)</f>
        <v>0</v>
      </c>
      <c r="N1083" s="9">
        <f>ROUND(SUMIFS('Odoo Items'!$G$5:$G$4331,'Odoo Items'!$J$5:$J$4331,A1083,'Odoo Items'!$C$5:$C$4331,"&lt;="&amp;Cover!$C$13),2)</f>
        <v>0</v>
      </c>
      <c r="O1083">
        <f>COUNTIFS('Bank Lines'!$G$5:$G$1640,A1083,'Bank Lines'!$J$5:$J$1640,1,'Bank Lines'!$C$5:$C$1640,"&lt;="&amp;Cover!$C$13)</f>
        <v>0</v>
      </c>
      <c r="P1083">
        <f>COUNTIFS('Odoo Items'!$J$5:$J$4331,A1083,'Odoo Items'!$C$5:$C$4331,"&lt;="&amp;Cover!$C$13)</f>
        <v>0</v>
      </c>
      <c r="Q1083">
        <f>IF(AND(O1083=0,P1083=0),"",IF(O1083=0,"ODOO-ONLY",IF(P1083=0,"BANK-ONLY","BOTH")))</f>
      </c>
      <c r="R1083" s="9">
        <f>IF(Q1083="BOTH",ROUND(M1083-N1083,2),0)</f>
        <v>0</v>
      </c>
      <c r="S1083" s="9">
        <f>ROUND(SUMIFS('Bank Lines'!$E$5:$E$1640,'Bank Lines'!$G$5:$G$1640,A1083,'Bank Lines'!$J$5:$J$1640,1,'Bank Lines'!$C$5:$C$1640,"&lt;="&amp;Cover!$C$14),2)</f>
        <v>0</v>
      </c>
      <c r="T1083" s="9">
        <f>ROUND(SUMIFS('Odoo Items'!$G$5:$G$4331,'Odoo Items'!$J$5:$J$4331,A1083,'Odoo Items'!$C$5:$C$4331,"&lt;="&amp;Cover!$C$14),2)</f>
        <v>0</v>
      </c>
      <c r="U1083">
        <f>COUNTIFS('Bank Lines'!$G$5:$G$1640,A1083,'Bank Lines'!$J$5:$J$1640,1,'Bank Lines'!$C$5:$C$1640,"&lt;="&amp;Cover!$C$14)</f>
        <v>0</v>
      </c>
      <c r="V1083">
        <f>COUNTIFS('Odoo Items'!$J$5:$J$4331,A1083,'Odoo Items'!$C$5:$C$4331,"&lt;="&amp;Cover!$C$14)</f>
        <v>0</v>
      </c>
      <c r="W1083">
        <f>IF(AND(U1083=0,V1083=0),"",IF(U1083=0,"ODOO-ONLY",IF(V1083=0,"BANK-ONLY","BOTH")))</f>
      </c>
      <c r="X1083" s="9">
        <f>IF(W1083="BOTH",ROUND(S1083-T1083,2),0)</f>
        <v>0</v>
      </c>
      <c r="Y1083" s="9">
        <f>ROUND(SUMIFS('Bank Lines'!$E$5:$E$1640,'Bank Lines'!$G$5:$G$1640,A1083,'Bank Lines'!$J$5:$J$1640,1,'Bank Lines'!$C$5:$C$1640,"&lt;="&amp;Cover!$C$15),2)</f>
        <v>264</v>
      </c>
      <c r="Z1083" s="9">
        <f>ROUND(SUMIFS('Odoo Items'!$G$5:$G$4331,'Odoo Items'!$J$5:$J$4331,A1083,'Odoo Items'!$C$5:$C$4331,"&lt;="&amp;Cover!$C$15),2)</f>
        <v>264</v>
      </c>
      <c r="AA1083">
        <f>COUNTIFS('Bank Lines'!$G$5:$G$1640,A1083,'Bank Lines'!$J$5:$J$1640,1,'Bank Lines'!$C$5:$C$1640,"&lt;="&amp;Cover!$C$15)</f>
        <v>1</v>
      </c>
      <c r="AB1083">
        <f>COUNTIFS('Odoo Items'!$J$5:$J$4331,A1083,'Odoo Items'!$C$5:$C$4331,"&lt;="&amp;Cover!$C$15)</f>
        <v>1</v>
      </c>
      <c r="AC1083" t="str">
        <f>IF(AND(AA1083=0,AB1083=0),"",IF(AA1083=0,"ODOO-ONLY",IF(AB1083=0,"BANK-ONLY","BOTH")))</f>
        <v>BOTH</v>
      </c>
      <c r="AD1083" s="9">
        <f>IF(AC1083="BOTH",ROUND(Y1083-Z1083,2),0)</f>
        <v>0</v>
      </c>
    </row>
    <row r="1084">
      <c r="A1084" t="inlineStr">
        <is>
          <t>G01080</t>
        </is>
      </c>
      <c r="B1084" t="inlineStr">
        <is>
          <t>OPS</t>
        </is>
      </c>
      <c r="C1084" t="inlineStr">
        <is>
          <t>R09</t>
        </is>
      </c>
      <c r="D1084" t="inlineStr">
        <is>
          <t>MATCH</t>
        </is>
      </c>
      <c r="E1084" t="inlineStr">
        <is>
          <t>Pinnacle Claims Services</t>
        </is>
      </c>
      <c r="F1084" t="n">
        <v>1</v>
      </c>
      <c r="G1084" t="inlineStr">
        <is>
          <t>Reference INV/2026/03172</t>
        </is>
      </c>
      <c r="H1084">
        <f>COUNTIFS('Bank Lines'!$G$5:$G$1640,A1084,'Bank Lines'!$J$5:$J$1640,1)</f>
        <v>1</v>
      </c>
      <c r="I1084">
        <f>COUNTIFS('Odoo Items'!$J$5:$J$4331,A1084)</f>
        <v>1</v>
      </c>
      <c r="J1084" s="9">
        <f>ROUND(SUMIFS('Bank Lines'!$E$5:$E$1640,'Bank Lines'!$G$5:$G$1640,A1084,'Bank Lines'!$J$5:$J$1640,1),2)</f>
        <v>990</v>
      </c>
      <c r="K1084" s="9">
        <f>ROUND(SUMIFS('Odoo Items'!$G$5:$G$4331,'Odoo Items'!$J$5:$J$4331,A1084),2)</f>
        <v>990</v>
      </c>
      <c r="L1084" s="9">
        <f>ROUND(J1084-K1084,2)</f>
        <v>0</v>
      </c>
      <c r="M1084" s="9">
        <f>ROUND(SUMIFS('Bank Lines'!$E$5:$E$1640,'Bank Lines'!$G$5:$G$1640,A1084,'Bank Lines'!$J$5:$J$1640,1,'Bank Lines'!$C$5:$C$1640,"&lt;="&amp;Cover!$C$13),2)</f>
        <v>0</v>
      </c>
      <c r="N1084" s="9">
        <f>ROUND(SUMIFS('Odoo Items'!$G$5:$G$4331,'Odoo Items'!$J$5:$J$4331,A1084,'Odoo Items'!$C$5:$C$4331,"&lt;="&amp;Cover!$C$13),2)</f>
        <v>0</v>
      </c>
      <c r="O1084">
        <f>COUNTIFS('Bank Lines'!$G$5:$G$1640,A1084,'Bank Lines'!$J$5:$J$1640,1,'Bank Lines'!$C$5:$C$1640,"&lt;="&amp;Cover!$C$13)</f>
        <v>0</v>
      </c>
      <c r="P1084">
        <f>COUNTIFS('Odoo Items'!$J$5:$J$4331,A1084,'Odoo Items'!$C$5:$C$4331,"&lt;="&amp;Cover!$C$13)</f>
        <v>0</v>
      </c>
      <c r="Q1084">
        <f>IF(AND(O1084=0,P1084=0),"",IF(O1084=0,"ODOO-ONLY",IF(P1084=0,"BANK-ONLY","BOTH")))</f>
      </c>
      <c r="R1084" s="9">
        <f>IF(Q1084="BOTH",ROUND(M1084-N1084,2),0)</f>
        <v>0</v>
      </c>
      <c r="S1084" s="9">
        <f>ROUND(SUMIFS('Bank Lines'!$E$5:$E$1640,'Bank Lines'!$G$5:$G$1640,A1084,'Bank Lines'!$J$5:$J$1640,1,'Bank Lines'!$C$5:$C$1640,"&lt;="&amp;Cover!$C$14),2)</f>
        <v>0</v>
      </c>
      <c r="T1084" s="9">
        <f>ROUND(SUMIFS('Odoo Items'!$G$5:$G$4331,'Odoo Items'!$J$5:$J$4331,A1084,'Odoo Items'!$C$5:$C$4331,"&lt;="&amp;Cover!$C$14),2)</f>
        <v>0</v>
      </c>
      <c r="U1084">
        <f>COUNTIFS('Bank Lines'!$G$5:$G$1640,A1084,'Bank Lines'!$J$5:$J$1640,1,'Bank Lines'!$C$5:$C$1640,"&lt;="&amp;Cover!$C$14)</f>
        <v>0</v>
      </c>
      <c r="V1084">
        <f>COUNTIFS('Odoo Items'!$J$5:$J$4331,A1084,'Odoo Items'!$C$5:$C$4331,"&lt;="&amp;Cover!$C$14)</f>
        <v>0</v>
      </c>
      <c r="W1084">
        <f>IF(AND(U1084=0,V1084=0),"",IF(U1084=0,"ODOO-ONLY",IF(V1084=0,"BANK-ONLY","BOTH")))</f>
      </c>
      <c r="X1084" s="9">
        <f>IF(W1084="BOTH",ROUND(S1084-T1084,2),0)</f>
        <v>0</v>
      </c>
      <c r="Y1084" s="9">
        <f>ROUND(SUMIFS('Bank Lines'!$E$5:$E$1640,'Bank Lines'!$G$5:$G$1640,A1084,'Bank Lines'!$J$5:$J$1640,1,'Bank Lines'!$C$5:$C$1640,"&lt;="&amp;Cover!$C$15),2)</f>
        <v>990</v>
      </c>
      <c r="Z1084" s="9">
        <f>ROUND(SUMIFS('Odoo Items'!$G$5:$G$4331,'Odoo Items'!$J$5:$J$4331,A1084,'Odoo Items'!$C$5:$C$4331,"&lt;="&amp;Cover!$C$15),2)</f>
        <v>990</v>
      </c>
      <c r="AA1084">
        <f>COUNTIFS('Bank Lines'!$G$5:$G$1640,A1084,'Bank Lines'!$J$5:$J$1640,1,'Bank Lines'!$C$5:$C$1640,"&lt;="&amp;Cover!$C$15)</f>
        <v>1</v>
      </c>
      <c r="AB1084">
        <f>COUNTIFS('Odoo Items'!$J$5:$J$4331,A1084,'Odoo Items'!$C$5:$C$4331,"&lt;="&amp;Cover!$C$15)</f>
        <v>1</v>
      </c>
      <c r="AC1084" t="str">
        <f>IF(AND(AA1084=0,AB1084=0),"",IF(AA1084=0,"ODOO-ONLY",IF(AB1084=0,"BANK-ONLY","BOTH")))</f>
        <v>BOTH</v>
      </c>
      <c r="AD1084" s="9">
        <f>IF(AC1084="BOTH",ROUND(Y1084-Z1084,2),0)</f>
        <v>0</v>
      </c>
    </row>
    <row r="1085">
      <c r="A1085" t="inlineStr">
        <is>
          <t>G01081</t>
        </is>
      </c>
      <c r="B1085" t="inlineStr">
        <is>
          <t>OPS</t>
        </is>
      </c>
      <c r="C1085" t="inlineStr">
        <is>
          <t>R09</t>
        </is>
      </c>
      <c r="D1085" t="inlineStr">
        <is>
          <t>MATCH</t>
        </is>
      </c>
      <c r="E1085" t="inlineStr">
        <is>
          <t>Harbour Mutual Health</t>
        </is>
      </c>
      <c r="F1085" t="n">
        <v>1</v>
      </c>
      <c r="G1085" t="inlineStr">
        <is>
          <t>Reference INV/2026/03008</t>
        </is>
      </c>
      <c r="H1085">
        <f>COUNTIFS('Bank Lines'!$G$5:$G$1640,A1085,'Bank Lines'!$J$5:$J$1640,1)</f>
        <v>1</v>
      </c>
      <c r="I1085">
        <f>COUNTIFS('Odoo Items'!$J$5:$J$4331,A1085)</f>
        <v>1</v>
      </c>
      <c r="J1085" s="9">
        <f>ROUND(SUMIFS('Bank Lines'!$E$5:$E$1640,'Bank Lines'!$G$5:$G$1640,A1085,'Bank Lines'!$J$5:$J$1640,1),2)</f>
        <v>264</v>
      </c>
      <c r="K1085" s="9">
        <f>ROUND(SUMIFS('Odoo Items'!$G$5:$G$4331,'Odoo Items'!$J$5:$J$4331,A1085),2)</f>
        <v>264</v>
      </c>
      <c r="L1085" s="9">
        <f>ROUND(J1085-K1085,2)</f>
        <v>0</v>
      </c>
      <c r="M1085" s="9">
        <f>ROUND(SUMIFS('Bank Lines'!$E$5:$E$1640,'Bank Lines'!$G$5:$G$1640,A1085,'Bank Lines'!$J$5:$J$1640,1,'Bank Lines'!$C$5:$C$1640,"&lt;="&amp;Cover!$C$13),2)</f>
        <v>0</v>
      </c>
      <c r="N1085" s="9">
        <f>ROUND(SUMIFS('Odoo Items'!$G$5:$G$4331,'Odoo Items'!$J$5:$J$4331,A1085,'Odoo Items'!$C$5:$C$4331,"&lt;="&amp;Cover!$C$13),2)</f>
        <v>0</v>
      </c>
      <c r="O1085">
        <f>COUNTIFS('Bank Lines'!$G$5:$G$1640,A1085,'Bank Lines'!$J$5:$J$1640,1,'Bank Lines'!$C$5:$C$1640,"&lt;="&amp;Cover!$C$13)</f>
        <v>0</v>
      </c>
      <c r="P1085">
        <f>COUNTIFS('Odoo Items'!$J$5:$J$4331,A1085,'Odoo Items'!$C$5:$C$4331,"&lt;="&amp;Cover!$C$13)</f>
        <v>0</v>
      </c>
      <c r="Q1085">
        <f>IF(AND(O1085=0,P1085=0),"",IF(O1085=0,"ODOO-ONLY",IF(P1085=0,"BANK-ONLY","BOTH")))</f>
      </c>
      <c r="R1085" s="9">
        <f>IF(Q1085="BOTH",ROUND(M1085-N1085,2),0)</f>
        <v>0</v>
      </c>
      <c r="S1085" s="9">
        <f>ROUND(SUMIFS('Bank Lines'!$E$5:$E$1640,'Bank Lines'!$G$5:$G$1640,A1085,'Bank Lines'!$J$5:$J$1640,1,'Bank Lines'!$C$5:$C$1640,"&lt;="&amp;Cover!$C$14),2)</f>
        <v>0</v>
      </c>
      <c r="T1085" s="9">
        <f>ROUND(SUMIFS('Odoo Items'!$G$5:$G$4331,'Odoo Items'!$J$5:$J$4331,A1085,'Odoo Items'!$C$5:$C$4331,"&lt;="&amp;Cover!$C$14),2)</f>
        <v>0</v>
      </c>
      <c r="U1085">
        <f>COUNTIFS('Bank Lines'!$G$5:$G$1640,A1085,'Bank Lines'!$J$5:$J$1640,1,'Bank Lines'!$C$5:$C$1640,"&lt;="&amp;Cover!$C$14)</f>
        <v>0</v>
      </c>
      <c r="V1085">
        <f>COUNTIFS('Odoo Items'!$J$5:$J$4331,A1085,'Odoo Items'!$C$5:$C$4331,"&lt;="&amp;Cover!$C$14)</f>
        <v>0</v>
      </c>
      <c r="W1085">
        <f>IF(AND(U1085=0,V1085=0),"",IF(U1085=0,"ODOO-ONLY",IF(V1085=0,"BANK-ONLY","BOTH")))</f>
      </c>
      <c r="X1085" s="9">
        <f>IF(W1085="BOTH",ROUND(S1085-T1085,2),0)</f>
        <v>0</v>
      </c>
      <c r="Y1085" s="9">
        <f>ROUND(SUMIFS('Bank Lines'!$E$5:$E$1640,'Bank Lines'!$G$5:$G$1640,A1085,'Bank Lines'!$J$5:$J$1640,1,'Bank Lines'!$C$5:$C$1640,"&lt;="&amp;Cover!$C$15),2)</f>
        <v>264</v>
      </c>
      <c r="Z1085" s="9">
        <f>ROUND(SUMIFS('Odoo Items'!$G$5:$G$4331,'Odoo Items'!$J$5:$J$4331,A1085,'Odoo Items'!$C$5:$C$4331,"&lt;="&amp;Cover!$C$15),2)</f>
        <v>264</v>
      </c>
      <c r="AA1085">
        <f>COUNTIFS('Bank Lines'!$G$5:$G$1640,A1085,'Bank Lines'!$J$5:$J$1640,1,'Bank Lines'!$C$5:$C$1640,"&lt;="&amp;Cover!$C$15)</f>
        <v>1</v>
      </c>
      <c r="AB1085">
        <f>COUNTIFS('Odoo Items'!$J$5:$J$4331,A1085,'Odoo Items'!$C$5:$C$4331,"&lt;="&amp;Cover!$C$15)</f>
        <v>1</v>
      </c>
      <c r="AC1085" t="str">
        <f>IF(AND(AA1085=0,AB1085=0),"",IF(AA1085=0,"ODOO-ONLY",IF(AB1085=0,"BANK-ONLY","BOTH")))</f>
        <v>BOTH</v>
      </c>
      <c r="AD1085" s="9">
        <f>IF(AC1085="BOTH",ROUND(Y1085-Z1085,2),0)</f>
        <v>0</v>
      </c>
    </row>
    <row r="1086">
      <c r="A1086" t="inlineStr">
        <is>
          <t>G01082</t>
        </is>
      </c>
      <c r="B1086" t="inlineStr">
        <is>
          <t>OPS</t>
        </is>
      </c>
      <c r="C1086" t="inlineStr">
        <is>
          <t>R09</t>
        </is>
      </c>
      <c r="D1086" t="inlineStr">
        <is>
          <t>MATCH</t>
        </is>
      </c>
      <c r="E1086" t="inlineStr">
        <is>
          <t>Meridian Health Cover</t>
        </is>
      </c>
      <c r="F1086" t="n">
        <v>1</v>
      </c>
      <c r="G1086" t="inlineStr">
        <is>
          <t>Reference INV/2026/02987</t>
        </is>
      </c>
      <c r="H1086">
        <f>COUNTIFS('Bank Lines'!$G$5:$G$1640,A1086,'Bank Lines'!$J$5:$J$1640,1)</f>
        <v>1</v>
      </c>
      <c r="I1086">
        <f>COUNTIFS('Odoo Items'!$J$5:$J$4331,A1086)</f>
        <v>1</v>
      </c>
      <c r="J1086" s="9">
        <f>ROUND(SUMIFS('Bank Lines'!$E$5:$E$1640,'Bank Lines'!$G$5:$G$1640,A1086,'Bank Lines'!$J$5:$J$1640,1),2)</f>
        <v>990</v>
      </c>
      <c r="K1086" s="9">
        <f>ROUND(SUMIFS('Odoo Items'!$G$5:$G$4331,'Odoo Items'!$J$5:$J$4331,A1086),2)</f>
        <v>990</v>
      </c>
      <c r="L1086" s="9">
        <f>ROUND(J1086-K1086,2)</f>
        <v>0</v>
      </c>
      <c r="M1086" s="9">
        <f>ROUND(SUMIFS('Bank Lines'!$E$5:$E$1640,'Bank Lines'!$G$5:$G$1640,A1086,'Bank Lines'!$J$5:$J$1640,1,'Bank Lines'!$C$5:$C$1640,"&lt;="&amp;Cover!$C$13),2)</f>
        <v>0</v>
      </c>
      <c r="N1086" s="9">
        <f>ROUND(SUMIFS('Odoo Items'!$G$5:$G$4331,'Odoo Items'!$J$5:$J$4331,A1086,'Odoo Items'!$C$5:$C$4331,"&lt;="&amp;Cover!$C$13),2)</f>
        <v>0</v>
      </c>
      <c r="O1086">
        <f>COUNTIFS('Bank Lines'!$G$5:$G$1640,A1086,'Bank Lines'!$J$5:$J$1640,1,'Bank Lines'!$C$5:$C$1640,"&lt;="&amp;Cover!$C$13)</f>
        <v>0</v>
      </c>
      <c r="P1086">
        <f>COUNTIFS('Odoo Items'!$J$5:$J$4331,A1086,'Odoo Items'!$C$5:$C$4331,"&lt;="&amp;Cover!$C$13)</f>
        <v>0</v>
      </c>
      <c r="Q1086">
        <f>IF(AND(O1086=0,P1086=0),"",IF(O1086=0,"ODOO-ONLY",IF(P1086=0,"BANK-ONLY","BOTH")))</f>
      </c>
      <c r="R1086" s="9">
        <f>IF(Q1086="BOTH",ROUND(M1086-N1086,2),0)</f>
        <v>0</v>
      </c>
      <c r="S1086" s="9">
        <f>ROUND(SUMIFS('Bank Lines'!$E$5:$E$1640,'Bank Lines'!$G$5:$G$1640,A1086,'Bank Lines'!$J$5:$J$1640,1,'Bank Lines'!$C$5:$C$1640,"&lt;="&amp;Cover!$C$14),2)</f>
        <v>0</v>
      </c>
      <c r="T1086" s="9">
        <f>ROUND(SUMIFS('Odoo Items'!$G$5:$G$4331,'Odoo Items'!$J$5:$J$4331,A1086,'Odoo Items'!$C$5:$C$4331,"&lt;="&amp;Cover!$C$14),2)</f>
        <v>0</v>
      </c>
      <c r="U1086">
        <f>COUNTIFS('Bank Lines'!$G$5:$G$1640,A1086,'Bank Lines'!$J$5:$J$1640,1,'Bank Lines'!$C$5:$C$1640,"&lt;="&amp;Cover!$C$14)</f>
        <v>0</v>
      </c>
      <c r="V1086">
        <f>COUNTIFS('Odoo Items'!$J$5:$J$4331,A1086,'Odoo Items'!$C$5:$C$4331,"&lt;="&amp;Cover!$C$14)</f>
        <v>0</v>
      </c>
      <c r="W1086">
        <f>IF(AND(U1086=0,V1086=0),"",IF(U1086=0,"ODOO-ONLY",IF(V1086=0,"BANK-ONLY","BOTH")))</f>
      </c>
      <c r="X1086" s="9">
        <f>IF(W1086="BOTH",ROUND(S1086-T1086,2),0)</f>
        <v>0</v>
      </c>
      <c r="Y1086" s="9">
        <f>ROUND(SUMIFS('Bank Lines'!$E$5:$E$1640,'Bank Lines'!$G$5:$G$1640,A1086,'Bank Lines'!$J$5:$J$1640,1,'Bank Lines'!$C$5:$C$1640,"&lt;="&amp;Cover!$C$15),2)</f>
        <v>990</v>
      </c>
      <c r="Z1086" s="9">
        <f>ROUND(SUMIFS('Odoo Items'!$G$5:$G$4331,'Odoo Items'!$J$5:$J$4331,A1086,'Odoo Items'!$C$5:$C$4331,"&lt;="&amp;Cover!$C$15),2)</f>
        <v>990</v>
      </c>
      <c r="AA1086">
        <f>COUNTIFS('Bank Lines'!$G$5:$G$1640,A1086,'Bank Lines'!$J$5:$J$1640,1,'Bank Lines'!$C$5:$C$1640,"&lt;="&amp;Cover!$C$15)</f>
        <v>1</v>
      </c>
      <c r="AB1086">
        <f>COUNTIFS('Odoo Items'!$J$5:$J$4331,A1086,'Odoo Items'!$C$5:$C$4331,"&lt;="&amp;Cover!$C$15)</f>
        <v>1</v>
      </c>
      <c r="AC1086" t="str">
        <f>IF(AND(AA1086=0,AB1086=0),"",IF(AA1086=0,"ODOO-ONLY",IF(AB1086=0,"BANK-ONLY","BOTH")))</f>
        <v>BOTH</v>
      </c>
      <c r="AD1086" s="9">
        <f>IF(AC1086="BOTH",ROUND(Y1086-Z1086,2),0)</f>
        <v>0</v>
      </c>
    </row>
    <row r="1087">
      <c r="A1087" t="inlineStr">
        <is>
          <t>G01083</t>
        </is>
      </c>
      <c r="B1087" t="inlineStr">
        <is>
          <t>OPS</t>
        </is>
      </c>
      <c r="C1087" t="inlineStr">
        <is>
          <t>R09</t>
        </is>
      </c>
      <c r="D1087" t="inlineStr">
        <is>
          <t>MATCH</t>
        </is>
      </c>
      <c r="E1087" t="inlineStr">
        <is>
          <t>Northline Injury Claims</t>
        </is>
      </c>
      <c r="F1087" t="n">
        <v>1</v>
      </c>
      <c r="G1087" t="inlineStr">
        <is>
          <t>Reference INV/2026/03010</t>
        </is>
      </c>
      <c r="H1087">
        <f>COUNTIFS('Bank Lines'!$G$5:$G$1640,A1087,'Bank Lines'!$J$5:$J$1640,1)</f>
        <v>1</v>
      </c>
      <c r="I1087">
        <f>COUNTIFS('Odoo Items'!$J$5:$J$4331,A1087)</f>
        <v>1</v>
      </c>
      <c r="J1087" s="9">
        <f>ROUND(SUMIFS('Bank Lines'!$E$5:$E$1640,'Bank Lines'!$G$5:$G$1640,A1087,'Bank Lines'!$J$5:$J$1640,1),2)</f>
        <v>990</v>
      </c>
      <c r="K1087" s="9">
        <f>ROUND(SUMIFS('Odoo Items'!$G$5:$G$4331,'Odoo Items'!$J$5:$J$4331,A1087),2)</f>
        <v>990</v>
      </c>
      <c r="L1087" s="9">
        <f>ROUND(J1087-K1087,2)</f>
        <v>0</v>
      </c>
      <c r="M1087" s="9">
        <f>ROUND(SUMIFS('Bank Lines'!$E$5:$E$1640,'Bank Lines'!$G$5:$G$1640,A1087,'Bank Lines'!$J$5:$J$1640,1,'Bank Lines'!$C$5:$C$1640,"&lt;="&amp;Cover!$C$13),2)</f>
        <v>0</v>
      </c>
      <c r="N1087" s="9">
        <f>ROUND(SUMIFS('Odoo Items'!$G$5:$G$4331,'Odoo Items'!$J$5:$J$4331,A1087,'Odoo Items'!$C$5:$C$4331,"&lt;="&amp;Cover!$C$13),2)</f>
        <v>0</v>
      </c>
      <c r="O1087">
        <f>COUNTIFS('Bank Lines'!$G$5:$G$1640,A1087,'Bank Lines'!$J$5:$J$1640,1,'Bank Lines'!$C$5:$C$1640,"&lt;="&amp;Cover!$C$13)</f>
        <v>0</v>
      </c>
      <c r="P1087">
        <f>COUNTIFS('Odoo Items'!$J$5:$J$4331,A1087,'Odoo Items'!$C$5:$C$4331,"&lt;="&amp;Cover!$C$13)</f>
        <v>0</v>
      </c>
      <c r="Q1087">
        <f>IF(AND(O1087=0,P1087=0),"",IF(O1087=0,"ODOO-ONLY",IF(P1087=0,"BANK-ONLY","BOTH")))</f>
      </c>
      <c r="R1087" s="9">
        <f>IF(Q1087="BOTH",ROUND(M1087-N1087,2),0)</f>
        <v>0</v>
      </c>
      <c r="S1087" s="9">
        <f>ROUND(SUMIFS('Bank Lines'!$E$5:$E$1640,'Bank Lines'!$G$5:$G$1640,A1087,'Bank Lines'!$J$5:$J$1640,1,'Bank Lines'!$C$5:$C$1640,"&lt;="&amp;Cover!$C$14),2)</f>
        <v>0</v>
      </c>
      <c r="T1087" s="9">
        <f>ROUND(SUMIFS('Odoo Items'!$G$5:$G$4331,'Odoo Items'!$J$5:$J$4331,A1087,'Odoo Items'!$C$5:$C$4331,"&lt;="&amp;Cover!$C$14),2)</f>
        <v>0</v>
      </c>
      <c r="U1087">
        <f>COUNTIFS('Bank Lines'!$G$5:$G$1640,A1087,'Bank Lines'!$J$5:$J$1640,1,'Bank Lines'!$C$5:$C$1640,"&lt;="&amp;Cover!$C$14)</f>
        <v>0</v>
      </c>
      <c r="V1087">
        <f>COUNTIFS('Odoo Items'!$J$5:$J$4331,A1087,'Odoo Items'!$C$5:$C$4331,"&lt;="&amp;Cover!$C$14)</f>
        <v>0</v>
      </c>
      <c r="W1087">
        <f>IF(AND(U1087=0,V1087=0),"",IF(U1087=0,"ODOO-ONLY",IF(V1087=0,"BANK-ONLY","BOTH")))</f>
      </c>
      <c r="X1087" s="9">
        <f>IF(W1087="BOTH",ROUND(S1087-T1087,2),0)</f>
        <v>0</v>
      </c>
      <c r="Y1087" s="9">
        <f>ROUND(SUMIFS('Bank Lines'!$E$5:$E$1640,'Bank Lines'!$G$5:$G$1640,A1087,'Bank Lines'!$J$5:$J$1640,1,'Bank Lines'!$C$5:$C$1640,"&lt;="&amp;Cover!$C$15),2)</f>
        <v>990</v>
      </c>
      <c r="Z1087" s="9">
        <f>ROUND(SUMIFS('Odoo Items'!$G$5:$G$4331,'Odoo Items'!$J$5:$J$4331,A1087,'Odoo Items'!$C$5:$C$4331,"&lt;="&amp;Cover!$C$15),2)</f>
        <v>990</v>
      </c>
      <c r="AA1087">
        <f>COUNTIFS('Bank Lines'!$G$5:$G$1640,A1087,'Bank Lines'!$J$5:$J$1640,1,'Bank Lines'!$C$5:$C$1640,"&lt;="&amp;Cover!$C$15)</f>
        <v>1</v>
      </c>
      <c r="AB1087">
        <f>COUNTIFS('Odoo Items'!$J$5:$J$4331,A1087,'Odoo Items'!$C$5:$C$4331,"&lt;="&amp;Cover!$C$15)</f>
        <v>1</v>
      </c>
      <c r="AC1087" t="str">
        <f>IF(AND(AA1087=0,AB1087=0),"",IF(AA1087=0,"ODOO-ONLY",IF(AB1087=0,"BANK-ONLY","BOTH")))</f>
        <v>BOTH</v>
      </c>
      <c r="AD1087" s="9">
        <f>IF(AC1087="BOTH",ROUND(Y1087-Z1087,2),0)</f>
        <v>0</v>
      </c>
    </row>
    <row r="1088">
      <c r="A1088" t="inlineStr">
        <is>
          <t>G01084</t>
        </is>
      </c>
      <c r="B1088" t="inlineStr">
        <is>
          <t>OPS</t>
        </is>
      </c>
      <c r="C1088" t="inlineStr">
        <is>
          <t>R09</t>
        </is>
      </c>
      <c r="D1088" t="inlineStr">
        <is>
          <t>MATCH</t>
        </is>
      </c>
      <c r="E1088" t="inlineStr">
        <is>
          <t>Kestrel Lane Foods</t>
        </is>
      </c>
      <c r="F1088" t="n">
        <v>1</v>
      </c>
      <c r="G1088" t="inlineStr">
        <is>
          <t>Reference INV/2026/03516</t>
        </is>
      </c>
      <c r="H1088">
        <f>COUNTIFS('Bank Lines'!$G$5:$G$1640,A1088,'Bank Lines'!$J$5:$J$1640,1)</f>
        <v>1</v>
      </c>
      <c r="I1088">
        <f>COUNTIFS('Odoo Items'!$J$5:$J$4331,A1088)</f>
        <v>1</v>
      </c>
      <c r="J1088" s="9">
        <f>ROUND(SUMIFS('Bank Lines'!$E$5:$E$1640,'Bank Lines'!$G$5:$G$1640,A1088,'Bank Lines'!$J$5:$J$1640,1),2)</f>
        <v>2791.25</v>
      </c>
      <c r="K1088" s="9">
        <f>ROUND(SUMIFS('Odoo Items'!$G$5:$G$4331,'Odoo Items'!$J$5:$J$4331,A1088),2)</f>
        <v>2791.25</v>
      </c>
      <c r="L1088" s="9">
        <f>ROUND(J1088-K1088,2)</f>
        <v>0</v>
      </c>
      <c r="M1088" s="9">
        <f>ROUND(SUMIFS('Bank Lines'!$E$5:$E$1640,'Bank Lines'!$G$5:$G$1640,A1088,'Bank Lines'!$J$5:$J$1640,1,'Bank Lines'!$C$5:$C$1640,"&lt;="&amp;Cover!$C$13),2)</f>
        <v>0</v>
      </c>
      <c r="N1088" s="9">
        <f>ROUND(SUMIFS('Odoo Items'!$G$5:$G$4331,'Odoo Items'!$J$5:$J$4331,A1088,'Odoo Items'!$C$5:$C$4331,"&lt;="&amp;Cover!$C$13),2)</f>
        <v>0</v>
      </c>
      <c r="O1088">
        <f>COUNTIFS('Bank Lines'!$G$5:$G$1640,A1088,'Bank Lines'!$J$5:$J$1640,1,'Bank Lines'!$C$5:$C$1640,"&lt;="&amp;Cover!$C$13)</f>
        <v>0</v>
      </c>
      <c r="P1088">
        <f>COUNTIFS('Odoo Items'!$J$5:$J$4331,A1088,'Odoo Items'!$C$5:$C$4331,"&lt;="&amp;Cover!$C$13)</f>
        <v>0</v>
      </c>
      <c r="Q1088">
        <f>IF(AND(O1088=0,P1088=0),"",IF(O1088=0,"ODOO-ONLY",IF(P1088=0,"BANK-ONLY","BOTH")))</f>
      </c>
      <c r="R1088" s="9">
        <f>IF(Q1088="BOTH",ROUND(M1088-N1088,2),0)</f>
        <v>0</v>
      </c>
      <c r="S1088" s="9">
        <f>ROUND(SUMIFS('Bank Lines'!$E$5:$E$1640,'Bank Lines'!$G$5:$G$1640,A1088,'Bank Lines'!$J$5:$J$1640,1,'Bank Lines'!$C$5:$C$1640,"&lt;="&amp;Cover!$C$14),2)</f>
        <v>0</v>
      </c>
      <c r="T1088" s="9">
        <f>ROUND(SUMIFS('Odoo Items'!$G$5:$G$4331,'Odoo Items'!$J$5:$J$4331,A1088,'Odoo Items'!$C$5:$C$4331,"&lt;="&amp;Cover!$C$14),2)</f>
        <v>0</v>
      </c>
      <c r="U1088">
        <f>COUNTIFS('Bank Lines'!$G$5:$G$1640,A1088,'Bank Lines'!$J$5:$J$1640,1,'Bank Lines'!$C$5:$C$1640,"&lt;="&amp;Cover!$C$14)</f>
        <v>0</v>
      </c>
      <c r="V1088">
        <f>COUNTIFS('Odoo Items'!$J$5:$J$4331,A1088,'Odoo Items'!$C$5:$C$4331,"&lt;="&amp;Cover!$C$14)</f>
        <v>0</v>
      </c>
      <c r="W1088">
        <f>IF(AND(U1088=0,V1088=0),"",IF(U1088=0,"ODOO-ONLY",IF(V1088=0,"BANK-ONLY","BOTH")))</f>
      </c>
      <c r="X1088" s="9">
        <f>IF(W1088="BOTH",ROUND(S1088-T1088,2),0)</f>
        <v>0</v>
      </c>
      <c r="Y1088" s="9">
        <f>ROUND(SUMIFS('Bank Lines'!$E$5:$E$1640,'Bank Lines'!$G$5:$G$1640,A1088,'Bank Lines'!$J$5:$J$1640,1,'Bank Lines'!$C$5:$C$1640,"&lt;="&amp;Cover!$C$15),2)</f>
        <v>2791.25</v>
      </c>
      <c r="Z1088" s="9">
        <f>ROUND(SUMIFS('Odoo Items'!$G$5:$G$4331,'Odoo Items'!$J$5:$J$4331,A1088,'Odoo Items'!$C$5:$C$4331,"&lt;="&amp;Cover!$C$15),2)</f>
        <v>2791.25</v>
      </c>
      <c r="AA1088">
        <f>COUNTIFS('Bank Lines'!$G$5:$G$1640,A1088,'Bank Lines'!$J$5:$J$1640,1,'Bank Lines'!$C$5:$C$1640,"&lt;="&amp;Cover!$C$15)</f>
        <v>1</v>
      </c>
      <c r="AB1088">
        <f>COUNTIFS('Odoo Items'!$J$5:$J$4331,A1088,'Odoo Items'!$C$5:$C$4331,"&lt;="&amp;Cover!$C$15)</f>
        <v>1</v>
      </c>
      <c r="AC1088" t="str">
        <f>IF(AND(AA1088=0,AB1088=0),"",IF(AA1088=0,"ODOO-ONLY",IF(AB1088=0,"BANK-ONLY","BOTH")))</f>
        <v>BOTH</v>
      </c>
      <c r="AD1088" s="9">
        <f>IF(AC1088="BOTH",ROUND(Y1088-Z1088,2),0)</f>
        <v>0</v>
      </c>
    </row>
    <row r="1089">
      <c r="A1089" t="inlineStr">
        <is>
          <t>G01085</t>
        </is>
      </c>
      <c r="B1089" t="inlineStr">
        <is>
          <t>OPS</t>
        </is>
      </c>
      <c r="C1089" t="inlineStr">
        <is>
          <t>R09</t>
        </is>
      </c>
      <c r="D1089" t="inlineStr">
        <is>
          <t>MATCH</t>
        </is>
      </c>
      <c r="E1089" t="inlineStr">
        <is>
          <t>Ashgrove Accounting</t>
        </is>
      </c>
      <c r="F1089" t="n">
        <v>1</v>
      </c>
      <c r="G1089" t="inlineStr">
        <is>
          <t>Reference INV/2026/03543</t>
        </is>
      </c>
      <c r="H1089">
        <f>COUNTIFS('Bank Lines'!$G$5:$G$1640,A1089,'Bank Lines'!$J$5:$J$1640,1)</f>
        <v>1</v>
      </c>
      <c r="I1089">
        <f>COUNTIFS('Odoo Items'!$J$5:$J$4331,A1089)</f>
        <v>1</v>
      </c>
      <c r="J1089" s="9">
        <f>ROUND(SUMIFS('Bank Lines'!$E$5:$E$1640,'Bank Lines'!$G$5:$G$1640,A1089,'Bank Lines'!$J$5:$J$1640,1),2)</f>
        <v>2035</v>
      </c>
      <c r="K1089" s="9">
        <f>ROUND(SUMIFS('Odoo Items'!$G$5:$G$4331,'Odoo Items'!$J$5:$J$4331,A1089),2)</f>
        <v>2035</v>
      </c>
      <c r="L1089" s="9">
        <f>ROUND(J1089-K1089,2)</f>
        <v>0</v>
      </c>
      <c r="M1089" s="9">
        <f>ROUND(SUMIFS('Bank Lines'!$E$5:$E$1640,'Bank Lines'!$G$5:$G$1640,A1089,'Bank Lines'!$J$5:$J$1640,1,'Bank Lines'!$C$5:$C$1640,"&lt;="&amp;Cover!$C$13),2)</f>
        <v>0</v>
      </c>
      <c r="N1089" s="9">
        <f>ROUND(SUMIFS('Odoo Items'!$G$5:$G$4331,'Odoo Items'!$J$5:$J$4331,A1089,'Odoo Items'!$C$5:$C$4331,"&lt;="&amp;Cover!$C$13),2)</f>
        <v>0</v>
      </c>
      <c r="O1089">
        <f>COUNTIFS('Bank Lines'!$G$5:$G$1640,A1089,'Bank Lines'!$J$5:$J$1640,1,'Bank Lines'!$C$5:$C$1640,"&lt;="&amp;Cover!$C$13)</f>
        <v>0</v>
      </c>
      <c r="P1089">
        <f>COUNTIFS('Odoo Items'!$J$5:$J$4331,A1089,'Odoo Items'!$C$5:$C$4331,"&lt;="&amp;Cover!$C$13)</f>
        <v>0</v>
      </c>
      <c r="Q1089">
        <f>IF(AND(O1089=0,P1089=0),"",IF(O1089=0,"ODOO-ONLY",IF(P1089=0,"BANK-ONLY","BOTH")))</f>
      </c>
      <c r="R1089" s="9">
        <f>IF(Q1089="BOTH",ROUND(M1089-N1089,2),0)</f>
        <v>0</v>
      </c>
      <c r="S1089" s="9">
        <f>ROUND(SUMIFS('Bank Lines'!$E$5:$E$1640,'Bank Lines'!$G$5:$G$1640,A1089,'Bank Lines'!$J$5:$J$1640,1,'Bank Lines'!$C$5:$C$1640,"&lt;="&amp;Cover!$C$14),2)</f>
        <v>0</v>
      </c>
      <c r="T1089" s="9">
        <f>ROUND(SUMIFS('Odoo Items'!$G$5:$G$4331,'Odoo Items'!$J$5:$J$4331,A1089,'Odoo Items'!$C$5:$C$4331,"&lt;="&amp;Cover!$C$14),2)</f>
        <v>0</v>
      </c>
      <c r="U1089">
        <f>COUNTIFS('Bank Lines'!$G$5:$G$1640,A1089,'Bank Lines'!$J$5:$J$1640,1,'Bank Lines'!$C$5:$C$1640,"&lt;="&amp;Cover!$C$14)</f>
        <v>0</v>
      </c>
      <c r="V1089">
        <f>COUNTIFS('Odoo Items'!$J$5:$J$4331,A1089,'Odoo Items'!$C$5:$C$4331,"&lt;="&amp;Cover!$C$14)</f>
        <v>0</v>
      </c>
      <c r="W1089">
        <f>IF(AND(U1089=0,V1089=0),"",IF(U1089=0,"ODOO-ONLY",IF(V1089=0,"BANK-ONLY","BOTH")))</f>
      </c>
      <c r="X1089" s="9">
        <f>IF(W1089="BOTH",ROUND(S1089-T1089,2),0)</f>
        <v>0</v>
      </c>
      <c r="Y1089" s="9">
        <f>ROUND(SUMIFS('Bank Lines'!$E$5:$E$1640,'Bank Lines'!$G$5:$G$1640,A1089,'Bank Lines'!$J$5:$J$1640,1,'Bank Lines'!$C$5:$C$1640,"&lt;="&amp;Cover!$C$15),2)</f>
        <v>2035</v>
      </c>
      <c r="Z1089" s="9">
        <f>ROUND(SUMIFS('Odoo Items'!$G$5:$G$4331,'Odoo Items'!$J$5:$J$4331,A1089,'Odoo Items'!$C$5:$C$4331,"&lt;="&amp;Cover!$C$15),2)</f>
        <v>2035</v>
      </c>
      <c r="AA1089">
        <f>COUNTIFS('Bank Lines'!$G$5:$G$1640,A1089,'Bank Lines'!$J$5:$J$1640,1,'Bank Lines'!$C$5:$C$1640,"&lt;="&amp;Cover!$C$15)</f>
        <v>1</v>
      </c>
      <c r="AB1089">
        <f>COUNTIFS('Odoo Items'!$J$5:$J$4331,A1089,'Odoo Items'!$C$5:$C$4331,"&lt;="&amp;Cover!$C$15)</f>
        <v>1</v>
      </c>
      <c r="AC1089" t="str">
        <f>IF(AND(AA1089=0,AB1089=0),"",IF(AA1089=0,"ODOO-ONLY",IF(AB1089=0,"BANK-ONLY","BOTH")))</f>
        <v>BOTH</v>
      </c>
      <c r="AD1089" s="9">
        <f>IF(AC1089="BOTH",ROUND(Y1089-Z1089,2),0)</f>
        <v>0</v>
      </c>
    </row>
    <row r="1090">
      <c r="A1090" t="inlineStr">
        <is>
          <t>G01086</t>
        </is>
      </c>
      <c r="B1090" t="inlineStr">
        <is>
          <t>OPS</t>
        </is>
      </c>
      <c r="C1090" t="inlineStr">
        <is>
          <t>R09</t>
        </is>
      </c>
      <c r="D1090" t="inlineStr">
        <is>
          <t>MATCH</t>
        </is>
      </c>
      <c r="E1090" t="inlineStr">
        <is>
          <t>Inglewood Cold Storage</t>
        </is>
      </c>
      <c r="F1090" t="n">
        <v>1</v>
      </c>
      <c r="G1090" t="inlineStr">
        <is>
          <t>Reference INV/2026/03553</t>
        </is>
      </c>
      <c r="H1090">
        <f>COUNTIFS('Bank Lines'!$G$5:$G$1640,A1090,'Bank Lines'!$J$5:$J$1640,1)</f>
        <v>1</v>
      </c>
      <c r="I1090">
        <f>COUNTIFS('Odoo Items'!$J$5:$J$4331,A1090)</f>
        <v>1</v>
      </c>
      <c r="J1090" s="9">
        <f>ROUND(SUMIFS('Bank Lines'!$E$5:$E$1640,'Bank Lines'!$G$5:$G$1640,A1090,'Bank Lines'!$J$5:$J$1640,1),2)</f>
        <v>10725</v>
      </c>
      <c r="K1090" s="9">
        <f>ROUND(SUMIFS('Odoo Items'!$G$5:$G$4331,'Odoo Items'!$J$5:$J$4331,A1090),2)</f>
        <v>10725</v>
      </c>
      <c r="L1090" s="9">
        <f>ROUND(J1090-K1090,2)</f>
        <v>0</v>
      </c>
      <c r="M1090" s="9">
        <f>ROUND(SUMIFS('Bank Lines'!$E$5:$E$1640,'Bank Lines'!$G$5:$G$1640,A1090,'Bank Lines'!$J$5:$J$1640,1,'Bank Lines'!$C$5:$C$1640,"&lt;="&amp;Cover!$C$13),2)</f>
        <v>0</v>
      </c>
      <c r="N1090" s="9">
        <f>ROUND(SUMIFS('Odoo Items'!$G$5:$G$4331,'Odoo Items'!$J$5:$J$4331,A1090,'Odoo Items'!$C$5:$C$4331,"&lt;="&amp;Cover!$C$13),2)</f>
        <v>0</v>
      </c>
      <c r="O1090">
        <f>COUNTIFS('Bank Lines'!$G$5:$G$1640,A1090,'Bank Lines'!$J$5:$J$1640,1,'Bank Lines'!$C$5:$C$1640,"&lt;="&amp;Cover!$C$13)</f>
        <v>0</v>
      </c>
      <c r="P1090">
        <f>COUNTIFS('Odoo Items'!$J$5:$J$4331,A1090,'Odoo Items'!$C$5:$C$4331,"&lt;="&amp;Cover!$C$13)</f>
        <v>0</v>
      </c>
      <c r="Q1090">
        <f>IF(AND(O1090=0,P1090=0),"",IF(O1090=0,"ODOO-ONLY",IF(P1090=0,"BANK-ONLY","BOTH")))</f>
      </c>
      <c r="R1090" s="9">
        <f>IF(Q1090="BOTH",ROUND(M1090-N1090,2),0)</f>
        <v>0</v>
      </c>
      <c r="S1090" s="9">
        <f>ROUND(SUMIFS('Bank Lines'!$E$5:$E$1640,'Bank Lines'!$G$5:$G$1640,A1090,'Bank Lines'!$J$5:$J$1640,1,'Bank Lines'!$C$5:$C$1640,"&lt;="&amp;Cover!$C$14),2)</f>
        <v>0</v>
      </c>
      <c r="T1090" s="9">
        <f>ROUND(SUMIFS('Odoo Items'!$G$5:$G$4331,'Odoo Items'!$J$5:$J$4331,A1090,'Odoo Items'!$C$5:$C$4331,"&lt;="&amp;Cover!$C$14),2)</f>
        <v>0</v>
      </c>
      <c r="U1090">
        <f>COUNTIFS('Bank Lines'!$G$5:$G$1640,A1090,'Bank Lines'!$J$5:$J$1640,1,'Bank Lines'!$C$5:$C$1640,"&lt;="&amp;Cover!$C$14)</f>
        <v>0</v>
      </c>
      <c r="V1090">
        <f>COUNTIFS('Odoo Items'!$J$5:$J$4331,A1090,'Odoo Items'!$C$5:$C$4331,"&lt;="&amp;Cover!$C$14)</f>
        <v>0</v>
      </c>
      <c r="W1090">
        <f>IF(AND(U1090=0,V1090=0),"",IF(U1090=0,"ODOO-ONLY",IF(V1090=0,"BANK-ONLY","BOTH")))</f>
      </c>
      <c r="X1090" s="9">
        <f>IF(W1090="BOTH",ROUND(S1090-T1090,2),0)</f>
        <v>0</v>
      </c>
      <c r="Y1090" s="9">
        <f>ROUND(SUMIFS('Bank Lines'!$E$5:$E$1640,'Bank Lines'!$G$5:$G$1640,A1090,'Bank Lines'!$J$5:$J$1640,1,'Bank Lines'!$C$5:$C$1640,"&lt;="&amp;Cover!$C$15),2)</f>
        <v>10725</v>
      </c>
      <c r="Z1090" s="9">
        <f>ROUND(SUMIFS('Odoo Items'!$G$5:$G$4331,'Odoo Items'!$J$5:$J$4331,A1090,'Odoo Items'!$C$5:$C$4331,"&lt;="&amp;Cover!$C$15),2)</f>
        <v>10725</v>
      </c>
      <c r="AA1090">
        <f>COUNTIFS('Bank Lines'!$G$5:$G$1640,A1090,'Bank Lines'!$J$5:$J$1640,1,'Bank Lines'!$C$5:$C$1640,"&lt;="&amp;Cover!$C$15)</f>
        <v>1</v>
      </c>
      <c r="AB1090">
        <f>COUNTIFS('Odoo Items'!$J$5:$J$4331,A1090,'Odoo Items'!$C$5:$C$4331,"&lt;="&amp;Cover!$C$15)</f>
        <v>1</v>
      </c>
      <c r="AC1090" t="str">
        <f>IF(AND(AA1090=0,AB1090=0),"",IF(AA1090=0,"ODOO-ONLY",IF(AB1090=0,"BANK-ONLY","BOTH")))</f>
        <v>BOTH</v>
      </c>
      <c r="AD1090" s="9">
        <f>IF(AC1090="BOTH",ROUND(Y1090-Z1090,2),0)</f>
        <v>0</v>
      </c>
    </row>
    <row r="1091">
      <c r="A1091" t="inlineStr">
        <is>
          <t>G01087</t>
        </is>
      </c>
      <c r="B1091" t="inlineStr">
        <is>
          <t>OPS</t>
        </is>
      </c>
      <c r="C1091" t="inlineStr">
        <is>
          <t>R09</t>
        </is>
      </c>
      <c r="D1091" t="inlineStr">
        <is>
          <t>MATCH</t>
        </is>
      </c>
      <c r="E1091" t="inlineStr">
        <is>
          <t>Jarrah Ridge Estates</t>
        </is>
      </c>
      <c r="F1091" t="n">
        <v>1</v>
      </c>
      <c r="G1091" t="inlineStr">
        <is>
          <t>Reference INV/2026/03555</t>
        </is>
      </c>
      <c r="H1091">
        <f>COUNTIFS('Bank Lines'!$G$5:$G$1640,A1091,'Bank Lines'!$J$5:$J$1640,1)</f>
        <v>1</v>
      </c>
      <c r="I1091">
        <f>COUNTIFS('Odoo Items'!$J$5:$J$4331,A1091)</f>
        <v>1</v>
      </c>
      <c r="J1091" s="9">
        <f>ROUND(SUMIFS('Bank Lines'!$E$5:$E$1640,'Bank Lines'!$G$5:$G$1640,A1091,'Bank Lines'!$J$5:$J$1640,1),2)</f>
        <v>5280</v>
      </c>
      <c r="K1091" s="9">
        <f>ROUND(SUMIFS('Odoo Items'!$G$5:$G$4331,'Odoo Items'!$J$5:$J$4331,A1091),2)</f>
        <v>5280</v>
      </c>
      <c r="L1091" s="9">
        <f>ROUND(J1091-K1091,2)</f>
        <v>0</v>
      </c>
      <c r="M1091" s="9">
        <f>ROUND(SUMIFS('Bank Lines'!$E$5:$E$1640,'Bank Lines'!$G$5:$G$1640,A1091,'Bank Lines'!$J$5:$J$1640,1,'Bank Lines'!$C$5:$C$1640,"&lt;="&amp;Cover!$C$13),2)</f>
        <v>0</v>
      </c>
      <c r="N1091" s="9">
        <f>ROUND(SUMIFS('Odoo Items'!$G$5:$G$4331,'Odoo Items'!$J$5:$J$4331,A1091,'Odoo Items'!$C$5:$C$4331,"&lt;="&amp;Cover!$C$13),2)</f>
        <v>0</v>
      </c>
      <c r="O1091">
        <f>COUNTIFS('Bank Lines'!$G$5:$G$1640,A1091,'Bank Lines'!$J$5:$J$1640,1,'Bank Lines'!$C$5:$C$1640,"&lt;="&amp;Cover!$C$13)</f>
        <v>0</v>
      </c>
      <c r="P1091">
        <f>COUNTIFS('Odoo Items'!$J$5:$J$4331,A1091,'Odoo Items'!$C$5:$C$4331,"&lt;="&amp;Cover!$C$13)</f>
        <v>0</v>
      </c>
      <c r="Q1091">
        <f>IF(AND(O1091=0,P1091=0),"",IF(O1091=0,"ODOO-ONLY",IF(P1091=0,"BANK-ONLY","BOTH")))</f>
      </c>
      <c r="R1091" s="9">
        <f>IF(Q1091="BOTH",ROUND(M1091-N1091,2),0)</f>
        <v>0</v>
      </c>
      <c r="S1091" s="9">
        <f>ROUND(SUMIFS('Bank Lines'!$E$5:$E$1640,'Bank Lines'!$G$5:$G$1640,A1091,'Bank Lines'!$J$5:$J$1640,1,'Bank Lines'!$C$5:$C$1640,"&lt;="&amp;Cover!$C$14),2)</f>
        <v>0</v>
      </c>
      <c r="T1091" s="9">
        <f>ROUND(SUMIFS('Odoo Items'!$G$5:$G$4331,'Odoo Items'!$J$5:$J$4331,A1091,'Odoo Items'!$C$5:$C$4331,"&lt;="&amp;Cover!$C$14),2)</f>
        <v>0</v>
      </c>
      <c r="U1091">
        <f>COUNTIFS('Bank Lines'!$G$5:$G$1640,A1091,'Bank Lines'!$J$5:$J$1640,1,'Bank Lines'!$C$5:$C$1640,"&lt;="&amp;Cover!$C$14)</f>
        <v>0</v>
      </c>
      <c r="V1091">
        <f>COUNTIFS('Odoo Items'!$J$5:$J$4331,A1091,'Odoo Items'!$C$5:$C$4331,"&lt;="&amp;Cover!$C$14)</f>
        <v>0</v>
      </c>
      <c r="W1091">
        <f>IF(AND(U1091=0,V1091=0),"",IF(U1091=0,"ODOO-ONLY",IF(V1091=0,"BANK-ONLY","BOTH")))</f>
      </c>
      <c r="X1091" s="9">
        <f>IF(W1091="BOTH",ROUND(S1091-T1091,2),0)</f>
        <v>0</v>
      </c>
      <c r="Y1091" s="9">
        <f>ROUND(SUMIFS('Bank Lines'!$E$5:$E$1640,'Bank Lines'!$G$5:$G$1640,A1091,'Bank Lines'!$J$5:$J$1640,1,'Bank Lines'!$C$5:$C$1640,"&lt;="&amp;Cover!$C$15),2)</f>
        <v>5280</v>
      </c>
      <c r="Z1091" s="9">
        <f>ROUND(SUMIFS('Odoo Items'!$G$5:$G$4331,'Odoo Items'!$J$5:$J$4331,A1091,'Odoo Items'!$C$5:$C$4331,"&lt;="&amp;Cover!$C$15),2)</f>
        <v>5280</v>
      </c>
      <c r="AA1091">
        <f>COUNTIFS('Bank Lines'!$G$5:$G$1640,A1091,'Bank Lines'!$J$5:$J$1640,1,'Bank Lines'!$C$5:$C$1640,"&lt;="&amp;Cover!$C$15)</f>
        <v>1</v>
      </c>
      <c r="AB1091">
        <f>COUNTIFS('Odoo Items'!$J$5:$J$4331,A1091,'Odoo Items'!$C$5:$C$4331,"&lt;="&amp;Cover!$C$15)</f>
        <v>1</v>
      </c>
      <c r="AC1091" t="str">
        <f>IF(AND(AA1091=0,AB1091=0),"",IF(AA1091=0,"ODOO-ONLY",IF(AB1091=0,"BANK-ONLY","BOTH")))</f>
        <v>BOTH</v>
      </c>
      <c r="AD1091" s="9">
        <f>IF(AC1091="BOTH",ROUND(Y1091-Z1091,2),0)</f>
        <v>0</v>
      </c>
    </row>
    <row r="1092">
      <c r="A1092" t="inlineStr">
        <is>
          <t>G01088</t>
        </is>
      </c>
      <c r="B1092" t="inlineStr">
        <is>
          <t>OPS</t>
        </is>
      </c>
      <c r="C1092" t="inlineStr">
        <is>
          <t>R09</t>
        </is>
      </c>
      <c r="D1092" t="inlineStr">
        <is>
          <t>MATCH</t>
        </is>
      </c>
      <c r="E1092" t="inlineStr">
        <is>
          <t>Lockhart Glass</t>
        </is>
      </c>
      <c r="F1092" t="n">
        <v>1</v>
      </c>
      <c r="G1092" t="inlineStr">
        <is>
          <t>Reference INV/2026/03558</t>
        </is>
      </c>
      <c r="H1092">
        <f>COUNTIFS('Bank Lines'!$G$5:$G$1640,A1092,'Bank Lines'!$J$5:$J$1640,1)</f>
        <v>1</v>
      </c>
      <c r="I1092">
        <f>COUNTIFS('Odoo Items'!$J$5:$J$4331,A1092)</f>
        <v>1</v>
      </c>
      <c r="J1092" s="9">
        <f>ROUND(SUMIFS('Bank Lines'!$E$5:$E$1640,'Bank Lines'!$G$5:$G$1640,A1092,'Bank Lines'!$J$5:$J$1640,1),2)</f>
        <v>2791.25</v>
      </c>
      <c r="K1092" s="9">
        <f>ROUND(SUMIFS('Odoo Items'!$G$5:$G$4331,'Odoo Items'!$J$5:$J$4331,A1092),2)</f>
        <v>2791.25</v>
      </c>
      <c r="L1092" s="9">
        <f>ROUND(J1092-K1092,2)</f>
        <v>0</v>
      </c>
      <c r="M1092" s="9">
        <f>ROUND(SUMIFS('Bank Lines'!$E$5:$E$1640,'Bank Lines'!$G$5:$G$1640,A1092,'Bank Lines'!$J$5:$J$1640,1,'Bank Lines'!$C$5:$C$1640,"&lt;="&amp;Cover!$C$13),2)</f>
        <v>0</v>
      </c>
      <c r="N1092" s="9">
        <f>ROUND(SUMIFS('Odoo Items'!$G$5:$G$4331,'Odoo Items'!$J$5:$J$4331,A1092,'Odoo Items'!$C$5:$C$4331,"&lt;="&amp;Cover!$C$13),2)</f>
        <v>0</v>
      </c>
      <c r="O1092">
        <f>COUNTIFS('Bank Lines'!$G$5:$G$1640,A1092,'Bank Lines'!$J$5:$J$1640,1,'Bank Lines'!$C$5:$C$1640,"&lt;="&amp;Cover!$C$13)</f>
        <v>0</v>
      </c>
      <c r="P1092">
        <f>COUNTIFS('Odoo Items'!$J$5:$J$4331,A1092,'Odoo Items'!$C$5:$C$4331,"&lt;="&amp;Cover!$C$13)</f>
        <v>0</v>
      </c>
      <c r="Q1092">
        <f>IF(AND(O1092=0,P1092=0),"",IF(O1092=0,"ODOO-ONLY",IF(P1092=0,"BANK-ONLY","BOTH")))</f>
      </c>
      <c r="R1092" s="9">
        <f>IF(Q1092="BOTH",ROUND(M1092-N1092,2),0)</f>
        <v>0</v>
      </c>
      <c r="S1092" s="9">
        <f>ROUND(SUMIFS('Bank Lines'!$E$5:$E$1640,'Bank Lines'!$G$5:$G$1640,A1092,'Bank Lines'!$J$5:$J$1640,1,'Bank Lines'!$C$5:$C$1640,"&lt;="&amp;Cover!$C$14),2)</f>
        <v>0</v>
      </c>
      <c r="T1092" s="9">
        <f>ROUND(SUMIFS('Odoo Items'!$G$5:$G$4331,'Odoo Items'!$J$5:$J$4331,A1092,'Odoo Items'!$C$5:$C$4331,"&lt;="&amp;Cover!$C$14),2)</f>
        <v>0</v>
      </c>
      <c r="U1092">
        <f>COUNTIFS('Bank Lines'!$G$5:$G$1640,A1092,'Bank Lines'!$J$5:$J$1640,1,'Bank Lines'!$C$5:$C$1640,"&lt;="&amp;Cover!$C$14)</f>
        <v>0</v>
      </c>
      <c r="V1092">
        <f>COUNTIFS('Odoo Items'!$J$5:$J$4331,A1092,'Odoo Items'!$C$5:$C$4331,"&lt;="&amp;Cover!$C$14)</f>
        <v>0</v>
      </c>
      <c r="W1092">
        <f>IF(AND(U1092=0,V1092=0),"",IF(U1092=0,"ODOO-ONLY",IF(V1092=0,"BANK-ONLY","BOTH")))</f>
      </c>
      <c r="X1092" s="9">
        <f>IF(W1092="BOTH",ROUND(S1092-T1092,2),0)</f>
        <v>0</v>
      </c>
      <c r="Y1092" s="9">
        <f>ROUND(SUMIFS('Bank Lines'!$E$5:$E$1640,'Bank Lines'!$G$5:$G$1640,A1092,'Bank Lines'!$J$5:$J$1640,1,'Bank Lines'!$C$5:$C$1640,"&lt;="&amp;Cover!$C$15),2)</f>
        <v>2791.25</v>
      </c>
      <c r="Z1092" s="9">
        <f>ROUND(SUMIFS('Odoo Items'!$G$5:$G$4331,'Odoo Items'!$J$5:$J$4331,A1092,'Odoo Items'!$C$5:$C$4331,"&lt;="&amp;Cover!$C$15),2)</f>
        <v>2791.25</v>
      </c>
      <c r="AA1092">
        <f>COUNTIFS('Bank Lines'!$G$5:$G$1640,A1092,'Bank Lines'!$J$5:$J$1640,1,'Bank Lines'!$C$5:$C$1640,"&lt;="&amp;Cover!$C$15)</f>
        <v>1</v>
      </c>
      <c r="AB1092">
        <f>COUNTIFS('Odoo Items'!$J$5:$J$4331,A1092,'Odoo Items'!$C$5:$C$4331,"&lt;="&amp;Cover!$C$15)</f>
        <v>1</v>
      </c>
      <c r="AC1092" t="str">
        <f>IF(AND(AA1092=0,AB1092=0),"",IF(AA1092=0,"ODOO-ONLY",IF(AB1092=0,"BANK-ONLY","BOTH")))</f>
        <v>BOTH</v>
      </c>
      <c r="AD1092" s="9">
        <f>IF(AC1092="BOTH",ROUND(Y1092-Z1092,2),0)</f>
        <v>0</v>
      </c>
    </row>
    <row r="1093">
      <c r="A1093" t="inlineStr">
        <is>
          <t>G01089</t>
        </is>
      </c>
      <c r="B1093" t="inlineStr">
        <is>
          <t>OPS</t>
        </is>
      </c>
      <c r="C1093" t="inlineStr">
        <is>
          <t>R09</t>
        </is>
      </c>
      <c r="D1093" t="inlineStr">
        <is>
          <t>MATCH</t>
        </is>
      </c>
      <c r="E1093" t="inlineStr">
        <is>
          <t>Pinnacle Claims Services</t>
        </is>
      </c>
      <c r="F1093" t="n">
        <v>1</v>
      </c>
      <c r="G1093" t="inlineStr">
        <is>
          <t>Reference INV/2026/03009</t>
        </is>
      </c>
      <c r="H1093">
        <f>COUNTIFS('Bank Lines'!$G$5:$G$1640,A1093,'Bank Lines'!$J$5:$J$1640,1)</f>
        <v>1</v>
      </c>
      <c r="I1093">
        <f>COUNTIFS('Odoo Items'!$J$5:$J$4331,A1093)</f>
        <v>1</v>
      </c>
      <c r="J1093" s="9">
        <f>ROUND(SUMIFS('Bank Lines'!$E$5:$E$1640,'Bank Lines'!$G$5:$G$1640,A1093,'Bank Lines'!$J$5:$J$1640,1),2)</f>
        <v>132</v>
      </c>
      <c r="K1093" s="9">
        <f>ROUND(SUMIFS('Odoo Items'!$G$5:$G$4331,'Odoo Items'!$J$5:$J$4331,A1093),2)</f>
        <v>132</v>
      </c>
      <c r="L1093" s="9">
        <f>ROUND(J1093-K1093,2)</f>
        <v>0</v>
      </c>
      <c r="M1093" s="9">
        <f>ROUND(SUMIFS('Bank Lines'!$E$5:$E$1640,'Bank Lines'!$G$5:$G$1640,A1093,'Bank Lines'!$J$5:$J$1640,1,'Bank Lines'!$C$5:$C$1640,"&lt;="&amp;Cover!$C$13),2)</f>
        <v>0</v>
      </c>
      <c r="N1093" s="9">
        <f>ROUND(SUMIFS('Odoo Items'!$G$5:$G$4331,'Odoo Items'!$J$5:$J$4331,A1093,'Odoo Items'!$C$5:$C$4331,"&lt;="&amp;Cover!$C$13),2)</f>
        <v>0</v>
      </c>
      <c r="O1093">
        <f>COUNTIFS('Bank Lines'!$G$5:$G$1640,A1093,'Bank Lines'!$J$5:$J$1640,1,'Bank Lines'!$C$5:$C$1640,"&lt;="&amp;Cover!$C$13)</f>
        <v>0</v>
      </c>
      <c r="P1093">
        <f>COUNTIFS('Odoo Items'!$J$5:$J$4331,A1093,'Odoo Items'!$C$5:$C$4331,"&lt;="&amp;Cover!$C$13)</f>
        <v>0</v>
      </c>
      <c r="Q1093">
        <f>IF(AND(O1093=0,P1093=0),"",IF(O1093=0,"ODOO-ONLY",IF(P1093=0,"BANK-ONLY","BOTH")))</f>
      </c>
      <c r="R1093" s="9">
        <f>IF(Q1093="BOTH",ROUND(M1093-N1093,2),0)</f>
        <v>0</v>
      </c>
      <c r="S1093" s="9">
        <f>ROUND(SUMIFS('Bank Lines'!$E$5:$E$1640,'Bank Lines'!$G$5:$G$1640,A1093,'Bank Lines'!$J$5:$J$1640,1,'Bank Lines'!$C$5:$C$1640,"&lt;="&amp;Cover!$C$14),2)</f>
        <v>0</v>
      </c>
      <c r="T1093" s="9">
        <f>ROUND(SUMIFS('Odoo Items'!$G$5:$G$4331,'Odoo Items'!$J$5:$J$4331,A1093,'Odoo Items'!$C$5:$C$4331,"&lt;="&amp;Cover!$C$14),2)</f>
        <v>0</v>
      </c>
      <c r="U1093">
        <f>COUNTIFS('Bank Lines'!$G$5:$G$1640,A1093,'Bank Lines'!$J$5:$J$1640,1,'Bank Lines'!$C$5:$C$1640,"&lt;="&amp;Cover!$C$14)</f>
        <v>0</v>
      </c>
      <c r="V1093">
        <f>COUNTIFS('Odoo Items'!$J$5:$J$4331,A1093,'Odoo Items'!$C$5:$C$4331,"&lt;="&amp;Cover!$C$14)</f>
        <v>0</v>
      </c>
      <c r="W1093">
        <f>IF(AND(U1093=0,V1093=0),"",IF(U1093=0,"ODOO-ONLY",IF(V1093=0,"BANK-ONLY","BOTH")))</f>
      </c>
      <c r="X1093" s="9">
        <f>IF(W1093="BOTH",ROUND(S1093-T1093,2),0)</f>
        <v>0</v>
      </c>
      <c r="Y1093" s="9">
        <f>ROUND(SUMIFS('Bank Lines'!$E$5:$E$1640,'Bank Lines'!$G$5:$G$1640,A1093,'Bank Lines'!$J$5:$J$1640,1,'Bank Lines'!$C$5:$C$1640,"&lt;="&amp;Cover!$C$15),2)</f>
        <v>132</v>
      </c>
      <c r="Z1093" s="9">
        <f>ROUND(SUMIFS('Odoo Items'!$G$5:$G$4331,'Odoo Items'!$J$5:$J$4331,A1093,'Odoo Items'!$C$5:$C$4331,"&lt;="&amp;Cover!$C$15),2)</f>
        <v>132</v>
      </c>
      <c r="AA1093">
        <f>COUNTIFS('Bank Lines'!$G$5:$G$1640,A1093,'Bank Lines'!$J$5:$J$1640,1,'Bank Lines'!$C$5:$C$1640,"&lt;="&amp;Cover!$C$15)</f>
        <v>1</v>
      </c>
      <c r="AB1093">
        <f>COUNTIFS('Odoo Items'!$J$5:$J$4331,A1093,'Odoo Items'!$C$5:$C$4331,"&lt;="&amp;Cover!$C$15)</f>
        <v>1</v>
      </c>
      <c r="AC1093" t="str">
        <f>IF(AND(AA1093=0,AB1093=0),"",IF(AA1093=0,"ODOO-ONLY",IF(AB1093=0,"BANK-ONLY","BOTH")))</f>
        <v>BOTH</v>
      </c>
      <c r="AD1093" s="9">
        <f>IF(AC1093="BOTH",ROUND(Y1093-Z1093,2),0)</f>
        <v>0</v>
      </c>
    </row>
    <row r="1094">
      <c r="A1094" t="inlineStr">
        <is>
          <t>G01090</t>
        </is>
      </c>
      <c r="B1094" t="inlineStr">
        <is>
          <t>OPS</t>
        </is>
      </c>
      <c r="C1094" t="inlineStr">
        <is>
          <t>R09</t>
        </is>
      </c>
      <c r="D1094" t="inlineStr">
        <is>
          <t>MATCH</t>
        </is>
      </c>
      <c r="E1094" t="inlineStr">
        <is>
          <t>Calder Freight Group</t>
        </is>
      </c>
      <c r="F1094" t="n">
        <v>0.973</v>
      </c>
      <c r="G1094" t="inlineStr">
        <is>
          <t>Reference INV/2026/03519</t>
        </is>
      </c>
      <c r="H1094">
        <f>COUNTIFS('Bank Lines'!$G$5:$G$1640,A1094,'Bank Lines'!$J$5:$J$1640,1)</f>
        <v>1</v>
      </c>
      <c r="I1094">
        <f>COUNTIFS('Odoo Items'!$J$5:$J$4331,A1094)</f>
        <v>1</v>
      </c>
      <c r="J1094" s="9">
        <f>ROUND(SUMIFS('Bank Lines'!$E$5:$E$1640,'Bank Lines'!$G$5:$G$1640,A1094,'Bank Lines'!$J$5:$J$1640,1),2)</f>
        <v>6971.25</v>
      </c>
      <c r="K1094" s="9">
        <f>ROUND(SUMIFS('Odoo Items'!$G$5:$G$4331,'Odoo Items'!$J$5:$J$4331,A1094),2)</f>
        <v>6971.25</v>
      </c>
      <c r="L1094" s="9">
        <f>ROUND(J1094-K1094,2)</f>
        <v>0</v>
      </c>
      <c r="M1094" s="9">
        <f>ROUND(SUMIFS('Bank Lines'!$E$5:$E$1640,'Bank Lines'!$G$5:$G$1640,A1094,'Bank Lines'!$J$5:$J$1640,1,'Bank Lines'!$C$5:$C$1640,"&lt;="&amp;Cover!$C$13),2)</f>
        <v>0</v>
      </c>
      <c r="N1094" s="9">
        <f>ROUND(SUMIFS('Odoo Items'!$G$5:$G$4331,'Odoo Items'!$J$5:$J$4331,A1094,'Odoo Items'!$C$5:$C$4331,"&lt;="&amp;Cover!$C$13),2)</f>
        <v>0</v>
      </c>
      <c r="O1094">
        <f>COUNTIFS('Bank Lines'!$G$5:$G$1640,A1094,'Bank Lines'!$J$5:$J$1640,1,'Bank Lines'!$C$5:$C$1640,"&lt;="&amp;Cover!$C$13)</f>
        <v>0</v>
      </c>
      <c r="P1094">
        <f>COUNTIFS('Odoo Items'!$J$5:$J$4331,A1094,'Odoo Items'!$C$5:$C$4331,"&lt;="&amp;Cover!$C$13)</f>
        <v>0</v>
      </c>
      <c r="Q1094">
        <f>IF(AND(O1094=0,P1094=0),"",IF(O1094=0,"ODOO-ONLY",IF(P1094=0,"BANK-ONLY","BOTH")))</f>
      </c>
      <c r="R1094" s="9">
        <f>IF(Q1094="BOTH",ROUND(M1094-N1094,2),0)</f>
        <v>0</v>
      </c>
      <c r="S1094" s="9">
        <f>ROUND(SUMIFS('Bank Lines'!$E$5:$E$1640,'Bank Lines'!$G$5:$G$1640,A1094,'Bank Lines'!$J$5:$J$1640,1,'Bank Lines'!$C$5:$C$1640,"&lt;="&amp;Cover!$C$14),2)</f>
        <v>0</v>
      </c>
      <c r="T1094" s="9">
        <f>ROUND(SUMIFS('Odoo Items'!$G$5:$G$4331,'Odoo Items'!$J$5:$J$4331,A1094,'Odoo Items'!$C$5:$C$4331,"&lt;="&amp;Cover!$C$14),2)</f>
        <v>0</v>
      </c>
      <c r="U1094">
        <f>COUNTIFS('Bank Lines'!$G$5:$G$1640,A1094,'Bank Lines'!$J$5:$J$1640,1,'Bank Lines'!$C$5:$C$1640,"&lt;="&amp;Cover!$C$14)</f>
        <v>0</v>
      </c>
      <c r="V1094">
        <f>COUNTIFS('Odoo Items'!$J$5:$J$4331,A1094,'Odoo Items'!$C$5:$C$4331,"&lt;="&amp;Cover!$C$14)</f>
        <v>0</v>
      </c>
      <c r="W1094">
        <f>IF(AND(U1094=0,V1094=0),"",IF(U1094=0,"ODOO-ONLY",IF(V1094=0,"BANK-ONLY","BOTH")))</f>
      </c>
      <c r="X1094" s="9">
        <f>IF(W1094="BOTH",ROUND(S1094-T1094,2),0)</f>
        <v>0</v>
      </c>
      <c r="Y1094" s="9">
        <f>ROUND(SUMIFS('Bank Lines'!$E$5:$E$1640,'Bank Lines'!$G$5:$G$1640,A1094,'Bank Lines'!$J$5:$J$1640,1,'Bank Lines'!$C$5:$C$1640,"&lt;="&amp;Cover!$C$15),2)</f>
        <v>6971.25</v>
      </c>
      <c r="Z1094" s="9">
        <f>ROUND(SUMIFS('Odoo Items'!$G$5:$G$4331,'Odoo Items'!$J$5:$J$4331,A1094,'Odoo Items'!$C$5:$C$4331,"&lt;="&amp;Cover!$C$15),2)</f>
        <v>6971.25</v>
      </c>
      <c r="AA1094">
        <f>COUNTIFS('Bank Lines'!$G$5:$G$1640,A1094,'Bank Lines'!$J$5:$J$1640,1,'Bank Lines'!$C$5:$C$1640,"&lt;="&amp;Cover!$C$15)</f>
        <v>1</v>
      </c>
      <c r="AB1094">
        <f>COUNTIFS('Odoo Items'!$J$5:$J$4331,A1094,'Odoo Items'!$C$5:$C$4331,"&lt;="&amp;Cover!$C$15)</f>
        <v>1</v>
      </c>
      <c r="AC1094" t="str">
        <f>IF(AND(AA1094=0,AB1094=0),"",IF(AA1094=0,"ODOO-ONLY",IF(AB1094=0,"BANK-ONLY","BOTH")))</f>
        <v>BOTH</v>
      </c>
      <c r="AD1094" s="9">
        <f>IF(AC1094="BOTH",ROUND(Y1094-Z1094,2),0)</f>
        <v>0</v>
      </c>
    </row>
    <row r="1095">
      <c r="A1095" t="inlineStr">
        <is>
          <t>G01091</t>
        </is>
      </c>
      <c r="B1095" t="inlineStr">
        <is>
          <t>OPS</t>
        </is>
      </c>
      <c r="C1095" t="inlineStr">
        <is>
          <t>R09</t>
        </is>
      </c>
      <c r="D1095" t="inlineStr">
        <is>
          <t>MATCH</t>
        </is>
      </c>
      <c r="E1095" t="inlineStr">
        <is>
          <t>Pellucid Software Pty Ltd</t>
        </is>
      </c>
      <c r="F1095" t="n">
        <v>1</v>
      </c>
      <c r="G1095" t="inlineStr">
        <is>
          <t>Reference INV/2026/03523</t>
        </is>
      </c>
      <c r="H1095">
        <f>COUNTIFS('Bank Lines'!$G$5:$G$1640,A1095,'Bank Lines'!$J$5:$J$1640,1)</f>
        <v>1</v>
      </c>
      <c r="I1095">
        <f>COUNTIFS('Odoo Items'!$J$5:$J$4331,A1095)</f>
        <v>1</v>
      </c>
      <c r="J1095" s="9">
        <f>ROUND(SUMIFS('Bank Lines'!$E$5:$E$1640,'Bank Lines'!$G$5:$G$1640,A1095,'Bank Lines'!$J$5:$J$1640,1),2)</f>
        <v>10725</v>
      </c>
      <c r="K1095" s="9">
        <f>ROUND(SUMIFS('Odoo Items'!$G$5:$G$4331,'Odoo Items'!$J$5:$J$4331,A1095),2)</f>
        <v>10725</v>
      </c>
      <c r="L1095" s="9">
        <f>ROUND(J1095-K1095,2)</f>
        <v>0</v>
      </c>
      <c r="M1095" s="9">
        <f>ROUND(SUMIFS('Bank Lines'!$E$5:$E$1640,'Bank Lines'!$G$5:$G$1640,A1095,'Bank Lines'!$J$5:$J$1640,1,'Bank Lines'!$C$5:$C$1640,"&lt;="&amp;Cover!$C$13),2)</f>
        <v>0</v>
      </c>
      <c r="N1095" s="9">
        <f>ROUND(SUMIFS('Odoo Items'!$G$5:$G$4331,'Odoo Items'!$J$5:$J$4331,A1095,'Odoo Items'!$C$5:$C$4331,"&lt;="&amp;Cover!$C$13),2)</f>
        <v>0</v>
      </c>
      <c r="O1095">
        <f>COUNTIFS('Bank Lines'!$G$5:$G$1640,A1095,'Bank Lines'!$J$5:$J$1640,1,'Bank Lines'!$C$5:$C$1640,"&lt;="&amp;Cover!$C$13)</f>
        <v>0</v>
      </c>
      <c r="P1095">
        <f>COUNTIFS('Odoo Items'!$J$5:$J$4331,A1095,'Odoo Items'!$C$5:$C$4331,"&lt;="&amp;Cover!$C$13)</f>
        <v>0</v>
      </c>
      <c r="Q1095">
        <f>IF(AND(O1095=0,P1095=0),"",IF(O1095=0,"ODOO-ONLY",IF(P1095=0,"BANK-ONLY","BOTH")))</f>
      </c>
      <c r="R1095" s="9">
        <f>IF(Q1095="BOTH",ROUND(M1095-N1095,2),0)</f>
        <v>0</v>
      </c>
      <c r="S1095" s="9">
        <f>ROUND(SUMIFS('Bank Lines'!$E$5:$E$1640,'Bank Lines'!$G$5:$G$1640,A1095,'Bank Lines'!$J$5:$J$1640,1,'Bank Lines'!$C$5:$C$1640,"&lt;="&amp;Cover!$C$14),2)</f>
        <v>0</v>
      </c>
      <c r="T1095" s="9">
        <f>ROUND(SUMIFS('Odoo Items'!$G$5:$G$4331,'Odoo Items'!$J$5:$J$4331,A1095,'Odoo Items'!$C$5:$C$4331,"&lt;="&amp;Cover!$C$14),2)</f>
        <v>0</v>
      </c>
      <c r="U1095">
        <f>COUNTIFS('Bank Lines'!$G$5:$G$1640,A1095,'Bank Lines'!$J$5:$J$1640,1,'Bank Lines'!$C$5:$C$1640,"&lt;="&amp;Cover!$C$14)</f>
        <v>0</v>
      </c>
      <c r="V1095">
        <f>COUNTIFS('Odoo Items'!$J$5:$J$4331,A1095,'Odoo Items'!$C$5:$C$4331,"&lt;="&amp;Cover!$C$14)</f>
        <v>0</v>
      </c>
      <c r="W1095">
        <f>IF(AND(U1095=0,V1095=0),"",IF(U1095=0,"ODOO-ONLY",IF(V1095=0,"BANK-ONLY","BOTH")))</f>
      </c>
      <c r="X1095" s="9">
        <f>IF(W1095="BOTH",ROUND(S1095-T1095,2),0)</f>
        <v>0</v>
      </c>
      <c r="Y1095" s="9">
        <f>ROUND(SUMIFS('Bank Lines'!$E$5:$E$1640,'Bank Lines'!$G$5:$G$1640,A1095,'Bank Lines'!$J$5:$J$1640,1,'Bank Lines'!$C$5:$C$1640,"&lt;="&amp;Cover!$C$15),2)</f>
        <v>10725</v>
      </c>
      <c r="Z1095" s="9">
        <f>ROUND(SUMIFS('Odoo Items'!$G$5:$G$4331,'Odoo Items'!$J$5:$J$4331,A1095,'Odoo Items'!$C$5:$C$4331,"&lt;="&amp;Cover!$C$15),2)</f>
        <v>10725</v>
      </c>
      <c r="AA1095">
        <f>COUNTIFS('Bank Lines'!$G$5:$G$1640,A1095,'Bank Lines'!$J$5:$J$1640,1,'Bank Lines'!$C$5:$C$1640,"&lt;="&amp;Cover!$C$15)</f>
        <v>1</v>
      </c>
      <c r="AB1095">
        <f>COUNTIFS('Odoo Items'!$J$5:$J$4331,A1095,'Odoo Items'!$C$5:$C$4331,"&lt;="&amp;Cover!$C$15)</f>
        <v>1</v>
      </c>
      <c r="AC1095" t="str">
        <f>IF(AND(AA1095=0,AB1095=0),"",IF(AA1095=0,"ODOO-ONLY",IF(AB1095=0,"BANK-ONLY","BOTH")))</f>
        <v>BOTH</v>
      </c>
      <c r="AD1095" s="9">
        <f>IF(AC1095="BOTH",ROUND(Y1095-Z1095,2),0)</f>
        <v>0</v>
      </c>
    </row>
    <row r="1096">
      <c r="A1096" t="inlineStr">
        <is>
          <t>G01092</t>
        </is>
      </c>
      <c r="B1096" t="inlineStr">
        <is>
          <t>OPS</t>
        </is>
      </c>
      <c r="C1096" t="inlineStr">
        <is>
          <t>R09</t>
        </is>
      </c>
      <c r="D1096" t="inlineStr">
        <is>
          <t>MATCH</t>
        </is>
      </c>
      <c r="E1096" t="inlineStr">
        <is>
          <t>Lockhart Glass</t>
        </is>
      </c>
      <c r="F1096" t="n">
        <v>1</v>
      </c>
      <c r="G1096" t="inlineStr">
        <is>
          <t>Reference INV/2026/03559</t>
        </is>
      </c>
      <c r="H1096">
        <f>COUNTIFS('Bank Lines'!$G$5:$G$1640,A1096,'Bank Lines'!$J$5:$J$1640,1)</f>
        <v>1</v>
      </c>
      <c r="I1096">
        <f>COUNTIFS('Odoo Items'!$J$5:$J$4331,A1096)</f>
        <v>1</v>
      </c>
      <c r="J1096" s="9">
        <f>ROUND(SUMIFS('Bank Lines'!$E$5:$E$1640,'Bank Lines'!$G$5:$G$1640,A1096,'Bank Lines'!$J$5:$J$1640,1),2)</f>
        <v>6902.5</v>
      </c>
      <c r="K1096" s="9">
        <f>ROUND(SUMIFS('Odoo Items'!$G$5:$G$4331,'Odoo Items'!$J$5:$J$4331,A1096),2)</f>
        <v>6902.5</v>
      </c>
      <c r="L1096" s="9">
        <f>ROUND(J1096-K1096,2)</f>
        <v>0</v>
      </c>
      <c r="M1096" s="9">
        <f>ROUND(SUMIFS('Bank Lines'!$E$5:$E$1640,'Bank Lines'!$G$5:$G$1640,A1096,'Bank Lines'!$J$5:$J$1640,1,'Bank Lines'!$C$5:$C$1640,"&lt;="&amp;Cover!$C$13),2)</f>
        <v>0</v>
      </c>
      <c r="N1096" s="9">
        <f>ROUND(SUMIFS('Odoo Items'!$G$5:$G$4331,'Odoo Items'!$J$5:$J$4331,A1096,'Odoo Items'!$C$5:$C$4331,"&lt;="&amp;Cover!$C$13),2)</f>
        <v>0</v>
      </c>
      <c r="O1096">
        <f>COUNTIFS('Bank Lines'!$G$5:$G$1640,A1096,'Bank Lines'!$J$5:$J$1640,1,'Bank Lines'!$C$5:$C$1640,"&lt;="&amp;Cover!$C$13)</f>
        <v>0</v>
      </c>
      <c r="P1096">
        <f>COUNTIFS('Odoo Items'!$J$5:$J$4331,A1096,'Odoo Items'!$C$5:$C$4331,"&lt;="&amp;Cover!$C$13)</f>
        <v>0</v>
      </c>
      <c r="Q1096">
        <f>IF(AND(O1096=0,P1096=0),"",IF(O1096=0,"ODOO-ONLY",IF(P1096=0,"BANK-ONLY","BOTH")))</f>
      </c>
      <c r="R1096" s="9">
        <f>IF(Q1096="BOTH",ROUND(M1096-N1096,2),0)</f>
        <v>0</v>
      </c>
      <c r="S1096" s="9">
        <f>ROUND(SUMIFS('Bank Lines'!$E$5:$E$1640,'Bank Lines'!$G$5:$G$1640,A1096,'Bank Lines'!$J$5:$J$1640,1,'Bank Lines'!$C$5:$C$1640,"&lt;="&amp;Cover!$C$14),2)</f>
        <v>0</v>
      </c>
      <c r="T1096" s="9">
        <f>ROUND(SUMIFS('Odoo Items'!$G$5:$G$4331,'Odoo Items'!$J$5:$J$4331,A1096,'Odoo Items'!$C$5:$C$4331,"&lt;="&amp;Cover!$C$14),2)</f>
        <v>0</v>
      </c>
      <c r="U1096">
        <f>COUNTIFS('Bank Lines'!$G$5:$G$1640,A1096,'Bank Lines'!$J$5:$J$1640,1,'Bank Lines'!$C$5:$C$1640,"&lt;="&amp;Cover!$C$14)</f>
        <v>0</v>
      </c>
      <c r="V1096">
        <f>COUNTIFS('Odoo Items'!$J$5:$J$4331,A1096,'Odoo Items'!$C$5:$C$4331,"&lt;="&amp;Cover!$C$14)</f>
        <v>0</v>
      </c>
      <c r="W1096">
        <f>IF(AND(U1096=0,V1096=0),"",IF(U1096=0,"ODOO-ONLY",IF(V1096=0,"BANK-ONLY","BOTH")))</f>
      </c>
      <c r="X1096" s="9">
        <f>IF(W1096="BOTH",ROUND(S1096-T1096,2),0)</f>
        <v>0</v>
      </c>
      <c r="Y1096" s="9">
        <f>ROUND(SUMIFS('Bank Lines'!$E$5:$E$1640,'Bank Lines'!$G$5:$G$1640,A1096,'Bank Lines'!$J$5:$J$1640,1,'Bank Lines'!$C$5:$C$1640,"&lt;="&amp;Cover!$C$15),2)</f>
        <v>6902.5</v>
      </c>
      <c r="Z1096" s="9">
        <f>ROUND(SUMIFS('Odoo Items'!$G$5:$G$4331,'Odoo Items'!$J$5:$J$4331,A1096,'Odoo Items'!$C$5:$C$4331,"&lt;="&amp;Cover!$C$15),2)</f>
        <v>6902.5</v>
      </c>
      <c r="AA1096">
        <f>COUNTIFS('Bank Lines'!$G$5:$G$1640,A1096,'Bank Lines'!$J$5:$J$1640,1,'Bank Lines'!$C$5:$C$1640,"&lt;="&amp;Cover!$C$15)</f>
        <v>1</v>
      </c>
      <c r="AB1096">
        <f>COUNTIFS('Odoo Items'!$J$5:$J$4331,A1096,'Odoo Items'!$C$5:$C$4331,"&lt;="&amp;Cover!$C$15)</f>
        <v>1</v>
      </c>
      <c r="AC1096" t="str">
        <f>IF(AND(AA1096=0,AB1096=0),"",IF(AA1096=0,"ODOO-ONLY",IF(AB1096=0,"BANK-ONLY","BOTH")))</f>
        <v>BOTH</v>
      </c>
      <c r="AD1096" s="9">
        <f>IF(AC1096="BOTH",ROUND(Y1096-Z1096,2),0)</f>
        <v>0</v>
      </c>
    </row>
    <row r="1097">
      <c r="A1097" t="inlineStr">
        <is>
          <t>G01093</t>
        </is>
      </c>
      <c r="B1097" t="inlineStr">
        <is>
          <t>OPS</t>
        </is>
      </c>
      <c r="C1097" t="inlineStr">
        <is>
          <t>R09</t>
        </is>
      </c>
      <c r="D1097" t="inlineStr">
        <is>
          <t>MATCH</t>
        </is>
      </c>
      <c r="E1097" t="inlineStr">
        <is>
          <t>Unity Workcover Agents</t>
        </is>
      </c>
      <c r="F1097" t="n">
        <v>1</v>
      </c>
      <c r="G1097" t="inlineStr">
        <is>
          <t>Reference INV/2026/03094</t>
        </is>
      </c>
      <c r="H1097">
        <f>COUNTIFS('Bank Lines'!$G$5:$G$1640,A1097,'Bank Lines'!$J$5:$J$1640,1)</f>
        <v>1</v>
      </c>
      <c r="I1097">
        <f>COUNTIFS('Odoo Items'!$J$5:$J$4331,A1097)</f>
        <v>1</v>
      </c>
      <c r="J1097" s="9">
        <f>ROUND(SUMIFS('Bank Lines'!$E$5:$E$1640,'Bank Lines'!$G$5:$G$1640,A1097,'Bank Lines'!$J$5:$J$1640,1),2)</f>
        <v>88</v>
      </c>
      <c r="K1097" s="9">
        <f>ROUND(SUMIFS('Odoo Items'!$G$5:$G$4331,'Odoo Items'!$J$5:$J$4331,A1097),2)</f>
        <v>88</v>
      </c>
      <c r="L1097" s="9">
        <f>ROUND(J1097-K1097,2)</f>
        <v>0</v>
      </c>
      <c r="M1097" s="9">
        <f>ROUND(SUMIFS('Bank Lines'!$E$5:$E$1640,'Bank Lines'!$G$5:$G$1640,A1097,'Bank Lines'!$J$5:$J$1640,1,'Bank Lines'!$C$5:$C$1640,"&lt;="&amp;Cover!$C$13),2)</f>
        <v>0</v>
      </c>
      <c r="N1097" s="9">
        <f>ROUND(SUMIFS('Odoo Items'!$G$5:$G$4331,'Odoo Items'!$J$5:$J$4331,A1097,'Odoo Items'!$C$5:$C$4331,"&lt;="&amp;Cover!$C$13),2)</f>
        <v>0</v>
      </c>
      <c r="O1097">
        <f>COUNTIFS('Bank Lines'!$G$5:$G$1640,A1097,'Bank Lines'!$J$5:$J$1640,1,'Bank Lines'!$C$5:$C$1640,"&lt;="&amp;Cover!$C$13)</f>
        <v>0</v>
      </c>
      <c r="P1097">
        <f>COUNTIFS('Odoo Items'!$J$5:$J$4331,A1097,'Odoo Items'!$C$5:$C$4331,"&lt;="&amp;Cover!$C$13)</f>
        <v>0</v>
      </c>
      <c r="Q1097">
        <f>IF(AND(O1097=0,P1097=0),"",IF(O1097=0,"ODOO-ONLY",IF(P1097=0,"BANK-ONLY","BOTH")))</f>
      </c>
      <c r="R1097" s="9">
        <f>IF(Q1097="BOTH",ROUND(M1097-N1097,2),0)</f>
        <v>0</v>
      </c>
      <c r="S1097" s="9">
        <f>ROUND(SUMIFS('Bank Lines'!$E$5:$E$1640,'Bank Lines'!$G$5:$G$1640,A1097,'Bank Lines'!$J$5:$J$1640,1,'Bank Lines'!$C$5:$C$1640,"&lt;="&amp;Cover!$C$14),2)</f>
        <v>0</v>
      </c>
      <c r="T1097" s="9">
        <f>ROUND(SUMIFS('Odoo Items'!$G$5:$G$4331,'Odoo Items'!$J$5:$J$4331,A1097,'Odoo Items'!$C$5:$C$4331,"&lt;="&amp;Cover!$C$14),2)</f>
        <v>0</v>
      </c>
      <c r="U1097">
        <f>COUNTIFS('Bank Lines'!$G$5:$G$1640,A1097,'Bank Lines'!$J$5:$J$1640,1,'Bank Lines'!$C$5:$C$1640,"&lt;="&amp;Cover!$C$14)</f>
        <v>0</v>
      </c>
      <c r="V1097">
        <f>COUNTIFS('Odoo Items'!$J$5:$J$4331,A1097,'Odoo Items'!$C$5:$C$4331,"&lt;="&amp;Cover!$C$14)</f>
        <v>0</v>
      </c>
      <c r="W1097">
        <f>IF(AND(U1097=0,V1097=0),"",IF(U1097=0,"ODOO-ONLY",IF(V1097=0,"BANK-ONLY","BOTH")))</f>
      </c>
      <c r="X1097" s="9">
        <f>IF(W1097="BOTH",ROUND(S1097-T1097,2),0)</f>
        <v>0</v>
      </c>
      <c r="Y1097" s="9">
        <f>ROUND(SUMIFS('Bank Lines'!$E$5:$E$1640,'Bank Lines'!$G$5:$G$1640,A1097,'Bank Lines'!$J$5:$J$1640,1,'Bank Lines'!$C$5:$C$1640,"&lt;="&amp;Cover!$C$15),2)</f>
        <v>88</v>
      </c>
      <c r="Z1097" s="9">
        <f>ROUND(SUMIFS('Odoo Items'!$G$5:$G$4331,'Odoo Items'!$J$5:$J$4331,A1097,'Odoo Items'!$C$5:$C$4331,"&lt;="&amp;Cover!$C$15),2)</f>
        <v>88</v>
      </c>
      <c r="AA1097">
        <f>COUNTIFS('Bank Lines'!$G$5:$G$1640,A1097,'Bank Lines'!$J$5:$J$1640,1,'Bank Lines'!$C$5:$C$1640,"&lt;="&amp;Cover!$C$15)</f>
        <v>1</v>
      </c>
      <c r="AB1097">
        <f>COUNTIFS('Odoo Items'!$J$5:$J$4331,A1097,'Odoo Items'!$C$5:$C$4331,"&lt;="&amp;Cover!$C$15)</f>
        <v>1</v>
      </c>
      <c r="AC1097" t="str">
        <f>IF(AND(AA1097=0,AB1097=0),"",IF(AA1097=0,"ODOO-ONLY",IF(AB1097=0,"BANK-ONLY","BOTH")))</f>
        <v>BOTH</v>
      </c>
      <c r="AD1097" s="9">
        <f>IF(AC1097="BOTH",ROUND(Y1097-Z1097,2),0)</f>
        <v>0</v>
      </c>
    </row>
    <row r="1098">
      <c r="A1098" t="inlineStr">
        <is>
          <t>G01094</t>
        </is>
      </c>
      <c r="B1098" t="inlineStr">
        <is>
          <t>OPS</t>
        </is>
      </c>
      <c r="C1098" t="inlineStr">
        <is>
          <t>R09</t>
        </is>
      </c>
      <c r="D1098" t="inlineStr">
        <is>
          <t>MATCH</t>
        </is>
      </c>
      <c r="E1098" t="inlineStr">
        <is>
          <t>Unity Workcover Agents</t>
        </is>
      </c>
      <c r="F1098" t="n">
        <v>1</v>
      </c>
      <c r="G1098" t="inlineStr">
        <is>
          <t>Reference INV/2026/03171</t>
        </is>
      </c>
      <c r="H1098">
        <f>COUNTIFS('Bank Lines'!$G$5:$G$1640,A1098,'Bank Lines'!$J$5:$J$1640,1)</f>
        <v>1</v>
      </c>
      <c r="I1098">
        <f>COUNTIFS('Odoo Items'!$J$5:$J$4331,A1098)</f>
        <v>1</v>
      </c>
      <c r="J1098" s="9">
        <f>ROUND(SUMIFS('Bank Lines'!$E$5:$E$1640,'Bank Lines'!$G$5:$G$1640,A1098,'Bank Lines'!$J$5:$J$1640,1),2)</f>
        <v>264</v>
      </c>
      <c r="K1098" s="9">
        <f>ROUND(SUMIFS('Odoo Items'!$G$5:$G$4331,'Odoo Items'!$J$5:$J$4331,A1098),2)</f>
        <v>264</v>
      </c>
      <c r="L1098" s="9">
        <f>ROUND(J1098-K1098,2)</f>
        <v>0</v>
      </c>
      <c r="M1098" s="9">
        <f>ROUND(SUMIFS('Bank Lines'!$E$5:$E$1640,'Bank Lines'!$G$5:$G$1640,A1098,'Bank Lines'!$J$5:$J$1640,1,'Bank Lines'!$C$5:$C$1640,"&lt;="&amp;Cover!$C$13),2)</f>
        <v>0</v>
      </c>
      <c r="N1098" s="9">
        <f>ROUND(SUMIFS('Odoo Items'!$G$5:$G$4331,'Odoo Items'!$J$5:$J$4331,A1098,'Odoo Items'!$C$5:$C$4331,"&lt;="&amp;Cover!$C$13),2)</f>
        <v>0</v>
      </c>
      <c r="O1098">
        <f>COUNTIFS('Bank Lines'!$G$5:$G$1640,A1098,'Bank Lines'!$J$5:$J$1640,1,'Bank Lines'!$C$5:$C$1640,"&lt;="&amp;Cover!$C$13)</f>
        <v>0</v>
      </c>
      <c r="P1098">
        <f>COUNTIFS('Odoo Items'!$J$5:$J$4331,A1098,'Odoo Items'!$C$5:$C$4331,"&lt;="&amp;Cover!$C$13)</f>
        <v>0</v>
      </c>
      <c r="Q1098">
        <f>IF(AND(O1098=0,P1098=0),"",IF(O1098=0,"ODOO-ONLY",IF(P1098=0,"BANK-ONLY","BOTH")))</f>
      </c>
      <c r="R1098" s="9">
        <f>IF(Q1098="BOTH",ROUND(M1098-N1098,2),0)</f>
        <v>0</v>
      </c>
      <c r="S1098" s="9">
        <f>ROUND(SUMIFS('Bank Lines'!$E$5:$E$1640,'Bank Lines'!$G$5:$G$1640,A1098,'Bank Lines'!$J$5:$J$1640,1,'Bank Lines'!$C$5:$C$1640,"&lt;="&amp;Cover!$C$14),2)</f>
        <v>0</v>
      </c>
      <c r="T1098" s="9">
        <f>ROUND(SUMIFS('Odoo Items'!$G$5:$G$4331,'Odoo Items'!$J$5:$J$4331,A1098,'Odoo Items'!$C$5:$C$4331,"&lt;="&amp;Cover!$C$14),2)</f>
        <v>0</v>
      </c>
      <c r="U1098">
        <f>COUNTIFS('Bank Lines'!$G$5:$G$1640,A1098,'Bank Lines'!$J$5:$J$1640,1,'Bank Lines'!$C$5:$C$1640,"&lt;="&amp;Cover!$C$14)</f>
        <v>0</v>
      </c>
      <c r="V1098">
        <f>COUNTIFS('Odoo Items'!$J$5:$J$4331,A1098,'Odoo Items'!$C$5:$C$4331,"&lt;="&amp;Cover!$C$14)</f>
        <v>0</v>
      </c>
      <c r="W1098">
        <f>IF(AND(U1098=0,V1098=0),"",IF(U1098=0,"ODOO-ONLY",IF(V1098=0,"BANK-ONLY","BOTH")))</f>
      </c>
      <c r="X1098" s="9">
        <f>IF(W1098="BOTH",ROUND(S1098-T1098,2),0)</f>
        <v>0</v>
      </c>
      <c r="Y1098" s="9">
        <f>ROUND(SUMIFS('Bank Lines'!$E$5:$E$1640,'Bank Lines'!$G$5:$G$1640,A1098,'Bank Lines'!$J$5:$J$1640,1,'Bank Lines'!$C$5:$C$1640,"&lt;="&amp;Cover!$C$15),2)</f>
        <v>264</v>
      </c>
      <c r="Z1098" s="9">
        <f>ROUND(SUMIFS('Odoo Items'!$G$5:$G$4331,'Odoo Items'!$J$5:$J$4331,A1098,'Odoo Items'!$C$5:$C$4331,"&lt;="&amp;Cover!$C$15),2)</f>
        <v>264</v>
      </c>
      <c r="AA1098">
        <f>COUNTIFS('Bank Lines'!$G$5:$G$1640,A1098,'Bank Lines'!$J$5:$J$1640,1,'Bank Lines'!$C$5:$C$1640,"&lt;="&amp;Cover!$C$15)</f>
        <v>1</v>
      </c>
      <c r="AB1098">
        <f>COUNTIFS('Odoo Items'!$J$5:$J$4331,A1098,'Odoo Items'!$C$5:$C$4331,"&lt;="&amp;Cover!$C$15)</f>
        <v>1</v>
      </c>
      <c r="AC1098" t="str">
        <f>IF(AND(AA1098=0,AB1098=0),"",IF(AA1098=0,"ODOO-ONLY",IF(AB1098=0,"BANK-ONLY","BOTH")))</f>
        <v>BOTH</v>
      </c>
      <c r="AD1098" s="9">
        <f>IF(AC1098="BOTH",ROUND(Y1098-Z1098,2),0)</f>
        <v>0</v>
      </c>
    </row>
    <row r="1099">
      <c r="A1099" t="inlineStr">
        <is>
          <t>G01095</t>
        </is>
      </c>
      <c r="B1099" t="inlineStr">
        <is>
          <t>OPS</t>
        </is>
      </c>
      <c r="C1099" t="inlineStr">
        <is>
          <t>R09</t>
        </is>
      </c>
      <c r="D1099" t="inlineStr">
        <is>
          <t>MATCH</t>
        </is>
      </c>
      <c r="E1099" t="inlineStr">
        <is>
          <t>Brightwater Civil Pty Ltd</t>
        </is>
      </c>
      <c r="F1099" t="n">
        <v>1</v>
      </c>
      <c r="G1099" t="inlineStr">
        <is>
          <t>Reference INV/2026/03572</t>
        </is>
      </c>
      <c r="H1099">
        <f>COUNTIFS('Bank Lines'!$G$5:$G$1640,A1099,'Bank Lines'!$J$5:$J$1640,1)</f>
        <v>1</v>
      </c>
      <c r="I1099">
        <f>COUNTIFS('Odoo Items'!$J$5:$J$4331,A1099)</f>
        <v>1</v>
      </c>
      <c r="J1099" s="9">
        <f>ROUND(SUMIFS('Bank Lines'!$E$5:$E$1640,'Bank Lines'!$G$5:$G$1640,A1099,'Bank Lines'!$J$5:$J$1640,1),2)</f>
        <v>10807.5</v>
      </c>
      <c r="K1099" s="9">
        <f>ROUND(SUMIFS('Odoo Items'!$G$5:$G$4331,'Odoo Items'!$J$5:$J$4331,A1099),2)</f>
        <v>10807.5</v>
      </c>
      <c r="L1099" s="9">
        <f>ROUND(J1099-K1099,2)</f>
        <v>0</v>
      </c>
      <c r="M1099" s="9">
        <f>ROUND(SUMIFS('Bank Lines'!$E$5:$E$1640,'Bank Lines'!$G$5:$G$1640,A1099,'Bank Lines'!$J$5:$J$1640,1,'Bank Lines'!$C$5:$C$1640,"&lt;="&amp;Cover!$C$13),2)</f>
        <v>0</v>
      </c>
      <c r="N1099" s="9">
        <f>ROUND(SUMIFS('Odoo Items'!$G$5:$G$4331,'Odoo Items'!$J$5:$J$4331,A1099,'Odoo Items'!$C$5:$C$4331,"&lt;="&amp;Cover!$C$13),2)</f>
        <v>0</v>
      </c>
      <c r="O1099">
        <f>COUNTIFS('Bank Lines'!$G$5:$G$1640,A1099,'Bank Lines'!$J$5:$J$1640,1,'Bank Lines'!$C$5:$C$1640,"&lt;="&amp;Cover!$C$13)</f>
        <v>0</v>
      </c>
      <c r="P1099">
        <f>COUNTIFS('Odoo Items'!$J$5:$J$4331,A1099,'Odoo Items'!$C$5:$C$4331,"&lt;="&amp;Cover!$C$13)</f>
        <v>0</v>
      </c>
      <c r="Q1099">
        <f>IF(AND(O1099=0,P1099=0),"",IF(O1099=0,"ODOO-ONLY",IF(P1099=0,"BANK-ONLY","BOTH")))</f>
      </c>
      <c r="R1099" s="9">
        <f>IF(Q1099="BOTH",ROUND(M1099-N1099,2),0)</f>
        <v>0</v>
      </c>
      <c r="S1099" s="9">
        <f>ROUND(SUMIFS('Bank Lines'!$E$5:$E$1640,'Bank Lines'!$G$5:$G$1640,A1099,'Bank Lines'!$J$5:$J$1640,1,'Bank Lines'!$C$5:$C$1640,"&lt;="&amp;Cover!$C$14),2)</f>
        <v>0</v>
      </c>
      <c r="T1099" s="9">
        <f>ROUND(SUMIFS('Odoo Items'!$G$5:$G$4331,'Odoo Items'!$J$5:$J$4331,A1099,'Odoo Items'!$C$5:$C$4331,"&lt;="&amp;Cover!$C$14),2)</f>
        <v>0</v>
      </c>
      <c r="U1099">
        <f>COUNTIFS('Bank Lines'!$G$5:$G$1640,A1099,'Bank Lines'!$J$5:$J$1640,1,'Bank Lines'!$C$5:$C$1640,"&lt;="&amp;Cover!$C$14)</f>
        <v>0</v>
      </c>
      <c r="V1099">
        <f>COUNTIFS('Odoo Items'!$J$5:$J$4331,A1099,'Odoo Items'!$C$5:$C$4331,"&lt;="&amp;Cover!$C$14)</f>
        <v>0</v>
      </c>
      <c r="W1099">
        <f>IF(AND(U1099=0,V1099=0),"",IF(U1099=0,"ODOO-ONLY",IF(V1099=0,"BANK-ONLY","BOTH")))</f>
      </c>
      <c r="X1099" s="9">
        <f>IF(W1099="BOTH",ROUND(S1099-T1099,2),0)</f>
        <v>0</v>
      </c>
      <c r="Y1099" s="9">
        <f>ROUND(SUMIFS('Bank Lines'!$E$5:$E$1640,'Bank Lines'!$G$5:$G$1640,A1099,'Bank Lines'!$J$5:$J$1640,1,'Bank Lines'!$C$5:$C$1640,"&lt;="&amp;Cover!$C$15),2)</f>
        <v>10807.5</v>
      </c>
      <c r="Z1099" s="9">
        <f>ROUND(SUMIFS('Odoo Items'!$G$5:$G$4331,'Odoo Items'!$J$5:$J$4331,A1099,'Odoo Items'!$C$5:$C$4331,"&lt;="&amp;Cover!$C$15),2)</f>
        <v>10807.5</v>
      </c>
      <c r="AA1099">
        <f>COUNTIFS('Bank Lines'!$G$5:$G$1640,A1099,'Bank Lines'!$J$5:$J$1640,1,'Bank Lines'!$C$5:$C$1640,"&lt;="&amp;Cover!$C$15)</f>
        <v>1</v>
      </c>
      <c r="AB1099">
        <f>COUNTIFS('Odoo Items'!$J$5:$J$4331,A1099,'Odoo Items'!$C$5:$C$4331,"&lt;="&amp;Cover!$C$15)</f>
        <v>1</v>
      </c>
      <c r="AC1099" t="str">
        <f>IF(AND(AA1099=0,AB1099=0),"",IF(AA1099=0,"ODOO-ONLY",IF(AB1099=0,"BANK-ONLY","BOTH")))</f>
        <v>BOTH</v>
      </c>
      <c r="AD1099" s="9">
        <f>IF(AC1099="BOTH",ROUND(Y1099-Z1099,2),0)</f>
        <v>0</v>
      </c>
    </row>
    <row r="1100">
      <c r="A1100" t="inlineStr">
        <is>
          <t>G01096</t>
        </is>
      </c>
      <c r="B1100" t="inlineStr">
        <is>
          <t>OPS</t>
        </is>
      </c>
      <c r="C1100" t="inlineStr">
        <is>
          <t>R09</t>
        </is>
      </c>
      <c r="D1100" t="inlineStr">
        <is>
          <t>MATCH</t>
        </is>
      </c>
      <c r="E1100" t="inlineStr">
        <is>
          <t>Elmhurst Property Group</t>
        </is>
      </c>
      <c r="F1100" t="n">
        <v>1</v>
      </c>
      <c r="G1100" t="inlineStr">
        <is>
          <t>Reference INV/2026/03600</t>
        </is>
      </c>
      <c r="H1100">
        <f>COUNTIFS('Bank Lines'!$G$5:$G$1640,A1100,'Bank Lines'!$J$5:$J$1640,1)</f>
        <v>1</v>
      </c>
      <c r="I1100">
        <f>COUNTIFS('Odoo Items'!$J$5:$J$4331,A1100)</f>
        <v>1</v>
      </c>
      <c r="J1100" s="9">
        <f>ROUND(SUMIFS('Bank Lines'!$E$5:$E$1640,'Bank Lines'!$G$5:$G$1640,A1100,'Bank Lines'!$J$5:$J$1640,1),2)</f>
        <v>2640</v>
      </c>
      <c r="K1100" s="9">
        <f>ROUND(SUMIFS('Odoo Items'!$G$5:$G$4331,'Odoo Items'!$J$5:$J$4331,A1100),2)</f>
        <v>2640</v>
      </c>
      <c r="L1100" s="9">
        <f>ROUND(J1100-K1100,2)</f>
        <v>0</v>
      </c>
      <c r="M1100" s="9">
        <f>ROUND(SUMIFS('Bank Lines'!$E$5:$E$1640,'Bank Lines'!$G$5:$G$1640,A1100,'Bank Lines'!$J$5:$J$1640,1,'Bank Lines'!$C$5:$C$1640,"&lt;="&amp;Cover!$C$13),2)</f>
        <v>0</v>
      </c>
      <c r="N1100" s="9">
        <f>ROUND(SUMIFS('Odoo Items'!$G$5:$G$4331,'Odoo Items'!$J$5:$J$4331,A1100,'Odoo Items'!$C$5:$C$4331,"&lt;="&amp;Cover!$C$13),2)</f>
        <v>0</v>
      </c>
      <c r="O1100">
        <f>COUNTIFS('Bank Lines'!$G$5:$G$1640,A1100,'Bank Lines'!$J$5:$J$1640,1,'Bank Lines'!$C$5:$C$1640,"&lt;="&amp;Cover!$C$13)</f>
        <v>0</v>
      </c>
      <c r="P1100">
        <f>COUNTIFS('Odoo Items'!$J$5:$J$4331,A1100,'Odoo Items'!$C$5:$C$4331,"&lt;="&amp;Cover!$C$13)</f>
        <v>0</v>
      </c>
      <c r="Q1100">
        <f>IF(AND(O1100=0,P1100=0),"",IF(O1100=0,"ODOO-ONLY",IF(P1100=0,"BANK-ONLY","BOTH")))</f>
      </c>
      <c r="R1100" s="9">
        <f>IF(Q1100="BOTH",ROUND(M1100-N1100,2),0)</f>
        <v>0</v>
      </c>
      <c r="S1100" s="9">
        <f>ROUND(SUMIFS('Bank Lines'!$E$5:$E$1640,'Bank Lines'!$G$5:$G$1640,A1100,'Bank Lines'!$J$5:$J$1640,1,'Bank Lines'!$C$5:$C$1640,"&lt;="&amp;Cover!$C$14),2)</f>
        <v>0</v>
      </c>
      <c r="T1100" s="9">
        <f>ROUND(SUMIFS('Odoo Items'!$G$5:$G$4331,'Odoo Items'!$J$5:$J$4331,A1100,'Odoo Items'!$C$5:$C$4331,"&lt;="&amp;Cover!$C$14),2)</f>
        <v>0</v>
      </c>
      <c r="U1100">
        <f>COUNTIFS('Bank Lines'!$G$5:$G$1640,A1100,'Bank Lines'!$J$5:$J$1640,1,'Bank Lines'!$C$5:$C$1640,"&lt;="&amp;Cover!$C$14)</f>
        <v>0</v>
      </c>
      <c r="V1100">
        <f>COUNTIFS('Odoo Items'!$J$5:$J$4331,A1100,'Odoo Items'!$C$5:$C$4331,"&lt;="&amp;Cover!$C$14)</f>
        <v>0</v>
      </c>
      <c r="W1100">
        <f>IF(AND(U1100=0,V1100=0),"",IF(U1100=0,"ODOO-ONLY",IF(V1100=0,"BANK-ONLY","BOTH")))</f>
      </c>
      <c r="X1100" s="9">
        <f>IF(W1100="BOTH",ROUND(S1100-T1100,2),0)</f>
        <v>0</v>
      </c>
      <c r="Y1100" s="9">
        <f>ROUND(SUMIFS('Bank Lines'!$E$5:$E$1640,'Bank Lines'!$G$5:$G$1640,A1100,'Bank Lines'!$J$5:$J$1640,1,'Bank Lines'!$C$5:$C$1640,"&lt;="&amp;Cover!$C$15),2)</f>
        <v>2640</v>
      </c>
      <c r="Z1100" s="9">
        <f>ROUND(SUMIFS('Odoo Items'!$G$5:$G$4331,'Odoo Items'!$J$5:$J$4331,A1100,'Odoo Items'!$C$5:$C$4331,"&lt;="&amp;Cover!$C$15),2)</f>
        <v>2640</v>
      </c>
      <c r="AA1100">
        <f>COUNTIFS('Bank Lines'!$G$5:$G$1640,A1100,'Bank Lines'!$J$5:$J$1640,1,'Bank Lines'!$C$5:$C$1640,"&lt;="&amp;Cover!$C$15)</f>
        <v>1</v>
      </c>
      <c r="AB1100">
        <f>COUNTIFS('Odoo Items'!$J$5:$J$4331,A1100,'Odoo Items'!$C$5:$C$4331,"&lt;="&amp;Cover!$C$15)</f>
        <v>1</v>
      </c>
      <c r="AC1100" t="str">
        <f>IF(AND(AA1100=0,AB1100=0),"",IF(AA1100=0,"ODOO-ONLY",IF(AB1100=0,"BANK-ONLY","BOTH")))</f>
        <v>BOTH</v>
      </c>
      <c r="AD1100" s="9">
        <f>IF(AC1100="BOTH",ROUND(Y1100-Z1100,2),0)</f>
        <v>0</v>
      </c>
    </row>
    <row r="1101">
      <c r="A1101" t="inlineStr">
        <is>
          <t>G01097</t>
        </is>
      </c>
      <c r="B1101" t="inlineStr">
        <is>
          <t>OPS</t>
        </is>
      </c>
      <c r="C1101" t="inlineStr">
        <is>
          <t>R09</t>
        </is>
      </c>
      <c r="D1101" t="inlineStr">
        <is>
          <t>MATCH</t>
        </is>
      </c>
      <c r="E1101" t="inlineStr">
        <is>
          <t>Jarrah Ridge Estates</t>
        </is>
      </c>
      <c r="F1101" t="n">
        <v>1</v>
      </c>
      <c r="G1101" t="inlineStr">
        <is>
          <t>Reference INV/2026/03607</t>
        </is>
      </c>
      <c r="H1101">
        <f>COUNTIFS('Bank Lines'!$G$5:$G$1640,A1101,'Bank Lines'!$J$5:$J$1640,1)</f>
        <v>1</v>
      </c>
      <c r="I1101">
        <f>COUNTIFS('Odoo Items'!$J$5:$J$4331,A1101)</f>
        <v>1</v>
      </c>
      <c r="J1101" s="9">
        <f>ROUND(SUMIFS('Bank Lines'!$E$5:$E$1640,'Bank Lines'!$G$5:$G$1640,A1101,'Bank Lines'!$J$5:$J$1640,1),2)</f>
        <v>2035</v>
      </c>
      <c r="K1101" s="9">
        <f>ROUND(SUMIFS('Odoo Items'!$G$5:$G$4331,'Odoo Items'!$J$5:$J$4331,A1101),2)</f>
        <v>2035</v>
      </c>
      <c r="L1101" s="9">
        <f>ROUND(J1101-K1101,2)</f>
        <v>0</v>
      </c>
      <c r="M1101" s="9">
        <f>ROUND(SUMIFS('Bank Lines'!$E$5:$E$1640,'Bank Lines'!$G$5:$G$1640,A1101,'Bank Lines'!$J$5:$J$1640,1,'Bank Lines'!$C$5:$C$1640,"&lt;="&amp;Cover!$C$13),2)</f>
        <v>0</v>
      </c>
      <c r="N1101" s="9">
        <f>ROUND(SUMIFS('Odoo Items'!$G$5:$G$4331,'Odoo Items'!$J$5:$J$4331,A1101,'Odoo Items'!$C$5:$C$4331,"&lt;="&amp;Cover!$C$13),2)</f>
        <v>0</v>
      </c>
      <c r="O1101">
        <f>COUNTIFS('Bank Lines'!$G$5:$G$1640,A1101,'Bank Lines'!$J$5:$J$1640,1,'Bank Lines'!$C$5:$C$1640,"&lt;="&amp;Cover!$C$13)</f>
        <v>0</v>
      </c>
      <c r="P1101">
        <f>COUNTIFS('Odoo Items'!$J$5:$J$4331,A1101,'Odoo Items'!$C$5:$C$4331,"&lt;="&amp;Cover!$C$13)</f>
        <v>0</v>
      </c>
      <c r="Q1101">
        <f>IF(AND(O1101=0,P1101=0),"",IF(O1101=0,"ODOO-ONLY",IF(P1101=0,"BANK-ONLY","BOTH")))</f>
      </c>
      <c r="R1101" s="9">
        <f>IF(Q1101="BOTH",ROUND(M1101-N1101,2),0)</f>
        <v>0</v>
      </c>
      <c r="S1101" s="9">
        <f>ROUND(SUMIFS('Bank Lines'!$E$5:$E$1640,'Bank Lines'!$G$5:$G$1640,A1101,'Bank Lines'!$J$5:$J$1640,1,'Bank Lines'!$C$5:$C$1640,"&lt;="&amp;Cover!$C$14),2)</f>
        <v>0</v>
      </c>
      <c r="T1101" s="9">
        <f>ROUND(SUMIFS('Odoo Items'!$G$5:$G$4331,'Odoo Items'!$J$5:$J$4331,A1101,'Odoo Items'!$C$5:$C$4331,"&lt;="&amp;Cover!$C$14),2)</f>
        <v>0</v>
      </c>
      <c r="U1101">
        <f>COUNTIFS('Bank Lines'!$G$5:$G$1640,A1101,'Bank Lines'!$J$5:$J$1640,1,'Bank Lines'!$C$5:$C$1640,"&lt;="&amp;Cover!$C$14)</f>
        <v>0</v>
      </c>
      <c r="V1101">
        <f>COUNTIFS('Odoo Items'!$J$5:$J$4331,A1101,'Odoo Items'!$C$5:$C$4331,"&lt;="&amp;Cover!$C$14)</f>
        <v>0</v>
      </c>
      <c r="W1101">
        <f>IF(AND(U1101=0,V1101=0),"",IF(U1101=0,"ODOO-ONLY",IF(V1101=0,"BANK-ONLY","BOTH")))</f>
      </c>
      <c r="X1101" s="9">
        <f>IF(W1101="BOTH",ROUND(S1101-T1101,2),0)</f>
        <v>0</v>
      </c>
      <c r="Y1101" s="9">
        <f>ROUND(SUMIFS('Bank Lines'!$E$5:$E$1640,'Bank Lines'!$G$5:$G$1640,A1101,'Bank Lines'!$J$5:$J$1640,1,'Bank Lines'!$C$5:$C$1640,"&lt;="&amp;Cover!$C$15),2)</f>
        <v>2035</v>
      </c>
      <c r="Z1101" s="9">
        <f>ROUND(SUMIFS('Odoo Items'!$G$5:$G$4331,'Odoo Items'!$J$5:$J$4331,A1101,'Odoo Items'!$C$5:$C$4331,"&lt;="&amp;Cover!$C$15),2)</f>
        <v>2035</v>
      </c>
      <c r="AA1101">
        <f>COUNTIFS('Bank Lines'!$G$5:$G$1640,A1101,'Bank Lines'!$J$5:$J$1640,1,'Bank Lines'!$C$5:$C$1640,"&lt;="&amp;Cover!$C$15)</f>
        <v>1</v>
      </c>
      <c r="AB1101">
        <f>COUNTIFS('Odoo Items'!$J$5:$J$4331,A1101,'Odoo Items'!$C$5:$C$4331,"&lt;="&amp;Cover!$C$15)</f>
        <v>1</v>
      </c>
      <c r="AC1101" t="str">
        <f>IF(AND(AA1101=0,AB1101=0),"",IF(AA1101=0,"ODOO-ONLY",IF(AB1101=0,"BANK-ONLY","BOTH")))</f>
        <v>BOTH</v>
      </c>
      <c r="AD1101" s="9">
        <f>IF(AC1101="BOTH",ROUND(Y1101-Z1101,2),0)</f>
        <v>0</v>
      </c>
    </row>
    <row r="1102">
      <c r="A1102" t="inlineStr">
        <is>
          <t>G01098</t>
        </is>
      </c>
      <c r="B1102" t="inlineStr">
        <is>
          <t>OPS</t>
        </is>
      </c>
      <c r="C1102" t="inlineStr">
        <is>
          <t>R09</t>
        </is>
      </c>
      <c r="D1102" t="inlineStr">
        <is>
          <t>MATCH</t>
        </is>
      </c>
      <c r="E1102" t="inlineStr">
        <is>
          <t>Meridian Health Cover</t>
        </is>
      </c>
      <c r="F1102" t="n">
        <v>1</v>
      </c>
      <c r="G1102" t="inlineStr">
        <is>
          <t>Reference INV/2026/03190</t>
        </is>
      </c>
      <c r="H1102">
        <f>COUNTIFS('Bank Lines'!$G$5:$G$1640,A1102,'Bank Lines'!$J$5:$J$1640,1)</f>
        <v>1</v>
      </c>
      <c r="I1102">
        <f>COUNTIFS('Odoo Items'!$J$5:$J$4331,A1102)</f>
        <v>1</v>
      </c>
      <c r="J1102" s="9">
        <f>ROUND(SUMIFS('Bank Lines'!$E$5:$E$1640,'Bank Lines'!$G$5:$G$1640,A1102,'Bank Lines'!$J$5:$J$1640,1),2)</f>
        <v>990</v>
      </c>
      <c r="K1102" s="9">
        <f>ROUND(SUMIFS('Odoo Items'!$G$5:$G$4331,'Odoo Items'!$J$5:$J$4331,A1102),2)</f>
        <v>990</v>
      </c>
      <c r="L1102" s="9">
        <f>ROUND(J1102-K1102,2)</f>
        <v>0</v>
      </c>
      <c r="M1102" s="9">
        <f>ROUND(SUMIFS('Bank Lines'!$E$5:$E$1640,'Bank Lines'!$G$5:$G$1640,A1102,'Bank Lines'!$J$5:$J$1640,1,'Bank Lines'!$C$5:$C$1640,"&lt;="&amp;Cover!$C$13),2)</f>
        <v>0</v>
      </c>
      <c r="N1102" s="9">
        <f>ROUND(SUMIFS('Odoo Items'!$G$5:$G$4331,'Odoo Items'!$J$5:$J$4331,A1102,'Odoo Items'!$C$5:$C$4331,"&lt;="&amp;Cover!$C$13),2)</f>
        <v>0</v>
      </c>
      <c r="O1102">
        <f>COUNTIFS('Bank Lines'!$G$5:$G$1640,A1102,'Bank Lines'!$J$5:$J$1640,1,'Bank Lines'!$C$5:$C$1640,"&lt;="&amp;Cover!$C$13)</f>
        <v>0</v>
      </c>
      <c r="P1102">
        <f>COUNTIFS('Odoo Items'!$J$5:$J$4331,A1102,'Odoo Items'!$C$5:$C$4331,"&lt;="&amp;Cover!$C$13)</f>
        <v>0</v>
      </c>
      <c r="Q1102">
        <f>IF(AND(O1102=0,P1102=0),"",IF(O1102=0,"ODOO-ONLY",IF(P1102=0,"BANK-ONLY","BOTH")))</f>
      </c>
      <c r="R1102" s="9">
        <f>IF(Q1102="BOTH",ROUND(M1102-N1102,2),0)</f>
        <v>0</v>
      </c>
      <c r="S1102" s="9">
        <f>ROUND(SUMIFS('Bank Lines'!$E$5:$E$1640,'Bank Lines'!$G$5:$G$1640,A1102,'Bank Lines'!$J$5:$J$1640,1,'Bank Lines'!$C$5:$C$1640,"&lt;="&amp;Cover!$C$14),2)</f>
        <v>0</v>
      </c>
      <c r="T1102" s="9">
        <f>ROUND(SUMIFS('Odoo Items'!$G$5:$G$4331,'Odoo Items'!$J$5:$J$4331,A1102,'Odoo Items'!$C$5:$C$4331,"&lt;="&amp;Cover!$C$14),2)</f>
        <v>0</v>
      </c>
      <c r="U1102">
        <f>COUNTIFS('Bank Lines'!$G$5:$G$1640,A1102,'Bank Lines'!$J$5:$J$1640,1,'Bank Lines'!$C$5:$C$1640,"&lt;="&amp;Cover!$C$14)</f>
        <v>0</v>
      </c>
      <c r="V1102">
        <f>COUNTIFS('Odoo Items'!$J$5:$J$4331,A1102,'Odoo Items'!$C$5:$C$4331,"&lt;="&amp;Cover!$C$14)</f>
        <v>0</v>
      </c>
      <c r="W1102">
        <f>IF(AND(U1102=0,V1102=0),"",IF(U1102=0,"ODOO-ONLY",IF(V1102=0,"BANK-ONLY","BOTH")))</f>
      </c>
      <c r="X1102" s="9">
        <f>IF(W1102="BOTH",ROUND(S1102-T1102,2),0)</f>
        <v>0</v>
      </c>
      <c r="Y1102" s="9">
        <f>ROUND(SUMIFS('Bank Lines'!$E$5:$E$1640,'Bank Lines'!$G$5:$G$1640,A1102,'Bank Lines'!$J$5:$J$1640,1,'Bank Lines'!$C$5:$C$1640,"&lt;="&amp;Cover!$C$15),2)</f>
        <v>990</v>
      </c>
      <c r="Z1102" s="9">
        <f>ROUND(SUMIFS('Odoo Items'!$G$5:$G$4331,'Odoo Items'!$J$5:$J$4331,A1102,'Odoo Items'!$C$5:$C$4331,"&lt;="&amp;Cover!$C$15),2)</f>
        <v>990</v>
      </c>
      <c r="AA1102">
        <f>COUNTIFS('Bank Lines'!$G$5:$G$1640,A1102,'Bank Lines'!$J$5:$J$1640,1,'Bank Lines'!$C$5:$C$1640,"&lt;="&amp;Cover!$C$15)</f>
        <v>1</v>
      </c>
      <c r="AB1102">
        <f>COUNTIFS('Odoo Items'!$J$5:$J$4331,A1102,'Odoo Items'!$C$5:$C$4331,"&lt;="&amp;Cover!$C$15)</f>
        <v>1</v>
      </c>
      <c r="AC1102" t="str">
        <f>IF(AND(AA1102=0,AB1102=0),"",IF(AA1102=0,"ODOO-ONLY",IF(AB1102=0,"BANK-ONLY","BOTH")))</f>
        <v>BOTH</v>
      </c>
      <c r="AD1102" s="9">
        <f>IF(AC1102="BOTH",ROUND(Y1102-Z1102,2),0)</f>
        <v>0</v>
      </c>
    </row>
    <row r="1103">
      <c r="A1103" t="inlineStr">
        <is>
          <t>G01099</t>
        </is>
      </c>
      <c r="B1103" t="inlineStr">
        <is>
          <t>USD</t>
        </is>
      </c>
      <c r="C1103" t="inlineStr">
        <is>
          <t>R09</t>
        </is>
      </c>
      <c r="D1103" t="inlineStr">
        <is>
          <t>MATCH</t>
        </is>
      </c>
      <c r="E1103" t="inlineStr">
        <is>
          <t>Telehealth Platform Inc</t>
        </is>
      </c>
      <c r="F1103" t="n">
        <v>1</v>
      </c>
      <c r="G1103" t="inlineStr">
        <is>
          <t>Reference BILL/2026/1041</t>
        </is>
      </c>
      <c r="H1103">
        <f>COUNTIFS('Bank Lines'!$G$5:$G$1640,A1103,'Bank Lines'!$J$5:$J$1640,1)</f>
        <v>1</v>
      </c>
      <c r="I1103">
        <f>COUNTIFS('Odoo Items'!$J$5:$J$4331,A1103)</f>
        <v>1</v>
      </c>
      <c r="J1103" s="9">
        <f>ROUND(SUMIFS('Bank Lines'!$E$5:$E$1640,'Bank Lines'!$G$5:$G$1640,A1103,'Bank Lines'!$J$5:$J$1640,1),2)</f>
        <v>-2400</v>
      </c>
      <c r="K1103" s="9">
        <f>ROUND(SUMIFS('Odoo Items'!$G$5:$G$4331,'Odoo Items'!$J$5:$J$4331,A1103),2)</f>
        <v>-2400</v>
      </c>
      <c r="L1103" s="9">
        <f>ROUND(J1103-K1103,2)</f>
        <v>0</v>
      </c>
      <c r="M1103" s="9">
        <f>ROUND(SUMIFS('Bank Lines'!$E$5:$E$1640,'Bank Lines'!$G$5:$G$1640,A1103,'Bank Lines'!$J$5:$J$1640,1,'Bank Lines'!$C$5:$C$1640,"&lt;="&amp;Cover!$C$13),2)</f>
        <v>-2400</v>
      </c>
      <c r="N1103" s="9">
        <f>ROUND(SUMIFS('Odoo Items'!$G$5:$G$4331,'Odoo Items'!$J$5:$J$4331,A1103,'Odoo Items'!$C$5:$C$4331,"&lt;="&amp;Cover!$C$13),2)</f>
        <v>-2400</v>
      </c>
      <c r="O1103">
        <f>COUNTIFS('Bank Lines'!$G$5:$G$1640,A1103,'Bank Lines'!$J$5:$J$1640,1,'Bank Lines'!$C$5:$C$1640,"&lt;="&amp;Cover!$C$13)</f>
        <v>1</v>
      </c>
      <c r="P1103">
        <f>COUNTIFS('Odoo Items'!$J$5:$J$4331,A1103,'Odoo Items'!$C$5:$C$4331,"&lt;="&amp;Cover!$C$13)</f>
        <v>1</v>
      </c>
      <c r="Q1103" t="str">
        <f>IF(AND(O1103=0,P1103=0),"",IF(O1103=0,"ODOO-ONLY",IF(P1103=0,"BANK-ONLY","BOTH")))</f>
        <v>BOTH</v>
      </c>
      <c r="R1103" s="9">
        <f>IF(Q1103="BOTH",ROUND(M1103-N1103,2),0)</f>
        <v>0</v>
      </c>
      <c r="S1103" s="9">
        <f>ROUND(SUMIFS('Bank Lines'!$E$5:$E$1640,'Bank Lines'!$G$5:$G$1640,A1103,'Bank Lines'!$J$5:$J$1640,1,'Bank Lines'!$C$5:$C$1640,"&lt;="&amp;Cover!$C$14),2)</f>
        <v>-2400</v>
      </c>
      <c r="T1103" s="9">
        <f>ROUND(SUMIFS('Odoo Items'!$G$5:$G$4331,'Odoo Items'!$J$5:$J$4331,A1103,'Odoo Items'!$C$5:$C$4331,"&lt;="&amp;Cover!$C$14),2)</f>
        <v>-2400</v>
      </c>
      <c r="U1103">
        <f>COUNTIFS('Bank Lines'!$G$5:$G$1640,A1103,'Bank Lines'!$J$5:$J$1640,1,'Bank Lines'!$C$5:$C$1640,"&lt;="&amp;Cover!$C$14)</f>
        <v>1</v>
      </c>
      <c r="V1103">
        <f>COUNTIFS('Odoo Items'!$J$5:$J$4331,A1103,'Odoo Items'!$C$5:$C$4331,"&lt;="&amp;Cover!$C$14)</f>
        <v>1</v>
      </c>
      <c r="W1103" t="str">
        <f>IF(AND(U1103=0,V1103=0),"",IF(U1103=0,"ODOO-ONLY",IF(V1103=0,"BANK-ONLY","BOTH")))</f>
        <v>BOTH</v>
      </c>
      <c r="X1103" s="9">
        <f>IF(W1103="BOTH",ROUND(S1103-T1103,2),0)</f>
        <v>0</v>
      </c>
      <c r="Y1103" s="9">
        <f>ROUND(SUMIFS('Bank Lines'!$E$5:$E$1640,'Bank Lines'!$G$5:$G$1640,A1103,'Bank Lines'!$J$5:$J$1640,1,'Bank Lines'!$C$5:$C$1640,"&lt;="&amp;Cover!$C$15),2)</f>
        <v>-2400</v>
      </c>
      <c r="Z1103" s="9">
        <f>ROUND(SUMIFS('Odoo Items'!$G$5:$G$4331,'Odoo Items'!$J$5:$J$4331,A1103,'Odoo Items'!$C$5:$C$4331,"&lt;="&amp;Cover!$C$15),2)</f>
        <v>-2400</v>
      </c>
      <c r="AA1103">
        <f>COUNTIFS('Bank Lines'!$G$5:$G$1640,A1103,'Bank Lines'!$J$5:$J$1640,1,'Bank Lines'!$C$5:$C$1640,"&lt;="&amp;Cover!$C$15)</f>
        <v>1</v>
      </c>
      <c r="AB1103">
        <f>COUNTIFS('Odoo Items'!$J$5:$J$4331,A1103,'Odoo Items'!$C$5:$C$4331,"&lt;="&amp;Cover!$C$15)</f>
        <v>1</v>
      </c>
      <c r="AC1103" t="str">
        <f>IF(AND(AA1103=0,AB1103=0),"",IF(AA1103=0,"ODOO-ONLY",IF(AB1103=0,"BANK-ONLY","BOTH")))</f>
        <v>BOTH</v>
      </c>
      <c r="AD1103" s="9">
        <f>IF(AC1103="BOTH",ROUND(Y1103-Z1103,2),0)</f>
        <v>0</v>
      </c>
    </row>
    <row r="1104">
      <c r="A1104" t="inlineStr">
        <is>
          <t>G01100</t>
        </is>
      </c>
      <c r="B1104" t="inlineStr">
        <is>
          <t>USD</t>
        </is>
      </c>
      <c r="C1104" t="inlineStr">
        <is>
          <t>R09</t>
        </is>
      </c>
      <c r="D1104" t="inlineStr">
        <is>
          <t>MATCH</t>
        </is>
      </c>
      <c r="E1104" t="inlineStr">
        <is>
          <t>Clinical Notes Cloud LLC</t>
        </is>
      </c>
      <c r="F1104" t="n">
        <v>1</v>
      </c>
      <c r="G1104" t="inlineStr">
        <is>
          <t>Reference BILL/2026/1042</t>
        </is>
      </c>
      <c r="H1104">
        <f>COUNTIFS('Bank Lines'!$G$5:$G$1640,A1104,'Bank Lines'!$J$5:$J$1640,1)</f>
        <v>1</v>
      </c>
      <c r="I1104">
        <f>COUNTIFS('Odoo Items'!$J$5:$J$4331,A1104)</f>
        <v>1</v>
      </c>
      <c r="J1104" s="9">
        <f>ROUND(SUMIFS('Bank Lines'!$E$5:$E$1640,'Bank Lines'!$G$5:$G$1640,A1104,'Bank Lines'!$J$5:$J$1640,1),2)</f>
        <v>-1180</v>
      </c>
      <c r="K1104" s="9">
        <f>ROUND(SUMIFS('Odoo Items'!$G$5:$G$4331,'Odoo Items'!$J$5:$J$4331,A1104),2)</f>
        <v>-1180</v>
      </c>
      <c r="L1104" s="9">
        <f>ROUND(J1104-K1104,2)</f>
        <v>0</v>
      </c>
      <c r="M1104" s="9">
        <f>ROUND(SUMIFS('Bank Lines'!$E$5:$E$1640,'Bank Lines'!$G$5:$G$1640,A1104,'Bank Lines'!$J$5:$J$1640,1,'Bank Lines'!$C$5:$C$1640,"&lt;="&amp;Cover!$C$13),2)</f>
        <v>-1180</v>
      </c>
      <c r="N1104" s="9">
        <f>ROUND(SUMIFS('Odoo Items'!$G$5:$G$4331,'Odoo Items'!$J$5:$J$4331,A1104,'Odoo Items'!$C$5:$C$4331,"&lt;="&amp;Cover!$C$13),2)</f>
        <v>-1180</v>
      </c>
      <c r="O1104">
        <f>COUNTIFS('Bank Lines'!$G$5:$G$1640,A1104,'Bank Lines'!$J$5:$J$1640,1,'Bank Lines'!$C$5:$C$1640,"&lt;="&amp;Cover!$C$13)</f>
        <v>1</v>
      </c>
      <c r="P1104">
        <f>COUNTIFS('Odoo Items'!$J$5:$J$4331,A1104,'Odoo Items'!$C$5:$C$4331,"&lt;="&amp;Cover!$C$13)</f>
        <v>1</v>
      </c>
      <c r="Q1104" t="str">
        <f>IF(AND(O1104=0,P1104=0),"",IF(O1104=0,"ODOO-ONLY",IF(P1104=0,"BANK-ONLY","BOTH")))</f>
        <v>BOTH</v>
      </c>
      <c r="R1104" s="9">
        <f>IF(Q1104="BOTH",ROUND(M1104-N1104,2),0)</f>
        <v>0</v>
      </c>
      <c r="S1104" s="9">
        <f>ROUND(SUMIFS('Bank Lines'!$E$5:$E$1640,'Bank Lines'!$G$5:$G$1640,A1104,'Bank Lines'!$J$5:$J$1640,1,'Bank Lines'!$C$5:$C$1640,"&lt;="&amp;Cover!$C$14),2)</f>
        <v>-1180</v>
      </c>
      <c r="T1104" s="9">
        <f>ROUND(SUMIFS('Odoo Items'!$G$5:$G$4331,'Odoo Items'!$J$5:$J$4331,A1104,'Odoo Items'!$C$5:$C$4331,"&lt;="&amp;Cover!$C$14),2)</f>
        <v>-1180</v>
      </c>
      <c r="U1104">
        <f>COUNTIFS('Bank Lines'!$G$5:$G$1640,A1104,'Bank Lines'!$J$5:$J$1640,1,'Bank Lines'!$C$5:$C$1640,"&lt;="&amp;Cover!$C$14)</f>
        <v>1</v>
      </c>
      <c r="V1104">
        <f>COUNTIFS('Odoo Items'!$J$5:$J$4331,A1104,'Odoo Items'!$C$5:$C$4331,"&lt;="&amp;Cover!$C$14)</f>
        <v>1</v>
      </c>
      <c r="W1104" t="str">
        <f>IF(AND(U1104=0,V1104=0),"",IF(U1104=0,"ODOO-ONLY",IF(V1104=0,"BANK-ONLY","BOTH")))</f>
        <v>BOTH</v>
      </c>
      <c r="X1104" s="9">
        <f>IF(W1104="BOTH",ROUND(S1104-T1104,2),0)</f>
        <v>0</v>
      </c>
      <c r="Y1104" s="9">
        <f>ROUND(SUMIFS('Bank Lines'!$E$5:$E$1640,'Bank Lines'!$G$5:$G$1640,A1104,'Bank Lines'!$J$5:$J$1640,1,'Bank Lines'!$C$5:$C$1640,"&lt;="&amp;Cover!$C$15),2)</f>
        <v>-1180</v>
      </c>
      <c r="Z1104" s="9">
        <f>ROUND(SUMIFS('Odoo Items'!$G$5:$G$4331,'Odoo Items'!$J$5:$J$4331,A1104,'Odoo Items'!$C$5:$C$4331,"&lt;="&amp;Cover!$C$15),2)</f>
        <v>-1180</v>
      </c>
      <c r="AA1104">
        <f>COUNTIFS('Bank Lines'!$G$5:$G$1640,A1104,'Bank Lines'!$J$5:$J$1640,1,'Bank Lines'!$C$5:$C$1640,"&lt;="&amp;Cover!$C$15)</f>
        <v>1</v>
      </c>
      <c r="AB1104">
        <f>COUNTIFS('Odoo Items'!$J$5:$J$4331,A1104,'Odoo Items'!$C$5:$C$4331,"&lt;="&amp;Cover!$C$15)</f>
        <v>1</v>
      </c>
      <c r="AC1104" t="str">
        <f>IF(AND(AA1104=0,AB1104=0),"",IF(AA1104=0,"ODOO-ONLY",IF(AB1104=0,"BANK-ONLY","BOTH")))</f>
        <v>BOTH</v>
      </c>
      <c r="AD1104" s="9">
        <f>IF(AC1104="BOTH",ROUND(Y1104-Z1104,2),0)</f>
        <v>0</v>
      </c>
    </row>
    <row r="1105">
      <c r="A1105" t="inlineStr">
        <is>
          <t>G01101</t>
        </is>
      </c>
      <c r="B1105" t="inlineStr">
        <is>
          <t>USD</t>
        </is>
      </c>
      <c r="C1105" t="inlineStr">
        <is>
          <t>R09</t>
        </is>
      </c>
      <c r="D1105" t="inlineStr">
        <is>
          <t>FEE-DIFF</t>
        </is>
      </c>
      <c r="E1105" t="inlineStr">
        <is>
          <t>Cascadia Health Analytics Inc</t>
        </is>
      </c>
      <c r="F1105" t="n">
        <v>1</v>
      </c>
      <c r="G1105" t="inlineStr">
        <is>
          <t>Reference INV/2026/03623; 18.00 deducted by intermediary bank</t>
        </is>
      </c>
      <c r="H1105">
        <f>COUNTIFS('Bank Lines'!$G$5:$G$1640,A1105,'Bank Lines'!$J$5:$J$1640,1)</f>
        <v>1</v>
      </c>
      <c r="I1105">
        <f>COUNTIFS('Odoo Items'!$J$5:$J$4331,A1105)</f>
        <v>1</v>
      </c>
      <c r="J1105" s="9">
        <f>ROUND(SUMIFS('Bank Lines'!$E$5:$E$1640,'Bank Lines'!$G$5:$G$1640,A1105,'Bank Lines'!$J$5:$J$1640,1),2)</f>
        <v>6782</v>
      </c>
      <c r="K1105" s="9">
        <f>ROUND(SUMIFS('Odoo Items'!$G$5:$G$4331,'Odoo Items'!$J$5:$J$4331,A1105),2)</f>
        <v>6800</v>
      </c>
      <c r="L1105" s="9">
        <f>ROUND(J1105-K1105,2)</f>
        <v>-18</v>
      </c>
      <c r="M1105" s="9">
        <f>ROUND(SUMIFS('Bank Lines'!$E$5:$E$1640,'Bank Lines'!$G$5:$G$1640,A1105,'Bank Lines'!$J$5:$J$1640,1,'Bank Lines'!$C$5:$C$1640,"&lt;="&amp;Cover!$C$13),2)</f>
        <v>6782</v>
      </c>
      <c r="N1105" s="9">
        <f>ROUND(SUMIFS('Odoo Items'!$G$5:$G$4331,'Odoo Items'!$J$5:$J$4331,A1105,'Odoo Items'!$C$5:$C$4331,"&lt;="&amp;Cover!$C$13),2)</f>
        <v>6800</v>
      </c>
      <c r="O1105">
        <f>COUNTIFS('Bank Lines'!$G$5:$G$1640,A1105,'Bank Lines'!$J$5:$J$1640,1,'Bank Lines'!$C$5:$C$1640,"&lt;="&amp;Cover!$C$13)</f>
        <v>1</v>
      </c>
      <c r="P1105">
        <f>COUNTIFS('Odoo Items'!$J$5:$J$4331,A1105,'Odoo Items'!$C$5:$C$4331,"&lt;="&amp;Cover!$C$13)</f>
        <v>1</v>
      </c>
      <c r="Q1105" t="str">
        <f>IF(AND(O1105=0,P1105=0),"",IF(O1105=0,"ODOO-ONLY",IF(P1105=0,"BANK-ONLY","BOTH")))</f>
        <v>BOTH</v>
      </c>
      <c r="R1105" s="9">
        <f>IF(Q1105="BOTH",ROUND(M1105-N1105,2),0)</f>
        <v>-18</v>
      </c>
      <c r="S1105" s="9">
        <f>ROUND(SUMIFS('Bank Lines'!$E$5:$E$1640,'Bank Lines'!$G$5:$G$1640,A1105,'Bank Lines'!$J$5:$J$1640,1,'Bank Lines'!$C$5:$C$1640,"&lt;="&amp;Cover!$C$14),2)</f>
        <v>6782</v>
      </c>
      <c r="T1105" s="9">
        <f>ROUND(SUMIFS('Odoo Items'!$G$5:$G$4331,'Odoo Items'!$J$5:$J$4331,A1105,'Odoo Items'!$C$5:$C$4331,"&lt;="&amp;Cover!$C$14),2)</f>
        <v>6800</v>
      </c>
      <c r="U1105">
        <f>COUNTIFS('Bank Lines'!$G$5:$G$1640,A1105,'Bank Lines'!$J$5:$J$1640,1,'Bank Lines'!$C$5:$C$1640,"&lt;="&amp;Cover!$C$14)</f>
        <v>1</v>
      </c>
      <c r="V1105">
        <f>COUNTIFS('Odoo Items'!$J$5:$J$4331,A1105,'Odoo Items'!$C$5:$C$4331,"&lt;="&amp;Cover!$C$14)</f>
        <v>1</v>
      </c>
      <c r="W1105" t="str">
        <f>IF(AND(U1105=0,V1105=0),"",IF(U1105=0,"ODOO-ONLY",IF(V1105=0,"BANK-ONLY","BOTH")))</f>
        <v>BOTH</v>
      </c>
      <c r="X1105" s="9">
        <f>IF(W1105="BOTH",ROUND(S1105-T1105,2),0)</f>
        <v>-18</v>
      </c>
      <c r="Y1105" s="9">
        <f>ROUND(SUMIFS('Bank Lines'!$E$5:$E$1640,'Bank Lines'!$G$5:$G$1640,A1105,'Bank Lines'!$J$5:$J$1640,1,'Bank Lines'!$C$5:$C$1640,"&lt;="&amp;Cover!$C$15),2)</f>
        <v>6782</v>
      </c>
      <c r="Z1105" s="9">
        <f>ROUND(SUMIFS('Odoo Items'!$G$5:$G$4331,'Odoo Items'!$J$5:$J$4331,A1105,'Odoo Items'!$C$5:$C$4331,"&lt;="&amp;Cover!$C$15),2)</f>
        <v>6800</v>
      </c>
      <c r="AA1105">
        <f>COUNTIFS('Bank Lines'!$G$5:$G$1640,A1105,'Bank Lines'!$J$5:$J$1640,1,'Bank Lines'!$C$5:$C$1640,"&lt;="&amp;Cover!$C$15)</f>
        <v>1</v>
      </c>
      <c r="AB1105">
        <f>COUNTIFS('Odoo Items'!$J$5:$J$4331,A1105,'Odoo Items'!$C$5:$C$4331,"&lt;="&amp;Cover!$C$15)</f>
        <v>1</v>
      </c>
      <c r="AC1105" t="str">
        <f>IF(AND(AA1105=0,AB1105=0),"",IF(AA1105=0,"ODOO-ONLY",IF(AB1105=0,"BANK-ONLY","BOTH")))</f>
        <v>BOTH</v>
      </c>
      <c r="AD1105" s="9">
        <f>IF(AC1105="BOTH",ROUND(Y1105-Z1105,2),0)</f>
        <v>-18</v>
      </c>
    </row>
    <row r="1106">
      <c r="A1106" t="inlineStr">
        <is>
          <t>G01102</t>
        </is>
      </c>
      <c r="B1106" t="inlineStr">
        <is>
          <t>USD</t>
        </is>
      </c>
      <c r="C1106" t="inlineStr">
        <is>
          <t>R09</t>
        </is>
      </c>
      <c r="D1106" t="inlineStr">
        <is>
          <t>MATCH</t>
        </is>
      </c>
      <c r="E1106" t="inlineStr">
        <is>
          <t>Outcome Measures Co</t>
        </is>
      </c>
      <c r="F1106" t="n">
        <v>1</v>
      </c>
      <c r="G1106" t="inlineStr">
        <is>
          <t>Reference BILL/2026/1043</t>
        </is>
      </c>
      <c r="H1106">
        <f>COUNTIFS('Bank Lines'!$G$5:$G$1640,A1106,'Bank Lines'!$J$5:$J$1640,1)</f>
        <v>1</v>
      </c>
      <c r="I1106">
        <f>COUNTIFS('Odoo Items'!$J$5:$J$4331,A1106)</f>
        <v>1</v>
      </c>
      <c r="J1106" s="9">
        <f>ROUND(SUMIFS('Bank Lines'!$E$5:$E$1640,'Bank Lines'!$G$5:$G$1640,A1106,'Bank Lines'!$J$5:$J$1640,1),2)</f>
        <v>-640</v>
      </c>
      <c r="K1106" s="9">
        <f>ROUND(SUMIFS('Odoo Items'!$G$5:$G$4331,'Odoo Items'!$J$5:$J$4331,A1106),2)</f>
        <v>-640</v>
      </c>
      <c r="L1106" s="9">
        <f>ROUND(J1106-K1106,2)</f>
        <v>0</v>
      </c>
      <c r="M1106" s="9">
        <f>ROUND(SUMIFS('Bank Lines'!$E$5:$E$1640,'Bank Lines'!$G$5:$G$1640,A1106,'Bank Lines'!$J$5:$J$1640,1,'Bank Lines'!$C$5:$C$1640,"&lt;="&amp;Cover!$C$13),2)</f>
        <v>-640</v>
      </c>
      <c r="N1106" s="9">
        <f>ROUND(SUMIFS('Odoo Items'!$G$5:$G$4331,'Odoo Items'!$J$5:$J$4331,A1106,'Odoo Items'!$C$5:$C$4331,"&lt;="&amp;Cover!$C$13),2)</f>
        <v>-640</v>
      </c>
      <c r="O1106">
        <f>COUNTIFS('Bank Lines'!$G$5:$G$1640,A1106,'Bank Lines'!$J$5:$J$1640,1,'Bank Lines'!$C$5:$C$1640,"&lt;="&amp;Cover!$C$13)</f>
        <v>1</v>
      </c>
      <c r="P1106">
        <f>COUNTIFS('Odoo Items'!$J$5:$J$4331,A1106,'Odoo Items'!$C$5:$C$4331,"&lt;="&amp;Cover!$C$13)</f>
        <v>1</v>
      </c>
      <c r="Q1106" t="str">
        <f>IF(AND(O1106=0,P1106=0),"",IF(O1106=0,"ODOO-ONLY",IF(P1106=0,"BANK-ONLY","BOTH")))</f>
        <v>BOTH</v>
      </c>
      <c r="R1106" s="9">
        <f>IF(Q1106="BOTH",ROUND(M1106-N1106,2),0)</f>
        <v>0</v>
      </c>
      <c r="S1106" s="9">
        <f>ROUND(SUMIFS('Bank Lines'!$E$5:$E$1640,'Bank Lines'!$G$5:$G$1640,A1106,'Bank Lines'!$J$5:$J$1640,1,'Bank Lines'!$C$5:$C$1640,"&lt;="&amp;Cover!$C$14),2)</f>
        <v>-640</v>
      </c>
      <c r="T1106" s="9">
        <f>ROUND(SUMIFS('Odoo Items'!$G$5:$G$4331,'Odoo Items'!$J$5:$J$4331,A1106,'Odoo Items'!$C$5:$C$4331,"&lt;="&amp;Cover!$C$14),2)</f>
        <v>-640</v>
      </c>
      <c r="U1106">
        <f>COUNTIFS('Bank Lines'!$G$5:$G$1640,A1106,'Bank Lines'!$J$5:$J$1640,1,'Bank Lines'!$C$5:$C$1640,"&lt;="&amp;Cover!$C$14)</f>
        <v>1</v>
      </c>
      <c r="V1106">
        <f>COUNTIFS('Odoo Items'!$J$5:$J$4331,A1106,'Odoo Items'!$C$5:$C$4331,"&lt;="&amp;Cover!$C$14)</f>
        <v>1</v>
      </c>
      <c r="W1106" t="str">
        <f>IF(AND(U1106=0,V1106=0),"",IF(U1106=0,"ODOO-ONLY",IF(V1106=0,"BANK-ONLY","BOTH")))</f>
        <v>BOTH</v>
      </c>
      <c r="X1106" s="9">
        <f>IF(W1106="BOTH",ROUND(S1106-T1106,2),0)</f>
        <v>0</v>
      </c>
      <c r="Y1106" s="9">
        <f>ROUND(SUMIFS('Bank Lines'!$E$5:$E$1640,'Bank Lines'!$G$5:$G$1640,A1106,'Bank Lines'!$J$5:$J$1640,1,'Bank Lines'!$C$5:$C$1640,"&lt;="&amp;Cover!$C$15),2)</f>
        <v>-640</v>
      </c>
      <c r="Z1106" s="9">
        <f>ROUND(SUMIFS('Odoo Items'!$G$5:$G$4331,'Odoo Items'!$J$5:$J$4331,A1106,'Odoo Items'!$C$5:$C$4331,"&lt;="&amp;Cover!$C$15),2)</f>
        <v>-640</v>
      </c>
      <c r="AA1106">
        <f>COUNTIFS('Bank Lines'!$G$5:$G$1640,A1106,'Bank Lines'!$J$5:$J$1640,1,'Bank Lines'!$C$5:$C$1640,"&lt;="&amp;Cover!$C$15)</f>
        <v>1</v>
      </c>
      <c r="AB1106">
        <f>COUNTIFS('Odoo Items'!$J$5:$J$4331,A1106,'Odoo Items'!$C$5:$C$4331,"&lt;="&amp;Cover!$C$15)</f>
        <v>1</v>
      </c>
      <c r="AC1106" t="str">
        <f>IF(AND(AA1106=0,AB1106=0),"",IF(AA1106=0,"ODOO-ONLY",IF(AB1106=0,"BANK-ONLY","BOTH")))</f>
        <v>BOTH</v>
      </c>
      <c r="AD1106" s="9">
        <f>IF(AC1106="BOTH",ROUND(Y1106-Z1106,2),0)</f>
        <v>0</v>
      </c>
    </row>
    <row r="1107">
      <c r="A1107" t="inlineStr">
        <is>
          <t>G01103</t>
        </is>
      </c>
      <c r="B1107" t="inlineStr">
        <is>
          <t>USD</t>
        </is>
      </c>
      <c r="C1107" t="inlineStr">
        <is>
          <t>R09</t>
        </is>
      </c>
      <c r="D1107" t="inlineStr">
        <is>
          <t>MATCH</t>
        </is>
      </c>
      <c r="E1107" t="inlineStr">
        <is>
          <t>Video Visit Systems</t>
        </is>
      </c>
      <c r="F1107" t="n">
        <v>0.944</v>
      </c>
      <c r="G1107" t="inlineStr">
        <is>
          <t>Reference BILL/2026/1044</t>
        </is>
      </c>
      <c r="H1107">
        <f>COUNTIFS('Bank Lines'!$G$5:$G$1640,A1107,'Bank Lines'!$J$5:$J$1640,1)</f>
        <v>1</v>
      </c>
      <c r="I1107">
        <f>COUNTIFS('Odoo Items'!$J$5:$J$4331,A1107)</f>
        <v>1</v>
      </c>
      <c r="J1107" s="9">
        <f>ROUND(SUMIFS('Bank Lines'!$E$5:$E$1640,'Bank Lines'!$G$5:$G$1640,A1107,'Bank Lines'!$J$5:$J$1640,1),2)</f>
        <v>-960</v>
      </c>
      <c r="K1107" s="9">
        <f>ROUND(SUMIFS('Odoo Items'!$G$5:$G$4331,'Odoo Items'!$J$5:$J$4331,A1107),2)</f>
        <v>-960</v>
      </c>
      <c r="L1107" s="9">
        <f>ROUND(J1107-K1107,2)</f>
        <v>0</v>
      </c>
      <c r="M1107" s="9">
        <f>ROUND(SUMIFS('Bank Lines'!$E$5:$E$1640,'Bank Lines'!$G$5:$G$1640,A1107,'Bank Lines'!$J$5:$J$1640,1,'Bank Lines'!$C$5:$C$1640,"&lt;="&amp;Cover!$C$13),2)</f>
        <v>-960</v>
      </c>
      <c r="N1107" s="9">
        <f>ROUND(SUMIFS('Odoo Items'!$G$5:$G$4331,'Odoo Items'!$J$5:$J$4331,A1107,'Odoo Items'!$C$5:$C$4331,"&lt;="&amp;Cover!$C$13),2)</f>
        <v>-960</v>
      </c>
      <c r="O1107">
        <f>COUNTIFS('Bank Lines'!$G$5:$G$1640,A1107,'Bank Lines'!$J$5:$J$1640,1,'Bank Lines'!$C$5:$C$1640,"&lt;="&amp;Cover!$C$13)</f>
        <v>1</v>
      </c>
      <c r="P1107">
        <f>COUNTIFS('Odoo Items'!$J$5:$J$4331,A1107,'Odoo Items'!$C$5:$C$4331,"&lt;="&amp;Cover!$C$13)</f>
        <v>1</v>
      </c>
      <c r="Q1107" t="str">
        <f>IF(AND(O1107=0,P1107=0),"",IF(O1107=0,"ODOO-ONLY",IF(P1107=0,"BANK-ONLY","BOTH")))</f>
        <v>BOTH</v>
      </c>
      <c r="R1107" s="9">
        <f>IF(Q1107="BOTH",ROUND(M1107-N1107,2),0)</f>
        <v>0</v>
      </c>
      <c r="S1107" s="9">
        <f>ROUND(SUMIFS('Bank Lines'!$E$5:$E$1640,'Bank Lines'!$G$5:$G$1640,A1107,'Bank Lines'!$J$5:$J$1640,1,'Bank Lines'!$C$5:$C$1640,"&lt;="&amp;Cover!$C$14),2)</f>
        <v>-960</v>
      </c>
      <c r="T1107" s="9">
        <f>ROUND(SUMIFS('Odoo Items'!$G$5:$G$4331,'Odoo Items'!$J$5:$J$4331,A1107,'Odoo Items'!$C$5:$C$4331,"&lt;="&amp;Cover!$C$14),2)</f>
        <v>-960</v>
      </c>
      <c r="U1107">
        <f>COUNTIFS('Bank Lines'!$G$5:$G$1640,A1107,'Bank Lines'!$J$5:$J$1640,1,'Bank Lines'!$C$5:$C$1640,"&lt;="&amp;Cover!$C$14)</f>
        <v>1</v>
      </c>
      <c r="V1107">
        <f>COUNTIFS('Odoo Items'!$J$5:$J$4331,A1107,'Odoo Items'!$C$5:$C$4331,"&lt;="&amp;Cover!$C$14)</f>
        <v>1</v>
      </c>
      <c r="W1107" t="str">
        <f>IF(AND(U1107=0,V1107=0),"",IF(U1107=0,"ODOO-ONLY",IF(V1107=0,"BANK-ONLY","BOTH")))</f>
        <v>BOTH</v>
      </c>
      <c r="X1107" s="9">
        <f>IF(W1107="BOTH",ROUND(S1107-T1107,2),0)</f>
        <v>0</v>
      </c>
      <c r="Y1107" s="9">
        <f>ROUND(SUMIFS('Bank Lines'!$E$5:$E$1640,'Bank Lines'!$G$5:$G$1640,A1107,'Bank Lines'!$J$5:$J$1640,1,'Bank Lines'!$C$5:$C$1640,"&lt;="&amp;Cover!$C$15),2)</f>
        <v>-960</v>
      </c>
      <c r="Z1107" s="9">
        <f>ROUND(SUMIFS('Odoo Items'!$G$5:$G$4331,'Odoo Items'!$J$5:$J$4331,A1107,'Odoo Items'!$C$5:$C$4331,"&lt;="&amp;Cover!$C$15),2)</f>
        <v>-960</v>
      </c>
      <c r="AA1107">
        <f>COUNTIFS('Bank Lines'!$G$5:$G$1640,A1107,'Bank Lines'!$J$5:$J$1640,1,'Bank Lines'!$C$5:$C$1640,"&lt;="&amp;Cover!$C$15)</f>
        <v>1</v>
      </c>
      <c r="AB1107">
        <f>COUNTIFS('Odoo Items'!$J$5:$J$4331,A1107,'Odoo Items'!$C$5:$C$4331,"&lt;="&amp;Cover!$C$15)</f>
        <v>1</v>
      </c>
      <c r="AC1107" t="str">
        <f>IF(AND(AA1107=0,AB1107=0),"",IF(AA1107=0,"ODOO-ONLY",IF(AB1107=0,"BANK-ONLY","BOTH")))</f>
        <v>BOTH</v>
      </c>
      <c r="AD1107" s="9">
        <f>IF(AC1107="BOTH",ROUND(Y1107-Z1107,2),0)</f>
        <v>0</v>
      </c>
    </row>
    <row r="1108">
      <c r="A1108" t="inlineStr">
        <is>
          <t>G01104</t>
        </is>
      </c>
      <c r="B1108" t="inlineStr">
        <is>
          <t>USD</t>
        </is>
      </c>
      <c r="C1108" t="inlineStr">
        <is>
          <t>R09</t>
        </is>
      </c>
      <c r="D1108" t="inlineStr">
        <is>
          <t>MATCH</t>
        </is>
      </c>
      <c r="E1108" t="inlineStr">
        <is>
          <t>Telehealth Platform Inc</t>
        </is>
      </c>
      <c r="F1108" t="n">
        <v>1</v>
      </c>
      <c r="G1108" t="inlineStr">
        <is>
          <t>Reference BILL/2026/1045</t>
        </is>
      </c>
      <c r="H1108">
        <f>COUNTIFS('Bank Lines'!$G$5:$G$1640,A1108,'Bank Lines'!$J$5:$J$1640,1)</f>
        <v>1</v>
      </c>
      <c r="I1108">
        <f>COUNTIFS('Odoo Items'!$J$5:$J$4331,A1108)</f>
        <v>1</v>
      </c>
      <c r="J1108" s="9">
        <f>ROUND(SUMIFS('Bank Lines'!$E$5:$E$1640,'Bank Lines'!$G$5:$G$1640,A1108,'Bank Lines'!$J$5:$J$1640,1),2)</f>
        <v>-2400</v>
      </c>
      <c r="K1108" s="9">
        <f>ROUND(SUMIFS('Odoo Items'!$G$5:$G$4331,'Odoo Items'!$J$5:$J$4331,A1108),2)</f>
        <v>-2400</v>
      </c>
      <c r="L1108" s="9">
        <f>ROUND(J1108-K1108,2)</f>
        <v>0</v>
      </c>
      <c r="M1108" s="9">
        <f>ROUND(SUMIFS('Bank Lines'!$E$5:$E$1640,'Bank Lines'!$G$5:$G$1640,A1108,'Bank Lines'!$J$5:$J$1640,1,'Bank Lines'!$C$5:$C$1640,"&lt;="&amp;Cover!$C$13),2)</f>
        <v>0</v>
      </c>
      <c r="N1108" s="9">
        <f>ROUND(SUMIFS('Odoo Items'!$G$5:$G$4331,'Odoo Items'!$J$5:$J$4331,A1108,'Odoo Items'!$C$5:$C$4331,"&lt;="&amp;Cover!$C$13),2)</f>
        <v>0</v>
      </c>
      <c r="O1108">
        <f>COUNTIFS('Bank Lines'!$G$5:$G$1640,A1108,'Bank Lines'!$J$5:$J$1640,1,'Bank Lines'!$C$5:$C$1640,"&lt;="&amp;Cover!$C$13)</f>
        <v>0</v>
      </c>
      <c r="P1108">
        <f>COUNTIFS('Odoo Items'!$J$5:$J$4331,A1108,'Odoo Items'!$C$5:$C$4331,"&lt;="&amp;Cover!$C$13)</f>
        <v>0</v>
      </c>
      <c r="Q1108">
        <f>IF(AND(O1108=0,P1108=0),"",IF(O1108=0,"ODOO-ONLY",IF(P1108=0,"BANK-ONLY","BOTH")))</f>
      </c>
      <c r="R1108" s="9">
        <f>IF(Q1108="BOTH",ROUND(M1108-N1108,2),0)</f>
        <v>0</v>
      </c>
      <c r="S1108" s="9">
        <f>ROUND(SUMIFS('Bank Lines'!$E$5:$E$1640,'Bank Lines'!$G$5:$G$1640,A1108,'Bank Lines'!$J$5:$J$1640,1,'Bank Lines'!$C$5:$C$1640,"&lt;="&amp;Cover!$C$14),2)</f>
        <v>-2400</v>
      </c>
      <c r="T1108" s="9">
        <f>ROUND(SUMIFS('Odoo Items'!$G$5:$G$4331,'Odoo Items'!$J$5:$J$4331,A1108,'Odoo Items'!$C$5:$C$4331,"&lt;="&amp;Cover!$C$14),2)</f>
        <v>-2400</v>
      </c>
      <c r="U1108">
        <f>COUNTIFS('Bank Lines'!$G$5:$G$1640,A1108,'Bank Lines'!$J$5:$J$1640,1,'Bank Lines'!$C$5:$C$1640,"&lt;="&amp;Cover!$C$14)</f>
        <v>1</v>
      </c>
      <c r="V1108">
        <f>COUNTIFS('Odoo Items'!$J$5:$J$4331,A1108,'Odoo Items'!$C$5:$C$4331,"&lt;="&amp;Cover!$C$14)</f>
        <v>1</v>
      </c>
      <c r="W1108" t="str">
        <f>IF(AND(U1108=0,V1108=0),"",IF(U1108=0,"ODOO-ONLY",IF(V1108=0,"BANK-ONLY","BOTH")))</f>
        <v>BOTH</v>
      </c>
      <c r="X1108" s="9">
        <f>IF(W1108="BOTH",ROUND(S1108-T1108,2),0)</f>
        <v>0</v>
      </c>
      <c r="Y1108" s="9">
        <f>ROUND(SUMIFS('Bank Lines'!$E$5:$E$1640,'Bank Lines'!$G$5:$G$1640,A1108,'Bank Lines'!$J$5:$J$1640,1,'Bank Lines'!$C$5:$C$1640,"&lt;="&amp;Cover!$C$15),2)</f>
        <v>-2400</v>
      </c>
      <c r="Z1108" s="9">
        <f>ROUND(SUMIFS('Odoo Items'!$G$5:$G$4331,'Odoo Items'!$J$5:$J$4331,A1108,'Odoo Items'!$C$5:$C$4331,"&lt;="&amp;Cover!$C$15),2)</f>
        <v>-2400</v>
      </c>
      <c r="AA1108">
        <f>COUNTIFS('Bank Lines'!$G$5:$G$1640,A1108,'Bank Lines'!$J$5:$J$1640,1,'Bank Lines'!$C$5:$C$1640,"&lt;="&amp;Cover!$C$15)</f>
        <v>1</v>
      </c>
      <c r="AB1108">
        <f>COUNTIFS('Odoo Items'!$J$5:$J$4331,A1108,'Odoo Items'!$C$5:$C$4331,"&lt;="&amp;Cover!$C$15)</f>
        <v>1</v>
      </c>
      <c r="AC1108" t="str">
        <f>IF(AND(AA1108=0,AB1108=0),"",IF(AA1108=0,"ODOO-ONLY",IF(AB1108=0,"BANK-ONLY","BOTH")))</f>
        <v>BOTH</v>
      </c>
      <c r="AD1108" s="9">
        <f>IF(AC1108="BOTH",ROUND(Y1108-Z1108,2),0)</f>
        <v>0</v>
      </c>
    </row>
    <row r="1109">
      <c r="A1109" t="inlineStr">
        <is>
          <t>G01105</t>
        </is>
      </c>
      <c r="B1109" t="inlineStr">
        <is>
          <t>USD</t>
        </is>
      </c>
      <c r="C1109" t="inlineStr">
        <is>
          <t>R09</t>
        </is>
      </c>
      <c r="D1109" t="inlineStr">
        <is>
          <t>FEE-DIFF</t>
        </is>
      </c>
      <c r="E1109" t="inlineStr">
        <is>
          <t>Cascadia Health Analytics Inc</t>
        </is>
      </c>
      <c r="F1109" t="n">
        <v>1</v>
      </c>
      <c r="G1109" t="inlineStr">
        <is>
          <t>Reference INV/2026/03624; 18.00 deducted by intermediary bank</t>
        </is>
      </c>
      <c r="H1109">
        <f>COUNTIFS('Bank Lines'!$G$5:$G$1640,A1109,'Bank Lines'!$J$5:$J$1640,1)</f>
        <v>1</v>
      </c>
      <c r="I1109">
        <f>COUNTIFS('Odoo Items'!$J$5:$J$4331,A1109)</f>
        <v>1</v>
      </c>
      <c r="J1109" s="9">
        <f>ROUND(SUMIFS('Bank Lines'!$E$5:$E$1640,'Bank Lines'!$G$5:$G$1640,A1109,'Bank Lines'!$J$5:$J$1640,1),2)</f>
        <v>6782</v>
      </c>
      <c r="K1109" s="9">
        <f>ROUND(SUMIFS('Odoo Items'!$G$5:$G$4331,'Odoo Items'!$J$5:$J$4331,A1109),2)</f>
        <v>6800</v>
      </c>
      <c r="L1109" s="9">
        <f>ROUND(J1109-K1109,2)</f>
        <v>-18</v>
      </c>
      <c r="M1109" s="9">
        <f>ROUND(SUMIFS('Bank Lines'!$E$5:$E$1640,'Bank Lines'!$G$5:$G$1640,A1109,'Bank Lines'!$J$5:$J$1640,1,'Bank Lines'!$C$5:$C$1640,"&lt;="&amp;Cover!$C$13),2)</f>
        <v>0</v>
      </c>
      <c r="N1109" s="9">
        <f>ROUND(SUMIFS('Odoo Items'!$G$5:$G$4331,'Odoo Items'!$J$5:$J$4331,A1109,'Odoo Items'!$C$5:$C$4331,"&lt;="&amp;Cover!$C$13),2)</f>
        <v>0</v>
      </c>
      <c r="O1109">
        <f>COUNTIFS('Bank Lines'!$G$5:$G$1640,A1109,'Bank Lines'!$J$5:$J$1640,1,'Bank Lines'!$C$5:$C$1640,"&lt;="&amp;Cover!$C$13)</f>
        <v>0</v>
      </c>
      <c r="P1109">
        <f>COUNTIFS('Odoo Items'!$J$5:$J$4331,A1109,'Odoo Items'!$C$5:$C$4331,"&lt;="&amp;Cover!$C$13)</f>
        <v>0</v>
      </c>
      <c r="Q1109">
        <f>IF(AND(O1109=0,P1109=0),"",IF(O1109=0,"ODOO-ONLY",IF(P1109=0,"BANK-ONLY","BOTH")))</f>
      </c>
      <c r="R1109" s="9">
        <f>IF(Q1109="BOTH",ROUND(M1109-N1109,2),0)</f>
        <v>0</v>
      </c>
      <c r="S1109" s="9">
        <f>ROUND(SUMIFS('Bank Lines'!$E$5:$E$1640,'Bank Lines'!$G$5:$G$1640,A1109,'Bank Lines'!$J$5:$J$1640,1,'Bank Lines'!$C$5:$C$1640,"&lt;="&amp;Cover!$C$14),2)</f>
        <v>6782</v>
      </c>
      <c r="T1109" s="9">
        <f>ROUND(SUMIFS('Odoo Items'!$G$5:$G$4331,'Odoo Items'!$J$5:$J$4331,A1109,'Odoo Items'!$C$5:$C$4331,"&lt;="&amp;Cover!$C$14),2)</f>
        <v>6800</v>
      </c>
      <c r="U1109">
        <f>COUNTIFS('Bank Lines'!$G$5:$G$1640,A1109,'Bank Lines'!$J$5:$J$1640,1,'Bank Lines'!$C$5:$C$1640,"&lt;="&amp;Cover!$C$14)</f>
        <v>1</v>
      </c>
      <c r="V1109">
        <f>COUNTIFS('Odoo Items'!$J$5:$J$4331,A1109,'Odoo Items'!$C$5:$C$4331,"&lt;="&amp;Cover!$C$14)</f>
        <v>1</v>
      </c>
      <c r="W1109" t="str">
        <f>IF(AND(U1109=0,V1109=0),"",IF(U1109=0,"ODOO-ONLY",IF(V1109=0,"BANK-ONLY","BOTH")))</f>
        <v>BOTH</v>
      </c>
      <c r="X1109" s="9">
        <f>IF(W1109="BOTH",ROUND(S1109-T1109,2),0)</f>
        <v>-18</v>
      </c>
      <c r="Y1109" s="9">
        <f>ROUND(SUMIFS('Bank Lines'!$E$5:$E$1640,'Bank Lines'!$G$5:$G$1640,A1109,'Bank Lines'!$J$5:$J$1640,1,'Bank Lines'!$C$5:$C$1640,"&lt;="&amp;Cover!$C$15),2)</f>
        <v>6782</v>
      </c>
      <c r="Z1109" s="9">
        <f>ROUND(SUMIFS('Odoo Items'!$G$5:$G$4331,'Odoo Items'!$J$5:$J$4331,A1109,'Odoo Items'!$C$5:$C$4331,"&lt;="&amp;Cover!$C$15),2)</f>
        <v>6800</v>
      </c>
      <c r="AA1109">
        <f>COUNTIFS('Bank Lines'!$G$5:$G$1640,A1109,'Bank Lines'!$J$5:$J$1640,1,'Bank Lines'!$C$5:$C$1640,"&lt;="&amp;Cover!$C$15)</f>
        <v>1</v>
      </c>
      <c r="AB1109">
        <f>COUNTIFS('Odoo Items'!$J$5:$J$4331,A1109,'Odoo Items'!$C$5:$C$4331,"&lt;="&amp;Cover!$C$15)</f>
        <v>1</v>
      </c>
      <c r="AC1109" t="str">
        <f>IF(AND(AA1109=0,AB1109=0),"",IF(AA1109=0,"ODOO-ONLY",IF(AB1109=0,"BANK-ONLY","BOTH")))</f>
        <v>BOTH</v>
      </c>
      <c r="AD1109" s="9">
        <f>IF(AC1109="BOTH",ROUND(Y1109-Z1109,2),0)</f>
        <v>-18</v>
      </c>
    </row>
    <row r="1110">
      <c r="A1110" t="inlineStr">
        <is>
          <t>G01106</t>
        </is>
      </c>
      <c r="B1110" t="inlineStr">
        <is>
          <t>USD</t>
        </is>
      </c>
      <c r="C1110" t="inlineStr">
        <is>
          <t>R09</t>
        </is>
      </c>
      <c r="D1110" t="inlineStr">
        <is>
          <t>MATCH</t>
        </is>
      </c>
      <c r="E1110" t="inlineStr">
        <is>
          <t>Clinical Notes Cloud LLC</t>
        </is>
      </c>
      <c r="F1110" t="n">
        <v>0.973</v>
      </c>
      <c r="G1110" t="inlineStr">
        <is>
          <t>Reference BILL/2026/1046</t>
        </is>
      </c>
      <c r="H1110">
        <f>COUNTIFS('Bank Lines'!$G$5:$G$1640,A1110,'Bank Lines'!$J$5:$J$1640,1)</f>
        <v>1</v>
      </c>
      <c r="I1110">
        <f>COUNTIFS('Odoo Items'!$J$5:$J$4331,A1110)</f>
        <v>1</v>
      </c>
      <c r="J1110" s="9">
        <f>ROUND(SUMIFS('Bank Lines'!$E$5:$E$1640,'Bank Lines'!$G$5:$G$1640,A1110,'Bank Lines'!$J$5:$J$1640,1),2)</f>
        <v>-1180</v>
      </c>
      <c r="K1110" s="9">
        <f>ROUND(SUMIFS('Odoo Items'!$G$5:$G$4331,'Odoo Items'!$J$5:$J$4331,A1110),2)</f>
        <v>-1180</v>
      </c>
      <c r="L1110" s="9">
        <f>ROUND(J1110-K1110,2)</f>
        <v>0</v>
      </c>
      <c r="M1110" s="9">
        <f>ROUND(SUMIFS('Bank Lines'!$E$5:$E$1640,'Bank Lines'!$G$5:$G$1640,A1110,'Bank Lines'!$J$5:$J$1640,1,'Bank Lines'!$C$5:$C$1640,"&lt;="&amp;Cover!$C$13),2)</f>
        <v>0</v>
      </c>
      <c r="N1110" s="9">
        <f>ROUND(SUMIFS('Odoo Items'!$G$5:$G$4331,'Odoo Items'!$J$5:$J$4331,A1110,'Odoo Items'!$C$5:$C$4331,"&lt;="&amp;Cover!$C$13),2)</f>
        <v>0</v>
      </c>
      <c r="O1110">
        <f>COUNTIFS('Bank Lines'!$G$5:$G$1640,A1110,'Bank Lines'!$J$5:$J$1640,1,'Bank Lines'!$C$5:$C$1640,"&lt;="&amp;Cover!$C$13)</f>
        <v>0</v>
      </c>
      <c r="P1110">
        <f>COUNTIFS('Odoo Items'!$J$5:$J$4331,A1110,'Odoo Items'!$C$5:$C$4331,"&lt;="&amp;Cover!$C$13)</f>
        <v>0</v>
      </c>
      <c r="Q1110">
        <f>IF(AND(O1110=0,P1110=0),"",IF(O1110=0,"ODOO-ONLY",IF(P1110=0,"BANK-ONLY","BOTH")))</f>
      </c>
      <c r="R1110" s="9">
        <f>IF(Q1110="BOTH",ROUND(M1110-N1110,2),0)</f>
        <v>0</v>
      </c>
      <c r="S1110" s="9">
        <f>ROUND(SUMIFS('Bank Lines'!$E$5:$E$1640,'Bank Lines'!$G$5:$G$1640,A1110,'Bank Lines'!$J$5:$J$1640,1,'Bank Lines'!$C$5:$C$1640,"&lt;="&amp;Cover!$C$14),2)</f>
        <v>-1180</v>
      </c>
      <c r="T1110" s="9">
        <f>ROUND(SUMIFS('Odoo Items'!$G$5:$G$4331,'Odoo Items'!$J$5:$J$4331,A1110,'Odoo Items'!$C$5:$C$4331,"&lt;="&amp;Cover!$C$14),2)</f>
        <v>-1180</v>
      </c>
      <c r="U1110">
        <f>COUNTIFS('Bank Lines'!$G$5:$G$1640,A1110,'Bank Lines'!$J$5:$J$1640,1,'Bank Lines'!$C$5:$C$1640,"&lt;="&amp;Cover!$C$14)</f>
        <v>1</v>
      </c>
      <c r="V1110">
        <f>COUNTIFS('Odoo Items'!$J$5:$J$4331,A1110,'Odoo Items'!$C$5:$C$4331,"&lt;="&amp;Cover!$C$14)</f>
        <v>1</v>
      </c>
      <c r="W1110" t="str">
        <f>IF(AND(U1110=0,V1110=0),"",IF(U1110=0,"ODOO-ONLY",IF(V1110=0,"BANK-ONLY","BOTH")))</f>
        <v>BOTH</v>
      </c>
      <c r="X1110" s="9">
        <f>IF(W1110="BOTH",ROUND(S1110-T1110,2),0)</f>
        <v>0</v>
      </c>
      <c r="Y1110" s="9">
        <f>ROUND(SUMIFS('Bank Lines'!$E$5:$E$1640,'Bank Lines'!$G$5:$G$1640,A1110,'Bank Lines'!$J$5:$J$1640,1,'Bank Lines'!$C$5:$C$1640,"&lt;="&amp;Cover!$C$15),2)</f>
        <v>-1180</v>
      </c>
      <c r="Z1110" s="9">
        <f>ROUND(SUMIFS('Odoo Items'!$G$5:$G$4331,'Odoo Items'!$J$5:$J$4331,A1110,'Odoo Items'!$C$5:$C$4331,"&lt;="&amp;Cover!$C$15),2)</f>
        <v>-1180</v>
      </c>
      <c r="AA1110">
        <f>COUNTIFS('Bank Lines'!$G$5:$G$1640,A1110,'Bank Lines'!$J$5:$J$1640,1,'Bank Lines'!$C$5:$C$1640,"&lt;="&amp;Cover!$C$15)</f>
        <v>1</v>
      </c>
      <c r="AB1110">
        <f>COUNTIFS('Odoo Items'!$J$5:$J$4331,A1110,'Odoo Items'!$C$5:$C$4331,"&lt;="&amp;Cover!$C$15)</f>
        <v>1</v>
      </c>
      <c r="AC1110" t="str">
        <f>IF(AND(AA1110=0,AB1110=0),"",IF(AA1110=0,"ODOO-ONLY",IF(AB1110=0,"BANK-ONLY","BOTH")))</f>
        <v>BOTH</v>
      </c>
      <c r="AD1110" s="9">
        <f>IF(AC1110="BOTH",ROUND(Y1110-Z1110,2),0)</f>
        <v>0</v>
      </c>
    </row>
    <row r="1111">
      <c r="A1111" t="inlineStr">
        <is>
          <t>G01107</t>
        </is>
      </c>
      <c r="B1111" t="inlineStr">
        <is>
          <t>USD</t>
        </is>
      </c>
      <c r="C1111" t="inlineStr">
        <is>
          <t>R09</t>
        </is>
      </c>
      <c r="D1111" t="inlineStr">
        <is>
          <t>MATCH</t>
        </is>
      </c>
      <c r="E1111" t="inlineStr">
        <is>
          <t>Outcome Measures Co</t>
        </is>
      </c>
      <c r="F1111" t="n">
        <v>1</v>
      </c>
      <c r="G1111" t="inlineStr">
        <is>
          <t>Reference BILL/2026/1047</t>
        </is>
      </c>
      <c r="H1111">
        <f>COUNTIFS('Bank Lines'!$G$5:$G$1640,A1111,'Bank Lines'!$J$5:$J$1640,1)</f>
        <v>1</v>
      </c>
      <c r="I1111">
        <f>COUNTIFS('Odoo Items'!$J$5:$J$4331,A1111)</f>
        <v>1</v>
      </c>
      <c r="J1111" s="9">
        <f>ROUND(SUMIFS('Bank Lines'!$E$5:$E$1640,'Bank Lines'!$G$5:$G$1640,A1111,'Bank Lines'!$J$5:$J$1640,1),2)</f>
        <v>-640</v>
      </c>
      <c r="K1111" s="9">
        <f>ROUND(SUMIFS('Odoo Items'!$G$5:$G$4331,'Odoo Items'!$J$5:$J$4331,A1111),2)</f>
        <v>-640</v>
      </c>
      <c r="L1111" s="9">
        <f>ROUND(J1111-K1111,2)</f>
        <v>0</v>
      </c>
      <c r="M1111" s="9">
        <f>ROUND(SUMIFS('Bank Lines'!$E$5:$E$1640,'Bank Lines'!$G$5:$G$1640,A1111,'Bank Lines'!$J$5:$J$1640,1,'Bank Lines'!$C$5:$C$1640,"&lt;="&amp;Cover!$C$13),2)</f>
        <v>0</v>
      </c>
      <c r="N1111" s="9">
        <f>ROUND(SUMIFS('Odoo Items'!$G$5:$G$4331,'Odoo Items'!$J$5:$J$4331,A1111,'Odoo Items'!$C$5:$C$4331,"&lt;="&amp;Cover!$C$13),2)</f>
        <v>0</v>
      </c>
      <c r="O1111">
        <f>COUNTIFS('Bank Lines'!$G$5:$G$1640,A1111,'Bank Lines'!$J$5:$J$1640,1,'Bank Lines'!$C$5:$C$1640,"&lt;="&amp;Cover!$C$13)</f>
        <v>0</v>
      </c>
      <c r="P1111">
        <f>COUNTIFS('Odoo Items'!$J$5:$J$4331,A1111,'Odoo Items'!$C$5:$C$4331,"&lt;="&amp;Cover!$C$13)</f>
        <v>0</v>
      </c>
      <c r="Q1111">
        <f>IF(AND(O1111=0,P1111=0),"",IF(O1111=0,"ODOO-ONLY",IF(P1111=0,"BANK-ONLY","BOTH")))</f>
      </c>
      <c r="R1111" s="9">
        <f>IF(Q1111="BOTH",ROUND(M1111-N1111,2),0)</f>
        <v>0</v>
      </c>
      <c r="S1111" s="9">
        <f>ROUND(SUMIFS('Bank Lines'!$E$5:$E$1640,'Bank Lines'!$G$5:$G$1640,A1111,'Bank Lines'!$J$5:$J$1640,1,'Bank Lines'!$C$5:$C$1640,"&lt;="&amp;Cover!$C$14),2)</f>
        <v>-640</v>
      </c>
      <c r="T1111" s="9">
        <f>ROUND(SUMIFS('Odoo Items'!$G$5:$G$4331,'Odoo Items'!$J$5:$J$4331,A1111,'Odoo Items'!$C$5:$C$4331,"&lt;="&amp;Cover!$C$14),2)</f>
        <v>-640</v>
      </c>
      <c r="U1111">
        <f>COUNTIFS('Bank Lines'!$G$5:$G$1640,A1111,'Bank Lines'!$J$5:$J$1640,1,'Bank Lines'!$C$5:$C$1640,"&lt;="&amp;Cover!$C$14)</f>
        <v>1</v>
      </c>
      <c r="V1111">
        <f>COUNTIFS('Odoo Items'!$J$5:$J$4331,A1111,'Odoo Items'!$C$5:$C$4331,"&lt;="&amp;Cover!$C$14)</f>
        <v>1</v>
      </c>
      <c r="W1111" t="str">
        <f>IF(AND(U1111=0,V1111=0),"",IF(U1111=0,"ODOO-ONLY",IF(V1111=0,"BANK-ONLY","BOTH")))</f>
        <v>BOTH</v>
      </c>
      <c r="X1111" s="9">
        <f>IF(W1111="BOTH",ROUND(S1111-T1111,2),0)</f>
        <v>0</v>
      </c>
      <c r="Y1111" s="9">
        <f>ROUND(SUMIFS('Bank Lines'!$E$5:$E$1640,'Bank Lines'!$G$5:$G$1640,A1111,'Bank Lines'!$J$5:$J$1640,1,'Bank Lines'!$C$5:$C$1640,"&lt;="&amp;Cover!$C$15),2)</f>
        <v>-640</v>
      </c>
      <c r="Z1111" s="9">
        <f>ROUND(SUMIFS('Odoo Items'!$G$5:$G$4331,'Odoo Items'!$J$5:$J$4331,A1111,'Odoo Items'!$C$5:$C$4331,"&lt;="&amp;Cover!$C$15),2)</f>
        <v>-640</v>
      </c>
      <c r="AA1111">
        <f>COUNTIFS('Bank Lines'!$G$5:$G$1640,A1111,'Bank Lines'!$J$5:$J$1640,1,'Bank Lines'!$C$5:$C$1640,"&lt;="&amp;Cover!$C$15)</f>
        <v>1</v>
      </c>
      <c r="AB1111">
        <f>COUNTIFS('Odoo Items'!$J$5:$J$4331,A1111,'Odoo Items'!$C$5:$C$4331,"&lt;="&amp;Cover!$C$15)</f>
        <v>1</v>
      </c>
      <c r="AC1111" t="str">
        <f>IF(AND(AA1111=0,AB1111=0),"",IF(AA1111=0,"ODOO-ONLY",IF(AB1111=0,"BANK-ONLY","BOTH")))</f>
        <v>BOTH</v>
      </c>
      <c r="AD1111" s="9">
        <f>IF(AC1111="BOTH",ROUND(Y1111-Z1111,2),0)</f>
        <v>0</v>
      </c>
    </row>
    <row r="1112">
      <c r="A1112" t="inlineStr">
        <is>
          <t>G01108</t>
        </is>
      </c>
      <c r="B1112" t="inlineStr">
        <is>
          <t>USD</t>
        </is>
      </c>
      <c r="C1112" t="inlineStr">
        <is>
          <t>R09</t>
        </is>
      </c>
      <c r="D1112" t="inlineStr">
        <is>
          <t>MATCH</t>
        </is>
      </c>
      <c r="E1112" t="inlineStr">
        <is>
          <t>Video Visit Systems</t>
        </is>
      </c>
      <c r="F1112" t="n">
        <v>0.944</v>
      </c>
      <c r="G1112" t="inlineStr">
        <is>
          <t>Reference BILL/2026/1048</t>
        </is>
      </c>
      <c r="H1112">
        <f>COUNTIFS('Bank Lines'!$G$5:$G$1640,A1112,'Bank Lines'!$J$5:$J$1640,1)</f>
        <v>1</v>
      </c>
      <c r="I1112">
        <f>COUNTIFS('Odoo Items'!$J$5:$J$4331,A1112)</f>
        <v>1</v>
      </c>
      <c r="J1112" s="9">
        <f>ROUND(SUMIFS('Bank Lines'!$E$5:$E$1640,'Bank Lines'!$G$5:$G$1640,A1112,'Bank Lines'!$J$5:$J$1640,1),2)</f>
        <v>-960</v>
      </c>
      <c r="K1112" s="9">
        <f>ROUND(SUMIFS('Odoo Items'!$G$5:$G$4331,'Odoo Items'!$J$5:$J$4331,A1112),2)</f>
        <v>-960</v>
      </c>
      <c r="L1112" s="9">
        <f>ROUND(J1112-K1112,2)</f>
        <v>0</v>
      </c>
      <c r="M1112" s="9">
        <f>ROUND(SUMIFS('Bank Lines'!$E$5:$E$1640,'Bank Lines'!$G$5:$G$1640,A1112,'Bank Lines'!$J$5:$J$1640,1,'Bank Lines'!$C$5:$C$1640,"&lt;="&amp;Cover!$C$13),2)</f>
        <v>0</v>
      </c>
      <c r="N1112" s="9">
        <f>ROUND(SUMIFS('Odoo Items'!$G$5:$G$4331,'Odoo Items'!$J$5:$J$4331,A1112,'Odoo Items'!$C$5:$C$4331,"&lt;="&amp;Cover!$C$13),2)</f>
        <v>0</v>
      </c>
      <c r="O1112">
        <f>COUNTIFS('Bank Lines'!$G$5:$G$1640,A1112,'Bank Lines'!$J$5:$J$1640,1,'Bank Lines'!$C$5:$C$1640,"&lt;="&amp;Cover!$C$13)</f>
        <v>0</v>
      </c>
      <c r="P1112">
        <f>COUNTIFS('Odoo Items'!$J$5:$J$4331,A1112,'Odoo Items'!$C$5:$C$4331,"&lt;="&amp;Cover!$C$13)</f>
        <v>0</v>
      </c>
      <c r="Q1112">
        <f>IF(AND(O1112=0,P1112=0),"",IF(O1112=0,"ODOO-ONLY",IF(P1112=0,"BANK-ONLY","BOTH")))</f>
      </c>
      <c r="R1112" s="9">
        <f>IF(Q1112="BOTH",ROUND(M1112-N1112,2),0)</f>
        <v>0</v>
      </c>
      <c r="S1112" s="9">
        <f>ROUND(SUMIFS('Bank Lines'!$E$5:$E$1640,'Bank Lines'!$G$5:$G$1640,A1112,'Bank Lines'!$J$5:$J$1640,1,'Bank Lines'!$C$5:$C$1640,"&lt;="&amp;Cover!$C$14),2)</f>
        <v>-960</v>
      </c>
      <c r="T1112" s="9">
        <f>ROUND(SUMIFS('Odoo Items'!$G$5:$G$4331,'Odoo Items'!$J$5:$J$4331,A1112,'Odoo Items'!$C$5:$C$4331,"&lt;="&amp;Cover!$C$14),2)</f>
        <v>-960</v>
      </c>
      <c r="U1112">
        <f>COUNTIFS('Bank Lines'!$G$5:$G$1640,A1112,'Bank Lines'!$J$5:$J$1640,1,'Bank Lines'!$C$5:$C$1640,"&lt;="&amp;Cover!$C$14)</f>
        <v>1</v>
      </c>
      <c r="V1112">
        <f>COUNTIFS('Odoo Items'!$J$5:$J$4331,A1112,'Odoo Items'!$C$5:$C$4331,"&lt;="&amp;Cover!$C$14)</f>
        <v>1</v>
      </c>
      <c r="W1112" t="str">
        <f>IF(AND(U1112=0,V1112=0),"",IF(U1112=0,"ODOO-ONLY",IF(V1112=0,"BANK-ONLY","BOTH")))</f>
        <v>BOTH</v>
      </c>
      <c r="X1112" s="9">
        <f>IF(W1112="BOTH",ROUND(S1112-T1112,2),0)</f>
        <v>0</v>
      </c>
      <c r="Y1112" s="9">
        <f>ROUND(SUMIFS('Bank Lines'!$E$5:$E$1640,'Bank Lines'!$G$5:$G$1640,A1112,'Bank Lines'!$J$5:$J$1640,1,'Bank Lines'!$C$5:$C$1640,"&lt;="&amp;Cover!$C$15),2)</f>
        <v>-960</v>
      </c>
      <c r="Z1112" s="9">
        <f>ROUND(SUMIFS('Odoo Items'!$G$5:$G$4331,'Odoo Items'!$J$5:$J$4331,A1112,'Odoo Items'!$C$5:$C$4331,"&lt;="&amp;Cover!$C$15),2)</f>
        <v>-960</v>
      </c>
      <c r="AA1112">
        <f>COUNTIFS('Bank Lines'!$G$5:$G$1640,A1112,'Bank Lines'!$J$5:$J$1640,1,'Bank Lines'!$C$5:$C$1640,"&lt;="&amp;Cover!$C$15)</f>
        <v>1</v>
      </c>
      <c r="AB1112">
        <f>COUNTIFS('Odoo Items'!$J$5:$J$4331,A1112,'Odoo Items'!$C$5:$C$4331,"&lt;="&amp;Cover!$C$15)</f>
        <v>1</v>
      </c>
      <c r="AC1112" t="str">
        <f>IF(AND(AA1112=0,AB1112=0),"",IF(AA1112=0,"ODOO-ONLY",IF(AB1112=0,"BANK-ONLY","BOTH")))</f>
        <v>BOTH</v>
      </c>
      <c r="AD1112" s="9">
        <f>IF(AC1112="BOTH",ROUND(Y1112-Z1112,2),0)</f>
        <v>0</v>
      </c>
    </row>
    <row r="1113">
      <c r="A1113" t="inlineStr">
        <is>
          <t>G01109</t>
        </is>
      </c>
      <c r="B1113" t="inlineStr">
        <is>
          <t>USD</t>
        </is>
      </c>
      <c r="C1113" t="inlineStr">
        <is>
          <t>R09</t>
        </is>
      </c>
      <c r="D1113" t="inlineStr">
        <is>
          <t>MATCH</t>
        </is>
      </c>
      <c r="E1113" t="inlineStr">
        <is>
          <t>Telehealth Platform Inc</t>
        </is>
      </c>
      <c r="F1113" t="n">
        <v>1</v>
      </c>
      <c r="G1113" t="inlineStr">
        <is>
          <t>Reference BILL/2026/1049</t>
        </is>
      </c>
      <c r="H1113">
        <f>COUNTIFS('Bank Lines'!$G$5:$G$1640,A1113,'Bank Lines'!$J$5:$J$1640,1)</f>
        <v>1</v>
      </c>
      <c r="I1113">
        <f>COUNTIFS('Odoo Items'!$J$5:$J$4331,A1113)</f>
        <v>1</v>
      </c>
      <c r="J1113" s="9">
        <f>ROUND(SUMIFS('Bank Lines'!$E$5:$E$1640,'Bank Lines'!$G$5:$G$1640,A1113,'Bank Lines'!$J$5:$J$1640,1),2)</f>
        <v>-2400</v>
      </c>
      <c r="K1113" s="9">
        <f>ROUND(SUMIFS('Odoo Items'!$G$5:$G$4331,'Odoo Items'!$J$5:$J$4331,A1113),2)</f>
        <v>-2400</v>
      </c>
      <c r="L1113" s="9">
        <f>ROUND(J1113-K1113,2)</f>
        <v>0</v>
      </c>
      <c r="M1113" s="9">
        <f>ROUND(SUMIFS('Bank Lines'!$E$5:$E$1640,'Bank Lines'!$G$5:$G$1640,A1113,'Bank Lines'!$J$5:$J$1640,1,'Bank Lines'!$C$5:$C$1640,"&lt;="&amp;Cover!$C$13),2)</f>
        <v>0</v>
      </c>
      <c r="N1113" s="9">
        <f>ROUND(SUMIFS('Odoo Items'!$G$5:$G$4331,'Odoo Items'!$J$5:$J$4331,A1113,'Odoo Items'!$C$5:$C$4331,"&lt;="&amp;Cover!$C$13),2)</f>
        <v>0</v>
      </c>
      <c r="O1113">
        <f>COUNTIFS('Bank Lines'!$G$5:$G$1640,A1113,'Bank Lines'!$J$5:$J$1640,1,'Bank Lines'!$C$5:$C$1640,"&lt;="&amp;Cover!$C$13)</f>
        <v>0</v>
      </c>
      <c r="P1113">
        <f>COUNTIFS('Odoo Items'!$J$5:$J$4331,A1113,'Odoo Items'!$C$5:$C$4331,"&lt;="&amp;Cover!$C$13)</f>
        <v>0</v>
      </c>
      <c r="Q1113">
        <f>IF(AND(O1113=0,P1113=0),"",IF(O1113=0,"ODOO-ONLY",IF(P1113=0,"BANK-ONLY","BOTH")))</f>
      </c>
      <c r="R1113" s="9">
        <f>IF(Q1113="BOTH",ROUND(M1113-N1113,2),0)</f>
        <v>0</v>
      </c>
      <c r="S1113" s="9">
        <f>ROUND(SUMIFS('Bank Lines'!$E$5:$E$1640,'Bank Lines'!$G$5:$G$1640,A1113,'Bank Lines'!$J$5:$J$1640,1,'Bank Lines'!$C$5:$C$1640,"&lt;="&amp;Cover!$C$14),2)</f>
        <v>0</v>
      </c>
      <c r="T1113" s="9">
        <f>ROUND(SUMIFS('Odoo Items'!$G$5:$G$4331,'Odoo Items'!$J$5:$J$4331,A1113,'Odoo Items'!$C$5:$C$4331,"&lt;="&amp;Cover!$C$14),2)</f>
        <v>0</v>
      </c>
      <c r="U1113">
        <f>COUNTIFS('Bank Lines'!$G$5:$G$1640,A1113,'Bank Lines'!$J$5:$J$1640,1,'Bank Lines'!$C$5:$C$1640,"&lt;="&amp;Cover!$C$14)</f>
        <v>0</v>
      </c>
      <c r="V1113">
        <f>COUNTIFS('Odoo Items'!$J$5:$J$4331,A1113,'Odoo Items'!$C$5:$C$4331,"&lt;="&amp;Cover!$C$14)</f>
        <v>0</v>
      </c>
      <c r="W1113">
        <f>IF(AND(U1113=0,V1113=0),"",IF(U1113=0,"ODOO-ONLY",IF(V1113=0,"BANK-ONLY","BOTH")))</f>
      </c>
      <c r="X1113" s="9">
        <f>IF(W1113="BOTH",ROUND(S1113-T1113,2),0)</f>
        <v>0</v>
      </c>
      <c r="Y1113" s="9">
        <f>ROUND(SUMIFS('Bank Lines'!$E$5:$E$1640,'Bank Lines'!$G$5:$G$1640,A1113,'Bank Lines'!$J$5:$J$1640,1,'Bank Lines'!$C$5:$C$1640,"&lt;="&amp;Cover!$C$15),2)</f>
        <v>-2400</v>
      </c>
      <c r="Z1113" s="9">
        <f>ROUND(SUMIFS('Odoo Items'!$G$5:$G$4331,'Odoo Items'!$J$5:$J$4331,A1113,'Odoo Items'!$C$5:$C$4331,"&lt;="&amp;Cover!$C$15),2)</f>
        <v>-2400</v>
      </c>
      <c r="AA1113">
        <f>COUNTIFS('Bank Lines'!$G$5:$G$1640,A1113,'Bank Lines'!$J$5:$J$1640,1,'Bank Lines'!$C$5:$C$1640,"&lt;="&amp;Cover!$C$15)</f>
        <v>1</v>
      </c>
      <c r="AB1113">
        <f>COUNTIFS('Odoo Items'!$J$5:$J$4331,A1113,'Odoo Items'!$C$5:$C$4331,"&lt;="&amp;Cover!$C$15)</f>
        <v>1</v>
      </c>
      <c r="AC1113" t="str">
        <f>IF(AND(AA1113=0,AB1113=0),"",IF(AA1113=0,"ODOO-ONLY",IF(AB1113=0,"BANK-ONLY","BOTH")))</f>
        <v>BOTH</v>
      </c>
      <c r="AD1113" s="9">
        <f>IF(AC1113="BOTH",ROUND(Y1113-Z1113,2),0)</f>
        <v>0</v>
      </c>
    </row>
    <row r="1114">
      <c r="A1114" t="inlineStr">
        <is>
          <t>G01110</t>
        </is>
      </c>
      <c r="B1114" t="inlineStr">
        <is>
          <t>USD</t>
        </is>
      </c>
      <c r="C1114" t="inlineStr">
        <is>
          <t>R09</t>
        </is>
      </c>
      <c r="D1114" t="inlineStr">
        <is>
          <t>MATCH</t>
        </is>
      </c>
      <c r="E1114" t="inlineStr">
        <is>
          <t>Clinical Notes Cloud LLC</t>
        </is>
      </c>
      <c r="F1114" t="n">
        <v>1</v>
      </c>
      <c r="G1114" t="inlineStr">
        <is>
          <t>Reference BILL/2026/1050</t>
        </is>
      </c>
      <c r="H1114">
        <f>COUNTIFS('Bank Lines'!$G$5:$G$1640,A1114,'Bank Lines'!$J$5:$J$1640,1)</f>
        <v>1</v>
      </c>
      <c r="I1114">
        <f>COUNTIFS('Odoo Items'!$J$5:$J$4331,A1114)</f>
        <v>1</v>
      </c>
      <c r="J1114" s="9">
        <f>ROUND(SUMIFS('Bank Lines'!$E$5:$E$1640,'Bank Lines'!$G$5:$G$1640,A1114,'Bank Lines'!$J$5:$J$1640,1),2)</f>
        <v>-1180</v>
      </c>
      <c r="K1114" s="9">
        <f>ROUND(SUMIFS('Odoo Items'!$G$5:$G$4331,'Odoo Items'!$J$5:$J$4331,A1114),2)</f>
        <v>-1180</v>
      </c>
      <c r="L1114" s="9">
        <f>ROUND(J1114-K1114,2)</f>
        <v>0</v>
      </c>
      <c r="M1114" s="9">
        <f>ROUND(SUMIFS('Bank Lines'!$E$5:$E$1640,'Bank Lines'!$G$5:$G$1640,A1114,'Bank Lines'!$J$5:$J$1640,1,'Bank Lines'!$C$5:$C$1640,"&lt;="&amp;Cover!$C$13),2)</f>
        <v>0</v>
      </c>
      <c r="N1114" s="9">
        <f>ROUND(SUMIFS('Odoo Items'!$G$5:$G$4331,'Odoo Items'!$J$5:$J$4331,A1114,'Odoo Items'!$C$5:$C$4331,"&lt;="&amp;Cover!$C$13),2)</f>
        <v>0</v>
      </c>
      <c r="O1114">
        <f>COUNTIFS('Bank Lines'!$G$5:$G$1640,A1114,'Bank Lines'!$J$5:$J$1640,1,'Bank Lines'!$C$5:$C$1640,"&lt;="&amp;Cover!$C$13)</f>
        <v>0</v>
      </c>
      <c r="P1114">
        <f>COUNTIFS('Odoo Items'!$J$5:$J$4331,A1114,'Odoo Items'!$C$5:$C$4331,"&lt;="&amp;Cover!$C$13)</f>
        <v>0</v>
      </c>
      <c r="Q1114">
        <f>IF(AND(O1114=0,P1114=0),"",IF(O1114=0,"ODOO-ONLY",IF(P1114=0,"BANK-ONLY","BOTH")))</f>
      </c>
      <c r="R1114" s="9">
        <f>IF(Q1114="BOTH",ROUND(M1114-N1114,2),0)</f>
        <v>0</v>
      </c>
      <c r="S1114" s="9">
        <f>ROUND(SUMIFS('Bank Lines'!$E$5:$E$1640,'Bank Lines'!$G$5:$G$1640,A1114,'Bank Lines'!$J$5:$J$1640,1,'Bank Lines'!$C$5:$C$1640,"&lt;="&amp;Cover!$C$14),2)</f>
        <v>0</v>
      </c>
      <c r="T1114" s="9">
        <f>ROUND(SUMIFS('Odoo Items'!$G$5:$G$4331,'Odoo Items'!$J$5:$J$4331,A1114,'Odoo Items'!$C$5:$C$4331,"&lt;="&amp;Cover!$C$14),2)</f>
        <v>0</v>
      </c>
      <c r="U1114">
        <f>COUNTIFS('Bank Lines'!$G$5:$G$1640,A1114,'Bank Lines'!$J$5:$J$1640,1,'Bank Lines'!$C$5:$C$1640,"&lt;="&amp;Cover!$C$14)</f>
        <v>0</v>
      </c>
      <c r="V1114">
        <f>COUNTIFS('Odoo Items'!$J$5:$J$4331,A1114,'Odoo Items'!$C$5:$C$4331,"&lt;="&amp;Cover!$C$14)</f>
        <v>0</v>
      </c>
      <c r="W1114">
        <f>IF(AND(U1114=0,V1114=0),"",IF(U1114=0,"ODOO-ONLY",IF(V1114=0,"BANK-ONLY","BOTH")))</f>
      </c>
      <c r="X1114" s="9">
        <f>IF(W1114="BOTH",ROUND(S1114-T1114,2),0)</f>
        <v>0</v>
      </c>
      <c r="Y1114" s="9">
        <f>ROUND(SUMIFS('Bank Lines'!$E$5:$E$1640,'Bank Lines'!$G$5:$G$1640,A1114,'Bank Lines'!$J$5:$J$1640,1,'Bank Lines'!$C$5:$C$1640,"&lt;="&amp;Cover!$C$15),2)</f>
        <v>-1180</v>
      </c>
      <c r="Z1114" s="9">
        <f>ROUND(SUMIFS('Odoo Items'!$G$5:$G$4331,'Odoo Items'!$J$5:$J$4331,A1114,'Odoo Items'!$C$5:$C$4331,"&lt;="&amp;Cover!$C$15),2)</f>
        <v>-1180</v>
      </c>
      <c r="AA1114">
        <f>COUNTIFS('Bank Lines'!$G$5:$G$1640,A1114,'Bank Lines'!$J$5:$J$1640,1,'Bank Lines'!$C$5:$C$1640,"&lt;="&amp;Cover!$C$15)</f>
        <v>1</v>
      </c>
      <c r="AB1114">
        <f>COUNTIFS('Odoo Items'!$J$5:$J$4331,A1114,'Odoo Items'!$C$5:$C$4331,"&lt;="&amp;Cover!$C$15)</f>
        <v>1</v>
      </c>
      <c r="AC1114" t="str">
        <f>IF(AND(AA1114=0,AB1114=0),"",IF(AA1114=0,"ODOO-ONLY",IF(AB1114=0,"BANK-ONLY","BOTH")))</f>
        <v>BOTH</v>
      </c>
      <c r="AD1114" s="9">
        <f>IF(AC1114="BOTH",ROUND(Y1114-Z1114,2),0)</f>
        <v>0</v>
      </c>
    </row>
    <row r="1115">
      <c r="A1115" t="inlineStr">
        <is>
          <t>G01111</t>
        </is>
      </c>
      <c r="B1115" t="inlineStr">
        <is>
          <t>USD</t>
        </is>
      </c>
      <c r="C1115" t="inlineStr">
        <is>
          <t>R09</t>
        </is>
      </c>
      <c r="D1115" t="inlineStr">
        <is>
          <t>FEE-DIFF</t>
        </is>
      </c>
      <c r="E1115" t="inlineStr">
        <is>
          <t>Cascadia Health Analytics Inc</t>
        </is>
      </c>
      <c r="F1115" t="n">
        <v>1</v>
      </c>
      <c r="G1115" t="inlineStr">
        <is>
          <t>Reference INV/2026/03625; 18.00 deducted by intermediary bank</t>
        </is>
      </c>
      <c r="H1115">
        <f>COUNTIFS('Bank Lines'!$G$5:$G$1640,A1115,'Bank Lines'!$J$5:$J$1640,1)</f>
        <v>1</v>
      </c>
      <c r="I1115">
        <f>COUNTIFS('Odoo Items'!$J$5:$J$4331,A1115)</f>
        <v>1</v>
      </c>
      <c r="J1115" s="9">
        <f>ROUND(SUMIFS('Bank Lines'!$E$5:$E$1640,'Bank Lines'!$G$5:$G$1640,A1115,'Bank Lines'!$J$5:$J$1640,1),2)</f>
        <v>6782</v>
      </c>
      <c r="K1115" s="9">
        <f>ROUND(SUMIFS('Odoo Items'!$G$5:$G$4331,'Odoo Items'!$J$5:$J$4331,A1115),2)</f>
        <v>6800</v>
      </c>
      <c r="L1115" s="9">
        <f>ROUND(J1115-K1115,2)</f>
        <v>-18</v>
      </c>
      <c r="M1115" s="9">
        <f>ROUND(SUMIFS('Bank Lines'!$E$5:$E$1640,'Bank Lines'!$G$5:$G$1640,A1115,'Bank Lines'!$J$5:$J$1640,1,'Bank Lines'!$C$5:$C$1640,"&lt;="&amp;Cover!$C$13),2)</f>
        <v>0</v>
      </c>
      <c r="N1115" s="9">
        <f>ROUND(SUMIFS('Odoo Items'!$G$5:$G$4331,'Odoo Items'!$J$5:$J$4331,A1115,'Odoo Items'!$C$5:$C$4331,"&lt;="&amp;Cover!$C$13),2)</f>
        <v>0</v>
      </c>
      <c r="O1115">
        <f>COUNTIFS('Bank Lines'!$G$5:$G$1640,A1115,'Bank Lines'!$J$5:$J$1640,1,'Bank Lines'!$C$5:$C$1640,"&lt;="&amp;Cover!$C$13)</f>
        <v>0</v>
      </c>
      <c r="P1115">
        <f>COUNTIFS('Odoo Items'!$J$5:$J$4331,A1115,'Odoo Items'!$C$5:$C$4331,"&lt;="&amp;Cover!$C$13)</f>
        <v>0</v>
      </c>
      <c r="Q1115">
        <f>IF(AND(O1115=0,P1115=0),"",IF(O1115=0,"ODOO-ONLY",IF(P1115=0,"BANK-ONLY","BOTH")))</f>
      </c>
      <c r="R1115" s="9">
        <f>IF(Q1115="BOTH",ROUND(M1115-N1115,2),0)</f>
        <v>0</v>
      </c>
      <c r="S1115" s="9">
        <f>ROUND(SUMIFS('Bank Lines'!$E$5:$E$1640,'Bank Lines'!$G$5:$G$1640,A1115,'Bank Lines'!$J$5:$J$1640,1,'Bank Lines'!$C$5:$C$1640,"&lt;="&amp;Cover!$C$14),2)</f>
        <v>0</v>
      </c>
      <c r="T1115" s="9">
        <f>ROUND(SUMIFS('Odoo Items'!$G$5:$G$4331,'Odoo Items'!$J$5:$J$4331,A1115,'Odoo Items'!$C$5:$C$4331,"&lt;="&amp;Cover!$C$14),2)</f>
        <v>0</v>
      </c>
      <c r="U1115">
        <f>COUNTIFS('Bank Lines'!$G$5:$G$1640,A1115,'Bank Lines'!$J$5:$J$1640,1,'Bank Lines'!$C$5:$C$1640,"&lt;="&amp;Cover!$C$14)</f>
        <v>0</v>
      </c>
      <c r="V1115">
        <f>COUNTIFS('Odoo Items'!$J$5:$J$4331,A1115,'Odoo Items'!$C$5:$C$4331,"&lt;="&amp;Cover!$C$14)</f>
        <v>0</v>
      </c>
      <c r="W1115">
        <f>IF(AND(U1115=0,V1115=0),"",IF(U1115=0,"ODOO-ONLY",IF(V1115=0,"BANK-ONLY","BOTH")))</f>
      </c>
      <c r="X1115" s="9">
        <f>IF(W1115="BOTH",ROUND(S1115-T1115,2),0)</f>
        <v>0</v>
      </c>
      <c r="Y1115" s="9">
        <f>ROUND(SUMIFS('Bank Lines'!$E$5:$E$1640,'Bank Lines'!$G$5:$G$1640,A1115,'Bank Lines'!$J$5:$J$1640,1,'Bank Lines'!$C$5:$C$1640,"&lt;="&amp;Cover!$C$15),2)</f>
        <v>6782</v>
      </c>
      <c r="Z1115" s="9">
        <f>ROUND(SUMIFS('Odoo Items'!$G$5:$G$4331,'Odoo Items'!$J$5:$J$4331,A1115,'Odoo Items'!$C$5:$C$4331,"&lt;="&amp;Cover!$C$15),2)</f>
        <v>6800</v>
      </c>
      <c r="AA1115">
        <f>COUNTIFS('Bank Lines'!$G$5:$G$1640,A1115,'Bank Lines'!$J$5:$J$1640,1,'Bank Lines'!$C$5:$C$1640,"&lt;="&amp;Cover!$C$15)</f>
        <v>1</v>
      </c>
      <c r="AB1115">
        <f>COUNTIFS('Odoo Items'!$J$5:$J$4331,A1115,'Odoo Items'!$C$5:$C$4331,"&lt;="&amp;Cover!$C$15)</f>
        <v>1</v>
      </c>
      <c r="AC1115" t="str">
        <f>IF(AND(AA1115=0,AB1115=0),"",IF(AA1115=0,"ODOO-ONLY",IF(AB1115=0,"BANK-ONLY","BOTH")))</f>
        <v>BOTH</v>
      </c>
      <c r="AD1115" s="9">
        <f>IF(AC1115="BOTH",ROUND(Y1115-Z1115,2),0)</f>
        <v>-18</v>
      </c>
    </row>
    <row r="1116">
      <c r="A1116" t="inlineStr">
        <is>
          <t>G01112</t>
        </is>
      </c>
      <c r="B1116" t="inlineStr">
        <is>
          <t>USD</t>
        </is>
      </c>
      <c r="C1116" t="inlineStr">
        <is>
          <t>R09</t>
        </is>
      </c>
      <c r="D1116" t="inlineStr">
        <is>
          <t>MATCH</t>
        </is>
      </c>
      <c r="E1116" t="inlineStr">
        <is>
          <t>Outcome Measures Co</t>
        </is>
      </c>
      <c r="F1116" t="n">
        <v>1</v>
      </c>
      <c r="G1116" t="inlineStr">
        <is>
          <t>Reference BILL/2026/1051</t>
        </is>
      </c>
      <c r="H1116">
        <f>COUNTIFS('Bank Lines'!$G$5:$G$1640,A1116,'Bank Lines'!$J$5:$J$1640,1)</f>
        <v>1</v>
      </c>
      <c r="I1116">
        <f>COUNTIFS('Odoo Items'!$J$5:$J$4331,A1116)</f>
        <v>1</v>
      </c>
      <c r="J1116" s="9">
        <f>ROUND(SUMIFS('Bank Lines'!$E$5:$E$1640,'Bank Lines'!$G$5:$G$1640,A1116,'Bank Lines'!$J$5:$J$1640,1),2)</f>
        <v>-640</v>
      </c>
      <c r="K1116" s="9">
        <f>ROUND(SUMIFS('Odoo Items'!$G$5:$G$4331,'Odoo Items'!$J$5:$J$4331,A1116),2)</f>
        <v>-640</v>
      </c>
      <c r="L1116" s="9">
        <f>ROUND(J1116-K1116,2)</f>
        <v>0</v>
      </c>
      <c r="M1116" s="9">
        <f>ROUND(SUMIFS('Bank Lines'!$E$5:$E$1640,'Bank Lines'!$G$5:$G$1640,A1116,'Bank Lines'!$J$5:$J$1640,1,'Bank Lines'!$C$5:$C$1640,"&lt;="&amp;Cover!$C$13),2)</f>
        <v>0</v>
      </c>
      <c r="N1116" s="9">
        <f>ROUND(SUMIFS('Odoo Items'!$G$5:$G$4331,'Odoo Items'!$J$5:$J$4331,A1116,'Odoo Items'!$C$5:$C$4331,"&lt;="&amp;Cover!$C$13),2)</f>
        <v>0</v>
      </c>
      <c r="O1116">
        <f>COUNTIFS('Bank Lines'!$G$5:$G$1640,A1116,'Bank Lines'!$J$5:$J$1640,1,'Bank Lines'!$C$5:$C$1640,"&lt;="&amp;Cover!$C$13)</f>
        <v>0</v>
      </c>
      <c r="P1116">
        <f>COUNTIFS('Odoo Items'!$J$5:$J$4331,A1116,'Odoo Items'!$C$5:$C$4331,"&lt;="&amp;Cover!$C$13)</f>
        <v>0</v>
      </c>
      <c r="Q1116">
        <f>IF(AND(O1116=0,P1116=0),"",IF(O1116=0,"ODOO-ONLY",IF(P1116=0,"BANK-ONLY","BOTH")))</f>
      </c>
      <c r="R1116" s="9">
        <f>IF(Q1116="BOTH",ROUND(M1116-N1116,2),0)</f>
        <v>0</v>
      </c>
      <c r="S1116" s="9">
        <f>ROUND(SUMIFS('Bank Lines'!$E$5:$E$1640,'Bank Lines'!$G$5:$G$1640,A1116,'Bank Lines'!$J$5:$J$1640,1,'Bank Lines'!$C$5:$C$1640,"&lt;="&amp;Cover!$C$14),2)</f>
        <v>0</v>
      </c>
      <c r="T1116" s="9">
        <f>ROUND(SUMIFS('Odoo Items'!$G$5:$G$4331,'Odoo Items'!$J$5:$J$4331,A1116,'Odoo Items'!$C$5:$C$4331,"&lt;="&amp;Cover!$C$14),2)</f>
        <v>0</v>
      </c>
      <c r="U1116">
        <f>COUNTIFS('Bank Lines'!$G$5:$G$1640,A1116,'Bank Lines'!$J$5:$J$1640,1,'Bank Lines'!$C$5:$C$1640,"&lt;="&amp;Cover!$C$14)</f>
        <v>0</v>
      </c>
      <c r="V1116">
        <f>COUNTIFS('Odoo Items'!$J$5:$J$4331,A1116,'Odoo Items'!$C$5:$C$4331,"&lt;="&amp;Cover!$C$14)</f>
        <v>0</v>
      </c>
      <c r="W1116">
        <f>IF(AND(U1116=0,V1116=0),"",IF(U1116=0,"ODOO-ONLY",IF(V1116=0,"BANK-ONLY","BOTH")))</f>
      </c>
      <c r="X1116" s="9">
        <f>IF(W1116="BOTH",ROUND(S1116-T1116,2),0)</f>
        <v>0</v>
      </c>
      <c r="Y1116" s="9">
        <f>ROUND(SUMIFS('Bank Lines'!$E$5:$E$1640,'Bank Lines'!$G$5:$G$1640,A1116,'Bank Lines'!$J$5:$J$1640,1,'Bank Lines'!$C$5:$C$1640,"&lt;="&amp;Cover!$C$15),2)</f>
        <v>-640</v>
      </c>
      <c r="Z1116" s="9">
        <f>ROUND(SUMIFS('Odoo Items'!$G$5:$G$4331,'Odoo Items'!$J$5:$J$4331,A1116,'Odoo Items'!$C$5:$C$4331,"&lt;="&amp;Cover!$C$15),2)</f>
        <v>-640</v>
      </c>
      <c r="AA1116">
        <f>COUNTIFS('Bank Lines'!$G$5:$G$1640,A1116,'Bank Lines'!$J$5:$J$1640,1,'Bank Lines'!$C$5:$C$1640,"&lt;="&amp;Cover!$C$15)</f>
        <v>1</v>
      </c>
      <c r="AB1116">
        <f>COUNTIFS('Odoo Items'!$J$5:$J$4331,A1116,'Odoo Items'!$C$5:$C$4331,"&lt;="&amp;Cover!$C$15)</f>
        <v>1</v>
      </c>
      <c r="AC1116" t="str">
        <f>IF(AND(AA1116=0,AB1116=0),"",IF(AA1116=0,"ODOO-ONLY",IF(AB1116=0,"BANK-ONLY","BOTH")))</f>
        <v>BOTH</v>
      </c>
      <c r="AD1116" s="9">
        <f>IF(AC1116="BOTH",ROUND(Y1116-Z1116,2),0)</f>
        <v>0</v>
      </c>
    </row>
    <row r="1117">
      <c r="A1117" t="inlineStr">
        <is>
          <t>G01113</t>
        </is>
      </c>
      <c r="B1117" t="inlineStr">
        <is>
          <t>USD</t>
        </is>
      </c>
      <c r="C1117" t="inlineStr">
        <is>
          <t>R09</t>
        </is>
      </c>
      <c r="D1117" t="inlineStr">
        <is>
          <t>MATCH</t>
        </is>
      </c>
      <c r="E1117" t="inlineStr">
        <is>
          <t>Video Visit Systems</t>
        </is>
      </c>
      <c r="F1117" t="n">
        <v>1</v>
      </c>
      <c r="G1117" t="inlineStr">
        <is>
          <t>Reference BILL/2026/1052</t>
        </is>
      </c>
      <c r="H1117">
        <f>COUNTIFS('Bank Lines'!$G$5:$G$1640,A1117,'Bank Lines'!$J$5:$J$1640,1)</f>
        <v>1</v>
      </c>
      <c r="I1117">
        <f>COUNTIFS('Odoo Items'!$J$5:$J$4331,A1117)</f>
        <v>1</v>
      </c>
      <c r="J1117" s="9">
        <f>ROUND(SUMIFS('Bank Lines'!$E$5:$E$1640,'Bank Lines'!$G$5:$G$1640,A1117,'Bank Lines'!$J$5:$J$1640,1),2)</f>
        <v>-960</v>
      </c>
      <c r="K1117" s="9">
        <f>ROUND(SUMIFS('Odoo Items'!$G$5:$G$4331,'Odoo Items'!$J$5:$J$4331,A1117),2)</f>
        <v>-960</v>
      </c>
      <c r="L1117" s="9">
        <f>ROUND(J1117-K1117,2)</f>
        <v>0</v>
      </c>
      <c r="M1117" s="9">
        <f>ROUND(SUMIFS('Bank Lines'!$E$5:$E$1640,'Bank Lines'!$G$5:$G$1640,A1117,'Bank Lines'!$J$5:$J$1640,1,'Bank Lines'!$C$5:$C$1640,"&lt;="&amp;Cover!$C$13),2)</f>
        <v>0</v>
      </c>
      <c r="N1117" s="9">
        <f>ROUND(SUMIFS('Odoo Items'!$G$5:$G$4331,'Odoo Items'!$J$5:$J$4331,A1117,'Odoo Items'!$C$5:$C$4331,"&lt;="&amp;Cover!$C$13),2)</f>
        <v>0</v>
      </c>
      <c r="O1117">
        <f>COUNTIFS('Bank Lines'!$G$5:$G$1640,A1117,'Bank Lines'!$J$5:$J$1640,1,'Bank Lines'!$C$5:$C$1640,"&lt;="&amp;Cover!$C$13)</f>
        <v>0</v>
      </c>
      <c r="P1117">
        <f>COUNTIFS('Odoo Items'!$J$5:$J$4331,A1117,'Odoo Items'!$C$5:$C$4331,"&lt;="&amp;Cover!$C$13)</f>
        <v>0</v>
      </c>
      <c r="Q1117">
        <f>IF(AND(O1117=0,P1117=0),"",IF(O1117=0,"ODOO-ONLY",IF(P1117=0,"BANK-ONLY","BOTH")))</f>
      </c>
      <c r="R1117" s="9">
        <f>IF(Q1117="BOTH",ROUND(M1117-N1117,2),0)</f>
        <v>0</v>
      </c>
      <c r="S1117" s="9">
        <f>ROUND(SUMIFS('Bank Lines'!$E$5:$E$1640,'Bank Lines'!$G$5:$G$1640,A1117,'Bank Lines'!$J$5:$J$1640,1,'Bank Lines'!$C$5:$C$1640,"&lt;="&amp;Cover!$C$14),2)</f>
        <v>0</v>
      </c>
      <c r="T1117" s="9">
        <f>ROUND(SUMIFS('Odoo Items'!$G$5:$G$4331,'Odoo Items'!$J$5:$J$4331,A1117,'Odoo Items'!$C$5:$C$4331,"&lt;="&amp;Cover!$C$14),2)</f>
        <v>0</v>
      </c>
      <c r="U1117">
        <f>COUNTIFS('Bank Lines'!$G$5:$G$1640,A1117,'Bank Lines'!$J$5:$J$1640,1,'Bank Lines'!$C$5:$C$1640,"&lt;="&amp;Cover!$C$14)</f>
        <v>0</v>
      </c>
      <c r="V1117">
        <f>COUNTIFS('Odoo Items'!$J$5:$J$4331,A1117,'Odoo Items'!$C$5:$C$4331,"&lt;="&amp;Cover!$C$14)</f>
        <v>0</v>
      </c>
      <c r="W1117">
        <f>IF(AND(U1117=0,V1117=0),"",IF(U1117=0,"ODOO-ONLY",IF(V1117=0,"BANK-ONLY","BOTH")))</f>
      </c>
      <c r="X1117" s="9">
        <f>IF(W1117="BOTH",ROUND(S1117-T1117,2),0)</f>
        <v>0</v>
      </c>
      <c r="Y1117" s="9">
        <f>ROUND(SUMIFS('Bank Lines'!$E$5:$E$1640,'Bank Lines'!$G$5:$G$1640,A1117,'Bank Lines'!$J$5:$J$1640,1,'Bank Lines'!$C$5:$C$1640,"&lt;="&amp;Cover!$C$15),2)</f>
        <v>-960</v>
      </c>
      <c r="Z1117" s="9">
        <f>ROUND(SUMIFS('Odoo Items'!$G$5:$G$4331,'Odoo Items'!$J$5:$J$4331,A1117,'Odoo Items'!$C$5:$C$4331,"&lt;="&amp;Cover!$C$15),2)</f>
        <v>-960</v>
      </c>
      <c r="AA1117">
        <f>COUNTIFS('Bank Lines'!$G$5:$G$1640,A1117,'Bank Lines'!$J$5:$J$1640,1,'Bank Lines'!$C$5:$C$1640,"&lt;="&amp;Cover!$C$15)</f>
        <v>1</v>
      </c>
      <c r="AB1117">
        <f>COUNTIFS('Odoo Items'!$J$5:$J$4331,A1117,'Odoo Items'!$C$5:$C$4331,"&lt;="&amp;Cover!$C$15)</f>
        <v>1</v>
      </c>
      <c r="AC1117" t="str">
        <f>IF(AND(AA1117=0,AB1117=0),"",IF(AA1117=0,"ODOO-ONLY",IF(AB1117=0,"BANK-ONLY","BOTH")))</f>
        <v>BOTH</v>
      </c>
      <c r="AD1117" s="9">
        <f>IF(AC1117="BOTH",ROUND(Y1117-Z1117,2),0)</f>
        <v>0</v>
      </c>
    </row>
    <row r="1118">
      <c r="A1118" t="inlineStr">
        <is>
          <t>G01114</t>
        </is>
      </c>
      <c r="B1118" t="inlineStr">
        <is>
          <t>OPS</t>
        </is>
      </c>
      <c r="C1118" t="inlineStr">
        <is>
          <t>R10</t>
        </is>
      </c>
      <c r="D1118" t="inlineStr">
        <is>
          <t>MATCH</t>
        </is>
      </c>
      <c r="E1118" t="inlineStr">
        <is>
          <t>Collins St Property Trust</t>
        </is>
      </c>
      <c r="F1118" t="n">
        <v>1</v>
      </c>
      <c r="G1118" t="inlineStr">
        <is>
          <t>Payee 'COLLINSSTPROPERT' = Collins St Property Trust</t>
        </is>
      </c>
      <c r="H1118">
        <f>COUNTIFS('Bank Lines'!$G$5:$G$1640,A1118,'Bank Lines'!$J$5:$J$1640,1)</f>
        <v>1</v>
      </c>
      <c r="I1118">
        <f>COUNTIFS('Odoo Items'!$J$5:$J$4331,A1118)</f>
        <v>1</v>
      </c>
      <c r="J1118" s="9">
        <f>ROUND(SUMIFS('Bank Lines'!$E$5:$E$1640,'Bank Lines'!$G$5:$G$1640,A1118,'Bank Lines'!$J$5:$J$1640,1),2)</f>
        <v>-14850</v>
      </c>
      <c r="K1118" s="9">
        <f>ROUND(SUMIFS('Odoo Items'!$G$5:$G$4331,'Odoo Items'!$J$5:$J$4331,A1118),2)</f>
        <v>-14850</v>
      </c>
      <c r="L1118" s="9">
        <f>ROUND(J1118-K1118,2)</f>
        <v>0</v>
      </c>
      <c r="M1118" s="9">
        <f>ROUND(SUMIFS('Bank Lines'!$E$5:$E$1640,'Bank Lines'!$G$5:$G$1640,A1118,'Bank Lines'!$J$5:$J$1640,1,'Bank Lines'!$C$5:$C$1640,"&lt;="&amp;Cover!$C$13),2)</f>
        <v>-14850</v>
      </c>
      <c r="N1118" s="9">
        <f>ROUND(SUMIFS('Odoo Items'!$G$5:$G$4331,'Odoo Items'!$J$5:$J$4331,A1118,'Odoo Items'!$C$5:$C$4331,"&lt;="&amp;Cover!$C$13),2)</f>
        <v>-14850</v>
      </c>
      <c r="O1118">
        <f>COUNTIFS('Bank Lines'!$G$5:$G$1640,A1118,'Bank Lines'!$J$5:$J$1640,1,'Bank Lines'!$C$5:$C$1640,"&lt;="&amp;Cover!$C$13)</f>
        <v>1</v>
      </c>
      <c r="P1118">
        <f>COUNTIFS('Odoo Items'!$J$5:$J$4331,A1118,'Odoo Items'!$C$5:$C$4331,"&lt;="&amp;Cover!$C$13)</f>
        <v>1</v>
      </c>
      <c r="Q1118" t="str">
        <f>IF(AND(O1118=0,P1118=0),"",IF(O1118=0,"ODOO-ONLY",IF(P1118=0,"BANK-ONLY","BOTH")))</f>
        <v>BOTH</v>
      </c>
      <c r="R1118" s="9">
        <f>IF(Q1118="BOTH",ROUND(M1118-N1118,2),0)</f>
        <v>0</v>
      </c>
      <c r="S1118" s="9">
        <f>ROUND(SUMIFS('Bank Lines'!$E$5:$E$1640,'Bank Lines'!$G$5:$G$1640,A1118,'Bank Lines'!$J$5:$J$1640,1,'Bank Lines'!$C$5:$C$1640,"&lt;="&amp;Cover!$C$14),2)</f>
        <v>-14850</v>
      </c>
      <c r="T1118" s="9">
        <f>ROUND(SUMIFS('Odoo Items'!$G$5:$G$4331,'Odoo Items'!$J$5:$J$4331,A1118,'Odoo Items'!$C$5:$C$4331,"&lt;="&amp;Cover!$C$14),2)</f>
        <v>-14850</v>
      </c>
      <c r="U1118">
        <f>COUNTIFS('Bank Lines'!$G$5:$G$1640,A1118,'Bank Lines'!$J$5:$J$1640,1,'Bank Lines'!$C$5:$C$1640,"&lt;="&amp;Cover!$C$14)</f>
        <v>1</v>
      </c>
      <c r="V1118">
        <f>COUNTIFS('Odoo Items'!$J$5:$J$4331,A1118,'Odoo Items'!$C$5:$C$4331,"&lt;="&amp;Cover!$C$14)</f>
        <v>1</v>
      </c>
      <c r="W1118" t="str">
        <f>IF(AND(U1118=0,V1118=0),"",IF(U1118=0,"ODOO-ONLY",IF(V1118=0,"BANK-ONLY","BOTH")))</f>
        <v>BOTH</v>
      </c>
      <c r="X1118" s="9">
        <f>IF(W1118="BOTH",ROUND(S1118-T1118,2),0)</f>
        <v>0</v>
      </c>
      <c r="Y1118" s="9">
        <f>ROUND(SUMIFS('Bank Lines'!$E$5:$E$1640,'Bank Lines'!$G$5:$G$1640,A1118,'Bank Lines'!$J$5:$J$1640,1,'Bank Lines'!$C$5:$C$1640,"&lt;="&amp;Cover!$C$15),2)</f>
        <v>-14850</v>
      </c>
      <c r="Z1118" s="9">
        <f>ROUND(SUMIFS('Odoo Items'!$G$5:$G$4331,'Odoo Items'!$J$5:$J$4331,A1118,'Odoo Items'!$C$5:$C$4331,"&lt;="&amp;Cover!$C$15),2)</f>
        <v>-14850</v>
      </c>
      <c r="AA1118">
        <f>COUNTIFS('Bank Lines'!$G$5:$G$1640,A1118,'Bank Lines'!$J$5:$J$1640,1,'Bank Lines'!$C$5:$C$1640,"&lt;="&amp;Cover!$C$15)</f>
        <v>1</v>
      </c>
      <c r="AB1118">
        <f>COUNTIFS('Odoo Items'!$J$5:$J$4331,A1118,'Odoo Items'!$C$5:$C$4331,"&lt;="&amp;Cover!$C$15)</f>
        <v>1</v>
      </c>
      <c r="AC1118" t="str">
        <f>IF(AND(AA1118=0,AB1118=0),"",IF(AA1118=0,"ODOO-ONLY",IF(AB1118=0,"BANK-ONLY","BOTH")))</f>
        <v>BOTH</v>
      </c>
      <c r="AD1118" s="9">
        <f>IF(AC1118="BOTH",ROUND(Y1118-Z1118,2),0)</f>
        <v>0</v>
      </c>
    </row>
    <row r="1119">
      <c r="A1119" t="inlineStr">
        <is>
          <t>G01115</t>
        </is>
      </c>
      <c r="B1119" t="inlineStr">
        <is>
          <t>OPS</t>
        </is>
      </c>
      <c r="C1119" t="inlineStr">
        <is>
          <t>R10</t>
        </is>
      </c>
      <c r="D1119" t="inlineStr">
        <is>
          <t>MATCH</t>
        </is>
      </c>
      <c r="E1119" t="inlineStr">
        <is>
          <t>Northcote Retail Holdings</t>
        </is>
      </c>
      <c r="F1119" t="n">
        <v>1</v>
      </c>
      <c r="G1119" t="inlineStr">
        <is>
          <t>Payee 'NORTHCOTE RETAIL HOLDI' = Northcote Retail Holdings</t>
        </is>
      </c>
      <c r="H1119">
        <f>COUNTIFS('Bank Lines'!$G$5:$G$1640,A1119,'Bank Lines'!$J$5:$J$1640,1)</f>
        <v>1</v>
      </c>
      <c r="I1119">
        <f>COUNTIFS('Odoo Items'!$J$5:$J$4331,A1119)</f>
        <v>1</v>
      </c>
      <c r="J1119" s="9">
        <f>ROUND(SUMIFS('Bank Lines'!$E$5:$E$1640,'Bank Lines'!$G$5:$G$1640,A1119,'Bank Lines'!$J$5:$J$1640,1),2)</f>
        <v>-9680</v>
      </c>
      <c r="K1119" s="9">
        <f>ROUND(SUMIFS('Odoo Items'!$G$5:$G$4331,'Odoo Items'!$J$5:$J$4331,A1119),2)</f>
        <v>-9680</v>
      </c>
      <c r="L1119" s="9">
        <f>ROUND(J1119-K1119,2)</f>
        <v>0</v>
      </c>
      <c r="M1119" s="9">
        <f>ROUND(SUMIFS('Bank Lines'!$E$5:$E$1640,'Bank Lines'!$G$5:$G$1640,A1119,'Bank Lines'!$J$5:$J$1640,1,'Bank Lines'!$C$5:$C$1640,"&lt;="&amp;Cover!$C$13),2)</f>
        <v>-9680</v>
      </c>
      <c r="N1119" s="9">
        <f>ROUND(SUMIFS('Odoo Items'!$G$5:$G$4331,'Odoo Items'!$J$5:$J$4331,A1119,'Odoo Items'!$C$5:$C$4331,"&lt;="&amp;Cover!$C$13),2)</f>
        <v>-9680</v>
      </c>
      <c r="O1119">
        <f>COUNTIFS('Bank Lines'!$G$5:$G$1640,A1119,'Bank Lines'!$J$5:$J$1640,1,'Bank Lines'!$C$5:$C$1640,"&lt;="&amp;Cover!$C$13)</f>
        <v>1</v>
      </c>
      <c r="P1119">
        <f>COUNTIFS('Odoo Items'!$J$5:$J$4331,A1119,'Odoo Items'!$C$5:$C$4331,"&lt;="&amp;Cover!$C$13)</f>
        <v>1</v>
      </c>
      <c r="Q1119" t="str">
        <f>IF(AND(O1119=0,P1119=0),"",IF(O1119=0,"ODOO-ONLY",IF(P1119=0,"BANK-ONLY","BOTH")))</f>
        <v>BOTH</v>
      </c>
      <c r="R1119" s="9">
        <f>IF(Q1119="BOTH",ROUND(M1119-N1119,2),0)</f>
        <v>0</v>
      </c>
      <c r="S1119" s="9">
        <f>ROUND(SUMIFS('Bank Lines'!$E$5:$E$1640,'Bank Lines'!$G$5:$G$1640,A1119,'Bank Lines'!$J$5:$J$1640,1,'Bank Lines'!$C$5:$C$1640,"&lt;="&amp;Cover!$C$14),2)</f>
        <v>-9680</v>
      </c>
      <c r="T1119" s="9">
        <f>ROUND(SUMIFS('Odoo Items'!$G$5:$G$4331,'Odoo Items'!$J$5:$J$4331,A1119,'Odoo Items'!$C$5:$C$4331,"&lt;="&amp;Cover!$C$14),2)</f>
        <v>-9680</v>
      </c>
      <c r="U1119">
        <f>COUNTIFS('Bank Lines'!$G$5:$G$1640,A1119,'Bank Lines'!$J$5:$J$1640,1,'Bank Lines'!$C$5:$C$1640,"&lt;="&amp;Cover!$C$14)</f>
        <v>1</v>
      </c>
      <c r="V1119">
        <f>COUNTIFS('Odoo Items'!$J$5:$J$4331,A1119,'Odoo Items'!$C$5:$C$4331,"&lt;="&amp;Cover!$C$14)</f>
        <v>1</v>
      </c>
      <c r="W1119" t="str">
        <f>IF(AND(U1119=0,V1119=0),"",IF(U1119=0,"ODOO-ONLY",IF(V1119=0,"BANK-ONLY","BOTH")))</f>
        <v>BOTH</v>
      </c>
      <c r="X1119" s="9">
        <f>IF(W1119="BOTH",ROUND(S1119-T1119,2),0)</f>
        <v>0</v>
      </c>
      <c r="Y1119" s="9">
        <f>ROUND(SUMIFS('Bank Lines'!$E$5:$E$1640,'Bank Lines'!$G$5:$G$1640,A1119,'Bank Lines'!$J$5:$J$1640,1,'Bank Lines'!$C$5:$C$1640,"&lt;="&amp;Cover!$C$15),2)</f>
        <v>-9680</v>
      </c>
      <c r="Z1119" s="9">
        <f>ROUND(SUMIFS('Odoo Items'!$G$5:$G$4331,'Odoo Items'!$J$5:$J$4331,A1119,'Odoo Items'!$C$5:$C$4331,"&lt;="&amp;Cover!$C$15),2)</f>
        <v>-9680</v>
      </c>
      <c r="AA1119">
        <f>COUNTIFS('Bank Lines'!$G$5:$G$1640,A1119,'Bank Lines'!$J$5:$J$1640,1,'Bank Lines'!$C$5:$C$1640,"&lt;="&amp;Cover!$C$15)</f>
        <v>1</v>
      </c>
      <c r="AB1119">
        <f>COUNTIFS('Odoo Items'!$J$5:$J$4331,A1119,'Odoo Items'!$C$5:$C$4331,"&lt;="&amp;Cover!$C$15)</f>
        <v>1</v>
      </c>
      <c r="AC1119" t="str">
        <f>IF(AND(AA1119=0,AB1119=0),"",IF(AA1119=0,"ODOO-ONLY",IF(AB1119=0,"BANK-ONLY","BOTH")))</f>
        <v>BOTH</v>
      </c>
      <c r="AD1119" s="9">
        <f>IF(AC1119="BOTH",ROUND(Y1119-Z1119,2),0)</f>
        <v>0</v>
      </c>
    </row>
    <row r="1120">
      <c r="A1120" t="inlineStr">
        <is>
          <t>G01116</t>
        </is>
      </c>
      <c r="B1120" t="inlineStr">
        <is>
          <t>OPS</t>
        </is>
      </c>
      <c r="C1120" t="inlineStr">
        <is>
          <t>R10</t>
        </is>
      </c>
      <c r="D1120" t="inlineStr">
        <is>
          <t>MATCH</t>
        </is>
      </c>
      <c r="E1120" t="inlineStr">
        <is>
          <t>Bayview Commercial Leasing</t>
        </is>
      </c>
      <c r="F1120" t="n">
        <v>1</v>
      </c>
      <c r="G1120" t="inlineStr">
        <is>
          <t>Payee 'BAYVIEWCOMMERCIA' = Bayview Commercial Leasing</t>
        </is>
      </c>
      <c r="H1120">
        <f>COUNTIFS('Bank Lines'!$G$5:$G$1640,A1120,'Bank Lines'!$J$5:$J$1640,1)</f>
        <v>1</v>
      </c>
      <c r="I1120">
        <f>COUNTIFS('Odoo Items'!$J$5:$J$4331,A1120)</f>
        <v>1</v>
      </c>
      <c r="J1120" s="9">
        <f>ROUND(SUMIFS('Bank Lines'!$E$5:$E$1640,'Bank Lines'!$G$5:$G$1640,A1120,'Bank Lines'!$J$5:$J$1640,1),2)</f>
        <v>-8250</v>
      </c>
      <c r="K1120" s="9">
        <f>ROUND(SUMIFS('Odoo Items'!$G$5:$G$4331,'Odoo Items'!$J$5:$J$4331,A1120),2)</f>
        <v>-8250</v>
      </c>
      <c r="L1120" s="9">
        <f>ROUND(J1120-K1120,2)</f>
        <v>0</v>
      </c>
      <c r="M1120" s="9">
        <f>ROUND(SUMIFS('Bank Lines'!$E$5:$E$1640,'Bank Lines'!$G$5:$G$1640,A1120,'Bank Lines'!$J$5:$J$1640,1,'Bank Lines'!$C$5:$C$1640,"&lt;="&amp;Cover!$C$13),2)</f>
        <v>-8250</v>
      </c>
      <c r="N1120" s="9">
        <f>ROUND(SUMIFS('Odoo Items'!$G$5:$G$4331,'Odoo Items'!$J$5:$J$4331,A1120,'Odoo Items'!$C$5:$C$4331,"&lt;="&amp;Cover!$C$13),2)</f>
        <v>-8250</v>
      </c>
      <c r="O1120">
        <f>COUNTIFS('Bank Lines'!$G$5:$G$1640,A1120,'Bank Lines'!$J$5:$J$1640,1,'Bank Lines'!$C$5:$C$1640,"&lt;="&amp;Cover!$C$13)</f>
        <v>1</v>
      </c>
      <c r="P1120">
        <f>COUNTIFS('Odoo Items'!$J$5:$J$4331,A1120,'Odoo Items'!$C$5:$C$4331,"&lt;="&amp;Cover!$C$13)</f>
        <v>1</v>
      </c>
      <c r="Q1120" t="str">
        <f>IF(AND(O1120=0,P1120=0),"",IF(O1120=0,"ODOO-ONLY",IF(P1120=0,"BANK-ONLY","BOTH")))</f>
        <v>BOTH</v>
      </c>
      <c r="R1120" s="9">
        <f>IF(Q1120="BOTH",ROUND(M1120-N1120,2),0)</f>
        <v>0</v>
      </c>
      <c r="S1120" s="9">
        <f>ROUND(SUMIFS('Bank Lines'!$E$5:$E$1640,'Bank Lines'!$G$5:$G$1640,A1120,'Bank Lines'!$J$5:$J$1640,1,'Bank Lines'!$C$5:$C$1640,"&lt;="&amp;Cover!$C$14),2)</f>
        <v>-8250</v>
      </c>
      <c r="T1120" s="9">
        <f>ROUND(SUMIFS('Odoo Items'!$G$5:$G$4331,'Odoo Items'!$J$5:$J$4331,A1120,'Odoo Items'!$C$5:$C$4331,"&lt;="&amp;Cover!$C$14),2)</f>
        <v>-8250</v>
      </c>
      <c r="U1120">
        <f>COUNTIFS('Bank Lines'!$G$5:$G$1640,A1120,'Bank Lines'!$J$5:$J$1640,1,'Bank Lines'!$C$5:$C$1640,"&lt;="&amp;Cover!$C$14)</f>
        <v>1</v>
      </c>
      <c r="V1120">
        <f>COUNTIFS('Odoo Items'!$J$5:$J$4331,A1120,'Odoo Items'!$C$5:$C$4331,"&lt;="&amp;Cover!$C$14)</f>
        <v>1</v>
      </c>
      <c r="W1120" t="str">
        <f>IF(AND(U1120=0,V1120=0),"",IF(U1120=0,"ODOO-ONLY",IF(V1120=0,"BANK-ONLY","BOTH")))</f>
        <v>BOTH</v>
      </c>
      <c r="X1120" s="9">
        <f>IF(W1120="BOTH",ROUND(S1120-T1120,2),0)</f>
        <v>0</v>
      </c>
      <c r="Y1120" s="9">
        <f>ROUND(SUMIFS('Bank Lines'!$E$5:$E$1640,'Bank Lines'!$G$5:$G$1640,A1120,'Bank Lines'!$J$5:$J$1640,1,'Bank Lines'!$C$5:$C$1640,"&lt;="&amp;Cover!$C$15),2)</f>
        <v>-8250</v>
      </c>
      <c r="Z1120" s="9">
        <f>ROUND(SUMIFS('Odoo Items'!$G$5:$G$4331,'Odoo Items'!$J$5:$J$4331,A1120,'Odoo Items'!$C$5:$C$4331,"&lt;="&amp;Cover!$C$15),2)</f>
        <v>-8250</v>
      </c>
      <c r="AA1120">
        <f>COUNTIFS('Bank Lines'!$G$5:$G$1640,A1120,'Bank Lines'!$J$5:$J$1640,1,'Bank Lines'!$C$5:$C$1640,"&lt;="&amp;Cover!$C$15)</f>
        <v>1</v>
      </c>
      <c r="AB1120">
        <f>COUNTIFS('Odoo Items'!$J$5:$J$4331,A1120,'Odoo Items'!$C$5:$C$4331,"&lt;="&amp;Cover!$C$15)</f>
        <v>1</v>
      </c>
      <c r="AC1120" t="str">
        <f>IF(AND(AA1120=0,AB1120=0),"",IF(AA1120=0,"ODOO-ONLY",IF(AB1120=0,"BANK-ONLY","BOTH")))</f>
        <v>BOTH</v>
      </c>
      <c r="AD1120" s="9">
        <f>IF(AC1120="BOTH",ROUND(Y1120-Z1120,2),0)</f>
        <v>0</v>
      </c>
    </row>
    <row r="1121">
      <c r="A1121" t="inlineStr">
        <is>
          <t>G01117</t>
        </is>
      </c>
      <c r="B1121" t="inlineStr">
        <is>
          <t>OPS</t>
        </is>
      </c>
      <c r="C1121" t="inlineStr">
        <is>
          <t>R10</t>
        </is>
      </c>
      <c r="D1121" t="inlineStr">
        <is>
          <t>MATCH</t>
        </is>
      </c>
      <c r="E1121" t="inlineStr">
        <is>
          <t>Moorabbin Office Park</t>
        </is>
      </c>
      <c r="F1121" t="n">
        <v>1</v>
      </c>
      <c r="G1121" t="inlineStr">
        <is>
          <t>Payee 'MOORABBINOFFICEP' = Moorabbin Office Park</t>
        </is>
      </c>
      <c r="H1121">
        <f>COUNTIFS('Bank Lines'!$G$5:$G$1640,A1121,'Bank Lines'!$J$5:$J$1640,1)</f>
        <v>1</v>
      </c>
      <c r="I1121">
        <f>COUNTIFS('Odoo Items'!$J$5:$J$4331,A1121)</f>
        <v>1</v>
      </c>
      <c r="J1121" s="9">
        <f>ROUND(SUMIFS('Bank Lines'!$E$5:$E$1640,'Bank Lines'!$G$5:$G$1640,A1121,'Bank Lines'!$J$5:$J$1640,1),2)</f>
        <v>-7425</v>
      </c>
      <c r="K1121" s="9">
        <f>ROUND(SUMIFS('Odoo Items'!$G$5:$G$4331,'Odoo Items'!$J$5:$J$4331,A1121),2)</f>
        <v>-7425</v>
      </c>
      <c r="L1121" s="9">
        <f>ROUND(J1121-K1121,2)</f>
        <v>0</v>
      </c>
      <c r="M1121" s="9">
        <f>ROUND(SUMIFS('Bank Lines'!$E$5:$E$1640,'Bank Lines'!$G$5:$G$1640,A1121,'Bank Lines'!$J$5:$J$1640,1,'Bank Lines'!$C$5:$C$1640,"&lt;="&amp;Cover!$C$13),2)</f>
        <v>-7425</v>
      </c>
      <c r="N1121" s="9">
        <f>ROUND(SUMIFS('Odoo Items'!$G$5:$G$4331,'Odoo Items'!$J$5:$J$4331,A1121,'Odoo Items'!$C$5:$C$4331,"&lt;="&amp;Cover!$C$13),2)</f>
        <v>-7425</v>
      </c>
      <c r="O1121">
        <f>COUNTIFS('Bank Lines'!$G$5:$G$1640,A1121,'Bank Lines'!$J$5:$J$1640,1,'Bank Lines'!$C$5:$C$1640,"&lt;="&amp;Cover!$C$13)</f>
        <v>1</v>
      </c>
      <c r="P1121">
        <f>COUNTIFS('Odoo Items'!$J$5:$J$4331,A1121,'Odoo Items'!$C$5:$C$4331,"&lt;="&amp;Cover!$C$13)</f>
        <v>1</v>
      </c>
      <c r="Q1121" t="str">
        <f>IF(AND(O1121=0,P1121=0),"",IF(O1121=0,"ODOO-ONLY",IF(P1121=0,"BANK-ONLY","BOTH")))</f>
        <v>BOTH</v>
      </c>
      <c r="R1121" s="9">
        <f>IF(Q1121="BOTH",ROUND(M1121-N1121,2),0)</f>
        <v>0</v>
      </c>
      <c r="S1121" s="9">
        <f>ROUND(SUMIFS('Bank Lines'!$E$5:$E$1640,'Bank Lines'!$G$5:$G$1640,A1121,'Bank Lines'!$J$5:$J$1640,1,'Bank Lines'!$C$5:$C$1640,"&lt;="&amp;Cover!$C$14),2)</f>
        <v>-7425</v>
      </c>
      <c r="T1121" s="9">
        <f>ROUND(SUMIFS('Odoo Items'!$G$5:$G$4331,'Odoo Items'!$J$5:$J$4331,A1121,'Odoo Items'!$C$5:$C$4331,"&lt;="&amp;Cover!$C$14),2)</f>
        <v>-7425</v>
      </c>
      <c r="U1121">
        <f>COUNTIFS('Bank Lines'!$G$5:$G$1640,A1121,'Bank Lines'!$J$5:$J$1640,1,'Bank Lines'!$C$5:$C$1640,"&lt;="&amp;Cover!$C$14)</f>
        <v>1</v>
      </c>
      <c r="V1121">
        <f>COUNTIFS('Odoo Items'!$J$5:$J$4331,A1121,'Odoo Items'!$C$5:$C$4331,"&lt;="&amp;Cover!$C$14)</f>
        <v>1</v>
      </c>
      <c r="W1121" t="str">
        <f>IF(AND(U1121=0,V1121=0),"",IF(U1121=0,"ODOO-ONLY",IF(V1121=0,"BANK-ONLY","BOTH")))</f>
        <v>BOTH</v>
      </c>
      <c r="X1121" s="9">
        <f>IF(W1121="BOTH",ROUND(S1121-T1121,2),0)</f>
        <v>0</v>
      </c>
      <c r="Y1121" s="9">
        <f>ROUND(SUMIFS('Bank Lines'!$E$5:$E$1640,'Bank Lines'!$G$5:$G$1640,A1121,'Bank Lines'!$J$5:$J$1640,1,'Bank Lines'!$C$5:$C$1640,"&lt;="&amp;Cover!$C$15),2)</f>
        <v>-7425</v>
      </c>
      <c r="Z1121" s="9">
        <f>ROUND(SUMIFS('Odoo Items'!$G$5:$G$4331,'Odoo Items'!$J$5:$J$4331,A1121,'Odoo Items'!$C$5:$C$4331,"&lt;="&amp;Cover!$C$15),2)</f>
        <v>-7425</v>
      </c>
      <c r="AA1121">
        <f>COUNTIFS('Bank Lines'!$G$5:$G$1640,A1121,'Bank Lines'!$J$5:$J$1640,1,'Bank Lines'!$C$5:$C$1640,"&lt;="&amp;Cover!$C$15)</f>
        <v>1</v>
      </c>
      <c r="AB1121">
        <f>COUNTIFS('Odoo Items'!$J$5:$J$4331,A1121,'Odoo Items'!$C$5:$C$4331,"&lt;="&amp;Cover!$C$15)</f>
        <v>1</v>
      </c>
      <c r="AC1121" t="str">
        <f>IF(AND(AA1121=0,AB1121=0),"",IF(AA1121=0,"ODOO-ONLY",IF(AB1121=0,"BANK-ONLY","BOTH")))</f>
        <v>BOTH</v>
      </c>
      <c r="AD1121" s="9">
        <f>IF(AC1121="BOTH",ROUND(Y1121-Z1121,2),0)</f>
        <v>0</v>
      </c>
    </row>
    <row r="1122">
      <c r="A1122" t="inlineStr">
        <is>
          <t>G01118</t>
        </is>
      </c>
      <c r="B1122" t="inlineStr">
        <is>
          <t>OPS</t>
        </is>
      </c>
      <c r="C1122" t="inlineStr">
        <is>
          <t>R10</t>
        </is>
      </c>
      <c r="D1122" t="inlineStr">
        <is>
          <t>MATCH</t>
        </is>
      </c>
      <c r="E1122" t="inlineStr">
        <is>
          <t>Clinic Practice Software AU</t>
        </is>
      </c>
      <c r="F1122" t="n">
        <v>1</v>
      </c>
      <c r="G1122" t="inlineStr">
        <is>
          <t>Payee 'CLINIC PRACTICE SO' = Clinic Practice Software AU</t>
        </is>
      </c>
      <c r="H1122">
        <f>COUNTIFS('Bank Lines'!$G$5:$G$1640,A1122,'Bank Lines'!$J$5:$J$1640,1)</f>
        <v>1</v>
      </c>
      <c r="I1122">
        <f>COUNTIFS('Odoo Items'!$J$5:$J$4331,A1122)</f>
        <v>1</v>
      </c>
      <c r="J1122" s="9">
        <f>ROUND(SUMIFS('Bank Lines'!$E$5:$E$1640,'Bank Lines'!$G$5:$G$1640,A1122,'Bank Lines'!$J$5:$J$1640,1),2)</f>
        <v>-1870</v>
      </c>
      <c r="K1122" s="9">
        <f>ROUND(SUMIFS('Odoo Items'!$G$5:$G$4331,'Odoo Items'!$J$5:$J$4331,A1122),2)</f>
        <v>-1870</v>
      </c>
      <c r="L1122" s="9">
        <f>ROUND(J1122-K1122,2)</f>
        <v>0</v>
      </c>
      <c r="M1122" s="9">
        <f>ROUND(SUMIFS('Bank Lines'!$E$5:$E$1640,'Bank Lines'!$G$5:$G$1640,A1122,'Bank Lines'!$J$5:$J$1640,1,'Bank Lines'!$C$5:$C$1640,"&lt;="&amp;Cover!$C$13),2)</f>
        <v>-1870</v>
      </c>
      <c r="N1122" s="9">
        <f>ROUND(SUMIFS('Odoo Items'!$G$5:$G$4331,'Odoo Items'!$J$5:$J$4331,A1122,'Odoo Items'!$C$5:$C$4331,"&lt;="&amp;Cover!$C$13),2)</f>
        <v>-1870</v>
      </c>
      <c r="O1122">
        <f>COUNTIFS('Bank Lines'!$G$5:$G$1640,A1122,'Bank Lines'!$J$5:$J$1640,1,'Bank Lines'!$C$5:$C$1640,"&lt;="&amp;Cover!$C$13)</f>
        <v>1</v>
      </c>
      <c r="P1122">
        <f>COUNTIFS('Odoo Items'!$J$5:$J$4331,A1122,'Odoo Items'!$C$5:$C$4331,"&lt;="&amp;Cover!$C$13)</f>
        <v>1</v>
      </c>
      <c r="Q1122" t="str">
        <f>IF(AND(O1122=0,P1122=0),"",IF(O1122=0,"ODOO-ONLY",IF(P1122=0,"BANK-ONLY","BOTH")))</f>
        <v>BOTH</v>
      </c>
      <c r="R1122" s="9">
        <f>IF(Q1122="BOTH",ROUND(M1122-N1122,2),0)</f>
        <v>0</v>
      </c>
      <c r="S1122" s="9">
        <f>ROUND(SUMIFS('Bank Lines'!$E$5:$E$1640,'Bank Lines'!$G$5:$G$1640,A1122,'Bank Lines'!$J$5:$J$1640,1,'Bank Lines'!$C$5:$C$1640,"&lt;="&amp;Cover!$C$14),2)</f>
        <v>-1870</v>
      </c>
      <c r="T1122" s="9">
        <f>ROUND(SUMIFS('Odoo Items'!$G$5:$G$4331,'Odoo Items'!$J$5:$J$4331,A1122,'Odoo Items'!$C$5:$C$4331,"&lt;="&amp;Cover!$C$14),2)</f>
        <v>-1870</v>
      </c>
      <c r="U1122">
        <f>COUNTIFS('Bank Lines'!$G$5:$G$1640,A1122,'Bank Lines'!$J$5:$J$1640,1,'Bank Lines'!$C$5:$C$1640,"&lt;="&amp;Cover!$C$14)</f>
        <v>1</v>
      </c>
      <c r="V1122">
        <f>COUNTIFS('Odoo Items'!$J$5:$J$4331,A1122,'Odoo Items'!$C$5:$C$4331,"&lt;="&amp;Cover!$C$14)</f>
        <v>1</v>
      </c>
      <c r="W1122" t="str">
        <f>IF(AND(U1122=0,V1122=0),"",IF(U1122=0,"ODOO-ONLY",IF(V1122=0,"BANK-ONLY","BOTH")))</f>
        <v>BOTH</v>
      </c>
      <c r="X1122" s="9">
        <f>IF(W1122="BOTH",ROUND(S1122-T1122,2),0)</f>
        <v>0</v>
      </c>
      <c r="Y1122" s="9">
        <f>ROUND(SUMIFS('Bank Lines'!$E$5:$E$1640,'Bank Lines'!$G$5:$G$1640,A1122,'Bank Lines'!$J$5:$J$1640,1,'Bank Lines'!$C$5:$C$1640,"&lt;="&amp;Cover!$C$15),2)</f>
        <v>-1870</v>
      </c>
      <c r="Z1122" s="9">
        <f>ROUND(SUMIFS('Odoo Items'!$G$5:$G$4331,'Odoo Items'!$J$5:$J$4331,A1122,'Odoo Items'!$C$5:$C$4331,"&lt;="&amp;Cover!$C$15),2)</f>
        <v>-1870</v>
      </c>
      <c r="AA1122">
        <f>COUNTIFS('Bank Lines'!$G$5:$G$1640,A1122,'Bank Lines'!$J$5:$J$1640,1,'Bank Lines'!$C$5:$C$1640,"&lt;="&amp;Cover!$C$15)</f>
        <v>1</v>
      </c>
      <c r="AB1122">
        <f>COUNTIFS('Odoo Items'!$J$5:$J$4331,A1122,'Odoo Items'!$C$5:$C$4331,"&lt;="&amp;Cover!$C$15)</f>
        <v>1</v>
      </c>
      <c r="AC1122" t="str">
        <f>IF(AND(AA1122=0,AB1122=0),"",IF(AA1122=0,"ODOO-ONLY",IF(AB1122=0,"BANK-ONLY","BOTH")))</f>
        <v>BOTH</v>
      </c>
      <c r="AD1122" s="9">
        <f>IF(AC1122="BOTH",ROUND(Y1122-Z1122,2),0)</f>
        <v>0</v>
      </c>
    </row>
    <row r="1123">
      <c r="A1123" t="inlineStr">
        <is>
          <t>G01119</t>
        </is>
      </c>
      <c r="B1123" t="inlineStr">
        <is>
          <t>OPS</t>
        </is>
      </c>
      <c r="C1123" t="inlineStr">
        <is>
          <t>R10</t>
        </is>
      </c>
      <c r="D1123" t="inlineStr">
        <is>
          <t>MATCH</t>
        </is>
      </c>
      <c r="E1123" t="inlineStr">
        <is>
          <t>Peregrine Security</t>
        </is>
      </c>
      <c r="F1123" t="n">
        <v>1</v>
      </c>
      <c r="G1123" t="inlineStr">
        <is>
          <t>Payee 'PEREGRINE SECURITY' = Peregrine Security</t>
        </is>
      </c>
      <c r="H1123">
        <f>COUNTIFS('Bank Lines'!$G$5:$G$1640,A1123,'Bank Lines'!$J$5:$J$1640,1)</f>
        <v>1</v>
      </c>
      <c r="I1123">
        <f>COUNTIFS('Odoo Items'!$J$5:$J$4331,A1123)</f>
        <v>1</v>
      </c>
      <c r="J1123" s="9">
        <f>ROUND(SUMIFS('Bank Lines'!$E$5:$E$1640,'Bank Lines'!$G$5:$G$1640,A1123,'Bank Lines'!$J$5:$J$1640,1),2)</f>
        <v>10725</v>
      </c>
      <c r="K1123" s="9">
        <f>ROUND(SUMIFS('Odoo Items'!$G$5:$G$4331,'Odoo Items'!$J$5:$J$4331,A1123),2)</f>
        <v>10725</v>
      </c>
      <c r="L1123" s="9">
        <f>ROUND(J1123-K1123,2)</f>
        <v>0</v>
      </c>
      <c r="M1123" s="9">
        <f>ROUND(SUMIFS('Bank Lines'!$E$5:$E$1640,'Bank Lines'!$G$5:$G$1640,A1123,'Bank Lines'!$J$5:$J$1640,1,'Bank Lines'!$C$5:$C$1640,"&lt;="&amp;Cover!$C$13),2)</f>
        <v>10725</v>
      </c>
      <c r="N1123" s="9">
        <f>ROUND(SUMIFS('Odoo Items'!$G$5:$G$4331,'Odoo Items'!$J$5:$J$4331,A1123,'Odoo Items'!$C$5:$C$4331,"&lt;="&amp;Cover!$C$13),2)</f>
        <v>10725</v>
      </c>
      <c r="O1123">
        <f>COUNTIFS('Bank Lines'!$G$5:$G$1640,A1123,'Bank Lines'!$J$5:$J$1640,1,'Bank Lines'!$C$5:$C$1640,"&lt;="&amp;Cover!$C$13)</f>
        <v>1</v>
      </c>
      <c r="P1123">
        <f>COUNTIFS('Odoo Items'!$J$5:$J$4331,A1123,'Odoo Items'!$C$5:$C$4331,"&lt;="&amp;Cover!$C$13)</f>
        <v>1</v>
      </c>
      <c r="Q1123" t="str">
        <f>IF(AND(O1123=0,P1123=0),"",IF(O1123=0,"ODOO-ONLY",IF(P1123=0,"BANK-ONLY","BOTH")))</f>
        <v>BOTH</v>
      </c>
      <c r="R1123" s="9">
        <f>IF(Q1123="BOTH",ROUND(M1123-N1123,2),0)</f>
        <v>0</v>
      </c>
      <c r="S1123" s="9">
        <f>ROUND(SUMIFS('Bank Lines'!$E$5:$E$1640,'Bank Lines'!$G$5:$G$1640,A1123,'Bank Lines'!$J$5:$J$1640,1,'Bank Lines'!$C$5:$C$1640,"&lt;="&amp;Cover!$C$14),2)</f>
        <v>10725</v>
      </c>
      <c r="T1123" s="9">
        <f>ROUND(SUMIFS('Odoo Items'!$G$5:$G$4331,'Odoo Items'!$J$5:$J$4331,A1123,'Odoo Items'!$C$5:$C$4331,"&lt;="&amp;Cover!$C$14),2)</f>
        <v>10725</v>
      </c>
      <c r="U1123">
        <f>COUNTIFS('Bank Lines'!$G$5:$G$1640,A1123,'Bank Lines'!$J$5:$J$1640,1,'Bank Lines'!$C$5:$C$1640,"&lt;="&amp;Cover!$C$14)</f>
        <v>1</v>
      </c>
      <c r="V1123">
        <f>COUNTIFS('Odoo Items'!$J$5:$J$4331,A1123,'Odoo Items'!$C$5:$C$4331,"&lt;="&amp;Cover!$C$14)</f>
        <v>1</v>
      </c>
      <c r="W1123" t="str">
        <f>IF(AND(U1123=0,V1123=0),"",IF(U1123=0,"ODOO-ONLY",IF(V1123=0,"BANK-ONLY","BOTH")))</f>
        <v>BOTH</v>
      </c>
      <c r="X1123" s="9">
        <f>IF(W1123="BOTH",ROUND(S1123-T1123,2),0)</f>
        <v>0</v>
      </c>
      <c r="Y1123" s="9">
        <f>ROUND(SUMIFS('Bank Lines'!$E$5:$E$1640,'Bank Lines'!$G$5:$G$1640,A1123,'Bank Lines'!$J$5:$J$1640,1,'Bank Lines'!$C$5:$C$1640,"&lt;="&amp;Cover!$C$15),2)</f>
        <v>10725</v>
      </c>
      <c r="Z1123" s="9">
        <f>ROUND(SUMIFS('Odoo Items'!$G$5:$G$4331,'Odoo Items'!$J$5:$J$4331,A1123,'Odoo Items'!$C$5:$C$4331,"&lt;="&amp;Cover!$C$15),2)</f>
        <v>10725</v>
      </c>
      <c r="AA1123">
        <f>COUNTIFS('Bank Lines'!$G$5:$G$1640,A1123,'Bank Lines'!$J$5:$J$1640,1,'Bank Lines'!$C$5:$C$1640,"&lt;="&amp;Cover!$C$15)</f>
        <v>1</v>
      </c>
      <c r="AB1123">
        <f>COUNTIFS('Odoo Items'!$J$5:$J$4331,A1123,'Odoo Items'!$C$5:$C$4331,"&lt;="&amp;Cover!$C$15)</f>
        <v>1</v>
      </c>
      <c r="AC1123" t="str">
        <f>IF(AND(AA1123=0,AB1123=0),"",IF(AA1123=0,"ODOO-ONLY",IF(AB1123=0,"BANK-ONLY","BOTH")))</f>
        <v>BOTH</v>
      </c>
      <c r="AD1123" s="9">
        <f>IF(AC1123="BOTH",ROUND(Y1123-Z1123,2),0)</f>
        <v>0</v>
      </c>
    </row>
    <row r="1124">
      <c r="A1124" t="inlineStr">
        <is>
          <t>G01120</t>
        </is>
      </c>
      <c r="B1124" t="inlineStr">
        <is>
          <t>OPS</t>
        </is>
      </c>
      <c r="C1124" t="inlineStr">
        <is>
          <t>R10</t>
        </is>
      </c>
      <c r="D1124" t="inlineStr">
        <is>
          <t>MATCH</t>
        </is>
      </c>
      <c r="E1124" t="inlineStr">
        <is>
          <t>Rosedale Nurseries</t>
        </is>
      </c>
      <c r="F1124" t="n">
        <v>1</v>
      </c>
      <c r="G1124" t="inlineStr">
        <is>
          <t>Payee 'ROSEDALE NURSERIES' = Rosedale Nurseries</t>
        </is>
      </c>
      <c r="H1124">
        <f>COUNTIFS('Bank Lines'!$G$5:$G$1640,A1124,'Bank Lines'!$J$5:$J$1640,1)</f>
        <v>1</v>
      </c>
      <c r="I1124">
        <f>COUNTIFS('Odoo Items'!$J$5:$J$4331,A1124)</f>
        <v>1</v>
      </c>
      <c r="J1124" s="9">
        <f>ROUND(SUMIFS('Bank Lines'!$E$5:$E$1640,'Bank Lines'!$G$5:$G$1640,A1124,'Bank Lines'!$J$5:$J$1640,1),2)</f>
        <v>3465</v>
      </c>
      <c r="K1124" s="9">
        <f>ROUND(SUMIFS('Odoo Items'!$G$5:$G$4331,'Odoo Items'!$J$5:$J$4331,A1124),2)</f>
        <v>3465</v>
      </c>
      <c r="L1124" s="9">
        <f>ROUND(J1124-K1124,2)</f>
        <v>0</v>
      </c>
      <c r="M1124" s="9">
        <f>ROUND(SUMIFS('Bank Lines'!$E$5:$E$1640,'Bank Lines'!$G$5:$G$1640,A1124,'Bank Lines'!$J$5:$J$1640,1,'Bank Lines'!$C$5:$C$1640,"&lt;="&amp;Cover!$C$13),2)</f>
        <v>3465</v>
      </c>
      <c r="N1124" s="9">
        <f>ROUND(SUMIFS('Odoo Items'!$G$5:$G$4331,'Odoo Items'!$J$5:$J$4331,A1124,'Odoo Items'!$C$5:$C$4331,"&lt;="&amp;Cover!$C$13),2)</f>
        <v>3465</v>
      </c>
      <c r="O1124">
        <f>COUNTIFS('Bank Lines'!$G$5:$G$1640,A1124,'Bank Lines'!$J$5:$J$1640,1,'Bank Lines'!$C$5:$C$1640,"&lt;="&amp;Cover!$C$13)</f>
        <v>1</v>
      </c>
      <c r="P1124">
        <f>COUNTIFS('Odoo Items'!$J$5:$J$4331,A1124,'Odoo Items'!$C$5:$C$4331,"&lt;="&amp;Cover!$C$13)</f>
        <v>1</v>
      </c>
      <c r="Q1124" t="str">
        <f>IF(AND(O1124=0,P1124=0),"",IF(O1124=0,"ODOO-ONLY",IF(P1124=0,"BANK-ONLY","BOTH")))</f>
        <v>BOTH</v>
      </c>
      <c r="R1124" s="9">
        <f>IF(Q1124="BOTH",ROUND(M1124-N1124,2),0)</f>
        <v>0</v>
      </c>
      <c r="S1124" s="9">
        <f>ROUND(SUMIFS('Bank Lines'!$E$5:$E$1640,'Bank Lines'!$G$5:$G$1640,A1124,'Bank Lines'!$J$5:$J$1640,1,'Bank Lines'!$C$5:$C$1640,"&lt;="&amp;Cover!$C$14),2)</f>
        <v>3465</v>
      </c>
      <c r="T1124" s="9">
        <f>ROUND(SUMIFS('Odoo Items'!$G$5:$G$4331,'Odoo Items'!$J$5:$J$4331,A1124,'Odoo Items'!$C$5:$C$4331,"&lt;="&amp;Cover!$C$14),2)</f>
        <v>3465</v>
      </c>
      <c r="U1124">
        <f>COUNTIFS('Bank Lines'!$G$5:$G$1640,A1124,'Bank Lines'!$J$5:$J$1640,1,'Bank Lines'!$C$5:$C$1640,"&lt;="&amp;Cover!$C$14)</f>
        <v>1</v>
      </c>
      <c r="V1124">
        <f>COUNTIFS('Odoo Items'!$J$5:$J$4331,A1124,'Odoo Items'!$C$5:$C$4331,"&lt;="&amp;Cover!$C$14)</f>
        <v>1</v>
      </c>
      <c r="W1124" t="str">
        <f>IF(AND(U1124=0,V1124=0),"",IF(U1124=0,"ODOO-ONLY",IF(V1124=0,"BANK-ONLY","BOTH")))</f>
        <v>BOTH</v>
      </c>
      <c r="X1124" s="9">
        <f>IF(W1124="BOTH",ROUND(S1124-T1124,2),0)</f>
        <v>0</v>
      </c>
      <c r="Y1124" s="9">
        <f>ROUND(SUMIFS('Bank Lines'!$E$5:$E$1640,'Bank Lines'!$G$5:$G$1640,A1124,'Bank Lines'!$J$5:$J$1640,1,'Bank Lines'!$C$5:$C$1640,"&lt;="&amp;Cover!$C$15),2)</f>
        <v>3465</v>
      </c>
      <c r="Z1124" s="9">
        <f>ROUND(SUMIFS('Odoo Items'!$G$5:$G$4331,'Odoo Items'!$J$5:$J$4331,A1124,'Odoo Items'!$C$5:$C$4331,"&lt;="&amp;Cover!$C$15),2)</f>
        <v>3465</v>
      </c>
      <c r="AA1124">
        <f>COUNTIFS('Bank Lines'!$G$5:$G$1640,A1124,'Bank Lines'!$J$5:$J$1640,1,'Bank Lines'!$C$5:$C$1640,"&lt;="&amp;Cover!$C$15)</f>
        <v>1</v>
      </c>
      <c r="AB1124">
        <f>COUNTIFS('Odoo Items'!$J$5:$J$4331,A1124,'Odoo Items'!$C$5:$C$4331,"&lt;="&amp;Cover!$C$15)</f>
        <v>1</v>
      </c>
      <c r="AC1124" t="str">
        <f>IF(AND(AA1124=0,AB1124=0),"",IF(AA1124=0,"ODOO-ONLY",IF(AB1124=0,"BANK-ONLY","BOTH")))</f>
        <v>BOTH</v>
      </c>
      <c r="AD1124" s="9">
        <f>IF(AC1124="BOTH",ROUND(Y1124-Z1124,2),0)</f>
        <v>0</v>
      </c>
    </row>
    <row r="1125">
      <c r="A1125" t="inlineStr">
        <is>
          <t>G01121</t>
        </is>
      </c>
      <c r="B1125" t="inlineStr">
        <is>
          <t>OPS</t>
        </is>
      </c>
      <c r="C1125" t="inlineStr">
        <is>
          <t>R10</t>
        </is>
      </c>
      <c r="D1125" t="inlineStr">
        <is>
          <t>MATCH</t>
        </is>
      </c>
      <c r="E1125" t="inlineStr">
        <is>
          <t>Cloud Payroll Pty Ltd</t>
        </is>
      </c>
      <c r="F1125" t="n">
        <v>1</v>
      </c>
      <c r="G1125" t="inlineStr">
        <is>
          <t>Payee 'CLOUD PAYROLL' = Cloud Payroll Pty Ltd</t>
        </is>
      </c>
      <c r="H1125">
        <f>COUNTIFS('Bank Lines'!$G$5:$G$1640,A1125,'Bank Lines'!$J$5:$J$1640,1)</f>
        <v>1</v>
      </c>
      <c r="I1125">
        <f>COUNTIFS('Odoo Items'!$J$5:$J$4331,A1125)</f>
        <v>1</v>
      </c>
      <c r="J1125" s="9">
        <f>ROUND(SUMIFS('Bank Lines'!$E$5:$E$1640,'Bank Lines'!$G$5:$G$1640,A1125,'Bank Lines'!$J$5:$J$1640,1),2)</f>
        <v>-495</v>
      </c>
      <c r="K1125" s="9">
        <f>ROUND(SUMIFS('Odoo Items'!$G$5:$G$4331,'Odoo Items'!$J$5:$J$4331,A1125),2)</f>
        <v>-495</v>
      </c>
      <c r="L1125" s="9">
        <f>ROUND(J1125-K1125,2)</f>
        <v>0</v>
      </c>
      <c r="M1125" s="9">
        <f>ROUND(SUMIFS('Bank Lines'!$E$5:$E$1640,'Bank Lines'!$G$5:$G$1640,A1125,'Bank Lines'!$J$5:$J$1640,1,'Bank Lines'!$C$5:$C$1640,"&lt;="&amp;Cover!$C$13),2)</f>
        <v>-495</v>
      </c>
      <c r="N1125" s="9">
        <f>ROUND(SUMIFS('Odoo Items'!$G$5:$G$4331,'Odoo Items'!$J$5:$J$4331,A1125,'Odoo Items'!$C$5:$C$4331,"&lt;="&amp;Cover!$C$13),2)</f>
        <v>-495</v>
      </c>
      <c r="O1125">
        <f>COUNTIFS('Bank Lines'!$G$5:$G$1640,A1125,'Bank Lines'!$J$5:$J$1640,1,'Bank Lines'!$C$5:$C$1640,"&lt;="&amp;Cover!$C$13)</f>
        <v>1</v>
      </c>
      <c r="P1125">
        <f>COUNTIFS('Odoo Items'!$J$5:$J$4331,A1125,'Odoo Items'!$C$5:$C$4331,"&lt;="&amp;Cover!$C$13)</f>
        <v>1</v>
      </c>
      <c r="Q1125" t="str">
        <f>IF(AND(O1125=0,P1125=0),"",IF(O1125=0,"ODOO-ONLY",IF(P1125=0,"BANK-ONLY","BOTH")))</f>
        <v>BOTH</v>
      </c>
      <c r="R1125" s="9">
        <f>IF(Q1125="BOTH",ROUND(M1125-N1125,2),0)</f>
        <v>0</v>
      </c>
      <c r="S1125" s="9">
        <f>ROUND(SUMIFS('Bank Lines'!$E$5:$E$1640,'Bank Lines'!$G$5:$G$1640,A1125,'Bank Lines'!$J$5:$J$1640,1,'Bank Lines'!$C$5:$C$1640,"&lt;="&amp;Cover!$C$14),2)</f>
        <v>-495</v>
      </c>
      <c r="T1125" s="9">
        <f>ROUND(SUMIFS('Odoo Items'!$G$5:$G$4331,'Odoo Items'!$J$5:$J$4331,A1125,'Odoo Items'!$C$5:$C$4331,"&lt;="&amp;Cover!$C$14),2)</f>
        <v>-495</v>
      </c>
      <c r="U1125">
        <f>COUNTIFS('Bank Lines'!$G$5:$G$1640,A1125,'Bank Lines'!$J$5:$J$1640,1,'Bank Lines'!$C$5:$C$1640,"&lt;="&amp;Cover!$C$14)</f>
        <v>1</v>
      </c>
      <c r="V1125">
        <f>COUNTIFS('Odoo Items'!$J$5:$J$4331,A1125,'Odoo Items'!$C$5:$C$4331,"&lt;="&amp;Cover!$C$14)</f>
        <v>1</v>
      </c>
      <c r="W1125" t="str">
        <f>IF(AND(U1125=0,V1125=0),"",IF(U1125=0,"ODOO-ONLY",IF(V1125=0,"BANK-ONLY","BOTH")))</f>
        <v>BOTH</v>
      </c>
      <c r="X1125" s="9">
        <f>IF(W1125="BOTH",ROUND(S1125-T1125,2),0)</f>
        <v>0</v>
      </c>
      <c r="Y1125" s="9">
        <f>ROUND(SUMIFS('Bank Lines'!$E$5:$E$1640,'Bank Lines'!$G$5:$G$1640,A1125,'Bank Lines'!$J$5:$J$1640,1,'Bank Lines'!$C$5:$C$1640,"&lt;="&amp;Cover!$C$15),2)</f>
        <v>-495</v>
      </c>
      <c r="Z1125" s="9">
        <f>ROUND(SUMIFS('Odoo Items'!$G$5:$G$4331,'Odoo Items'!$J$5:$J$4331,A1125,'Odoo Items'!$C$5:$C$4331,"&lt;="&amp;Cover!$C$15),2)</f>
        <v>-495</v>
      </c>
      <c r="AA1125">
        <f>COUNTIFS('Bank Lines'!$G$5:$G$1640,A1125,'Bank Lines'!$J$5:$J$1640,1,'Bank Lines'!$C$5:$C$1640,"&lt;="&amp;Cover!$C$15)</f>
        <v>1</v>
      </c>
      <c r="AB1125">
        <f>COUNTIFS('Odoo Items'!$J$5:$J$4331,A1125,'Odoo Items'!$C$5:$C$4331,"&lt;="&amp;Cover!$C$15)</f>
        <v>1</v>
      </c>
      <c r="AC1125" t="str">
        <f>IF(AND(AA1125=0,AB1125=0),"",IF(AA1125=0,"ODOO-ONLY",IF(AB1125=0,"BANK-ONLY","BOTH")))</f>
        <v>BOTH</v>
      </c>
      <c r="AD1125" s="9">
        <f>IF(AC1125="BOTH",ROUND(Y1125-Z1125,2),0)</f>
        <v>0</v>
      </c>
    </row>
    <row r="1126">
      <c r="A1126" t="inlineStr">
        <is>
          <t>G01122</t>
        </is>
      </c>
      <c r="B1126" t="inlineStr">
        <is>
          <t>OPS</t>
        </is>
      </c>
      <c r="C1126" t="inlineStr">
        <is>
          <t>R10</t>
        </is>
      </c>
      <c r="D1126" t="inlineStr">
        <is>
          <t>MATCH</t>
        </is>
      </c>
      <c r="E1126" t="inlineStr">
        <is>
          <t>Brightwater Civil Pty Ltd</t>
        </is>
      </c>
      <c r="F1126" t="n">
        <v>1</v>
      </c>
      <c r="G1126" t="inlineStr">
        <is>
          <t>Payee 'BRIGHTWATER CIVIL PTY' = Brightwater Civil Pty Ltd</t>
        </is>
      </c>
      <c r="H1126">
        <f>COUNTIFS('Bank Lines'!$G$5:$G$1640,A1126,'Bank Lines'!$J$5:$J$1640,1)</f>
        <v>1</v>
      </c>
      <c r="I1126">
        <f>COUNTIFS('Odoo Items'!$J$5:$J$4331,A1126)</f>
        <v>1</v>
      </c>
      <c r="J1126" s="9">
        <f>ROUND(SUMIFS('Bank Lines'!$E$5:$E$1640,'Bank Lines'!$G$5:$G$1640,A1126,'Bank Lines'!$J$5:$J$1640,1),2)</f>
        <v>3465</v>
      </c>
      <c r="K1126" s="9">
        <f>ROUND(SUMIFS('Odoo Items'!$G$5:$G$4331,'Odoo Items'!$J$5:$J$4331,A1126),2)</f>
        <v>3465</v>
      </c>
      <c r="L1126" s="9">
        <f>ROUND(J1126-K1126,2)</f>
        <v>0</v>
      </c>
      <c r="M1126" s="9">
        <f>ROUND(SUMIFS('Bank Lines'!$E$5:$E$1640,'Bank Lines'!$G$5:$G$1640,A1126,'Bank Lines'!$J$5:$J$1640,1,'Bank Lines'!$C$5:$C$1640,"&lt;="&amp;Cover!$C$13),2)</f>
        <v>3465</v>
      </c>
      <c r="N1126" s="9">
        <f>ROUND(SUMIFS('Odoo Items'!$G$5:$G$4331,'Odoo Items'!$J$5:$J$4331,A1126,'Odoo Items'!$C$5:$C$4331,"&lt;="&amp;Cover!$C$13),2)</f>
        <v>3465</v>
      </c>
      <c r="O1126">
        <f>COUNTIFS('Bank Lines'!$G$5:$G$1640,A1126,'Bank Lines'!$J$5:$J$1640,1,'Bank Lines'!$C$5:$C$1640,"&lt;="&amp;Cover!$C$13)</f>
        <v>1</v>
      </c>
      <c r="P1126">
        <f>COUNTIFS('Odoo Items'!$J$5:$J$4331,A1126,'Odoo Items'!$C$5:$C$4331,"&lt;="&amp;Cover!$C$13)</f>
        <v>1</v>
      </c>
      <c r="Q1126" t="str">
        <f>IF(AND(O1126=0,P1126=0),"",IF(O1126=0,"ODOO-ONLY",IF(P1126=0,"BANK-ONLY","BOTH")))</f>
        <v>BOTH</v>
      </c>
      <c r="R1126" s="9">
        <f>IF(Q1126="BOTH",ROUND(M1126-N1126,2),0)</f>
        <v>0</v>
      </c>
      <c r="S1126" s="9">
        <f>ROUND(SUMIFS('Bank Lines'!$E$5:$E$1640,'Bank Lines'!$G$5:$G$1640,A1126,'Bank Lines'!$J$5:$J$1640,1,'Bank Lines'!$C$5:$C$1640,"&lt;="&amp;Cover!$C$14),2)</f>
        <v>3465</v>
      </c>
      <c r="T1126" s="9">
        <f>ROUND(SUMIFS('Odoo Items'!$G$5:$G$4331,'Odoo Items'!$J$5:$J$4331,A1126,'Odoo Items'!$C$5:$C$4331,"&lt;="&amp;Cover!$C$14),2)</f>
        <v>3465</v>
      </c>
      <c r="U1126">
        <f>COUNTIFS('Bank Lines'!$G$5:$G$1640,A1126,'Bank Lines'!$J$5:$J$1640,1,'Bank Lines'!$C$5:$C$1640,"&lt;="&amp;Cover!$C$14)</f>
        <v>1</v>
      </c>
      <c r="V1126">
        <f>COUNTIFS('Odoo Items'!$J$5:$J$4331,A1126,'Odoo Items'!$C$5:$C$4331,"&lt;="&amp;Cover!$C$14)</f>
        <v>1</v>
      </c>
      <c r="W1126" t="str">
        <f>IF(AND(U1126=0,V1126=0),"",IF(U1126=0,"ODOO-ONLY",IF(V1126=0,"BANK-ONLY","BOTH")))</f>
        <v>BOTH</v>
      </c>
      <c r="X1126" s="9">
        <f>IF(W1126="BOTH",ROUND(S1126-T1126,2),0)</f>
        <v>0</v>
      </c>
      <c r="Y1126" s="9">
        <f>ROUND(SUMIFS('Bank Lines'!$E$5:$E$1640,'Bank Lines'!$G$5:$G$1640,A1126,'Bank Lines'!$J$5:$J$1640,1,'Bank Lines'!$C$5:$C$1640,"&lt;="&amp;Cover!$C$15),2)</f>
        <v>3465</v>
      </c>
      <c r="Z1126" s="9">
        <f>ROUND(SUMIFS('Odoo Items'!$G$5:$G$4331,'Odoo Items'!$J$5:$J$4331,A1126,'Odoo Items'!$C$5:$C$4331,"&lt;="&amp;Cover!$C$15),2)</f>
        <v>3465</v>
      </c>
      <c r="AA1126">
        <f>COUNTIFS('Bank Lines'!$G$5:$G$1640,A1126,'Bank Lines'!$J$5:$J$1640,1,'Bank Lines'!$C$5:$C$1640,"&lt;="&amp;Cover!$C$15)</f>
        <v>1</v>
      </c>
      <c r="AB1126">
        <f>COUNTIFS('Odoo Items'!$J$5:$J$4331,A1126,'Odoo Items'!$C$5:$C$4331,"&lt;="&amp;Cover!$C$15)</f>
        <v>1</v>
      </c>
      <c r="AC1126" t="str">
        <f>IF(AND(AA1126=0,AB1126=0),"",IF(AA1126=0,"ODOO-ONLY",IF(AB1126=0,"BANK-ONLY","BOTH")))</f>
        <v>BOTH</v>
      </c>
      <c r="AD1126" s="9">
        <f>IF(AC1126="BOTH",ROUND(Y1126-Z1126,2),0)</f>
        <v>0</v>
      </c>
    </row>
    <row r="1127">
      <c r="A1127" t="inlineStr">
        <is>
          <t>G01123</t>
        </is>
      </c>
      <c r="B1127" t="inlineStr">
        <is>
          <t>OPS</t>
        </is>
      </c>
      <c r="C1127" t="inlineStr">
        <is>
          <t>R10</t>
        </is>
      </c>
      <c r="D1127" t="inlineStr">
        <is>
          <t>MATCH</t>
        </is>
      </c>
      <c r="E1127" t="inlineStr">
        <is>
          <t>Quillon Engineering</t>
        </is>
      </c>
      <c r="F1127" t="n">
        <v>1</v>
      </c>
      <c r="G1127" t="inlineStr">
        <is>
          <t>Payee 'QUILLON ENGINEERIN' = Quillon Engineering</t>
        </is>
      </c>
      <c r="H1127">
        <f>COUNTIFS('Bank Lines'!$G$5:$G$1640,A1127,'Bank Lines'!$J$5:$J$1640,1)</f>
        <v>1</v>
      </c>
      <c r="I1127">
        <f>COUNTIFS('Odoo Items'!$J$5:$J$4331,A1127)</f>
        <v>1</v>
      </c>
      <c r="J1127" s="9">
        <f>ROUND(SUMIFS('Bank Lines'!$E$5:$E$1640,'Bank Lines'!$G$5:$G$1640,A1127,'Bank Lines'!$J$5:$J$1640,1),2)</f>
        <v>2035</v>
      </c>
      <c r="K1127" s="9">
        <f>ROUND(SUMIFS('Odoo Items'!$G$5:$G$4331,'Odoo Items'!$J$5:$J$4331,A1127),2)</f>
        <v>2035</v>
      </c>
      <c r="L1127" s="9">
        <f>ROUND(J1127-K1127,2)</f>
        <v>0</v>
      </c>
      <c r="M1127" s="9">
        <f>ROUND(SUMIFS('Bank Lines'!$E$5:$E$1640,'Bank Lines'!$G$5:$G$1640,A1127,'Bank Lines'!$J$5:$J$1640,1,'Bank Lines'!$C$5:$C$1640,"&lt;="&amp;Cover!$C$13),2)</f>
        <v>2035</v>
      </c>
      <c r="N1127" s="9">
        <f>ROUND(SUMIFS('Odoo Items'!$G$5:$G$4331,'Odoo Items'!$J$5:$J$4331,A1127,'Odoo Items'!$C$5:$C$4331,"&lt;="&amp;Cover!$C$13),2)</f>
        <v>2035</v>
      </c>
      <c r="O1127">
        <f>COUNTIFS('Bank Lines'!$G$5:$G$1640,A1127,'Bank Lines'!$J$5:$J$1640,1,'Bank Lines'!$C$5:$C$1640,"&lt;="&amp;Cover!$C$13)</f>
        <v>1</v>
      </c>
      <c r="P1127">
        <f>COUNTIFS('Odoo Items'!$J$5:$J$4331,A1127,'Odoo Items'!$C$5:$C$4331,"&lt;="&amp;Cover!$C$13)</f>
        <v>1</v>
      </c>
      <c r="Q1127" t="str">
        <f>IF(AND(O1127=0,P1127=0),"",IF(O1127=0,"ODOO-ONLY",IF(P1127=0,"BANK-ONLY","BOTH")))</f>
        <v>BOTH</v>
      </c>
      <c r="R1127" s="9">
        <f>IF(Q1127="BOTH",ROUND(M1127-N1127,2),0)</f>
        <v>0</v>
      </c>
      <c r="S1127" s="9">
        <f>ROUND(SUMIFS('Bank Lines'!$E$5:$E$1640,'Bank Lines'!$G$5:$G$1640,A1127,'Bank Lines'!$J$5:$J$1640,1,'Bank Lines'!$C$5:$C$1640,"&lt;="&amp;Cover!$C$14),2)</f>
        <v>2035</v>
      </c>
      <c r="T1127" s="9">
        <f>ROUND(SUMIFS('Odoo Items'!$G$5:$G$4331,'Odoo Items'!$J$5:$J$4331,A1127,'Odoo Items'!$C$5:$C$4331,"&lt;="&amp;Cover!$C$14),2)</f>
        <v>2035</v>
      </c>
      <c r="U1127">
        <f>COUNTIFS('Bank Lines'!$G$5:$G$1640,A1127,'Bank Lines'!$J$5:$J$1640,1,'Bank Lines'!$C$5:$C$1640,"&lt;="&amp;Cover!$C$14)</f>
        <v>1</v>
      </c>
      <c r="V1127">
        <f>COUNTIFS('Odoo Items'!$J$5:$J$4331,A1127,'Odoo Items'!$C$5:$C$4331,"&lt;="&amp;Cover!$C$14)</f>
        <v>1</v>
      </c>
      <c r="W1127" t="str">
        <f>IF(AND(U1127=0,V1127=0),"",IF(U1127=0,"ODOO-ONLY",IF(V1127=0,"BANK-ONLY","BOTH")))</f>
        <v>BOTH</v>
      </c>
      <c r="X1127" s="9">
        <f>IF(W1127="BOTH",ROUND(S1127-T1127,2),0)</f>
        <v>0</v>
      </c>
      <c r="Y1127" s="9">
        <f>ROUND(SUMIFS('Bank Lines'!$E$5:$E$1640,'Bank Lines'!$G$5:$G$1640,A1127,'Bank Lines'!$J$5:$J$1640,1,'Bank Lines'!$C$5:$C$1640,"&lt;="&amp;Cover!$C$15),2)</f>
        <v>2035</v>
      </c>
      <c r="Z1127" s="9">
        <f>ROUND(SUMIFS('Odoo Items'!$G$5:$G$4331,'Odoo Items'!$J$5:$J$4331,A1127,'Odoo Items'!$C$5:$C$4331,"&lt;="&amp;Cover!$C$15),2)</f>
        <v>2035</v>
      </c>
      <c r="AA1127">
        <f>COUNTIFS('Bank Lines'!$G$5:$G$1640,A1127,'Bank Lines'!$J$5:$J$1640,1,'Bank Lines'!$C$5:$C$1640,"&lt;="&amp;Cover!$C$15)</f>
        <v>1</v>
      </c>
      <c r="AB1127">
        <f>COUNTIFS('Odoo Items'!$J$5:$J$4331,A1127,'Odoo Items'!$C$5:$C$4331,"&lt;="&amp;Cover!$C$15)</f>
        <v>1</v>
      </c>
      <c r="AC1127" t="str">
        <f>IF(AND(AA1127=0,AB1127=0),"",IF(AA1127=0,"ODOO-ONLY",IF(AB1127=0,"BANK-ONLY","BOTH")))</f>
        <v>BOTH</v>
      </c>
      <c r="AD1127" s="9">
        <f>IF(AC1127="BOTH",ROUND(Y1127-Z1127,2),0)</f>
        <v>0</v>
      </c>
    </row>
    <row r="1128">
      <c r="A1128" t="inlineStr">
        <is>
          <t>G01124</t>
        </is>
      </c>
      <c r="B1128" t="inlineStr">
        <is>
          <t>OPS</t>
        </is>
      </c>
      <c r="C1128" t="inlineStr">
        <is>
          <t>R10</t>
        </is>
      </c>
      <c r="D1128" t="inlineStr">
        <is>
          <t>MATCH</t>
        </is>
      </c>
      <c r="E1128" t="inlineStr">
        <is>
          <t>Telwave Business Mobile</t>
        </is>
      </c>
      <c r="F1128" t="n">
        <v>1</v>
      </c>
      <c r="G1128" t="inlineStr">
        <is>
          <t>Payee 'TELWAVE BUSINESS MOB' = Telwave Business Mobile</t>
        </is>
      </c>
      <c r="H1128">
        <f>COUNTIFS('Bank Lines'!$G$5:$G$1640,A1128,'Bank Lines'!$J$5:$J$1640,1)</f>
        <v>1</v>
      </c>
      <c r="I1128">
        <f>COUNTIFS('Odoo Items'!$J$5:$J$4331,A1128)</f>
        <v>1</v>
      </c>
      <c r="J1128" s="9">
        <f>ROUND(SUMIFS('Bank Lines'!$E$5:$E$1640,'Bank Lines'!$G$5:$G$1640,A1128,'Bank Lines'!$J$5:$J$1640,1),2)</f>
        <v>-1204.76</v>
      </c>
      <c r="K1128" s="9">
        <f>ROUND(SUMIFS('Odoo Items'!$G$5:$G$4331,'Odoo Items'!$J$5:$J$4331,A1128),2)</f>
        <v>-1204.76</v>
      </c>
      <c r="L1128" s="9">
        <f>ROUND(J1128-K1128,2)</f>
        <v>0</v>
      </c>
      <c r="M1128" s="9">
        <f>ROUND(SUMIFS('Bank Lines'!$E$5:$E$1640,'Bank Lines'!$G$5:$G$1640,A1128,'Bank Lines'!$J$5:$J$1640,1,'Bank Lines'!$C$5:$C$1640,"&lt;="&amp;Cover!$C$13),2)</f>
        <v>-1204.76</v>
      </c>
      <c r="N1128" s="9">
        <f>ROUND(SUMIFS('Odoo Items'!$G$5:$G$4331,'Odoo Items'!$J$5:$J$4331,A1128,'Odoo Items'!$C$5:$C$4331,"&lt;="&amp;Cover!$C$13),2)</f>
        <v>-1204.76</v>
      </c>
      <c r="O1128">
        <f>COUNTIFS('Bank Lines'!$G$5:$G$1640,A1128,'Bank Lines'!$J$5:$J$1640,1,'Bank Lines'!$C$5:$C$1640,"&lt;="&amp;Cover!$C$13)</f>
        <v>1</v>
      </c>
      <c r="P1128">
        <f>COUNTIFS('Odoo Items'!$J$5:$J$4331,A1128,'Odoo Items'!$C$5:$C$4331,"&lt;="&amp;Cover!$C$13)</f>
        <v>1</v>
      </c>
      <c r="Q1128" t="str">
        <f>IF(AND(O1128=0,P1128=0),"",IF(O1128=0,"ODOO-ONLY",IF(P1128=0,"BANK-ONLY","BOTH")))</f>
        <v>BOTH</v>
      </c>
      <c r="R1128" s="9">
        <f>IF(Q1128="BOTH",ROUND(M1128-N1128,2),0)</f>
        <v>0</v>
      </c>
      <c r="S1128" s="9">
        <f>ROUND(SUMIFS('Bank Lines'!$E$5:$E$1640,'Bank Lines'!$G$5:$G$1640,A1128,'Bank Lines'!$J$5:$J$1640,1,'Bank Lines'!$C$5:$C$1640,"&lt;="&amp;Cover!$C$14),2)</f>
        <v>-1204.76</v>
      </c>
      <c r="T1128" s="9">
        <f>ROUND(SUMIFS('Odoo Items'!$G$5:$G$4331,'Odoo Items'!$J$5:$J$4331,A1128,'Odoo Items'!$C$5:$C$4331,"&lt;="&amp;Cover!$C$14),2)</f>
        <v>-1204.76</v>
      </c>
      <c r="U1128">
        <f>COUNTIFS('Bank Lines'!$G$5:$G$1640,A1128,'Bank Lines'!$J$5:$J$1640,1,'Bank Lines'!$C$5:$C$1640,"&lt;="&amp;Cover!$C$14)</f>
        <v>1</v>
      </c>
      <c r="V1128">
        <f>COUNTIFS('Odoo Items'!$J$5:$J$4331,A1128,'Odoo Items'!$C$5:$C$4331,"&lt;="&amp;Cover!$C$14)</f>
        <v>1</v>
      </c>
      <c r="W1128" t="str">
        <f>IF(AND(U1128=0,V1128=0),"",IF(U1128=0,"ODOO-ONLY",IF(V1128=0,"BANK-ONLY","BOTH")))</f>
        <v>BOTH</v>
      </c>
      <c r="X1128" s="9">
        <f>IF(W1128="BOTH",ROUND(S1128-T1128,2),0)</f>
        <v>0</v>
      </c>
      <c r="Y1128" s="9">
        <f>ROUND(SUMIFS('Bank Lines'!$E$5:$E$1640,'Bank Lines'!$G$5:$G$1640,A1128,'Bank Lines'!$J$5:$J$1640,1,'Bank Lines'!$C$5:$C$1640,"&lt;="&amp;Cover!$C$15),2)</f>
        <v>-1204.76</v>
      </c>
      <c r="Z1128" s="9">
        <f>ROUND(SUMIFS('Odoo Items'!$G$5:$G$4331,'Odoo Items'!$J$5:$J$4331,A1128,'Odoo Items'!$C$5:$C$4331,"&lt;="&amp;Cover!$C$15),2)</f>
        <v>-1204.76</v>
      </c>
      <c r="AA1128">
        <f>COUNTIFS('Bank Lines'!$G$5:$G$1640,A1128,'Bank Lines'!$J$5:$J$1640,1,'Bank Lines'!$C$5:$C$1640,"&lt;="&amp;Cover!$C$15)</f>
        <v>1</v>
      </c>
      <c r="AB1128">
        <f>COUNTIFS('Odoo Items'!$J$5:$J$4331,A1128,'Odoo Items'!$C$5:$C$4331,"&lt;="&amp;Cover!$C$15)</f>
        <v>1</v>
      </c>
      <c r="AC1128" t="str">
        <f>IF(AND(AA1128=0,AB1128=0),"",IF(AA1128=0,"ODOO-ONLY",IF(AB1128=0,"BANK-ONLY","BOTH")))</f>
        <v>BOTH</v>
      </c>
      <c r="AD1128" s="9">
        <f>IF(AC1128="BOTH",ROUND(Y1128-Z1128,2),0)</f>
        <v>0</v>
      </c>
    </row>
    <row r="1129">
      <c r="A1129" t="inlineStr">
        <is>
          <t>G01125</t>
        </is>
      </c>
      <c r="B1129" t="inlineStr">
        <is>
          <t>OPS</t>
        </is>
      </c>
      <c r="C1129" t="inlineStr">
        <is>
          <t>R10</t>
        </is>
      </c>
      <c r="D1129" t="inlineStr">
        <is>
          <t>MATCH</t>
        </is>
      </c>
      <c r="E1129" t="inlineStr">
        <is>
          <t>Lockhart Glass</t>
        </is>
      </c>
      <c r="F1129" t="n">
        <v>1</v>
      </c>
      <c r="G1129" t="inlineStr">
        <is>
          <t>Payee 'LOCKHART GLASS PTY LTD' = Lockhart Glass</t>
        </is>
      </c>
      <c r="H1129">
        <f>COUNTIFS('Bank Lines'!$G$5:$G$1640,A1129,'Bank Lines'!$J$5:$J$1640,1)</f>
        <v>1</v>
      </c>
      <c r="I1129">
        <f>COUNTIFS('Odoo Items'!$J$5:$J$4331,A1129)</f>
        <v>1</v>
      </c>
      <c r="J1129" s="9">
        <f>ROUND(SUMIFS('Bank Lines'!$E$5:$E$1640,'Bank Lines'!$G$5:$G$1640,A1129,'Bank Lines'!$J$5:$J$1640,1),2)</f>
        <v>5280</v>
      </c>
      <c r="K1129" s="9">
        <f>ROUND(SUMIFS('Odoo Items'!$G$5:$G$4331,'Odoo Items'!$J$5:$J$4331,A1129),2)</f>
        <v>5280</v>
      </c>
      <c r="L1129" s="9">
        <f>ROUND(J1129-K1129,2)</f>
        <v>0</v>
      </c>
      <c r="M1129" s="9">
        <f>ROUND(SUMIFS('Bank Lines'!$E$5:$E$1640,'Bank Lines'!$G$5:$G$1640,A1129,'Bank Lines'!$J$5:$J$1640,1,'Bank Lines'!$C$5:$C$1640,"&lt;="&amp;Cover!$C$13),2)</f>
        <v>5280</v>
      </c>
      <c r="N1129" s="9">
        <f>ROUND(SUMIFS('Odoo Items'!$G$5:$G$4331,'Odoo Items'!$J$5:$J$4331,A1129,'Odoo Items'!$C$5:$C$4331,"&lt;="&amp;Cover!$C$13),2)</f>
        <v>5280</v>
      </c>
      <c r="O1129">
        <f>COUNTIFS('Bank Lines'!$G$5:$G$1640,A1129,'Bank Lines'!$J$5:$J$1640,1,'Bank Lines'!$C$5:$C$1640,"&lt;="&amp;Cover!$C$13)</f>
        <v>1</v>
      </c>
      <c r="P1129">
        <f>COUNTIFS('Odoo Items'!$J$5:$J$4331,A1129,'Odoo Items'!$C$5:$C$4331,"&lt;="&amp;Cover!$C$13)</f>
        <v>1</v>
      </c>
      <c r="Q1129" t="str">
        <f>IF(AND(O1129=0,P1129=0),"",IF(O1129=0,"ODOO-ONLY",IF(P1129=0,"BANK-ONLY","BOTH")))</f>
        <v>BOTH</v>
      </c>
      <c r="R1129" s="9">
        <f>IF(Q1129="BOTH",ROUND(M1129-N1129,2),0)</f>
        <v>0</v>
      </c>
      <c r="S1129" s="9">
        <f>ROUND(SUMIFS('Bank Lines'!$E$5:$E$1640,'Bank Lines'!$G$5:$G$1640,A1129,'Bank Lines'!$J$5:$J$1640,1,'Bank Lines'!$C$5:$C$1640,"&lt;="&amp;Cover!$C$14),2)</f>
        <v>5280</v>
      </c>
      <c r="T1129" s="9">
        <f>ROUND(SUMIFS('Odoo Items'!$G$5:$G$4331,'Odoo Items'!$J$5:$J$4331,A1129,'Odoo Items'!$C$5:$C$4331,"&lt;="&amp;Cover!$C$14),2)</f>
        <v>5280</v>
      </c>
      <c r="U1129">
        <f>COUNTIFS('Bank Lines'!$G$5:$G$1640,A1129,'Bank Lines'!$J$5:$J$1640,1,'Bank Lines'!$C$5:$C$1640,"&lt;="&amp;Cover!$C$14)</f>
        <v>1</v>
      </c>
      <c r="V1129">
        <f>COUNTIFS('Odoo Items'!$J$5:$J$4331,A1129,'Odoo Items'!$C$5:$C$4331,"&lt;="&amp;Cover!$C$14)</f>
        <v>1</v>
      </c>
      <c r="W1129" t="str">
        <f>IF(AND(U1129=0,V1129=0),"",IF(U1129=0,"ODOO-ONLY",IF(V1129=0,"BANK-ONLY","BOTH")))</f>
        <v>BOTH</v>
      </c>
      <c r="X1129" s="9">
        <f>IF(W1129="BOTH",ROUND(S1129-T1129,2),0)</f>
        <v>0</v>
      </c>
      <c r="Y1129" s="9">
        <f>ROUND(SUMIFS('Bank Lines'!$E$5:$E$1640,'Bank Lines'!$G$5:$G$1640,A1129,'Bank Lines'!$J$5:$J$1640,1,'Bank Lines'!$C$5:$C$1640,"&lt;="&amp;Cover!$C$15),2)</f>
        <v>5280</v>
      </c>
      <c r="Z1129" s="9">
        <f>ROUND(SUMIFS('Odoo Items'!$G$5:$G$4331,'Odoo Items'!$J$5:$J$4331,A1129,'Odoo Items'!$C$5:$C$4331,"&lt;="&amp;Cover!$C$15),2)</f>
        <v>5280</v>
      </c>
      <c r="AA1129">
        <f>COUNTIFS('Bank Lines'!$G$5:$G$1640,A1129,'Bank Lines'!$J$5:$J$1640,1,'Bank Lines'!$C$5:$C$1640,"&lt;="&amp;Cover!$C$15)</f>
        <v>1</v>
      </c>
      <c r="AB1129">
        <f>COUNTIFS('Odoo Items'!$J$5:$J$4331,A1129,'Odoo Items'!$C$5:$C$4331,"&lt;="&amp;Cover!$C$15)</f>
        <v>1</v>
      </c>
      <c r="AC1129" t="str">
        <f>IF(AND(AA1129=0,AB1129=0),"",IF(AA1129=0,"ODOO-ONLY",IF(AB1129=0,"BANK-ONLY","BOTH")))</f>
        <v>BOTH</v>
      </c>
      <c r="AD1129" s="9">
        <f>IF(AC1129="BOTH",ROUND(Y1129-Z1129,2),0)</f>
        <v>0</v>
      </c>
    </row>
    <row r="1130">
      <c r="A1130" t="inlineStr">
        <is>
          <t>G01126</t>
        </is>
      </c>
      <c r="B1130" t="inlineStr">
        <is>
          <t>OPS</t>
        </is>
      </c>
      <c r="C1130" t="inlineStr">
        <is>
          <t>R10</t>
        </is>
      </c>
      <c r="D1130" t="inlineStr">
        <is>
          <t>MATCH</t>
        </is>
      </c>
      <c r="E1130" t="inlineStr">
        <is>
          <t>Fleetwise Vehicle Leasing</t>
        </is>
      </c>
      <c r="F1130" t="n">
        <v>1</v>
      </c>
      <c r="G1130" t="inlineStr">
        <is>
          <t>Payee 'FLEETWISE VEHICLE LE' = Fleetwise Vehicle Leasing</t>
        </is>
      </c>
      <c r="H1130">
        <f>COUNTIFS('Bank Lines'!$G$5:$G$1640,A1130,'Bank Lines'!$J$5:$J$1640,1)</f>
        <v>1</v>
      </c>
      <c r="I1130">
        <f>COUNTIFS('Odoo Items'!$J$5:$J$4331,A1130)</f>
        <v>1</v>
      </c>
      <c r="J1130" s="9">
        <f>ROUND(SUMIFS('Bank Lines'!$E$5:$E$1640,'Bank Lines'!$G$5:$G$1640,A1130,'Bank Lines'!$J$5:$J$1640,1),2)</f>
        <v>-3184.62</v>
      </c>
      <c r="K1130" s="9">
        <f>ROUND(SUMIFS('Odoo Items'!$G$5:$G$4331,'Odoo Items'!$J$5:$J$4331,A1130),2)</f>
        <v>-3184.62</v>
      </c>
      <c r="L1130" s="9">
        <f>ROUND(J1130-K1130,2)</f>
        <v>0</v>
      </c>
      <c r="M1130" s="9">
        <f>ROUND(SUMIFS('Bank Lines'!$E$5:$E$1640,'Bank Lines'!$G$5:$G$1640,A1130,'Bank Lines'!$J$5:$J$1640,1,'Bank Lines'!$C$5:$C$1640,"&lt;="&amp;Cover!$C$13),2)</f>
        <v>-3184.62</v>
      </c>
      <c r="N1130" s="9">
        <f>ROUND(SUMIFS('Odoo Items'!$G$5:$G$4331,'Odoo Items'!$J$5:$J$4331,A1130,'Odoo Items'!$C$5:$C$4331,"&lt;="&amp;Cover!$C$13),2)</f>
        <v>-3184.62</v>
      </c>
      <c r="O1130">
        <f>COUNTIFS('Bank Lines'!$G$5:$G$1640,A1130,'Bank Lines'!$J$5:$J$1640,1,'Bank Lines'!$C$5:$C$1640,"&lt;="&amp;Cover!$C$13)</f>
        <v>1</v>
      </c>
      <c r="P1130">
        <f>COUNTIFS('Odoo Items'!$J$5:$J$4331,A1130,'Odoo Items'!$C$5:$C$4331,"&lt;="&amp;Cover!$C$13)</f>
        <v>1</v>
      </c>
      <c r="Q1130" t="str">
        <f>IF(AND(O1130=0,P1130=0),"",IF(O1130=0,"ODOO-ONLY",IF(P1130=0,"BANK-ONLY","BOTH")))</f>
        <v>BOTH</v>
      </c>
      <c r="R1130" s="9">
        <f>IF(Q1130="BOTH",ROUND(M1130-N1130,2),0)</f>
        <v>0</v>
      </c>
      <c r="S1130" s="9">
        <f>ROUND(SUMIFS('Bank Lines'!$E$5:$E$1640,'Bank Lines'!$G$5:$G$1640,A1130,'Bank Lines'!$J$5:$J$1640,1,'Bank Lines'!$C$5:$C$1640,"&lt;="&amp;Cover!$C$14),2)</f>
        <v>-3184.62</v>
      </c>
      <c r="T1130" s="9">
        <f>ROUND(SUMIFS('Odoo Items'!$G$5:$G$4331,'Odoo Items'!$J$5:$J$4331,A1130,'Odoo Items'!$C$5:$C$4331,"&lt;="&amp;Cover!$C$14),2)</f>
        <v>-3184.62</v>
      </c>
      <c r="U1130">
        <f>COUNTIFS('Bank Lines'!$G$5:$G$1640,A1130,'Bank Lines'!$J$5:$J$1640,1,'Bank Lines'!$C$5:$C$1640,"&lt;="&amp;Cover!$C$14)</f>
        <v>1</v>
      </c>
      <c r="V1130">
        <f>COUNTIFS('Odoo Items'!$J$5:$J$4331,A1130,'Odoo Items'!$C$5:$C$4331,"&lt;="&amp;Cover!$C$14)</f>
        <v>1</v>
      </c>
      <c r="W1130" t="str">
        <f>IF(AND(U1130=0,V1130=0),"",IF(U1130=0,"ODOO-ONLY",IF(V1130=0,"BANK-ONLY","BOTH")))</f>
        <v>BOTH</v>
      </c>
      <c r="X1130" s="9">
        <f>IF(W1130="BOTH",ROUND(S1130-T1130,2),0)</f>
        <v>0</v>
      </c>
      <c r="Y1130" s="9">
        <f>ROUND(SUMIFS('Bank Lines'!$E$5:$E$1640,'Bank Lines'!$G$5:$G$1640,A1130,'Bank Lines'!$J$5:$J$1640,1,'Bank Lines'!$C$5:$C$1640,"&lt;="&amp;Cover!$C$15),2)</f>
        <v>-3184.62</v>
      </c>
      <c r="Z1130" s="9">
        <f>ROUND(SUMIFS('Odoo Items'!$G$5:$G$4331,'Odoo Items'!$J$5:$J$4331,A1130,'Odoo Items'!$C$5:$C$4331,"&lt;="&amp;Cover!$C$15),2)</f>
        <v>-3184.62</v>
      </c>
      <c r="AA1130">
        <f>COUNTIFS('Bank Lines'!$G$5:$G$1640,A1130,'Bank Lines'!$J$5:$J$1640,1,'Bank Lines'!$C$5:$C$1640,"&lt;="&amp;Cover!$C$15)</f>
        <v>1</v>
      </c>
      <c r="AB1130">
        <f>COUNTIFS('Odoo Items'!$J$5:$J$4331,A1130,'Odoo Items'!$C$5:$C$4331,"&lt;="&amp;Cover!$C$15)</f>
        <v>1</v>
      </c>
      <c r="AC1130" t="str">
        <f>IF(AND(AA1130=0,AB1130=0),"",IF(AA1130=0,"ODOO-ONLY",IF(AB1130=0,"BANK-ONLY","BOTH")))</f>
        <v>BOTH</v>
      </c>
      <c r="AD1130" s="9">
        <f>IF(AC1130="BOTH",ROUND(Y1130-Z1130,2),0)</f>
        <v>0</v>
      </c>
    </row>
    <row r="1131">
      <c r="A1131" t="inlineStr">
        <is>
          <t>G01127</t>
        </is>
      </c>
      <c r="B1131" t="inlineStr">
        <is>
          <t>OPS</t>
        </is>
      </c>
      <c r="C1131" t="inlineStr">
        <is>
          <t>R10</t>
        </is>
      </c>
      <c r="D1131" t="inlineStr">
        <is>
          <t>MATCH</t>
        </is>
      </c>
      <c r="E1131" t="inlineStr">
        <is>
          <t>Greystanes Building Co</t>
        </is>
      </c>
      <c r="F1131" t="n">
        <v>1</v>
      </c>
      <c r="G1131" t="inlineStr">
        <is>
          <t>Payee 'GREYSTANES BUILDIN' = Greystanes Building Co</t>
        </is>
      </c>
      <c r="H1131">
        <f>COUNTIFS('Bank Lines'!$G$5:$G$1640,A1131,'Bank Lines'!$J$5:$J$1640,1)</f>
        <v>1</v>
      </c>
      <c r="I1131">
        <f>COUNTIFS('Odoo Items'!$J$5:$J$4331,A1131)</f>
        <v>1</v>
      </c>
      <c r="J1131" s="9">
        <f>ROUND(SUMIFS('Bank Lines'!$E$5:$E$1640,'Bank Lines'!$G$5:$G$1640,A1131,'Bank Lines'!$J$5:$J$1640,1),2)</f>
        <v>5431.25</v>
      </c>
      <c r="K1131" s="9">
        <f>ROUND(SUMIFS('Odoo Items'!$G$5:$G$4331,'Odoo Items'!$J$5:$J$4331,A1131),2)</f>
        <v>5431.25</v>
      </c>
      <c r="L1131" s="9">
        <f>ROUND(J1131-K1131,2)</f>
        <v>0</v>
      </c>
      <c r="M1131" s="9">
        <f>ROUND(SUMIFS('Bank Lines'!$E$5:$E$1640,'Bank Lines'!$G$5:$G$1640,A1131,'Bank Lines'!$J$5:$J$1640,1,'Bank Lines'!$C$5:$C$1640,"&lt;="&amp;Cover!$C$13),2)</f>
        <v>5431.25</v>
      </c>
      <c r="N1131" s="9">
        <f>ROUND(SUMIFS('Odoo Items'!$G$5:$G$4331,'Odoo Items'!$J$5:$J$4331,A1131,'Odoo Items'!$C$5:$C$4331,"&lt;="&amp;Cover!$C$13),2)</f>
        <v>5431.25</v>
      </c>
      <c r="O1131">
        <f>COUNTIFS('Bank Lines'!$G$5:$G$1640,A1131,'Bank Lines'!$J$5:$J$1640,1,'Bank Lines'!$C$5:$C$1640,"&lt;="&amp;Cover!$C$13)</f>
        <v>1</v>
      </c>
      <c r="P1131">
        <f>COUNTIFS('Odoo Items'!$J$5:$J$4331,A1131,'Odoo Items'!$C$5:$C$4331,"&lt;="&amp;Cover!$C$13)</f>
        <v>1</v>
      </c>
      <c r="Q1131" t="str">
        <f>IF(AND(O1131=0,P1131=0),"",IF(O1131=0,"ODOO-ONLY",IF(P1131=0,"BANK-ONLY","BOTH")))</f>
        <v>BOTH</v>
      </c>
      <c r="R1131" s="9">
        <f>IF(Q1131="BOTH",ROUND(M1131-N1131,2),0)</f>
        <v>0</v>
      </c>
      <c r="S1131" s="9">
        <f>ROUND(SUMIFS('Bank Lines'!$E$5:$E$1640,'Bank Lines'!$G$5:$G$1640,A1131,'Bank Lines'!$J$5:$J$1640,1,'Bank Lines'!$C$5:$C$1640,"&lt;="&amp;Cover!$C$14),2)</f>
        <v>5431.25</v>
      </c>
      <c r="T1131" s="9">
        <f>ROUND(SUMIFS('Odoo Items'!$G$5:$G$4331,'Odoo Items'!$J$5:$J$4331,A1131,'Odoo Items'!$C$5:$C$4331,"&lt;="&amp;Cover!$C$14),2)</f>
        <v>5431.25</v>
      </c>
      <c r="U1131">
        <f>COUNTIFS('Bank Lines'!$G$5:$G$1640,A1131,'Bank Lines'!$J$5:$J$1640,1,'Bank Lines'!$C$5:$C$1640,"&lt;="&amp;Cover!$C$14)</f>
        <v>1</v>
      </c>
      <c r="V1131">
        <f>COUNTIFS('Odoo Items'!$J$5:$J$4331,A1131,'Odoo Items'!$C$5:$C$4331,"&lt;="&amp;Cover!$C$14)</f>
        <v>1</v>
      </c>
      <c r="W1131" t="str">
        <f>IF(AND(U1131=0,V1131=0),"",IF(U1131=0,"ODOO-ONLY",IF(V1131=0,"BANK-ONLY","BOTH")))</f>
        <v>BOTH</v>
      </c>
      <c r="X1131" s="9">
        <f>IF(W1131="BOTH",ROUND(S1131-T1131,2),0)</f>
        <v>0</v>
      </c>
      <c r="Y1131" s="9">
        <f>ROUND(SUMIFS('Bank Lines'!$E$5:$E$1640,'Bank Lines'!$G$5:$G$1640,A1131,'Bank Lines'!$J$5:$J$1640,1,'Bank Lines'!$C$5:$C$1640,"&lt;="&amp;Cover!$C$15),2)</f>
        <v>5431.25</v>
      </c>
      <c r="Z1131" s="9">
        <f>ROUND(SUMIFS('Odoo Items'!$G$5:$G$4331,'Odoo Items'!$J$5:$J$4331,A1131,'Odoo Items'!$C$5:$C$4331,"&lt;="&amp;Cover!$C$15),2)</f>
        <v>5431.25</v>
      </c>
      <c r="AA1131">
        <f>COUNTIFS('Bank Lines'!$G$5:$G$1640,A1131,'Bank Lines'!$J$5:$J$1640,1,'Bank Lines'!$C$5:$C$1640,"&lt;="&amp;Cover!$C$15)</f>
        <v>1</v>
      </c>
      <c r="AB1131">
        <f>COUNTIFS('Odoo Items'!$J$5:$J$4331,A1131,'Odoo Items'!$C$5:$C$4331,"&lt;="&amp;Cover!$C$15)</f>
        <v>1</v>
      </c>
      <c r="AC1131" t="str">
        <f>IF(AND(AA1131=0,AB1131=0),"",IF(AA1131=0,"ODOO-ONLY",IF(AB1131=0,"BANK-ONLY","BOTH")))</f>
        <v>BOTH</v>
      </c>
      <c r="AD1131" s="9">
        <f>IF(AC1131="BOTH",ROUND(Y1131-Z1131,2),0)</f>
        <v>0</v>
      </c>
    </row>
    <row r="1132">
      <c r="A1132" t="inlineStr">
        <is>
          <t>G01128</t>
        </is>
      </c>
      <c r="B1132" t="inlineStr">
        <is>
          <t>OPS</t>
        </is>
      </c>
      <c r="C1132" t="inlineStr">
        <is>
          <t>R10</t>
        </is>
      </c>
      <c r="D1132" t="inlineStr">
        <is>
          <t>MATCH</t>
        </is>
      </c>
      <c r="E1132" t="inlineStr">
        <is>
          <t>Stanhope Trucking</t>
        </is>
      </c>
      <c r="F1132" t="n">
        <v>1</v>
      </c>
      <c r="G1132" t="inlineStr">
        <is>
          <t>Payee 'STANHOPETRUCKING' = Stanhope Trucking</t>
        </is>
      </c>
      <c r="H1132">
        <f>COUNTIFS('Bank Lines'!$G$5:$G$1640,A1132,'Bank Lines'!$J$5:$J$1640,1)</f>
        <v>1</v>
      </c>
      <c r="I1132">
        <f>COUNTIFS('Odoo Items'!$J$5:$J$4331,A1132)</f>
        <v>1</v>
      </c>
      <c r="J1132" s="9">
        <f>ROUND(SUMIFS('Bank Lines'!$E$5:$E$1640,'Bank Lines'!$G$5:$G$1640,A1132,'Bank Lines'!$J$5:$J$1640,1),2)</f>
        <v>6820</v>
      </c>
      <c r="K1132" s="9">
        <f>ROUND(SUMIFS('Odoo Items'!$G$5:$G$4331,'Odoo Items'!$J$5:$J$4331,A1132),2)</f>
        <v>6820</v>
      </c>
      <c r="L1132" s="9">
        <f>ROUND(J1132-K1132,2)</f>
        <v>0</v>
      </c>
      <c r="M1132" s="9">
        <f>ROUND(SUMIFS('Bank Lines'!$E$5:$E$1640,'Bank Lines'!$G$5:$G$1640,A1132,'Bank Lines'!$J$5:$J$1640,1,'Bank Lines'!$C$5:$C$1640,"&lt;="&amp;Cover!$C$13),2)</f>
        <v>6820</v>
      </c>
      <c r="N1132" s="9">
        <f>ROUND(SUMIFS('Odoo Items'!$G$5:$G$4331,'Odoo Items'!$J$5:$J$4331,A1132,'Odoo Items'!$C$5:$C$4331,"&lt;="&amp;Cover!$C$13),2)</f>
        <v>6820</v>
      </c>
      <c r="O1132">
        <f>COUNTIFS('Bank Lines'!$G$5:$G$1640,A1132,'Bank Lines'!$J$5:$J$1640,1,'Bank Lines'!$C$5:$C$1640,"&lt;="&amp;Cover!$C$13)</f>
        <v>1</v>
      </c>
      <c r="P1132">
        <f>COUNTIFS('Odoo Items'!$J$5:$J$4331,A1132,'Odoo Items'!$C$5:$C$4331,"&lt;="&amp;Cover!$C$13)</f>
        <v>1</v>
      </c>
      <c r="Q1132" t="str">
        <f>IF(AND(O1132=0,P1132=0),"",IF(O1132=0,"ODOO-ONLY",IF(P1132=0,"BANK-ONLY","BOTH")))</f>
        <v>BOTH</v>
      </c>
      <c r="R1132" s="9">
        <f>IF(Q1132="BOTH",ROUND(M1132-N1132,2),0)</f>
        <v>0</v>
      </c>
      <c r="S1132" s="9">
        <f>ROUND(SUMIFS('Bank Lines'!$E$5:$E$1640,'Bank Lines'!$G$5:$G$1640,A1132,'Bank Lines'!$J$5:$J$1640,1,'Bank Lines'!$C$5:$C$1640,"&lt;="&amp;Cover!$C$14),2)</f>
        <v>6820</v>
      </c>
      <c r="T1132" s="9">
        <f>ROUND(SUMIFS('Odoo Items'!$G$5:$G$4331,'Odoo Items'!$J$5:$J$4331,A1132,'Odoo Items'!$C$5:$C$4331,"&lt;="&amp;Cover!$C$14),2)</f>
        <v>6820</v>
      </c>
      <c r="U1132">
        <f>COUNTIFS('Bank Lines'!$G$5:$G$1640,A1132,'Bank Lines'!$J$5:$J$1640,1,'Bank Lines'!$C$5:$C$1640,"&lt;="&amp;Cover!$C$14)</f>
        <v>1</v>
      </c>
      <c r="V1132">
        <f>COUNTIFS('Odoo Items'!$J$5:$J$4331,A1132,'Odoo Items'!$C$5:$C$4331,"&lt;="&amp;Cover!$C$14)</f>
        <v>1</v>
      </c>
      <c r="W1132" t="str">
        <f>IF(AND(U1132=0,V1132=0),"",IF(U1132=0,"ODOO-ONLY",IF(V1132=0,"BANK-ONLY","BOTH")))</f>
        <v>BOTH</v>
      </c>
      <c r="X1132" s="9">
        <f>IF(W1132="BOTH",ROUND(S1132-T1132,2),0)</f>
        <v>0</v>
      </c>
      <c r="Y1132" s="9">
        <f>ROUND(SUMIFS('Bank Lines'!$E$5:$E$1640,'Bank Lines'!$G$5:$G$1640,A1132,'Bank Lines'!$J$5:$J$1640,1,'Bank Lines'!$C$5:$C$1640,"&lt;="&amp;Cover!$C$15),2)</f>
        <v>6820</v>
      </c>
      <c r="Z1132" s="9">
        <f>ROUND(SUMIFS('Odoo Items'!$G$5:$G$4331,'Odoo Items'!$J$5:$J$4331,A1132,'Odoo Items'!$C$5:$C$4331,"&lt;="&amp;Cover!$C$15),2)</f>
        <v>6820</v>
      </c>
      <c r="AA1132">
        <f>COUNTIFS('Bank Lines'!$G$5:$G$1640,A1132,'Bank Lines'!$J$5:$J$1640,1,'Bank Lines'!$C$5:$C$1640,"&lt;="&amp;Cover!$C$15)</f>
        <v>1</v>
      </c>
      <c r="AB1132">
        <f>COUNTIFS('Odoo Items'!$J$5:$J$4331,A1132,'Odoo Items'!$C$5:$C$4331,"&lt;="&amp;Cover!$C$15)</f>
        <v>1</v>
      </c>
      <c r="AC1132" t="str">
        <f>IF(AND(AA1132=0,AB1132=0),"",IF(AA1132=0,"ODOO-ONLY",IF(AB1132=0,"BANK-ONLY","BOTH")))</f>
        <v>BOTH</v>
      </c>
      <c r="AD1132" s="9">
        <f>IF(AC1132="BOTH",ROUND(Y1132-Z1132,2),0)</f>
        <v>0</v>
      </c>
    </row>
    <row r="1133">
      <c r="A1133" t="inlineStr">
        <is>
          <t>G01129</t>
        </is>
      </c>
      <c r="B1133" t="inlineStr">
        <is>
          <t>OPS</t>
        </is>
      </c>
      <c r="C1133" t="inlineStr">
        <is>
          <t>R10</t>
        </is>
      </c>
      <c r="D1133" t="inlineStr">
        <is>
          <t>MATCH</t>
        </is>
      </c>
      <c r="E1133" t="inlineStr">
        <is>
          <t>Powerco Energy Retail</t>
        </is>
      </c>
      <c r="F1133" t="n">
        <v>1</v>
      </c>
      <c r="G1133" t="inlineStr">
        <is>
          <t>Payee 'POWERCO ENERGY RETAIL' = Powerco Energy Retail</t>
        </is>
      </c>
      <c r="H1133">
        <f>COUNTIFS('Bank Lines'!$G$5:$G$1640,A1133,'Bank Lines'!$J$5:$J$1640,1)</f>
        <v>1</v>
      </c>
      <c r="I1133">
        <f>COUNTIFS('Odoo Items'!$J$5:$J$4331,A1133)</f>
        <v>1</v>
      </c>
      <c r="J1133" s="9">
        <f>ROUND(SUMIFS('Bank Lines'!$E$5:$E$1640,'Bank Lines'!$G$5:$G$1640,A1133,'Bank Lines'!$J$5:$J$1640,1),2)</f>
        <v>-2634.18</v>
      </c>
      <c r="K1133" s="9">
        <f>ROUND(SUMIFS('Odoo Items'!$G$5:$G$4331,'Odoo Items'!$J$5:$J$4331,A1133),2)</f>
        <v>-2634.18</v>
      </c>
      <c r="L1133" s="9">
        <f>ROUND(J1133-K1133,2)</f>
        <v>0</v>
      </c>
      <c r="M1133" s="9">
        <f>ROUND(SUMIFS('Bank Lines'!$E$5:$E$1640,'Bank Lines'!$G$5:$G$1640,A1133,'Bank Lines'!$J$5:$J$1640,1,'Bank Lines'!$C$5:$C$1640,"&lt;="&amp;Cover!$C$13),2)</f>
        <v>-2634.18</v>
      </c>
      <c r="N1133" s="9">
        <f>ROUND(SUMIFS('Odoo Items'!$G$5:$G$4331,'Odoo Items'!$J$5:$J$4331,A1133,'Odoo Items'!$C$5:$C$4331,"&lt;="&amp;Cover!$C$13),2)</f>
        <v>-2634.18</v>
      </c>
      <c r="O1133">
        <f>COUNTIFS('Bank Lines'!$G$5:$G$1640,A1133,'Bank Lines'!$J$5:$J$1640,1,'Bank Lines'!$C$5:$C$1640,"&lt;="&amp;Cover!$C$13)</f>
        <v>1</v>
      </c>
      <c r="P1133">
        <f>COUNTIFS('Odoo Items'!$J$5:$J$4331,A1133,'Odoo Items'!$C$5:$C$4331,"&lt;="&amp;Cover!$C$13)</f>
        <v>1</v>
      </c>
      <c r="Q1133" t="str">
        <f>IF(AND(O1133=0,P1133=0),"",IF(O1133=0,"ODOO-ONLY",IF(P1133=0,"BANK-ONLY","BOTH")))</f>
        <v>BOTH</v>
      </c>
      <c r="R1133" s="9">
        <f>IF(Q1133="BOTH",ROUND(M1133-N1133,2),0)</f>
        <v>0</v>
      </c>
      <c r="S1133" s="9">
        <f>ROUND(SUMIFS('Bank Lines'!$E$5:$E$1640,'Bank Lines'!$G$5:$G$1640,A1133,'Bank Lines'!$J$5:$J$1640,1,'Bank Lines'!$C$5:$C$1640,"&lt;="&amp;Cover!$C$14),2)</f>
        <v>-2634.18</v>
      </c>
      <c r="T1133" s="9">
        <f>ROUND(SUMIFS('Odoo Items'!$G$5:$G$4331,'Odoo Items'!$J$5:$J$4331,A1133,'Odoo Items'!$C$5:$C$4331,"&lt;="&amp;Cover!$C$14),2)</f>
        <v>-2634.18</v>
      </c>
      <c r="U1133">
        <f>COUNTIFS('Bank Lines'!$G$5:$G$1640,A1133,'Bank Lines'!$J$5:$J$1640,1,'Bank Lines'!$C$5:$C$1640,"&lt;="&amp;Cover!$C$14)</f>
        <v>1</v>
      </c>
      <c r="V1133">
        <f>COUNTIFS('Odoo Items'!$J$5:$J$4331,A1133,'Odoo Items'!$C$5:$C$4331,"&lt;="&amp;Cover!$C$14)</f>
        <v>1</v>
      </c>
      <c r="W1133" t="str">
        <f>IF(AND(U1133=0,V1133=0),"",IF(U1133=0,"ODOO-ONLY",IF(V1133=0,"BANK-ONLY","BOTH")))</f>
        <v>BOTH</v>
      </c>
      <c r="X1133" s="9">
        <f>IF(W1133="BOTH",ROUND(S1133-T1133,2),0)</f>
        <v>0</v>
      </c>
      <c r="Y1133" s="9">
        <f>ROUND(SUMIFS('Bank Lines'!$E$5:$E$1640,'Bank Lines'!$G$5:$G$1640,A1133,'Bank Lines'!$J$5:$J$1640,1,'Bank Lines'!$C$5:$C$1640,"&lt;="&amp;Cover!$C$15),2)</f>
        <v>-2634.18</v>
      </c>
      <c r="Z1133" s="9">
        <f>ROUND(SUMIFS('Odoo Items'!$G$5:$G$4331,'Odoo Items'!$J$5:$J$4331,A1133,'Odoo Items'!$C$5:$C$4331,"&lt;="&amp;Cover!$C$15),2)</f>
        <v>-2634.18</v>
      </c>
      <c r="AA1133">
        <f>COUNTIFS('Bank Lines'!$G$5:$G$1640,A1133,'Bank Lines'!$J$5:$J$1640,1,'Bank Lines'!$C$5:$C$1640,"&lt;="&amp;Cover!$C$15)</f>
        <v>1</v>
      </c>
      <c r="AB1133">
        <f>COUNTIFS('Odoo Items'!$J$5:$J$4331,A1133,'Odoo Items'!$C$5:$C$4331,"&lt;="&amp;Cover!$C$15)</f>
        <v>1</v>
      </c>
      <c r="AC1133" t="str">
        <f>IF(AND(AA1133=0,AB1133=0),"",IF(AA1133=0,"ODOO-ONLY",IF(AB1133=0,"BANK-ONLY","BOTH")))</f>
        <v>BOTH</v>
      </c>
      <c r="AD1133" s="9">
        <f>IF(AC1133="BOTH",ROUND(Y1133-Z1133,2),0)</f>
        <v>0</v>
      </c>
    </row>
    <row r="1134">
      <c r="A1134" t="inlineStr">
        <is>
          <t>G01130</t>
        </is>
      </c>
      <c r="B1134" t="inlineStr">
        <is>
          <t>OPS</t>
        </is>
      </c>
      <c r="C1134" t="inlineStr">
        <is>
          <t>R10</t>
        </is>
      </c>
      <c r="D1134" t="inlineStr">
        <is>
          <t>MATCH</t>
        </is>
      </c>
      <c r="E1134" t="inlineStr">
        <is>
          <t>Equipment Finance Co</t>
        </is>
      </c>
      <c r="F1134" t="n">
        <v>0.85</v>
      </c>
      <c r="G1134" t="inlineStr">
        <is>
          <t>Payee 'EQUIPMENT FINANCE LOAN 07' = Equipment Finance Co</t>
        </is>
      </c>
      <c r="H1134">
        <f>COUNTIFS('Bank Lines'!$G$5:$G$1640,A1134,'Bank Lines'!$J$5:$J$1640,1)</f>
        <v>1</v>
      </c>
      <c r="I1134">
        <f>COUNTIFS('Odoo Items'!$J$5:$J$4331,A1134)</f>
        <v>1</v>
      </c>
      <c r="J1134" s="9">
        <f>ROUND(SUMIFS('Bank Lines'!$E$5:$E$1640,'Bank Lines'!$G$5:$G$1640,A1134,'Bank Lines'!$J$5:$J$1640,1),2)</f>
        <v>-4416.75</v>
      </c>
      <c r="K1134" s="9">
        <f>ROUND(SUMIFS('Odoo Items'!$G$5:$G$4331,'Odoo Items'!$J$5:$J$4331,A1134),2)</f>
        <v>-4416.75</v>
      </c>
      <c r="L1134" s="9">
        <f>ROUND(J1134-K1134,2)</f>
        <v>0</v>
      </c>
      <c r="M1134" s="9">
        <f>ROUND(SUMIFS('Bank Lines'!$E$5:$E$1640,'Bank Lines'!$G$5:$G$1640,A1134,'Bank Lines'!$J$5:$J$1640,1,'Bank Lines'!$C$5:$C$1640,"&lt;="&amp;Cover!$C$13),2)</f>
        <v>-4416.75</v>
      </c>
      <c r="N1134" s="9">
        <f>ROUND(SUMIFS('Odoo Items'!$G$5:$G$4331,'Odoo Items'!$J$5:$J$4331,A1134,'Odoo Items'!$C$5:$C$4331,"&lt;="&amp;Cover!$C$13),2)</f>
        <v>-4416.75</v>
      </c>
      <c r="O1134">
        <f>COUNTIFS('Bank Lines'!$G$5:$G$1640,A1134,'Bank Lines'!$J$5:$J$1640,1,'Bank Lines'!$C$5:$C$1640,"&lt;="&amp;Cover!$C$13)</f>
        <v>1</v>
      </c>
      <c r="P1134">
        <f>COUNTIFS('Odoo Items'!$J$5:$J$4331,A1134,'Odoo Items'!$C$5:$C$4331,"&lt;="&amp;Cover!$C$13)</f>
        <v>1</v>
      </c>
      <c r="Q1134" t="str">
        <f>IF(AND(O1134=0,P1134=0),"",IF(O1134=0,"ODOO-ONLY",IF(P1134=0,"BANK-ONLY","BOTH")))</f>
        <v>BOTH</v>
      </c>
      <c r="R1134" s="9">
        <f>IF(Q1134="BOTH",ROUND(M1134-N1134,2),0)</f>
        <v>0</v>
      </c>
      <c r="S1134" s="9">
        <f>ROUND(SUMIFS('Bank Lines'!$E$5:$E$1640,'Bank Lines'!$G$5:$G$1640,A1134,'Bank Lines'!$J$5:$J$1640,1,'Bank Lines'!$C$5:$C$1640,"&lt;="&amp;Cover!$C$14),2)</f>
        <v>-4416.75</v>
      </c>
      <c r="T1134" s="9">
        <f>ROUND(SUMIFS('Odoo Items'!$G$5:$G$4331,'Odoo Items'!$J$5:$J$4331,A1134,'Odoo Items'!$C$5:$C$4331,"&lt;="&amp;Cover!$C$14),2)</f>
        <v>-4416.75</v>
      </c>
      <c r="U1134">
        <f>COUNTIFS('Bank Lines'!$G$5:$G$1640,A1134,'Bank Lines'!$J$5:$J$1640,1,'Bank Lines'!$C$5:$C$1640,"&lt;="&amp;Cover!$C$14)</f>
        <v>1</v>
      </c>
      <c r="V1134">
        <f>COUNTIFS('Odoo Items'!$J$5:$J$4331,A1134,'Odoo Items'!$C$5:$C$4331,"&lt;="&amp;Cover!$C$14)</f>
        <v>1</v>
      </c>
      <c r="W1134" t="str">
        <f>IF(AND(U1134=0,V1134=0),"",IF(U1134=0,"ODOO-ONLY",IF(V1134=0,"BANK-ONLY","BOTH")))</f>
        <v>BOTH</v>
      </c>
      <c r="X1134" s="9">
        <f>IF(W1134="BOTH",ROUND(S1134-T1134,2),0)</f>
        <v>0</v>
      </c>
      <c r="Y1134" s="9">
        <f>ROUND(SUMIFS('Bank Lines'!$E$5:$E$1640,'Bank Lines'!$G$5:$G$1640,A1134,'Bank Lines'!$J$5:$J$1640,1,'Bank Lines'!$C$5:$C$1640,"&lt;="&amp;Cover!$C$15),2)</f>
        <v>-4416.75</v>
      </c>
      <c r="Z1134" s="9">
        <f>ROUND(SUMIFS('Odoo Items'!$G$5:$G$4331,'Odoo Items'!$J$5:$J$4331,A1134,'Odoo Items'!$C$5:$C$4331,"&lt;="&amp;Cover!$C$15),2)</f>
        <v>-4416.75</v>
      </c>
      <c r="AA1134">
        <f>COUNTIFS('Bank Lines'!$G$5:$G$1640,A1134,'Bank Lines'!$J$5:$J$1640,1,'Bank Lines'!$C$5:$C$1640,"&lt;="&amp;Cover!$C$15)</f>
        <v>1</v>
      </c>
      <c r="AB1134">
        <f>COUNTIFS('Odoo Items'!$J$5:$J$4331,A1134,'Odoo Items'!$C$5:$C$4331,"&lt;="&amp;Cover!$C$15)</f>
        <v>1</v>
      </c>
      <c r="AC1134" t="str">
        <f>IF(AND(AA1134=0,AB1134=0),"",IF(AA1134=0,"ODOO-ONLY",IF(AB1134=0,"BANK-ONLY","BOTH")))</f>
        <v>BOTH</v>
      </c>
      <c r="AD1134" s="9">
        <f>IF(AC1134="BOTH",ROUND(Y1134-Z1134,2),0)</f>
        <v>0</v>
      </c>
    </row>
    <row r="1135">
      <c r="A1135" t="inlineStr">
        <is>
          <t>G01131</t>
        </is>
      </c>
      <c r="B1135" t="inlineStr">
        <is>
          <t>OPS</t>
        </is>
      </c>
      <c r="C1135" t="inlineStr">
        <is>
          <t>R10</t>
        </is>
      </c>
      <c r="D1135" t="inlineStr">
        <is>
          <t>MATCH</t>
        </is>
      </c>
      <c r="E1135" t="inlineStr">
        <is>
          <t>Orchard Street Legal</t>
        </is>
      </c>
      <c r="F1135" t="n">
        <v>0.973</v>
      </c>
      <c r="G1135" t="inlineStr">
        <is>
          <t>Payee 'ORCHARD STREET LEGAL P' = Orchard Street Legal</t>
        </is>
      </c>
      <c r="H1135">
        <f>COUNTIFS('Bank Lines'!$G$5:$G$1640,A1135,'Bank Lines'!$J$5:$J$1640,1)</f>
        <v>1</v>
      </c>
      <c r="I1135">
        <f>COUNTIFS('Odoo Items'!$J$5:$J$4331,A1135)</f>
        <v>1</v>
      </c>
      <c r="J1135" s="9">
        <f>ROUND(SUMIFS('Bank Lines'!$E$5:$E$1640,'Bank Lines'!$G$5:$G$1640,A1135,'Bank Lines'!$J$5:$J$1640,1),2)</f>
        <v>2722.5</v>
      </c>
      <c r="K1135" s="9">
        <f>ROUND(SUMIFS('Odoo Items'!$G$5:$G$4331,'Odoo Items'!$J$5:$J$4331,A1135),2)</f>
        <v>2722.5</v>
      </c>
      <c r="L1135" s="9">
        <f>ROUND(J1135-K1135,2)</f>
        <v>0</v>
      </c>
      <c r="M1135" s="9">
        <f>ROUND(SUMIFS('Bank Lines'!$E$5:$E$1640,'Bank Lines'!$G$5:$G$1640,A1135,'Bank Lines'!$J$5:$J$1640,1,'Bank Lines'!$C$5:$C$1640,"&lt;="&amp;Cover!$C$13),2)</f>
        <v>2722.5</v>
      </c>
      <c r="N1135" s="9">
        <f>ROUND(SUMIFS('Odoo Items'!$G$5:$G$4331,'Odoo Items'!$J$5:$J$4331,A1135,'Odoo Items'!$C$5:$C$4331,"&lt;="&amp;Cover!$C$13),2)</f>
        <v>2722.5</v>
      </c>
      <c r="O1135">
        <f>COUNTIFS('Bank Lines'!$G$5:$G$1640,A1135,'Bank Lines'!$J$5:$J$1640,1,'Bank Lines'!$C$5:$C$1640,"&lt;="&amp;Cover!$C$13)</f>
        <v>1</v>
      </c>
      <c r="P1135">
        <f>COUNTIFS('Odoo Items'!$J$5:$J$4331,A1135,'Odoo Items'!$C$5:$C$4331,"&lt;="&amp;Cover!$C$13)</f>
        <v>1</v>
      </c>
      <c r="Q1135" t="str">
        <f>IF(AND(O1135=0,P1135=0),"",IF(O1135=0,"ODOO-ONLY",IF(P1135=0,"BANK-ONLY","BOTH")))</f>
        <v>BOTH</v>
      </c>
      <c r="R1135" s="9">
        <f>IF(Q1135="BOTH",ROUND(M1135-N1135,2),0)</f>
        <v>0</v>
      </c>
      <c r="S1135" s="9">
        <f>ROUND(SUMIFS('Bank Lines'!$E$5:$E$1640,'Bank Lines'!$G$5:$G$1640,A1135,'Bank Lines'!$J$5:$J$1640,1,'Bank Lines'!$C$5:$C$1640,"&lt;="&amp;Cover!$C$14),2)</f>
        <v>2722.5</v>
      </c>
      <c r="T1135" s="9">
        <f>ROUND(SUMIFS('Odoo Items'!$G$5:$G$4331,'Odoo Items'!$J$5:$J$4331,A1135,'Odoo Items'!$C$5:$C$4331,"&lt;="&amp;Cover!$C$14),2)</f>
        <v>2722.5</v>
      </c>
      <c r="U1135">
        <f>COUNTIFS('Bank Lines'!$G$5:$G$1640,A1135,'Bank Lines'!$J$5:$J$1640,1,'Bank Lines'!$C$5:$C$1640,"&lt;="&amp;Cover!$C$14)</f>
        <v>1</v>
      </c>
      <c r="V1135">
        <f>COUNTIFS('Odoo Items'!$J$5:$J$4331,A1135,'Odoo Items'!$C$5:$C$4331,"&lt;="&amp;Cover!$C$14)</f>
        <v>1</v>
      </c>
      <c r="W1135" t="str">
        <f>IF(AND(U1135=0,V1135=0),"",IF(U1135=0,"ODOO-ONLY",IF(V1135=0,"BANK-ONLY","BOTH")))</f>
        <v>BOTH</v>
      </c>
      <c r="X1135" s="9">
        <f>IF(W1135="BOTH",ROUND(S1135-T1135,2),0)</f>
        <v>0</v>
      </c>
      <c r="Y1135" s="9">
        <f>ROUND(SUMIFS('Bank Lines'!$E$5:$E$1640,'Bank Lines'!$G$5:$G$1640,A1135,'Bank Lines'!$J$5:$J$1640,1,'Bank Lines'!$C$5:$C$1640,"&lt;="&amp;Cover!$C$15),2)</f>
        <v>2722.5</v>
      </c>
      <c r="Z1135" s="9">
        <f>ROUND(SUMIFS('Odoo Items'!$G$5:$G$4331,'Odoo Items'!$J$5:$J$4331,A1135,'Odoo Items'!$C$5:$C$4331,"&lt;="&amp;Cover!$C$15),2)</f>
        <v>2722.5</v>
      </c>
      <c r="AA1135">
        <f>COUNTIFS('Bank Lines'!$G$5:$G$1640,A1135,'Bank Lines'!$J$5:$J$1640,1,'Bank Lines'!$C$5:$C$1640,"&lt;="&amp;Cover!$C$15)</f>
        <v>1</v>
      </c>
      <c r="AB1135">
        <f>COUNTIFS('Odoo Items'!$J$5:$J$4331,A1135,'Odoo Items'!$C$5:$C$4331,"&lt;="&amp;Cover!$C$15)</f>
        <v>1</v>
      </c>
      <c r="AC1135" t="str">
        <f>IF(AND(AA1135=0,AB1135=0),"",IF(AA1135=0,"ODOO-ONLY",IF(AB1135=0,"BANK-ONLY","BOTH")))</f>
        <v>BOTH</v>
      </c>
      <c r="AD1135" s="9">
        <f>IF(AC1135="BOTH",ROUND(Y1135-Z1135,2),0)</f>
        <v>0</v>
      </c>
    </row>
    <row r="1136">
      <c r="A1136" t="inlineStr">
        <is>
          <t>G01132</t>
        </is>
      </c>
      <c r="B1136" t="inlineStr">
        <is>
          <t>OPS</t>
        </is>
      </c>
      <c r="C1136" t="inlineStr">
        <is>
          <t>R10</t>
        </is>
      </c>
      <c r="D1136" t="inlineStr">
        <is>
          <t>MATCH</t>
        </is>
      </c>
      <c r="E1136" t="inlineStr">
        <is>
          <t>Collins St Property Trust</t>
        </is>
      </c>
      <c r="F1136" t="n">
        <v>1</v>
      </c>
      <c r="G1136" t="inlineStr">
        <is>
          <t>Payee 'COLLINS ST PROPERT' = Collins St Property Trust</t>
        </is>
      </c>
      <c r="H1136">
        <f>COUNTIFS('Bank Lines'!$G$5:$G$1640,A1136,'Bank Lines'!$J$5:$J$1640,1)</f>
        <v>1</v>
      </c>
      <c r="I1136">
        <f>COUNTIFS('Odoo Items'!$J$5:$J$4331,A1136)</f>
        <v>1</v>
      </c>
      <c r="J1136" s="9">
        <f>ROUND(SUMIFS('Bank Lines'!$E$5:$E$1640,'Bank Lines'!$G$5:$G$1640,A1136,'Bank Lines'!$J$5:$J$1640,1),2)</f>
        <v>-14850</v>
      </c>
      <c r="K1136" s="9">
        <f>ROUND(SUMIFS('Odoo Items'!$G$5:$G$4331,'Odoo Items'!$J$5:$J$4331,A1136),2)</f>
        <v>-14850</v>
      </c>
      <c r="L1136" s="9">
        <f>ROUND(J1136-K1136,2)</f>
        <v>0</v>
      </c>
      <c r="M1136" s="9">
        <f>ROUND(SUMIFS('Bank Lines'!$E$5:$E$1640,'Bank Lines'!$G$5:$G$1640,A1136,'Bank Lines'!$J$5:$J$1640,1,'Bank Lines'!$C$5:$C$1640,"&lt;="&amp;Cover!$C$13),2)</f>
        <v>0</v>
      </c>
      <c r="N1136" s="9">
        <f>ROUND(SUMIFS('Odoo Items'!$G$5:$G$4331,'Odoo Items'!$J$5:$J$4331,A1136,'Odoo Items'!$C$5:$C$4331,"&lt;="&amp;Cover!$C$13),2)</f>
        <v>0</v>
      </c>
      <c r="O1136">
        <f>COUNTIFS('Bank Lines'!$G$5:$G$1640,A1136,'Bank Lines'!$J$5:$J$1640,1,'Bank Lines'!$C$5:$C$1640,"&lt;="&amp;Cover!$C$13)</f>
        <v>0</v>
      </c>
      <c r="P1136">
        <f>COUNTIFS('Odoo Items'!$J$5:$J$4331,A1136,'Odoo Items'!$C$5:$C$4331,"&lt;="&amp;Cover!$C$13)</f>
        <v>0</v>
      </c>
      <c r="Q1136">
        <f>IF(AND(O1136=0,P1136=0),"",IF(O1136=0,"ODOO-ONLY",IF(P1136=0,"BANK-ONLY","BOTH")))</f>
      </c>
      <c r="R1136" s="9">
        <f>IF(Q1136="BOTH",ROUND(M1136-N1136,2),0)</f>
        <v>0</v>
      </c>
      <c r="S1136" s="9">
        <f>ROUND(SUMIFS('Bank Lines'!$E$5:$E$1640,'Bank Lines'!$G$5:$G$1640,A1136,'Bank Lines'!$J$5:$J$1640,1,'Bank Lines'!$C$5:$C$1640,"&lt;="&amp;Cover!$C$14),2)</f>
        <v>-14850</v>
      </c>
      <c r="T1136" s="9">
        <f>ROUND(SUMIFS('Odoo Items'!$G$5:$G$4331,'Odoo Items'!$J$5:$J$4331,A1136,'Odoo Items'!$C$5:$C$4331,"&lt;="&amp;Cover!$C$14),2)</f>
        <v>-14850</v>
      </c>
      <c r="U1136">
        <f>COUNTIFS('Bank Lines'!$G$5:$G$1640,A1136,'Bank Lines'!$J$5:$J$1640,1,'Bank Lines'!$C$5:$C$1640,"&lt;="&amp;Cover!$C$14)</f>
        <v>1</v>
      </c>
      <c r="V1136">
        <f>COUNTIFS('Odoo Items'!$J$5:$J$4331,A1136,'Odoo Items'!$C$5:$C$4331,"&lt;="&amp;Cover!$C$14)</f>
        <v>1</v>
      </c>
      <c r="W1136" t="str">
        <f>IF(AND(U1136=0,V1136=0),"",IF(U1136=0,"ODOO-ONLY",IF(V1136=0,"BANK-ONLY","BOTH")))</f>
        <v>BOTH</v>
      </c>
      <c r="X1136" s="9">
        <f>IF(W1136="BOTH",ROUND(S1136-T1136,2),0)</f>
        <v>0</v>
      </c>
      <c r="Y1136" s="9">
        <f>ROUND(SUMIFS('Bank Lines'!$E$5:$E$1640,'Bank Lines'!$G$5:$G$1640,A1136,'Bank Lines'!$J$5:$J$1640,1,'Bank Lines'!$C$5:$C$1640,"&lt;="&amp;Cover!$C$15),2)</f>
        <v>-14850</v>
      </c>
      <c r="Z1136" s="9">
        <f>ROUND(SUMIFS('Odoo Items'!$G$5:$G$4331,'Odoo Items'!$J$5:$J$4331,A1136,'Odoo Items'!$C$5:$C$4331,"&lt;="&amp;Cover!$C$15),2)</f>
        <v>-14850</v>
      </c>
      <c r="AA1136">
        <f>COUNTIFS('Bank Lines'!$G$5:$G$1640,A1136,'Bank Lines'!$J$5:$J$1640,1,'Bank Lines'!$C$5:$C$1640,"&lt;="&amp;Cover!$C$15)</f>
        <v>1</v>
      </c>
      <c r="AB1136">
        <f>COUNTIFS('Odoo Items'!$J$5:$J$4331,A1136,'Odoo Items'!$C$5:$C$4331,"&lt;="&amp;Cover!$C$15)</f>
        <v>1</v>
      </c>
      <c r="AC1136" t="str">
        <f>IF(AND(AA1136=0,AB1136=0),"",IF(AA1136=0,"ODOO-ONLY",IF(AB1136=0,"BANK-ONLY","BOTH")))</f>
        <v>BOTH</v>
      </c>
      <c r="AD1136" s="9">
        <f>IF(AC1136="BOTH",ROUND(Y1136-Z1136,2),0)</f>
        <v>0</v>
      </c>
    </row>
    <row r="1137">
      <c r="A1137" t="inlineStr">
        <is>
          <t>G01133</t>
        </is>
      </c>
      <c r="B1137" t="inlineStr">
        <is>
          <t>OPS</t>
        </is>
      </c>
      <c r="C1137" t="inlineStr">
        <is>
          <t>R10</t>
        </is>
      </c>
      <c r="D1137" t="inlineStr">
        <is>
          <t>MATCH</t>
        </is>
      </c>
      <c r="E1137" t="inlineStr">
        <is>
          <t>Northcote Retail Holdings</t>
        </is>
      </c>
      <c r="F1137" t="n">
        <v>1</v>
      </c>
      <c r="G1137" t="inlineStr">
        <is>
          <t>Payee 'NORTHCOTE RETAIL HOL' = Northcote Retail Holdings</t>
        </is>
      </c>
      <c r="H1137">
        <f>COUNTIFS('Bank Lines'!$G$5:$G$1640,A1137,'Bank Lines'!$J$5:$J$1640,1)</f>
        <v>1</v>
      </c>
      <c r="I1137">
        <f>COUNTIFS('Odoo Items'!$J$5:$J$4331,A1137)</f>
        <v>1</v>
      </c>
      <c r="J1137" s="9">
        <f>ROUND(SUMIFS('Bank Lines'!$E$5:$E$1640,'Bank Lines'!$G$5:$G$1640,A1137,'Bank Lines'!$J$5:$J$1640,1),2)</f>
        <v>-9680</v>
      </c>
      <c r="K1137" s="9">
        <f>ROUND(SUMIFS('Odoo Items'!$G$5:$G$4331,'Odoo Items'!$J$5:$J$4331,A1137),2)</f>
        <v>-9680</v>
      </c>
      <c r="L1137" s="9">
        <f>ROUND(J1137-K1137,2)</f>
        <v>0</v>
      </c>
      <c r="M1137" s="9">
        <f>ROUND(SUMIFS('Bank Lines'!$E$5:$E$1640,'Bank Lines'!$G$5:$G$1640,A1137,'Bank Lines'!$J$5:$J$1640,1,'Bank Lines'!$C$5:$C$1640,"&lt;="&amp;Cover!$C$13),2)</f>
        <v>0</v>
      </c>
      <c r="N1137" s="9">
        <f>ROUND(SUMIFS('Odoo Items'!$G$5:$G$4331,'Odoo Items'!$J$5:$J$4331,A1137,'Odoo Items'!$C$5:$C$4331,"&lt;="&amp;Cover!$C$13),2)</f>
        <v>0</v>
      </c>
      <c r="O1137">
        <f>COUNTIFS('Bank Lines'!$G$5:$G$1640,A1137,'Bank Lines'!$J$5:$J$1640,1,'Bank Lines'!$C$5:$C$1640,"&lt;="&amp;Cover!$C$13)</f>
        <v>0</v>
      </c>
      <c r="P1137">
        <f>COUNTIFS('Odoo Items'!$J$5:$J$4331,A1137,'Odoo Items'!$C$5:$C$4331,"&lt;="&amp;Cover!$C$13)</f>
        <v>0</v>
      </c>
      <c r="Q1137">
        <f>IF(AND(O1137=0,P1137=0),"",IF(O1137=0,"ODOO-ONLY",IF(P1137=0,"BANK-ONLY","BOTH")))</f>
      </c>
      <c r="R1137" s="9">
        <f>IF(Q1137="BOTH",ROUND(M1137-N1137,2),0)</f>
        <v>0</v>
      </c>
      <c r="S1137" s="9">
        <f>ROUND(SUMIFS('Bank Lines'!$E$5:$E$1640,'Bank Lines'!$G$5:$G$1640,A1137,'Bank Lines'!$J$5:$J$1640,1,'Bank Lines'!$C$5:$C$1640,"&lt;="&amp;Cover!$C$14),2)</f>
        <v>-9680</v>
      </c>
      <c r="T1137" s="9">
        <f>ROUND(SUMIFS('Odoo Items'!$G$5:$G$4331,'Odoo Items'!$J$5:$J$4331,A1137,'Odoo Items'!$C$5:$C$4331,"&lt;="&amp;Cover!$C$14),2)</f>
        <v>-9680</v>
      </c>
      <c r="U1137">
        <f>COUNTIFS('Bank Lines'!$G$5:$G$1640,A1137,'Bank Lines'!$J$5:$J$1640,1,'Bank Lines'!$C$5:$C$1640,"&lt;="&amp;Cover!$C$14)</f>
        <v>1</v>
      </c>
      <c r="V1137">
        <f>COUNTIFS('Odoo Items'!$J$5:$J$4331,A1137,'Odoo Items'!$C$5:$C$4331,"&lt;="&amp;Cover!$C$14)</f>
        <v>1</v>
      </c>
      <c r="W1137" t="str">
        <f>IF(AND(U1137=0,V1137=0),"",IF(U1137=0,"ODOO-ONLY",IF(V1137=0,"BANK-ONLY","BOTH")))</f>
        <v>BOTH</v>
      </c>
      <c r="X1137" s="9">
        <f>IF(W1137="BOTH",ROUND(S1137-T1137,2),0)</f>
        <v>0</v>
      </c>
      <c r="Y1137" s="9">
        <f>ROUND(SUMIFS('Bank Lines'!$E$5:$E$1640,'Bank Lines'!$G$5:$G$1640,A1137,'Bank Lines'!$J$5:$J$1640,1,'Bank Lines'!$C$5:$C$1640,"&lt;="&amp;Cover!$C$15),2)</f>
        <v>-9680</v>
      </c>
      <c r="Z1137" s="9">
        <f>ROUND(SUMIFS('Odoo Items'!$G$5:$G$4331,'Odoo Items'!$J$5:$J$4331,A1137,'Odoo Items'!$C$5:$C$4331,"&lt;="&amp;Cover!$C$15),2)</f>
        <v>-9680</v>
      </c>
      <c r="AA1137">
        <f>COUNTIFS('Bank Lines'!$G$5:$G$1640,A1137,'Bank Lines'!$J$5:$J$1640,1,'Bank Lines'!$C$5:$C$1640,"&lt;="&amp;Cover!$C$15)</f>
        <v>1</v>
      </c>
      <c r="AB1137">
        <f>COUNTIFS('Odoo Items'!$J$5:$J$4331,A1137,'Odoo Items'!$C$5:$C$4331,"&lt;="&amp;Cover!$C$15)</f>
        <v>1</v>
      </c>
      <c r="AC1137" t="str">
        <f>IF(AND(AA1137=0,AB1137=0),"",IF(AA1137=0,"ODOO-ONLY",IF(AB1137=0,"BANK-ONLY","BOTH")))</f>
        <v>BOTH</v>
      </c>
      <c r="AD1137" s="9">
        <f>IF(AC1137="BOTH",ROUND(Y1137-Z1137,2),0)</f>
        <v>0</v>
      </c>
    </row>
    <row r="1138">
      <c r="A1138" t="inlineStr">
        <is>
          <t>G01134</t>
        </is>
      </c>
      <c r="B1138" t="inlineStr">
        <is>
          <t>OPS</t>
        </is>
      </c>
      <c r="C1138" t="inlineStr">
        <is>
          <t>R10</t>
        </is>
      </c>
      <c r="D1138" t="inlineStr">
        <is>
          <t>MATCH</t>
        </is>
      </c>
      <c r="E1138" t="inlineStr">
        <is>
          <t>Bayview Commercial Leasing</t>
        </is>
      </c>
      <c r="F1138" t="n">
        <v>1</v>
      </c>
      <c r="G1138" t="inlineStr">
        <is>
          <t>Payee 'BAYVIEW COMMERCIAL L' = Bayview Commercial Leasing</t>
        </is>
      </c>
      <c r="H1138">
        <f>COUNTIFS('Bank Lines'!$G$5:$G$1640,A1138,'Bank Lines'!$J$5:$J$1640,1)</f>
        <v>1</v>
      </c>
      <c r="I1138">
        <f>COUNTIFS('Odoo Items'!$J$5:$J$4331,A1138)</f>
        <v>1</v>
      </c>
      <c r="J1138" s="9">
        <f>ROUND(SUMIFS('Bank Lines'!$E$5:$E$1640,'Bank Lines'!$G$5:$G$1640,A1138,'Bank Lines'!$J$5:$J$1640,1),2)</f>
        <v>-8250</v>
      </c>
      <c r="K1138" s="9">
        <f>ROUND(SUMIFS('Odoo Items'!$G$5:$G$4331,'Odoo Items'!$J$5:$J$4331,A1138),2)</f>
        <v>-8250</v>
      </c>
      <c r="L1138" s="9">
        <f>ROUND(J1138-K1138,2)</f>
        <v>0</v>
      </c>
      <c r="M1138" s="9">
        <f>ROUND(SUMIFS('Bank Lines'!$E$5:$E$1640,'Bank Lines'!$G$5:$G$1640,A1138,'Bank Lines'!$J$5:$J$1640,1,'Bank Lines'!$C$5:$C$1640,"&lt;="&amp;Cover!$C$13),2)</f>
        <v>0</v>
      </c>
      <c r="N1138" s="9">
        <f>ROUND(SUMIFS('Odoo Items'!$G$5:$G$4331,'Odoo Items'!$J$5:$J$4331,A1138,'Odoo Items'!$C$5:$C$4331,"&lt;="&amp;Cover!$C$13),2)</f>
        <v>0</v>
      </c>
      <c r="O1138">
        <f>COUNTIFS('Bank Lines'!$G$5:$G$1640,A1138,'Bank Lines'!$J$5:$J$1640,1,'Bank Lines'!$C$5:$C$1640,"&lt;="&amp;Cover!$C$13)</f>
        <v>0</v>
      </c>
      <c r="P1138">
        <f>COUNTIFS('Odoo Items'!$J$5:$J$4331,A1138,'Odoo Items'!$C$5:$C$4331,"&lt;="&amp;Cover!$C$13)</f>
        <v>0</v>
      </c>
      <c r="Q1138">
        <f>IF(AND(O1138=0,P1138=0),"",IF(O1138=0,"ODOO-ONLY",IF(P1138=0,"BANK-ONLY","BOTH")))</f>
      </c>
      <c r="R1138" s="9">
        <f>IF(Q1138="BOTH",ROUND(M1138-N1138,2),0)</f>
        <v>0</v>
      </c>
      <c r="S1138" s="9">
        <f>ROUND(SUMIFS('Bank Lines'!$E$5:$E$1640,'Bank Lines'!$G$5:$G$1640,A1138,'Bank Lines'!$J$5:$J$1640,1,'Bank Lines'!$C$5:$C$1640,"&lt;="&amp;Cover!$C$14),2)</f>
        <v>-8250</v>
      </c>
      <c r="T1138" s="9">
        <f>ROUND(SUMIFS('Odoo Items'!$G$5:$G$4331,'Odoo Items'!$J$5:$J$4331,A1138,'Odoo Items'!$C$5:$C$4331,"&lt;="&amp;Cover!$C$14),2)</f>
        <v>-8250</v>
      </c>
      <c r="U1138">
        <f>COUNTIFS('Bank Lines'!$G$5:$G$1640,A1138,'Bank Lines'!$J$5:$J$1640,1,'Bank Lines'!$C$5:$C$1640,"&lt;="&amp;Cover!$C$14)</f>
        <v>1</v>
      </c>
      <c r="V1138">
        <f>COUNTIFS('Odoo Items'!$J$5:$J$4331,A1138,'Odoo Items'!$C$5:$C$4331,"&lt;="&amp;Cover!$C$14)</f>
        <v>1</v>
      </c>
      <c r="W1138" t="str">
        <f>IF(AND(U1138=0,V1138=0),"",IF(U1138=0,"ODOO-ONLY",IF(V1138=0,"BANK-ONLY","BOTH")))</f>
        <v>BOTH</v>
      </c>
      <c r="X1138" s="9">
        <f>IF(W1138="BOTH",ROUND(S1138-T1138,2),0)</f>
        <v>0</v>
      </c>
      <c r="Y1138" s="9">
        <f>ROUND(SUMIFS('Bank Lines'!$E$5:$E$1640,'Bank Lines'!$G$5:$G$1640,A1138,'Bank Lines'!$J$5:$J$1640,1,'Bank Lines'!$C$5:$C$1640,"&lt;="&amp;Cover!$C$15),2)</f>
        <v>-8250</v>
      </c>
      <c r="Z1138" s="9">
        <f>ROUND(SUMIFS('Odoo Items'!$G$5:$G$4331,'Odoo Items'!$J$5:$J$4331,A1138,'Odoo Items'!$C$5:$C$4331,"&lt;="&amp;Cover!$C$15),2)</f>
        <v>-8250</v>
      </c>
      <c r="AA1138">
        <f>COUNTIFS('Bank Lines'!$G$5:$G$1640,A1138,'Bank Lines'!$J$5:$J$1640,1,'Bank Lines'!$C$5:$C$1640,"&lt;="&amp;Cover!$C$15)</f>
        <v>1</v>
      </c>
      <c r="AB1138">
        <f>COUNTIFS('Odoo Items'!$J$5:$J$4331,A1138,'Odoo Items'!$C$5:$C$4331,"&lt;="&amp;Cover!$C$15)</f>
        <v>1</v>
      </c>
      <c r="AC1138" t="str">
        <f>IF(AND(AA1138=0,AB1138=0),"",IF(AA1138=0,"ODOO-ONLY",IF(AB1138=0,"BANK-ONLY","BOTH")))</f>
        <v>BOTH</v>
      </c>
      <c r="AD1138" s="9">
        <f>IF(AC1138="BOTH",ROUND(Y1138-Z1138,2),0)</f>
        <v>0</v>
      </c>
    </row>
    <row r="1139">
      <c r="A1139" t="inlineStr">
        <is>
          <t>G01135</t>
        </is>
      </c>
      <c r="B1139" t="inlineStr">
        <is>
          <t>OPS</t>
        </is>
      </c>
      <c r="C1139" t="inlineStr">
        <is>
          <t>R10</t>
        </is>
      </c>
      <c r="D1139" t="inlineStr">
        <is>
          <t>MATCH</t>
        </is>
      </c>
      <c r="E1139" t="inlineStr">
        <is>
          <t>Moorabbin Office Park</t>
        </is>
      </c>
      <c r="F1139" t="n">
        <v>1</v>
      </c>
      <c r="G1139" t="inlineStr">
        <is>
          <t>Payee 'MOORABBIN OFFICE P' = Moorabbin Office Park</t>
        </is>
      </c>
      <c r="H1139">
        <f>COUNTIFS('Bank Lines'!$G$5:$G$1640,A1139,'Bank Lines'!$J$5:$J$1640,1)</f>
        <v>1</v>
      </c>
      <c r="I1139">
        <f>COUNTIFS('Odoo Items'!$J$5:$J$4331,A1139)</f>
        <v>1</v>
      </c>
      <c r="J1139" s="9">
        <f>ROUND(SUMIFS('Bank Lines'!$E$5:$E$1640,'Bank Lines'!$G$5:$G$1640,A1139,'Bank Lines'!$J$5:$J$1640,1),2)</f>
        <v>-7425</v>
      </c>
      <c r="K1139" s="9">
        <f>ROUND(SUMIFS('Odoo Items'!$G$5:$G$4331,'Odoo Items'!$J$5:$J$4331,A1139),2)</f>
        <v>-7425</v>
      </c>
      <c r="L1139" s="9">
        <f>ROUND(J1139-K1139,2)</f>
        <v>0</v>
      </c>
      <c r="M1139" s="9">
        <f>ROUND(SUMIFS('Bank Lines'!$E$5:$E$1640,'Bank Lines'!$G$5:$G$1640,A1139,'Bank Lines'!$J$5:$J$1640,1,'Bank Lines'!$C$5:$C$1640,"&lt;="&amp;Cover!$C$13),2)</f>
        <v>0</v>
      </c>
      <c r="N1139" s="9">
        <f>ROUND(SUMIFS('Odoo Items'!$G$5:$G$4331,'Odoo Items'!$J$5:$J$4331,A1139,'Odoo Items'!$C$5:$C$4331,"&lt;="&amp;Cover!$C$13),2)</f>
        <v>0</v>
      </c>
      <c r="O1139">
        <f>COUNTIFS('Bank Lines'!$G$5:$G$1640,A1139,'Bank Lines'!$J$5:$J$1640,1,'Bank Lines'!$C$5:$C$1640,"&lt;="&amp;Cover!$C$13)</f>
        <v>0</v>
      </c>
      <c r="P1139">
        <f>COUNTIFS('Odoo Items'!$J$5:$J$4331,A1139,'Odoo Items'!$C$5:$C$4331,"&lt;="&amp;Cover!$C$13)</f>
        <v>0</v>
      </c>
      <c r="Q1139">
        <f>IF(AND(O1139=0,P1139=0),"",IF(O1139=0,"ODOO-ONLY",IF(P1139=0,"BANK-ONLY","BOTH")))</f>
      </c>
      <c r="R1139" s="9">
        <f>IF(Q1139="BOTH",ROUND(M1139-N1139,2),0)</f>
        <v>0</v>
      </c>
      <c r="S1139" s="9">
        <f>ROUND(SUMIFS('Bank Lines'!$E$5:$E$1640,'Bank Lines'!$G$5:$G$1640,A1139,'Bank Lines'!$J$5:$J$1640,1,'Bank Lines'!$C$5:$C$1640,"&lt;="&amp;Cover!$C$14),2)</f>
        <v>-7425</v>
      </c>
      <c r="T1139" s="9">
        <f>ROUND(SUMIFS('Odoo Items'!$G$5:$G$4331,'Odoo Items'!$J$5:$J$4331,A1139,'Odoo Items'!$C$5:$C$4331,"&lt;="&amp;Cover!$C$14),2)</f>
        <v>-7425</v>
      </c>
      <c r="U1139">
        <f>COUNTIFS('Bank Lines'!$G$5:$G$1640,A1139,'Bank Lines'!$J$5:$J$1640,1,'Bank Lines'!$C$5:$C$1640,"&lt;="&amp;Cover!$C$14)</f>
        <v>1</v>
      </c>
      <c r="V1139">
        <f>COUNTIFS('Odoo Items'!$J$5:$J$4331,A1139,'Odoo Items'!$C$5:$C$4331,"&lt;="&amp;Cover!$C$14)</f>
        <v>1</v>
      </c>
      <c r="W1139" t="str">
        <f>IF(AND(U1139=0,V1139=0),"",IF(U1139=0,"ODOO-ONLY",IF(V1139=0,"BANK-ONLY","BOTH")))</f>
        <v>BOTH</v>
      </c>
      <c r="X1139" s="9">
        <f>IF(W1139="BOTH",ROUND(S1139-T1139,2),0)</f>
        <v>0</v>
      </c>
      <c r="Y1139" s="9">
        <f>ROUND(SUMIFS('Bank Lines'!$E$5:$E$1640,'Bank Lines'!$G$5:$G$1640,A1139,'Bank Lines'!$J$5:$J$1640,1,'Bank Lines'!$C$5:$C$1640,"&lt;="&amp;Cover!$C$15),2)</f>
        <v>-7425</v>
      </c>
      <c r="Z1139" s="9">
        <f>ROUND(SUMIFS('Odoo Items'!$G$5:$G$4331,'Odoo Items'!$J$5:$J$4331,A1139,'Odoo Items'!$C$5:$C$4331,"&lt;="&amp;Cover!$C$15),2)</f>
        <v>-7425</v>
      </c>
      <c r="AA1139">
        <f>COUNTIFS('Bank Lines'!$G$5:$G$1640,A1139,'Bank Lines'!$J$5:$J$1640,1,'Bank Lines'!$C$5:$C$1640,"&lt;="&amp;Cover!$C$15)</f>
        <v>1</v>
      </c>
      <c r="AB1139">
        <f>COUNTIFS('Odoo Items'!$J$5:$J$4331,A1139,'Odoo Items'!$C$5:$C$4331,"&lt;="&amp;Cover!$C$15)</f>
        <v>1</v>
      </c>
      <c r="AC1139" t="str">
        <f>IF(AND(AA1139=0,AB1139=0),"",IF(AA1139=0,"ODOO-ONLY",IF(AB1139=0,"BANK-ONLY","BOTH")))</f>
        <v>BOTH</v>
      </c>
      <c r="AD1139" s="9">
        <f>IF(AC1139="BOTH",ROUND(Y1139-Z1139,2),0)</f>
        <v>0</v>
      </c>
    </row>
    <row r="1140">
      <c r="A1140" t="inlineStr">
        <is>
          <t>G01136</t>
        </is>
      </c>
      <c r="B1140" t="inlineStr">
        <is>
          <t>OPS</t>
        </is>
      </c>
      <c r="C1140" t="inlineStr">
        <is>
          <t>R10</t>
        </is>
      </c>
      <c r="D1140" t="inlineStr">
        <is>
          <t>MATCH</t>
        </is>
      </c>
      <c r="E1140" t="inlineStr">
        <is>
          <t>Cloud Payroll Pty Ltd</t>
        </is>
      </c>
      <c r="F1140" t="n">
        <v>1</v>
      </c>
      <c r="G1140" t="inlineStr">
        <is>
          <t>Payee 'CLOUDPAYROLL' = Cloud Payroll Pty Ltd</t>
        </is>
      </c>
      <c r="H1140">
        <f>COUNTIFS('Bank Lines'!$G$5:$G$1640,A1140,'Bank Lines'!$J$5:$J$1640,1)</f>
        <v>1</v>
      </c>
      <c r="I1140">
        <f>COUNTIFS('Odoo Items'!$J$5:$J$4331,A1140)</f>
        <v>1</v>
      </c>
      <c r="J1140" s="9">
        <f>ROUND(SUMIFS('Bank Lines'!$E$5:$E$1640,'Bank Lines'!$G$5:$G$1640,A1140,'Bank Lines'!$J$5:$J$1640,1),2)</f>
        <v>-495</v>
      </c>
      <c r="K1140" s="9">
        <f>ROUND(SUMIFS('Odoo Items'!$G$5:$G$4331,'Odoo Items'!$J$5:$J$4331,A1140),2)</f>
        <v>-495</v>
      </c>
      <c r="L1140" s="9">
        <f>ROUND(J1140-K1140,2)</f>
        <v>0</v>
      </c>
      <c r="M1140" s="9">
        <f>ROUND(SUMIFS('Bank Lines'!$E$5:$E$1640,'Bank Lines'!$G$5:$G$1640,A1140,'Bank Lines'!$J$5:$J$1640,1,'Bank Lines'!$C$5:$C$1640,"&lt;="&amp;Cover!$C$13),2)</f>
        <v>0</v>
      </c>
      <c r="N1140" s="9">
        <f>ROUND(SUMIFS('Odoo Items'!$G$5:$G$4331,'Odoo Items'!$J$5:$J$4331,A1140,'Odoo Items'!$C$5:$C$4331,"&lt;="&amp;Cover!$C$13),2)</f>
        <v>0</v>
      </c>
      <c r="O1140">
        <f>COUNTIFS('Bank Lines'!$G$5:$G$1640,A1140,'Bank Lines'!$J$5:$J$1640,1,'Bank Lines'!$C$5:$C$1640,"&lt;="&amp;Cover!$C$13)</f>
        <v>0</v>
      </c>
      <c r="P1140">
        <f>COUNTIFS('Odoo Items'!$J$5:$J$4331,A1140,'Odoo Items'!$C$5:$C$4331,"&lt;="&amp;Cover!$C$13)</f>
        <v>0</v>
      </c>
      <c r="Q1140">
        <f>IF(AND(O1140=0,P1140=0),"",IF(O1140=0,"ODOO-ONLY",IF(P1140=0,"BANK-ONLY","BOTH")))</f>
      </c>
      <c r="R1140" s="9">
        <f>IF(Q1140="BOTH",ROUND(M1140-N1140,2),0)</f>
        <v>0</v>
      </c>
      <c r="S1140" s="9">
        <f>ROUND(SUMIFS('Bank Lines'!$E$5:$E$1640,'Bank Lines'!$G$5:$G$1640,A1140,'Bank Lines'!$J$5:$J$1640,1,'Bank Lines'!$C$5:$C$1640,"&lt;="&amp;Cover!$C$14),2)</f>
        <v>-495</v>
      </c>
      <c r="T1140" s="9">
        <f>ROUND(SUMIFS('Odoo Items'!$G$5:$G$4331,'Odoo Items'!$J$5:$J$4331,A1140,'Odoo Items'!$C$5:$C$4331,"&lt;="&amp;Cover!$C$14),2)</f>
        <v>-495</v>
      </c>
      <c r="U1140">
        <f>COUNTIFS('Bank Lines'!$G$5:$G$1640,A1140,'Bank Lines'!$J$5:$J$1640,1,'Bank Lines'!$C$5:$C$1640,"&lt;="&amp;Cover!$C$14)</f>
        <v>1</v>
      </c>
      <c r="V1140">
        <f>COUNTIFS('Odoo Items'!$J$5:$J$4331,A1140,'Odoo Items'!$C$5:$C$4331,"&lt;="&amp;Cover!$C$14)</f>
        <v>1</v>
      </c>
      <c r="W1140" t="str">
        <f>IF(AND(U1140=0,V1140=0),"",IF(U1140=0,"ODOO-ONLY",IF(V1140=0,"BANK-ONLY","BOTH")))</f>
        <v>BOTH</v>
      </c>
      <c r="X1140" s="9">
        <f>IF(W1140="BOTH",ROUND(S1140-T1140,2),0)</f>
        <v>0</v>
      </c>
      <c r="Y1140" s="9">
        <f>ROUND(SUMIFS('Bank Lines'!$E$5:$E$1640,'Bank Lines'!$G$5:$G$1640,A1140,'Bank Lines'!$J$5:$J$1640,1,'Bank Lines'!$C$5:$C$1640,"&lt;="&amp;Cover!$C$15),2)</f>
        <v>-495</v>
      </c>
      <c r="Z1140" s="9">
        <f>ROUND(SUMIFS('Odoo Items'!$G$5:$G$4331,'Odoo Items'!$J$5:$J$4331,A1140,'Odoo Items'!$C$5:$C$4331,"&lt;="&amp;Cover!$C$15),2)</f>
        <v>-495</v>
      </c>
      <c r="AA1140">
        <f>COUNTIFS('Bank Lines'!$G$5:$G$1640,A1140,'Bank Lines'!$J$5:$J$1640,1,'Bank Lines'!$C$5:$C$1640,"&lt;="&amp;Cover!$C$15)</f>
        <v>1</v>
      </c>
      <c r="AB1140">
        <f>COUNTIFS('Odoo Items'!$J$5:$J$4331,A1140,'Odoo Items'!$C$5:$C$4331,"&lt;="&amp;Cover!$C$15)</f>
        <v>1</v>
      </c>
      <c r="AC1140" t="str">
        <f>IF(AND(AA1140=0,AB1140=0),"",IF(AA1140=0,"ODOO-ONLY",IF(AB1140=0,"BANK-ONLY","BOTH")))</f>
        <v>BOTH</v>
      </c>
      <c r="AD1140" s="9">
        <f>IF(AC1140="BOTH",ROUND(Y1140-Z1140,2),0)</f>
        <v>0</v>
      </c>
    </row>
    <row r="1141">
      <c r="A1141" t="inlineStr">
        <is>
          <t>G01137</t>
        </is>
      </c>
      <c r="B1141" t="inlineStr">
        <is>
          <t>OPS</t>
        </is>
      </c>
      <c r="C1141" t="inlineStr">
        <is>
          <t>R10</t>
        </is>
      </c>
      <c r="D1141" t="inlineStr">
        <is>
          <t>MATCH</t>
        </is>
      </c>
      <c r="E1141" t="inlineStr">
        <is>
          <t>Lockhart Glass</t>
        </is>
      </c>
      <c r="F1141" t="n">
        <v>1</v>
      </c>
      <c r="G1141" t="inlineStr">
        <is>
          <t>Payee 'LOCKHART GLASS' = Lockhart Glass</t>
        </is>
      </c>
      <c r="H1141">
        <f>COUNTIFS('Bank Lines'!$G$5:$G$1640,A1141,'Bank Lines'!$J$5:$J$1640,1)</f>
        <v>1</v>
      </c>
      <c r="I1141">
        <f>COUNTIFS('Odoo Items'!$J$5:$J$4331,A1141)</f>
        <v>1</v>
      </c>
      <c r="J1141" s="9">
        <f>ROUND(SUMIFS('Bank Lines'!$E$5:$E$1640,'Bank Lines'!$G$5:$G$1640,A1141,'Bank Lines'!$J$5:$J$1640,1),2)</f>
        <v>5362.5</v>
      </c>
      <c r="K1141" s="9">
        <f>ROUND(SUMIFS('Odoo Items'!$G$5:$G$4331,'Odoo Items'!$J$5:$J$4331,A1141),2)</f>
        <v>5362.5</v>
      </c>
      <c r="L1141" s="9">
        <f>ROUND(J1141-K1141,2)</f>
        <v>0</v>
      </c>
      <c r="M1141" s="9">
        <f>ROUND(SUMIFS('Bank Lines'!$E$5:$E$1640,'Bank Lines'!$G$5:$G$1640,A1141,'Bank Lines'!$J$5:$J$1640,1,'Bank Lines'!$C$5:$C$1640,"&lt;="&amp;Cover!$C$13),2)</f>
        <v>0</v>
      </c>
      <c r="N1141" s="9">
        <f>ROUND(SUMIFS('Odoo Items'!$G$5:$G$4331,'Odoo Items'!$J$5:$J$4331,A1141,'Odoo Items'!$C$5:$C$4331,"&lt;="&amp;Cover!$C$13),2)</f>
        <v>0</v>
      </c>
      <c r="O1141">
        <f>COUNTIFS('Bank Lines'!$G$5:$G$1640,A1141,'Bank Lines'!$J$5:$J$1640,1,'Bank Lines'!$C$5:$C$1640,"&lt;="&amp;Cover!$C$13)</f>
        <v>0</v>
      </c>
      <c r="P1141">
        <f>COUNTIFS('Odoo Items'!$J$5:$J$4331,A1141,'Odoo Items'!$C$5:$C$4331,"&lt;="&amp;Cover!$C$13)</f>
        <v>0</v>
      </c>
      <c r="Q1141">
        <f>IF(AND(O1141=0,P1141=0),"",IF(O1141=0,"ODOO-ONLY",IF(P1141=0,"BANK-ONLY","BOTH")))</f>
      </c>
      <c r="R1141" s="9">
        <f>IF(Q1141="BOTH",ROUND(M1141-N1141,2),0)</f>
        <v>0</v>
      </c>
      <c r="S1141" s="9">
        <f>ROUND(SUMIFS('Bank Lines'!$E$5:$E$1640,'Bank Lines'!$G$5:$G$1640,A1141,'Bank Lines'!$J$5:$J$1640,1,'Bank Lines'!$C$5:$C$1640,"&lt;="&amp;Cover!$C$14),2)</f>
        <v>5362.5</v>
      </c>
      <c r="T1141" s="9">
        <f>ROUND(SUMIFS('Odoo Items'!$G$5:$G$4331,'Odoo Items'!$J$5:$J$4331,A1141,'Odoo Items'!$C$5:$C$4331,"&lt;="&amp;Cover!$C$14),2)</f>
        <v>5362.5</v>
      </c>
      <c r="U1141">
        <f>COUNTIFS('Bank Lines'!$G$5:$G$1640,A1141,'Bank Lines'!$J$5:$J$1640,1,'Bank Lines'!$C$5:$C$1640,"&lt;="&amp;Cover!$C$14)</f>
        <v>1</v>
      </c>
      <c r="V1141">
        <f>COUNTIFS('Odoo Items'!$J$5:$J$4331,A1141,'Odoo Items'!$C$5:$C$4331,"&lt;="&amp;Cover!$C$14)</f>
        <v>1</v>
      </c>
      <c r="W1141" t="str">
        <f>IF(AND(U1141=0,V1141=0),"",IF(U1141=0,"ODOO-ONLY",IF(V1141=0,"BANK-ONLY","BOTH")))</f>
        <v>BOTH</v>
      </c>
      <c r="X1141" s="9">
        <f>IF(W1141="BOTH",ROUND(S1141-T1141,2),0)</f>
        <v>0</v>
      </c>
      <c r="Y1141" s="9">
        <f>ROUND(SUMIFS('Bank Lines'!$E$5:$E$1640,'Bank Lines'!$G$5:$G$1640,A1141,'Bank Lines'!$J$5:$J$1640,1,'Bank Lines'!$C$5:$C$1640,"&lt;="&amp;Cover!$C$15),2)</f>
        <v>5362.5</v>
      </c>
      <c r="Z1141" s="9">
        <f>ROUND(SUMIFS('Odoo Items'!$G$5:$G$4331,'Odoo Items'!$J$5:$J$4331,A1141,'Odoo Items'!$C$5:$C$4331,"&lt;="&amp;Cover!$C$15),2)</f>
        <v>5362.5</v>
      </c>
      <c r="AA1141">
        <f>COUNTIFS('Bank Lines'!$G$5:$G$1640,A1141,'Bank Lines'!$J$5:$J$1640,1,'Bank Lines'!$C$5:$C$1640,"&lt;="&amp;Cover!$C$15)</f>
        <v>1</v>
      </c>
      <c r="AB1141">
        <f>COUNTIFS('Odoo Items'!$J$5:$J$4331,A1141,'Odoo Items'!$C$5:$C$4331,"&lt;="&amp;Cover!$C$15)</f>
        <v>1</v>
      </c>
      <c r="AC1141" t="str">
        <f>IF(AND(AA1141=0,AB1141=0),"",IF(AA1141=0,"ODOO-ONLY",IF(AB1141=0,"BANK-ONLY","BOTH")))</f>
        <v>BOTH</v>
      </c>
      <c r="AD1141" s="9">
        <f>IF(AC1141="BOTH",ROUND(Y1141-Z1141,2),0)</f>
        <v>0</v>
      </c>
    </row>
    <row r="1142">
      <c r="A1142" t="inlineStr">
        <is>
          <t>G01138</t>
        </is>
      </c>
      <c r="B1142" t="inlineStr">
        <is>
          <t>OPS</t>
        </is>
      </c>
      <c r="C1142" t="inlineStr">
        <is>
          <t>R10</t>
        </is>
      </c>
      <c r="D1142" t="inlineStr">
        <is>
          <t>MATCH</t>
        </is>
      </c>
      <c r="E1142" t="inlineStr">
        <is>
          <t>Copperleaf Childcare</t>
        </is>
      </c>
      <c r="F1142" t="n">
        <v>1</v>
      </c>
      <c r="G1142" t="inlineStr">
        <is>
          <t>Payee 'COPPERLEAFCHILDC' = Copperleaf Childcare; 2 invoices in one payment</t>
        </is>
      </c>
      <c r="H1142">
        <f>COUNTIFS('Bank Lines'!$G$5:$G$1640,A1142,'Bank Lines'!$J$5:$J$1640,1)</f>
        <v>1</v>
      </c>
      <c r="I1142">
        <f>COUNTIFS('Odoo Items'!$J$5:$J$4331,A1142)</f>
        <v>2</v>
      </c>
      <c r="J1142" s="9">
        <f>ROUND(SUMIFS('Bank Lines'!$E$5:$E$1640,'Bank Lines'!$G$5:$G$1640,A1142,'Bank Lines'!$J$5:$J$1640,1),2)</f>
        <v>16087.5</v>
      </c>
      <c r="K1142" s="9">
        <f>ROUND(SUMIFS('Odoo Items'!$G$5:$G$4331,'Odoo Items'!$J$5:$J$4331,A1142),2)</f>
        <v>16087.5</v>
      </c>
      <c r="L1142" s="9">
        <f>ROUND(J1142-K1142,2)</f>
        <v>0</v>
      </c>
      <c r="M1142" s="9">
        <f>ROUND(SUMIFS('Bank Lines'!$E$5:$E$1640,'Bank Lines'!$G$5:$G$1640,A1142,'Bank Lines'!$J$5:$J$1640,1,'Bank Lines'!$C$5:$C$1640,"&lt;="&amp;Cover!$C$13),2)</f>
        <v>0</v>
      </c>
      <c r="N1142" s="9">
        <f>ROUND(SUMIFS('Odoo Items'!$G$5:$G$4331,'Odoo Items'!$J$5:$J$4331,A1142,'Odoo Items'!$C$5:$C$4331,"&lt;="&amp;Cover!$C$13),2)</f>
        <v>0</v>
      </c>
      <c r="O1142">
        <f>COUNTIFS('Bank Lines'!$G$5:$G$1640,A1142,'Bank Lines'!$J$5:$J$1640,1,'Bank Lines'!$C$5:$C$1640,"&lt;="&amp;Cover!$C$13)</f>
        <v>0</v>
      </c>
      <c r="P1142">
        <f>COUNTIFS('Odoo Items'!$J$5:$J$4331,A1142,'Odoo Items'!$C$5:$C$4331,"&lt;="&amp;Cover!$C$13)</f>
        <v>0</v>
      </c>
      <c r="Q1142">
        <f>IF(AND(O1142=0,P1142=0),"",IF(O1142=0,"ODOO-ONLY",IF(P1142=0,"BANK-ONLY","BOTH")))</f>
      </c>
      <c r="R1142" s="9">
        <f>IF(Q1142="BOTH",ROUND(M1142-N1142,2),0)</f>
        <v>0</v>
      </c>
      <c r="S1142" s="9">
        <f>ROUND(SUMIFS('Bank Lines'!$E$5:$E$1640,'Bank Lines'!$G$5:$G$1640,A1142,'Bank Lines'!$J$5:$J$1640,1,'Bank Lines'!$C$5:$C$1640,"&lt;="&amp;Cover!$C$14),2)</f>
        <v>16087.5</v>
      </c>
      <c r="T1142" s="9">
        <f>ROUND(SUMIFS('Odoo Items'!$G$5:$G$4331,'Odoo Items'!$J$5:$J$4331,A1142,'Odoo Items'!$C$5:$C$4331,"&lt;="&amp;Cover!$C$14),2)</f>
        <v>16087.5</v>
      </c>
      <c r="U1142">
        <f>COUNTIFS('Bank Lines'!$G$5:$G$1640,A1142,'Bank Lines'!$J$5:$J$1640,1,'Bank Lines'!$C$5:$C$1640,"&lt;="&amp;Cover!$C$14)</f>
        <v>1</v>
      </c>
      <c r="V1142">
        <f>COUNTIFS('Odoo Items'!$J$5:$J$4331,A1142,'Odoo Items'!$C$5:$C$4331,"&lt;="&amp;Cover!$C$14)</f>
        <v>2</v>
      </c>
      <c r="W1142" t="str">
        <f>IF(AND(U1142=0,V1142=0),"",IF(U1142=0,"ODOO-ONLY",IF(V1142=0,"BANK-ONLY","BOTH")))</f>
        <v>BOTH</v>
      </c>
      <c r="X1142" s="9">
        <f>IF(W1142="BOTH",ROUND(S1142-T1142,2),0)</f>
        <v>0</v>
      </c>
      <c r="Y1142" s="9">
        <f>ROUND(SUMIFS('Bank Lines'!$E$5:$E$1640,'Bank Lines'!$G$5:$G$1640,A1142,'Bank Lines'!$J$5:$J$1640,1,'Bank Lines'!$C$5:$C$1640,"&lt;="&amp;Cover!$C$15),2)</f>
        <v>16087.5</v>
      </c>
      <c r="Z1142" s="9">
        <f>ROUND(SUMIFS('Odoo Items'!$G$5:$G$4331,'Odoo Items'!$J$5:$J$4331,A1142,'Odoo Items'!$C$5:$C$4331,"&lt;="&amp;Cover!$C$15),2)</f>
        <v>16087.5</v>
      </c>
      <c r="AA1142">
        <f>COUNTIFS('Bank Lines'!$G$5:$G$1640,A1142,'Bank Lines'!$J$5:$J$1640,1,'Bank Lines'!$C$5:$C$1640,"&lt;="&amp;Cover!$C$15)</f>
        <v>1</v>
      </c>
      <c r="AB1142">
        <f>COUNTIFS('Odoo Items'!$J$5:$J$4331,A1142,'Odoo Items'!$C$5:$C$4331,"&lt;="&amp;Cover!$C$15)</f>
        <v>2</v>
      </c>
      <c r="AC1142" t="str">
        <f>IF(AND(AA1142=0,AB1142=0),"",IF(AA1142=0,"ODOO-ONLY",IF(AB1142=0,"BANK-ONLY","BOTH")))</f>
        <v>BOTH</v>
      </c>
      <c r="AD1142" s="9">
        <f>IF(AC1142="BOTH",ROUND(Y1142-Z1142,2),0)</f>
        <v>0</v>
      </c>
    </row>
    <row r="1143">
      <c r="A1143" t="inlineStr">
        <is>
          <t>G01139</t>
        </is>
      </c>
      <c r="B1143" t="inlineStr">
        <is>
          <t>OPS</t>
        </is>
      </c>
      <c r="C1143" t="inlineStr">
        <is>
          <t>R10</t>
        </is>
      </c>
      <c r="D1143" t="inlineStr">
        <is>
          <t>MATCH</t>
        </is>
      </c>
      <c r="E1143" t="inlineStr">
        <is>
          <t>Jarrah Ridge Estates</t>
        </is>
      </c>
      <c r="F1143" t="n">
        <v>1</v>
      </c>
      <c r="G1143" t="inlineStr">
        <is>
          <t>Payee 'JARRAH RIDGE ESTATES' = Jarrah Ridge Estates; 2 invoices in one payment</t>
        </is>
      </c>
      <c r="H1143">
        <f>COUNTIFS('Bank Lines'!$G$5:$G$1640,A1143,'Bank Lines'!$J$5:$J$1640,1)</f>
        <v>1</v>
      </c>
      <c r="I1143">
        <f>COUNTIFS('Odoo Items'!$J$5:$J$4331,A1143)</f>
        <v>2</v>
      </c>
      <c r="J1143" s="9">
        <f>ROUND(SUMIFS('Bank Lines'!$E$5:$E$1640,'Bank Lines'!$G$5:$G$1640,A1143,'Bank Lines'!$J$5:$J$1640,1),2)</f>
        <v>13365</v>
      </c>
      <c r="K1143" s="9">
        <f>ROUND(SUMIFS('Odoo Items'!$G$5:$G$4331,'Odoo Items'!$J$5:$J$4331,A1143),2)</f>
        <v>13365</v>
      </c>
      <c r="L1143" s="9">
        <f>ROUND(J1143-K1143,2)</f>
        <v>0</v>
      </c>
      <c r="M1143" s="9">
        <f>ROUND(SUMIFS('Bank Lines'!$E$5:$E$1640,'Bank Lines'!$G$5:$G$1640,A1143,'Bank Lines'!$J$5:$J$1640,1,'Bank Lines'!$C$5:$C$1640,"&lt;="&amp;Cover!$C$13),2)</f>
        <v>0</v>
      </c>
      <c r="N1143" s="9">
        <f>ROUND(SUMIFS('Odoo Items'!$G$5:$G$4331,'Odoo Items'!$J$5:$J$4331,A1143,'Odoo Items'!$C$5:$C$4331,"&lt;="&amp;Cover!$C$13),2)</f>
        <v>0</v>
      </c>
      <c r="O1143">
        <f>COUNTIFS('Bank Lines'!$G$5:$G$1640,A1143,'Bank Lines'!$J$5:$J$1640,1,'Bank Lines'!$C$5:$C$1640,"&lt;="&amp;Cover!$C$13)</f>
        <v>0</v>
      </c>
      <c r="P1143">
        <f>COUNTIFS('Odoo Items'!$J$5:$J$4331,A1143,'Odoo Items'!$C$5:$C$4331,"&lt;="&amp;Cover!$C$13)</f>
        <v>0</v>
      </c>
      <c r="Q1143">
        <f>IF(AND(O1143=0,P1143=0),"",IF(O1143=0,"ODOO-ONLY",IF(P1143=0,"BANK-ONLY","BOTH")))</f>
      </c>
      <c r="R1143" s="9">
        <f>IF(Q1143="BOTH",ROUND(M1143-N1143,2),0)</f>
        <v>0</v>
      </c>
      <c r="S1143" s="9">
        <f>ROUND(SUMIFS('Bank Lines'!$E$5:$E$1640,'Bank Lines'!$G$5:$G$1640,A1143,'Bank Lines'!$J$5:$J$1640,1,'Bank Lines'!$C$5:$C$1640,"&lt;="&amp;Cover!$C$14),2)</f>
        <v>13365</v>
      </c>
      <c r="T1143" s="9">
        <f>ROUND(SUMIFS('Odoo Items'!$G$5:$G$4331,'Odoo Items'!$J$5:$J$4331,A1143,'Odoo Items'!$C$5:$C$4331,"&lt;="&amp;Cover!$C$14),2)</f>
        <v>13365</v>
      </c>
      <c r="U1143">
        <f>COUNTIFS('Bank Lines'!$G$5:$G$1640,A1143,'Bank Lines'!$J$5:$J$1640,1,'Bank Lines'!$C$5:$C$1640,"&lt;="&amp;Cover!$C$14)</f>
        <v>1</v>
      </c>
      <c r="V1143">
        <f>COUNTIFS('Odoo Items'!$J$5:$J$4331,A1143,'Odoo Items'!$C$5:$C$4331,"&lt;="&amp;Cover!$C$14)</f>
        <v>2</v>
      </c>
      <c r="W1143" t="str">
        <f>IF(AND(U1143=0,V1143=0),"",IF(U1143=0,"ODOO-ONLY",IF(V1143=0,"BANK-ONLY","BOTH")))</f>
        <v>BOTH</v>
      </c>
      <c r="X1143" s="9">
        <f>IF(W1143="BOTH",ROUND(S1143-T1143,2),0)</f>
        <v>0</v>
      </c>
      <c r="Y1143" s="9">
        <f>ROUND(SUMIFS('Bank Lines'!$E$5:$E$1640,'Bank Lines'!$G$5:$G$1640,A1143,'Bank Lines'!$J$5:$J$1640,1,'Bank Lines'!$C$5:$C$1640,"&lt;="&amp;Cover!$C$15),2)</f>
        <v>13365</v>
      </c>
      <c r="Z1143" s="9">
        <f>ROUND(SUMIFS('Odoo Items'!$G$5:$G$4331,'Odoo Items'!$J$5:$J$4331,A1143,'Odoo Items'!$C$5:$C$4331,"&lt;="&amp;Cover!$C$15),2)</f>
        <v>13365</v>
      </c>
      <c r="AA1143">
        <f>COUNTIFS('Bank Lines'!$G$5:$G$1640,A1143,'Bank Lines'!$J$5:$J$1640,1,'Bank Lines'!$C$5:$C$1640,"&lt;="&amp;Cover!$C$15)</f>
        <v>1</v>
      </c>
      <c r="AB1143">
        <f>COUNTIFS('Odoo Items'!$J$5:$J$4331,A1143,'Odoo Items'!$C$5:$C$4331,"&lt;="&amp;Cover!$C$15)</f>
        <v>2</v>
      </c>
      <c r="AC1143" t="str">
        <f>IF(AND(AA1143=0,AB1143=0),"",IF(AA1143=0,"ODOO-ONLY",IF(AB1143=0,"BANK-ONLY","BOTH")))</f>
        <v>BOTH</v>
      </c>
      <c r="AD1143" s="9">
        <f>IF(AC1143="BOTH",ROUND(Y1143-Z1143,2),0)</f>
        <v>0</v>
      </c>
    </row>
    <row r="1144">
      <c r="A1144" t="inlineStr">
        <is>
          <t>G01140</t>
        </is>
      </c>
      <c r="B1144" t="inlineStr">
        <is>
          <t>OPS</t>
        </is>
      </c>
      <c r="C1144" t="inlineStr">
        <is>
          <t>R10</t>
        </is>
      </c>
      <c r="D1144" t="inlineStr">
        <is>
          <t>MATCH</t>
        </is>
      </c>
      <c r="E1144" t="inlineStr">
        <is>
          <t>Pendle Hill Bakery</t>
        </is>
      </c>
      <c r="F1144" t="n">
        <v>1</v>
      </c>
      <c r="G1144" t="inlineStr">
        <is>
          <t>Payee 'PENDLE HILL BAKERY' = Pendle Hill Bakery; 3 invoices in one payment</t>
        </is>
      </c>
      <c r="H1144">
        <f>COUNTIFS('Bank Lines'!$G$5:$G$1640,A1144,'Bank Lines'!$J$5:$J$1640,1)</f>
        <v>1</v>
      </c>
      <c r="I1144">
        <f>COUNTIFS('Odoo Items'!$J$5:$J$4331,A1144)</f>
        <v>3</v>
      </c>
      <c r="J1144" s="9">
        <f>ROUND(SUMIFS('Bank Lines'!$E$5:$E$1640,'Bank Lines'!$G$5:$G$1640,A1144,'Bank Lines'!$J$5:$J$1640,1),2)</f>
        <v>28228.75</v>
      </c>
      <c r="K1144" s="9">
        <f>ROUND(SUMIFS('Odoo Items'!$G$5:$G$4331,'Odoo Items'!$J$5:$J$4331,A1144),2)</f>
        <v>28228.75</v>
      </c>
      <c r="L1144" s="9">
        <f>ROUND(J1144-K1144,2)</f>
        <v>0</v>
      </c>
      <c r="M1144" s="9">
        <f>ROUND(SUMIFS('Bank Lines'!$E$5:$E$1640,'Bank Lines'!$G$5:$G$1640,A1144,'Bank Lines'!$J$5:$J$1640,1,'Bank Lines'!$C$5:$C$1640,"&lt;="&amp;Cover!$C$13),2)</f>
        <v>0</v>
      </c>
      <c r="N1144" s="9">
        <f>ROUND(SUMIFS('Odoo Items'!$G$5:$G$4331,'Odoo Items'!$J$5:$J$4331,A1144,'Odoo Items'!$C$5:$C$4331,"&lt;="&amp;Cover!$C$13),2)</f>
        <v>0</v>
      </c>
      <c r="O1144">
        <f>COUNTIFS('Bank Lines'!$G$5:$G$1640,A1144,'Bank Lines'!$J$5:$J$1640,1,'Bank Lines'!$C$5:$C$1640,"&lt;="&amp;Cover!$C$13)</f>
        <v>0</v>
      </c>
      <c r="P1144">
        <f>COUNTIFS('Odoo Items'!$J$5:$J$4331,A1144,'Odoo Items'!$C$5:$C$4331,"&lt;="&amp;Cover!$C$13)</f>
        <v>0</v>
      </c>
      <c r="Q1144">
        <f>IF(AND(O1144=0,P1144=0),"",IF(O1144=0,"ODOO-ONLY",IF(P1144=0,"BANK-ONLY","BOTH")))</f>
      </c>
      <c r="R1144" s="9">
        <f>IF(Q1144="BOTH",ROUND(M1144-N1144,2),0)</f>
        <v>0</v>
      </c>
      <c r="S1144" s="9">
        <f>ROUND(SUMIFS('Bank Lines'!$E$5:$E$1640,'Bank Lines'!$G$5:$G$1640,A1144,'Bank Lines'!$J$5:$J$1640,1,'Bank Lines'!$C$5:$C$1640,"&lt;="&amp;Cover!$C$14),2)</f>
        <v>28228.75</v>
      </c>
      <c r="T1144" s="9">
        <f>ROUND(SUMIFS('Odoo Items'!$G$5:$G$4331,'Odoo Items'!$J$5:$J$4331,A1144,'Odoo Items'!$C$5:$C$4331,"&lt;="&amp;Cover!$C$14),2)</f>
        <v>28228.75</v>
      </c>
      <c r="U1144">
        <f>COUNTIFS('Bank Lines'!$G$5:$G$1640,A1144,'Bank Lines'!$J$5:$J$1640,1,'Bank Lines'!$C$5:$C$1640,"&lt;="&amp;Cover!$C$14)</f>
        <v>1</v>
      </c>
      <c r="V1144">
        <f>COUNTIFS('Odoo Items'!$J$5:$J$4331,A1144,'Odoo Items'!$C$5:$C$4331,"&lt;="&amp;Cover!$C$14)</f>
        <v>3</v>
      </c>
      <c r="W1144" t="str">
        <f>IF(AND(U1144=0,V1144=0),"",IF(U1144=0,"ODOO-ONLY",IF(V1144=0,"BANK-ONLY","BOTH")))</f>
        <v>BOTH</v>
      </c>
      <c r="X1144" s="9">
        <f>IF(W1144="BOTH",ROUND(S1144-T1144,2),0)</f>
        <v>0</v>
      </c>
      <c r="Y1144" s="9">
        <f>ROUND(SUMIFS('Bank Lines'!$E$5:$E$1640,'Bank Lines'!$G$5:$G$1640,A1144,'Bank Lines'!$J$5:$J$1640,1,'Bank Lines'!$C$5:$C$1640,"&lt;="&amp;Cover!$C$15),2)</f>
        <v>28228.75</v>
      </c>
      <c r="Z1144" s="9">
        <f>ROUND(SUMIFS('Odoo Items'!$G$5:$G$4331,'Odoo Items'!$J$5:$J$4331,A1144,'Odoo Items'!$C$5:$C$4331,"&lt;="&amp;Cover!$C$15),2)</f>
        <v>28228.75</v>
      </c>
      <c r="AA1144">
        <f>COUNTIFS('Bank Lines'!$G$5:$G$1640,A1144,'Bank Lines'!$J$5:$J$1640,1,'Bank Lines'!$C$5:$C$1640,"&lt;="&amp;Cover!$C$15)</f>
        <v>1</v>
      </c>
      <c r="AB1144">
        <f>COUNTIFS('Odoo Items'!$J$5:$J$4331,A1144,'Odoo Items'!$C$5:$C$4331,"&lt;="&amp;Cover!$C$15)</f>
        <v>3</v>
      </c>
      <c r="AC1144" t="str">
        <f>IF(AND(AA1144=0,AB1144=0),"",IF(AA1144=0,"ODOO-ONLY",IF(AB1144=0,"BANK-ONLY","BOTH")))</f>
        <v>BOTH</v>
      </c>
      <c r="AD1144" s="9">
        <f>IF(AC1144="BOTH",ROUND(Y1144-Z1144,2),0)</f>
        <v>0</v>
      </c>
    </row>
    <row r="1145">
      <c r="A1145" t="inlineStr">
        <is>
          <t>G01141</t>
        </is>
      </c>
      <c r="B1145" t="inlineStr">
        <is>
          <t>OPS</t>
        </is>
      </c>
      <c r="C1145" t="inlineStr">
        <is>
          <t>R10</t>
        </is>
      </c>
      <c r="D1145" t="inlineStr">
        <is>
          <t>MATCH</t>
        </is>
      </c>
      <c r="E1145" t="inlineStr">
        <is>
          <t>Marlowe Print &amp; Pack</t>
        </is>
      </c>
      <c r="F1145" t="n">
        <v>1</v>
      </c>
      <c r="G1145" t="inlineStr">
        <is>
          <t>Payee 'MARLOWE PRINT AND PA' = Marlowe Print &amp; Pack</t>
        </is>
      </c>
      <c r="H1145">
        <f>COUNTIFS('Bank Lines'!$G$5:$G$1640,A1145,'Bank Lines'!$J$5:$J$1640,1)</f>
        <v>1</v>
      </c>
      <c r="I1145">
        <f>COUNTIFS('Odoo Items'!$J$5:$J$4331,A1145)</f>
        <v>1</v>
      </c>
      <c r="J1145" s="9">
        <f>ROUND(SUMIFS('Bank Lines'!$E$5:$E$1640,'Bank Lines'!$G$5:$G$1640,A1145,'Bank Lines'!$J$5:$J$1640,1),2)</f>
        <v>2791.25</v>
      </c>
      <c r="K1145" s="9">
        <f>ROUND(SUMIFS('Odoo Items'!$G$5:$G$4331,'Odoo Items'!$J$5:$J$4331,A1145),2)</f>
        <v>2791.25</v>
      </c>
      <c r="L1145" s="9">
        <f>ROUND(J1145-K1145,2)</f>
        <v>0</v>
      </c>
      <c r="M1145" s="9">
        <f>ROUND(SUMIFS('Bank Lines'!$E$5:$E$1640,'Bank Lines'!$G$5:$G$1640,A1145,'Bank Lines'!$J$5:$J$1640,1,'Bank Lines'!$C$5:$C$1640,"&lt;="&amp;Cover!$C$13),2)</f>
        <v>0</v>
      </c>
      <c r="N1145" s="9">
        <f>ROUND(SUMIFS('Odoo Items'!$G$5:$G$4331,'Odoo Items'!$J$5:$J$4331,A1145,'Odoo Items'!$C$5:$C$4331,"&lt;="&amp;Cover!$C$13),2)</f>
        <v>0</v>
      </c>
      <c r="O1145">
        <f>COUNTIFS('Bank Lines'!$G$5:$G$1640,A1145,'Bank Lines'!$J$5:$J$1640,1,'Bank Lines'!$C$5:$C$1640,"&lt;="&amp;Cover!$C$13)</f>
        <v>0</v>
      </c>
      <c r="P1145">
        <f>COUNTIFS('Odoo Items'!$J$5:$J$4331,A1145,'Odoo Items'!$C$5:$C$4331,"&lt;="&amp;Cover!$C$13)</f>
        <v>0</v>
      </c>
      <c r="Q1145">
        <f>IF(AND(O1145=0,P1145=0),"",IF(O1145=0,"ODOO-ONLY",IF(P1145=0,"BANK-ONLY","BOTH")))</f>
      </c>
      <c r="R1145" s="9">
        <f>IF(Q1145="BOTH",ROUND(M1145-N1145,2),0)</f>
        <v>0</v>
      </c>
      <c r="S1145" s="9">
        <f>ROUND(SUMIFS('Bank Lines'!$E$5:$E$1640,'Bank Lines'!$G$5:$G$1640,A1145,'Bank Lines'!$J$5:$J$1640,1,'Bank Lines'!$C$5:$C$1640,"&lt;="&amp;Cover!$C$14),2)</f>
        <v>2791.25</v>
      </c>
      <c r="T1145" s="9">
        <f>ROUND(SUMIFS('Odoo Items'!$G$5:$G$4331,'Odoo Items'!$J$5:$J$4331,A1145,'Odoo Items'!$C$5:$C$4331,"&lt;="&amp;Cover!$C$14),2)</f>
        <v>2791.25</v>
      </c>
      <c r="U1145">
        <f>COUNTIFS('Bank Lines'!$G$5:$G$1640,A1145,'Bank Lines'!$J$5:$J$1640,1,'Bank Lines'!$C$5:$C$1640,"&lt;="&amp;Cover!$C$14)</f>
        <v>1</v>
      </c>
      <c r="V1145">
        <f>COUNTIFS('Odoo Items'!$J$5:$J$4331,A1145,'Odoo Items'!$C$5:$C$4331,"&lt;="&amp;Cover!$C$14)</f>
        <v>1</v>
      </c>
      <c r="W1145" t="str">
        <f>IF(AND(U1145=0,V1145=0),"",IF(U1145=0,"ODOO-ONLY",IF(V1145=0,"BANK-ONLY","BOTH")))</f>
        <v>BOTH</v>
      </c>
      <c r="X1145" s="9">
        <f>IF(W1145="BOTH",ROUND(S1145-T1145,2),0)</f>
        <v>0</v>
      </c>
      <c r="Y1145" s="9">
        <f>ROUND(SUMIFS('Bank Lines'!$E$5:$E$1640,'Bank Lines'!$G$5:$G$1640,A1145,'Bank Lines'!$J$5:$J$1640,1,'Bank Lines'!$C$5:$C$1640,"&lt;="&amp;Cover!$C$15),2)</f>
        <v>2791.25</v>
      </c>
      <c r="Z1145" s="9">
        <f>ROUND(SUMIFS('Odoo Items'!$G$5:$G$4331,'Odoo Items'!$J$5:$J$4331,A1145,'Odoo Items'!$C$5:$C$4331,"&lt;="&amp;Cover!$C$15),2)</f>
        <v>2791.25</v>
      </c>
      <c r="AA1145">
        <f>COUNTIFS('Bank Lines'!$G$5:$G$1640,A1145,'Bank Lines'!$J$5:$J$1640,1,'Bank Lines'!$C$5:$C$1640,"&lt;="&amp;Cover!$C$15)</f>
        <v>1</v>
      </c>
      <c r="AB1145">
        <f>COUNTIFS('Odoo Items'!$J$5:$J$4331,A1145,'Odoo Items'!$C$5:$C$4331,"&lt;="&amp;Cover!$C$15)</f>
        <v>1</v>
      </c>
      <c r="AC1145" t="str">
        <f>IF(AND(AA1145=0,AB1145=0),"",IF(AA1145=0,"ODOO-ONLY",IF(AB1145=0,"BANK-ONLY","BOTH")))</f>
        <v>BOTH</v>
      </c>
      <c r="AD1145" s="9">
        <f>IF(AC1145="BOTH",ROUND(Y1145-Z1145,2),0)</f>
        <v>0</v>
      </c>
    </row>
    <row r="1146">
      <c r="A1146" t="inlineStr">
        <is>
          <t>G01142</t>
        </is>
      </c>
      <c r="B1146" t="inlineStr">
        <is>
          <t>OPS</t>
        </is>
      </c>
      <c r="C1146" t="inlineStr">
        <is>
          <t>R10</t>
        </is>
      </c>
      <c r="D1146" t="inlineStr">
        <is>
          <t>MATCH</t>
        </is>
      </c>
      <c r="E1146" t="inlineStr">
        <is>
          <t>Fibrewire Networks</t>
        </is>
      </c>
      <c r="F1146" t="n">
        <v>1</v>
      </c>
      <c r="G1146" t="inlineStr">
        <is>
          <t>Payee 'FIBREWIRE NETWORKS' = Fibrewire Networks</t>
        </is>
      </c>
      <c r="H1146">
        <f>COUNTIFS('Bank Lines'!$G$5:$G$1640,A1146,'Bank Lines'!$J$5:$J$1640,1)</f>
        <v>1</v>
      </c>
      <c r="I1146">
        <f>COUNTIFS('Odoo Items'!$J$5:$J$4331,A1146)</f>
        <v>1</v>
      </c>
      <c r="J1146" s="9">
        <f>ROUND(SUMIFS('Bank Lines'!$E$5:$E$1640,'Bank Lines'!$G$5:$G$1640,A1146,'Bank Lines'!$J$5:$J$1640,1),2)</f>
        <v>-649</v>
      </c>
      <c r="K1146" s="9">
        <f>ROUND(SUMIFS('Odoo Items'!$G$5:$G$4331,'Odoo Items'!$J$5:$J$4331,A1146),2)</f>
        <v>-649</v>
      </c>
      <c r="L1146" s="9">
        <f>ROUND(J1146-K1146,2)</f>
        <v>0</v>
      </c>
      <c r="M1146" s="9">
        <f>ROUND(SUMIFS('Bank Lines'!$E$5:$E$1640,'Bank Lines'!$G$5:$G$1640,A1146,'Bank Lines'!$J$5:$J$1640,1,'Bank Lines'!$C$5:$C$1640,"&lt;="&amp;Cover!$C$13),2)</f>
        <v>0</v>
      </c>
      <c r="N1146" s="9">
        <f>ROUND(SUMIFS('Odoo Items'!$G$5:$G$4331,'Odoo Items'!$J$5:$J$4331,A1146,'Odoo Items'!$C$5:$C$4331,"&lt;="&amp;Cover!$C$13),2)</f>
        <v>0</v>
      </c>
      <c r="O1146">
        <f>COUNTIFS('Bank Lines'!$G$5:$G$1640,A1146,'Bank Lines'!$J$5:$J$1640,1,'Bank Lines'!$C$5:$C$1640,"&lt;="&amp;Cover!$C$13)</f>
        <v>0</v>
      </c>
      <c r="P1146">
        <f>COUNTIFS('Odoo Items'!$J$5:$J$4331,A1146,'Odoo Items'!$C$5:$C$4331,"&lt;="&amp;Cover!$C$13)</f>
        <v>0</v>
      </c>
      <c r="Q1146">
        <f>IF(AND(O1146=0,P1146=0),"",IF(O1146=0,"ODOO-ONLY",IF(P1146=0,"BANK-ONLY","BOTH")))</f>
      </c>
      <c r="R1146" s="9">
        <f>IF(Q1146="BOTH",ROUND(M1146-N1146,2),0)</f>
        <v>0</v>
      </c>
      <c r="S1146" s="9">
        <f>ROUND(SUMIFS('Bank Lines'!$E$5:$E$1640,'Bank Lines'!$G$5:$G$1640,A1146,'Bank Lines'!$J$5:$J$1640,1,'Bank Lines'!$C$5:$C$1640,"&lt;="&amp;Cover!$C$14),2)</f>
        <v>-649</v>
      </c>
      <c r="T1146" s="9">
        <f>ROUND(SUMIFS('Odoo Items'!$G$5:$G$4331,'Odoo Items'!$J$5:$J$4331,A1146,'Odoo Items'!$C$5:$C$4331,"&lt;="&amp;Cover!$C$14),2)</f>
        <v>-649</v>
      </c>
      <c r="U1146">
        <f>COUNTIFS('Bank Lines'!$G$5:$G$1640,A1146,'Bank Lines'!$J$5:$J$1640,1,'Bank Lines'!$C$5:$C$1640,"&lt;="&amp;Cover!$C$14)</f>
        <v>1</v>
      </c>
      <c r="V1146">
        <f>COUNTIFS('Odoo Items'!$J$5:$J$4331,A1146,'Odoo Items'!$C$5:$C$4331,"&lt;="&amp;Cover!$C$14)</f>
        <v>1</v>
      </c>
      <c r="W1146" t="str">
        <f>IF(AND(U1146=0,V1146=0),"",IF(U1146=0,"ODOO-ONLY",IF(V1146=0,"BANK-ONLY","BOTH")))</f>
        <v>BOTH</v>
      </c>
      <c r="X1146" s="9">
        <f>IF(W1146="BOTH",ROUND(S1146-T1146,2),0)</f>
        <v>0</v>
      </c>
      <c r="Y1146" s="9">
        <f>ROUND(SUMIFS('Bank Lines'!$E$5:$E$1640,'Bank Lines'!$G$5:$G$1640,A1146,'Bank Lines'!$J$5:$J$1640,1,'Bank Lines'!$C$5:$C$1640,"&lt;="&amp;Cover!$C$15),2)</f>
        <v>-649</v>
      </c>
      <c r="Z1146" s="9">
        <f>ROUND(SUMIFS('Odoo Items'!$G$5:$G$4331,'Odoo Items'!$J$5:$J$4331,A1146,'Odoo Items'!$C$5:$C$4331,"&lt;="&amp;Cover!$C$15),2)</f>
        <v>-649</v>
      </c>
      <c r="AA1146">
        <f>COUNTIFS('Bank Lines'!$G$5:$G$1640,A1146,'Bank Lines'!$J$5:$J$1640,1,'Bank Lines'!$C$5:$C$1640,"&lt;="&amp;Cover!$C$15)</f>
        <v>1</v>
      </c>
      <c r="AB1146">
        <f>COUNTIFS('Odoo Items'!$J$5:$J$4331,A1146,'Odoo Items'!$C$5:$C$4331,"&lt;="&amp;Cover!$C$15)</f>
        <v>1</v>
      </c>
      <c r="AC1146" t="str">
        <f>IF(AND(AA1146=0,AB1146=0),"",IF(AA1146=0,"ODOO-ONLY",IF(AB1146=0,"BANK-ONLY","BOTH")))</f>
        <v>BOTH</v>
      </c>
      <c r="AD1146" s="9">
        <f>IF(AC1146="BOTH",ROUND(Y1146-Z1146,2),0)</f>
        <v>0</v>
      </c>
    </row>
    <row r="1147">
      <c r="A1147" t="inlineStr">
        <is>
          <t>G01143</t>
        </is>
      </c>
      <c r="B1147" t="inlineStr">
        <is>
          <t>OPS</t>
        </is>
      </c>
      <c r="C1147" t="inlineStr">
        <is>
          <t>R10</t>
        </is>
      </c>
      <c r="D1147" t="inlineStr">
        <is>
          <t>MATCH</t>
        </is>
      </c>
      <c r="E1147" t="inlineStr">
        <is>
          <t>Fleetwise Vehicle Leasing</t>
        </is>
      </c>
      <c r="F1147" t="n">
        <v>1</v>
      </c>
      <c r="G1147" t="inlineStr">
        <is>
          <t>Payee 'FLEETWISEVEHICLE' = Fleetwise Vehicle Leasing</t>
        </is>
      </c>
      <c r="H1147">
        <f>COUNTIFS('Bank Lines'!$G$5:$G$1640,A1147,'Bank Lines'!$J$5:$J$1640,1)</f>
        <v>1</v>
      </c>
      <c r="I1147">
        <f>COUNTIFS('Odoo Items'!$J$5:$J$4331,A1147)</f>
        <v>1</v>
      </c>
      <c r="J1147" s="9">
        <f>ROUND(SUMIFS('Bank Lines'!$E$5:$E$1640,'Bank Lines'!$G$5:$G$1640,A1147,'Bank Lines'!$J$5:$J$1640,1),2)</f>
        <v>-3184.62</v>
      </c>
      <c r="K1147" s="9">
        <f>ROUND(SUMIFS('Odoo Items'!$G$5:$G$4331,'Odoo Items'!$J$5:$J$4331,A1147),2)</f>
        <v>-3184.62</v>
      </c>
      <c r="L1147" s="9">
        <f>ROUND(J1147-K1147,2)</f>
        <v>0</v>
      </c>
      <c r="M1147" s="9">
        <f>ROUND(SUMIFS('Bank Lines'!$E$5:$E$1640,'Bank Lines'!$G$5:$G$1640,A1147,'Bank Lines'!$J$5:$J$1640,1,'Bank Lines'!$C$5:$C$1640,"&lt;="&amp;Cover!$C$13),2)</f>
        <v>0</v>
      </c>
      <c r="N1147" s="9">
        <f>ROUND(SUMIFS('Odoo Items'!$G$5:$G$4331,'Odoo Items'!$J$5:$J$4331,A1147,'Odoo Items'!$C$5:$C$4331,"&lt;="&amp;Cover!$C$13),2)</f>
        <v>0</v>
      </c>
      <c r="O1147">
        <f>COUNTIFS('Bank Lines'!$G$5:$G$1640,A1147,'Bank Lines'!$J$5:$J$1640,1,'Bank Lines'!$C$5:$C$1640,"&lt;="&amp;Cover!$C$13)</f>
        <v>0</v>
      </c>
      <c r="P1147">
        <f>COUNTIFS('Odoo Items'!$J$5:$J$4331,A1147,'Odoo Items'!$C$5:$C$4331,"&lt;="&amp;Cover!$C$13)</f>
        <v>0</v>
      </c>
      <c r="Q1147">
        <f>IF(AND(O1147=0,P1147=0),"",IF(O1147=0,"ODOO-ONLY",IF(P1147=0,"BANK-ONLY","BOTH")))</f>
      </c>
      <c r="R1147" s="9">
        <f>IF(Q1147="BOTH",ROUND(M1147-N1147,2),0)</f>
        <v>0</v>
      </c>
      <c r="S1147" s="9">
        <f>ROUND(SUMIFS('Bank Lines'!$E$5:$E$1640,'Bank Lines'!$G$5:$G$1640,A1147,'Bank Lines'!$J$5:$J$1640,1,'Bank Lines'!$C$5:$C$1640,"&lt;="&amp;Cover!$C$14),2)</f>
        <v>-3184.62</v>
      </c>
      <c r="T1147" s="9">
        <f>ROUND(SUMIFS('Odoo Items'!$G$5:$G$4331,'Odoo Items'!$J$5:$J$4331,A1147,'Odoo Items'!$C$5:$C$4331,"&lt;="&amp;Cover!$C$14),2)</f>
        <v>-3184.62</v>
      </c>
      <c r="U1147">
        <f>COUNTIFS('Bank Lines'!$G$5:$G$1640,A1147,'Bank Lines'!$J$5:$J$1640,1,'Bank Lines'!$C$5:$C$1640,"&lt;="&amp;Cover!$C$14)</f>
        <v>1</v>
      </c>
      <c r="V1147">
        <f>COUNTIFS('Odoo Items'!$J$5:$J$4331,A1147,'Odoo Items'!$C$5:$C$4331,"&lt;="&amp;Cover!$C$14)</f>
        <v>1</v>
      </c>
      <c r="W1147" t="str">
        <f>IF(AND(U1147=0,V1147=0),"",IF(U1147=0,"ODOO-ONLY",IF(V1147=0,"BANK-ONLY","BOTH")))</f>
        <v>BOTH</v>
      </c>
      <c r="X1147" s="9">
        <f>IF(W1147="BOTH",ROUND(S1147-T1147,2),0)</f>
        <v>0</v>
      </c>
      <c r="Y1147" s="9">
        <f>ROUND(SUMIFS('Bank Lines'!$E$5:$E$1640,'Bank Lines'!$G$5:$G$1640,A1147,'Bank Lines'!$J$5:$J$1640,1,'Bank Lines'!$C$5:$C$1640,"&lt;="&amp;Cover!$C$15),2)</f>
        <v>-3184.62</v>
      </c>
      <c r="Z1147" s="9">
        <f>ROUND(SUMIFS('Odoo Items'!$G$5:$G$4331,'Odoo Items'!$J$5:$J$4331,A1147,'Odoo Items'!$C$5:$C$4331,"&lt;="&amp;Cover!$C$15),2)</f>
        <v>-3184.62</v>
      </c>
      <c r="AA1147">
        <f>COUNTIFS('Bank Lines'!$G$5:$G$1640,A1147,'Bank Lines'!$J$5:$J$1640,1,'Bank Lines'!$C$5:$C$1640,"&lt;="&amp;Cover!$C$15)</f>
        <v>1</v>
      </c>
      <c r="AB1147">
        <f>COUNTIFS('Odoo Items'!$J$5:$J$4331,A1147,'Odoo Items'!$C$5:$C$4331,"&lt;="&amp;Cover!$C$15)</f>
        <v>1</v>
      </c>
      <c r="AC1147" t="str">
        <f>IF(AND(AA1147=0,AB1147=0),"",IF(AA1147=0,"ODOO-ONLY",IF(AB1147=0,"BANK-ONLY","BOTH")))</f>
        <v>BOTH</v>
      </c>
      <c r="AD1147" s="9">
        <f>IF(AC1147="BOTH",ROUND(Y1147-Z1147,2),0)</f>
        <v>0</v>
      </c>
    </row>
    <row r="1148">
      <c r="A1148" t="inlineStr">
        <is>
          <t>G01144</t>
        </is>
      </c>
      <c r="B1148" t="inlineStr">
        <is>
          <t>OPS</t>
        </is>
      </c>
      <c r="C1148" t="inlineStr">
        <is>
          <t>R10</t>
        </is>
      </c>
      <c r="D1148" t="inlineStr">
        <is>
          <t>MATCH</t>
        </is>
      </c>
      <c r="E1148" t="inlineStr">
        <is>
          <t>Westmere Council Services</t>
        </is>
      </c>
      <c r="F1148" t="n">
        <v>1</v>
      </c>
      <c r="G1148" t="inlineStr">
        <is>
          <t>Payee 'WESTMERECOUNCILS' = Westmere Council Services</t>
        </is>
      </c>
      <c r="H1148">
        <f>COUNTIFS('Bank Lines'!$G$5:$G$1640,A1148,'Bank Lines'!$J$5:$J$1640,1)</f>
        <v>1</v>
      </c>
      <c r="I1148">
        <f>COUNTIFS('Odoo Items'!$J$5:$J$4331,A1148)</f>
        <v>1</v>
      </c>
      <c r="J1148" s="9">
        <f>ROUND(SUMIFS('Bank Lines'!$E$5:$E$1640,'Bank Lines'!$G$5:$G$1640,A1148,'Bank Lines'!$J$5:$J$1640,1),2)</f>
        <v>1402.5</v>
      </c>
      <c r="K1148" s="9">
        <f>ROUND(SUMIFS('Odoo Items'!$G$5:$G$4331,'Odoo Items'!$J$5:$J$4331,A1148),2)</f>
        <v>1402.5</v>
      </c>
      <c r="L1148" s="9">
        <f>ROUND(J1148-K1148,2)</f>
        <v>0</v>
      </c>
      <c r="M1148" s="9">
        <f>ROUND(SUMIFS('Bank Lines'!$E$5:$E$1640,'Bank Lines'!$G$5:$G$1640,A1148,'Bank Lines'!$J$5:$J$1640,1,'Bank Lines'!$C$5:$C$1640,"&lt;="&amp;Cover!$C$13),2)</f>
        <v>0</v>
      </c>
      <c r="N1148" s="9">
        <f>ROUND(SUMIFS('Odoo Items'!$G$5:$G$4331,'Odoo Items'!$J$5:$J$4331,A1148,'Odoo Items'!$C$5:$C$4331,"&lt;="&amp;Cover!$C$13),2)</f>
        <v>0</v>
      </c>
      <c r="O1148">
        <f>COUNTIFS('Bank Lines'!$G$5:$G$1640,A1148,'Bank Lines'!$J$5:$J$1640,1,'Bank Lines'!$C$5:$C$1640,"&lt;="&amp;Cover!$C$13)</f>
        <v>0</v>
      </c>
      <c r="P1148">
        <f>COUNTIFS('Odoo Items'!$J$5:$J$4331,A1148,'Odoo Items'!$C$5:$C$4331,"&lt;="&amp;Cover!$C$13)</f>
        <v>0</v>
      </c>
      <c r="Q1148">
        <f>IF(AND(O1148=0,P1148=0),"",IF(O1148=0,"ODOO-ONLY",IF(P1148=0,"BANK-ONLY","BOTH")))</f>
      </c>
      <c r="R1148" s="9">
        <f>IF(Q1148="BOTH",ROUND(M1148-N1148,2),0)</f>
        <v>0</v>
      </c>
      <c r="S1148" s="9">
        <f>ROUND(SUMIFS('Bank Lines'!$E$5:$E$1640,'Bank Lines'!$G$5:$G$1640,A1148,'Bank Lines'!$J$5:$J$1640,1,'Bank Lines'!$C$5:$C$1640,"&lt;="&amp;Cover!$C$14),2)</f>
        <v>1402.5</v>
      </c>
      <c r="T1148" s="9">
        <f>ROUND(SUMIFS('Odoo Items'!$G$5:$G$4331,'Odoo Items'!$J$5:$J$4331,A1148,'Odoo Items'!$C$5:$C$4331,"&lt;="&amp;Cover!$C$14),2)</f>
        <v>1402.5</v>
      </c>
      <c r="U1148">
        <f>COUNTIFS('Bank Lines'!$G$5:$G$1640,A1148,'Bank Lines'!$J$5:$J$1640,1,'Bank Lines'!$C$5:$C$1640,"&lt;="&amp;Cover!$C$14)</f>
        <v>1</v>
      </c>
      <c r="V1148">
        <f>COUNTIFS('Odoo Items'!$J$5:$J$4331,A1148,'Odoo Items'!$C$5:$C$4331,"&lt;="&amp;Cover!$C$14)</f>
        <v>1</v>
      </c>
      <c r="W1148" t="str">
        <f>IF(AND(U1148=0,V1148=0),"",IF(U1148=0,"ODOO-ONLY",IF(V1148=0,"BANK-ONLY","BOTH")))</f>
        <v>BOTH</v>
      </c>
      <c r="X1148" s="9">
        <f>IF(W1148="BOTH",ROUND(S1148-T1148,2),0)</f>
        <v>0</v>
      </c>
      <c r="Y1148" s="9">
        <f>ROUND(SUMIFS('Bank Lines'!$E$5:$E$1640,'Bank Lines'!$G$5:$G$1640,A1148,'Bank Lines'!$J$5:$J$1640,1,'Bank Lines'!$C$5:$C$1640,"&lt;="&amp;Cover!$C$15),2)</f>
        <v>1402.5</v>
      </c>
      <c r="Z1148" s="9">
        <f>ROUND(SUMIFS('Odoo Items'!$G$5:$G$4331,'Odoo Items'!$J$5:$J$4331,A1148,'Odoo Items'!$C$5:$C$4331,"&lt;="&amp;Cover!$C$15),2)</f>
        <v>1402.5</v>
      </c>
      <c r="AA1148">
        <f>COUNTIFS('Bank Lines'!$G$5:$G$1640,A1148,'Bank Lines'!$J$5:$J$1640,1,'Bank Lines'!$C$5:$C$1640,"&lt;="&amp;Cover!$C$15)</f>
        <v>1</v>
      </c>
      <c r="AB1148">
        <f>COUNTIFS('Odoo Items'!$J$5:$J$4331,A1148,'Odoo Items'!$C$5:$C$4331,"&lt;="&amp;Cover!$C$15)</f>
        <v>1</v>
      </c>
      <c r="AC1148" t="str">
        <f>IF(AND(AA1148=0,AB1148=0),"",IF(AA1148=0,"ODOO-ONLY",IF(AB1148=0,"BANK-ONLY","BOTH")))</f>
        <v>BOTH</v>
      </c>
      <c r="AD1148" s="9">
        <f>IF(AC1148="BOTH",ROUND(Y1148-Z1148,2),0)</f>
        <v>0</v>
      </c>
    </row>
    <row r="1149">
      <c r="A1149" t="inlineStr">
        <is>
          <t>G01145</t>
        </is>
      </c>
      <c r="B1149" t="inlineStr">
        <is>
          <t>OPS</t>
        </is>
      </c>
      <c r="C1149" t="inlineStr">
        <is>
          <t>R10</t>
        </is>
      </c>
      <c r="D1149" t="inlineStr">
        <is>
          <t>MATCH</t>
        </is>
      </c>
      <c r="E1149" t="inlineStr">
        <is>
          <t>Medisure Professional Indemnity</t>
        </is>
      </c>
      <c r="F1149" t="n">
        <v>1</v>
      </c>
      <c r="G1149" t="inlineStr">
        <is>
          <t>Payee 'MEDISUREPROFESSI' = Medisure Professional Indemnity</t>
        </is>
      </c>
      <c r="H1149">
        <f>COUNTIFS('Bank Lines'!$G$5:$G$1640,A1149,'Bank Lines'!$J$5:$J$1640,1)</f>
        <v>1</v>
      </c>
      <c r="I1149">
        <f>COUNTIFS('Odoo Items'!$J$5:$J$4331,A1149)</f>
        <v>1</v>
      </c>
      <c r="J1149" s="9">
        <f>ROUND(SUMIFS('Bank Lines'!$E$5:$E$1640,'Bank Lines'!$G$5:$G$1640,A1149,'Bank Lines'!$J$5:$J$1640,1),2)</f>
        <v>-2215.4</v>
      </c>
      <c r="K1149" s="9">
        <f>ROUND(SUMIFS('Odoo Items'!$G$5:$G$4331,'Odoo Items'!$J$5:$J$4331,A1149),2)</f>
        <v>-2215.4</v>
      </c>
      <c r="L1149" s="9">
        <f>ROUND(J1149-K1149,2)</f>
        <v>0</v>
      </c>
      <c r="M1149" s="9">
        <f>ROUND(SUMIFS('Bank Lines'!$E$5:$E$1640,'Bank Lines'!$G$5:$G$1640,A1149,'Bank Lines'!$J$5:$J$1640,1,'Bank Lines'!$C$5:$C$1640,"&lt;="&amp;Cover!$C$13),2)</f>
        <v>0</v>
      </c>
      <c r="N1149" s="9">
        <f>ROUND(SUMIFS('Odoo Items'!$G$5:$G$4331,'Odoo Items'!$J$5:$J$4331,A1149,'Odoo Items'!$C$5:$C$4331,"&lt;="&amp;Cover!$C$13),2)</f>
        <v>0</v>
      </c>
      <c r="O1149">
        <f>COUNTIFS('Bank Lines'!$G$5:$G$1640,A1149,'Bank Lines'!$J$5:$J$1640,1,'Bank Lines'!$C$5:$C$1640,"&lt;="&amp;Cover!$C$13)</f>
        <v>0</v>
      </c>
      <c r="P1149">
        <f>COUNTIFS('Odoo Items'!$J$5:$J$4331,A1149,'Odoo Items'!$C$5:$C$4331,"&lt;="&amp;Cover!$C$13)</f>
        <v>0</v>
      </c>
      <c r="Q1149">
        <f>IF(AND(O1149=0,P1149=0),"",IF(O1149=0,"ODOO-ONLY",IF(P1149=0,"BANK-ONLY","BOTH")))</f>
      </c>
      <c r="R1149" s="9">
        <f>IF(Q1149="BOTH",ROUND(M1149-N1149,2),0)</f>
        <v>0</v>
      </c>
      <c r="S1149" s="9">
        <f>ROUND(SUMIFS('Bank Lines'!$E$5:$E$1640,'Bank Lines'!$G$5:$G$1640,A1149,'Bank Lines'!$J$5:$J$1640,1,'Bank Lines'!$C$5:$C$1640,"&lt;="&amp;Cover!$C$14),2)</f>
        <v>-2215.4</v>
      </c>
      <c r="T1149" s="9">
        <f>ROUND(SUMIFS('Odoo Items'!$G$5:$G$4331,'Odoo Items'!$J$5:$J$4331,A1149,'Odoo Items'!$C$5:$C$4331,"&lt;="&amp;Cover!$C$14),2)</f>
        <v>-2215.4</v>
      </c>
      <c r="U1149">
        <f>COUNTIFS('Bank Lines'!$G$5:$G$1640,A1149,'Bank Lines'!$J$5:$J$1640,1,'Bank Lines'!$C$5:$C$1640,"&lt;="&amp;Cover!$C$14)</f>
        <v>1</v>
      </c>
      <c r="V1149">
        <f>COUNTIFS('Odoo Items'!$J$5:$J$4331,A1149,'Odoo Items'!$C$5:$C$4331,"&lt;="&amp;Cover!$C$14)</f>
        <v>1</v>
      </c>
      <c r="W1149" t="str">
        <f>IF(AND(U1149=0,V1149=0),"",IF(U1149=0,"ODOO-ONLY",IF(V1149=0,"BANK-ONLY","BOTH")))</f>
        <v>BOTH</v>
      </c>
      <c r="X1149" s="9">
        <f>IF(W1149="BOTH",ROUND(S1149-T1149,2),0)</f>
        <v>0</v>
      </c>
      <c r="Y1149" s="9">
        <f>ROUND(SUMIFS('Bank Lines'!$E$5:$E$1640,'Bank Lines'!$G$5:$G$1640,A1149,'Bank Lines'!$J$5:$J$1640,1,'Bank Lines'!$C$5:$C$1640,"&lt;="&amp;Cover!$C$15),2)</f>
        <v>-2215.4</v>
      </c>
      <c r="Z1149" s="9">
        <f>ROUND(SUMIFS('Odoo Items'!$G$5:$G$4331,'Odoo Items'!$J$5:$J$4331,A1149,'Odoo Items'!$C$5:$C$4331,"&lt;="&amp;Cover!$C$15),2)</f>
        <v>-2215.4</v>
      </c>
      <c r="AA1149">
        <f>COUNTIFS('Bank Lines'!$G$5:$G$1640,A1149,'Bank Lines'!$J$5:$J$1640,1,'Bank Lines'!$C$5:$C$1640,"&lt;="&amp;Cover!$C$15)</f>
        <v>1</v>
      </c>
      <c r="AB1149">
        <f>COUNTIFS('Odoo Items'!$J$5:$J$4331,A1149,'Odoo Items'!$C$5:$C$4331,"&lt;="&amp;Cover!$C$15)</f>
        <v>1</v>
      </c>
      <c r="AC1149" t="str">
        <f>IF(AND(AA1149=0,AB1149=0),"",IF(AA1149=0,"ODOO-ONLY",IF(AB1149=0,"BANK-ONLY","BOTH")))</f>
        <v>BOTH</v>
      </c>
      <c r="AD1149" s="9">
        <f>IF(AC1149="BOTH",ROUND(Y1149-Z1149,2),0)</f>
        <v>0</v>
      </c>
    </row>
    <row r="1150">
      <c r="A1150" t="inlineStr">
        <is>
          <t>G01146</t>
        </is>
      </c>
      <c r="B1150" t="inlineStr">
        <is>
          <t>OPS</t>
        </is>
      </c>
      <c r="C1150" t="inlineStr">
        <is>
          <t>R10</t>
        </is>
      </c>
      <c r="D1150" t="inlineStr">
        <is>
          <t>MATCH</t>
        </is>
      </c>
      <c r="E1150" t="inlineStr">
        <is>
          <t>Powerco Energy Retail</t>
        </is>
      </c>
      <c r="F1150" t="n">
        <v>1</v>
      </c>
      <c r="G1150" t="inlineStr">
        <is>
          <t>Payee 'POWERCO ENERGY RETAIL' = Powerco Energy Retail</t>
        </is>
      </c>
      <c r="H1150">
        <f>COUNTIFS('Bank Lines'!$G$5:$G$1640,A1150,'Bank Lines'!$J$5:$J$1640,1)</f>
        <v>1</v>
      </c>
      <c r="I1150">
        <f>COUNTIFS('Odoo Items'!$J$5:$J$4331,A1150)</f>
        <v>1</v>
      </c>
      <c r="J1150" s="9">
        <f>ROUND(SUMIFS('Bank Lines'!$E$5:$E$1640,'Bank Lines'!$G$5:$G$1640,A1150,'Bank Lines'!$J$5:$J$1640,1),2)</f>
        <v>-2634.18</v>
      </c>
      <c r="K1150" s="9">
        <f>ROUND(SUMIFS('Odoo Items'!$G$5:$G$4331,'Odoo Items'!$J$5:$J$4331,A1150),2)</f>
        <v>-2634.18</v>
      </c>
      <c r="L1150" s="9">
        <f>ROUND(J1150-K1150,2)</f>
        <v>0</v>
      </c>
      <c r="M1150" s="9">
        <f>ROUND(SUMIFS('Bank Lines'!$E$5:$E$1640,'Bank Lines'!$G$5:$G$1640,A1150,'Bank Lines'!$J$5:$J$1640,1,'Bank Lines'!$C$5:$C$1640,"&lt;="&amp;Cover!$C$13),2)</f>
        <v>0</v>
      </c>
      <c r="N1150" s="9">
        <f>ROUND(SUMIFS('Odoo Items'!$G$5:$G$4331,'Odoo Items'!$J$5:$J$4331,A1150,'Odoo Items'!$C$5:$C$4331,"&lt;="&amp;Cover!$C$13),2)</f>
        <v>0</v>
      </c>
      <c r="O1150">
        <f>COUNTIFS('Bank Lines'!$G$5:$G$1640,A1150,'Bank Lines'!$J$5:$J$1640,1,'Bank Lines'!$C$5:$C$1640,"&lt;="&amp;Cover!$C$13)</f>
        <v>0</v>
      </c>
      <c r="P1150">
        <f>COUNTIFS('Odoo Items'!$J$5:$J$4331,A1150,'Odoo Items'!$C$5:$C$4331,"&lt;="&amp;Cover!$C$13)</f>
        <v>0</v>
      </c>
      <c r="Q1150">
        <f>IF(AND(O1150=0,P1150=0),"",IF(O1150=0,"ODOO-ONLY",IF(P1150=0,"BANK-ONLY","BOTH")))</f>
      </c>
      <c r="R1150" s="9">
        <f>IF(Q1150="BOTH",ROUND(M1150-N1150,2),0)</f>
        <v>0</v>
      </c>
      <c r="S1150" s="9">
        <f>ROUND(SUMIFS('Bank Lines'!$E$5:$E$1640,'Bank Lines'!$G$5:$G$1640,A1150,'Bank Lines'!$J$5:$J$1640,1,'Bank Lines'!$C$5:$C$1640,"&lt;="&amp;Cover!$C$14),2)</f>
        <v>-2634.18</v>
      </c>
      <c r="T1150" s="9">
        <f>ROUND(SUMIFS('Odoo Items'!$G$5:$G$4331,'Odoo Items'!$J$5:$J$4331,A1150,'Odoo Items'!$C$5:$C$4331,"&lt;="&amp;Cover!$C$14),2)</f>
        <v>-2634.18</v>
      </c>
      <c r="U1150">
        <f>COUNTIFS('Bank Lines'!$G$5:$G$1640,A1150,'Bank Lines'!$J$5:$J$1640,1,'Bank Lines'!$C$5:$C$1640,"&lt;="&amp;Cover!$C$14)</f>
        <v>1</v>
      </c>
      <c r="V1150">
        <f>COUNTIFS('Odoo Items'!$J$5:$J$4331,A1150,'Odoo Items'!$C$5:$C$4331,"&lt;="&amp;Cover!$C$14)</f>
        <v>1</v>
      </c>
      <c r="W1150" t="str">
        <f>IF(AND(U1150=0,V1150=0),"",IF(U1150=0,"ODOO-ONLY",IF(V1150=0,"BANK-ONLY","BOTH")))</f>
        <v>BOTH</v>
      </c>
      <c r="X1150" s="9">
        <f>IF(W1150="BOTH",ROUND(S1150-T1150,2),0)</f>
        <v>0</v>
      </c>
      <c r="Y1150" s="9">
        <f>ROUND(SUMIFS('Bank Lines'!$E$5:$E$1640,'Bank Lines'!$G$5:$G$1640,A1150,'Bank Lines'!$J$5:$J$1640,1,'Bank Lines'!$C$5:$C$1640,"&lt;="&amp;Cover!$C$15),2)</f>
        <v>-2634.18</v>
      </c>
      <c r="Z1150" s="9">
        <f>ROUND(SUMIFS('Odoo Items'!$G$5:$G$4331,'Odoo Items'!$J$5:$J$4331,A1150,'Odoo Items'!$C$5:$C$4331,"&lt;="&amp;Cover!$C$15),2)</f>
        <v>-2634.18</v>
      </c>
      <c r="AA1150">
        <f>COUNTIFS('Bank Lines'!$G$5:$G$1640,A1150,'Bank Lines'!$J$5:$J$1640,1,'Bank Lines'!$C$5:$C$1640,"&lt;="&amp;Cover!$C$15)</f>
        <v>1</v>
      </c>
      <c r="AB1150">
        <f>COUNTIFS('Odoo Items'!$J$5:$J$4331,A1150,'Odoo Items'!$C$5:$C$4331,"&lt;="&amp;Cover!$C$15)</f>
        <v>1</v>
      </c>
      <c r="AC1150" t="str">
        <f>IF(AND(AA1150=0,AB1150=0),"",IF(AA1150=0,"ODOO-ONLY",IF(AB1150=0,"BANK-ONLY","BOTH")))</f>
        <v>BOTH</v>
      </c>
      <c r="AD1150" s="9">
        <f>IF(AC1150="BOTH",ROUND(Y1150-Z1150,2),0)</f>
        <v>0</v>
      </c>
    </row>
    <row r="1151">
      <c r="A1151" t="inlineStr">
        <is>
          <t>G01147</t>
        </is>
      </c>
      <c r="B1151" t="inlineStr">
        <is>
          <t>OPS</t>
        </is>
      </c>
      <c r="C1151" t="inlineStr">
        <is>
          <t>R10</t>
        </is>
      </c>
      <c r="D1151" t="inlineStr">
        <is>
          <t>MATCH</t>
        </is>
      </c>
      <c r="E1151" t="inlineStr">
        <is>
          <t>Varga &amp; Holt Logistics</t>
        </is>
      </c>
      <c r="F1151" t="n">
        <v>1</v>
      </c>
      <c r="G1151" t="inlineStr">
        <is>
          <t>Payee 'VARGA AND HOLT LOGIS' = Varga &amp; Holt Logistics</t>
        </is>
      </c>
      <c r="H1151">
        <f>COUNTIFS('Bank Lines'!$G$5:$G$1640,A1151,'Bank Lines'!$J$5:$J$1640,1)</f>
        <v>1</v>
      </c>
      <c r="I1151">
        <f>COUNTIFS('Odoo Items'!$J$5:$J$4331,A1151)</f>
        <v>1</v>
      </c>
      <c r="J1151" s="9">
        <f>ROUND(SUMIFS('Bank Lines'!$E$5:$E$1640,'Bank Lines'!$G$5:$G$1640,A1151,'Bank Lines'!$J$5:$J$1640,1),2)</f>
        <v>2186.25</v>
      </c>
      <c r="K1151" s="9">
        <f>ROUND(SUMIFS('Odoo Items'!$G$5:$G$4331,'Odoo Items'!$J$5:$J$4331,A1151),2)</f>
        <v>2186.25</v>
      </c>
      <c r="L1151" s="9">
        <f>ROUND(J1151-K1151,2)</f>
        <v>0</v>
      </c>
      <c r="M1151" s="9">
        <f>ROUND(SUMIFS('Bank Lines'!$E$5:$E$1640,'Bank Lines'!$G$5:$G$1640,A1151,'Bank Lines'!$J$5:$J$1640,1,'Bank Lines'!$C$5:$C$1640,"&lt;="&amp;Cover!$C$13),2)</f>
        <v>0</v>
      </c>
      <c r="N1151" s="9">
        <f>ROUND(SUMIFS('Odoo Items'!$G$5:$G$4331,'Odoo Items'!$J$5:$J$4331,A1151,'Odoo Items'!$C$5:$C$4331,"&lt;="&amp;Cover!$C$13),2)</f>
        <v>0</v>
      </c>
      <c r="O1151">
        <f>COUNTIFS('Bank Lines'!$G$5:$G$1640,A1151,'Bank Lines'!$J$5:$J$1640,1,'Bank Lines'!$C$5:$C$1640,"&lt;="&amp;Cover!$C$13)</f>
        <v>0</v>
      </c>
      <c r="P1151">
        <f>COUNTIFS('Odoo Items'!$J$5:$J$4331,A1151,'Odoo Items'!$C$5:$C$4331,"&lt;="&amp;Cover!$C$13)</f>
        <v>0</v>
      </c>
      <c r="Q1151">
        <f>IF(AND(O1151=0,P1151=0),"",IF(O1151=0,"ODOO-ONLY",IF(P1151=0,"BANK-ONLY","BOTH")))</f>
      </c>
      <c r="R1151" s="9">
        <f>IF(Q1151="BOTH",ROUND(M1151-N1151,2),0)</f>
        <v>0</v>
      </c>
      <c r="S1151" s="9">
        <f>ROUND(SUMIFS('Bank Lines'!$E$5:$E$1640,'Bank Lines'!$G$5:$G$1640,A1151,'Bank Lines'!$J$5:$J$1640,1,'Bank Lines'!$C$5:$C$1640,"&lt;="&amp;Cover!$C$14),2)</f>
        <v>2186.25</v>
      </c>
      <c r="T1151" s="9">
        <f>ROUND(SUMIFS('Odoo Items'!$G$5:$G$4331,'Odoo Items'!$J$5:$J$4331,A1151,'Odoo Items'!$C$5:$C$4331,"&lt;="&amp;Cover!$C$14),2)</f>
        <v>2186.25</v>
      </c>
      <c r="U1151">
        <f>COUNTIFS('Bank Lines'!$G$5:$G$1640,A1151,'Bank Lines'!$J$5:$J$1640,1,'Bank Lines'!$C$5:$C$1640,"&lt;="&amp;Cover!$C$14)</f>
        <v>1</v>
      </c>
      <c r="V1151">
        <f>COUNTIFS('Odoo Items'!$J$5:$J$4331,A1151,'Odoo Items'!$C$5:$C$4331,"&lt;="&amp;Cover!$C$14)</f>
        <v>1</v>
      </c>
      <c r="W1151" t="str">
        <f>IF(AND(U1151=0,V1151=0),"",IF(U1151=0,"ODOO-ONLY",IF(V1151=0,"BANK-ONLY","BOTH")))</f>
        <v>BOTH</v>
      </c>
      <c r="X1151" s="9">
        <f>IF(W1151="BOTH",ROUND(S1151-T1151,2),0)</f>
        <v>0</v>
      </c>
      <c r="Y1151" s="9">
        <f>ROUND(SUMIFS('Bank Lines'!$E$5:$E$1640,'Bank Lines'!$G$5:$G$1640,A1151,'Bank Lines'!$J$5:$J$1640,1,'Bank Lines'!$C$5:$C$1640,"&lt;="&amp;Cover!$C$15),2)</f>
        <v>2186.25</v>
      </c>
      <c r="Z1151" s="9">
        <f>ROUND(SUMIFS('Odoo Items'!$G$5:$G$4331,'Odoo Items'!$J$5:$J$4331,A1151,'Odoo Items'!$C$5:$C$4331,"&lt;="&amp;Cover!$C$15),2)</f>
        <v>2186.25</v>
      </c>
      <c r="AA1151">
        <f>COUNTIFS('Bank Lines'!$G$5:$G$1640,A1151,'Bank Lines'!$J$5:$J$1640,1,'Bank Lines'!$C$5:$C$1640,"&lt;="&amp;Cover!$C$15)</f>
        <v>1</v>
      </c>
      <c r="AB1151">
        <f>COUNTIFS('Odoo Items'!$J$5:$J$4331,A1151,'Odoo Items'!$C$5:$C$4331,"&lt;="&amp;Cover!$C$15)</f>
        <v>1</v>
      </c>
      <c r="AC1151" t="str">
        <f>IF(AND(AA1151=0,AB1151=0),"",IF(AA1151=0,"ODOO-ONLY",IF(AB1151=0,"BANK-ONLY","BOTH")))</f>
        <v>BOTH</v>
      </c>
      <c r="AD1151" s="9">
        <f>IF(AC1151="BOTH",ROUND(Y1151-Z1151,2),0)</f>
        <v>0</v>
      </c>
    </row>
    <row r="1152">
      <c r="A1152" t="inlineStr">
        <is>
          <t>G01148</t>
        </is>
      </c>
      <c r="B1152" t="inlineStr">
        <is>
          <t>OPS</t>
        </is>
      </c>
      <c r="C1152" t="inlineStr">
        <is>
          <t>R10</t>
        </is>
      </c>
      <c r="D1152" t="inlineStr">
        <is>
          <t>MATCH</t>
        </is>
      </c>
      <c r="E1152" t="inlineStr">
        <is>
          <t>Kestrel Lane Foods</t>
        </is>
      </c>
      <c r="F1152" t="n">
        <v>1</v>
      </c>
      <c r="G1152" t="inlineStr">
        <is>
          <t>Payee 'KESTREL LANE FOODS' = Kestrel Lane Foods</t>
        </is>
      </c>
      <c r="H1152">
        <f>COUNTIFS('Bank Lines'!$G$5:$G$1640,A1152,'Bank Lines'!$J$5:$J$1640,1)</f>
        <v>1</v>
      </c>
      <c r="I1152">
        <f>COUNTIFS('Odoo Items'!$J$5:$J$4331,A1152)</f>
        <v>1</v>
      </c>
      <c r="J1152" s="9">
        <f>ROUND(SUMIFS('Bank Lines'!$E$5:$E$1640,'Bank Lines'!$G$5:$G$1640,A1152,'Bank Lines'!$J$5:$J$1640,1),2)</f>
        <v>3465</v>
      </c>
      <c r="K1152" s="9">
        <f>ROUND(SUMIFS('Odoo Items'!$G$5:$G$4331,'Odoo Items'!$J$5:$J$4331,A1152),2)</f>
        <v>3465</v>
      </c>
      <c r="L1152" s="9">
        <f>ROUND(J1152-K1152,2)</f>
        <v>0</v>
      </c>
      <c r="M1152" s="9">
        <f>ROUND(SUMIFS('Bank Lines'!$E$5:$E$1640,'Bank Lines'!$G$5:$G$1640,A1152,'Bank Lines'!$J$5:$J$1640,1,'Bank Lines'!$C$5:$C$1640,"&lt;="&amp;Cover!$C$13),2)</f>
        <v>0</v>
      </c>
      <c r="N1152" s="9">
        <f>ROUND(SUMIFS('Odoo Items'!$G$5:$G$4331,'Odoo Items'!$J$5:$J$4331,A1152,'Odoo Items'!$C$5:$C$4331,"&lt;="&amp;Cover!$C$13),2)</f>
        <v>0</v>
      </c>
      <c r="O1152">
        <f>COUNTIFS('Bank Lines'!$G$5:$G$1640,A1152,'Bank Lines'!$J$5:$J$1640,1,'Bank Lines'!$C$5:$C$1640,"&lt;="&amp;Cover!$C$13)</f>
        <v>0</v>
      </c>
      <c r="P1152">
        <f>COUNTIFS('Odoo Items'!$J$5:$J$4331,A1152,'Odoo Items'!$C$5:$C$4331,"&lt;="&amp;Cover!$C$13)</f>
        <v>0</v>
      </c>
      <c r="Q1152">
        <f>IF(AND(O1152=0,P1152=0),"",IF(O1152=0,"ODOO-ONLY",IF(P1152=0,"BANK-ONLY","BOTH")))</f>
      </c>
      <c r="R1152" s="9">
        <f>IF(Q1152="BOTH",ROUND(M1152-N1152,2),0)</f>
        <v>0</v>
      </c>
      <c r="S1152" s="9">
        <f>ROUND(SUMIFS('Bank Lines'!$E$5:$E$1640,'Bank Lines'!$G$5:$G$1640,A1152,'Bank Lines'!$J$5:$J$1640,1,'Bank Lines'!$C$5:$C$1640,"&lt;="&amp;Cover!$C$14),2)</f>
        <v>3465</v>
      </c>
      <c r="T1152" s="9">
        <f>ROUND(SUMIFS('Odoo Items'!$G$5:$G$4331,'Odoo Items'!$J$5:$J$4331,A1152,'Odoo Items'!$C$5:$C$4331,"&lt;="&amp;Cover!$C$14),2)</f>
        <v>3465</v>
      </c>
      <c r="U1152">
        <f>COUNTIFS('Bank Lines'!$G$5:$G$1640,A1152,'Bank Lines'!$J$5:$J$1640,1,'Bank Lines'!$C$5:$C$1640,"&lt;="&amp;Cover!$C$14)</f>
        <v>1</v>
      </c>
      <c r="V1152">
        <f>COUNTIFS('Odoo Items'!$J$5:$J$4331,A1152,'Odoo Items'!$C$5:$C$4331,"&lt;="&amp;Cover!$C$14)</f>
        <v>1</v>
      </c>
      <c r="W1152" t="str">
        <f>IF(AND(U1152=0,V1152=0),"",IF(U1152=0,"ODOO-ONLY",IF(V1152=0,"BANK-ONLY","BOTH")))</f>
        <v>BOTH</v>
      </c>
      <c r="X1152" s="9">
        <f>IF(W1152="BOTH",ROUND(S1152-T1152,2),0)</f>
        <v>0</v>
      </c>
      <c r="Y1152" s="9">
        <f>ROUND(SUMIFS('Bank Lines'!$E$5:$E$1640,'Bank Lines'!$G$5:$G$1640,A1152,'Bank Lines'!$J$5:$J$1640,1,'Bank Lines'!$C$5:$C$1640,"&lt;="&amp;Cover!$C$15),2)</f>
        <v>3465</v>
      </c>
      <c r="Z1152" s="9">
        <f>ROUND(SUMIFS('Odoo Items'!$G$5:$G$4331,'Odoo Items'!$J$5:$J$4331,A1152,'Odoo Items'!$C$5:$C$4331,"&lt;="&amp;Cover!$C$15),2)</f>
        <v>3465</v>
      </c>
      <c r="AA1152">
        <f>COUNTIFS('Bank Lines'!$G$5:$G$1640,A1152,'Bank Lines'!$J$5:$J$1640,1,'Bank Lines'!$C$5:$C$1640,"&lt;="&amp;Cover!$C$15)</f>
        <v>1</v>
      </c>
      <c r="AB1152">
        <f>COUNTIFS('Odoo Items'!$J$5:$J$4331,A1152,'Odoo Items'!$C$5:$C$4331,"&lt;="&amp;Cover!$C$15)</f>
        <v>1</v>
      </c>
      <c r="AC1152" t="str">
        <f>IF(AND(AA1152=0,AB1152=0),"",IF(AA1152=0,"ODOO-ONLY",IF(AB1152=0,"BANK-ONLY","BOTH")))</f>
        <v>BOTH</v>
      </c>
      <c r="AD1152" s="9">
        <f>IF(AC1152="BOTH",ROUND(Y1152-Z1152,2),0)</f>
        <v>0</v>
      </c>
    </row>
    <row r="1153">
      <c r="A1153" t="inlineStr">
        <is>
          <t>G01149</t>
        </is>
      </c>
      <c r="B1153" t="inlineStr">
        <is>
          <t>OPS</t>
        </is>
      </c>
      <c r="C1153" t="inlineStr">
        <is>
          <t>R10</t>
        </is>
      </c>
      <c r="D1153" t="inlineStr">
        <is>
          <t>MATCH</t>
        </is>
      </c>
      <c r="E1153" t="inlineStr">
        <is>
          <t>Tamsin Ridge Wineries</t>
        </is>
      </c>
      <c r="F1153" t="n">
        <v>1</v>
      </c>
      <c r="G1153" t="inlineStr">
        <is>
          <t>Payee 'TAMSINRIDGEWINER' = Tamsin Ridge Wineries</t>
        </is>
      </c>
      <c r="H1153">
        <f>COUNTIFS('Bank Lines'!$G$5:$G$1640,A1153,'Bank Lines'!$J$5:$J$1640,1)</f>
        <v>1</v>
      </c>
      <c r="I1153">
        <f>COUNTIFS('Odoo Items'!$J$5:$J$4331,A1153)</f>
        <v>1</v>
      </c>
      <c r="J1153" s="9">
        <f>ROUND(SUMIFS('Bank Lines'!$E$5:$E$1640,'Bank Lines'!$G$5:$G$1640,A1153,'Bank Lines'!$J$5:$J$1640,1),2)</f>
        <v>15950</v>
      </c>
      <c r="K1153" s="9">
        <f>ROUND(SUMIFS('Odoo Items'!$G$5:$G$4331,'Odoo Items'!$J$5:$J$4331,A1153),2)</f>
        <v>15950</v>
      </c>
      <c r="L1153" s="9">
        <f>ROUND(J1153-K1153,2)</f>
        <v>0</v>
      </c>
      <c r="M1153" s="9">
        <f>ROUND(SUMIFS('Bank Lines'!$E$5:$E$1640,'Bank Lines'!$G$5:$G$1640,A1153,'Bank Lines'!$J$5:$J$1640,1,'Bank Lines'!$C$5:$C$1640,"&lt;="&amp;Cover!$C$13),2)</f>
        <v>0</v>
      </c>
      <c r="N1153" s="9">
        <f>ROUND(SUMIFS('Odoo Items'!$G$5:$G$4331,'Odoo Items'!$J$5:$J$4331,A1153,'Odoo Items'!$C$5:$C$4331,"&lt;="&amp;Cover!$C$13),2)</f>
        <v>0</v>
      </c>
      <c r="O1153">
        <f>COUNTIFS('Bank Lines'!$G$5:$G$1640,A1153,'Bank Lines'!$J$5:$J$1640,1,'Bank Lines'!$C$5:$C$1640,"&lt;="&amp;Cover!$C$13)</f>
        <v>0</v>
      </c>
      <c r="P1153">
        <f>COUNTIFS('Odoo Items'!$J$5:$J$4331,A1153,'Odoo Items'!$C$5:$C$4331,"&lt;="&amp;Cover!$C$13)</f>
        <v>0</v>
      </c>
      <c r="Q1153">
        <f>IF(AND(O1153=0,P1153=0),"",IF(O1153=0,"ODOO-ONLY",IF(P1153=0,"BANK-ONLY","BOTH")))</f>
      </c>
      <c r="R1153" s="9">
        <f>IF(Q1153="BOTH",ROUND(M1153-N1153,2),0)</f>
        <v>0</v>
      </c>
      <c r="S1153" s="9">
        <f>ROUND(SUMIFS('Bank Lines'!$E$5:$E$1640,'Bank Lines'!$G$5:$G$1640,A1153,'Bank Lines'!$J$5:$J$1640,1,'Bank Lines'!$C$5:$C$1640,"&lt;="&amp;Cover!$C$14),2)</f>
        <v>15950</v>
      </c>
      <c r="T1153" s="9">
        <f>ROUND(SUMIFS('Odoo Items'!$G$5:$G$4331,'Odoo Items'!$J$5:$J$4331,A1153,'Odoo Items'!$C$5:$C$4331,"&lt;="&amp;Cover!$C$14),2)</f>
        <v>15950</v>
      </c>
      <c r="U1153">
        <f>COUNTIFS('Bank Lines'!$G$5:$G$1640,A1153,'Bank Lines'!$J$5:$J$1640,1,'Bank Lines'!$C$5:$C$1640,"&lt;="&amp;Cover!$C$14)</f>
        <v>1</v>
      </c>
      <c r="V1153">
        <f>COUNTIFS('Odoo Items'!$J$5:$J$4331,A1153,'Odoo Items'!$C$5:$C$4331,"&lt;="&amp;Cover!$C$14)</f>
        <v>1</v>
      </c>
      <c r="W1153" t="str">
        <f>IF(AND(U1153=0,V1153=0),"",IF(U1153=0,"ODOO-ONLY",IF(V1153=0,"BANK-ONLY","BOTH")))</f>
        <v>BOTH</v>
      </c>
      <c r="X1153" s="9">
        <f>IF(W1153="BOTH",ROUND(S1153-T1153,2),0)</f>
        <v>0</v>
      </c>
      <c r="Y1153" s="9">
        <f>ROUND(SUMIFS('Bank Lines'!$E$5:$E$1640,'Bank Lines'!$G$5:$G$1640,A1153,'Bank Lines'!$J$5:$J$1640,1,'Bank Lines'!$C$5:$C$1640,"&lt;="&amp;Cover!$C$15),2)</f>
        <v>15950</v>
      </c>
      <c r="Z1153" s="9">
        <f>ROUND(SUMIFS('Odoo Items'!$G$5:$G$4331,'Odoo Items'!$J$5:$J$4331,A1153,'Odoo Items'!$C$5:$C$4331,"&lt;="&amp;Cover!$C$15),2)</f>
        <v>15950</v>
      </c>
      <c r="AA1153">
        <f>COUNTIFS('Bank Lines'!$G$5:$G$1640,A1153,'Bank Lines'!$J$5:$J$1640,1,'Bank Lines'!$C$5:$C$1640,"&lt;="&amp;Cover!$C$15)</f>
        <v>1</v>
      </c>
      <c r="AB1153">
        <f>COUNTIFS('Odoo Items'!$J$5:$J$4331,A1153,'Odoo Items'!$C$5:$C$4331,"&lt;="&amp;Cover!$C$15)</f>
        <v>1</v>
      </c>
      <c r="AC1153" t="str">
        <f>IF(AND(AA1153=0,AB1153=0),"",IF(AA1153=0,"ODOO-ONLY",IF(AB1153=0,"BANK-ONLY","BOTH")))</f>
        <v>BOTH</v>
      </c>
      <c r="AD1153" s="9">
        <f>IF(AC1153="BOTH",ROUND(Y1153-Z1153,2),0)</f>
        <v>0</v>
      </c>
    </row>
    <row r="1154">
      <c r="A1154" t="inlineStr">
        <is>
          <t>G01150</t>
        </is>
      </c>
      <c r="B1154" t="inlineStr">
        <is>
          <t>OPS</t>
        </is>
      </c>
      <c r="C1154" t="inlineStr">
        <is>
          <t>R10</t>
        </is>
      </c>
      <c r="D1154" t="inlineStr">
        <is>
          <t>MATCH</t>
        </is>
      </c>
      <c r="E1154" t="inlineStr">
        <is>
          <t>Nettlefold Joinery</t>
        </is>
      </c>
      <c r="F1154" t="n">
        <v>1</v>
      </c>
      <c r="G1154" t="inlineStr">
        <is>
          <t>Payee 'NETTLEFOLD JOINERY PTY' = Nettlefold Joinery</t>
        </is>
      </c>
      <c r="H1154">
        <f>COUNTIFS('Bank Lines'!$G$5:$G$1640,A1154,'Bank Lines'!$J$5:$J$1640,1)</f>
        <v>1</v>
      </c>
      <c r="I1154">
        <f>COUNTIFS('Odoo Items'!$J$5:$J$4331,A1154)</f>
        <v>1</v>
      </c>
      <c r="J1154" s="9">
        <f>ROUND(SUMIFS('Bank Lines'!$E$5:$E$1640,'Bank Lines'!$G$5:$G$1640,A1154,'Bank Lines'!$J$5:$J$1640,1),2)</f>
        <v>3465</v>
      </c>
      <c r="K1154" s="9">
        <f>ROUND(SUMIFS('Odoo Items'!$G$5:$G$4331,'Odoo Items'!$J$5:$J$4331,A1154),2)</f>
        <v>3465</v>
      </c>
      <c r="L1154" s="9">
        <f>ROUND(J1154-K1154,2)</f>
        <v>0</v>
      </c>
      <c r="M1154" s="9">
        <f>ROUND(SUMIFS('Bank Lines'!$E$5:$E$1640,'Bank Lines'!$G$5:$G$1640,A1154,'Bank Lines'!$J$5:$J$1640,1,'Bank Lines'!$C$5:$C$1640,"&lt;="&amp;Cover!$C$13),2)</f>
        <v>0</v>
      </c>
      <c r="N1154" s="9">
        <f>ROUND(SUMIFS('Odoo Items'!$G$5:$G$4331,'Odoo Items'!$J$5:$J$4331,A1154,'Odoo Items'!$C$5:$C$4331,"&lt;="&amp;Cover!$C$13),2)</f>
        <v>0</v>
      </c>
      <c r="O1154">
        <f>COUNTIFS('Bank Lines'!$G$5:$G$1640,A1154,'Bank Lines'!$J$5:$J$1640,1,'Bank Lines'!$C$5:$C$1640,"&lt;="&amp;Cover!$C$13)</f>
        <v>0</v>
      </c>
      <c r="P1154">
        <f>COUNTIFS('Odoo Items'!$J$5:$J$4331,A1154,'Odoo Items'!$C$5:$C$4331,"&lt;="&amp;Cover!$C$13)</f>
        <v>0</v>
      </c>
      <c r="Q1154">
        <f>IF(AND(O1154=0,P1154=0),"",IF(O1154=0,"ODOO-ONLY",IF(P1154=0,"BANK-ONLY","BOTH")))</f>
      </c>
      <c r="R1154" s="9">
        <f>IF(Q1154="BOTH",ROUND(M1154-N1154,2),0)</f>
        <v>0</v>
      </c>
      <c r="S1154" s="9">
        <f>ROUND(SUMIFS('Bank Lines'!$E$5:$E$1640,'Bank Lines'!$G$5:$G$1640,A1154,'Bank Lines'!$J$5:$J$1640,1,'Bank Lines'!$C$5:$C$1640,"&lt;="&amp;Cover!$C$14),2)</f>
        <v>3465</v>
      </c>
      <c r="T1154" s="9">
        <f>ROUND(SUMIFS('Odoo Items'!$G$5:$G$4331,'Odoo Items'!$J$5:$J$4331,A1154,'Odoo Items'!$C$5:$C$4331,"&lt;="&amp;Cover!$C$14),2)</f>
        <v>3465</v>
      </c>
      <c r="U1154">
        <f>COUNTIFS('Bank Lines'!$G$5:$G$1640,A1154,'Bank Lines'!$J$5:$J$1640,1,'Bank Lines'!$C$5:$C$1640,"&lt;="&amp;Cover!$C$14)</f>
        <v>1</v>
      </c>
      <c r="V1154">
        <f>COUNTIFS('Odoo Items'!$J$5:$J$4331,A1154,'Odoo Items'!$C$5:$C$4331,"&lt;="&amp;Cover!$C$14)</f>
        <v>1</v>
      </c>
      <c r="W1154" t="str">
        <f>IF(AND(U1154=0,V1154=0),"",IF(U1154=0,"ODOO-ONLY",IF(V1154=0,"BANK-ONLY","BOTH")))</f>
        <v>BOTH</v>
      </c>
      <c r="X1154" s="9">
        <f>IF(W1154="BOTH",ROUND(S1154-T1154,2),0)</f>
        <v>0</v>
      </c>
      <c r="Y1154" s="9">
        <f>ROUND(SUMIFS('Bank Lines'!$E$5:$E$1640,'Bank Lines'!$G$5:$G$1640,A1154,'Bank Lines'!$J$5:$J$1640,1,'Bank Lines'!$C$5:$C$1640,"&lt;="&amp;Cover!$C$15),2)</f>
        <v>3465</v>
      </c>
      <c r="Z1154" s="9">
        <f>ROUND(SUMIFS('Odoo Items'!$G$5:$G$4331,'Odoo Items'!$J$5:$J$4331,A1154,'Odoo Items'!$C$5:$C$4331,"&lt;="&amp;Cover!$C$15),2)</f>
        <v>3465</v>
      </c>
      <c r="AA1154">
        <f>COUNTIFS('Bank Lines'!$G$5:$G$1640,A1154,'Bank Lines'!$J$5:$J$1640,1,'Bank Lines'!$C$5:$C$1640,"&lt;="&amp;Cover!$C$15)</f>
        <v>1</v>
      </c>
      <c r="AB1154">
        <f>COUNTIFS('Odoo Items'!$J$5:$J$4331,A1154,'Odoo Items'!$C$5:$C$4331,"&lt;="&amp;Cover!$C$15)</f>
        <v>1</v>
      </c>
      <c r="AC1154" t="str">
        <f>IF(AND(AA1154=0,AB1154=0),"",IF(AA1154=0,"ODOO-ONLY",IF(AB1154=0,"BANK-ONLY","BOTH")))</f>
        <v>BOTH</v>
      </c>
      <c r="AD1154" s="9">
        <f>IF(AC1154="BOTH",ROUND(Y1154-Z1154,2),0)</f>
        <v>0</v>
      </c>
    </row>
    <row r="1155">
      <c r="A1155" t="inlineStr">
        <is>
          <t>G01151</t>
        </is>
      </c>
      <c r="B1155" t="inlineStr">
        <is>
          <t>OPS</t>
        </is>
      </c>
      <c r="C1155" t="inlineStr">
        <is>
          <t>R10</t>
        </is>
      </c>
      <c r="D1155" t="inlineStr">
        <is>
          <t>MATCH</t>
        </is>
      </c>
      <c r="E1155" t="inlineStr">
        <is>
          <t>Equipment Finance Co</t>
        </is>
      </c>
      <c r="F1155" t="n">
        <v>0.85</v>
      </c>
      <c r="G1155" t="inlineStr">
        <is>
          <t>Payee 'EQUIPMENT FINANCE LOAN 08' = Equipment Finance Co</t>
        </is>
      </c>
      <c r="H1155">
        <f>COUNTIFS('Bank Lines'!$G$5:$G$1640,A1155,'Bank Lines'!$J$5:$J$1640,1)</f>
        <v>1</v>
      </c>
      <c r="I1155">
        <f>COUNTIFS('Odoo Items'!$J$5:$J$4331,A1155)</f>
        <v>1</v>
      </c>
      <c r="J1155" s="9">
        <f>ROUND(SUMIFS('Bank Lines'!$E$5:$E$1640,'Bank Lines'!$G$5:$G$1640,A1155,'Bank Lines'!$J$5:$J$1640,1),2)</f>
        <v>-4416.75</v>
      </c>
      <c r="K1155" s="9">
        <f>ROUND(SUMIFS('Odoo Items'!$G$5:$G$4331,'Odoo Items'!$J$5:$J$4331,A1155),2)</f>
        <v>-4416.75</v>
      </c>
      <c r="L1155" s="9">
        <f>ROUND(J1155-K1155,2)</f>
        <v>0</v>
      </c>
      <c r="M1155" s="9">
        <f>ROUND(SUMIFS('Bank Lines'!$E$5:$E$1640,'Bank Lines'!$G$5:$G$1640,A1155,'Bank Lines'!$J$5:$J$1640,1,'Bank Lines'!$C$5:$C$1640,"&lt;="&amp;Cover!$C$13),2)</f>
        <v>0</v>
      </c>
      <c r="N1155" s="9">
        <f>ROUND(SUMIFS('Odoo Items'!$G$5:$G$4331,'Odoo Items'!$J$5:$J$4331,A1155,'Odoo Items'!$C$5:$C$4331,"&lt;="&amp;Cover!$C$13),2)</f>
        <v>0</v>
      </c>
      <c r="O1155">
        <f>COUNTIFS('Bank Lines'!$G$5:$G$1640,A1155,'Bank Lines'!$J$5:$J$1640,1,'Bank Lines'!$C$5:$C$1640,"&lt;="&amp;Cover!$C$13)</f>
        <v>0</v>
      </c>
      <c r="P1155">
        <f>COUNTIFS('Odoo Items'!$J$5:$J$4331,A1155,'Odoo Items'!$C$5:$C$4331,"&lt;="&amp;Cover!$C$13)</f>
        <v>0</v>
      </c>
      <c r="Q1155">
        <f>IF(AND(O1155=0,P1155=0),"",IF(O1155=0,"ODOO-ONLY",IF(P1155=0,"BANK-ONLY","BOTH")))</f>
      </c>
      <c r="R1155" s="9">
        <f>IF(Q1155="BOTH",ROUND(M1155-N1155,2),0)</f>
        <v>0</v>
      </c>
      <c r="S1155" s="9">
        <f>ROUND(SUMIFS('Bank Lines'!$E$5:$E$1640,'Bank Lines'!$G$5:$G$1640,A1155,'Bank Lines'!$J$5:$J$1640,1,'Bank Lines'!$C$5:$C$1640,"&lt;="&amp;Cover!$C$14),2)</f>
        <v>-4416.75</v>
      </c>
      <c r="T1155" s="9">
        <f>ROUND(SUMIFS('Odoo Items'!$G$5:$G$4331,'Odoo Items'!$J$5:$J$4331,A1155,'Odoo Items'!$C$5:$C$4331,"&lt;="&amp;Cover!$C$14),2)</f>
        <v>-4416.75</v>
      </c>
      <c r="U1155">
        <f>COUNTIFS('Bank Lines'!$G$5:$G$1640,A1155,'Bank Lines'!$J$5:$J$1640,1,'Bank Lines'!$C$5:$C$1640,"&lt;="&amp;Cover!$C$14)</f>
        <v>1</v>
      </c>
      <c r="V1155">
        <f>COUNTIFS('Odoo Items'!$J$5:$J$4331,A1155,'Odoo Items'!$C$5:$C$4331,"&lt;="&amp;Cover!$C$14)</f>
        <v>1</v>
      </c>
      <c r="W1155" t="str">
        <f>IF(AND(U1155=0,V1155=0),"",IF(U1155=0,"ODOO-ONLY",IF(V1155=0,"BANK-ONLY","BOTH")))</f>
        <v>BOTH</v>
      </c>
      <c r="X1155" s="9">
        <f>IF(W1155="BOTH",ROUND(S1155-T1155,2),0)</f>
        <v>0</v>
      </c>
      <c r="Y1155" s="9">
        <f>ROUND(SUMIFS('Bank Lines'!$E$5:$E$1640,'Bank Lines'!$G$5:$G$1640,A1155,'Bank Lines'!$J$5:$J$1640,1,'Bank Lines'!$C$5:$C$1640,"&lt;="&amp;Cover!$C$15),2)</f>
        <v>-4416.75</v>
      </c>
      <c r="Z1155" s="9">
        <f>ROUND(SUMIFS('Odoo Items'!$G$5:$G$4331,'Odoo Items'!$J$5:$J$4331,A1155,'Odoo Items'!$C$5:$C$4331,"&lt;="&amp;Cover!$C$15),2)</f>
        <v>-4416.75</v>
      </c>
      <c r="AA1155">
        <f>COUNTIFS('Bank Lines'!$G$5:$G$1640,A1155,'Bank Lines'!$J$5:$J$1640,1,'Bank Lines'!$C$5:$C$1640,"&lt;="&amp;Cover!$C$15)</f>
        <v>1</v>
      </c>
      <c r="AB1155">
        <f>COUNTIFS('Odoo Items'!$J$5:$J$4331,A1155,'Odoo Items'!$C$5:$C$4331,"&lt;="&amp;Cover!$C$15)</f>
        <v>1</v>
      </c>
      <c r="AC1155" t="str">
        <f>IF(AND(AA1155=0,AB1155=0),"",IF(AA1155=0,"ODOO-ONLY",IF(AB1155=0,"BANK-ONLY","BOTH")))</f>
        <v>BOTH</v>
      </c>
      <c r="AD1155" s="9">
        <f>IF(AC1155="BOTH",ROUND(Y1155-Z1155,2),0)</f>
        <v>0</v>
      </c>
    </row>
    <row r="1156">
      <c r="A1156" t="inlineStr">
        <is>
          <t>G01152</t>
        </is>
      </c>
      <c r="B1156" t="inlineStr">
        <is>
          <t>OPS</t>
        </is>
      </c>
      <c r="C1156" t="inlineStr">
        <is>
          <t>R10</t>
        </is>
      </c>
      <c r="D1156" t="inlineStr">
        <is>
          <t>MATCH</t>
        </is>
      </c>
      <c r="E1156" t="inlineStr">
        <is>
          <t>Collins St Property Trust</t>
        </is>
      </c>
      <c r="F1156" t="n">
        <v>1</v>
      </c>
      <c r="G1156" t="inlineStr">
        <is>
          <t>Payee 'COLLINS ST PROPERTY TR' = Collins St Property Trust</t>
        </is>
      </c>
      <c r="H1156">
        <f>COUNTIFS('Bank Lines'!$G$5:$G$1640,A1156,'Bank Lines'!$J$5:$J$1640,1)</f>
        <v>1</v>
      </c>
      <c r="I1156">
        <f>COUNTIFS('Odoo Items'!$J$5:$J$4331,A1156)</f>
        <v>1</v>
      </c>
      <c r="J1156" s="9">
        <f>ROUND(SUMIFS('Bank Lines'!$E$5:$E$1640,'Bank Lines'!$G$5:$G$1640,A1156,'Bank Lines'!$J$5:$J$1640,1),2)</f>
        <v>-14850</v>
      </c>
      <c r="K1156" s="9">
        <f>ROUND(SUMIFS('Odoo Items'!$G$5:$G$4331,'Odoo Items'!$J$5:$J$4331,A1156),2)</f>
        <v>-14850</v>
      </c>
      <c r="L1156" s="9">
        <f>ROUND(J1156-K1156,2)</f>
        <v>0</v>
      </c>
      <c r="M1156" s="9">
        <f>ROUND(SUMIFS('Bank Lines'!$E$5:$E$1640,'Bank Lines'!$G$5:$G$1640,A1156,'Bank Lines'!$J$5:$J$1640,1,'Bank Lines'!$C$5:$C$1640,"&lt;="&amp;Cover!$C$13),2)</f>
        <v>0</v>
      </c>
      <c r="N1156" s="9">
        <f>ROUND(SUMIFS('Odoo Items'!$G$5:$G$4331,'Odoo Items'!$J$5:$J$4331,A1156,'Odoo Items'!$C$5:$C$4331,"&lt;="&amp;Cover!$C$13),2)</f>
        <v>0</v>
      </c>
      <c r="O1156">
        <f>COUNTIFS('Bank Lines'!$G$5:$G$1640,A1156,'Bank Lines'!$J$5:$J$1640,1,'Bank Lines'!$C$5:$C$1640,"&lt;="&amp;Cover!$C$13)</f>
        <v>0</v>
      </c>
      <c r="P1156">
        <f>COUNTIFS('Odoo Items'!$J$5:$J$4331,A1156,'Odoo Items'!$C$5:$C$4331,"&lt;="&amp;Cover!$C$13)</f>
        <v>0</v>
      </c>
      <c r="Q1156">
        <f>IF(AND(O1156=0,P1156=0),"",IF(O1156=0,"ODOO-ONLY",IF(P1156=0,"BANK-ONLY","BOTH")))</f>
      </c>
      <c r="R1156" s="9">
        <f>IF(Q1156="BOTH",ROUND(M1156-N1156,2),0)</f>
        <v>0</v>
      </c>
      <c r="S1156" s="9">
        <f>ROUND(SUMIFS('Bank Lines'!$E$5:$E$1640,'Bank Lines'!$G$5:$G$1640,A1156,'Bank Lines'!$J$5:$J$1640,1,'Bank Lines'!$C$5:$C$1640,"&lt;="&amp;Cover!$C$14),2)</f>
        <v>0</v>
      </c>
      <c r="T1156" s="9">
        <f>ROUND(SUMIFS('Odoo Items'!$G$5:$G$4331,'Odoo Items'!$J$5:$J$4331,A1156,'Odoo Items'!$C$5:$C$4331,"&lt;="&amp;Cover!$C$14),2)</f>
        <v>-14850</v>
      </c>
      <c r="U1156">
        <f>COUNTIFS('Bank Lines'!$G$5:$G$1640,A1156,'Bank Lines'!$J$5:$J$1640,1,'Bank Lines'!$C$5:$C$1640,"&lt;="&amp;Cover!$C$14)</f>
        <v>0</v>
      </c>
      <c r="V1156">
        <f>COUNTIFS('Odoo Items'!$J$5:$J$4331,A1156,'Odoo Items'!$C$5:$C$4331,"&lt;="&amp;Cover!$C$14)</f>
        <v>1</v>
      </c>
      <c r="W1156" t="str">
        <f>IF(AND(U1156=0,V1156=0),"",IF(U1156=0,"ODOO-ONLY",IF(V1156=0,"BANK-ONLY","BOTH")))</f>
        <v>ODOO-ONLY</v>
      </c>
      <c r="X1156" s="9">
        <f>IF(W1156="BOTH",ROUND(S1156-T1156,2),0)</f>
        <v>0</v>
      </c>
      <c r="Y1156" s="9">
        <f>ROUND(SUMIFS('Bank Lines'!$E$5:$E$1640,'Bank Lines'!$G$5:$G$1640,A1156,'Bank Lines'!$J$5:$J$1640,1,'Bank Lines'!$C$5:$C$1640,"&lt;="&amp;Cover!$C$15),2)</f>
        <v>-14850</v>
      </c>
      <c r="Z1156" s="9">
        <f>ROUND(SUMIFS('Odoo Items'!$G$5:$G$4331,'Odoo Items'!$J$5:$J$4331,A1156,'Odoo Items'!$C$5:$C$4331,"&lt;="&amp;Cover!$C$15),2)</f>
        <v>-14850</v>
      </c>
      <c r="AA1156">
        <f>COUNTIFS('Bank Lines'!$G$5:$G$1640,A1156,'Bank Lines'!$J$5:$J$1640,1,'Bank Lines'!$C$5:$C$1640,"&lt;="&amp;Cover!$C$15)</f>
        <v>1</v>
      </c>
      <c r="AB1156">
        <f>COUNTIFS('Odoo Items'!$J$5:$J$4331,A1156,'Odoo Items'!$C$5:$C$4331,"&lt;="&amp;Cover!$C$15)</f>
        <v>1</v>
      </c>
      <c r="AC1156" t="str">
        <f>IF(AND(AA1156=0,AB1156=0),"",IF(AA1156=0,"ODOO-ONLY",IF(AB1156=0,"BANK-ONLY","BOTH")))</f>
        <v>BOTH</v>
      </c>
      <c r="AD1156" s="9">
        <f>IF(AC1156="BOTH",ROUND(Y1156-Z1156,2),0)</f>
        <v>0</v>
      </c>
    </row>
    <row r="1157">
      <c r="A1157" t="inlineStr">
        <is>
          <t>G01153</t>
        </is>
      </c>
      <c r="B1157" t="inlineStr">
        <is>
          <t>OPS</t>
        </is>
      </c>
      <c r="C1157" t="inlineStr">
        <is>
          <t>R10</t>
        </is>
      </c>
      <c r="D1157" t="inlineStr">
        <is>
          <t>MATCH</t>
        </is>
      </c>
      <c r="E1157" t="inlineStr">
        <is>
          <t>Bayview Commercial Leasing</t>
        </is>
      </c>
      <c r="F1157" t="n">
        <v>1</v>
      </c>
      <c r="G1157" t="inlineStr">
        <is>
          <t>Payee 'BAYVIEWCOMMERCIA' = Bayview Commercial Leasing</t>
        </is>
      </c>
      <c r="H1157">
        <f>COUNTIFS('Bank Lines'!$G$5:$G$1640,A1157,'Bank Lines'!$J$5:$J$1640,1)</f>
        <v>1</v>
      </c>
      <c r="I1157">
        <f>COUNTIFS('Odoo Items'!$J$5:$J$4331,A1157)</f>
        <v>1</v>
      </c>
      <c r="J1157" s="9">
        <f>ROUND(SUMIFS('Bank Lines'!$E$5:$E$1640,'Bank Lines'!$G$5:$G$1640,A1157,'Bank Lines'!$J$5:$J$1640,1),2)</f>
        <v>-8250</v>
      </c>
      <c r="K1157" s="9">
        <f>ROUND(SUMIFS('Odoo Items'!$G$5:$G$4331,'Odoo Items'!$J$5:$J$4331,A1157),2)</f>
        <v>-8250</v>
      </c>
      <c r="L1157" s="9">
        <f>ROUND(J1157-K1157,2)</f>
        <v>0</v>
      </c>
      <c r="M1157" s="9">
        <f>ROUND(SUMIFS('Bank Lines'!$E$5:$E$1640,'Bank Lines'!$G$5:$G$1640,A1157,'Bank Lines'!$J$5:$J$1640,1,'Bank Lines'!$C$5:$C$1640,"&lt;="&amp;Cover!$C$13),2)</f>
        <v>0</v>
      </c>
      <c r="N1157" s="9">
        <f>ROUND(SUMIFS('Odoo Items'!$G$5:$G$4331,'Odoo Items'!$J$5:$J$4331,A1157,'Odoo Items'!$C$5:$C$4331,"&lt;="&amp;Cover!$C$13),2)</f>
        <v>0</v>
      </c>
      <c r="O1157">
        <f>COUNTIFS('Bank Lines'!$G$5:$G$1640,A1157,'Bank Lines'!$J$5:$J$1640,1,'Bank Lines'!$C$5:$C$1640,"&lt;="&amp;Cover!$C$13)</f>
        <v>0</v>
      </c>
      <c r="P1157">
        <f>COUNTIFS('Odoo Items'!$J$5:$J$4331,A1157,'Odoo Items'!$C$5:$C$4331,"&lt;="&amp;Cover!$C$13)</f>
        <v>0</v>
      </c>
      <c r="Q1157">
        <f>IF(AND(O1157=0,P1157=0),"",IF(O1157=0,"ODOO-ONLY",IF(P1157=0,"BANK-ONLY","BOTH")))</f>
      </c>
      <c r="R1157" s="9">
        <f>IF(Q1157="BOTH",ROUND(M1157-N1157,2),0)</f>
        <v>0</v>
      </c>
      <c r="S1157" s="9">
        <f>ROUND(SUMIFS('Bank Lines'!$E$5:$E$1640,'Bank Lines'!$G$5:$G$1640,A1157,'Bank Lines'!$J$5:$J$1640,1,'Bank Lines'!$C$5:$C$1640,"&lt;="&amp;Cover!$C$14),2)</f>
        <v>0</v>
      </c>
      <c r="T1157" s="9">
        <f>ROUND(SUMIFS('Odoo Items'!$G$5:$G$4331,'Odoo Items'!$J$5:$J$4331,A1157,'Odoo Items'!$C$5:$C$4331,"&lt;="&amp;Cover!$C$14),2)</f>
        <v>0</v>
      </c>
      <c r="U1157">
        <f>COUNTIFS('Bank Lines'!$G$5:$G$1640,A1157,'Bank Lines'!$J$5:$J$1640,1,'Bank Lines'!$C$5:$C$1640,"&lt;="&amp;Cover!$C$14)</f>
        <v>0</v>
      </c>
      <c r="V1157">
        <f>COUNTIFS('Odoo Items'!$J$5:$J$4331,A1157,'Odoo Items'!$C$5:$C$4331,"&lt;="&amp;Cover!$C$14)</f>
        <v>0</v>
      </c>
      <c r="W1157">
        <f>IF(AND(U1157=0,V1157=0),"",IF(U1157=0,"ODOO-ONLY",IF(V1157=0,"BANK-ONLY","BOTH")))</f>
      </c>
      <c r="X1157" s="9">
        <f>IF(W1157="BOTH",ROUND(S1157-T1157,2),0)</f>
        <v>0</v>
      </c>
      <c r="Y1157" s="9">
        <f>ROUND(SUMIFS('Bank Lines'!$E$5:$E$1640,'Bank Lines'!$G$5:$G$1640,A1157,'Bank Lines'!$J$5:$J$1640,1,'Bank Lines'!$C$5:$C$1640,"&lt;="&amp;Cover!$C$15),2)</f>
        <v>-8250</v>
      </c>
      <c r="Z1157" s="9">
        <f>ROUND(SUMIFS('Odoo Items'!$G$5:$G$4331,'Odoo Items'!$J$5:$J$4331,A1157,'Odoo Items'!$C$5:$C$4331,"&lt;="&amp;Cover!$C$15),2)</f>
        <v>-8250</v>
      </c>
      <c r="AA1157">
        <f>COUNTIFS('Bank Lines'!$G$5:$G$1640,A1157,'Bank Lines'!$J$5:$J$1640,1,'Bank Lines'!$C$5:$C$1640,"&lt;="&amp;Cover!$C$15)</f>
        <v>1</v>
      </c>
      <c r="AB1157">
        <f>COUNTIFS('Odoo Items'!$J$5:$J$4331,A1157,'Odoo Items'!$C$5:$C$4331,"&lt;="&amp;Cover!$C$15)</f>
        <v>1</v>
      </c>
      <c r="AC1157" t="str">
        <f>IF(AND(AA1157=0,AB1157=0),"",IF(AA1157=0,"ODOO-ONLY",IF(AB1157=0,"BANK-ONLY","BOTH")))</f>
        <v>BOTH</v>
      </c>
      <c r="AD1157" s="9">
        <f>IF(AC1157="BOTH",ROUND(Y1157-Z1157,2),0)</f>
        <v>0</v>
      </c>
    </row>
    <row r="1158">
      <c r="A1158" t="inlineStr">
        <is>
          <t>G01154</t>
        </is>
      </c>
      <c r="B1158" t="inlineStr">
        <is>
          <t>OPS</t>
        </is>
      </c>
      <c r="C1158" t="inlineStr">
        <is>
          <t>R10</t>
        </is>
      </c>
      <c r="D1158" t="inlineStr">
        <is>
          <t>MATCH</t>
        </is>
      </c>
      <c r="E1158" t="inlineStr">
        <is>
          <t>Marlowe Print &amp; Pack</t>
        </is>
      </c>
      <c r="F1158" t="n">
        <v>1</v>
      </c>
      <c r="G1158" t="inlineStr">
        <is>
          <t>Payee 'MARLOWE PRINT AND PACK' = Marlowe Print &amp; Pack</t>
        </is>
      </c>
      <c r="H1158">
        <f>COUNTIFS('Bank Lines'!$G$5:$G$1640,A1158,'Bank Lines'!$J$5:$J$1640,1)</f>
        <v>1</v>
      </c>
      <c r="I1158">
        <f>COUNTIFS('Odoo Items'!$J$5:$J$4331,A1158)</f>
        <v>1</v>
      </c>
      <c r="J1158" s="9">
        <f>ROUND(SUMIFS('Bank Lines'!$E$5:$E$1640,'Bank Lines'!$G$5:$G$1640,A1158,'Bank Lines'!$J$5:$J$1640,1),2)</f>
        <v>2117.5</v>
      </c>
      <c r="K1158" s="9">
        <f>ROUND(SUMIFS('Odoo Items'!$G$5:$G$4331,'Odoo Items'!$J$5:$J$4331,A1158),2)</f>
        <v>2117.5</v>
      </c>
      <c r="L1158" s="9">
        <f>ROUND(J1158-K1158,2)</f>
        <v>0</v>
      </c>
      <c r="M1158" s="9">
        <f>ROUND(SUMIFS('Bank Lines'!$E$5:$E$1640,'Bank Lines'!$G$5:$G$1640,A1158,'Bank Lines'!$J$5:$J$1640,1,'Bank Lines'!$C$5:$C$1640,"&lt;="&amp;Cover!$C$13),2)</f>
        <v>0</v>
      </c>
      <c r="N1158" s="9">
        <f>ROUND(SUMIFS('Odoo Items'!$G$5:$G$4331,'Odoo Items'!$J$5:$J$4331,A1158,'Odoo Items'!$C$5:$C$4331,"&lt;="&amp;Cover!$C$13),2)</f>
        <v>0</v>
      </c>
      <c r="O1158">
        <f>COUNTIFS('Bank Lines'!$G$5:$G$1640,A1158,'Bank Lines'!$J$5:$J$1640,1,'Bank Lines'!$C$5:$C$1640,"&lt;="&amp;Cover!$C$13)</f>
        <v>0</v>
      </c>
      <c r="P1158">
        <f>COUNTIFS('Odoo Items'!$J$5:$J$4331,A1158,'Odoo Items'!$C$5:$C$4331,"&lt;="&amp;Cover!$C$13)</f>
        <v>0</v>
      </c>
      <c r="Q1158">
        <f>IF(AND(O1158=0,P1158=0),"",IF(O1158=0,"ODOO-ONLY",IF(P1158=0,"BANK-ONLY","BOTH")))</f>
      </c>
      <c r="R1158" s="9">
        <f>IF(Q1158="BOTH",ROUND(M1158-N1158,2),0)</f>
        <v>0</v>
      </c>
      <c r="S1158" s="9">
        <f>ROUND(SUMIFS('Bank Lines'!$E$5:$E$1640,'Bank Lines'!$G$5:$G$1640,A1158,'Bank Lines'!$J$5:$J$1640,1,'Bank Lines'!$C$5:$C$1640,"&lt;="&amp;Cover!$C$14),2)</f>
        <v>0</v>
      </c>
      <c r="T1158" s="9">
        <f>ROUND(SUMIFS('Odoo Items'!$G$5:$G$4331,'Odoo Items'!$J$5:$J$4331,A1158,'Odoo Items'!$C$5:$C$4331,"&lt;="&amp;Cover!$C$14),2)</f>
        <v>0</v>
      </c>
      <c r="U1158">
        <f>COUNTIFS('Bank Lines'!$G$5:$G$1640,A1158,'Bank Lines'!$J$5:$J$1640,1,'Bank Lines'!$C$5:$C$1640,"&lt;="&amp;Cover!$C$14)</f>
        <v>0</v>
      </c>
      <c r="V1158">
        <f>COUNTIFS('Odoo Items'!$J$5:$J$4331,A1158,'Odoo Items'!$C$5:$C$4331,"&lt;="&amp;Cover!$C$14)</f>
        <v>0</v>
      </c>
      <c r="W1158">
        <f>IF(AND(U1158=0,V1158=0),"",IF(U1158=0,"ODOO-ONLY",IF(V1158=0,"BANK-ONLY","BOTH")))</f>
      </c>
      <c r="X1158" s="9">
        <f>IF(W1158="BOTH",ROUND(S1158-T1158,2),0)</f>
        <v>0</v>
      </c>
      <c r="Y1158" s="9">
        <f>ROUND(SUMIFS('Bank Lines'!$E$5:$E$1640,'Bank Lines'!$G$5:$G$1640,A1158,'Bank Lines'!$J$5:$J$1640,1,'Bank Lines'!$C$5:$C$1640,"&lt;="&amp;Cover!$C$15),2)</f>
        <v>2117.5</v>
      </c>
      <c r="Z1158" s="9">
        <f>ROUND(SUMIFS('Odoo Items'!$G$5:$G$4331,'Odoo Items'!$J$5:$J$4331,A1158,'Odoo Items'!$C$5:$C$4331,"&lt;="&amp;Cover!$C$15),2)</f>
        <v>2117.5</v>
      </c>
      <c r="AA1158">
        <f>COUNTIFS('Bank Lines'!$G$5:$G$1640,A1158,'Bank Lines'!$J$5:$J$1640,1,'Bank Lines'!$C$5:$C$1640,"&lt;="&amp;Cover!$C$15)</f>
        <v>1</v>
      </c>
      <c r="AB1158">
        <f>COUNTIFS('Odoo Items'!$J$5:$J$4331,A1158,'Odoo Items'!$C$5:$C$4331,"&lt;="&amp;Cover!$C$15)</f>
        <v>1</v>
      </c>
      <c r="AC1158" t="str">
        <f>IF(AND(AA1158=0,AB1158=0),"",IF(AA1158=0,"ODOO-ONLY",IF(AB1158=0,"BANK-ONLY","BOTH")))</f>
        <v>BOTH</v>
      </c>
      <c r="AD1158" s="9">
        <f>IF(AC1158="BOTH",ROUND(Y1158-Z1158,2),0)</f>
        <v>0</v>
      </c>
    </row>
    <row r="1159">
      <c r="A1159" t="inlineStr">
        <is>
          <t>G01155</t>
        </is>
      </c>
      <c r="B1159" t="inlineStr">
        <is>
          <t>OPS</t>
        </is>
      </c>
      <c r="C1159" t="inlineStr">
        <is>
          <t>R10</t>
        </is>
      </c>
      <c r="D1159" t="inlineStr">
        <is>
          <t>MATCH</t>
        </is>
      </c>
      <c r="E1159" t="inlineStr">
        <is>
          <t>Elmhurst Property Group</t>
        </is>
      </c>
      <c r="F1159" t="n">
        <v>1</v>
      </c>
      <c r="G1159" t="inlineStr">
        <is>
          <t>Payee 'ELMHURST PROPERTY GR' = Elmhurst Property Group</t>
        </is>
      </c>
      <c r="H1159">
        <f>COUNTIFS('Bank Lines'!$G$5:$G$1640,A1159,'Bank Lines'!$J$5:$J$1640,1)</f>
        <v>1</v>
      </c>
      <c r="I1159">
        <f>COUNTIFS('Odoo Items'!$J$5:$J$4331,A1159)</f>
        <v>1</v>
      </c>
      <c r="J1159" s="9">
        <f>ROUND(SUMIFS('Bank Lines'!$E$5:$E$1640,'Bank Lines'!$G$5:$G$1640,A1159,'Bank Lines'!$J$5:$J$1640,1),2)</f>
        <v>3465</v>
      </c>
      <c r="K1159" s="9">
        <f>ROUND(SUMIFS('Odoo Items'!$G$5:$G$4331,'Odoo Items'!$J$5:$J$4331,A1159),2)</f>
        <v>3465</v>
      </c>
      <c r="L1159" s="9">
        <f>ROUND(J1159-K1159,2)</f>
        <v>0</v>
      </c>
      <c r="M1159" s="9">
        <f>ROUND(SUMIFS('Bank Lines'!$E$5:$E$1640,'Bank Lines'!$G$5:$G$1640,A1159,'Bank Lines'!$J$5:$J$1640,1,'Bank Lines'!$C$5:$C$1640,"&lt;="&amp;Cover!$C$13),2)</f>
        <v>0</v>
      </c>
      <c r="N1159" s="9">
        <f>ROUND(SUMIFS('Odoo Items'!$G$5:$G$4331,'Odoo Items'!$J$5:$J$4331,A1159,'Odoo Items'!$C$5:$C$4331,"&lt;="&amp;Cover!$C$13),2)</f>
        <v>0</v>
      </c>
      <c r="O1159">
        <f>COUNTIFS('Bank Lines'!$G$5:$G$1640,A1159,'Bank Lines'!$J$5:$J$1640,1,'Bank Lines'!$C$5:$C$1640,"&lt;="&amp;Cover!$C$13)</f>
        <v>0</v>
      </c>
      <c r="P1159">
        <f>COUNTIFS('Odoo Items'!$J$5:$J$4331,A1159,'Odoo Items'!$C$5:$C$4331,"&lt;="&amp;Cover!$C$13)</f>
        <v>0</v>
      </c>
      <c r="Q1159">
        <f>IF(AND(O1159=0,P1159=0),"",IF(O1159=0,"ODOO-ONLY",IF(P1159=0,"BANK-ONLY","BOTH")))</f>
      </c>
      <c r="R1159" s="9">
        <f>IF(Q1159="BOTH",ROUND(M1159-N1159,2),0)</f>
        <v>0</v>
      </c>
      <c r="S1159" s="9">
        <f>ROUND(SUMIFS('Bank Lines'!$E$5:$E$1640,'Bank Lines'!$G$5:$G$1640,A1159,'Bank Lines'!$J$5:$J$1640,1,'Bank Lines'!$C$5:$C$1640,"&lt;="&amp;Cover!$C$14),2)</f>
        <v>0</v>
      </c>
      <c r="T1159" s="9">
        <f>ROUND(SUMIFS('Odoo Items'!$G$5:$G$4331,'Odoo Items'!$J$5:$J$4331,A1159,'Odoo Items'!$C$5:$C$4331,"&lt;="&amp;Cover!$C$14),2)</f>
        <v>0</v>
      </c>
      <c r="U1159">
        <f>COUNTIFS('Bank Lines'!$G$5:$G$1640,A1159,'Bank Lines'!$J$5:$J$1640,1,'Bank Lines'!$C$5:$C$1640,"&lt;="&amp;Cover!$C$14)</f>
        <v>0</v>
      </c>
      <c r="V1159">
        <f>COUNTIFS('Odoo Items'!$J$5:$J$4331,A1159,'Odoo Items'!$C$5:$C$4331,"&lt;="&amp;Cover!$C$14)</f>
        <v>0</v>
      </c>
      <c r="W1159">
        <f>IF(AND(U1159=0,V1159=0),"",IF(U1159=0,"ODOO-ONLY",IF(V1159=0,"BANK-ONLY","BOTH")))</f>
      </c>
      <c r="X1159" s="9">
        <f>IF(W1159="BOTH",ROUND(S1159-T1159,2),0)</f>
        <v>0</v>
      </c>
      <c r="Y1159" s="9">
        <f>ROUND(SUMIFS('Bank Lines'!$E$5:$E$1640,'Bank Lines'!$G$5:$G$1640,A1159,'Bank Lines'!$J$5:$J$1640,1,'Bank Lines'!$C$5:$C$1640,"&lt;="&amp;Cover!$C$15),2)</f>
        <v>3465</v>
      </c>
      <c r="Z1159" s="9">
        <f>ROUND(SUMIFS('Odoo Items'!$G$5:$G$4331,'Odoo Items'!$J$5:$J$4331,A1159,'Odoo Items'!$C$5:$C$4331,"&lt;="&amp;Cover!$C$15),2)</f>
        <v>3465</v>
      </c>
      <c r="AA1159">
        <f>COUNTIFS('Bank Lines'!$G$5:$G$1640,A1159,'Bank Lines'!$J$5:$J$1640,1,'Bank Lines'!$C$5:$C$1640,"&lt;="&amp;Cover!$C$15)</f>
        <v>1</v>
      </c>
      <c r="AB1159">
        <f>COUNTIFS('Odoo Items'!$J$5:$J$4331,A1159,'Odoo Items'!$C$5:$C$4331,"&lt;="&amp;Cover!$C$15)</f>
        <v>1</v>
      </c>
      <c r="AC1159" t="str">
        <f>IF(AND(AA1159=0,AB1159=0),"",IF(AA1159=0,"ODOO-ONLY",IF(AB1159=0,"BANK-ONLY","BOTH")))</f>
        <v>BOTH</v>
      </c>
      <c r="AD1159" s="9">
        <f>IF(AC1159="BOTH",ROUND(Y1159-Z1159,2),0)</f>
        <v>0</v>
      </c>
    </row>
    <row r="1160">
      <c r="A1160" t="inlineStr">
        <is>
          <t>G01156</t>
        </is>
      </c>
      <c r="B1160" t="inlineStr">
        <is>
          <t>OPS</t>
        </is>
      </c>
      <c r="C1160" t="inlineStr">
        <is>
          <t>R10</t>
        </is>
      </c>
      <c r="D1160" t="inlineStr">
        <is>
          <t>MATCH</t>
        </is>
      </c>
      <c r="E1160" t="inlineStr">
        <is>
          <t>Nettlefold Joinery</t>
        </is>
      </c>
      <c r="F1160" t="n">
        <v>1</v>
      </c>
      <c r="G1160" t="inlineStr">
        <is>
          <t>Payee 'NETTLEFOLD JOINERY' = Nettlefold Joinery; 2 invoices in one payment</t>
        </is>
      </c>
      <c r="H1160">
        <f>COUNTIFS('Bank Lines'!$G$5:$G$1640,A1160,'Bank Lines'!$J$5:$J$1640,1)</f>
        <v>1</v>
      </c>
      <c r="I1160">
        <f>COUNTIFS('Odoo Items'!$J$5:$J$4331,A1160)</f>
        <v>2</v>
      </c>
      <c r="J1160" s="9">
        <f>ROUND(SUMIFS('Bank Lines'!$E$5:$E$1640,'Bank Lines'!$G$5:$G$1640,A1160,'Bank Lines'!$J$5:$J$1640,1),2)</f>
        <v>9611.25</v>
      </c>
      <c r="K1160" s="9">
        <f>ROUND(SUMIFS('Odoo Items'!$G$5:$G$4331,'Odoo Items'!$J$5:$J$4331,A1160),2)</f>
        <v>9611.25</v>
      </c>
      <c r="L1160" s="9">
        <f>ROUND(J1160-K1160,2)</f>
        <v>0</v>
      </c>
      <c r="M1160" s="9">
        <f>ROUND(SUMIFS('Bank Lines'!$E$5:$E$1640,'Bank Lines'!$G$5:$G$1640,A1160,'Bank Lines'!$J$5:$J$1640,1,'Bank Lines'!$C$5:$C$1640,"&lt;="&amp;Cover!$C$13),2)</f>
        <v>0</v>
      </c>
      <c r="N1160" s="9">
        <f>ROUND(SUMIFS('Odoo Items'!$G$5:$G$4331,'Odoo Items'!$J$5:$J$4331,A1160,'Odoo Items'!$C$5:$C$4331,"&lt;="&amp;Cover!$C$13),2)</f>
        <v>0</v>
      </c>
      <c r="O1160">
        <f>COUNTIFS('Bank Lines'!$G$5:$G$1640,A1160,'Bank Lines'!$J$5:$J$1640,1,'Bank Lines'!$C$5:$C$1640,"&lt;="&amp;Cover!$C$13)</f>
        <v>0</v>
      </c>
      <c r="P1160">
        <f>COUNTIFS('Odoo Items'!$J$5:$J$4331,A1160,'Odoo Items'!$C$5:$C$4331,"&lt;="&amp;Cover!$C$13)</f>
        <v>0</v>
      </c>
      <c r="Q1160">
        <f>IF(AND(O1160=0,P1160=0),"",IF(O1160=0,"ODOO-ONLY",IF(P1160=0,"BANK-ONLY","BOTH")))</f>
      </c>
      <c r="R1160" s="9">
        <f>IF(Q1160="BOTH",ROUND(M1160-N1160,2),0)</f>
        <v>0</v>
      </c>
      <c r="S1160" s="9">
        <f>ROUND(SUMIFS('Bank Lines'!$E$5:$E$1640,'Bank Lines'!$G$5:$G$1640,A1160,'Bank Lines'!$J$5:$J$1640,1,'Bank Lines'!$C$5:$C$1640,"&lt;="&amp;Cover!$C$14),2)</f>
        <v>0</v>
      </c>
      <c r="T1160" s="9">
        <f>ROUND(SUMIFS('Odoo Items'!$G$5:$G$4331,'Odoo Items'!$J$5:$J$4331,A1160,'Odoo Items'!$C$5:$C$4331,"&lt;="&amp;Cover!$C$14),2)</f>
        <v>0</v>
      </c>
      <c r="U1160">
        <f>COUNTIFS('Bank Lines'!$G$5:$G$1640,A1160,'Bank Lines'!$J$5:$J$1640,1,'Bank Lines'!$C$5:$C$1640,"&lt;="&amp;Cover!$C$14)</f>
        <v>0</v>
      </c>
      <c r="V1160">
        <f>COUNTIFS('Odoo Items'!$J$5:$J$4331,A1160,'Odoo Items'!$C$5:$C$4331,"&lt;="&amp;Cover!$C$14)</f>
        <v>0</v>
      </c>
      <c r="W1160">
        <f>IF(AND(U1160=0,V1160=0),"",IF(U1160=0,"ODOO-ONLY",IF(V1160=0,"BANK-ONLY","BOTH")))</f>
      </c>
      <c r="X1160" s="9">
        <f>IF(W1160="BOTH",ROUND(S1160-T1160,2),0)</f>
        <v>0</v>
      </c>
      <c r="Y1160" s="9">
        <f>ROUND(SUMIFS('Bank Lines'!$E$5:$E$1640,'Bank Lines'!$G$5:$G$1640,A1160,'Bank Lines'!$J$5:$J$1640,1,'Bank Lines'!$C$5:$C$1640,"&lt;="&amp;Cover!$C$15),2)</f>
        <v>9611.25</v>
      </c>
      <c r="Z1160" s="9">
        <f>ROUND(SUMIFS('Odoo Items'!$G$5:$G$4331,'Odoo Items'!$J$5:$J$4331,A1160,'Odoo Items'!$C$5:$C$4331,"&lt;="&amp;Cover!$C$15),2)</f>
        <v>9611.25</v>
      </c>
      <c r="AA1160">
        <f>COUNTIFS('Bank Lines'!$G$5:$G$1640,A1160,'Bank Lines'!$J$5:$J$1640,1,'Bank Lines'!$C$5:$C$1640,"&lt;="&amp;Cover!$C$15)</f>
        <v>1</v>
      </c>
      <c r="AB1160">
        <f>COUNTIFS('Odoo Items'!$J$5:$J$4331,A1160,'Odoo Items'!$C$5:$C$4331,"&lt;="&amp;Cover!$C$15)</f>
        <v>2</v>
      </c>
      <c r="AC1160" t="str">
        <f>IF(AND(AA1160=0,AB1160=0),"",IF(AA1160=0,"ODOO-ONLY",IF(AB1160=0,"BANK-ONLY","BOTH")))</f>
        <v>BOTH</v>
      </c>
      <c r="AD1160" s="9">
        <f>IF(AC1160="BOTH",ROUND(Y1160-Z1160,2),0)</f>
        <v>0</v>
      </c>
    </row>
    <row r="1161">
      <c r="A1161" t="inlineStr">
        <is>
          <t>G01157</t>
        </is>
      </c>
      <c r="B1161" t="inlineStr">
        <is>
          <t>OPS</t>
        </is>
      </c>
      <c r="C1161" t="inlineStr">
        <is>
          <t>R10</t>
        </is>
      </c>
      <c r="D1161" t="inlineStr">
        <is>
          <t>MATCH</t>
        </is>
      </c>
      <c r="E1161" t="inlineStr">
        <is>
          <t>Quarry Lane Concrete</t>
        </is>
      </c>
      <c r="F1161" t="n">
        <v>0.973</v>
      </c>
      <c r="G1161" t="inlineStr">
        <is>
          <t>Payee 'QUARRY LANE CONCRETE P' = Quarry Lane Concrete; 3 invoices in one payment</t>
        </is>
      </c>
      <c r="H1161">
        <f>COUNTIFS('Bank Lines'!$G$5:$G$1640,A1161,'Bank Lines'!$J$5:$J$1640,1)</f>
        <v>1</v>
      </c>
      <c r="I1161">
        <f>COUNTIFS('Odoo Items'!$J$5:$J$4331,A1161)</f>
        <v>3</v>
      </c>
      <c r="J1161" s="9">
        <f>ROUND(SUMIFS('Bank Lines'!$E$5:$E$1640,'Bank Lines'!$G$5:$G$1640,A1161,'Bank Lines'!$J$5:$J$1640,1),2)</f>
        <v>12595</v>
      </c>
      <c r="K1161" s="9">
        <f>ROUND(SUMIFS('Odoo Items'!$G$5:$G$4331,'Odoo Items'!$J$5:$J$4331,A1161),2)</f>
        <v>12595</v>
      </c>
      <c r="L1161" s="9">
        <f>ROUND(J1161-K1161,2)</f>
        <v>0</v>
      </c>
      <c r="M1161" s="9">
        <f>ROUND(SUMIFS('Bank Lines'!$E$5:$E$1640,'Bank Lines'!$G$5:$G$1640,A1161,'Bank Lines'!$J$5:$J$1640,1,'Bank Lines'!$C$5:$C$1640,"&lt;="&amp;Cover!$C$13),2)</f>
        <v>0</v>
      </c>
      <c r="N1161" s="9">
        <f>ROUND(SUMIFS('Odoo Items'!$G$5:$G$4331,'Odoo Items'!$J$5:$J$4331,A1161,'Odoo Items'!$C$5:$C$4331,"&lt;="&amp;Cover!$C$13),2)</f>
        <v>0</v>
      </c>
      <c r="O1161">
        <f>COUNTIFS('Bank Lines'!$G$5:$G$1640,A1161,'Bank Lines'!$J$5:$J$1640,1,'Bank Lines'!$C$5:$C$1640,"&lt;="&amp;Cover!$C$13)</f>
        <v>0</v>
      </c>
      <c r="P1161">
        <f>COUNTIFS('Odoo Items'!$J$5:$J$4331,A1161,'Odoo Items'!$C$5:$C$4331,"&lt;="&amp;Cover!$C$13)</f>
        <v>0</v>
      </c>
      <c r="Q1161">
        <f>IF(AND(O1161=0,P1161=0),"",IF(O1161=0,"ODOO-ONLY",IF(P1161=0,"BANK-ONLY","BOTH")))</f>
      </c>
      <c r="R1161" s="9">
        <f>IF(Q1161="BOTH",ROUND(M1161-N1161,2),0)</f>
        <v>0</v>
      </c>
      <c r="S1161" s="9">
        <f>ROUND(SUMIFS('Bank Lines'!$E$5:$E$1640,'Bank Lines'!$G$5:$G$1640,A1161,'Bank Lines'!$J$5:$J$1640,1,'Bank Lines'!$C$5:$C$1640,"&lt;="&amp;Cover!$C$14),2)</f>
        <v>0</v>
      </c>
      <c r="T1161" s="9">
        <f>ROUND(SUMIFS('Odoo Items'!$G$5:$G$4331,'Odoo Items'!$J$5:$J$4331,A1161,'Odoo Items'!$C$5:$C$4331,"&lt;="&amp;Cover!$C$14),2)</f>
        <v>0</v>
      </c>
      <c r="U1161">
        <f>COUNTIFS('Bank Lines'!$G$5:$G$1640,A1161,'Bank Lines'!$J$5:$J$1640,1,'Bank Lines'!$C$5:$C$1640,"&lt;="&amp;Cover!$C$14)</f>
        <v>0</v>
      </c>
      <c r="V1161">
        <f>COUNTIFS('Odoo Items'!$J$5:$J$4331,A1161,'Odoo Items'!$C$5:$C$4331,"&lt;="&amp;Cover!$C$14)</f>
        <v>0</v>
      </c>
      <c r="W1161">
        <f>IF(AND(U1161=0,V1161=0),"",IF(U1161=0,"ODOO-ONLY",IF(V1161=0,"BANK-ONLY","BOTH")))</f>
      </c>
      <c r="X1161" s="9">
        <f>IF(W1161="BOTH",ROUND(S1161-T1161,2),0)</f>
        <v>0</v>
      </c>
      <c r="Y1161" s="9">
        <f>ROUND(SUMIFS('Bank Lines'!$E$5:$E$1640,'Bank Lines'!$G$5:$G$1640,A1161,'Bank Lines'!$J$5:$J$1640,1,'Bank Lines'!$C$5:$C$1640,"&lt;="&amp;Cover!$C$15),2)</f>
        <v>12595</v>
      </c>
      <c r="Z1161" s="9">
        <f>ROUND(SUMIFS('Odoo Items'!$G$5:$G$4331,'Odoo Items'!$J$5:$J$4331,A1161,'Odoo Items'!$C$5:$C$4331,"&lt;="&amp;Cover!$C$15),2)</f>
        <v>12595</v>
      </c>
      <c r="AA1161">
        <f>COUNTIFS('Bank Lines'!$G$5:$G$1640,A1161,'Bank Lines'!$J$5:$J$1640,1,'Bank Lines'!$C$5:$C$1640,"&lt;="&amp;Cover!$C$15)</f>
        <v>1</v>
      </c>
      <c r="AB1161">
        <f>COUNTIFS('Odoo Items'!$J$5:$J$4331,A1161,'Odoo Items'!$C$5:$C$4331,"&lt;="&amp;Cover!$C$15)</f>
        <v>3</v>
      </c>
      <c r="AC1161" t="str">
        <f>IF(AND(AA1161=0,AB1161=0),"",IF(AA1161=0,"ODOO-ONLY",IF(AB1161=0,"BANK-ONLY","BOTH")))</f>
        <v>BOTH</v>
      </c>
      <c r="AD1161" s="9">
        <f>IF(AC1161="BOTH",ROUND(Y1161-Z1161,2),0)</f>
        <v>0</v>
      </c>
    </row>
    <row r="1162">
      <c r="A1162" t="inlineStr">
        <is>
          <t>G01158</t>
        </is>
      </c>
      <c r="B1162" t="inlineStr">
        <is>
          <t>OPS</t>
        </is>
      </c>
      <c r="C1162" t="inlineStr">
        <is>
          <t>R10</t>
        </is>
      </c>
      <c r="D1162" t="inlineStr">
        <is>
          <t>MATCH</t>
        </is>
      </c>
      <c r="E1162" t="inlineStr">
        <is>
          <t>Kinross Medical Couriers</t>
        </is>
      </c>
      <c r="F1162" t="n">
        <v>1</v>
      </c>
      <c r="G1162" t="inlineStr">
        <is>
          <t>Payee 'KINROSSMEDICALCO' = Kinross Medical Couriers; 3 invoices in one payment</t>
        </is>
      </c>
      <c r="H1162">
        <f>COUNTIFS('Bank Lines'!$G$5:$G$1640,A1162,'Bank Lines'!$J$5:$J$1640,1)</f>
        <v>1</v>
      </c>
      <c r="I1162">
        <f>COUNTIFS('Odoo Items'!$J$5:$J$4331,A1162)</f>
        <v>3</v>
      </c>
      <c r="J1162" s="9">
        <f>ROUND(SUMIFS('Bank Lines'!$E$5:$E$1640,'Bank Lines'!$G$5:$G$1640,A1162,'Bank Lines'!$J$5:$J$1640,1),2)</f>
        <v>22921.25</v>
      </c>
      <c r="K1162" s="9">
        <f>ROUND(SUMIFS('Odoo Items'!$G$5:$G$4331,'Odoo Items'!$J$5:$J$4331,A1162),2)</f>
        <v>22921.25</v>
      </c>
      <c r="L1162" s="9">
        <f>ROUND(J1162-K1162,2)</f>
        <v>0</v>
      </c>
      <c r="M1162" s="9">
        <f>ROUND(SUMIFS('Bank Lines'!$E$5:$E$1640,'Bank Lines'!$G$5:$G$1640,A1162,'Bank Lines'!$J$5:$J$1640,1,'Bank Lines'!$C$5:$C$1640,"&lt;="&amp;Cover!$C$13),2)</f>
        <v>0</v>
      </c>
      <c r="N1162" s="9">
        <f>ROUND(SUMIFS('Odoo Items'!$G$5:$G$4331,'Odoo Items'!$J$5:$J$4331,A1162,'Odoo Items'!$C$5:$C$4331,"&lt;="&amp;Cover!$C$13),2)</f>
        <v>0</v>
      </c>
      <c r="O1162">
        <f>COUNTIFS('Bank Lines'!$G$5:$G$1640,A1162,'Bank Lines'!$J$5:$J$1640,1,'Bank Lines'!$C$5:$C$1640,"&lt;="&amp;Cover!$C$13)</f>
        <v>0</v>
      </c>
      <c r="P1162">
        <f>COUNTIFS('Odoo Items'!$J$5:$J$4331,A1162,'Odoo Items'!$C$5:$C$4331,"&lt;="&amp;Cover!$C$13)</f>
        <v>0</v>
      </c>
      <c r="Q1162">
        <f>IF(AND(O1162=0,P1162=0),"",IF(O1162=0,"ODOO-ONLY",IF(P1162=0,"BANK-ONLY","BOTH")))</f>
      </c>
      <c r="R1162" s="9">
        <f>IF(Q1162="BOTH",ROUND(M1162-N1162,2),0)</f>
        <v>0</v>
      </c>
      <c r="S1162" s="9">
        <f>ROUND(SUMIFS('Bank Lines'!$E$5:$E$1640,'Bank Lines'!$G$5:$G$1640,A1162,'Bank Lines'!$J$5:$J$1640,1,'Bank Lines'!$C$5:$C$1640,"&lt;="&amp;Cover!$C$14),2)</f>
        <v>0</v>
      </c>
      <c r="T1162" s="9">
        <f>ROUND(SUMIFS('Odoo Items'!$G$5:$G$4331,'Odoo Items'!$J$5:$J$4331,A1162,'Odoo Items'!$C$5:$C$4331,"&lt;="&amp;Cover!$C$14),2)</f>
        <v>0</v>
      </c>
      <c r="U1162">
        <f>COUNTIFS('Bank Lines'!$G$5:$G$1640,A1162,'Bank Lines'!$J$5:$J$1640,1,'Bank Lines'!$C$5:$C$1640,"&lt;="&amp;Cover!$C$14)</f>
        <v>0</v>
      </c>
      <c r="V1162">
        <f>COUNTIFS('Odoo Items'!$J$5:$J$4331,A1162,'Odoo Items'!$C$5:$C$4331,"&lt;="&amp;Cover!$C$14)</f>
        <v>0</v>
      </c>
      <c r="W1162">
        <f>IF(AND(U1162=0,V1162=0),"",IF(U1162=0,"ODOO-ONLY",IF(V1162=0,"BANK-ONLY","BOTH")))</f>
      </c>
      <c r="X1162" s="9">
        <f>IF(W1162="BOTH",ROUND(S1162-T1162,2),0)</f>
        <v>0</v>
      </c>
      <c r="Y1162" s="9">
        <f>ROUND(SUMIFS('Bank Lines'!$E$5:$E$1640,'Bank Lines'!$G$5:$G$1640,A1162,'Bank Lines'!$J$5:$J$1640,1,'Bank Lines'!$C$5:$C$1640,"&lt;="&amp;Cover!$C$15),2)</f>
        <v>22921.25</v>
      </c>
      <c r="Z1162" s="9">
        <f>ROUND(SUMIFS('Odoo Items'!$G$5:$G$4331,'Odoo Items'!$J$5:$J$4331,A1162,'Odoo Items'!$C$5:$C$4331,"&lt;="&amp;Cover!$C$15),2)</f>
        <v>22921.25</v>
      </c>
      <c r="AA1162">
        <f>COUNTIFS('Bank Lines'!$G$5:$G$1640,A1162,'Bank Lines'!$J$5:$J$1640,1,'Bank Lines'!$C$5:$C$1640,"&lt;="&amp;Cover!$C$15)</f>
        <v>1</v>
      </c>
      <c r="AB1162">
        <f>COUNTIFS('Odoo Items'!$J$5:$J$4331,A1162,'Odoo Items'!$C$5:$C$4331,"&lt;="&amp;Cover!$C$15)</f>
        <v>3</v>
      </c>
      <c r="AC1162" t="str">
        <f>IF(AND(AA1162=0,AB1162=0),"",IF(AA1162=0,"ODOO-ONLY",IF(AB1162=0,"BANK-ONLY","BOTH")))</f>
        <v>BOTH</v>
      </c>
      <c r="AD1162" s="9">
        <f>IF(AC1162="BOTH",ROUND(Y1162-Z1162,2),0)</f>
        <v>0</v>
      </c>
    </row>
    <row r="1163">
      <c r="A1163" t="inlineStr">
        <is>
          <t>G01159</t>
        </is>
      </c>
      <c r="B1163" t="inlineStr">
        <is>
          <t>OPS</t>
        </is>
      </c>
      <c r="C1163" t="inlineStr">
        <is>
          <t>R10</t>
        </is>
      </c>
      <c r="D1163" t="inlineStr">
        <is>
          <t>MATCH</t>
        </is>
      </c>
      <c r="E1163" t="inlineStr">
        <is>
          <t>Cloud Payroll Pty Ltd</t>
        </is>
      </c>
      <c r="F1163" t="n">
        <v>1</v>
      </c>
      <c r="G1163" t="inlineStr">
        <is>
          <t>Payee 'CLOUD PAYROLL' = Cloud Payroll Pty Ltd</t>
        </is>
      </c>
      <c r="H1163">
        <f>COUNTIFS('Bank Lines'!$G$5:$G$1640,A1163,'Bank Lines'!$J$5:$J$1640,1)</f>
        <v>1</v>
      </c>
      <c r="I1163">
        <f>COUNTIFS('Odoo Items'!$J$5:$J$4331,A1163)</f>
        <v>1</v>
      </c>
      <c r="J1163" s="9">
        <f>ROUND(SUMIFS('Bank Lines'!$E$5:$E$1640,'Bank Lines'!$G$5:$G$1640,A1163,'Bank Lines'!$J$5:$J$1640,1),2)</f>
        <v>-495</v>
      </c>
      <c r="K1163" s="9">
        <f>ROUND(SUMIFS('Odoo Items'!$G$5:$G$4331,'Odoo Items'!$J$5:$J$4331,A1163),2)</f>
        <v>-495</v>
      </c>
      <c r="L1163" s="9">
        <f>ROUND(J1163-K1163,2)</f>
        <v>0</v>
      </c>
      <c r="M1163" s="9">
        <f>ROUND(SUMIFS('Bank Lines'!$E$5:$E$1640,'Bank Lines'!$G$5:$G$1640,A1163,'Bank Lines'!$J$5:$J$1640,1,'Bank Lines'!$C$5:$C$1640,"&lt;="&amp;Cover!$C$13),2)</f>
        <v>0</v>
      </c>
      <c r="N1163" s="9">
        <f>ROUND(SUMIFS('Odoo Items'!$G$5:$G$4331,'Odoo Items'!$J$5:$J$4331,A1163,'Odoo Items'!$C$5:$C$4331,"&lt;="&amp;Cover!$C$13),2)</f>
        <v>0</v>
      </c>
      <c r="O1163">
        <f>COUNTIFS('Bank Lines'!$G$5:$G$1640,A1163,'Bank Lines'!$J$5:$J$1640,1,'Bank Lines'!$C$5:$C$1640,"&lt;="&amp;Cover!$C$13)</f>
        <v>0</v>
      </c>
      <c r="P1163">
        <f>COUNTIFS('Odoo Items'!$J$5:$J$4331,A1163,'Odoo Items'!$C$5:$C$4331,"&lt;="&amp;Cover!$C$13)</f>
        <v>0</v>
      </c>
      <c r="Q1163">
        <f>IF(AND(O1163=0,P1163=0),"",IF(O1163=0,"ODOO-ONLY",IF(P1163=0,"BANK-ONLY","BOTH")))</f>
      </c>
      <c r="R1163" s="9">
        <f>IF(Q1163="BOTH",ROUND(M1163-N1163,2),0)</f>
        <v>0</v>
      </c>
      <c r="S1163" s="9">
        <f>ROUND(SUMIFS('Bank Lines'!$E$5:$E$1640,'Bank Lines'!$G$5:$G$1640,A1163,'Bank Lines'!$J$5:$J$1640,1,'Bank Lines'!$C$5:$C$1640,"&lt;="&amp;Cover!$C$14),2)</f>
        <v>0</v>
      </c>
      <c r="T1163" s="9">
        <f>ROUND(SUMIFS('Odoo Items'!$G$5:$G$4331,'Odoo Items'!$J$5:$J$4331,A1163,'Odoo Items'!$C$5:$C$4331,"&lt;="&amp;Cover!$C$14),2)</f>
        <v>0</v>
      </c>
      <c r="U1163">
        <f>COUNTIFS('Bank Lines'!$G$5:$G$1640,A1163,'Bank Lines'!$J$5:$J$1640,1,'Bank Lines'!$C$5:$C$1640,"&lt;="&amp;Cover!$C$14)</f>
        <v>0</v>
      </c>
      <c r="V1163">
        <f>COUNTIFS('Odoo Items'!$J$5:$J$4331,A1163,'Odoo Items'!$C$5:$C$4331,"&lt;="&amp;Cover!$C$14)</f>
        <v>0</v>
      </c>
      <c r="W1163">
        <f>IF(AND(U1163=0,V1163=0),"",IF(U1163=0,"ODOO-ONLY",IF(V1163=0,"BANK-ONLY","BOTH")))</f>
      </c>
      <c r="X1163" s="9">
        <f>IF(W1163="BOTH",ROUND(S1163-T1163,2),0)</f>
        <v>0</v>
      </c>
      <c r="Y1163" s="9">
        <f>ROUND(SUMIFS('Bank Lines'!$E$5:$E$1640,'Bank Lines'!$G$5:$G$1640,A1163,'Bank Lines'!$J$5:$J$1640,1,'Bank Lines'!$C$5:$C$1640,"&lt;="&amp;Cover!$C$15),2)</f>
        <v>-495</v>
      </c>
      <c r="Z1163" s="9">
        <f>ROUND(SUMIFS('Odoo Items'!$G$5:$G$4331,'Odoo Items'!$J$5:$J$4331,A1163,'Odoo Items'!$C$5:$C$4331,"&lt;="&amp;Cover!$C$15),2)</f>
        <v>-495</v>
      </c>
      <c r="AA1163">
        <f>COUNTIFS('Bank Lines'!$G$5:$G$1640,A1163,'Bank Lines'!$J$5:$J$1640,1,'Bank Lines'!$C$5:$C$1640,"&lt;="&amp;Cover!$C$15)</f>
        <v>1</v>
      </c>
      <c r="AB1163">
        <f>COUNTIFS('Odoo Items'!$J$5:$J$4331,A1163,'Odoo Items'!$C$5:$C$4331,"&lt;="&amp;Cover!$C$15)</f>
        <v>1</v>
      </c>
      <c r="AC1163" t="str">
        <f>IF(AND(AA1163=0,AB1163=0),"",IF(AA1163=0,"ODOO-ONLY",IF(AB1163=0,"BANK-ONLY","BOTH")))</f>
        <v>BOTH</v>
      </c>
      <c r="AD1163" s="9">
        <f>IF(AC1163="BOTH",ROUND(Y1163-Z1163,2),0)</f>
        <v>0</v>
      </c>
    </row>
    <row r="1164">
      <c r="A1164" t="inlineStr">
        <is>
          <t>G01160</t>
        </is>
      </c>
      <c r="B1164" t="inlineStr">
        <is>
          <t>OPS</t>
        </is>
      </c>
      <c r="C1164" t="inlineStr">
        <is>
          <t>R10</t>
        </is>
      </c>
      <c r="D1164" t="inlineStr">
        <is>
          <t>MATCH</t>
        </is>
      </c>
      <c r="E1164" t="inlineStr">
        <is>
          <t>Ostrander Manufacturing</t>
        </is>
      </c>
      <c r="F1164" t="n">
        <v>1</v>
      </c>
      <c r="G1164" t="inlineStr">
        <is>
          <t>Payee 'OSTRANDERMANUFAC' = Ostrander Manufacturing</t>
        </is>
      </c>
      <c r="H1164">
        <f>COUNTIFS('Bank Lines'!$G$5:$G$1640,A1164,'Bank Lines'!$J$5:$J$1640,1)</f>
        <v>1</v>
      </c>
      <c r="I1164">
        <f>COUNTIFS('Odoo Items'!$J$5:$J$4331,A1164)</f>
        <v>1</v>
      </c>
      <c r="J1164" s="9">
        <f>ROUND(SUMIFS('Bank Lines'!$E$5:$E$1640,'Bank Lines'!$G$5:$G$1640,A1164,'Bank Lines'!$J$5:$J$1640,1),2)</f>
        <v>1320</v>
      </c>
      <c r="K1164" s="9">
        <f>ROUND(SUMIFS('Odoo Items'!$G$5:$G$4331,'Odoo Items'!$J$5:$J$4331,A1164),2)</f>
        <v>1320</v>
      </c>
      <c r="L1164" s="9">
        <f>ROUND(J1164-K1164,2)</f>
        <v>0</v>
      </c>
      <c r="M1164" s="9">
        <f>ROUND(SUMIFS('Bank Lines'!$E$5:$E$1640,'Bank Lines'!$G$5:$G$1640,A1164,'Bank Lines'!$J$5:$J$1640,1,'Bank Lines'!$C$5:$C$1640,"&lt;="&amp;Cover!$C$13),2)</f>
        <v>0</v>
      </c>
      <c r="N1164" s="9">
        <f>ROUND(SUMIFS('Odoo Items'!$G$5:$G$4331,'Odoo Items'!$J$5:$J$4331,A1164,'Odoo Items'!$C$5:$C$4331,"&lt;="&amp;Cover!$C$13),2)</f>
        <v>0</v>
      </c>
      <c r="O1164">
        <f>COUNTIFS('Bank Lines'!$G$5:$G$1640,A1164,'Bank Lines'!$J$5:$J$1640,1,'Bank Lines'!$C$5:$C$1640,"&lt;="&amp;Cover!$C$13)</f>
        <v>0</v>
      </c>
      <c r="P1164">
        <f>COUNTIFS('Odoo Items'!$J$5:$J$4331,A1164,'Odoo Items'!$C$5:$C$4331,"&lt;="&amp;Cover!$C$13)</f>
        <v>0</v>
      </c>
      <c r="Q1164">
        <f>IF(AND(O1164=0,P1164=0),"",IF(O1164=0,"ODOO-ONLY",IF(P1164=0,"BANK-ONLY","BOTH")))</f>
      </c>
      <c r="R1164" s="9">
        <f>IF(Q1164="BOTH",ROUND(M1164-N1164,2),0)</f>
        <v>0</v>
      </c>
      <c r="S1164" s="9">
        <f>ROUND(SUMIFS('Bank Lines'!$E$5:$E$1640,'Bank Lines'!$G$5:$G$1640,A1164,'Bank Lines'!$J$5:$J$1640,1,'Bank Lines'!$C$5:$C$1640,"&lt;="&amp;Cover!$C$14),2)</f>
        <v>0</v>
      </c>
      <c r="T1164" s="9">
        <f>ROUND(SUMIFS('Odoo Items'!$G$5:$G$4331,'Odoo Items'!$J$5:$J$4331,A1164,'Odoo Items'!$C$5:$C$4331,"&lt;="&amp;Cover!$C$14),2)</f>
        <v>0</v>
      </c>
      <c r="U1164">
        <f>COUNTIFS('Bank Lines'!$G$5:$G$1640,A1164,'Bank Lines'!$J$5:$J$1640,1,'Bank Lines'!$C$5:$C$1640,"&lt;="&amp;Cover!$C$14)</f>
        <v>0</v>
      </c>
      <c r="V1164">
        <f>COUNTIFS('Odoo Items'!$J$5:$J$4331,A1164,'Odoo Items'!$C$5:$C$4331,"&lt;="&amp;Cover!$C$14)</f>
        <v>0</v>
      </c>
      <c r="W1164">
        <f>IF(AND(U1164=0,V1164=0),"",IF(U1164=0,"ODOO-ONLY",IF(V1164=0,"BANK-ONLY","BOTH")))</f>
      </c>
      <c r="X1164" s="9">
        <f>IF(W1164="BOTH",ROUND(S1164-T1164,2),0)</f>
        <v>0</v>
      </c>
      <c r="Y1164" s="9">
        <f>ROUND(SUMIFS('Bank Lines'!$E$5:$E$1640,'Bank Lines'!$G$5:$G$1640,A1164,'Bank Lines'!$J$5:$J$1640,1,'Bank Lines'!$C$5:$C$1640,"&lt;="&amp;Cover!$C$15),2)</f>
        <v>1320</v>
      </c>
      <c r="Z1164" s="9">
        <f>ROUND(SUMIFS('Odoo Items'!$G$5:$G$4331,'Odoo Items'!$J$5:$J$4331,A1164,'Odoo Items'!$C$5:$C$4331,"&lt;="&amp;Cover!$C$15),2)</f>
        <v>1320</v>
      </c>
      <c r="AA1164">
        <f>COUNTIFS('Bank Lines'!$G$5:$G$1640,A1164,'Bank Lines'!$J$5:$J$1640,1,'Bank Lines'!$C$5:$C$1640,"&lt;="&amp;Cover!$C$15)</f>
        <v>1</v>
      </c>
      <c r="AB1164">
        <f>COUNTIFS('Odoo Items'!$J$5:$J$4331,A1164,'Odoo Items'!$C$5:$C$4331,"&lt;="&amp;Cover!$C$15)</f>
        <v>1</v>
      </c>
      <c r="AC1164" t="str">
        <f>IF(AND(AA1164=0,AB1164=0),"",IF(AA1164=0,"ODOO-ONLY",IF(AB1164=0,"BANK-ONLY","BOTH")))</f>
        <v>BOTH</v>
      </c>
      <c r="AD1164" s="9">
        <f>IF(AC1164="BOTH",ROUND(Y1164-Z1164,2),0)</f>
        <v>0</v>
      </c>
    </row>
    <row r="1165">
      <c r="A1165" t="inlineStr">
        <is>
          <t>G01161</t>
        </is>
      </c>
      <c r="B1165" t="inlineStr">
        <is>
          <t>OPS</t>
        </is>
      </c>
      <c r="C1165" t="inlineStr">
        <is>
          <t>R10</t>
        </is>
      </c>
      <c r="D1165" t="inlineStr">
        <is>
          <t>MATCH</t>
        </is>
      </c>
      <c r="E1165" t="inlineStr">
        <is>
          <t>Telwave Business Mobile</t>
        </is>
      </c>
      <c r="F1165" t="n">
        <v>1</v>
      </c>
      <c r="G1165" t="inlineStr">
        <is>
          <t>Payee 'TELWAVE BUSINESS MOBIL' = Telwave Business Mobile</t>
        </is>
      </c>
      <c r="H1165">
        <f>COUNTIFS('Bank Lines'!$G$5:$G$1640,A1165,'Bank Lines'!$J$5:$J$1640,1)</f>
        <v>1</v>
      </c>
      <c r="I1165">
        <f>COUNTIFS('Odoo Items'!$J$5:$J$4331,A1165)</f>
        <v>1</v>
      </c>
      <c r="J1165" s="9">
        <f>ROUND(SUMIFS('Bank Lines'!$E$5:$E$1640,'Bank Lines'!$G$5:$G$1640,A1165,'Bank Lines'!$J$5:$J$1640,1),2)</f>
        <v>-1189.3</v>
      </c>
      <c r="K1165" s="9">
        <f>ROUND(SUMIFS('Odoo Items'!$G$5:$G$4331,'Odoo Items'!$J$5:$J$4331,A1165),2)</f>
        <v>-1189.3</v>
      </c>
      <c r="L1165" s="9">
        <f>ROUND(J1165-K1165,2)</f>
        <v>0</v>
      </c>
      <c r="M1165" s="9">
        <f>ROUND(SUMIFS('Bank Lines'!$E$5:$E$1640,'Bank Lines'!$G$5:$G$1640,A1165,'Bank Lines'!$J$5:$J$1640,1,'Bank Lines'!$C$5:$C$1640,"&lt;="&amp;Cover!$C$13),2)</f>
        <v>0</v>
      </c>
      <c r="N1165" s="9">
        <f>ROUND(SUMIFS('Odoo Items'!$G$5:$G$4331,'Odoo Items'!$J$5:$J$4331,A1165,'Odoo Items'!$C$5:$C$4331,"&lt;="&amp;Cover!$C$13),2)</f>
        <v>0</v>
      </c>
      <c r="O1165">
        <f>COUNTIFS('Bank Lines'!$G$5:$G$1640,A1165,'Bank Lines'!$J$5:$J$1640,1,'Bank Lines'!$C$5:$C$1640,"&lt;="&amp;Cover!$C$13)</f>
        <v>0</v>
      </c>
      <c r="P1165">
        <f>COUNTIFS('Odoo Items'!$J$5:$J$4331,A1165,'Odoo Items'!$C$5:$C$4331,"&lt;="&amp;Cover!$C$13)</f>
        <v>0</v>
      </c>
      <c r="Q1165">
        <f>IF(AND(O1165=0,P1165=0),"",IF(O1165=0,"ODOO-ONLY",IF(P1165=0,"BANK-ONLY","BOTH")))</f>
      </c>
      <c r="R1165" s="9">
        <f>IF(Q1165="BOTH",ROUND(M1165-N1165,2),0)</f>
        <v>0</v>
      </c>
      <c r="S1165" s="9">
        <f>ROUND(SUMIFS('Bank Lines'!$E$5:$E$1640,'Bank Lines'!$G$5:$G$1640,A1165,'Bank Lines'!$J$5:$J$1640,1,'Bank Lines'!$C$5:$C$1640,"&lt;="&amp;Cover!$C$14),2)</f>
        <v>0</v>
      </c>
      <c r="T1165" s="9">
        <f>ROUND(SUMIFS('Odoo Items'!$G$5:$G$4331,'Odoo Items'!$J$5:$J$4331,A1165,'Odoo Items'!$C$5:$C$4331,"&lt;="&amp;Cover!$C$14),2)</f>
        <v>0</v>
      </c>
      <c r="U1165">
        <f>COUNTIFS('Bank Lines'!$G$5:$G$1640,A1165,'Bank Lines'!$J$5:$J$1640,1,'Bank Lines'!$C$5:$C$1640,"&lt;="&amp;Cover!$C$14)</f>
        <v>0</v>
      </c>
      <c r="V1165">
        <f>COUNTIFS('Odoo Items'!$J$5:$J$4331,A1165,'Odoo Items'!$C$5:$C$4331,"&lt;="&amp;Cover!$C$14)</f>
        <v>0</v>
      </c>
      <c r="W1165">
        <f>IF(AND(U1165=0,V1165=0),"",IF(U1165=0,"ODOO-ONLY",IF(V1165=0,"BANK-ONLY","BOTH")))</f>
      </c>
      <c r="X1165" s="9">
        <f>IF(W1165="BOTH",ROUND(S1165-T1165,2),0)</f>
        <v>0</v>
      </c>
      <c r="Y1165" s="9">
        <f>ROUND(SUMIFS('Bank Lines'!$E$5:$E$1640,'Bank Lines'!$G$5:$G$1640,A1165,'Bank Lines'!$J$5:$J$1640,1,'Bank Lines'!$C$5:$C$1640,"&lt;="&amp;Cover!$C$15),2)</f>
        <v>-1189.3</v>
      </c>
      <c r="Z1165" s="9">
        <f>ROUND(SUMIFS('Odoo Items'!$G$5:$G$4331,'Odoo Items'!$J$5:$J$4331,A1165,'Odoo Items'!$C$5:$C$4331,"&lt;="&amp;Cover!$C$15),2)</f>
        <v>-1189.3</v>
      </c>
      <c r="AA1165">
        <f>COUNTIFS('Bank Lines'!$G$5:$G$1640,A1165,'Bank Lines'!$J$5:$J$1640,1,'Bank Lines'!$C$5:$C$1640,"&lt;="&amp;Cover!$C$15)</f>
        <v>1</v>
      </c>
      <c r="AB1165">
        <f>COUNTIFS('Odoo Items'!$J$5:$J$4331,A1165,'Odoo Items'!$C$5:$C$4331,"&lt;="&amp;Cover!$C$15)</f>
        <v>1</v>
      </c>
      <c r="AC1165" t="str">
        <f>IF(AND(AA1165=0,AB1165=0),"",IF(AA1165=0,"ODOO-ONLY",IF(AB1165=0,"BANK-ONLY","BOTH")))</f>
        <v>BOTH</v>
      </c>
      <c r="AD1165" s="9">
        <f>IF(AC1165="BOTH",ROUND(Y1165-Z1165,2),0)</f>
        <v>0</v>
      </c>
    </row>
    <row r="1166">
      <c r="A1166" t="inlineStr">
        <is>
          <t>G01162</t>
        </is>
      </c>
      <c r="B1166" t="inlineStr">
        <is>
          <t>OPS</t>
        </is>
      </c>
      <c r="C1166" t="inlineStr">
        <is>
          <t>R10</t>
        </is>
      </c>
      <c r="D1166" t="inlineStr">
        <is>
          <t>MATCH</t>
        </is>
      </c>
      <c r="E1166" t="inlineStr">
        <is>
          <t>Arden Vale Schools</t>
        </is>
      </c>
      <c r="F1166" t="n">
        <v>1</v>
      </c>
      <c r="G1166" t="inlineStr">
        <is>
          <t>Payee 'ARDEN VALE SCHOOLS' = Arden Vale Schools; 3 invoices in one payment</t>
        </is>
      </c>
      <c r="H1166">
        <f>COUNTIFS('Bank Lines'!$G$5:$G$1640,A1166,'Bank Lines'!$J$5:$J$1640,1)</f>
        <v>1</v>
      </c>
      <c r="I1166">
        <f>COUNTIFS('Odoo Items'!$J$5:$J$4331,A1166)</f>
        <v>3</v>
      </c>
      <c r="J1166" s="9">
        <f>ROUND(SUMIFS('Bank Lines'!$E$5:$E$1640,'Bank Lines'!$G$5:$G$1640,A1166,'Bank Lines'!$J$5:$J$1640,1),2)</f>
        <v>35598.75</v>
      </c>
      <c r="K1166" s="9">
        <f>ROUND(SUMIFS('Odoo Items'!$G$5:$G$4331,'Odoo Items'!$J$5:$J$4331,A1166),2)</f>
        <v>35598.75</v>
      </c>
      <c r="L1166" s="9">
        <f>ROUND(J1166-K1166,2)</f>
        <v>0</v>
      </c>
      <c r="M1166" s="9">
        <f>ROUND(SUMIFS('Bank Lines'!$E$5:$E$1640,'Bank Lines'!$G$5:$G$1640,A1166,'Bank Lines'!$J$5:$J$1640,1,'Bank Lines'!$C$5:$C$1640,"&lt;="&amp;Cover!$C$13),2)</f>
        <v>0</v>
      </c>
      <c r="N1166" s="9">
        <f>ROUND(SUMIFS('Odoo Items'!$G$5:$G$4331,'Odoo Items'!$J$5:$J$4331,A1166,'Odoo Items'!$C$5:$C$4331,"&lt;="&amp;Cover!$C$13),2)</f>
        <v>0</v>
      </c>
      <c r="O1166">
        <f>COUNTIFS('Bank Lines'!$G$5:$G$1640,A1166,'Bank Lines'!$J$5:$J$1640,1,'Bank Lines'!$C$5:$C$1640,"&lt;="&amp;Cover!$C$13)</f>
        <v>0</v>
      </c>
      <c r="P1166">
        <f>COUNTIFS('Odoo Items'!$J$5:$J$4331,A1166,'Odoo Items'!$C$5:$C$4331,"&lt;="&amp;Cover!$C$13)</f>
        <v>0</v>
      </c>
      <c r="Q1166">
        <f>IF(AND(O1166=0,P1166=0),"",IF(O1166=0,"ODOO-ONLY",IF(P1166=0,"BANK-ONLY","BOTH")))</f>
      </c>
      <c r="R1166" s="9">
        <f>IF(Q1166="BOTH",ROUND(M1166-N1166,2),0)</f>
        <v>0</v>
      </c>
      <c r="S1166" s="9">
        <f>ROUND(SUMIFS('Bank Lines'!$E$5:$E$1640,'Bank Lines'!$G$5:$G$1640,A1166,'Bank Lines'!$J$5:$J$1640,1,'Bank Lines'!$C$5:$C$1640,"&lt;="&amp;Cover!$C$14),2)</f>
        <v>0</v>
      </c>
      <c r="T1166" s="9">
        <f>ROUND(SUMIFS('Odoo Items'!$G$5:$G$4331,'Odoo Items'!$J$5:$J$4331,A1166,'Odoo Items'!$C$5:$C$4331,"&lt;="&amp;Cover!$C$14),2)</f>
        <v>0</v>
      </c>
      <c r="U1166">
        <f>COUNTIFS('Bank Lines'!$G$5:$G$1640,A1166,'Bank Lines'!$J$5:$J$1640,1,'Bank Lines'!$C$5:$C$1640,"&lt;="&amp;Cover!$C$14)</f>
        <v>0</v>
      </c>
      <c r="V1166">
        <f>COUNTIFS('Odoo Items'!$J$5:$J$4331,A1166,'Odoo Items'!$C$5:$C$4331,"&lt;="&amp;Cover!$C$14)</f>
        <v>0</v>
      </c>
      <c r="W1166">
        <f>IF(AND(U1166=0,V1166=0),"",IF(U1166=0,"ODOO-ONLY",IF(V1166=0,"BANK-ONLY","BOTH")))</f>
      </c>
      <c r="X1166" s="9">
        <f>IF(W1166="BOTH",ROUND(S1166-T1166,2),0)</f>
        <v>0</v>
      </c>
      <c r="Y1166" s="9">
        <f>ROUND(SUMIFS('Bank Lines'!$E$5:$E$1640,'Bank Lines'!$G$5:$G$1640,A1166,'Bank Lines'!$J$5:$J$1640,1,'Bank Lines'!$C$5:$C$1640,"&lt;="&amp;Cover!$C$15),2)</f>
        <v>35598.75</v>
      </c>
      <c r="Z1166" s="9">
        <f>ROUND(SUMIFS('Odoo Items'!$G$5:$G$4331,'Odoo Items'!$J$5:$J$4331,A1166,'Odoo Items'!$C$5:$C$4331,"&lt;="&amp;Cover!$C$15),2)</f>
        <v>35598.75</v>
      </c>
      <c r="AA1166">
        <f>COUNTIFS('Bank Lines'!$G$5:$G$1640,A1166,'Bank Lines'!$J$5:$J$1640,1,'Bank Lines'!$C$5:$C$1640,"&lt;="&amp;Cover!$C$15)</f>
        <v>1</v>
      </c>
      <c r="AB1166">
        <f>COUNTIFS('Odoo Items'!$J$5:$J$4331,A1166,'Odoo Items'!$C$5:$C$4331,"&lt;="&amp;Cover!$C$15)</f>
        <v>3</v>
      </c>
      <c r="AC1166" t="str">
        <f>IF(AND(AA1166=0,AB1166=0),"",IF(AA1166=0,"ODOO-ONLY",IF(AB1166=0,"BANK-ONLY","BOTH")))</f>
        <v>BOTH</v>
      </c>
      <c r="AD1166" s="9">
        <f>IF(AC1166="BOTH",ROUND(Y1166-Z1166,2),0)</f>
        <v>0</v>
      </c>
    </row>
    <row r="1167">
      <c r="A1167" t="inlineStr">
        <is>
          <t>G01163</t>
        </is>
      </c>
      <c r="B1167" t="inlineStr">
        <is>
          <t>OPS</t>
        </is>
      </c>
      <c r="C1167" t="inlineStr">
        <is>
          <t>R10</t>
        </is>
      </c>
      <c r="D1167" t="inlineStr">
        <is>
          <t>MATCH</t>
        </is>
      </c>
      <c r="E1167" t="inlineStr">
        <is>
          <t>Medisure Professional Indemnity</t>
        </is>
      </c>
      <c r="F1167" t="n">
        <v>1</v>
      </c>
      <c r="G1167" t="inlineStr">
        <is>
          <t>Payee 'MEDISURE PROFESSIO' = Medisure Professional Indemnity</t>
        </is>
      </c>
      <c r="H1167">
        <f>COUNTIFS('Bank Lines'!$G$5:$G$1640,A1167,'Bank Lines'!$J$5:$J$1640,1)</f>
        <v>1</v>
      </c>
      <c r="I1167">
        <f>COUNTIFS('Odoo Items'!$J$5:$J$4331,A1167)</f>
        <v>1</v>
      </c>
      <c r="J1167" s="9">
        <f>ROUND(SUMIFS('Bank Lines'!$E$5:$E$1640,'Bank Lines'!$G$5:$G$1640,A1167,'Bank Lines'!$J$5:$J$1640,1),2)</f>
        <v>-2215.4</v>
      </c>
      <c r="K1167" s="9">
        <f>ROUND(SUMIFS('Odoo Items'!$G$5:$G$4331,'Odoo Items'!$J$5:$J$4331,A1167),2)</f>
        <v>-2215.4</v>
      </c>
      <c r="L1167" s="9">
        <f>ROUND(J1167-K1167,2)</f>
        <v>0</v>
      </c>
      <c r="M1167" s="9">
        <f>ROUND(SUMIFS('Bank Lines'!$E$5:$E$1640,'Bank Lines'!$G$5:$G$1640,A1167,'Bank Lines'!$J$5:$J$1640,1,'Bank Lines'!$C$5:$C$1640,"&lt;="&amp;Cover!$C$13),2)</f>
        <v>0</v>
      </c>
      <c r="N1167" s="9">
        <f>ROUND(SUMIFS('Odoo Items'!$G$5:$G$4331,'Odoo Items'!$J$5:$J$4331,A1167,'Odoo Items'!$C$5:$C$4331,"&lt;="&amp;Cover!$C$13),2)</f>
        <v>0</v>
      </c>
      <c r="O1167">
        <f>COUNTIFS('Bank Lines'!$G$5:$G$1640,A1167,'Bank Lines'!$J$5:$J$1640,1,'Bank Lines'!$C$5:$C$1640,"&lt;="&amp;Cover!$C$13)</f>
        <v>0</v>
      </c>
      <c r="P1167">
        <f>COUNTIFS('Odoo Items'!$J$5:$J$4331,A1167,'Odoo Items'!$C$5:$C$4331,"&lt;="&amp;Cover!$C$13)</f>
        <v>0</v>
      </c>
      <c r="Q1167">
        <f>IF(AND(O1167=0,P1167=0),"",IF(O1167=0,"ODOO-ONLY",IF(P1167=0,"BANK-ONLY","BOTH")))</f>
      </c>
      <c r="R1167" s="9">
        <f>IF(Q1167="BOTH",ROUND(M1167-N1167,2),0)</f>
        <v>0</v>
      </c>
      <c r="S1167" s="9">
        <f>ROUND(SUMIFS('Bank Lines'!$E$5:$E$1640,'Bank Lines'!$G$5:$G$1640,A1167,'Bank Lines'!$J$5:$J$1640,1,'Bank Lines'!$C$5:$C$1640,"&lt;="&amp;Cover!$C$14),2)</f>
        <v>0</v>
      </c>
      <c r="T1167" s="9">
        <f>ROUND(SUMIFS('Odoo Items'!$G$5:$G$4331,'Odoo Items'!$J$5:$J$4331,A1167,'Odoo Items'!$C$5:$C$4331,"&lt;="&amp;Cover!$C$14),2)</f>
        <v>0</v>
      </c>
      <c r="U1167">
        <f>COUNTIFS('Bank Lines'!$G$5:$G$1640,A1167,'Bank Lines'!$J$5:$J$1640,1,'Bank Lines'!$C$5:$C$1640,"&lt;="&amp;Cover!$C$14)</f>
        <v>0</v>
      </c>
      <c r="V1167">
        <f>COUNTIFS('Odoo Items'!$J$5:$J$4331,A1167,'Odoo Items'!$C$5:$C$4331,"&lt;="&amp;Cover!$C$14)</f>
        <v>0</v>
      </c>
      <c r="W1167">
        <f>IF(AND(U1167=0,V1167=0),"",IF(U1167=0,"ODOO-ONLY",IF(V1167=0,"BANK-ONLY","BOTH")))</f>
      </c>
      <c r="X1167" s="9">
        <f>IF(W1167="BOTH",ROUND(S1167-T1167,2),0)</f>
        <v>0</v>
      </c>
      <c r="Y1167" s="9">
        <f>ROUND(SUMIFS('Bank Lines'!$E$5:$E$1640,'Bank Lines'!$G$5:$G$1640,A1167,'Bank Lines'!$J$5:$J$1640,1,'Bank Lines'!$C$5:$C$1640,"&lt;="&amp;Cover!$C$15),2)</f>
        <v>-2215.4</v>
      </c>
      <c r="Z1167" s="9">
        <f>ROUND(SUMIFS('Odoo Items'!$G$5:$G$4331,'Odoo Items'!$J$5:$J$4331,A1167,'Odoo Items'!$C$5:$C$4331,"&lt;="&amp;Cover!$C$15),2)</f>
        <v>-2215.4</v>
      </c>
      <c r="AA1167">
        <f>COUNTIFS('Bank Lines'!$G$5:$G$1640,A1167,'Bank Lines'!$J$5:$J$1640,1,'Bank Lines'!$C$5:$C$1640,"&lt;="&amp;Cover!$C$15)</f>
        <v>1</v>
      </c>
      <c r="AB1167">
        <f>COUNTIFS('Odoo Items'!$J$5:$J$4331,A1167,'Odoo Items'!$C$5:$C$4331,"&lt;="&amp;Cover!$C$15)</f>
        <v>1</v>
      </c>
      <c r="AC1167" t="str">
        <f>IF(AND(AA1167=0,AB1167=0),"",IF(AA1167=0,"ODOO-ONLY",IF(AB1167=0,"BANK-ONLY","BOTH")))</f>
        <v>BOTH</v>
      </c>
      <c r="AD1167" s="9">
        <f>IF(AC1167="BOTH",ROUND(Y1167-Z1167,2),0)</f>
        <v>0</v>
      </c>
    </row>
    <row r="1168">
      <c r="A1168" t="inlineStr">
        <is>
          <t>G01164</t>
        </is>
      </c>
      <c r="B1168" t="inlineStr">
        <is>
          <t>OPS</t>
        </is>
      </c>
      <c r="C1168" t="inlineStr">
        <is>
          <t>R10</t>
        </is>
      </c>
      <c r="D1168" t="inlineStr">
        <is>
          <t>MATCH</t>
        </is>
      </c>
      <c r="E1168" t="inlineStr">
        <is>
          <t>Powerco Energy Retail</t>
        </is>
      </c>
      <c r="F1168" t="n">
        <v>1</v>
      </c>
      <c r="G1168" t="inlineStr">
        <is>
          <t>Payee 'POWERCO ENERGY RET' = Powerco Energy Retail</t>
        </is>
      </c>
      <c r="H1168">
        <f>COUNTIFS('Bank Lines'!$G$5:$G$1640,A1168,'Bank Lines'!$J$5:$J$1640,1)</f>
        <v>1</v>
      </c>
      <c r="I1168">
        <f>COUNTIFS('Odoo Items'!$J$5:$J$4331,A1168)</f>
        <v>1</v>
      </c>
      <c r="J1168" s="9">
        <f>ROUND(SUMIFS('Bank Lines'!$E$5:$E$1640,'Bank Lines'!$G$5:$G$1640,A1168,'Bank Lines'!$J$5:$J$1640,1),2)</f>
        <v>-2634.18</v>
      </c>
      <c r="K1168" s="9">
        <f>ROUND(SUMIFS('Odoo Items'!$G$5:$G$4331,'Odoo Items'!$J$5:$J$4331,A1168),2)</f>
        <v>-2634.18</v>
      </c>
      <c r="L1168" s="9">
        <f>ROUND(J1168-K1168,2)</f>
        <v>0</v>
      </c>
      <c r="M1168" s="9">
        <f>ROUND(SUMIFS('Bank Lines'!$E$5:$E$1640,'Bank Lines'!$G$5:$G$1640,A1168,'Bank Lines'!$J$5:$J$1640,1,'Bank Lines'!$C$5:$C$1640,"&lt;="&amp;Cover!$C$13),2)</f>
        <v>0</v>
      </c>
      <c r="N1168" s="9">
        <f>ROUND(SUMIFS('Odoo Items'!$G$5:$G$4331,'Odoo Items'!$J$5:$J$4331,A1168,'Odoo Items'!$C$5:$C$4331,"&lt;="&amp;Cover!$C$13),2)</f>
        <v>0</v>
      </c>
      <c r="O1168">
        <f>COUNTIFS('Bank Lines'!$G$5:$G$1640,A1168,'Bank Lines'!$J$5:$J$1640,1,'Bank Lines'!$C$5:$C$1640,"&lt;="&amp;Cover!$C$13)</f>
        <v>0</v>
      </c>
      <c r="P1168">
        <f>COUNTIFS('Odoo Items'!$J$5:$J$4331,A1168,'Odoo Items'!$C$5:$C$4331,"&lt;="&amp;Cover!$C$13)</f>
        <v>0</v>
      </c>
      <c r="Q1168">
        <f>IF(AND(O1168=0,P1168=0),"",IF(O1168=0,"ODOO-ONLY",IF(P1168=0,"BANK-ONLY","BOTH")))</f>
      </c>
      <c r="R1168" s="9">
        <f>IF(Q1168="BOTH",ROUND(M1168-N1168,2),0)</f>
        <v>0</v>
      </c>
      <c r="S1168" s="9">
        <f>ROUND(SUMIFS('Bank Lines'!$E$5:$E$1640,'Bank Lines'!$G$5:$G$1640,A1168,'Bank Lines'!$J$5:$J$1640,1,'Bank Lines'!$C$5:$C$1640,"&lt;="&amp;Cover!$C$14),2)</f>
        <v>0</v>
      </c>
      <c r="T1168" s="9">
        <f>ROUND(SUMIFS('Odoo Items'!$G$5:$G$4331,'Odoo Items'!$J$5:$J$4331,A1168,'Odoo Items'!$C$5:$C$4331,"&lt;="&amp;Cover!$C$14),2)</f>
        <v>0</v>
      </c>
      <c r="U1168">
        <f>COUNTIFS('Bank Lines'!$G$5:$G$1640,A1168,'Bank Lines'!$J$5:$J$1640,1,'Bank Lines'!$C$5:$C$1640,"&lt;="&amp;Cover!$C$14)</f>
        <v>0</v>
      </c>
      <c r="V1168">
        <f>COUNTIFS('Odoo Items'!$J$5:$J$4331,A1168,'Odoo Items'!$C$5:$C$4331,"&lt;="&amp;Cover!$C$14)</f>
        <v>0</v>
      </c>
      <c r="W1168">
        <f>IF(AND(U1168=0,V1168=0),"",IF(U1168=0,"ODOO-ONLY",IF(V1168=0,"BANK-ONLY","BOTH")))</f>
      </c>
      <c r="X1168" s="9">
        <f>IF(W1168="BOTH",ROUND(S1168-T1168,2),0)</f>
        <v>0</v>
      </c>
      <c r="Y1168" s="9">
        <f>ROUND(SUMIFS('Bank Lines'!$E$5:$E$1640,'Bank Lines'!$G$5:$G$1640,A1168,'Bank Lines'!$J$5:$J$1640,1,'Bank Lines'!$C$5:$C$1640,"&lt;="&amp;Cover!$C$15),2)</f>
        <v>-2634.18</v>
      </c>
      <c r="Z1168" s="9">
        <f>ROUND(SUMIFS('Odoo Items'!$G$5:$G$4331,'Odoo Items'!$J$5:$J$4331,A1168,'Odoo Items'!$C$5:$C$4331,"&lt;="&amp;Cover!$C$15),2)</f>
        <v>-2634.18</v>
      </c>
      <c r="AA1168">
        <f>COUNTIFS('Bank Lines'!$G$5:$G$1640,A1168,'Bank Lines'!$J$5:$J$1640,1,'Bank Lines'!$C$5:$C$1640,"&lt;="&amp;Cover!$C$15)</f>
        <v>1</v>
      </c>
      <c r="AB1168">
        <f>COUNTIFS('Odoo Items'!$J$5:$J$4331,A1168,'Odoo Items'!$C$5:$C$4331,"&lt;="&amp;Cover!$C$15)</f>
        <v>1</v>
      </c>
      <c r="AC1168" t="str">
        <f>IF(AND(AA1168=0,AB1168=0),"",IF(AA1168=0,"ODOO-ONLY",IF(AB1168=0,"BANK-ONLY","BOTH")))</f>
        <v>BOTH</v>
      </c>
      <c r="AD1168" s="9">
        <f>IF(AC1168="BOTH",ROUND(Y1168-Z1168,2),0)</f>
        <v>0</v>
      </c>
    </row>
    <row r="1169">
      <c r="A1169" t="inlineStr">
        <is>
          <t>G01165</t>
        </is>
      </c>
      <c r="B1169" t="inlineStr">
        <is>
          <t>OPS</t>
        </is>
      </c>
      <c r="C1169" t="inlineStr">
        <is>
          <t>R10</t>
        </is>
      </c>
      <c r="D1169" t="inlineStr">
        <is>
          <t>MATCH</t>
        </is>
      </c>
      <c r="E1169" t="inlineStr">
        <is>
          <t>Marlowe Print &amp; Pack</t>
        </is>
      </c>
      <c r="F1169" t="n">
        <v>1</v>
      </c>
      <c r="G1169" t="inlineStr">
        <is>
          <t>Payee 'MARLOWE PRINT AND PACK' = Marlowe Print &amp; Pack</t>
        </is>
      </c>
      <c r="H1169">
        <f>COUNTIFS('Bank Lines'!$G$5:$G$1640,A1169,'Bank Lines'!$J$5:$J$1640,1)</f>
        <v>1</v>
      </c>
      <c r="I1169">
        <f>COUNTIFS('Odoo Items'!$J$5:$J$4331,A1169)</f>
        <v>1</v>
      </c>
      <c r="J1169" s="9">
        <f>ROUND(SUMIFS('Bank Lines'!$E$5:$E$1640,'Bank Lines'!$G$5:$G$1640,A1169,'Bank Lines'!$J$5:$J$1640,1),2)</f>
        <v>3547.5</v>
      </c>
      <c r="K1169" s="9">
        <f>ROUND(SUMIFS('Odoo Items'!$G$5:$G$4331,'Odoo Items'!$J$5:$J$4331,A1169),2)</f>
        <v>3547.5</v>
      </c>
      <c r="L1169" s="9">
        <f>ROUND(J1169-K1169,2)</f>
        <v>0</v>
      </c>
      <c r="M1169" s="9">
        <f>ROUND(SUMIFS('Bank Lines'!$E$5:$E$1640,'Bank Lines'!$G$5:$G$1640,A1169,'Bank Lines'!$J$5:$J$1640,1,'Bank Lines'!$C$5:$C$1640,"&lt;="&amp;Cover!$C$13),2)</f>
        <v>0</v>
      </c>
      <c r="N1169" s="9">
        <f>ROUND(SUMIFS('Odoo Items'!$G$5:$G$4331,'Odoo Items'!$J$5:$J$4331,A1169,'Odoo Items'!$C$5:$C$4331,"&lt;="&amp;Cover!$C$13),2)</f>
        <v>0</v>
      </c>
      <c r="O1169">
        <f>COUNTIFS('Bank Lines'!$G$5:$G$1640,A1169,'Bank Lines'!$J$5:$J$1640,1,'Bank Lines'!$C$5:$C$1640,"&lt;="&amp;Cover!$C$13)</f>
        <v>0</v>
      </c>
      <c r="P1169">
        <f>COUNTIFS('Odoo Items'!$J$5:$J$4331,A1169,'Odoo Items'!$C$5:$C$4331,"&lt;="&amp;Cover!$C$13)</f>
        <v>0</v>
      </c>
      <c r="Q1169">
        <f>IF(AND(O1169=0,P1169=0),"",IF(O1169=0,"ODOO-ONLY",IF(P1169=0,"BANK-ONLY","BOTH")))</f>
      </c>
      <c r="R1169" s="9">
        <f>IF(Q1169="BOTH",ROUND(M1169-N1169,2),0)</f>
        <v>0</v>
      </c>
      <c r="S1169" s="9">
        <f>ROUND(SUMIFS('Bank Lines'!$E$5:$E$1640,'Bank Lines'!$G$5:$G$1640,A1169,'Bank Lines'!$J$5:$J$1640,1,'Bank Lines'!$C$5:$C$1640,"&lt;="&amp;Cover!$C$14),2)</f>
        <v>0</v>
      </c>
      <c r="T1169" s="9">
        <f>ROUND(SUMIFS('Odoo Items'!$G$5:$G$4331,'Odoo Items'!$J$5:$J$4331,A1169,'Odoo Items'!$C$5:$C$4331,"&lt;="&amp;Cover!$C$14),2)</f>
        <v>0</v>
      </c>
      <c r="U1169">
        <f>COUNTIFS('Bank Lines'!$G$5:$G$1640,A1169,'Bank Lines'!$J$5:$J$1640,1,'Bank Lines'!$C$5:$C$1640,"&lt;="&amp;Cover!$C$14)</f>
        <v>0</v>
      </c>
      <c r="V1169">
        <f>COUNTIFS('Odoo Items'!$J$5:$J$4331,A1169,'Odoo Items'!$C$5:$C$4331,"&lt;="&amp;Cover!$C$14)</f>
        <v>0</v>
      </c>
      <c r="W1169">
        <f>IF(AND(U1169=0,V1169=0),"",IF(U1169=0,"ODOO-ONLY",IF(V1169=0,"BANK-ONLY","BOTH")))</f>
      </c>
      <c r="X1169" s="9">
        <f>IF(W1169="BOTH",ROUND(S1169-T1169,2),0)</f>
        <v>0</v>
      </c>
      <c r="Y1169" s="9">
        <f>ROUND(SUMIFS('Bank Lines'!$E$5:$E$1640,'Bank Lines'!$G$5:$G$1640,A1169,'Bank Lines'!$J$5:$J$1640,1,'Bank Lines'!$C$5:$C$1640,"&lt;="&amp;Cover!$C$15),2)</f>
        <v>3547.5</v>
      </c>
      <c r="Z1169" s="9">
        <f>ROUND(SUMIFS('Odoo Items'!$G$5:$G$4331,'Odoo Items'!$J$5:$J$4331,A1169,'Odoo Items'!$C$5:$C$4331,"&lt;="&amp;Cover!$C$15),2)</f>
        <v>3547.5</v>
      </c>
      <c r="AA1169">
        <f>COUNTIFS('Bank Lines'!$G$5:$G$1640,A1169,'Bank Lines'!$J$5:$J$1640,1,'Bank Lines'!$C$5:$C$1640,"&lt;="&amp;Cover!$C$15)</f>
        <v>1</v>
      </c>
      <c r="AB1169">
        <f>COUNTIFS('Odoo Items'!$J$5:$J$4331,A1169,'Odoo Items'!$C$5:$C$4331,"&lt;="&amp;Cover!$C$15)</f>
        <v>1</v>
      </c>
      <c r="AC1169" t="str">
        <f>IF(AND(AA1169=0,AB1169=0),"",IF(AA1169=0,"ODOO-ONLY",IF(AB1169=0,"BANK-ONLY","BOTH")))</f>
        <v>BOTH</v>
      </c>
      <c r="AD1169" s="9">
        <f>IF(AC1169="BOTH",ROUND(Y1169-Z1169,2),0)</f>
        <v>0</v>
      </c>
    </row>
    <row r="1170">
      <c r="A1170" t="inlineStr">
        <is>
          <t>G01166</t>
        </is>
      </c>
      <c r="B1170" t="inlineStr">
        <is>
          <t>OPS</t>
        </is>
      </c>
      <c r="C1170" t="inlineStr">
        <is>
          <t>R10</t>
        </is>
      </c>
      <c r="D1170" t="inlineStr">
        <is>
          <t>MATCH</t>
        </is>
      </c>
      <c r="E1170" t="inlineStr">
        <is>
          <t>Jarrah Ridge Estates</t>
        </is>
      </c>
      <c r="F1170" t="n">
        <v>0.973</v>
      </c>
      <c r="G1170" t="inlineStr">
        <is>
          <t>Payee 'JARRAH RIDGE ESTATES P' = Jarrah Ridge Estates</t>
        </is>
      </c>
      <c r="H1170">
        <f>COUNTIFS('Bank Lines'!$G$5:$G$1640,A1170,'Bank Lines'!$J$5:$J$1640,1)</f>
        <v>1</v>
      </c>
      <c r="I1170">
        <f>COUNTIFS('Odoo Items'!$J$5:$J$4331,A1170)</f>
        <v>1</v>
      </c>
      <c r="J1170" s="9">
        <f>ROUND(SUMIFS('Bank Lines'!$E$5:$E$1640,'Bank Lines'!$G$5:$G$1640,A1170,'Bank Lines'!$J$5:$J$1640,1),2)</f>
        <v>6902.5</v>
      </c>
      <c r="K1170" s="9">
        <f>ROUND(SUMIFS('Odoo Items'!$G$5:$G$4331,'Odoo Items'!$J$5:$J$4331,A1170),2)</f>
        <v>6902.5</v>
      </c>
      <c r="L1170" s="9">
        <f>ROUND(J1170-K1170,2)</f>
        <v>0</v>
      </c>
      <c r="M1170" s="9">
        <f>ROUND(SUMIFS('Bank Lines'!$E$5:$E$1640,'Bank Lines'!$G$5:$G$1640,A1170,'Bank Lines'!$J$5:$J$1640,1,'Bank Lines'!$C$5:$C$1640,"&lt;="&amp;Cover!$C$13),2)</f>
        <v>0</v>
      </c>
      <c r="N1170" s="9">
        <f>ROUND(SUMIFS('Odoo Items'!$G$5:$G$4331,'Odoo Items'!$J$5:$J$4331,A1170,'Odoo Items'!$C$5:$C$4331,"&lt;="&amp;Cover!$C$13),2)</f>
        <v>0</v>
      </c>
      <c r="O1170">
        <f>COUNTIFS('Bank Lines'!$G$5:$G$1640,A1170,'Bank Lines'!$J$5:$J$1640,1,'Bank Lines'!$C$5:$C$1640,"&lt;="&amp;Cover!$C$13)</f>
        <v>0</v>
      </c>
      <c r="P1170">
        <f>COUNTIFS('Odoo Items'!$J$5:$J$4331,A1170,'Odoo Items'!$C$5:$C$4331,"&lt;="&amp;Cover!$C$13)</f>
        <v>0</v>
      </c>
      <c r="Q1170">
        <f>IF(AND(O1170=0,P1170=0),"",IF(O1170=0,"ODOO-ONLY",IF(P1170=0,"BANK-ONLY","BOTH")))</f>
      </c>
      <c r="R1170" s="9">
        <f>IF(Q1170="BOTH",ROUND(M1170-N1170,2),0)</f>
        <v>0</v>
      </c>
      <c r="S1170" s="9">
        <f>ROUND(SUMIFS('Bank Lines'!$E$5:$E$1640,'Bank Lines'!$G$5:$G$1640,A1170,'Bank Lines'!$J$5:$J$1640,1,'Bank Lines'!$C$5:$C$1640,"&lt;="&amp;Cover!$C$14),2)</f>
        <v>0</v>
      </c>
      <c r="T1170" s="9">
        <f>ROUND(SUMIFS('Odoo Items'!$G$5:$G$4331,'Odoo Items'!$J$5:$J$4331,A1170,'Odoo Items'!$C$5:$C$4331,"&lt;="&amp;Cover!$C$14),2)</f>
        <v>0</v>
      </c>
      <c r="U1170">
        <f>COUNTIFS('Bank Lines'!$G$5:$G$1640,A1170,'Bank Lines'!$J$5:$J$1640,1,'Bank Lines'!$C$5:$C$1640,"&lt;="&amp;Cover!$C$14)</f>
        <v>0</v>
      </c>
      <c r="V1170">
        <f>COUNTIFS('Odoo Items'!$J$5:$J$4331,A1170,'Odoo Items'!$C$5:$C$4331,"&lt;="&amp;Cover!$C$14)</f>
        <v>0</v>
      </c>
      <c r="W1170">
        <f>IF(AND(U1170=0,V1170=0),"",IF(U1170=0,"ODOO-ONLY",IF(V1170=0,"BANK-ONLY","BOTH")))</f>
      </c>
      <c r="X1170" s="9">
        <f>IF(W1170="BOTH",ROUND(S1170-T1170,2),0)</f>
        <v>0</v>
      </c>
      <c r="Y1170" s="9">
        <f>ROUND(SUMIFS('Bank Lines'!$E$5:$E$1640,'Bank Lines'!$G$5:$G$1640,A1170,'Bank Lines'!$J$5:$J$1640,1,'Bank Lines'!$C$5:$C$1640,"&lt;="&amp;Cover!$C$15),2)</f>
        <v>6902.5</v>
      </c>
      <c r="Z1170" s="9">
        <f>ROUND(SUMIFS('Odoo Items'!$G$5:$G$4331,'Odoo Items'!$J$5:$J$4331,A1170,'Odoo Items'!$C$5:$C$4331,"&lt;="&amp;Cover!$C$15),2)</f>
        <v>6902.5</v>
      </c>
      <c r="AA1170">
        <f>COUNTIFS('Bank Lines'!$G$5:$G$1640,A1170,'Bank Lines'!$J$5:$J$1640,1,'Bank Lines'!$C$5:$C$1640,"&lt;="&amp;Cover!$C$15)</f>
        <v>1</v>
      </c>
      <c r="AB1170">
        <f>COUNTIFS('Odoo Items'!$J$5:$J$4331,A1170,'Odoo Items'!$C$5:$C$4331,"&lt;="&amp;Cover!$C$15)</f>
        <v>1</v>
      </c>
      <c r="AC1170" t="str">
        <f>IF(AND(AA1170=0,AB1170=0),"",IF(AA1170=0,"ODOO-ONLY",IF(AB1170=0,"BANK-ONLY","BOTH")))</f>
        <v>BOTH</v>
      </c>
      <c r="AD1170" s="9">
        <f>IF(AC1170="BOTH",ROUND(Y1170-Z1170,2),0)</f>
        <v>0</v>
      </c>
    </row>
    <row r="1171">
      <c r="A1171" t="inlineStr">
        <is>
          <t>G01167</t>
        </is>
      </c>
      <c r="B1171" t="inlineStr">
        <is>
          <t>OPS</t>
        </is>
      </c>
      <c r="C1171" t="inlineStr">
        <is>
          <t>R10</t>
        </is>
      </c>
      <c r="D1171" t="inlineStr">
        <is>
          <t>MATCH</t>
        </is>
      </c>
      <c r="E1171" t="inlineStr">
        <is>
          <t>Equipment Finance Co</t>
        </is>
      </c>
      <c r="F1171" t="n">
        <v>0.85</v>
      </c>
      <c r="G1171" t="inlineStr">
        <is>
          <t>Payee 'EQUIPMENT FINANCE LOAN 09' = Equipment Finance Co</t>
        </is>
      </c>
      <c r="H1171">
        <f>COUNTIFS('Bank Lines'!$G$5:$G$1640,A1171,'Bank Lines'!$J$5:$J$1640,1)</f>
        <v>1</v>
      </c>
      <c r="I1171">
        <f>COUNTIFS('Odoo Items'!$J$5:$J$4331,A1171)</f>
        <v>1</v>
      </c>
      <c r="J1171" s="9">
        <f>ROUND(SUMIFS('Bank Lines'!$E$5:$E$1640,'Bank Lines'!$G$5:$G$1640,A1171,'Bank Lines'!$J$5:$J$1640,1),2)</f>
        <v>-4416.75</v>
      </c>
      <c r="K1171" s="9">
        <f>ROUND(SUMIFS('Odoo Items'!$G$5:$G$4331,'Odoo Items'!$J$5:$J$4331,A1171),2)</f>
        <v>-4416.75</v>
      </c>
      <c r="L1171" s="9">
        <f>ROUND(J1171-K1171,2)</f>
        <v>0</v>
      </c>
      <c r="M1171" s="9">
        <f>ROUND(SUMIFS('Bank Lines'!$E$5:$E$1640,'Bank Lines'!$G$5:$G$1640,A1171,'Bank Lines'!$J$5:$J$1640,1,'Bank Lines'!$C$5:$C$1640,"&lt;="&amp;Cover!$C$13),2)</f>
        <v>0</v>
      </c>
      <c r="N1171" s="9">
        <f>ROUND(SUMIFS('Odoo Items'!$G$5:$G$4331,'Odoo Items'!$J$5:$J$4331,A1171,'Odoo Items'!$C$5:$C$4331,"&lt;="&amp;Cover!$C$13),2)</f>
        <v>0</v>
      </c>
      <c r="O1171">
        <f>COUNTIFS('Bank Lines'!$G$5:$G$1640,A1171,'Bank Lines'!$J$5:$J$1640,1,'Bank Lines'!$C$5:$C$1640,"&lt;="&amp;Cover!$C$13)</f>
        <v>0</v>
      </c>
      <c r="P1171">
        <f>COUNTIFS('Odoo Items'!$J$5:$J$4331,A1171,'Odoo Items'!$C$5:$C$4331,"&lt;="&amp;Cover!$C$13)</f>
        <v>0</v>
      </c>
      <c r="Q1171">
        <f>IF(AND(O1171=0,P1171=0),"",IF(O1171=0,"ODOO-ONLY",IF(P1171=0,"BANK-ONLY","BOTH")))</f>
      </c>
      <c r="R1171" s="9">
        <f>IF(Q1171="BOTH",ROUND(M1171-N1171,2),0)</f>
        <v>0</v>
      </c>
      <c r="S1171" s="9">
        <f>ROUND(SUMIFS('Bank Lines'!$E$5:$E$1640,'Bank Lines'!$G$5:$G$1640,A1171,'Bank Lines'!$J$5:$J$1640,1,'Bank Lines'!$C$5:$C$1640,"&lt;="&amp;Cover!$C$14),2)</f>
        <v>0</v>
      </c>
      <c r="T1171" s="9">
        <f>ROUND(SUMIFS('Odoo Items'!$G$5:$G$4331,'Odoo Items'!$J$5:$J$4331,A1171,'Odoo Items'!$C$5:$C$4331,"&lt;="&amp;Cover!$C$14),2)</f>
        <v>0</v>
      </c>
      <c r="U1171">
        <f>COUNTIFS('Bank Lines'!$G$5:$G$1640,A1171,'Bank Lines'!$J$5:$J$1640,1,'Bank Lines'!$C$5:$C$1640,"&lt;="&amp;Cover!$C$14)</f>
        <v>0</v>
      </c>
      <c r="V1171">
        <f>COUNTIFS('Odoo Items'!$J$5:$J$4331,A1171,'Odoo Items'!$C$5:$C$4331,"&lt;="&amp;Cover!$C$14)</f>
        <v>0</v>
      </c>
      <c r="W1171">
        <f>IF(AND(U1171=0,V1171=0),"",IF(U1171=0,"ODOO-ONLY",IF(V1171=0,"BANK-ONLY","BOTH")))</f>
      </c>
      <c r="X1171" s="9">
        <f>IF(W1171="BOTH",ROUND(S1171-T1171,2),0)</f>
        <v>0</v>
      </c>
      <c r="Y1171" s="9">
        <f>ROUND(SUMIFS('Bank Lines'!$E$5:$E$1640,'Bank Lines'!$G$5:$G$1640,A1171,'Bank Lines'!$J$5:$J$1640,1,'Bank Lines'!$C$5:$C$1640,"&lt;="&amp;Cover!$C$15),2)</f>
        <v>-4416.75</v>
      </c>
      <c r="Z1171" s="9">
        <f>ROUND(SUMIFS('Odoo Items'!$G$5:$G$4331,'Odoo Items'!$J$5:$J$4331,A1171,'Odoo Items'!$C$5:$C$4331,"&lt;="&amp;Cover!$C$15),2)</f>
        <v>-4416.75</v>
      </c>
      <c r="AA1171">
        <f>COUNTIFS('Bank Lines'!$G$5:$G$1640,A1171,'Bank Lines'!$J$5:$J$1640,1,'Bank Lines'!$C$5:$C$1640,"&lt;="&amp;Cover!$C$15)</f>
        <v>1</v>
      </c>
      <c r="AB1171">
        <f>COUNTIFS('Odoo Items'!$J$5:$J$4331,A1171,'Odoo Items'!$C$5:$C$4331,"&lt;="&amp;Cover!$C$15)</f>
        <v>1</v>
      </c>
      <c r="AC1171" t="str">
        <f>IF(AND(AA1171=0,AB1171=0),"",IF(AA1171=0,"ODOO-ONLY",IF(AB1171=0,"BANK-ONLY","BOTH")))</f>
        <v>BOTH</v>
      </c>
      <c r="AD1171" s="9">
        <f>IF(AC1171="BOTH",ROUND(Y1171-Z1171,2),0)</f>
        <v>0</v>
      </c>
    </row>
    <row r="1172">
      <c r="A1172" t="inlineStr">
        <is>
          <t>G01168</t>
        </is>
      </c>
      <c r="B1172" t="inlineStr">
        <is>
          <t>OPS</t>
        </is>
      </c>
      <c r="C1172" t="inlineStr">
        <is>
          <t>R10</t>
        </is>
      </c>
      <c r="D1172" t="inlineStr">
        <is>
          <t>MATCH</t>
        </is>
      </c>
      <c r="E1172" t="inlineStr">
        <is>
          <t>Quarry Lane Concrete</t>
        </is>
      </c>
      <c r="F1172" t="n">
        <v>0.973</v>
      </c>
      <c r="G1172" t="inlineStr">
        <is>
          <t>Payee 'QUARRY LANE CONCRETE P' = Quarry Lane Concrete</t>
        </is>
      </c>
      <c r="H1172">
        <f>COUNTIFS('Bank Lines'!$G$5:$G$1640,A1172,'Bank Lines'!$J$5:$J$1640,1)</f>
        <v>1</v>
      </c>
      <c r="I1172">
        <f>COUNTIFS('Odoo Items'!$J$5:$J$4331,A1172)</f>
        <v>1</v>
      </c>
      <c r="J1172" s="9">
        <f>ROUND(SUMIFS('Bank Lines'!$E$5:$E$1640,'Bank Lines'!$G$5:$G$1640,A1172,'Bank Lines'!$J$5:$J$1640,1),2)</f>
        <v>16032.5</v>
      </c>
      <c r="K1172" s="9">
        <f>ROUND(SUMIFS('Odoo Items'!$G$5:$G$4331,'Odoo Items'!$J$5:$J$4331,A1172),2)</f>
        <v>16032.5</v>
      </c>
      <c r="L1172" s="9">
        <f>ROUND(J1172-K1172,2)</f>
        <v>0</v>
      </c>
      <c r="M1172" s="9">
        <f>ROUND(SUMIFS('Bank Lines'!$E$5:$E$1640,'Bank Lines'!$G$5:$G$1640,A1172,'Bank Lines'!$J$5:$J$1640,1,'Bank Lines'!$C$5:$C$1640,"&lt;="&amp;Cover!$C$13),2)</f>
        <v>0</v>
      </c>
      <c r="N1172" s="9">
        <f>ROUND(SUMIFS('Odoo Items'!$G$5:$G$4331,'Odoo Items'!$J$5:$J$4331,A1172,'Odoo Items'!$C$5:$C$4331,"&lt;="&amp;Cover!$C$13),2)</f>
        <v>0</v>
      </c>
      <c r="O1172">
        <f>COUNTIFS('Bank Lines'!$G$5:$G$1640,A1172,'Bank Lines'!$J$5:$J$1640,1,'Bank Lines'!$C$5:$C$1640,"&lt;="&amp;Cover!$C$13)</f>
        <v>0</v>
      </c>
      <c r="P1172">
        <f>COUNTIFS('Odoo Items'!$J$5:$J$4331,A1172,'Odoo Items'!$C$5:$C$4331,"&lt;="&amp;Cover!$C$13)</f>
        <v>0</v>
      </c>
      <c r="Q1172">
        <f>IF(AND(O1172=0,P1172=0),"",IF(O1172=0,"ODOO-ONLY",IF(P1172=0,"BANK-ONLY","BOTH")))</f>
      </c>
      <c r="R1172" s="9">
        <f>IF(Q1172="BOTH",ROUND(M1172-N1172,2),0)</f>
        <v>0</v>
      </c>
      <c r="S1172" s="9">
        <f>ROUND(SUMIFS('Bank Lines'!$E$5:$E$1640,'Bank Lines'!$G$5:$G$1640,A1172,'Bank Lines'!$J$5:$J$1640,1,'Bank Lines'!$C$5:$C$1640,"&lt;="&amp;Cover!$C$14),2)</f>
        <v>0</v>
      </c>
      <c r="T1172" s="9">
        <f>ROUND(SUMIFS('Odoo Items'!$G$5:$G$4331,'Odoo Items'!$J$5:$J$4331,A1172,'Odoo Items'!$C$5:$C$4331,"&lt;="&amp;Cover!$C$14),2)</f>
        <v>0</v>
      </c>
      <c r="U1172">
        <f>COUNTIFS('Bank Lines'!$G$5:$G$1640,A1172,'Bank Lines'!$J$5:$J$1640,1,'Bank Lines'!$C$5:$C$1640,"&lt;="&amp;Cover!$C$14)</f>
        <v>0</v>
      </c>
      <c r="V1172">
        <f>COUNTIFS('Odoo Items'!$J$5:$J$4331,A1172,'Odoo Items'!$C$5:$C$4331,"&lt;="&amp;Cover!$C$14)</f>
        <v>0</v>
      </c>
      <c r="W1172">
        <f>IF(AND(U1172=0,V1172=0),"",IF(U1172=0,"ODOO-ONLY",IF(V1172=0,"BANK-ONLY","BOTH")))</f>
      </c>
      <c r="X1172" s="9">
        <f>IF(W1172="BOTH",ROUND(S1172-T1172,2),0)</f>
        <v>0</v>
      </c>
      <c r="Y1172" s="9">
        <f>ROUND(SUMIFS('Bank Lines'!$E$5:$E$1640,'Bank Lines'!$G$5:$G$1640,A1172,'Bank Lines'!$J$5:$J$1640,1,'Bank Lines'!$C$5:$C$1640,"&lt;="&amp;Cover!$C$15),2)</f>
        <v>16032.5</v>
      </c>
      <c r="Z1172" s="9">
        <f>ROUND(SUMIFS('Odoo Items'!$G$5:$G$4331,'Odoo Items'!$J$5:$J$4331,A1172,'Odoo Items'!$C$5:$C$4331,"&lt;="&amp;Cover!$C$15),2)</f>
        <v>16032.5</v>
      </c>
      <c r="AA1172">
        <f>COUNTIFS('Bank Lines'!$G$5:$G$1640,A1172,'Bank Lines'!$J$5:$J$1640,1,'Bank Lines'!$C$5:$C$1640,"&lt;="&amp;Cover!$C$15)</f>
        <v>1</v>
      </c>
      <c r="AB1172">
        <f>COUNTIFS('Odoo Items'!$J$5:$J$4331,A1172,'Odoo Items'!$C$5:$C$4331,"&lt;="&amp;Cover!$C$15)</f>
        <v>1</v>
      </c>
      <c r="AC1172" t="str">
        <f>IF(AND(AA1172=0,AB1172=0),"",IF(AA1172=0,"ODOO-ONLY",IF(AB1172=0,"BANK-ONLY","BOTH")))</f>
        <v>BOTH</v>
      </c>
      <c r="AD1172" s="9">
        <f>IF(AC1172="BOTH",ROUND(Y1172-Z1172,2),0)</f>
        <v>0</v>
      </c>
    </row>
    <row r="1173">
      <c r="A1173" t="inlineStr">
        <is>
          <t>G01169</t>
        </is>
      </c>
      <c r="B1173" t="inlineStr">
        <is>
          <t>OPS</t>
        </is>
      </c>
      <c r="C1173" t="inlineStr">
        <is>
          <t>R10</t>
        </is>
      </c>
      <c r="D1173" t="inlineStr">
        <is>
          <t>MATCH</t>
        </is>
      </c>
      <c r="E1173" t="inlineStr">
        <is>
          <t>Inglewood Cold Storage</t>
        </is>
      </c>
      <c r="F1173" t="n">
        <v>1</v>
      </c>
      <c r="G1173" t="inlineStr">
        <is>
          <t>Payee 'INGLEWOODCOLDSTO' = Inglewood Cold Storage</t>
        </is>
      </c>
      <c r="H1173">
        <f>COUNTIFS('Bank Lines'!$G$5:$G$1640,A1173,'Bank Lines'!$J$5:$J$1640,1)</f>
        <v>1</v>
      </c>
      <c r="I1173">
        <f>COUNTIFS('Odoo Items'!$J$5:$J$4331,A1173)</f>
        <v>1</v>
      </c>
      <c r="J1173" s="9">
        <f>ROUND(SUMIFS('Bank Lines'!$E$5:$E$1640,'Bank Lines'!$G$5:$G$1640,A1173,'Bank Lines'!$J$5:$J$1640,1),2)</f>
        <v>6820</v>
      </c>
      <c r="K1173" s="9">
        <f>ROUND(SUMIFS('Odoo Items'!$G$5:$G$4331,'Odoo Items'!$J$5:$J$4331,A1173),2)</f>
        <v>6820</v>
      </c>
      <c r="L1173" s="9">
        <f>ROUND(J1173-K1173,2)</f>
        <v>0</v>
      </c>
      <c r="M1173" s="9">
        <f>ROUND(SUMIFS('Bank Lines'!$E$5:$E$1640,'Bank Lines'!$G$5:$G$1640,A1173,'Bank Lines'!$J$5:$J$1640,1,'Bank Lines'!$C$5:$C$1640,"&lt;="&amp;Cover!$C$13),2)</f>
        <v>0</v>
      </c>
      <c r="N1173" s="9">
        <f>ROUND(SUMIFS('Odoo Items'!$G$5:$G$4331,'Odoo Items'!$J$5:$J$4331,A1173,'Odoo Items'!$C$5:$C$4331,"&lt;="&amp;Cover!$C$13),2)</f>
        <v>0</v>
      </c>
      <c r="O1173">
        <f>COUNTIFS('Bank Lines'!$G$5:$G$1640,A1173,'Bank Lines'!$J$5:$J$1640,1,'Bank Lines'!$C$5:$C$1640,"&lt;="&amp;Cover!$C$13)</f>
        <v>0</v>
      </c>
      <c r="P1173">
        <f>COUNTIFS('Odoo Items'!$J$5:$J$4331,A1173,'Odoo Items'!$C$5:$C$4331,"&lt;="&amp;Cover!$C$13)</f>
        <v>0</v>
      </c>
      <c r="Q1173">
        <f>IF(AND(O1173=0,P1173=0),"",IF(O1173=0,"ODOO-ONLY",IF(P1173=0,"BANK-ONLY","BOTH")))</f>
      </c>
      <c r="R1173" s="9">
        <f>IF(Q1173="BOTH",ROUND(M1173-N1173,2),0)</f>
        <v>0</v>
      </c>
      <c r="S1173" s="9">
        <f>ROUND(SUMIFS('Bank Lines'!$E$5:$E$1640,'Bank Lines'!$G$5:$G$1640,A1173,'Bank Lines'!$J$5:$J$1640,1,'Bank Lines'!$C$5:$C$1640,"&lt;="&amp;Cover!$C$14),2)</f>
        <v>0</v>
      </c>
      <c r="T1173" s="9">
        <f>ROUND(SUMIFS('Odoo Items'!$G$5:$G$4331,'Odoo Items'!$J$5:$J$4331,A1173,'Odoo Items'!$C$5:$C$4331,"&lt;="&amp;Cover!$C$14),2)</f>
        <v>0</v>
      </c>
      <c r="U1173">
        <f>COUNTIFS('Bank Lines'!$G$5:$G$1640,A1173,'Bank Lines'!$J$5:$J$1640,1,'Bank Lines'!$C$5:$C$1640,"&lt;="&amp;Cover!$C$14)</f>
        <v>0</v>
      </c>
      <c r="V1173">
        <f>COUNTIFS('Odoo Items'!$J$5:$J$4331,A1173,'Odoo Items'!$C$5:$C$4331,"&lt;="&amp;Cover!$C$14)</f>
        <v>0</v>
      </c>
      <c r="W1173">
        <f>IF(AND(U1173=0,V1173=0),"",IF(U1173=0,"ODOO-ONLY",IF(V1173=0,"BANK-ONLY","BOTH")))</f>
      </c>
      <c r="X1173" s="9">
        <f>IF(W1173="BOTH",ROUND(S1173-T1173,2),0)</f>
        <v>0</v>
      </c>
      <c r="Y1173" s="9">
        <f>ROUND(SUMIFS('Bank Lines'!$E$5:$E$1640,'Bank Lines'!$G$5:$G$1640,A1173,'Bank Lines'!$J$5:$J$1640,1,'Bank Lines'!$C$5:$C$1640,"&lt;="&amp;Cover!$C$15),2)</f>
        <v>6820</v>
      </c>
      <c r="Z1173" s="9">
        <f>ROUND(SUMIFS('Odoo Items'!$G$5:$G$4331,'Odoo Items'!$J$5:$J$4331,A1173,'Odoo Items'!$C$5:$C$4331,"&lt;="&amp;Cover!$C$15),2)</f>
        <v>6820</v>
      </c>
      <c r="AA1173">
        <f>COUNTIFS('Bank Lines'!$G$5:$G$1640,A1173,'Bank Lines'!$J$5:$J$1640,1,'Bank Lines'!$C$5:$C$1640,"&lt;="&amp;Cover!$C$15)</f>
        <v>1</v>
      </c>
      <c r="AB1173">
        <f>COUNTIFS('Odoo Items'!$J$5:$J$4331,A1173,'Odoo Items'!$C$5:$C$4331,"&lt;="&amp;Cover!$C$15)</f>
        <v>1</v>
      </c>
      <c r="AC1173" t="str">
        <f>IF(AND(AA1173=0,AB1173=0),"",IF(AA1173=0,"ODOO-ONLY",IF(AB1173=0,"BANK-ONLY","BOTH")))</f>
        <v>BOTH</v>
      </c>
      <c r="AD1173" s="9">
        <f>IF(AC1173="BOTH",ROUND(Y1173-Z1173,2),0)</f>
        <v>0</v>
      </c>
    </row>
    <row r="1174">
      <c r="A1174" t="inlineStr">
        <is>
          <t>G01170</t>
        </is>
      </c>
      <c r="B1174" t="inlineStr">
        <is>
          <t>OPS</t>
        </is>
      </c>
      <c r="C1174" t="inlineStr">
        <is>
          <t>R11</t>
        </is>
      </c>
      <c r="D1174" t="inlineStr">
        <is>
          <t>REG</t>
        </is>
      </c>
      <c r="E1174" t="inlineStr">
        <is>
          <t>Mornane Electrical</t>
        </is>
      </c>
      <c r="F1174" t="n">
        <v>1</v>
      </c>
      <c r="G1174" t="inlineStr">
        <is>
          <t>Receipt not entered in Odoo; matches open INV/2026/03452</t>
        </is>
      </c>
      <c r="H1174">
        <f>COUNTIFS('Bank Lines'!$G$5:$G$1640,A1174,'Bank Lines'!$J$5:$J$1640,1)</f>
        <v>1</v>
      </c>
      <c r="I1174">
        <f>COUNTIFS('Odoo Items'!$J$5:$J$4331,A1174)</f>
        <v>0</v>
      </c>
      <c r="J1174" s="9">
        <f>ROUND(SUMIFS('Bank Lines'!$E$5:$E$1640,'Bank Lines'!$G$5:$G$1640,A1174,'Bank Lines'!$J$5:$J$1640,1),2)</f>
        <v>1320</v>
      </c>
      <c r="K1174" s="9">
        <f>ROUND(SUMIFS('Odoo Items'!$G$5:$G$4331,'Odoo Items'!$J$5:$J$4331,A1174),2)</f>
        <v>0</v>
      </c>
      <c r="L1174" s="9">
        <f>ROUND(J1174-K1174,2)</f>
        <v>1320</v>
      </c>
      <c r="M1174" s="9">
        <f>ROUND(SUMIFS('Bank Lines'!$E$5:$E$1640,'Bank Lines'!$G$5:$G$1640,A1174,'Bank Lines'!$J$5:$J$1640,1,'Bank Lines'!$C$5:$C$1640,"&lt;="&amp;Cover!$C$13),2)</f>
        <v>1320</v>
      </c>
      <c r="N1174" s="9">
        <f>ROUND(SUMIFS('Odoo Items'!$G$5:$G$4331,'Odoo Items'!$J$5:$J$4331,A1174,'Odoo Items'!$C$5:$C$4331,"&lt;="&amp;Cover!$C$13),2)</f>
        <v>0</v>
      </c>
      <c r="O1174">
        <f>COUNTIFS('Bank Lines'!$G$5:$G$1640,A1174,'Bank Lines'!$J$5:$J$1640,1,'Bank Lines'!$C$5:$C$1640,"&lt;="&amp;Cover!$C$13)</f>
        <v>1</v>
      </c>
      <c r="P1174">
        <f>COUNTIFS('Odoo Items'!$J$5:$J$4331,A1174,'Odoo Items'!$C$5:$C$4331,"&lt;="&amp;Cover!$C$13)</f>
        <v>0</v>
      </c>
      <c r="Q1174" t="str">
        <f>IF(AND(O1174=0,P1174=0),"",IF(O1174=0,"ODOO-ONLY",IF(P1174=0,"BANK-ONLY","BOTH")))</f>
        <v>BANK-ONLY</v>
      </c>
      <c r="R1174" s="9">
        <f>IF(Q1174="BOTH",ROUND(M1174-N1174,2),0)</f>
        <v>0</v>
      </c>
      <c r="S1174" s="9">
        <f>ROUND(SUMIFS('Bank Lines'!$E$5:$E$1640,'Bank Lines'!$G$5:$G$1640,A1174,'Bank Lines'!$J$5:$J$1640,1,'Bank Lines'!$C$5:$C$1640,"&lt;="&amp;Cover!$C$14),2)</f>
        <v>1320</v>
      </c>
      <c r="T1174" s="9">
        <f>ROUND(SUMIFS('Odoo Items'!$G$5:$G$4331,'Odoo Items'!$J$5:$J$4331,A1174,'Odoo Items'!$C$5:$C$4331,"&lt;="&amp;Cover!$C$14),2)</f>
        <v>0</v>
      </c>
      <c r="U1174">
        <f>COUNTIFS('Bank Lines'!$G$5:$G$1640,A1174,'Bank Lines'!$J$5:$J$1640,1,'Bank Lines'!$C$5:$C$1640,"&lt;="&amp;Cover!$C$14)</f>
        <v>1</v>
      </c>
      <c r="V1174">
        <f>COUNTIFS('Odoo Items'!$J$5:$J$4331,A1174,'Odoo Items'!$C$5:$C$4331,"&lt;="&amp;Cover!$C$14)</f>
        <v>0</v>
      </c>
      <c r="W1174" t="str">
        <f>IF(AND(U1174=0,V1174=0),"",IF(U1174=0,"ODOO-ONLY",IF(V1174=0,"BANK-ONLY","BOTH")))</f>
        <v>BANK-ONLY</v>
      </c>
      <c r="X1174" s="9">
        <f>IF(W1174="BOTH",ROUND(S1174-T1174,2),0)</f>
        <v>0</v>
      </c>
      <c r="Y1174" s="9">
        <f>ROUND(SUMIFS('Bank Lines'!$E$5:$E$1640,'Bank Lines'!$G$5:$G$1640,A1174,'Bank Lines'!$J$5:$J$1640,1,'Bank Lines'!$C$5:$C$1640,"&lt;="&amp;Cover!$C$15),2)</f>
        <v>1320</v>
      </c>
      <c r="Z1174" s="9">
        <f>ROUND(SUMIFS('Odoo Items'!$G$5:$G$4331,'Odoo Items'!$J$5:$J$4331,A1174,'Odoo Items'!$C$5:$C$4331,"&lt;="&amp;Cover!$C$15),2)</f>
        <v>0</v>
      </c>
      <c r="AA1174">
        <f>COUNTIFS('Bank Lines'!$G$5:$G$1640,A1174,'Bank Lines'!$J$5:$J$1640,1,'Bank Lines'!$C$5:$C$1640,"&lt;="&amp;Cover!$C$15)</f>
        <v>1</v>
      </c>
      <c r="AB1174">
        <f>COUNTIFS('Odoo Items'!$J$5:$J$4331,A1174,'Odoo Items'!$C$5:$C$4331,"&lt;="&amp;Cover!$C$15)</f>
        <v>0</v>
      </c>
      <c r="AC1174" t="str">
        <f>IF(AND(AA1174=0,AB1174=0),"",IF(AA1174=0,"ODOO-ONLY",IF(AB1174=0,"BANK-ONLY","BOTH")))</f>
        <v>BANK-ONLY</v>
      </c>
      <c r="AD1174" s="9">
        <f>IF(AC1174="BOTH",ROUND(Y1174-Z1174,2),0)</f>
        <v>0</v>
      </c>
    </row>
    <row r="1175">
      <c r="A1175" t="inlineStr">
        <is>
          <t>G01171</t>
        </is>
      </c>
      <c r="B1175" t="inlineStr">
        <is>
          <t>OPS</t>
        </is>
      </c>
      <c r="C1175" t="inlineStr">
        <is>
          <t>R11</t>
        </is>
      </c>
      <c r="D1175" t="inlineStr">
        <is>
          <t>REG</t>
        </is>
      </c>
      <c r="E1175" t="inlineStr">
        <is>
          <t>Northline Injury Claims</t>
        </is>
      </c>
      <c r="F1175" t="n">
        <v>1</v>
      </c>
      <c r="G1175" t="inlineStr">
        <is>
          <t>Receipt not entered in Odoo; matches open INV/2026/01705</t>
        </is>
      </c>
      <c r="H1175">
        <f>COUNTIFS('Bank Lines'!$G$5:$G$1640,A1175,'Bank Lines'!$J$5:$J$1640,1)</f>
        <v>1</v>
      </c>
      <c r="I1175">
        <f>COUNTIFS('Odoo Items'!$J$5:$J$4331,A1175)</f>
        <v>0</v>
      </c>
      <c r="J1175" s="9">
        <f>ROUND(SUMIFS('Bank Lines'!$E$5:$E$1640,'Bank Lines'!$G$5:$G$1640,A1175,'Bank Lines'!$J$5:$J$1640,1),2)</f>
        <v>132</v>
      </c>
      <c r="K1175" s="9">
        <f>ROUND(SUMIFS('Odoo Items'!$G$5:$G$4331,'Odoo Items'!$J$5:$J$4331,A1175),2)</f>
        <v>0</v>
      </c>
      <c r="L1175" s="9">
        <f>ROUND(J1175-K1175,2)</f>
        <v>132</v>
      </c>
      <c r="M1175" s="9">
        <f>ROUND(SUMIFS('Bank Lines'!$E$5:$E$1640,'Bank Lines'!$G$5:$G$1640,A1175,'Bank Lines'!$J$5:$J$1640,1,'Bank Lines'!$C$5:$C$1640,"&lt;="&amp;Cover!$C$13),2)</f>
        <v>132</v>
      </c>
      <c r="N1175" s="9">
        <f>ROUND(SUMIFS('Odoo Items'!$G$5:$G$4331,'Odoo Items'!$J$5:$J$4331,A1175,'Odoo Items'!$C$5:$C$4331,"&lt;="&amp;Cover!$C$13),2)</f>
        <v>0</v>
      </c>
      <c r="O1175">
        <f>COUNTIFS('Bank Lines'!$G$5:$G$1640,A1175,'Bank Lines'!$J$5:$J$1640,1,'Bank Lines'!$C$5:$C$1640,"&lt;="&amp;Cover!$C$13)</f>
        <v>1</v>
      </c>
      <c r="P1175">
        <f>COUNTIFS('Odoo Items'!$J$5:$J$4331,A1175,'Odoo Items'!$C$5:$C$4331,"&lt;="&amp;Cover!$C$13)</f>
        <v>0</v>
      </c>
      <c r="Q1175" t="str">
        <f>IF(AND(O1175=0,P1175=0),"",IF(O1175=0,"ODOO-ONLY",IF(P1175=0,"BANK-ONLY","BOTH")))</f>
        <v>BANK-ONLY</v>
      </c>
      <c r="R1175" s="9">
        <f>IF(Q1175="BOTH",ROUND(M1175-N1175,2),0)</f>
        <v>0</v>
      </c>
      <c r="S1175" s="9">
        <f>ROUND(SUMIFS('Bank Lines'!$E$5:$E$1640,'Bank Lines'!$G$5:$G$1640,A1175,'Bank Lines'!$J$5:$J$1640,1,'Bank Lines'!$C$5:$C$1640,"&lt;="&amp;Cover!$C$14),2)</f>
        <v>132</v>
      </c>
      <c r="T1175" s="9">
        <f>ROUND(SUMIFS('Odoo Items'!$G$5:$G$4331,'Odoo Items'!$J$5:$J$4331,A1175,'Odoo Items'!$C$5:$C$4331,"&lt;="&amp;Cover!$C$14),2)</f>
        <v>0</v>
      </c>
      <c r="U1175">
        <f>COUNTIFS('Bank Lines'!$G$5:$G$1640,A1175,'Bank Lines'!$J$5:$J$1640,1,'Bank Lines'!$C$5:$C$1640,"&lt;="&amp;Cover!$C$14)</f>
        <v>1</v>
      </c>
      <c r="V1175">
        <f>COUNTIFS('Odoo Items'!$J$5:$J$4331,A1175,'Odoo Items'!$C$5:$C$4331,"&lt;="&amp;Cover!$C$14)</f>
        <v>0</v>
      </c>
      <c r="W1175" t="str">
        <f>IF(AND(U1175=0,V1175=0),"",IF(U1175=0,"ODOO-ONLY",IF(V1175=0,"BANK-ONLY","BOTH")))</f>
        <v>BANK-ONLY</v>
      </c>
      <c r="X1175" s="9">
        <f>IF(W1175="BOTH",ROUND(S1175-T1175,2),0)</f>
        <v>0</v>
      </c>
      <c r="Y1175" s="9">
        <f>ROUND(SUMIFS('Bank Lines'!$E$5:$E$1640,'Bank Lines'!$G$5:$G$1640,A1175,'Bank Lines'!$J$5:$J$1640,1,'Bank Lines'!$C$5:$C$1640,"&lt;="&amp;Cover!$C$15),2)</f>
        <v>132</v>
      </c>
      <c r="Z1175" s="9">
        <f>ROUND(SUMIFS('Odoo Items'!$G$5:$G$4331,'Odoo Items'!$J$5:$J$4331,A1175,'Odoo Items'!$C$5:$C$4331,"&lt;="&amp;Cover!$C$15),2)</f>
        <v>0</v>
      </c>
      <c r="AA1175">
        <f>COUNTIFS('Bank Lines'!$G$5:$G$1640,A1175,'Bank Lines'!$J$5:$J$1640,1,'Bank Lines'!$C$5:$C$1640,"&lt;="&amp;Cover!$C$15)</f>
        <v>1</v>
      </c>
      <c r="AB1175">
        <f>COUNTIFS('Odoo Items'!$J$5:$J$4331,A1175,'Odoo Items'!$C$5:$C$4331,"&lt;="&amp;Cover!$C$15)</f>
        <v>0</v>
      </c>
      <c r="AC1175" t="str">
        <f>IF(AND(AA1175=0,AB1175=0),"",IF(AA1175=0,"ODOO-ONLY",IF(AB1175=0,"BANK-ONLY","BOTH")))</f>
        <v>BANK-ONLY</v>
      </c>
      <c r="AD1175" s="9">
        <f>IF(AC1175="BOTH",ROUND(Y1175-Z1175,2),0)</f>
        <v>0</v>
      </c>
    </row>
    <row r="1176">
      <c r="A1176" t="inlineStr">
        <is>
          <t>G01172</t>
        </is>
      </c>
      <c r="B1176" t="inlineStr">
        <is>
          <t>OPS</t>
        </is>
      </c>
      <c r="C1176" t="inlineStr">
        <is>
          <t>R11</t>
        </is>
      </c>
      <c r="D1176" t="inlineStr">
        <is>
          <t>REGBILL</t>
        </is>
      </c>
      <c r="E1176" t="inlineStr">
        <is>
          <t>Fibrewire Networks</t>
        </is>
      </c>
      <c r="F1176" t="n">
        <v>1</v>
      </c>
      <c r="G1176" t="inlineStr">
        <is>
          <t>Direct debit not entered in Odoo; matches open BILL/2026/1005</t>
        </is>
      </c>
      <c r="H1176">
        <f>COUNTIFS('Bank Lines'!$G$5:$G$1640,A1176,'Bank Lines'!$J$5:$J$1640,1)</f>
        <v>1</v>
      </c>
      <c r="I1176">
        <f>COUNTIFS('Odoo Items'!$J$5:$J$4331,A1176)</f>
        <v>0</v>
      </c>
      <c r="J1176" s="9">
        <f>ROUND(SUMIFS('Bank Lines'!$E$5:$E$1640,'Bank Lines'!$G$5:$G$1640,A1176,'Bank Lines'!$J$5:$J$1640,1),2)</f>
        <v>-649</v>
      </c>
      <c r="K1176" s="9">
        <f>ROUND(SUMIFS('Odoo Items'!$G$5:$G$4331,'Odoo Items'!$J$5:$J$4331,A1176),2)</f>
        <v>0</v>
      </c>
      <c r="L1176" s="9">
        <f>ROUND(J1176-K1176,2)</f>
        <v>-649</v>
      </c>
      <c r="M1176" s="9">
        <f>ROUND(SUMIFS('Bank Lines'!$E$5:$E$1640,'Bank Lines'!$G$5:$G$1640,A1176,'Bank Lines'!$J$5:$J$1640,1,'Bank Lines'!$C$5:$C$1640,"&lt;="&amp;Cover!$C$13),2)</f>
        <v>-649</v>
      </c>
      <c r="N1176" s="9">
        <f>ROUND(SUMIFS('Odoo Items'!$G$5:$G$4331,'Odoo Items'!$J$5:$J$4331,A1176,'Odoo Items'!$C$5:$C$4331,"&lt;="&amp;Cover!$C$13),2)</f>
        <v>0</v>
      </c>
      <c r="O1176">
        <f>COUNTIFS('Bank Lines'!$G$5:$G$1640,A1176,'Bank Lines'!$J$5:$J$1640,1,'Bank Lines'!$C$5:$C$1640,"&lt;="&amp;Cover!$C$13)</f>
        <v>1</v>
      </c>
      <c r="P1176">
        <f>COUNTIFS('Odoo Items'!$J$5:$J$4331,A1176,'Odoo Items'!$C$5:$C$4331,"&lt;="&amp;Cover!$C$13)</f>
        <v>0</v>
      </c>
      <c r="Q1176" t="str">
        <f>IF(AND(O1176=0,P1176=0),"",IF(O1176=0,"ODOO-ONLY",IF(P1176=0,"BANK-ONLY","BOTH")))</f>
        <v>BANK-ONLY</v>
      </c>
      <c r="R1176" s="9">
        <f>IF(Q1176="BOTH",ROUND(M1176-N1176,2),0)</f>
        <v>0</v>
      </c>
      <c r="S1176" s="9">
        <f>ROUND(SUMIFS('Bank Lines'!$E$5:$E$1640,'Bank Lines'!$G$5:$G$1640,A1176,'Bank Lines'!$J$5:$J$1640,1,'Bank Lines'!$C$5:$C$1640,"&lt;="&amp;Cover!$C$14),2)</f>
        <v>-649</v>
      </c>
      <c r="T1176" s="9">
        <f>ROUND(SUMIFS('Odoo Items'!$G$5:$G$4331,'Odoo Items'!$J$5:$J$4331,A1176,'Odoo Items'!$C$5:$C$4331,"&lt;="&amp;Cover!$C$14),2)</f>
        <v>0</v>
      </c>
      <c r="U1176">
        <f>COUNTIFS('Bank Lines'!$G$5:$G$1640,A1176,'Bank Lines'!$J$5:$J$1640,1,'Bank Lines'!$C$5:$C$1640,"&lt;="&amp;Cover!$C$14)</f>
        <v>1</v>
      </c>
      <c r="V1176">
        <f>COUNTIFS('Odoo Items'!$J$5:$J$4331,A1176,'Odoo Items'!$C$5:$C$4331,"&lt;="&amp;Cover!$C$14)</f>
        <v>0</v>
      </c>
      <c r="W1176" t="str">
        <f>IF(AND(U1176=0,V1176=0),"",IF(U1176=0,"ODOO-ONLY",IF(V1176=0,"BANK-ONLY","BOTH")))</f>
        <v>BANK-ONLY</v>
      </c>
      <c r="X1176" s="9">
        <f>IF(W1176="BOTH",ROUND(S1176-T1176,2),0)</f>
        <v>0</v>
      </c>
      <c r="Y1176" s="9">
        <f>ROUND(SUMIFS('Bank Lines'!$E$5:$E$1640,'Bank Lines'!$G$5:$G$1640,A1176,'Bank Lines'!$J$5:$J$1640,1,'Bank Lines'!$C$5:$C$1640,"&lt;="&amp;Cover!$C$15),2)</f>
        <v>-649</v>
      </c>
      <c r="Z1176" s="9">
        <f>ROUND(SUMIFS('Odoo Items'!$G$5:$G$4331,'Odoo Items'!$J$5:$J$4331,A1176,'Odoo Items'!$C$5:$C$4331,"&lt;="&amp;Cover!$C$15),2)</f>
        <v>0</v>
      </c>
      <c r="AA1176">
        <f>COUNTIFS('Bank Lines'!$G$5:$G$1640,A1176,'Bank Lines'!$J$5:$J$1640,1,'Bank Lines'!$C$5:$C$1640,"&lt;="&amp;Cover!$C$15)</f>
        <v>1</v>
      </c>
      <c r="AB1176">
        <f>COUNTIFS('Odoo Items'!$J$5:$J$4331,A1176,'Odoo Items'!$C$5:$C$4331,"&lt;="&amp;Cover!$C$15)</f>
        <v>0</v>
      </c>
      <c r="AC1176" t="str">
        <f>IF(AND(AA1176=0,AB1176=0),"",IF(AA1176=0,"ODOO-ONLY",IF(AB1176=0,"BANK-ONLY","BOTH")))</f>
        <v>BANK-ONLY</v>
      </c>
      <c r="AD1176" s="9">
        <f>IF(AC1176="BOTH",ROUND(Y1176-Z1176,2),0)</f>
        <v>0</v>
      </c>
    </row>
    <row r="1177">
      <c r="A1177" t="inlineStr">
        <is>
          <t>G01173</t>
        </is>
      </c>
      <c r="B1177" t="inlineStr">
        <is>
          <t>OPS</t>
        </is>
      </c>
      <c r="C1177" t="inlineStr">
        <is>
          <t>R11</t>
        </is>
      </c>
      <c r="D1177" t="inlineStr">
        <is>
          <t>REG</t>
        </is>
      </c>
      <c r="E1177" t="inlineStr">
        <is>
          <t>Westmere Council Services</t>
        </is>
      </c>
      <c r="F1177" t="n">
        <v>1</v>
      </c>
      <c r="G1177" t="inlineStr">
        <is>
          <t>Receipt not entered in Odoo; matches open INV/2026/03431</t>
        </is>
      </c>
      <c r="H1177">
        <f>COUNTIFS('Bank Lines'!$G$5:$G$1640,A1177,'Bank Lines'!$J$5:$J$1640,1)</f>
        <v>1</v>
      </c>
      <c r="I1177">
        <f>COUNTIFS('Odoo Items'!$J$5:$J$4331,A1177)</f>
        <v>0</v>
      </c>
      <c r="J1177" s="9">
        <f>ROUND(SUMIFS('Bank Lines'!$E$5:$E$1640,'Bank Lines'!$G$5:$G$1640,A1177,'Bank Lines'!$J$5:$J$1640,1),2)</f>
        <v>10807.5</v>
      </c>
      <c r="K1177" s="9">
        <f>ROUND(SUMIFS('Odoo Items'!$G$5:$G$4331,'Odoo Items'!$J$5:$J$4331,A1177),2)</f>
        <v>0</v>
      </c>
      <c r="L1177" s="9">
        <f>ROUND(J1177-K1177,2)</f>
        <v>10807.5</v>
      </c>
      <c r="M1177" s="9">
        <f>ROUND(SUMIFS('Bank Lines'!$E$5:$E$1640,'Bank Lines'!$G$5:$G$1640,A1177,'Bank Lines'!$J$5:$J$1640,1,'Bank Lines'!$C$5:$C$1640,"&lt;="&amp;Cover!$C$13),2)</f>
        <v>10807.5</v>
      </c>
      <c r="N1177" s="9">
        <f>ROUND(SUMIFS('Odoo Items'!$G$5:$G$4331,'Odoo Items'!$J$5:$J$4331,A1177,'Odoo Items'!$C$5:$C$4331,"&lt;="&amp;Cover!$C$13),2)</f>
        <v>0</v>
      </c>
      <c r="O1177">
        <f>COUNTIFS('Bank Lines'!$G$5:$G$1640,A1177,'Bank Lines'!$J$5:$J$1640,1,'Bank Lines'!$C$5:$C$1640,"&lt;="&amp;Cover!$C$13)</f>
        <v>1</v>
      </c>
      <c r="P1177">
        <f>COUNTIFS('Odoo Items'!$J$5:$J$4331,A1177,'Odoo Items'!$C$5:$C$4331,"&lt;="&amp;Cover!$C$13)</f>
        <v>0</v>
      </c>
      <c r="Q1177" t="str">
        <f>IF(AND(O1177=0,P1177=0),"",IF(O1177=0,"ODOO-ONLY",IF(P1177=0,"BANK-ONLY","BOTH")))</f>
        <v>BANK-ONLY</v>
      </c>
      <c r="R1177" s="9">
        <f>IF(Q1177="BOTH",ROUND(M1177-N1177,2),0)</f>
        <v>0</v>
      </c>
      <c r="S1177" s="9">
        <f>ROUND(SUMIFS('Bank Lines'!$E$5:$E$1640,'Bank Lines'!$G$5:$G$1640,A1177,'Bank Lines'!$J$5:$J$1640,1,'Bank Lines'!$C$5:$C$1640,"&lt;="&amp;Cover!$C$14),2)</f>
        <v>10807.5</v>
      </c>
      <c r="T1177" s="9">
        <f>ROUND(SUMIFS('Odoo Items'!$G$5:$G$4331,'Odoo Items'!$J$5:$J$4331,A1177,'Odoo Items'!$C$5:$C$4331,"&lt;="&amp;Cover!$C$14),2)</f>
        <v>0</v>
      </c>
      <c r="U1177">
        <f>COUNTIFS('Bank Lines'!$G$5:$G$1640,A1177,'Bank Lines'!$J$5:$J$1640,1,'Bank Lines'!$C$5:$C$1640,"&lt;="&amp;Cover!$C$14)</f>
        <v>1</v>
      </c>
      <c r="V1177">
        <f>COUNTIFS('Odoo Items'!$J$5:$J$4331,A1177,'Odoo Items'!$C$5:$C$4331,"&lt;="&amp;Cover!$C$14)</f>
        <v>0</v>
      </c>
      <c r="W1177" t="str">
        <f>IF(AND(U1177=0,V1177=0),"",IF(U1177=0,"ODOO-ONLY",IF(V1177=0,"BANK-ONLY","BOTH")))</f>
        <v>BANK-ONLY</v>
      </c>
      <c r="X1177" s="9">
        <f>IF(W1177="BOTH",ROUND(S1177-T1177,2),0)</f>
        <v>0</v>
      </c>
      <c r="Y1177" s="9">
        <f>ROUND(SUMIFS('Bank Lines'!$E$5:$E$1640,'Bank Lines'!$G$5:$G$1640,A1177,'Bank Lines'!$J$5:$J$1640,1,'Bank Lines'!$C$5:$C$1640,"&lt;="&amp;Cover!$C$15),2)</f>
        <v>10807.5</v>
      </c>
      <c r="Z1177" s="9">
        <f>ROUND(SUMIFS('Odoo Items'!$G$5:$G$4331,'Odoo Items'!$J$5:$J$4331,A1177,'Odoo Items'!$C$5:$C$4331,"&lt;="&amp;Cover!$C$15),2)</f>
        <v>0</v>
      </c>
      <c r="AA1177">
        <f>COUNTIFS('Bank Lines'!$G$5:$G$1640,A1177,'Bank Lines'!$J$5:$J$1640,1,'Bank Lines'!$C$5:$C$1640,"&lt;="&amp;Cover!$C$15)</f>
        <v>1</v>
      </c>
      <c r="AB1177">
        <f>COUNTIFS('Odoo Items'!$J$5:$J$4331,A1177,'Odoo Items'!$C$5:$C$4331,"&lt;="&amp;Cover!$C$15)</f>
        <v>0</v>
      </c>
      <c r="AC1177" t="str">
        <f>IF(AND(AA1177=0,AB1177=0),"",IF(AA1177=0,"ODOO-ONLY",IF(AB1177=0,"BANK-ONLY","BOTH")))</f>
        <v>BANK-ONLY</v>
      </c>
      <c r="AD1177" s="9">
        <f>IF(AC1177="BOTH",ROUND(Y1177-Z1177,2),0)</f>
        <v>0</v>
      </c>
    </row>
    <row r="1178">
      <c r="A1178" t="inlineStr">
        <is>
          <t>G01174</t>
        </is>
      </c>
      <c r="B1178" t="inlineStr">
        <is>
          <t>OPS</t>
        </is>
      </c>
      <c r="C1178" t="inlineStr">
        <is>
          <t>R11</t>
        </is>
      </c>
      <c r="D1178" t="inlineStr">
        <is>
          <t>REG</t>
        </is>
      </c>
      <c r="E1178" t="inlineStr">
        <is>
          <t>Unity Workcover Agents</t>
        </is>
      </c>
      <c r="F1178" t="n">
        <v>1</v>
      </c>
      <c r="G1178" t="inlineStr">
        <is>
          <t>Receipt not entered in Odoo; matches open INV/2026/01990</t>
        </is>
      </c>
      <c r="H1178">
        <f>COUNTIFS('Bank Lines'!$G$5:$G$1640,A1178,'Bank Lines'!$J$5:$J$1640,1)</f>
        <v>1</v>
      </c>
      <c r="I1178">
        <f>COUNTIFS('Odoo Items'!$J$5:$J$4331,A1178)</f>
        <v>0</v>
      </c>
      <c r="J1178" s="9">
        <f>ROUND(SUMIFS('Bank Lines'!$E$5:$E$1640,'Bank Lines'!$G$5:$G$1640,A1178,'Bank Lines'!$J$5:$J$1640,1),2)</f>
        <v>88</v>
      </c>
      <c r="K1178" s="9">
        <f>ROUND(SUMIFS('Odoo Items'!$G$5:$G$4331,'Odoo Items'!$J$5:$J$4331,A1178),2)</f>
        <v>0</v>
      </c>
      <c r="L1178" s="9">
        <f>ROUND(J1178-K1178,2)</f>
        <v>88</v>
      </c>
      <c r="M1178" s="9">
        <f>ROUND(SUMIFS('Bank Lines'!$E$5:$E$1640,'Bank Lines'!$G$5:$G$1640,A1178,'Bank Lines'!$J$5:$J$1640,1,'Bank Lines'!$C$5:$C$1640,"&lt;="&amp;Cover!$C$13),2)</f>
        <v>88</v>
      </c>
      <c r="N1178" s="9">
        <f>ROUND(SUMIFS('Odoo Items'!$G$5:$G$4331,'Odoo Items'!$J$5:$J$4331,A1178,'Odoo Items'!$C$5:$C$4331,"&lt;="&amp;Cover!$C$13),2)</f>
        <v>0</v>
      </c>
      <c r="O1178">
        <f>COUNTIFS('Bank Lines'!$G$5:$G$1640,A1178,'Bank Lines'!$J$5:$J$1640,1,'Bank Lines'!$C$5:$C$1640,"&lt;="&amp;Cover!$C$13)</f>
        <v>1</v>
      </c>
      <c r="P1178">
        <f>COUNTIFS('Odoo Items'!$J$5:$J$4331,A1178,'Odoo Items'!$C$5:$C$4331,"&lt;="&amp;Cover!$C$13)</f>
        <v>0</v>
      </c>
      <c r="Q1178" t="str">
        <f>IF(AND(O1178=0,P1178=0),"",IF(O1178=0,"ODOO-ONLY",IF(P1178=0,"BANK-ONLY","BOTH")))</f>
        <v>BANK-ONLY</v>
      </c>
      <c r="R1178" s="9">
        <f>IF(Q1178="BOTH",ROUND(M1178-N1178,2),0)</f>
        <v>0</v>
      </c>
      <c r="S1178" s="9">
        <f>ROUND(SUMIFS('Bank Lines'!$E$5:$E$1640,'Bank Lines'!$G$5:$G$1640,A1178,'Bank Lines'!$J$5:$J$1640,1,'Bank Lines'!$C$5:$C$1640,"&lt;="&amp;Cover!$C$14),2)</f>
        <v>88</v>
      </c>
      <c r="T1178" s="9">
        <f>ROUND(SUMIFS('Odoo Items'!$G$5:$G$4331,'Odoo Items'!$J$5:$J$4331,A1178,'Odoo Items'!$C$5:$C$4331,"&lt;="&amp;Cover!$C$14),2)</f>
        <v>0</v>
      </c>
      <c r="U1178">
        <f>COUNTIFS('Bank Lines'!$G$5:$G$1640,A1178,'Bank Lines'!$J$5:$J$1640,1,'Bank Lines'!$C$5:$C$1640,"&lt;="&amp;Cover!$C$14)</f>
        <v>1</v>
      </c>
      <c r="V1178">
        <f>COUNTIFS('Odoo Items'!$J$5:$J$4331,A1178,'Odoo Items'!$C$5:$C$4331,"&lt;="&amp;Cover!$C$14)</f>
        <v>0</v>
      </c>
      <c r="W1178" t="str">
        <f>IF(AND(U1178=0,V1178=0),"",IF(U1178=0,"ODOO-ONLY",IF(V1178=0,"BANK-ONLY","BOTH")))</f>
        <v>BANK-ONLY</v>
      </c>
      <c r="X1178" s="9">
        <f>IF(W1178="BOTH",ROUND(S1178-T1178,2),0)</f>
        <v>0</v>
      </c>
      <c r="Y1178" s="9">
        <f>ROUND(SUMIFS('Bank Lines'!$E$5:$E$1640,'Bank Lines'!$G$5:$G$1640,A1178,'Bank Lines'!$J$5:$J$1640,1,'Bank Lines'!$C$5:$C$1640,"&lt;="&amp;Cover!$C$15),2)</f>
        <v>88</v>
      </c>
      <c r="Z1178" s="9">
        <f>ROUND(SUMIFS('Odoo Items'!$G$5:$G$4331,'Odoo Items'!$J$5:$J$4331,A1178,'Odoo Items'!$C$5:$C$4331,"&lt;="&amp;Cover!$C$15),2)</f>
        <v>0</v>
      </c>
      <c r="AA1178">
        <f>COUNTIFS('Bank Lines'!$G$5:$G$1640,A1178,'Bank Lines'!$J$5:$J$1640,1,'Bank Lines'!$C$5:$C$1640,"&lt;="&amp;Cover!$C$15)</f>
        <v>1</v>
      </c>
      <c r="AB1178">
        <f>COUNTIFS('Odoo Items'!$J$5:$J$4331,A1178,'Odoo Items'!$C$5:$C$4331,"&lt;="&amp;Cover!$C$15)</f>
        <v>0</v>
      </c>
      <c r="AC1178" t="str">
        <f>IF(AND(AA1178=0,AB1178=0),"",IF(AA1178=0,"ODOO-ONLY",IF(AB1178=0,"BANK-ONLY","BOTH")))</f>
        <v>BANK-ONLY</v>
      </c>
      <c r="AD1178" s="9">
        <f>IF(AC1178="BOTH",ROUND(Y1178-Z1178,2),0)</f>
        <v>0</v>
      </c>
    </row>
    <row r="1179">
      <c r="A1179" t="inlineStr">
        <is>
          <t>G01175</t>
        </is>
      </c>
      <c r="B1179" t="inlineStr">
        <is>
          <t>OPS</t>
        </is>
      </c>
      <c r="C1179" t="inlineStr">
        <is>
          <t>R11</t>
        </is>
      </c>
      <c r="D1179" t="inlineStr">
        <is>
          <t>REGBILL</t>
        </is>
      </c>
      <c r="E1179" t="inlineStr">
        <is>
          <t>Medisure Professional Indemnity</t>
        </is>
      </c>
      <c r="F1179" t="n">
        <v>1</v>
      </c>
      <c r="G1179" t="inlineStr">
        <is>
          <t>Direct debit not entered in Odoo; matches open BILL/2026/1003</t>
        </is>
      </c>
      <c r="H1179">
        <f>COUNTIFS('Bank Lines'!$G$5:$G$1640,A1179,'Bank Lines'!$J$5:$J$1640,1)</f>
        <v>1</v>
      </c>
      <c r="I1179">
        <f>COUNTIFS('Odoo Items'!$J$5:$J$4331,A1179)</f>
        <v>0</v>
      </c>
      <c r="J1179" s="9">
        <f>ROUND(SUMIFS('Bank Lines'!$E$5:$E$1640,'Bank Lines'!$G$5:$G$1640,A1179,'Bank Lines'!$J$5:$J$1640,1),2)</f>
        <v>-2215.4</v>
      </c>
      <c r="K1179" s="9">
        <f>ROUND(SUMIFS('Odoo Items'!$G$5:$G$4331,'Odoo Items'!$J$5:$J$4331,A1179),2)</f>
        <v>0</v>
      </c>
      <c r="L1179" s="9">
        <f>ROUND(J1179-K1179,2)</f>
        <v>-2215.4</v>
      </c>
      <c r="M1179" s="9">
        <f>ROUND(SUMIFS('Bank Lines'!$E$5:$E$1640,'Bank Lines'!$G$5:$G$1640,A1179,'Bank Lines'!$J$5:$J$1640,1,'Bank Lines'!$C$5:$C$1640,"&lt;="&amp;Cover!$C$13),2)</f>
        <v>-2215.4</v>
      </c>
      <c r="N1179" s="9">
        <f>ROUND(SUMIFS('Odoo Items'!$G$5:$G$4331,'Odoo Items'!$J$5:$J$4331,A1179,'Odoo Items'!$C$5:$C$4331,"&lt;="&amp;Cover!$C$13),2)</f>
        <v>0</v>
      </c>
      <c r="O1179">
        <f>COUNTIFS('Bank Lines'!$G$5:$G$1640,A1179,'Bank Lines'!$J$5:$J$1640,1,'Bank Lines'!$C$5:$C$1640,"&lt;="&amp;Cover!$C$13)</f>
        <v>1</v>
      </c>
      <c r="P1179">
        <f>COUNTIFS('Odoo Items'!$J$5:$J$4331,A1179,'Odoo Items'!$C$5:$C$4331,"&lt;="&amp;Cover!$C$13)</f>
        <v>0</v>
      </c>
      <c r="Q1179" t="str">
        <f>IF(AND(O1179=0,P1179=0),"",IF(O1179=0,"ODOO-ONLY",IF(P1179=0,"BANK-ONLY","BOTH")))</f>
        <v>BANK-ONLY</v>
      </c>
      <c r="R1179" s="9">
        <f>IF(Q1179="BOTH",ROUND(M1179-N1179,2),0)</f>
        <v>0</v>
      </c>
      <c r="S1179" s="9">
        <f>ROUND(SUMIFS('Bank Lines'!$E$5:$E$1640,'Bank Lines'!$G$5:$G$1640,A1179,'Bank Lines'!$J$5:$J$1640,1,'Bank Lines'!$C$5:$C$1640,"&lt;="&amp;Cover!$C$14),2)</f>
        <v>-2215.4</v>
      </c>
      <c r="T1179" s="9">
        <f>ROUND(SUMIFS('Odoo Items'!$G$5:$G$4331,'Odoo Items'!$J$5:$J$4331,A1179,'Odoo Items'!$C$5:$C$4331,"&lt;="&amp;Cover!$C$14),2)</f>
        <v>0</v>
      </c>
      <c r="U1179">
        <f>COUNTIFS('Bank Lines'!$G$5:$G$1640,A1179,'Bank Lines'!$J$5:$J$1640,1,'Bank Lines'!$C$5:$C$1640,"&lt;="&amp;Cover!$C$14)</f>
        <v>1</v>
      </c>
      <c r="V1179">
        <f>COUNTIFS('Odoo Items'!$J$5:$J$4331,A1179,'Odoo Items'!$C$5:$C$4331,"&lt;="&amp;Cover!$C$14)</f>
        <v>0</v>
      </c>
      <c r="W1179" t="str">
        <f>IF(AND(U1179=0,V1179=0),"",IF(U1179=0,"ODOO-ONLY",IF(V1179=0,"BANK-ONLY","BOTH")))</f>
        <v>BANK-ONLY</v>
      </c>
      <c r="X1179" s="9">
        <f>IF(W1179="BOTH",ROUND(S1179-T1179,2),0)</f>
        <v>0</v>
      </c>
      <c r="Y1179" s="9">
        <f>ROUND(SUMIFS('Bank Lines'!$E$5:$E$1640,'Bank Lines'!$G$5:$G$1640,A1179,'Bank Lines'!$J$5:$J$1640,1,'Bank Lines'!$C$5:$C$1640,"&lt;="&amp;Cover!$C$15),2)</f>
        <v>-2215.4</v>
      </c>
      <c r="Z1179" s="9">
        <f>ROUND(SUMIFS('Odoo Items'!$G$5:$G$4331,'Odoo Items'!$J$5:$J$4331,A1179,'Odoo Items'!$C$5:$C$4331,"&lt;="&amp;Cover!$C$15),2)</f>
        <v>0</v>
      </c>
      <c r="AA1179">
        <f>COUNTIFS('Bank Lines'!$G$5:$G$1640,A1179,'Bank Lines'!$J$5:$J$1640,1,'Bank Lines'!$C$5:$C$1640,"&lt;="&amp;Cover!$C$15)</f>
        <v>1</v>
      </c>
      <c r="AB1179">
        <f>COUNTIFS('Odoo Items'!$J$5:$J$4331,A1179,'Odoo Items'!$C$5:$C$4331,"&lt;="&amp;Cover!$C$15)</f>
        <v>0</v>
      </c>
      <c r="AC1179" t="str">
        <f>IF(AND(AA1179=0,AB1179=0),"",IF(AA1179=0,"ODOO-ONLY",IF(AB1179=0,"BANK-ONLY","BOTH")))</f>
        <v>BANK-ONLY</v>
      </c>
      <c r="AD1179" s="9">
        <f>IF(AC1179="BOTH",ROUND(Y1179-Z1179,2),0)</f>
        <v>0</v>
      </c>
    </row>
    <row r="1180">
      <c r="A1180" t="inlineStr">
        <is>
          <t>G01176</t>
        </is>
      </c>
      <c r="B1180" t="inlineStr">
        <is>
          <t>OPS</t>
        </is>
      </c>
      <c r="C1180" t="inlineStr">
        <is>
          <t>R11</t>
        </is>
      </c>
      <c r="D1180" t="inlineStr">
        <is>
          <t>REG</t>
        </is>
      </c>
      <c r="E1180" t="inlineStr">
        <is>
          <t>Unity Workcover Agents</t>
        </is>
      </c>
      <c r="F1180" t="n">
        <v>1</v>
      </c>
      <c r="G1180" t="inlineStr">
        <is>
          <t>Receipt not entered in Odoo; matches open INV/2026/02104</t>
        </is>
      </c>
      <c r="H1180">
        <f>COUNTIFS('Bank Lines'!$G$5:$G$1640,A1180,'Bank Lines'!$J$5:$J$1640,1)</f>
        <v>1</v>
      </c>
      <c r="I1180">
        <f>COUNTIFS('Odoo Items'!$J$5:$J$4331,A1180)</f>
        <v>0</v>
      </c>
      <c r="J1180" s="9">
        <f>ROUND(SUMIFS('Bank Lines'!$E$5:$E$1640,'Bank Lines'!$G$5:$G$1640,A1180,'Bank Lines'!$J$5:$J$1640,1),2)</f>
        <v>412.5</v>
      </c>
      <c r="K1180" s="9">
        <f>ROUND(SUMIFS('Odoo Items'!$G$5:$G$4331,'Odoo Items'!$J$5:$J$4331,A1180),2)</f>
        <v>0</v>
      </c>
      <c r="L1180" s="9">
        <f>ROUND(J1180-K1180,2)</f>
        <v>412.5</v>
      </c>
      <c r="M1180" s="9">
        <f>ROUND(SUMIFS('Bank Lines'!$E$5:$E$1640,'Bank Lines'!$G$5:$G$1640,A1180,'Bank Lines'!$J$5:$J$1640,1,'Bank Lines'!$C$5:$C$1640,"&lt;="&amp;Cover!$C$13),2)</f>
        <v>412.5</v>
      </c>
      <c r="N1180" s="9">
        <f>ROUND(SUMIFS('Odoo Items'!$G$5:$G$4331,'Odoo Items'!$J$5:$J$4331,A1180,'Odoo Items'!$C$5:$C$4331,"&lt;="&amp;Cover!$C$13),2)</f>
        <v>0</v>
      </c>
      <c r="O1180">
        <f>COUNTIFS('Bank Lines'!$G$5:$G$1640,A1180,'Bank Lines'!$J$5:$J$1640,1,'Bank Lines'!$C$5:$C$1640,"&lt;="&amp;Cover!$C$13)</f>
        <v>1</v>
      </c>
      <c r="P1180">
        <f>COUNTIFS('Odoo Items'!$J$5:$J$4331,A1180,'Odoo Items'!$C$5:$C$4331,"&lt;="&amp;Cover!$C$13)</f>
        <v>0</v>
      </c>
      <c r="Q1180" t="str">
        <f>IF(AND(O1180=0,P1180=0),"",IF(O1180=0,"ODOO-ONLY",IF(P1180=0,"BANK-ONLY","BOTH")))</f>
        <v>BANK-ONLY</v>
      </c>
      <c r="R1180" s="9">
        <f>IF(Q1180="BOTH",ROUND(M1180-N1180,2),0)</f>
        <v>0</v>
      </c>
      <c r="S1180" s="9">
        <f>ROUND(SUMIFS('Bank Lines'!$E$5:$E$1640,'Bank Lines'!$G$5:$G$1640,A1180,'Bank Lines'!$J$5:$J$1640,1,'Bank Lines'!$C$5:$C$1640,"&lt;="&amp;Cover!$C$14),2)</f>
        <v>412.5</v>
      </c>
      <c r="T1180" s="9">
        <f>ROUND(SUMIFS('Odoo Items'!$G$5:$G$4331,'Odoo Items'!$J$5:$J$4331,A1180,'Odoo Items'!$C$5:$C$4331,"&lt;="&amp;Cover!$C$14),2)</f>
        <v>0</v>
      </c>
      <c r="U1180">
        <f>COUNTIFS('Bank Lines'!$G$5:$G$1640,A1180,'Bank Lines'!$J$5:$J$1640,1,'Bank Lines'!$C$5:$C$1640,"&lt;="&amp;Cover!$C$14)</f>
        <v>1</v>
      </c>
      <c r="V1180">
        <f>COUNTIFS('Odoo Items'!$J$5:$J$4331,A1180,'Odoo Items'!$C$5:$C$4331,"&lt;="&amp;Cover!$C$14)</f>
        <v>0</v>
      </c>
      <c r="W1180" t="str">
        <f>IF(AND(U1180=0,V1180=0),"",IF(U1180=0,"ODOO-ONLY",IF(V1180=0,"BANK-ONLY","BOTH")))</f>
        <v>BANK-ONLY</v>
      </c>
      <c r="X1180" s="9">
        <f>IF(W1180="BOTH",ROUND(S1180-T1180,2),0)</f>
        <v>0</v>
      </c>
      <c r="Y1180" s="9">
        <f>ROUND(SUMIFS('Bank Lines'!$E$5:$E$1640,'Bank Lines'!$G$5:$G$1640,A1180,'Bank Lines'!$J$5:$J$1640,1,'Bank Lines'!$C$5:$C$1640,"&lt;="&amp;Cover!$C$15),2)</f>
        <v>412.5</v>
      </c>
      <c r="Z1180" s="9">
        <f>ROUND(SUMIFS('Odoo Items'!$G$5:$G$4331,'Odoo Items'!$J$5:$J$4331,A1180,'Odoo Items'!$C$5:$C$4331,"&lt;="&amp;Cover!$C$15),2)</f>
        <v>0</v>
      </c>
      <c r="AA1180">
        <f>COUNTIFS('Bank Lines'!$G$5:$G$1640,A1180,'Bank Lines'!$J$5:$J$1640,1,'Bank Lines'!$C$5:$C$1640,"&lt;="&amp;Cover!$C$15)</f>
        <v>1</v>
      </c>
      <c r="AB1180">
        <f>COUNTIFS('Odoo Items'!$J$5:$J$4331,A1180,'Odoo Items'!$C$5:$C$4331,"&lt;="&amp;Cover!$C$15)</f>
        <v>0</v>
      </c>
      <c r="AC1180" t="str">
        <f>IF(AND(AA1180=0,AB1180=0),"",IF(AA1180=0,"ODOO-ONLY",IF(AB1180=0,"BANK-ONLY","BOTH")))</f>
        <v>BANK-ONLY</v>
      </c>
      <c r="AD1180" s="9">
        <f>IF(AC1180="BOTH",ROUND(Y1180-Z1180,2),0)</f>
        <v>0</v>
      </c>
    </row>
    <row r="1181">
      <c r="A1181" t="inlineStr">
        <is>
          <t>G01177</t>
        </is>
      </c>
      <c r="B1181" t="inlineStr">
        <is>
          <t>OPS</t>
        </is>
      </c>
      <c r="C1181" t="inlineStr">
        <is>
          <t>R11</t>
        </is>
      </c>
      <c r="D1181" t="inlineStr">
        <is>
          <t>REG</t>
        </is>
      </c>
      <c r="E1181" t="inlineStr">
        <is>
          <t>Northline Injury Claims</t>
        </is>
      </c>
      <c r="F1181" t="n">
        <v>1</v>
      </c>
      <c r="G1181" t="inlineStr">
        <is>
          <t>Receipt not entered in Odoo; matches open INV/2026/02130</t>
        </is>
      </c>
      <c r="H1181">
        <f>COUNTIFS('Bank Lines'!$G$5:$G$1640,A1181,'Bank Lines'!$J$5:$J$1640,1)</f>
        <v>1</v>
      </c>
      <c r="I1181">
        <f>COUNTIFS('Odoo Items'!$J$5:$J$4331,A1181)</f>
        <v>0</v>
      </c>
      <c r="J1181" s="9">
        <f>ROUND(SUMIFS('Bank Lines'!$E$5:$E$1640,'Bank Lines'!$G$5:$G$1640,A1181,'Bank Lines'!$J$5:$J$1640,1),2)</f>
        <v>412.5</v>
      </c>
      <c r="K1181" s="9">
        <f>ROUND(SUMIFS('Odoo Items'!$G$5:$G$4331,'Odoo Items'!$J$5:$J$4331,A1181),2)</f>
        <v>0</v>
      </c>
      <c r="L1181" s="9">
        <f>ROUND(J1181-K1181,2)</f>
        <v>412.5</v>
      </c>
      <c r="M1181" s="9">
        <f>ROUND(SUMIFS('Bank Lines'!$E$5:$E$1640,'Bank Lines'!$G$5:$G$1640,A1181,'Bank Lines'!$J$5:$J$1640,1,'Bank Lines'!$C$5:$C$1640,"&lt;="&amp;Cover!$C$13),2)</f>
        <v>412.5</v>
      </c>
      <c r="N1181" s="9">
        <f>ROUND(SUMIFS('Odoo Items'!$G$5:$G$4331,'Odoo Items'!$J$5:$J$4331,A1181,'Odoo Items'!$C$5:$C$4331,"&lt;="&amp;Cover!$C$13),2)</f>
        <v>0</v>
      </c>
      <c r="O1181">
        <f>COUNTIFS('Bank Lines'!$G$5:$G$1640,A1181,'Bank Lines'!$J$5:$J$1640,1,'Bank Lines'!$C$5:$C$1640,"&lt;="&amp;Cover!$C$13)</f>
        <v>1</v>
      </c>
      <c r="P1181">
        <f>COUNTIFS('Odoo Items'!$J$5:$J$4331,A1181,'Odoo Items'!$C$5:$C$4331,"&lt;="&amp;Cover!$C$13)</f>
        <v>0</v>
      </c>
      <c r="Q1181" t="str">
        <f>IF(AND(O1181=0,P1181=0),"",IF(O1181=0,"ODOO-ONLY",IF(P1181=0,"BANK-ONLY","BOTH")))</f>
        <v>BANK-ONLY</v>
      </c>
      <c r="R1181" s="9">
        <f>IF(Q1181="BOTH",ROUND(M1181-N1181,2),0)</f>
        <v>0</v>
      </c>
      <c r="S1181" s="9">
        <f>ROUND(SUMIFS('Bank Lines'!$E$5:$E$1640,'Bank Lines'!$G$5:$G$1640,A1181,'Bank Lines'!$J$5:$J$1640,1,'Bank Lines'!$C$5:$C$1640,"&lt;="&amp;Cover!$C$14),2)</f>
        <v>412.5</v>
      </c>
      <c r="T1181" s="9">
        <f>ROUND(SUMIFS('Odoo Items'!$G$5:$G$4331,'Odoo Items'!$J$5:$J$4331,A1181,'Odoo Items'!$C$5:$C$4331,"&lt;="&amp;Cover!$C$14),2)</f>
        <v>0</v>
      </c>
      <c r="U1181">
        <f>COUNTIFS('Bank Lines'!$G$5:$G$1640,A1181,'Bank Lines'!$J$5:$J$1640,1,'Bank Lines'!$C$5:$C$1640,"&lt;="&amp;Cover!$C$14)</f>
        <v>1</v>
      </c>
      <c r="V1181">
        <f>COUNTIFS('Odoo Items'!$J$5:$J$4331,A1181,'Odoo Items'!$C$5:$C$4331,"&lt;="&amp;Cover!$C$14)</f>
        <v>0</v>
      </c>
      <c r="W1181" t="str">
        <f>IF(AND(U1181=0,V1181=0),"",IF(U1181=0,"ODOO-ONLY",IF(V1181=0,"BANK-ONLY","BOTH")))</f>
        <v>BANK-ONLY</v>
      </c>
      <c r="X1181" s="9">
        <f>IF(W1181="BOTH",ROUND(S1181-T1181,2),0)</f>
        <v>0</v>
      </c>
      <c r="Y1181" s="9">
        <f>ROUND(SUMIFS('Bank Lines'!$E$5:$E$1640,'Bank Lines'!$G$5:$G$1640,A1181,'Bank Lines'!$J$5:$J$1640,1,'Bank Lines'!$C$5:$C$1640,"&lt;="&amp;Cover!$C$15),2)</f>
        <v>412.5</v>
      </c>
      <c r="Z1181" s="9">
        <f>ROUND(SUMIFS('Odoo Items'!$G$5:$G$4331,'Odoo Items'!$J$5:$J$4331,A1181,'Odoo Items'!$C$5:$C$4331,"&lt;="&amp;Cover!$C$15),2)</f>
        <v>0</v>
      </c>
      <c r="AA1181">
        <f>COUNTIFS('Bank Lines'!$G$5:$G$1640,A1181,'Bank Lines'!$J$5:$J$1640,1,'Bank Lines'!$C$5:$C$1640,"&lt;="&amp;Cover!$C$15)</f>
        <v>1</v>
      </c>
      <c r="AB1181">
        <f>COUNTIFS('Odoo Items'!$J$5:$J$4331,A1181,'Odoo Items'!$C$5:$C$4331,"&lt;="&amp;Cover!$C$15)</f>
        <v>0</v>
      </c>
      <c r="AC1181" t="str">
        <f>IF(AND(AA1181=0,AB1181=0),"",IF(AA1181=0,"ODOO-ONLY",IF(AB1181=0,"BANK-ONLY","BOTH")))</f>
        <v>BANK-ONLY</v>
      </c>
      <c r="AD1181" s="9">
        <f>IF(AC1181="BOTH",ROUND(Y1181-Z1181,2),0)</f>
        <v>0</v>
      </c>
    </row>
    <row r="1182">
      <c r="A1182" t="inlineStr">
        <is>
          <t>G01178</t>
        </is>
      </c>
      <c r="B1182" t="inlineStr">
        <is>
          <t>OPS</t>
        </is>
      </c>
      <c r="C1182" t="inlineStr">
        <is>
          <t>R11</t>
        </is>
      </c>
      <c r="D1182" t="inlineStr">
        <is>
          <t>REGBILL</t>
        </is>
      </c>
      <c r="E1182" t="inlineStr">
        <is>
          <t>Clinic Practice Software AU</t>
        </is>
      </c>
      <c r="F1182" t="n">
        <v>1</v>
      </c>
      <c r="G1182" t="inlineStr">
        <is>
          <t>Direct debit not entered in Odoo; matches open BILL/2026/1018</t>
        </is>
      </c>
      <c r="H1182">
        <f>COUNTIFS('Bank Lines'!$G$5:$G$1640,A1182,'Bank Lines'!$J$5:$J$1640,1)</f>
        <v>1</v>
      </c>
      <c r="I1182">
        <f>COUNTIFS('Odoo Items'!$J$5:$J$4331,A1182)</f>
        <v>0</v>
      </c>
      <c r="J1182" s="9">
        <f>ROUND(SUMIFS('Bank Lines'!$E$5:$E$1640,'Bank Lines'!$G$5:$G$1640,A1182,'Bank Lines'!$J$5:$J$1640,1),2)</f>
        <v>-1870</v>
      </c>
      <c r="K1182" s="9">
        <f>ROUND(SUMIFS('Odoo Items'!$G$5:$G$4331,'Odoo Items'!$J$5:$J$4331,A1182),2)</f>
        <v>0</v>
      </c>
      <c r="L1182" s="9">
        <f>ROUND(J1182-K1182,2)</f>
        <v>-1870</v>
      </c>
      <c r="M1182" s="9">
        <f>ROUND(SUMIFS('Bank Lines'!$E$5:$E$1640,'Bank Lines'!$G$5:$G$1640,A1182,'Bank Lines'!$J$5:$J$1640,1,'Bank Lines'!$C$5:$C$1640,"&lt;="&amp;Cover!$C$13),2)</f>
        <v>0</v>
      </c>
      <c r="N1182" s="9">
        <f>ROUND(SUMIFS('Odoo Items'!$G$5:$G$4331,'Odoo Items'!$J$5:$J$4331,A1182,'Odoo Items'!$C$5:$C$4331,"&lt;="&amp;Cover!$C$13),2)</f>
        <v>0</v>
      </c>
      <c r="O1182">
        <f>COUNTIFS('Bank Lines'!$G$5:$G$1640,A1182,'Bank Lines'!$J$5:$J$1640,1,'Bank Lines'!$C$5:$C$1640,"&lt;="&amp;Cover!$C$13)</f>
        <v>0</v>
      </c>
      <c r="P1182">
        <f>COUNTIFS('Odoo Items'!$J$5:$J$4331,A1182,'Odoo Items'!$C$5:$C$4331,"&lt;="&amp;Cover!$C$13)</f>
        <v>0</v>
      </c>
      <c r="Q1182">
        <f>IF(AND(O1182=0,P1182=0),"",IF(O1182=0,"ODOO-ONLY",IF(P1182=0,"BANK-ONLY","BOTH")))</f>
      </c>
      <c r="R1182" s="9">
        <f>IF(Q1182="BOTH",ROUND(M1182-N1182,2),0)</f>
        <v>0</v>
      </c>
      <c r="S1182" s="9">
        <f>ROUND(SUMIFS('Bank Lines'!$E$5:$E$1640,'Bank Lines'!$G$5:$G$1640,A1182,'Bank Lines'!$J$5:$J$1640,1,'Bank Lines'!$C$5:$C$1640,"&lt;="&amp;Cover!$C$14),2)</f>
        <v>-1870</v>
      </c>
      <c r="T1182" s="9">
        <f>ROUND(SUMIFS('Odoo Items'!$G$5:$G$4331,'Odoo Items'!$J$5:$J$4331,A1182,'Odoo Items'!$C$5:$C$4331,"&lt;="&amp;Cover!$C$14),2)</f>
        <v>0</v>
      </c>
      <c r="U1182">
        <f>COUNTIFS('Bank Lines'!$G$5:$G$1640,A1182,'Bank Lines'!$J$5:$J$1640,1,'Bank Lines'!$C$5:$C$1640,"&lt;="&amp;Cover!$C$14)</f>
        <v>1</v>
      </c>
      <c r="V1182">
        <f>COUNTIFS('Odoo Items'!$J$5:$J$4331,A1182,'Odoo Items'!$C$5:$C$4331,"&lt;="&amp;Cover!$C$14)</f>
        <v>0</v>
      </c>
      <c r="W1182" t="str">
        <f>IF(AND(U1182=0,V1182=0),"",IF(U1182=0,"ODOO-ONLY",IF(V1182=0,"BANK-ONLY","BOTH")))</f>
        <v>BANK-ONLY</v>
      </c>
      <c r="X1182" s="9">
        <f>IF(W1182="BOTH",ROUND(S1182-T1182,2),0)</f>
        <v>0</v>
      </c>
      <c r="Y1182" s="9">
        <f>ROUND(SUMIFS('Bank Lines'!$E$5:$E$1640,'Bank Lines'!$G$5:$G$1640,A1182,'Bank Lines'!$J$5:$J$1640,1,'Bank Lines'!$C$5:$C$1640,"&lt;="&amp;Cover!$C$15),2)</f>
        <v>-1870</v>
      </c>
      <c r="Z1182" s="9">
        <f>ROUND(SUMIFS('Odoo Items'!$G$5:$G$4331,'Odoo Items'!$J$5:$J$4331,A1182,'Odoo Items'!$C$5:$C$4331,"&lt;="&amp;Cover!$C$15),2)</f>
        <v>0</v>
      </c>
      <c r="AA1182">
        <f>COUNTIFS('Bank Lines'!$G$5:$G$1640,A1182,'Bank Lines'!$J$5:$J$1640,1,'Bank Lines'!$C$5:$C$1640,"&lt;="&amp;Cover!$C$15)</f>
        <v>1</v>
      </c>
      <c r="AB1182">
        <f>COUNTIFS('Odoo Items'!$J$5:$J$4331,A1182,'Odoo Items'!$C$5:$C$4331,"&lt;="&amp;Cover!$C$15)</f>
        <v>0</v>
      </c>
      <c r="AC1182" t="str">
        <f>IF(AND(AA1182=0,AB1182=0),"",IF(AA1182=0,"ODOO-ONLY",IF(AB1182=0,"BANK-ONLY","BOTH")))</f>
        <v>BANK-ONLY</v>
      </c>
      <c r="AD1182" s="9">
        <f>IF(AC1182="BOTH",ROUND(Y1182-Z1182,2),0)</f>
        <v>0</v>
      </c>
    </row>
    <row r="1183">
      <c r="A1183" t="inlineStr">
        <is>
          <t>G01179</t>
        </is>
      </c>
      <c r="B1183" t="inlineStr">
        <is>
          <t>OPS</t>
        </is>
      </c>
      <c r="C1183" t="inlineStr">
        <is>
          <t>R11</t>
        </is>
      </c>
      <c r="D1183" t="inlineStr">
        <is>
          <t>REG</t>
        </is>
      </c>
      <c r="E1183" t="inlineStr">
        <is>
          <t>Elmhurst Property Group</t>
        </is>
      </c>
      <c r="F1183" t="n">
        <v>1</v>
      </c>
      <c r="G1183" t="inlineStr">
        <is>
          <t>Receipt not entered in Odoo; matches open INV/2026/03442, INV/2026/03494</t>
        </is>
      </c>
      <c r="H1183">
        <f>COUNTIFS('Bank Lines'!$G$5:$G$1640,A1183,'Bank Lines'!$J$5:$J$1640,1)</f>
        <v>1</v>
      </c>
      <c r="I1183">
        <f>COUNTIFS('Odoo Items'!$J$5:$J$4331,A1183)</f>
        <v>0</v>
      </c>
      <c r="J1183" s="9">
        <f>ROUND(SUMIFS('Bank Lines'!$E$5:$E$1640,'Bank Lines'!$G$5:$G$1640,A1183,'Bank Lines'!$J$5:$J$1640,1),2)</f>
        <v>6407.5</v>
      </c>
      <c r="K1183" s="9">
        <f>ROUND(SUMIFS('Odoo Items'!$G$5:$G$4331,'Odoo Items'!$J$5:$J$4331,A1183),2)</f>
        <v>0</v>
      </c>
      <c r="L1183" s="9">
        <f>ROUND(J1183-K1183,2)</f>
        <v>6407.5</v>
      </c>
      <c r="M1183" s="9">
        <f>ROUND(SUMIFS('Bank Lines'!$E$5:$E$1640,'Bank Lines'!$G$5:$G$1640,A1183,'Bank Lines'!$J$5:$J$1640,1,'Bank Lines'!$C$5:$C$1640,"&lt;="&amp;Cover!$C$13),2)</f>
        <v>0</v>
      </c>
      <c r="N1183" s="9">
        <f>ROUND(SUMIFS('Odoo Items'!$G$5:$G$4331,'Odoo Items'!$J$5:$J$4331,A1183,'Odoo Items'!$C$5:$C$4331,"&lt;="&amp;Cover!$C$13),2)</f>
        <v>0</v>
      </c>
      <c r="O1183">
        <f>COUNTIFS('Bank Lines'!$G$5:$G$1640,A1183,'Bank Lines'!$J$5:$J$1640,1,'Bank Lines'!$C$5:$C$1640,"&lt;="&amp;Cover!$C$13)</f>
        <v>0</v>
      </c>
      <c r="P1183">
        <f>COUNTIFS('Odoo Items'!$J$5:$J$4331,A1183,'Odoo Items'!$C$5:$C$4331,"&lt;="&amp;Cover!$C$13)</f>
        <v>0</v>
      </c>
      <c r="Q1183">
        <f>IF(AND(O1183=0,P1183=0),"",IF(O1183=0,"ODOO-ONLY",IF(P1183=0,"BANK-ONLY","BOTH")))</f>
      </c>
      <c r="R1183" s="9">
        <f>IF(Q1183="BOTH",ROUND(M1183-N1183,2),0)</f>
        <v>0</v>
      </c>
      <c r="S1183" s="9">
        <f>ROUND(SUMIFS('Bank Lines'!$E$5:$E$1640,'Bank Lines'!$G$5:$G$1640,A1183,'Bank Lines'!$J$5:$J$1640,1,'Bank Lines'!$C$5:$C$1640,"&lt;="&amp;Cover!$C$14),2)</f>
        <v>6407.5</v>
      </c>
      <c r="T1183" s="9">
        <f>ROUND(SUMIFS('Odoo Items'!$G$5:$G$4331,'Odoo Items'!$J$5:$J$4331,A1183,'Odoo Items'!$C$5:$C$4331,"&lt;="&amp;Cover!$C$14),2)</f>
        <v>0</v>
      </c>
      <c r="U1183">
        <f>COUNTIFS('Bank Lines'!$G$5:$G$1640,A1183,'Bank Lines'!$J$5:$J$1640,1,'Bank Lines'!$C$5:$C$1640,"&lt;="&amp;Cover!$C$14)</f>
        <v>1</v>
      </c>
      <c r="V1183">
        <f>COUNTIFS('Odoo Items'!$J$5:$J$4331,A1183,'Odoo Items'!$C$5:$C$4331,"&lt;="&amp;Cover!$C$14)</f>
        <v>0</v>
      </c>
      <c r="W1183" t="str">
        <f>IF(AND(U1183=0,V1183=0),"",IF(U1183=0,"ODOO-ONLY",IF(V1183=0,"BANK-ONLY","BOTH")))</f>
        <v>BANK-ONLY</v>
      </c>
      <c r="X1183" s="9">
        <f>IF(W1183="BOTH",ROUND(S1183-T1183,2),0)</f>
        <v>0</v>
      </c>
      <c r="Y1183" s="9">
        <f>ROUND(SUMIFS('Bank Lines'!$E$5:$E$1640,'Bank Lines'!$G$5:$G$1640,A1183,'Bank Lines'!$J$5:$J$1640,1,'Bank Lines'!$C$5:$C$1640,"&lt;="&amp;Cover!$C$15),2)</f>
        <v>6407.5</v>
      </c>
      <c r="Z1183" s="9">
        <f>ROUND(SUMIFS('Odoo Items'!$G$5:$G$4331,'Odoo Items'!$J$5:$J$4331,A1183,'Odoo Items'!$C$5:$C$4331,"&lt;="&amp;Cover!$C$15),2)</f>
        <v>0</v>
      </c>
      <c r="AA1183">
        <f>COUNTIFS('Bank Lines'!$G$5:$G$1640,A1183,'Bank Lines'!$J$5:$J$1640,1,'Bank Lines'!$C$5:$C$1640,"&lt;="&amp;Cover!$C$15)</f>
        <v>1</v>
      </c>
      <c r="AB1183">
        <f>COUNTIFS('Odoo Items'!$J$5:$J$4331,A1183,'Odoo Items'!$C$5:$C$4331,"&lt;="&amp;Cover!$C$15)</f>
        <v>0</v>
      </c>
      <c r="AC1183" t="str">
        <f>IF(AND(AA1183=0,AB1183=0),"",IF(AA1183=0,"ODOO-ONLY",IF(AB1183=0,"BANK-ONLY","BOTH")))</f>
        <v>BANK-ONLY</v>
      </c>
      <c r="AD1183" s="9">
        <f>IF(AC1183="BOTH",ROUND(Y1183-Z1183,2),0)</f>
        <v>0</v>
      </c>
    </row>
    <row r="1184">
      <c r="A1184" t="inlineStr">
        <is>
          <t>G01180</t>
        </is>
      </c>
      <c r="B1184" t="inlineStr">
        <is>
          <t>OPS</t>
        </is>
      </c>
      <c r="C1184" t="inlineStr">
        <is>
          <t>R11</t>
        </is>
      </c>
      <c r="D1184" t="inlineStr">
        <is>
          <t>REG</t>
        </is>
      </c>
      <c r="E1184" t="inlineStr">
        <is>
          <t>Harbour Mutual Health</t>
        </is>
      </c>
      <c r="F1184" t="n">
        <v>1</v>
      </c>
      <c r="G1184" t="inlineStr">
        <is>
          <t>Receipt not entered in Odoo; matches open INV/2026/02368</t>
        </is>
      </c>
      <c r="H1184">
        <f>COUNTIFS('Bank Lines'!$G$5:$G$1640,A1184,'Bank Lines'!$J$5:$J$1640,1)</f>
        <v>1</v>
      </c>
      <c r="I1184">
        <f>COUNTIFS('Odoo Items'!$J$5:$J$4331,A1184)</f>
        <v>0</v>
      </c>
      <c r="J1184" s="9">
        <f>ROUND(SUMIFS('Bank Lines'!$E$5:$E$1640,'Bank Lines'!$G$5:$G$1640,A1184,'Bank Lines'!$J$5:$J$1640,1),2)</f>
        <v>88</v>
      </c>
      <c r="K1184" s="9">
        <f>ROUND(SUMIFS('Odoo Items'!$G$5:$G$4331,'Odoo Items'!$J$5:$J$4331,A1184),2)</f>
        <v>0</v>
      </c>
      <c r="L1184" s="9">
        <f>ROUND(J1184-K1184,2)</f>
        <v>88</v>
      </c>
      <c r="M1184" s="9">
        <f>ROUND(SUMIFS('Bank Lines'!$E$5:$E$1640,'Bank Lines'!$G$5:$G$1640,A1184,'Bank Lines'!$J$5:$J$1640,1,'Bank Lines'!$C$5:$C$1640,"&lt;="&amp;Cover!$C$13),2)</f>
        <v>0</v>
      </c>
      <c r="N1184" s="9">
        <f>ROUND(SUMIFS('Odoo Items'!$G$5:$G$4331,'Odoo Items'!$J$5:$J$4331,A1184,'Odoo Items'!$C$5:$C$4331,"&lt;="&amp;Cover!$C$13),2)</f>
        <v>0</v>
      </c>
      <c r="O1184">
        <f>COUNTIFS('Bank Lines'!$G$5:$G$1640,A1184,'Bank Lines'!$J$5:$J$1640,1,'Bank Lines'!$C$5:$C$1640,"&lt;="&amp;Cover!$C$13)</f>
        <v>0</v>
      </c>
      <c r="P1184">
        <f>COUNTIFS('Odoo Items'!$J$5:$J$4331,A1184,'Odoo Items'!$C$5:$C$4331,"&lt;="&amp;Cover!$C$13)</f>
        <v>0</v>
      </c>
      <c r="Q1184">
        <f>IF(AND(O1184=0,P1184=0),"",IF(O1184=0,"ODOO-ONLY",IF(P1184=0,"BANK-ONLY","BOTH")))</f>
      </c>
      <c r="R1184" s="9">
        <f>IF(Q1184="BOTH",ROUND(M1184-N1184,2),0)</f>
        <v>0</v>
      </c>
      <c r="S1184" s="9">
        <f>ROUND(SUMIFS('Bank Lines'!$E$5:$E$1640,'Bank Lines'!$G$5:$G$1640,A1184,'Bank Lines'!$J$5:$J$1640,1,'Bank Lines'!$C$5:$C$1640,"&lt;="&amp;Cover!$C$14),2)</f>
        <v>88</v>
      </c>
      <c r="T1184" s="9">
        <f>ROUND(SUMIFS('Odoo Items'!$G$5:$G$4331,'Odoo Items'!$J$5:$J$4331,A1184,'Odoo Items'!$C$5:$C$4331,"&lt;="&amp;Cover!$C$14),2)</f>
        <v>0</v>
      </c>
      <c r="U1184">
        <f>COUNTIFS('Bank Lines'!$G$5:$G$1640,A1184,'Bank Lines'!$J$5:$J$1640,1,'Bank Lines'!$C$5:$C$1640,"&lt;="&amp;Cover!$C$14)</f>
        <v>1</v>
      </c>
      <c r="V1184">
        <f>COUNTIFS('Odoo Items'!$J$5:$J$4331,A1184,'Odoo Items'!$C$5:$C$4331,"&lt;="&amp;Cover!$C$14)</f>
        <v>0</v>
      </c>
      <c r="W1184" t="str">
        <f>IF(AND(U1184=0,V1184=0),"",IF(U1184=0,"ODOO-ONLY",IF(V1184=0,"BANK-ONLY","BOTH")))</f>
        <v>BANK-ONLY</v>
      </c>
      <c r="X1184" s="9">
        <f>IF(W1184="BOTH",ROUND(S1184-T1184,2),0)</f>
        <v>0</v>
      </c>
      <c r="Y1184" s="9">
        <f>ROUND(SUMIFS('Bank Lines'!$E$5:$E$1640,'Bank Lines'!$G$5:$G$1640,A1184,'Bank Lines'!$J$5:$J$1640,1,'Bank Lines'!$C$5:$C$1640,"&lt;="&amp;Cover!$C$15),2)</f>
        <v>88</v>
      </c>
      <c r="Z1184" s="9">
        <f>ROUND(SUMIFS('Odoo Items'!$G$5:$G$4331,'Odoo Items'!$J$5:$J$4331,A1184,'Odoo Items'!$C$5:$C$4331,"&lt;="&amp;Cover!$C$15),2)</f>
        <v>0</v>
      </c>
      <c r="AA1184">
        <f>COUNTIFS('Bank Lines'!$G$5:$G$1640,A1184,'Bank Lines'!$J$5:$J$1640,1,'Bank Lines'!$C$5:$C$1640,"&lt;="&amp;Cover!$C$15)</f>
        <v>1</v>
      </c>
      <c r="AB1184">
        <f>COUNTIFS('Odoo Items'!$J$5:$J$4331,A1184,'Odoo Items'!$C$5:$C$4331,"&lt;="&amp;Cover!$C$15)</f>
        <v>0</v>
      </c>
      <c r="AC1184" t="str">
        <f>IF(AND(AA1184=0,AB1184=0),"",IF(AA1184=0,"ODOO-ONLY",IF(AB1184=0,"BANK-ONLY","BOTH")))</f>
        <v>BANK-ONLY</v>
      </c>
      <c r="AD1184" s="9">
        <f>IF(AC1184="BOTH",ROUND(Y1184-Z1184,2),0)</f>
        <v>0</v>
      </c>
    </row>
    <row r="1185">
      <c r="A1185" t="inlineStr">
        <is>
          <t>G01181</t>
        </is>
      </c>
      <c r="B1185" t="inlineStr">
        <is>
          <t>OPS</t>
        </is>
      </c>
      <c r="C1185" t="inlineStr">
        <is>
          <t>R11</t>
        </is>
      </c>
      <c r="D1185" t="inlineStr">
        <is>
          <t>NOBILL</t>
        </is>
      </c>
      <c r="E1185" t="inlineStr">
        <is>
          <t>Telwave Business Mobile</t>
        </is>
      </c>
      <c r="F1185" t="n">
        <v>1</v>
      </c>
      <c r="G1185" t="inlineStr">
        <is>
          <t>Direct debit from Telwave Business Mobile with no bill in Odoo; request the tax invoice</t>
        </is>
      </c>
      <c r="H1185">
        <f>COUNTIFS('Bank Lines'!$G$5:$G$1640,A1185,'Bank Lines'!$J$5:$J$1640,1)</f>
        <v>1</v>
      </c>
      <c r="I1185">
        <f>COUNTIFS('Odoo Items'!$J$5:$J$4331,A1185)</f>
        <v>0</v>
      </c>
      <c r="J1185" s="9">
        <f>ROUND(SUMIFS('Bank Lines'!$E$5:$E$1640,'Bank Lines'!$G$5:$G$1640,A1185,'Bank Lines'!$J$5:$J$1640,1),2)</f>
        <v>-1189.3</v>
      </c>
      <c r="K1185" s="9">
        <f>ROUND(SUMIFS('Odoo Items'!$G$5:$G$4331,'Odoo Items'!$J$5:$J$4331,A1185),2)</f>
        <v>0</v>
      </c>
      <c r="L1185" s="9">
        <f>ROUND(J1185-K1185,2)</f>
        <v>-1189.3</v>
      </c>
      <c r="M1185" s="9">
        <f>ROUND(SUMIFS('Bank Lines'!$E$5:$E$1640,'Bank Lines'!$G$5:$G$1640,A1185,'Bank Lines'!$J$5:$J$1640,1,'Bank Lines'!$C$5:$C$1640,"&lt;="&amp;Cover!$C$13),2)</f>
        <v>0</v>
      </c>
      <c r="N1185" s="9">
        <f>ROUND(SUMIFS('Odoo Items'!$G$5:$G$4331,'Odoo Items'!$J$5:$J$4331,A1185,'Odoo Items'!$C$5:$C$4331,"&lt;="&amp;Cover!$C$13),2)</f>
        <v>0</v>
      </c>
      <c r="O1185">
        <f>COUNTIFS('Bank Lines'!$G$5:$G$1640,A1185,'Bank Lines'!$J$5:$J$1640,1,'Bank Lines'!$C$5:$C$1640,"&lt;="&amp;Cover!$C$13)</f>
        <v>0</v>
      </c>
      <c r="P1185">
        <f>COUNTIFS('Odoo Items'!$J$5:$J$4331,A1185,'Odoo Items'!$C$5:$C$4331,"&lt;="&amp;Cover!$C$13)</f>
        <v>0</v>
      </c>
      <c r="Q1185">
        <f>IF(AND(O1185=0,P1185=0),"",IF(O1185=0,"ODOO-ONLY",IF(P1185=0,"BANK-ONLY","BOTH")))</f>
      </c>
      <c r="R1185" s="9">
        <f>IF(Q1185="BOTH",ROUND(M1185-N1185,2),0)</f>
        <v>0</v>
      </c>
      <c r="S1185" s="9">
        <f>ROUND(SUMIFS('Bank Lines'!$E$5:$E$1640,'Bank Lines'!$G$5:$G$1640,A1185,'Bank Lines'!$J$5:$J$1640,1,'Bank Lines'!$C$5:$C$1640,"&lt;="&amp;Cover!$C$14),2)</f>
        <v>-1189.3</v>
      </c>
      <c r="T1185" s="9">
        <f>ROUND(SUMIFS('Odoo Items'!$G$5:$G$4331,'Odoo Items'!$J$5:$J$4331,A1185,'Odoo Items'!$C$5:$C$4331,"&lt;="&amp;Cover!$C$14),2)</f>
        <v>0</v>
      </c>
      <c r="U1185">
        <f>COUNTIFS('Bank Lines'!$G$5:$G$1640,A1185,'Bank Lines'!$J$5:$J$1640,1,'Bank Lines'!$C$5:$C$1640,"&lt;="&amp;Cover!$C$14)</f>
        <v>1</v>
      </c>
      <c r="V1185">
        <f>COUNTIFS('Odoo Items'!$J$5:$J$4331,A1185,'Odoo Items'!$C$5:$C$4331,"&lt;="&amp;Cover!$C$14)</f>
        <v>0</v>
      </c>
      <c r="W1185" t="str">
        <f>IF(AND(U1185=0,V1185=0),"",IF(U1185=0,"ODOO-ONLY",IF(V1185=0,"BANK-ONLY","BOTH")))</f>
        <v>BANK-ONLY</v>
      </c>
      <c r="X1185" s="9">
        <f>IF(W1185="BOTH",ROUND(S1185-T1185,2),0)</f>
        <v>0</v>
      </c>
      <c r="Y1185" s="9">
        <f>ROUND(SUMIFS('Bank Lines'!$E$5:$E$1640,'Bank Lines'!$G$5:$G$1640,A1185,'Bank Lines'!$J$5:$J$1640,1,'Bank Lines'!$C$5:$C$1640,"&lt;="&amp;Cover!$C$15),2)</f>
        <v>-1189.3</v>
      </c>
      <c r="Z1185" s="9">
        <f>ROUND(SUMIFS('Odoo Items'!$G$5:$G$4331,'Odoo Items'!$J$5:$J$4331,A1185,'Odoo Items'!$C$5:$C$4331,"&lt;="&amp;Cover!$C$15),2)</f>
        <v>0</v>
      </c>
      <c r="AA1185">
        <f>COUNTIFS('Bank Lines'!$G$5:$G$1640,A1185,'Bank Lines'!$J$5:$J$1640,1,'Bank Lines'!$C$5:$C$1640,"&lt;="&amp;Cover!$C$15)</f>
        <v>1</v>
      </c>
      <c r="AB1185">
        <f>COUNTIFS('Odoo Items'!$J$5:$J$4331,A1185,'Odoo Items'!$C$5:$C$4331,"&lt;="&amp;Cover!$C$15)</f>
        <v>0</v>
      </c>
      <c r="AC1185" t="str">
        <f>IF(AND(AA1185=0,AB1185=0),"",IF(AA1185=0,"ODOO-ONLY",IF(AB1185=0,"BANK-ONLY","BOTH")))</f>
        <v>BANK-ONLY</v>
      </c>
      <c r="AD1185" s="9">
        <f>IF(AC1185="BOTH",ROUND(Y1185-Z1185,2),0)</f>
        <v>0</v>
      </c>
    </row>
    <row r="1186">
      <c r="A1186" t="inlineStr">
        <is>
          <t>G01182</t>
        </is>
      </c>
      <c r="B1186" t="inlineStr">
        <is>
          <t>OPS</t>
        </is>
      </c>
      <c r="C1186" t="inlineStr">
        <is>
          <t>R11</t>
        </is>
      </c>
      <c r="D1186" t="inlineStr">
        <is>
          <t>REG</t>
        </is>
      </c>
      <c r="E1186" t="inlineStr">
        <is>
          <t>Rosedale Nurseries</t>
        </is>
      </c>
      <c r="F1186" t="n">
        <v>1</v>
      </c>
      <c r="G1186" t="inlineStr">
        <is>
          <t>Receipt not entered in Odoo; matches open INV/2026/03510</t>
        </is>
      </c>
      <c r="H1186">
        <f>COUNTIFS('Bank Lines'!$G$5:$G$1640,A1186,'Bank Lines'!$J$5:$J$1640,1)</f>
        <v>1</v>
      </c>
      <c r="I1186">
        <f>COUNTIFS('Odoo Items'!$J$5:$J$4331,A1186)</f>
        <v>0</v>
      </c>
      <c r="J1186" s="9">
        <f>ROUND(SUMIFS('Bank Lines'!$E$5:$E$1640,'Bank Lines'!$G$5:$G$1640,A1186,'Bank Lines'!$J$5:$J$1640,1),2)</f>
        <v>2035</v>
      </c>
      <c r="K1186" s="9">
        <f>ROUND(SUMIFS('Odoo Items'!$G$5:$G$4331,'Odoo Items'!$J$5:$J$4331,A1186),2)</f>
        <v>0</v>
      </c>
      <c r="L1186" s="9">
        <f>ROUND(J1186-K1186,2)</f>
        <v>2035</v>
      </c>
      <c r="M1186" s="9">
        <f>ROUND(SUMIFS('Bank Lines'!$E$5:$E$1640,'Bank Lines'!$G$5:$G$1640,A1186,'Bank Lines'!$J$5:$J$1640,1,'Bank Lines'!$C$5:$C$1640,"&lt;="&amp;Cover!$C$13),2)</f>
        <v>0</v>
      </c>
      <c r="N1186" s="9">
        <f>ROUND(SUMIFS('Odoo Items'!$G$5:$G$4331,'Odoo Items'!$J$5:$J$4331,A1186,'Odoo Items'!$C$5:$C$4331,"&lt;="&amp;Cover!$C$13),2)</f>
        <v>0</v>
      </c>
      <c r="O1186">
        <f>COUNTIFS('Bank Lines'!$G$5:$G$1640,A1186,'Bank Lines'!$J$5:$J$1640,1,'Bank Lines'!$C$5:$C$1640,"&lt;="&amp;Cover!$C$13)</f>
        <v>0</v>
      </c>
      <c r="P1186">
        <f>COUNTIFS('Odoo Items'!$J$5:$J$4331,A1186,'Odoo Items'!$C$5:$C$4331,"&lt;="&amp;Cover!$C$13)</f>
        <v>0</v>
      </c>
      <c r="Q1186">
        <f>IF(AND(O1186=0,P1186=0),"",IF(O1186=0,"ODOO-ONLY",IF(P1186=0,"BANK-ONLY","BOTH")))</f>
      </c>
      <c r="R1186" s="9">
        <f>IF(Q1186="BOTH",ROUND(M1186-N1186,2),0)</f>
        <v>0</v>
      </c>
      <c r="S1186" s="9">
        <f>ROUND(SUMIFS('Bank Lines'!$E$5:$E$1640,'Bank Lines'!$G$5:$G$1640,A1186,'Bank Lines'!$J$5:$J$1640,1,'Bank Lines'!$C$5:$C$1640,"&lt;="&amp;Cover!$C$14),2)</f>
        <v>2035</v>
      </c>
      <c r="T1186" s="9">
        <f>ROUND(SUMIFS('Odoo Items'!$G$5:$G$4331,'Odoo Items'!$J$5:$J$4331,A1186,'Odoo Items'!$C$5:$C$4331,"&lt;="&amp;Cover!$C$14),2)</f>
        <v>0</v>
      </c>
      <c r="U1186">
        <f>COUNTIFS('Bank Lines'!$G$5:$G$1640,A1186,'Bank Lines'!$J$5:$J$1640,1,'Bank Lines'!$C$5:$C$1640,"&lt;="&amp;Cover!$C$14)</f>
        <v>1</v>
      </c>
      <c r="V1186">
        <f>COUNTIFS('Odoo Items'!$J$5:$J$4331,A1186,'Odoo Items'!$C$5:$C$4331,"&lt;="&amp;Cover!$C$14)</f>
        <v>0</v>
      </c>
      <c r="W1186" t="str">
        <f>IF(AND(U1186=0,V1186=0),"",IF(U1186=0,"ODOO-ONLY",IF(V1186=0,"BANK-ONLY","BOTH")))</f>
        <v>BANK-ONLY</v>
      </c>
      <c r="X1186" s="9">
        <f>IF(W1186="BOTH",ROUND(S1186-T1186,2),0)</f>
        <v>0</v>
      </c>
      <c r="Y1186" s="9">
        <f>ROUND(SUMIFS('Bank Lines'!$E$5:$E$1640,'Bank Lines'!$G$5:$G$1640,A1186,'Bank Lines'!$J$5:$J$1640,1,'Bank Lines'!$C$5:$C$1640,"&lt;="&amp;Cover!$C$15),2)</f>
        <v>2035</v>
      </c>
      <c r="Z1186" s="9">
        <f>ROUND(SUMIFS('Odoo Items'!$G$5:$G$4331,'Odoo Items'!$J$5:$J$4331,A1186,'Odoo Items'!$C$5:$C$4331,"&lt;="&amp;Cover!$C$15),2)</f>
        <v>0</v>
      </c>
      <c r="AA1186">
        <f>COUNTIFS('Bank Lines'!$G$5:$G$1640,A1186,'Bank Lines'!$J$5:$J$1640,1,'Bank Lines'!$C$5:$C$1640,"&lt;="&amp;Cover!$C$15)</f>
        <v>1</v>
      </c>
      <c r="AB1186">
        <f>COUNTIFS('Odoo Items'!$J$5:$J$4331,A1186,'Odoo Items'!$C$5:$C$4331,"&lt;="&amp;Cover!$C$15)</f>
        <v>0</v>
      </c>
      <c r="AC1186" t="str">
        <f>IF(AND(AA1186=0,AB1186=0),"",IF(AA1186=0,"ODOO-ONLY",IF(AB1186=0,"BANK-ONLY","BOTH")))</f>
        <v>BANK-ONLY</v>
      </c>
      <c r="AD1186" s="9">
        <f>IF(AC1186="BOTH",ROUND(Y1186-Z1186,2),0)</f>
        <v>0</v>
      </c>
    </row>
    <row r="1187">
      <c r="A1187" t="inlineStr">
        <is>
          <t>G01183</t>
        </is>
      </c>
      <c r="B1187" t="inlineStr">
        <is>
          <t>OPS</t>
        </is>
      </c>
      <c r="C1187" t="inlineStr">
        <is>
          <t>R11</t>
        </is>
      </c>
      <c r="D1187" t="inlineStr">
        <is>
          <t>REG</t>
        </is>
      </c>
      <c r="E1187" t="inlineStr">
        <is>
          <t>Westmere Council Services</t>
        </is>
      </c>
      <c r="F1187" t="n">
        <v>1</v>
      </c>
      <c r="G1187" t="inlineStr">
        <is>
          <t>Receipt not entered in Odoo; matches open INV/2026/03483</t>
        </is>
      </c>
      <c r="H1187">
        <f>COUNTIFS('Bank Lines'!$G$5:$G$1640,A1187,'Bank Lines'!$J$5:$J$1640,1)</f>
        <v>1</v>
      </c>
      <c r="I1187">
        <f>COUNTIFS('Odoo Items'!$J$5:$J$4331,A1187)</f>
        <v>0</v>
      </c>
      <c r="J1187" s="9">
        <f>ROUND(SUMIFS('Bank Lines'!$E$5:$E$1640,'Bank Lines'!$G$5:$G$1640,A1187,'Bank Lines'!$J$5:$J$1640,1),2)</f>
        <v>1471.25</v>
      </c>
      <c r="K1187" s="9">
        <f>ROUND(SUMIFS('Odoo Items'!$G$5:$G$4331,'Odoo Items'!$J$5:$J$4331,A1187),2)</f>
        <v>0</v>
      </c>
      <c r="L1187" s="9">
        <f>ROUND(J1187-K1187,2)</f>
        <v>1471.25</v>
      </c>
      <c r="M1187" s="9">
        <f>ROUND(SUMIFS('Bank Lines'!$E$5:$E$1640,'Bank Lines'!$G$5:$G$1640,A1187,'Bank Lines'!$J$5:$J$1640,1,'Bank Lines'!$C$5:$C$1640,"&lt;="&amp;Cover!$C$13),2)</f>
        <v>0</v>
      </c>
      <c r="N1187" s="9">
        <f>ROUND(SUMIFS('Odoo Items'!$G$5:$G$4331,'Odoo Items'!$J$5:$J$4331,A1187,'Odoo Items'!$C$5:$C$4331,"&lt;="&amp;Cover!$C$13),2)</f>
        <v>0</v>
      </c>
      <c r="O1187">
        <f>COUNTIFS('Bank Lines'!$G$5:$G$1640,A1187,'Bank Lines'!$J$5:$J$1640,1,'Bank Lines'!$C$5:$C$1640,"&lt;="&amp;Cover!$C$13)</f>
        <v>0</v>
      </c>
      <c r="P1187">
        <f>COUNTIFS('Odoo Items'!$J$5:$J$4331,A1187,'Odoo Items'!$C$5:$C$4331,"&lt;="&amp;Cover!$C$13)</f>
        <v>0</v>
      </c>
      <c r="Q1187">
        <f>IF(AND(O1187=0,P1187=0),"",IF(O1187=0,"ODOO-ONLY",IF(P1187=0,"BANK-ONLY","BOTH")))</f>
      </c>
      <c r="R1187" s="9">
        <f>IF(Q1187="BOTH",ROUND(M1187-N1187,2),0)</f>
        <v>0</v>
      </c>
      <c r="S1187" s="9">
        <f>ROUND(SUMIFS('Bank Lines'!$E$5:$E$1640,'Bank Lines'!$G$5:$G$1640,A1187,'Bank Lines'!$J$5:$J$1640,1,'Bank Lines'!$C$5:$C$1640,"&lt;="&amp;Cover!$C$14),2)</f>
        <v>1471.25</v>
      </c>
      <c r="T1187" s="9">
        <f>ROUND(SUMIFS('Odoo Items'!$G$5:$G$4331,'Odoo Items'!$J$5:$J$4331,A1187,'Odoo Items'!$C$5:$C$4331,"&lt;="&amp;Cover!$C$14),2)</f>
        <v>0</v>
      </c>
      <c r="U1187">
        <f>COUNTIFS('Bank Lines'!$G$5:$G$1640,A1187,'Bank Lines'!$J$5:$J$1640,1,'Bank Lines'!$C$5:$C$1640,"&lt;="&amp;Cover!$C$14)</f>
        <v>1</v>
      </c>
      <c r="V1187">
        <f>COUNTIFS('Odoo Items'!$J$5:$J$4331,A1187,'Odoo Items'!$C$5:$C$4331,"&lt;="&amp;Cover!$C$14)</f>
        <v>0</v>
      </c>
      <c r="W1187" t="str">
        <f>IF(AND(U1187=0,V1187=0),"",IF(U1187=0,"ODOO-ONLY",IF(V1187=0,"BANK-ONLY","BOTH")))</f>
        <v>BANK-ONLY</v>
      </c>
      <c r="X1187" s="9">
        <f>IF(W1187="BOTH",ROUND(S1187-T1187,2),0)</f>
        <v>0</v>
      </c>
      <c r="Y1187" s="9">
        <f>ROUND(SUMIFS('Bank Lines'!$E$5:$E$1640,'Bank Lines'!$G$5:$G$1640,A1187,'Bank Lines'!$J$5:$J$1640,1,'Bank Lines'!$C$5:$C$1640,"&lt;="&amp;Cover!$C$15),2)</f>
        <v>1471.25</v>
      </c>
      <c r="Z1187" s="9">
        <f>ROUND(SUMIFS('Odoo Items'!$G$5:$G$4331,'Odoo Items'!$J$5:$J$4331,A1187,'Odoo Items'!$C$5:$C$4331,"&lt;="&amp;Cover!$C$15),2)</f>
        <v>0</v>
      </c>
      <c r="AA1187">
        <f>COUNTIFS('Bank Lines'!$G$5:$G$1640,A1187,'Bank Lines'!$J$5:$J$1640,1,'Bank Lines'!$C$5:$C$1640,"&lt;="&amp;Cover!$C$15)</f>
        <v>1</v>
      </c>
      <c r="AB1187">
        <f>COUNTIFS('Odoo Items'!$J$5:$J$4331,A1187,'Odoo Items'!$C$5:$C$4331,"&lt;="&amp;Cover!$C$15)</f>
        <v>0</v>
      </c>
      <c r="AC1187" t="str">
        <f>IF(AND(AA1187=0,AB1187=0),"",IF(AA1187=0,"ODOO-ONLY",IF(AB1187=0,"BANK-ONLY","BOTH")))</f>
        <v>BANK-ONLY</v>
      </c>
      <c r="AD1187" s="9">
        <f>IF(AC1187="BOTH",ROUND(Y1187-Z1187,2),0)</f>
        <v>0</v>
      </c>
    </row>
    <row r="1188">
      <c r="A1188" t="inlineStr">
        <is>
          <t>G01184</t>
        </is>
      </c>
      <c r="B1188" t="inlineStr">
        <is>
          <t>OPS</t>
        </is>
      </c>
      <c r="C1188" t="inlineStr">
        <is>
          <t>R11</t>
        </is>
      </c>
      <c r="D1188" t="inlineStr">
        <is>
          <t>REG</t>
        </is>
      </c>
      <c r="E1188" t="inlineStr">
        <is>
          <t>Northline Injury Claims</t>
        </is>
      </c>
      <c r="F1188" t="n">
        <v>1</v>
      </c>
      <c r="G1188" t="inlineStr">
        <is>
          <t>Receipt not entered in Odoo; matches open INV/2026/02388</t>
        </is>
      </c>
      <c r="H1188">
        <f>COUNTIFS('Bank Lines'!$G$5:$G$1640,A1188,'Bank Lines'!$J$5:$J$1640,1)</f>
        <v>1</v>
      </c>
      <c r="I1188">
        <f>COUNTIFS('Odoo Items'!$J$5:$J$4331,A1188)</f>
        <v>0</v>
      </c>
      <c r="J1188" s="9">
        <f>ROUND(SUMIFS('Bank Lines'!$E$5:$E$1640,'Bank Lines'!$G$5:$G$1640,A1188,'Bank Lines'!$J$5:$J$1640,1),2)</f>
        <v>88</v>
      </c>
      <c r="K1188" s="9">
        <f>ROUND(SUMIFS('Odoo Items'!$G$5:$G$4331,'Odoo Items'!$J$5:$J$4331,A1188),2)</f>
        <v>0</v>
      </c>
      <c r="L1188" s="9">
        <f>ROUND(J1188-K1188,2)</f>
        <v>88</v>
      </c>
      <c r="M1188" s="9">
        <f>ROUND(SUMIFS('Bank Lines'!$E$5:$E$1640,'Bank Lines'!$G$5:$G$1640,A1188,'Bank Lines'!$J$5:$J$1640,1,'Bank Lines'!$C$5:$C$1640,"&lt;="&amp;Cover!$C$13),2)</f>
        <v>0</v>
      </c>
      <c r="N1188" s="9">
        <f>ROUND(SUMIFS('Odoo Items'!$G$5:$G$4331,'Odoo Items'!$J$5:$J$4331,A1188,'Odoo Items'!$C$5:$C$4331,"&lt;="&amp;Cover!$C$13),2)</f>
        <v>0</v>
      </c>
      <c r="O1188">
        <f>COUNTIFS('Bank Lines'!$G$5:$G$1640,A1188,'Bank Lines'!$J$5:$J$1640,1,'Bank Lines'!$C$5:$C$1640,"&lt;="&amp;Cover!$C$13)</f>
        <v>0</v>
      </c>
      <c r="P1188">
        <f>COUNTIFS('Odoo Items'!$J$5:$J$4331,A1188,'Odoo Items'!$C$5:$C$4331,"&lt;="&amp;Cover!$C$13)</f>
        <v>0</v>
      </c>
      <c r="Q1188">
        <f>IF(AND(O1188=0,P1188=0),"",IF(O1188=0,"ODOO-ONLY",IF(P1188=0,"BANK-ONLY","BOTH")))</f>
      </c>
      <c r="R1188" s="9">
        <f>IF(Q1188="BOTH",ROUND(M1188-N1188,2),0)</f>
        <v>0</v>
      </c>
      <c r="S1188" s="9">
        <f>ROUND(SUMIFS('Bank Lines'!$E$5:$E$1640,'Bank Lines'!$G$5:$G$1640,A1188,'Bank Lines'!$J$5:$J$1640,1,'Bank Lines'!$C$5:$C$1640,"&lt;="&amp;Cover!$C$14),2)</f>
        <v>88</v>
      </c>
      <c r="T1188" s="9">
        <f>ROUND(SUMIFS('Odoo Items'!$G$5:$G$4331,'Odoo Items'!$J$5:$J$4331,A1188,'Odoo Items'!$C$5:$C$4331,"&lt;="&amp;Cover!$C$14),2)</f>
        <v>0</v>
      </c>
      <c r="U1188">
        <f>COUNTIFS('Bank Lines'!$G$5:$G$1640,A1188,'Bank Lines'!$J$5:$J$1640,1,'Bank Lines'!$C$5:$C$1640,"&lt;="&amp;Cover!$C$14)</f>
        <v>1</v>
      </c>
      <c r="V1188">
        <f>COUNTIFS('Odoo Items'!$J$5:$J$4331,A1188,'Odoo Items'!$C$5:$C$4331,"&lt;="&amp;Cover!$C$14)</f>
        <v>0</v>
      </c>
      <c r="W1188" t="str">
        <f>IF(AND(U1188=0,V1188=0),"",IF(U1188=0,"ODOO-ONLY",IF(V1188=0,"BANK-ONLY","BOTH")))</f>
        <v>BANK-ONLY</v>
      </c>
      <c r="X1188" s="9">
        <f>IF(W1188="BOTH",ROUND(S1188-T1188,2),0)</f>
        <v>0</v>
      </c>
      <c r="Y1188" s="9">
        <f>ROUND(SUMIFS('Bank Lines'!$E$5:$E$1640,'Bank Lines'!$G$5:$G$1640,A1188,'Bank Lines'!$J$5:$J$1640,1,'Bank Lines'!$C$5:$C$1640,"&lt;="&amp;Cover!$C$15),2)</f>
        <v>88</v>
      </c>
      <c r="Z1188" s="9">
        <f>ROUND(SUMIFS('Odoo Items'!$G$5:$G$4331,'Odoo Items'!$J$5:$J$4331,A1188,'Odoo Items'!$C$5:$C$4331,"&lt;="&amp;Cover!$C$15),2)</f>
        <v>0</v>
      </c>
      <c r="AA1188">
        <f>COUNTIFS('Bank Lines'!$G$5:$G$1640,A1188,'Bank Lines'!$J$5:$J$1640,1,'Bank Lines'!$C$5:$C$1640,"&lt;="&amp;Cover!$C$15)</f>
        <v>1</v>
      </c>
      <c r="AB1188">
        <f>COUNTIFS('Odoo Items'!$J$5:$J$4331,A1188,'Odoo Items'!$C$5:$C$4331,"&lt;="&amp;Cover!$C$15)</f>
        <v>0</v>
      </c>
      <c r="AC1188" t="str">
        <f>IF(AND(AA1188=0,AB1188=0),"",IF(AA1188=0,"ODOO-ONLY",IF(AB1188=0,"BANK-ONLY","BOTH")))</f>
        <v>BANK-ONLY</v>
      </c>
      <c r="AD1188" s="9">
        <f>IF(AC1188="BOTH",ROUND(Y1188-Z1188,2),0)</f>
        <v>0</v>
      </c>
    </row>
    <row r="1189">
      <c r="A1189" t="inlineStr">
        <is>
          <t>G01185</t>
        </is>
      </c>
      <c r="B1189" t="inlineStr">
        <is>
          <t>OPS</t>
        </is>
      </c>
      <c r="C1189" t="inlineStr">
        <is>
          <t>R11</t>
        </is>
      </c>
      <c r="D1189" t="inlineStr">
        <is>
          <t>REG</t>
        </is>
      </c>
      <c r="E1189" t="inlineStr">
        <is>
          <t>Meridian Health Cover</t>
        </is>
      </c>
      <c r="F1189" t="n">
        <v>1</v>
      </c>
      <c r="G1189" t="inlineStr">
        <is>
          <t>Receipt not entered in Odoo; matches open INV/2026/02417</t>
        </is>
      </c>
      <c r="H1189">
        <f>COUNTIFS('Bank Lines'!$G$5:$G$1640,A1189,'Bank Lines'!$J$5:$J$1640,1)</f>
        <v>1</v>
      </c>
      <c r="I1189">
        <f>COUNTIFS('Odoo Items'!$J$5:$J$4331,A1189)</f>
        <v>0</v>
      </c>
      <c r="J1189" s="9">
        <f>ROUND(SUMIFS('Bank Lines'!$E$5:$E$1640,'Bank Lines'!$G$5:$G$1640,A1189,'Bank Lines'!$J$5:$J$1640,1),2)</f>
        <v>176</v>
      </c>
      <c r="K1189" s="9">
        <f>ROUND(SUMIFS('Odoo Items'!$G$5:$G$4331,'Odoo Items'!$J$5:$J$4331,A1189),2)</f>
        <v>0</v>
      </c>
      <c r="L1189" s="9">
        <f>ROUND(J1189-K1189,2)</f>
        <v>176</v>
      </c>
      <c r="M1189" s="9">
        <f>ROUND(SUMIFS('Bank Lines'!$E$5:$E$1640,'Bank Lines'!$G$5:$G$1640,A1189,'Bank Lines'!$J$5:$J$1640,1,'Bank Lines'!$C$5:$C$1640,"&lt;="&amp;Cover!$C$13),2)</f>
        <v>0</v>
      </c>
      <c r="N1189" s="9">
        <f>ROUND(SUMIFS('Odoo Items'!$G$5:$G$4331,'Odoo Items'!$J$5:$J$4331,A1189,'Odoo Items'!$C$5:$C$4331,"&lt;="&amp;Cover!$C$13),2)</f>
        <v>0</v>
      </c>
      <c r="O1189">
        <f>COUNTIFS('Bank Lines'!$G$5:$G$1640,A1189,'Bank Lines'!$J$5:$J$1640,1,'Bank Lines'!$C$5:$C$1640,"&lt;="&amp;Cover!$C$13)</f>
        <v>0</v>
      </c>
      <c r="P1189">
        <f>COUNTIFS('Odoo Items'!$J$5:$J$4331,A1189,'Odoo Items'!$C$5:$C$4331,"&lt;="&amp;Cover!$C$13)</f>
        <v>0</v>
      </c>
      <c r="Q1189">
        <f>IF(AND(O1189=0,P1189=0),"",IF(O1189=0,"ODOO-ONLY",IF(P1189=0,"BANK-ONLY","BOTH")))</f>
      </c>
      <c r="R1189" s="9">
        <f>IF(Q1189="BOTH",ROUND(M1189-N1189,2),0)</f>
        <v>0</v>
      </c>
      <c r="S1189" s="9">
        <f>ROUND(SUMIFS('Bank Lines'!$E$5:$E$1640,'Bank Lines'!$G$5:$G$1640,A1189,'Bank Lines'!$J$5:$J$1640,1,'Bank Lines'!$C$5:$C$1640,"&lt;="&amp;Cover!$C$14),2)</f>
        <v>176</v>
      </c>
      <c r="T1189" s="9">
        <f>ROUND(SUMIFS('Odoo Items'!$G$5:$G$4331,'Odoo Items'!$J$5:$J$4331,A1189,'Odoo Items'!$C$5:$C$4331,"&lt;="&amp;Cover!$C$14),2)</f>
        <v>0</v>
      </c>
      <c r="U1189">
        <f>COUNTIFS('Bank Lines'!$G$5:$G$1640,A1189,'Bank Lines'!$J$5:$J$1640,1,'Bank Lines'!$C$5:$C$1640,"&lt;="&amp;Cover!$C$14)</f>
        <v>1</v>
      </c>
      <c r="V1189">
        <f>COUNTIFS('Odoo Items'!$J$5:$J$4331,A1189,'Odoo Items'!$C$5:$C$4331,"&lt;="&amp;Cover!$C$14)</f>
        <v>0</v>
      </c>
      <c r="W1189" t="str">
        <f>IF(AND(U1189=0,V1189=0),"",IF(U1189=0,"ODOO-ONLY",IF(V1189=0,"BANK-ONLY","BOTH")))</f>
        <v>BANK-ONLY</v>
      </c>
      <c r="X1189" s="9">
        <f>IF(W1189="BOTH",ROUND(S1189-T1189,2),0)</f>
        <v>0</v>
      </c>
      <c r="Y1189" s="9">
        <f>ROUND(SUMIFS('Bank Lines'!$E$5:$E$1640,'Bank Lines'!$G$5:$G$1640,A1189,'Bank Lines'!$J$5:$J$1640,1,'Bank Lines'!$C$5:$C$1640,"&lt;="&amp;Cover!$C$15),2)</f>
        <v>176</v>
      </c>
      <c r="Z1189" s="9">
        <f>ROUND(SUMIFS('Odoo Items'!$G$5:$G$4331,'Odoo Items'!$J$5:$J$4331,A1189,'Odoo Items'!$C$5:$C$4331,"&lt;="&amp;Cover!$C$15),2)</f>
        <v>0</v>
      </c>
      <c r="AA1189">
        <f>COUNTIFS('Bank Lines'!$G$5:$G$1640,A1189,'Bank Lines'!$J$5:$J$1640,1,'Bank Lines'!$C$5:$C$1640,"&lt;="&amp;Cover!$C$15)</f>
        <v>1</v>
      </c>
      <c r="AB1189">
        <f>COUNTIFS('Odoo Items'!$J$5:$J$4331,A1189,'Odoo Items'!$C$5:$C$4331,"&lt;="&amp;Cover!$C$15)</f>
        <v>0</v>
      </c>
      <c r="AC1189" t="str">
        <f>IF(AND(AA1189=0,AB1189=0),"",IF(AA1189=0,"ODOO-ONLY",IF(AB1189=0,"BANK-ONLY","BOTH")))</f>
        <v>BANK-ONLY</v>
      </c>
      <c r="AD1189" s="9">
        <f>IF(AC1189="BOTH",ROUND(Y1189-Z1189,2),0)</f>
        <v>0</v>
      </c>
    </row>
    <row r="1190">
      <c r="A1190" t="inlineStr">
        <is>
          <t>G01186</t>
        </is>
      </c>
      <c r="B1190" t="inlineStr">
        <is>
          <t>OPS</t>
        </is>
      </c>
      <c r="C1190" t="inlineStr">
        <is>
          <t>R11</t>
        </is>
      </c>
      <c r="D1190" t="inlineStr">
        <is>
          <t>REG</t>
        </is>
      </c>
      <c r="E1190" t="inlineStr">
        <is>
          <t>Pinnacle Claims Services</t>
        </is>
      </c>
      <c r="F1190" t="n">
        <v>1</v>
      </c>
      <c r="G1190" t="inlineStr">
        <is>
          <t>Receipt not entered in Odoo; matches open INV/2026/02490</t>
        </is>
      </c>
      <c r="H1190">
        <f>COUNTIFS('Bank Lines'!$G$5:$G$1640,A1190,'Bank Lines'!$J$5:$J$1640,1)</f>
        <v>1</v>
      </c>
      <c r="I1190">
        <f>COUNTIFS('Odoo Items'!$J$5:$J$4331,A1190)</f>
        <v>0</v>
      </c>
      <c r="J1190" s="9">
        <f>ROUND(SUMIFS('Bank Lines'!$E$5:$E$1640,'Bank Lines'!$G$5:$G$1640,A1190,'Bank Lines'!$J$5:$J$1640,1),2)</f>
        <v>990</v>
      </c>
      <c r="K1190" s="9">
        <f>ROUND(SUMIFS('Odoo Items'!$G$5:$G$4331,'Odoo Items'!$J$5:$J$4331,A1190),2)</f>
        <v>0</v>
      </c>
      <c r="L1190" s="9">
        <f>ROUND(J1190-K1190,2)</f>
        <v>990</v>
      </c>
      <c r="M1190" s="9">
        <f>ROUND(SUMIFS('Bank Lines'!$E$5:$E$1640,'Bank Lines'!$G$5:$G$1640,A1190,'Bank Lines'!$J$5:$J$1640,1,'Bank Lines'!$C$5:$C$1640,"&lt;="&amp;Cover!$C$13),2)</f>
        <v>0</v>
      </c>
      <c r="N1190" s="9">
        <f>ROUND(SUMIFS('Odoo Items'!$G$5:$G$4331,'Odoo Items'!$J$5:$J$4331,A1190,'Odoo Items'!$C$5:$C$4331,"&lt;="&amp;Cover!$C$13),2)</f>
        <v>0</v>
      </c>
      <c r="O1190">
        <f>COUNTIFS('Bank Lines'!$G$5:$G$1640,A1190,'Bank Lines'!$J$5:$J$1640,1,'Bank Lines'!$C$5:$C$1640,"&lt;="&amp;Cover!$C$13)</f>
        <v>0</v>
      </c>
      <c r="P1190">
        <f>COUNTIFS('Odoo Items'!$J$5:$J$4331,A1190,'Odoo Items'!$C$5:$C$4331,"&lt;="&amp;Cover!$C$13)</f>
        <v>0</v>
      </c>
      <c r="Q1190">
        <f>IF(AND(O1190=0,P1190=0),"",IF(O1190=0,"ODOO-ONLY",IF(P1190=0,"BANK-ONLY","BOTH")))</f>
      </c>
      <c r="R1190" s="9">
        <f>IF(Q1190="BOTH",ROUND(M1190-N1190,2),0)</f>
        <v>0</v>
      </c>
      <c r="S1190" s="9">
        <f>ROUND(SUMIFS('Bank Lines'!$E$5:$E$1640,'Bank Lines'!$G$5:$G$1640,A1190,'Bank Lines'!$J$5:$J$1640,1,'Bank Lines'!$C$5:$C$1640,"&lt;="&amp;Cover!$C$14),2)</f>
        <v>990</v>
      </c>
      <c r="T1190" s="9">
        <f>ROUND(SUMIFS('Odoo Items'!$G$5:$G$4331,'Odoo Items'!$J$5:$J$4331,A1190,'Odoo Items'!$C$5:$C$4331,"&lt;="&amp;Cover!$C$14),2)</f>
        <v>0</v>
      </c>
      <c r="U1190">
        <f>COUNTIFS('Bank Lines'!$G$5:$G$1640,A1190,'Bank Lines'!$J$5:$J$1640,1,'Bank Lines'!$C$5:$C$1640,"&lt;="&amp;Cover!$C$14)</f>
        <v>1</v>
      </c>
      <c r="V1190">
        <f>COUNTIFS('Odoo Items'!$J$5:$J$4331,A1190,'Odoo Items'!$C$5:$C$4331,"&lt;="&amp;Cover!$C$14)</f>
        <v>0</v>
      </c>
      <c r="W1190" t="str">
        <f>IF(AND(U1190=0,V1190=0),"",IF(U1190=0,"ODOO-ONLY",IF(V1190=0,"BANK-ONLY","BOTH")))</f>
        <v>BANK-ONLY</v>
      </c>
      <c r="X1190" s="9">
        <f>IF(W1190="BOTH",ROUND(S1190-T1190,2),0)</f>
        <v>0</v>
      </c>
      <c r="Y1190" s="9">
        <f>ROUND(SUMIFS('Bank Lines'!$E$5:$E$1640,'Bank Lines'!$G$5:$G$1640,A1190,'Bank Lines'!$J$5:$J$1640,1,'Bank Lines'!$C$5:$C$1640,"&lt;="&amp;Cover!$C$15),2)</f>
        <v>990</v>
      </c>
      <c r="Z1190" s="9">
        <f>ROUND(SUMIFS('Odoo Items'!$G$5:$G$4331,'Odoo Items'!$J$5:$J$4331,A1190,'Odoo Items'!$C$5:$C$4331,"&lt;="&amp;Cover!$C$15),2)</f>
        <v>0</v>
      </c>
      <c r="AA1190">
        <f>COUNTIFS('Bank Lines'!$G$5:$G$1640,A1190,'Bank Lines'!$J$5:$J$1640,1,'Bank Lines'!$C$5:$C$1640,"&lt;="&amp;Cover!$C$15)</f>
        <v>1</v>
      </c>
      <c r="AB1190">
        <f>COUNTIFS('Odoo Items'!$J$5:$J$4331,A1190,'Odoo Items'!$C$5:$C$4331,"&lt;="&amp;Cover!$C$15)</f>
        <v>0</v>
      </c>
      <c r="AC1190" t="str">
        <f>IF(AND(AA1190=0,AB1190=0),"",IF(AA1190=0,"ODOO-ONLY",IF(AB1190=0,"BANK-ONLY","BOTH")))</f>
        <v>BANK-ONLY</v>
      </c>
      <c r="AD1190" s="9">
        <f>IF(AC1190="BOTH",ROUND(Y1190-Z1190,2),0)</f>
        <v>0</v>
      </c>
    </row>
    <row r="1191">
      <c r="A1191" t="inlineStr">
        <is>
          <t>G01187</t>
        </is>
      </c>
      <c r="B1191" t="inlineStr">
        <is>
          <t>OPS</t>
        </is>
      </c>
      <c r="C1191" t="inlineStr">
        <is>
          <t>R11</t>
        </is>
      </c>
      <c r="D1191" t="inlineStr">
        <is>
          <t>REG</t>
        </is>
      </c>
      <c r="E1191" t="inlineStr">
        <is>
          <t>Harbour Mutual Health</t>
        </is>
      </c>
      <c r="F1191" t="n">
        <v>1</v>
      </c>
      <c r="G1191" t="inlineStr">
        <is>
          <t>Receipt not entered in Odoo; matches open INV/2026/02488</t>
        </is>
      </c>
      <c r="H1191">
        <f>COUNTIFS('Bank Lines'!$G$5:$G$1640,A1191,'Bank Lines'!$J$5:$J$1640,1)</f>
        <v>1</v>
      </c>
      <c r="I1191">
        <f>COUNTIFS('Odoo Items'!$J$5:$J$4331,A1191)</f>
        <v>0</v>
      </c>
      <c r="J1191" s="9">
        <f>ROUND(SUMIFS('Bank Lines'!$E$5:$E$1640,'Bank Lines'!$G$5:$G$1640,A1191,'Bank Lines'!$J$5:$J$1640,1),2)</f>
        <v>88</v>
      </c>
      <c r="K1191" s="9">
        <f>ROUND(SUMIFS('Odoo Items'!$G$5:$G$4331,'Odoo Items'!$J$5:$J$4331,A1191),2)</f>
        <v>0</v>
      </c>
      <c r="L1191" s="9">
        <f>ROUND(J1191-K1191,2)</f>
        <v>88</v>
      </c>
      <c r="M1191" s="9">
        <f>ROUND(SUMIFS('Bank Lines'!$E$5:$E$1640,'Bank Lines'!$G$5:$G$1640,A1191,'Bank Lines'!$J$5:$J$1640,1,'Bank Lines'!$C$5:$C$1640,"&lt;="&amp;Cover!$C$13),2)</f>
        <v>0</v>
      </c>
      <c r="N1191" s="9">
        <f>ROUND(SUMIFS('Odoo Items'!$G$5:$G$4331,'Odoo Items'!$J$5:$J$4331,A1191,'Odoo Items'!$C$5:$C$4331,"&lt;="&amp;Cover!$C$13),2)</f>
        <v>0</v>
      </c>
      <c r="O1191">
        <f>COUNTIFS('Bank Lines'!$G$5:$G$1640,A1191,'Bank Lines'!$J$5:$J$1640,1,'Bank Lines'!$C$5:$C$1640,"&lt;="&amp;Cover!$C$13)</f>
        <v>0</v>
      </c>
      <c r="P1191">
        <f>COUNTIFS('Odoo Items'!$J$5:$J$4331,A1191,'Odoo Items'!$C$5:$C$4331,"&lt;="&amp;Cover!$C$13)</f>
        <v>0</v>
      </c>
      <c r="Q1191">
        <f>IF(AND(O1191=0,P1191=0),"",IF(O1191=0,"ODOO-ONLY",IF(P1191=0,"BANK-ONLY","BOTH")))</f>
      </c>
      <c r="R1191" s="9">
        <f>IF(Q1191="BOTH",ROUND(M1191-N1191,2),0)</f>
        <v>0</v>
      </c>
      <c r="S1191" s="9">
        <f>ROUND(SUMIFS('Bank Lines'!$E$5:$E$1640,'Bank Lines'!$G$5:$G$1640,A1191,'Bank Lines'!$J$5:$J$1640,1,'Bank Lines'!$C$5:$C$1640,"&lt;="&amp;Cover!$C$14),2)</f>
        <v>88</v>
      </c>
      <c r="T1191" s="9">
        <f>ROUND(SUMIFS('Odoo Items'!$G$5:$G$4331,'Odoo Items'!$J$5:$J$4331,A1191,'Odoo Items'!$C$5:$C$4331,"&lt;="&amp;Cover!$C$14),2)</f>
        <v>0</v>
      </c>
      <c r="U1191">
        <f>COUNTIFS('Bank Lines'!$G$5:$G$1640,A1191,'Bank Lines'!$J$5:$J$1640,1,'Bank Lines'!$C$5:$C$1640,"&lt;="&amp;Cover!$C$14)</f>
        <v>1</v>
      </c>
      <c r="V1191">
        <f>COUNTIFS('Odoo Items'!$J$5:$J$4331,A1191,'Odoo Items'!$C$5:$C$4331,"&lt;="&amp;Cover!$C$14)</f>
        <v>0</v>
      </c>
      <c r="W1191" t="str">
        <f>IF(AND(U1191=0,V1191=0),"",IF(U1191=0,"ODOO-ONLY",IF(V1191=0,"BANK-ONLY","BOTH")))</f>
        <v>BANK-ONLY</v>
      </c>
      <c r="X1191" s="9">
        <f>IF(W1191="BOTH",ROUND(S1191-T1191,2),0)</f>
        <v>0</v>
      </c>
      <c r="Y1191" s="9">
        <f>ROUND(SUMIFS('Bank Lines'!$E$5:$E$1640,'Bank Lines'!$G$5:$G$1640,A1191,'Bank Lines'!$J$5:$J$1640,1,'Bank Lines'!$C$5:$C$1640,"&lt;="&amp;Cover!$C$15),2)</f>
        <v>88</v>
      </c>
      <c r="Z1191" s="9">
        <f>ROUND(SUMIFS('Odoo Items'!$G$5:$G$4331,'Odoo Items'!$J$5:$J$4331,A1191,'Odoo Items'!$C$5:$C$4331,"&lt;="&amp;Cover!$C$15),2)</f>
        <v>0</v>
      </c>
      <c r="AA1191">
        <f>COUNTIFS('Bank Lines'!$G$5:$G$1640,A1191,'Bank Lines'!$J$5:$J$1640,1,'Bank Lines'!$C$5:$C$1640,"&lt;="&amp;Cover!$C$15)</f>
        <v>1</v>
      </c>
      <c r="AB1191">
        <f>COUNTIFS('Odoo Items'!$J$5:$J$4331,A1191,'Odoo Items'!$C$5:$C$4331,"&lt;="&amp;Cover!$C$15)</f>
        <v>0</v>
      </c>
      <c r="AC1191" t="str">
        <f>IF(AND(AA1191=0,AB1191=0),"",IF(AA1191=0,"ODOO-ONLY",IF(AB1191=0,"BANK-ONLY","BOTH")))</f>
        <v>BANK-ONLY</v>
      </c>
      <c r="AD1191" s="9">
        <f>IF(AC1191="BOTH",ROUND(Y1191-Z1191,2),0)</f>
        <v>0</v>
      </c>
    </row>
    <row r="1192">
      <c r="A1192" t="inlineStr">
        <is>
          <t>G01188</t>
        </is>
      </c>
      <c r="B1192" t="inlineStr">
        <is>
          <t>OPS</t>
        </is>
      </c>
      <c r="C1192" t="inlineStr">
        <is>
          <t>R11</t>
        </is>
      </c>
      <c r="D1192" t="inlineStr">
        <is>
          <t>REG</t>
        </is>
      </c>
      <c r="E1192" t="inlineStr">
        <is>
          <t>Coastline Health Fund</t>
        </is>
      </c>
      <c r="F1192" t="n">
        <v>1</v>
      </c>
      <c r="G1192" t="inlineStr">
        <is>
          <t>Receipt not entered in Odoo; matches open INV/2026/02489</t>
        </is>
      </c>
      <c r="H1192">
        <f>COUNTIFS('Bank Lines'!$G$5:$G$1640,A1192,'Bank Lines'!$J$5:$J$1640,1)</f>
        <v>1</v>
      </c>
      <c r="I1192">
        <f>COUNTIFS('Odoo Items'!$J$5:$J$4331,A1192)</f>
        <v>0</v>
      </c>
      <c r="J1192" s="9">
        <f>ROUND(SUMIFS('Bank Lines'!$E$5:$E$1640,'Bank Lines'!$G$5:$G$1640,A1192,'Bank Lines'!$J$5:$J$1640,1),2)</f>
        <v>176</v>
      </c>
      <c r="K1192" s="9">
        <f>ROUND(SUMIFS('Odoo Items'!$G$5:$G$4331,'Odoo Items'!$J$5:$J$4331,A1192),2)</f>
        <v>0</v>
      </c>
      <c r="L1192" s="9">
        <f>ROUND(J1192-K1192,2)</f>
        <v>176</v>
      </c>
      <c r="M1192" s="9">
        <f>ROUND(SUMIFS('Bank Lines'!$E$5:$E$1640,'Bank Lines'!$G$5:$G$1640,A1192,'Bank Lines'!$J$5:$J$1640,1,'Bank Lines'!$C$5:$C$1640,"&lt;="&amp;Cover!$C$13),2)</f>
        <v>0</v>
      </c>
      <c r="N1192" s="9">
        <f>ROUND(SUMIFS('Odoo Items'!$G$5:$G$4331,'Odoo Items'!$J$5:$J$4331,A1192,'Odoo Items'!$C$5:$C$4331,"&lt;="&amp;Cover!$C$13),2)</f>
        <v>0</v>
      </c>
      <c r="O1192">
        <f>COUNTIFS('Bank Lines'!$G$5:$G$1640,A1192,'Bank Lines'!$J$5:$J$1640,1,'Bank Lines'!$C$5:$C$1640,"&lt;="&amp;Cover!$C$13)</f>
        <v>0</v>
      </c>
      <c r="P1192">
        <f>COUNTIFS('Odoo Items'!$J$5:$J$4331,A1192,'Odoo Items'!$C$5:$C$4331,"&lt;="&amp;Cover!$C$13)</f>
        <v>0</v>
      </c>
      <c r="Q1192">
        <f>IF(AND(O1192=0,P1192=0),"",IF(O1192=0,"ODOO-ONLY",IF(P1192=0,"BANK-ONLY","BOTH")))</f>
      </c>
      <c r="R1192" s="9">
        <f>IF(Q1192="BOTH",ROUND(M1192-N1192,2),0)</f>
        <v>0</v>
      </c>
      <c r="S1192" s="9">
        <f>ROUND(SUMIFS('Bank Lines'!$E$5:$E$1640,'Bank Lines'!$G$5:$G$1640,A1192,'Bank Lines'!$J$5:$J$1640,1,'Bank Lines'!$C$5:$C$1640,"&lt;="&amp;Cover!$C$14),2)</f>
        <v>176</v>
      </c>
      <c r="T1192" s="9">
        <f>ROUND(SUMIFS('Odoo Items'!$G$5:$G$4331,'Odoo Items'!$J$5:$J$4331,A1192,'Odoo Items'!$C$5:$C$4331,"&lt;="&amp;Cover!$C$14),2)</f>
        <v>0</v>
      </c>
      <c r="U1192">
        <f>COUNTIFS('Bank Lines'!$G$5:$G$1640,A1192,'Bank Lines'!$J$5:$J$1640,1,'Bank Lines'!$C$5:$C$1640,"&lt;="&amp;Cover!$C$14)</f>
        <v>1</v>
      </c>
      <c r="V1192">
        <f>COUNTIFS('Odoo Items'!$J$5:$J$4331,A1192,'Odoo Items'!$C$5:$C$4331,"&lt;="&amp;Cover!$C$14)</f>
        <v>0</v>
      </c>
      <c r="W1192" t="str">
        <f>IF(AND(U1192=0,V1192=0),"",IF(U1192=0,"ODOO-ONLY",IF(V1192=0,"BANK-ONLY","BOTH")))</f>
        <v>BANK-ONLY</v>
      </c>
      <c r="X1192" s="9">
        <f>IF(W1192="BOTH",ROUND(S1192-T1192,2),0)</f>
        <v>0</v>
      </c>
      <c r="Y1192" s="9">
        <f>ROUND(SUMIFS('Bank Lines'!$E$5:$E$1640,'Bank Lines'!$G$5:$G$1640,A1192,'Bank Lines'!$J$5:$J$1640,1,'Bank Lines'!$C$5:$C$1640,"&lt;="&amp;Cover!$C$15),2)</f>
        <v>176</v>
      </c>
      <c r="Z1192" s="9">
        <f>ROUND(SUMIFS('Odoo Items'!$G$5:$G$4331,'Odoo Items'!$J$5:$J$4331,A1192,'Odoo Items'!$C$5:$C$4331,"&lt;="&amp;Cover!$C$15),2)</f>
        <v>0</v>
      </c>
      <c r="AA1192">
        <f>COUNTIFS('Bank Lines'!$G$5:$G$1640,A1192,'Bank Lines'!$J$5:$J$1640,1,'Bank Lines'!$C$5:$C$1640,"&lt;="&amp;Cover!$C$15)</f>
        <v>1</v>
      </c>
      <c r="AB1192">
        <f>COUNTIFS('Odoo Items'!$J$5:$J$4331,A1192,'Odoo Items'!$C$5:$C$4331,"&lt;="&amp;Cover!$C$15)</f>
        <v>0</v>
      </c>
      <c r="AC1192" t="str">
        <f>IF(AND(AA1192=0,AB1192=0),"",IF(AA1192=0,"ODOO-ONLY",IF(AB1192=0,"BANK-ONLY","BOTH")))</f>
        <v>BANK-ONLY</v>
      </c>
      <c r="AD1192" s="9">
        <f>IF(AC1192="BOTH",ROUND(Y1192-Z1192,2),0)</f>
        <v>0</v>
      </c>
    </row>
    <row r="1193">
      <c r="A1193" t="inlineStr">
        <is>
          <t>G01189</t>
        </is>
      </c>
      <c r="B1193" t="inlineStr">
        <is>
          <t>OPS</t>
        </is>
      </c>
      <c r="C1193" t="inlineStr">
        <is>
          <t>R11</t>
        </is>
      </c>
      <c r="D1193" t="inlineStr">
        <is>
          <t>REG</t>
        </is>
      </c>
      <c r="E1193" t="inlineStr">
        <is>
          <t>Pinnacle Claims Services</t>
        </is>
      </c>
      <c r="F1193" t="n">
        <v>1</v>
      </c>
      <c r="G1193" t="inlineStr">
        <is>
          <t>Receipt not entered in Odoo; matches open INV/2026/02656</t>
        </is>
      </c>
      <c r="H1193">
        <f>COUNTIFS('Bank Lines'!$G$5:$G$1640,A1193,'Bank Lines'!$J$5:$J$1640,1)</f>
        <v>1</v>
      </c>
      <c r="I1193">
        <f>COUNTIFS('Odoo Items'!$J$5:$J$4331,A1193)</f>
        <v>0</v>
      </c>
      <c r="J1193" s="9">
        <f>ROUND(SUMIFS('Bank Lines'!$E$5:$E$1640,'Bank Lines'!$G$5:$G$1640,A1193,'Bank Lines'!$J$5:$J$1640,1),2)</f>
        <v>412.5</v>
      </c>
      <c r="K1193" s="9">
        <f>ROUND(SUMIFS('Odoo Items'!$G$5:$G$4331,'Odoo Items'!$J$5:$J$4331,A1193),2)</f>
        <v>0</v>
      </c>
      <c r="L1193" s="9">
        <f>ROUND(J1193-K1193,2)</f>
        <v>412.5</v>
      </c>
      <c r="M1193" s="9">
        <f>ROUND(SUMIFS('Bank Lines'!$E$5:$E$1640,'Bank Lines'!$G$5:$G$1640,A1193,'Bank Lines'!$J$5:$J$1640,1,'Bank Lines'!$C$5:$C$1640,"&lt;="&amp;Cover!$C$13),2)</f>
        <v>0</v>
      </c>
      <c r="N1193" s="9">
        <f>ROUND(SUMIFS('Odoo Items'!$G$5:$G$4331,'Odoo Items'!$J$5:$J$4331,A1193,'Odoo Items'!$C$5:$C$4331,"&lt;="&amp;Cover!$C$13),2)</f>
        <v>0</v>
      </c>
      <c r="O1193">
        <f>COUNTIFS('Bank Lines'!$G$5:$G$1640,A1193,'Bank Lines'!$J$5:$J$1640,1,'Bank Lines'!$C$5:$C$1640,"&lt;="&amp;Cover!$C$13)</f>
        <v>0</v>
      </c>
      <c r="P1193">
        <f>COUNTIFS('Odoo Items'!$J$5:$J$4331,A1193,'Odoo Items'!$C$5:$C$4331,"&lt;="&amp;Cover!$C$13)</f>
        <v>0</v>
      </c>
      <c r="Q1193">
        <f>IF(AND(O1193=0,P1193=0),"",IF(O1193=0,"ODOO-ONLY",IF(P1193=0,"BANK-ONLY","BOTH")))</f>
      </c>
      <c r="R1193" s="9">
        <f>IF(Q1193="BOTH",ROUND(M1193-N1193,2),0)</f>
        <v>0</v>
      </c>
      <c r="S1193" s="9">
        <f>ROUND(SUMIFS('Bank Lines'!$E$5:$E$1640,'Bank Lines'!$G$5:$G$1640,A1193,'Bank Lines'!$J$5:$J$1640,1,'Bank Lines'!$C$5:$C$1640,"&lt;="&amp;Cover!$C$14),2)</f>
        <v>412.5</v>
      </c>
      <c r="T1193" s="9">
        <f>ROUND(SUMIFS('Odoo Items'!$G$5:$G$4331,'Odoo Items'!$J$5:$J$4331,A1193,'Odoo Items'!$C$5:$C$4331,"&lt;="&amp;Cover!$C$14),2)</f>
        <v>0</v>
      </c>
      <c r="U1193">
        <f>COUNTIFS('Bank Lines'!$G$5:$G$1640,A1193,'Bank Lines'!$J$5:$J$1640,1,'Bank Lines'!$C$5:$C$1640,"&lt;="&amp;Cover!$C$14)</f>
        <v>1</v>
      </c>
      <c r="V1193">
        <f>COUNTIFS('Odoo Items'!$J$5:$J$4331,A1193,'Odoo Items'!$C$5:$C$4331,"&lt;="&amp;Cover!$C$14)</f>
        <v>0</v>
      </c>
      <c r="W1193" t="str">
        <f>IF(AND(U1193=0,V1193=0),"",IF(U1193=0,"ODOO-ONLY",IF(V1193=0,"BANK-ONLY","BOTH")))</f>
        <v>BANK-ONLY</v>
      </c>
      <c r="X1193" s="9">
        <f>IF(W1193="BOTH",ROUND(S1193-T1193,2),0)</f>
        <v>0</v>
      </c>
      <c r="Y1193" s="9">
        <f>ROUND(SUMIFS('Bank Lines'!$E$5:$E$1640,'Bank Lines'!$G$5:$G$1640,A1193,'Bank Lines'!$J$5:$J$1640,1,'Bank Lines'!$C$5:$C$1640,"&lt;="&amp;Cover!$C$15),2)</f>
        <v>412.5</v>
      </c>
      <c r="Z1193" s="9">
        <f>ROUND(SUMIFS('Odoo Items'!$G$5:$G$4331,'Odoo Items'!$J$5:$J$4331,A1193,'Odoo Items'!$C$5:$C$4331,"&lt;="&amp;Cover!$C$15),2)</f>
        <v>0</v>
      </c>
      <c r="AA1193">
        <f>COUNTIFS('Bank Lines'!$G$5:$G$1640,A1193,'Bank Lines'!$J$5:$J$1640,1,'Bank Lines'!$C$5:$C$1640,"&lt;="&amp;Cover!$C$15)</f>
        <v>1</v>
      </c>
      <c r="AB1193">
        <f>COUNTIFS('Odoo Items'!$J$5:$J$4331,A1193,'Odoo Items'!$C$5:$C$4331,"&lt;="&amp;Cover!$C$15)</f>
        <v>0</v>
      </c>
      <c r="AC1193" t="str">
        <f>IF(AND(AA1193=0,AB1193=0),"",IF(AA1193=0,"ODOO-ONLY",IF(AB1193=0,"BANK-ONLY","BOTH")))</f>
        <v>BANK-ONLY</v>
      </c>
      <c r="AD1193" s="9">
        <f>IF(AC1193="BOTH",ROUND(Y1193-Z1193,2),0)</f>
        <v>0</v>
      </c>
    </row>
    <row r="1194">
      <c r="A1194" t="inlineStr">
        <is>
          <t>G01190</t>
        </is>
      </c>
      <c r="B1194" t="inlineStr">
        <is>
          <t>OPS</t>
        </is>
      </c>
      <c r="C1194" t="inlineStr">
        <is>
          <t>R11</t>
        </is>
      </c>
      <c r="D1194" t="inlineStr">
        <is>
          <t>REG</t>
        </is>
      </c>
      <c r="E1194" t="inlineStr">
        <is>
          <t>Greystanes Building Co</t>
        </is>
      </c>
      <c r="F1194" t="n">
        <v>1</v>
      </c>
      <c r="G1194" t="inlineStr">
        <is>
          <t>Receipt not entered in Odoo; matches open INV/2026/03474</t>
        </is>
      </c>
      <c r="H1194">
        <f>COUNTIFS('Bank Lines'!$G$5:$G$1640,A1194,'Bank Lines'!$J$5:$J$1640,1)</f>
        <v>1</v>
      </c>
      <c r="I1194">
        <f>COUNTIFS('Odoo Items'!$J$5:$J$4331,A1194)</f>
        <v>0</v>
      </c>
      <c r="J1194" s="9">
        <f>ROUND(SUMIFS('Bank Lines'!$E$5:$E$1640,'Bank Lines'!$G$5:$G$1640,A1194,'Bank Lines'!$J$5:$J$1640,1),2)</f>
        <v>6820</v>
      </c>
      <c r="K1194" s="9">
        <f>ROUND(SUMIFS('Odoo Items'!$G$5:$G$4331,'Odoo Items'!$J$5:$J$4331,A1194),2)</f>
        <v>0</v>
      </c>
      <c r="L1194" s="9">
        <f>ROUND(J1194-K1194,2)</f>
        <v>6820</v>
      </c>
      <c r="M1194" s="9">
        <f>ROUND(SUMIFS('Bank Lines'!$E$5:$E$1640,'Bank Lines'!$G$5:$G$1640,A1194,'Bank Lines'!$J$5:$J$1640,1,'Bank Lines'!$C$5:$C$1640,"&lt;="&amp;Cover!$C$13),2)</f>
        <v>0</v>
      </c>
      <c r="N1194" s="9">
        <f>ROUND(SUMIFS('Odoo Items'!$G$5:$G$4331,'Odoo Items'!$J$5:$J$4331,A1194,'Odoo Items'!$C$5:$C$4331,"&lt;="&amp;Cover!$C$13),2)</f>
        <v>0</v>
      </c>
      <c r="O1194">
        <f>COUNTIFS('Bank Lines'!$G$5:$G$1640,A1194,'Bank Lines'!$J$5:$J$1640,1,'Bank Lines'!$C$5:$C$1640,"&lt;="&amp;Cover!$C$13)</f>
        <v>0</v>
      </c>
      <c r="P1194">
        <f>COUNTIFS('Odoo Items'!$J$5:$J$4331,A1194,'Odoo Items'!$C$5:$C$4331,"&lt;="&amp;Cover!$C$13)</f>
        <v>0</v>
      </c>
      <c r="Q1194">
        <f>IF(AND(O1194=0,P1194=0),"",IF(O1194=0,"ODOO-ONLY",IF(P1194=0,"BANK-ONLY","BOTH")))</f>
      </c>
      <c r="R1194" s="9">
        <f>IF(Q1194="BOTH",ROUND(M1194-N1194,2),0)</f>
        <v>0</v>
      </c>
      <c r="S1194" s="9">
        <f>ROUND(SUMIFS('Bank Lines'!$E$5:$E$1640,'Bank Lines'!$G$5:$G$1640,A1194,'Bank Lines'!$J$5:$J$1640,1,'Bank Lines'!$C$5:$C$1640,"&lt;="&amp;Cover!$C$14),2)</f>
        <v>6820</v>
      </c>
      <c r="T1194" s="9">
        <f>ROUND(SUMIFS('Odoo Items'!$G$5:$G$4331,'Odoo Items'!$J$5:$J$4331,A1194,'Odoo Items'!$C$5:$C$4331,"&lt;="&amp;Cover!$C$14),2)</f>
        <v>0</v>
      </c>
      <c r="U1194">
        <f>COUNTIFS('Bank Lines'!$G$5:$G$1640,A1194,'Bank Lines'!$J$5:$J$1640,1,'Bank Lines'!$C$5:$C$1640,"&lt;="&amp;Cover!$C$14)</f>
        <v>1</v>
      </c>
      <c r="V1194">
        <f>COUNTIFS('Odoo Items'!$J$5:$J$4331,A1194,'Odoo Items'!$C$5:$C$4331,"&lt;="&amp;Cover!$C$14)</f>
        <v>0</v>
      </c>
      <c r="W1194" t="str">
        <f>IF(AND(U1194=0,V1194=0),"",IF(U1194=0,"ODOO-ONLY",IF(V1194=0,"BANK-ONLY","BOTH")))</f>
        <v>BANK-ONLY</v>
      </c>
      <c r="X1194" s="9">
        <f>IF(W1194="BOTH",ROUND(S1194-T1194,2),0)</f>
        <v>0</v>
      </c>
      <c r="Y1194" s="9">
        <f>ROUND(SUMIFS('Bank Lines'!$E$5:$E$1640,'Bank Lines'!$G$5:$G$1640,A1194,'Bank Lines'!$J$5:$J$1640,1,'Bank Lines'!$C$5:$C$1640,"&lt;="&amp;Cover!$C$15),2)</f>
        <v>6820</v>
      </c>
      <c r="Z1194" s="9">
        <f>ROUND(SUMIFS('Odoo Items'!$G$5:$G$4331,'Odoo Items'!$J$5:$J$4331,A1194,'Odoo Items'!$C$5:$C$4331,"&lt;="&amp;Cover!$C$15),2)</f>
        <v>0</v>
      </c>
      <c r="AA1194">
        <f>COUNTIFS('Bank Lines'!$G$5:$G$1640,A1194,'Bank Lines'!$J$5:$J$1640,1,'Bank Lines'!$C$5:$C$1640,"&lt;="&amp;Cover!$C$15)</f>
        <v>1</v>
      </c>
      <c r="AB1194">
        <f>COUNTIFS('Odoo Items'!$J$5:$J$4331,A1194,'Odoo Items'!$C$5:$C$4331,"&lt;="&amp;Cover!$C$15)</f>
        <v>0</v>
      </c>
      <c r="AC1194" t="str">
        <f>IF(AND(AA1194=0,AB1194=0),"",IF(AA1194=0,"ODOO-ONLY",IF(AB1194=0,"BANK-ONLY","BOTH")))</f>
        <v>BANK-ONLY</v>
      </c>
      <c r="AD1194" s="9">
        <f>IF(AC1194="BOTH",ROUND(Y1194-Z1194,2),0)</f>
        <v>0</v>
      </c>
    </row>
    <row r="1195">
      <c r="A1195" t="inlineStr">
        <is>
          <t>G01191</t>
        </is>
      </c>
      <c r="B1195" t="inlineStr">
        <is>
          <t>OPS</t>
        </is>
      </c>
      <c r="C1195" t="inlineStr">
        <is>
          <t>R11</t>
        </is>
      </c>
      <c r="D1195" t="inlineStr">
        <is>
          <t>REG</t>
        </is>
      </c>
      <c r="E1195" t="inlineStr">
        <is>
          <t>Linfield Dairy Co</t>
        </is>
      </c>
      <c r="F1195" t="n">
        <v>1</v>
      </c>
      <c r="G1195" t="inlineStr">
        <is>
          <t>Receipt not entered in Odoo; matches open INV/2026/03488</t>
        </is>
      </c>
      <c r="H1195">
        <f>COUNTIFS('Bank Lines'!$G$5:$G$1640,A1195,'Bank Lines'!$J$5:$J$1640,1)</f>
        <v>1</v>
      </c>
      <c r="I1195">
        <f>COUNTIFS('Odoo Items'!$J$5:$J$4331,A1195)</f>
        <v>0</v>
      </c>
      <c r="J1195" s="9">
        <f>ROUND(SUMIFS('Bank Lines'!$E$5:$E$1640,'Bank Lines'!$G$5:$G$1640,A1195,'Bank Lines'!$J$5:$J$1640,1),2)</f>
        <v>2186.25</v>
      </c>
      <c r="K1195" s="9">
        <f>ROUND(SUMIFS('Odoo Items'!$G$5:$G$4331,'Odoo Items'!$J$5:$J$4331,A1195),2)</f>
        <v>0</v>
      </c>
      <c r="L1195" s="9">
        <f>ROUND(J1195-K1195,2)</f>
        <v>2186.25</v>
      </c>
      <c r="M1195" s="9">
        <f>ROUND(SUMIFS('Bank Lines'!$E$5:$E$1640,'Bank Lines'!$G$5:$G$1640,A1195,'Bank Lines'!$J$5:$J$1640,1,'Bank Lines'!$C$5:$C$1640,"&lt;="&amp;Cover!$C$13),2)</f>
        <v>0</v>
      </c>
      <c r="N1195" s="9">
        <f>ROUND(SUMIFS('Odoo Items'!$G$5:$G$4331,'Odoo Items'!$J$5:$J$4331,A1195,'Odoo Items'!$C$5:$C$4331,"&lt;="&amp;Cover!$C$13),2)</f>
        <v>0</v>
      </c>
      <c r="O1195">
        <f>COUNTIFS('Bank Lines'!$G$5:$G$1640,A1195,'Bank Lines'!$J$5:$J$1640,1,'Bank Lines'!$C$5:$C$1640,"&lt;="&amp;Cover!$C$13)</f>
        <v>0</v>
      </c>
      <c r="P1195">
        <f>COUNTIFS('Odoo Items'!$J$5:$J$4331,A1195,'Odoo Items'!$C$5:$C$4331,"&lt;="&amp;Cover!$C$13)</f>
        <v>0</v>
      </c>
      <c r="Q1195">
        <f>IF(AND(O1195=0,P1195=0),"",IF(O1195=0,"ODOO-ONLY",IF(P1195=0,"BANK-ONLY","BOTH")))</f>
      </c>
      <c r="R1195" s="9">
        <f>IF(Q1195="BOTH",ROUND(M1195-N1195,2),0)</f>
        <v>0</v>
      </c>
      <c r="S1195" s="9">
        <f>ROUND(SUMIFS('Bank Lines'!$E$5:$E$1640,'Bank Lines'!$G$5:$G$1640,A1195,'Bank Lines'!$J$5:$J$1640,1,'Bank Lines'!$C$5:$C$1640,"&lt;="&amp;Cover!$C$14),2)</f>
        <v>2186.25</v>
      </c>
      <c r="T1195" s="9">
        <f>ROUND(SUMIFS('Odoo Items'!$G$5:$G$4331,'Odoo Items'!$J$5:$J$4331,A1195,'Odoo Items'!$C$5:$C$4331,"&lt;="&amp;Cover!$C$14),2)</f>
        <v>0</v>
      </c>
      <c r="U1195">
        <f>COUNTIFS('Bank Lines'!$G$5:$G$1640,A1195,'Bank Lines'!$J$5:$J$1640,1,'Bank Lines'!$C$5:$C$1640,"&lt;="&amp;Cover!$C$14)</f>
        <v>1</v>
      </c>
      <c r="V1195">
        <f>COUNTIFS('Odoo Items'!$J$5:$J$4331,A1195,'Odoo Items'!$C$5:$C$4331,"&lt;="&amp;Cover!$C$14)</f>
        <v>0</v>
      </c>
      <c r="W1195" t="str">
        <f>IF(AND(U1195=0,V1195=0),"",IF(U1195=0,"ODOO-ONLY",IF(V1195=0,"BANK-ONLY","BOTH")))</f>
        <v>BANK-ONLY</v>
      </c>
      <c r="X1195" s="9">
        <f>IF(W1195="BOTH",ROUND(S1195-T1195,2),0)</f>
        <v>0</v>
      </c>
      <c r="Y1195" s="9">
        <f>ROUND(SUMIFS('Bank Lines'!$E$5:$E$1640,'Bank Lines'!$G$5:$G$1640,A1195,'Bank Lines'!$J$5:$J$1640,1,'Bank Lines'!$C$5:$C$1640,"&lt;="&amp;Cover!$C$15),2)</f>
        <v>2186.25</v>
      </c>
      <c r="Z1195" s="9">
        <f>ROUND(SUMIFS('Odoo Items'!$G$5:$G$4331,'Odoo Items'!$J$5:$J$4331,A1195,'Odoo Items'!$C$5:$C$4331,"&lt;="&amp;Cover!$C$15),2)</f>
        <v>0</v>
      </c>
      <c r="AA1195">
        <f>COUNTIFS('Bank Lines'!$G$5:$G$1640,A1195,'Bank Lines'!$J$5:$J$1640,1,'Bank Lines'!$C$5:$C$1640,"&lt;="&amp;Cover!$C$15)</f>
        <v>1</v>
      </c>
      <c r="AB1195">
        <f>COUNTIFS('Odoo Items'!$J$5:$J$4331,A1195,'Odoo Items'!$C$5:$C$4331,"&lt;="&amp;Cover!$C$15)</f>
        <v>0</v>
      </c>
      <c r="AC1195" t="str">
        <f>IF(AND(AA1195=0,AB1195=0),"",IF(AA1195=0,"ODOO-ONLY",IF(AB1195=0,"BANK-ONLY","BOTH")))</f>
        <v>BANK-ONLY</v>
      </c>
      <c r="AD1195" s="9">
        <f>IF(AC1195="BOTH",ROUND(Y1195-Z1195,2),0)</f>
        <v>0</v>
      </c>
    </row>
    <row r="1196">
      <c r="A1196" t="inlineStr">
        <is>
          <t>G01192</t>
        </is>
      </c>
      <c r="B1196" t="inlineStr">
        <is>
          <t>OPS</t>
        </is>
      </c>
      <c r="C1196" t="inlineStr">
        <is>
          <t>R11</t>
        </is>
      </c>
      <c r="D1196" t="inlineStr">
        <is>
          <t>REG</t>
        </is>
      </c>
      <c r="E1196" t="inlineStr">
        <is>
          <t>Peregrine Security</t>
        </is>
      </c>
      <c r="F1196" t="n">
        <v>1</v>
      </c>
      <c r="G1196" t="inlineStr">
        <is>
          <t>Receipt not entered in Odoo; matches open INV/2026/03490</t>
        </is>
      </c>
      <c r="H1196">
        <f>COUNTIFS('Bank Lines'!$G$5:$G$1640,A1196,'Bank Lines'!$J$5:$J$1640,1)</f>
        <v>1</v>
      </c>
      <c r="I1196">
        <f>COUNTIFS('Odoo Items'!$J$5:$J$4331,A1196)</f>
        <v>0</v>
      </c>
      <c r="J1196" s="9">
        <f>ROUND(SUMIFS('Bank Lines'!$E$5:$E$1640,'Bank Lines'!$G$5:$G$1640,A1196,'Bank Lines'!$J$5:$J$1640,1),2)</f>
        <v>10876.25</v>
      </c>
      <c r="K1196" s="9">
        <f>ROUND(SUMIFS('Odoo Items'!$G$5:$G$4331,'Odoo Items'!$J$5:$J$4331,A1196),2)</f>
        <v>0</v>
      </c>
      <c r="L1196" s="9">
        <f>ROUND(J1196-K1196,2)</f>
        <v>10876.25</v>
      </c>
      <c r="M1196" s="9">
        <f>ROUND(SUMIFS('Bank Lines'!$E$5:$E$1640,'Bank Lines'!$G$5:$G$1640,A1196,'Bank Lines'!$J$5:$J$1640,1,'Bank Lines'!$C$5:$C$1640,"&lt;="&amp;Cover!$C$13),2)</f>
        <v>0</v>
      </c>
      <c r="N1196" s="9">
        <f>ROUND(SUMIFS('Odoo Items'!$G$5:$G$4331,'Odoo Items'!$J$5:$J$4331,A1196,'Odoo Items'!$C$5:$C$4331,"&lt;="&amp;Cover!$C$13),2)</f>
        <v>0</v>
      </c>
      <c r="O1196">
        <f>COUNTIFS('Bank Lines'!$G$5:$G$1640,A1196,'Bank Lines'!$J$5:$J$1640,1,'Bank Lines'!$C$5:$C$1640,"&lt;="&amp;Cover!$C$13)</f>
        <v>0</v>
      </c>
      <c r="P1196">
        <f>COUNTIFS('Odoo Items'!$J$5:$J$4331,A1196,'Odoo Items'!$C$5:$C$4331,"&lt;="&amp;Cover!$C$13)</f>
        <v>0</v>
      </c>
      <c r="Q1196">
        <f>IF(AND(O1196=0,P1196=0),"",IF(O1196=0,"ODOO-ONLY",IF(P1196=0,"BANK-ONLY","BOTH")))</f>
      </c>
      <c r="R1196" s="9">
        <f>IF(Q1196="BOTH",ROUND(M1196-N1196,2),0)</f>
        <v>0</v>
      </c>
      <c r="S1196" s="9">
        <f>ROUND(SUMIFS('Bank Lines'!$E$5:$E$1640,'Bank Lines'!$G$5:$G$1640,A1196,'Bank Lines'!$J$5:$J$1640,1,'Bank Lines'!$C$5:$C$1640,"&lt;="&amp;Cover!$C$14),2)</f>
        <v>10876.25</v>
      </c>
      <c r="T1196" s="9">
        <f>ROUND(SUMIFS('Odoo Items'!$G$5:$G$4331,'Odoo Items'!$J$5:$J$4331,A1196,'Odoo Items'!$C$5:$C$4331,"&lt;="&amp;Cover!$C$14),2)</f>
        <v>0</v>
      </c>
      <c r="U1196">
        <f>COUNTIFS('Bank Lines'!$G$5:$G$1640,A1196,'Bank Lines'!$J$5:$J$1640,1,'Bank Lines'!$C$5:$C$1640,"&lt;="&amp;Cover!$C$14)</f>
        <v>1</v>
      </c>
      <c r="V1196">
        <f>COUNTIFS('Odoo Items'!$J$5:$J$4331,A1196,'Odoo Items'!$C$5:$C$4331,"&lt;="&amp;Cover!$C$14)</f>
        <v>0</v>
      </c>
      <c r="W1196" t="str">
        <f>IF(AND(U1196=0,V1196=0),"",IF(U1196=0,"ODOO-ONLY",IF(V1196=0,"BANK-ONLY","BOTH")))</f>
        <v>BANK-ONLY</v>
      </c>
      <c r="X1196" s="9">
        <f>IF(W1196="BOTH",ROUND(S1196-T1196,2),0)</f>
        <v>0</v>
      </c>
      <c r="Y1196" s="9">
        <f>ROUND(SUMIFS('Bank Lines'!$E$5:$E$1640,'Bank Lines'!$G$5:$G$1640,A1196,'Bank Lines'!$J$5:$J$1640,1,'Bank Lines'!$C$5:$C$1640,"&lt;="&amp;Cover!$C$15),2)</f>
        <v>10876.25</v>
      </c>
      <c r="Z1196" s="9">
        <f>ROUND(SUMIFS('Odoo Items'!$G$5:$G$4331,'Odoo Items'!$J$5:$J$4331,A1196,'Odoo Items'!$C$5:$C$4331,"&lt;="&amp;Cover!$C$15),2)</f>
        <v>0</v>
      </c>
      <c r="AA1196">
        <f>COUNTIFS('Bank Lines'!$G$5:$G$1640,A1196,'Bank Lines'!$J$5:$J$1640,1,'Bank Lines'!$C$5:$C$1640,"&lt;="&amp;Cover!$C$15)</f>
        <v>1</v>
      </c>
      <c r="AB1196">
        <f>COUNTIFS('Odoo Items'!$J$5:$J$4331,A1196,'Odoo Items'!$C$5:$C$4331,"&lt;="&amp;Cover!$C$15)</f>
        <v>0</v>
      </c>
      <c r="AC1196" t="str">
        <f>IF(AND(AA1196=0,AB1196=0),"",IF(AA1196=0,"ODOO-ONLY",IF(AB1196=0,"BANK-ONLY","BOTH")))</f>
        <v>BANK-ONLY</v>
      </c>
      <c r="AD1196" s="9">
        <f>IF(AC1196="BOTH",ROUND(Y1196-Z1196,2),0)</f>
        <v>0</v>
      </c>
    </row>
    <row r="1197">
      <c r="A1197" t="inlineStr">
        <is>
          <t>G01193</t>
        </is>
      </c>
      <c r="B1197" t="inlineStr">
        <is>
          <t>OPS</t>
        </is>
      </c>
      <c r="C1197" t="inlineStr">
        <is>
          <t>R11</t>
        </is>
      </c>
      <c r="D1197" t="inlineStr">
        <is>
          <t>REGBILL</t>
        </is>
      </c>
      <c r="E1197" t="inlineStr">
        <is>
          <t>Northcote Retail Holdings</t>
        </is>
      </c>
      <c r="F1197" t="n">
        <v>1</v>
      </c>
      <c r="G1197" t="inlineStr">
        <is>
          <t>Direct debit not entered in Odoo; matches open BILL/2026/1022</t>
        </is>
      </c>
      <c r="H1197">
        <f>COUNTIFS('Bank Lines'!$G$5:$G$1640,A1197,'Bank Lines'!$J$5:$J$1640,1)</f>
        <v>1</v>
      </c>
      <c r="I1197">
        <f>COUNTIFS('Odoo Items'!$J$5:$J$4331,A1197)</f>
        <v>0</v>
      </c>
      <c r="J1197" s="9">
        <f>ROUND(SUMIFS('Bank Lines'!$E$5:$E$1640,'Bank Lines'!$G$5:$G$1640,A1197,'Bank Lines'!$J$5:$J$1640,1),2)</f>
        <v>-9680</v>
      </c>
      <c r="K1197" s="9">
        <f>ROUND(SUMIFS('Odoo Items'!$G$5:$G$4331,'Odoo Items'!$J$5:$J$4331,A1197),2)</f>
        <v>0</v>
      </c>
      <c r="L1197" s="9">
        <f>ROUND(J1197-K1197,2)</f>
        <v>-9680</v>
      </c>
      <c r="M1197" s="9">
        <f>ROUND(SUMIFS('Bank Lines'!$E$5:$E$1640,'Bank Lines'!$G$5:$G$1640,A1197,'Bank Lines'!$J$5:$J$1640,1,'Bank Lines'!$C$5:$C$1640,"&lt;="&amp;Cover!$C$13),2)</f>
        <v>0</v>
      </c>
      <c r="N1197" s="9">
        <f>ROUND(SUMIFS('Odoo Items'!$G$5:$G$4331,'Odoo Items'!$J$5:$J$4331,A1197,'Odoo Items'!$C$5:$C$4331,"&lt;="&amp;Cover!$C$13),2)</f>
        <v>0</v>
      </c>
      <c r="O1197">
        <f>COUNTIFS('Bank Lines'!$G$5:$G$1640,A1197,'Bank Lines'!$J$5:$J$1640,1,'Bank Lines'!$C$5:$C$1640,"&lt;="&amp;Cover!$C$13)</f>
        <v>0</v>
      </c>
      <c r="P1197">
        <f>COUNTIFS('Odoo Items'!$J$5:$J$4331,A1197,'Odoo Items'!$C$5:$C$4331,"&lt;="&amp;Cover!$C$13)</f>
        <v>0</v>
      </c>
      <c r="Q1197">
        <f>IF(AND(O1197=0,P1197=0),"",IF(O1197=0,"ODOO-ONLY",IF(P1197=0,"BANK-ONLY","BOTH")))</f>
      </c>
      <c r="R1197" s="9">
        <f>IF(Q1197="BOTH",ROUND(M1197-N1197,2),0)</f>
        <v>0</v>
      </c>
      <c r="S1197" s="9">
        <f>ROUND(SUMIFS('Bank Lines'!$E$5:$E$1640,'Bank Lines'!$G$5:$G$1640,A1197,'Bank Lines'!$J$5:$J$1640,1,'Bank Lines'!$C$5:$C$1640,"&lt;="&amp;Cover!$C$14),2)</f>
        <v>0</v>
      </c>
      <c r="T1197" s="9">
        <f>ROUND(SUMIFS('Odoo Items'!$G$5:$G$4331,'Odoo Items'!$J$5:$J$4331,A1197,'Odoo Items'!$C$5:$C$4331,"&lt;="&amp;Cover!$C$14),2)</f>
        <v>0</v>
      </c>
      <c r="U1197">
        <f>COUNTIFS('Bank Lines'!$G$5:$G$1640,A1197,'Bank Lines'!$J$5:$J$1640,1,'Bank Lines'!$C$5:$C$1640,"&lt;="&amp;Cover!$C$14)</f>
        <v>0</v>
      </c>
      <c r="V1197">
        <f>COUNTIFS('Odoo Items'!$J$5:$J$4331,A1197,'Odoo Items'!$C$5:$C$4331,"&lt;="&amp;Cover!$C$14)</f>
        <v>0</v>
      </c>
      <c r="W1197">
        <f>IF(AND(U1197=0,V1197=0),"",IF(U1197=0,"ODOO-ONLY",IF(V1197=0,"BANK-ONLY","BOTH")))</f>
      </c>
      <c r="X1197" s="9">
        <f>IF(W1197="BOTH",ROUND(S1197-T1197,2),0)</f>
        <v>0</v>
      </c>
      <c r="Y1197" s="9">
        <f>ROUND(SUMIFS('Bank Lines'!$E$5:$E$1640,'Bank Lines'!$G$5:$G$1640,A1197,'Bank Lines'!$J$5:$J$1640,1,'Bank Lines'!$C$5:$C$1640,"&lt;="&amp;Cover!$C$15),2)</f>
        <v>-9680</v>
      </c>
      <c r="Z1197" s="9">
        <f>ROUND(SUMIFS('Odoo Items'!$G$5:$G$4331,'Odoo Items'!$J$5:$J$4331,A1197,'Odoo Items'!$C$5:$C$4331,"&lt;="&amp;Cover!$C$15),2)</f>
        <v>0</v>
      </c>
      <c r="AA1197">
        <f>COUNTIFS('Bank Lines'!$G$5:$G$1640,A1197,'Bank Lines'!$J$5:$J$1640,1,'Bank Lines'!$C$5:$C$1640,"&lt;="&amp;Cover!$C$15)</f>
        <v>1</v>
      </c>
      <c r="AB1197">
        <f>COUNTIFS('Odoo Items'!$J$5:$J$4331,A1197,'Odoo Items'!$C$5:$C$4331,"&lt;="&amp;Cover!$C$15)</f>
        <v>0</v>
      </c>
      <c r="AC1197" t="str">
        <f>IF(AND(AA1197=0,AB1197=0),"",IF(AA1197=0,"ODOO-ONLY",IF(AB1197=0,"BANK-ONLY","BOTH")))</f>
        <v>BANK-ONLY</v>
      </c>
      <c r="AD1197" s="9">
        <f>IF(AC1197="BOTH",ROUND(Y1197-Z1197,2),0)</f>
        <v>0</v>
      </c>
    </row>
    <row r="1198">
      <c r="A1198" t="inlineStr">
        <is>
          <t>G01194</t>
        </is>
      </c>
      <c r="B1198" t="inlineStr">
        <is>
          <t>OPS</t>
        </is>
      </c>
      <c r="C1198" t="inlineStr">
        <is>
          <t>R11</t>
        </is>
      </c>
      <c r="D1198" t="inlineStr">
        <is>
          <t>REGBILL</t>
        </is>
      </c>
      <c r="E1198" t="inlineStr">
        <is>
          <t>Moorabbin Office Park</t>
        </is>
      </c>
      <c r="F1198" t="n">
        <v>1</v>
      </c>
      <c r="G1198" t="inlineStr">
        <is>
          <t>Direct debit not entered in Odoo; matches open BILL/2026/1024</t>
        </is>
      </c>
      <c r="H1198">
        <f>COUNTIFS('Bank Lines'!$G$5:$G$1640,A1198,'Bank Lines'!$J$5:$J$1640,1)</f>
        <v>1</v>
      </c>
      <c r="I1198">
        <f>COUNTIFS('Odoo Items'!$J$5:$J$4331,A1198)</f>
        <v>0</v>
      </c>
      <c r="J1198" s="9">
        <f>ROUND(SUMIFS('Bank Lines'!$E$5:$E$1640,'Bank Lines'!$G$5:$G$1640,A1198,'Bank Lines'!$J$5:$J$1640,1),2)</f>
        <v>-7425</v>
      </c>
      <c r="K1198" s="9">
        <f>ROUND(SUMIFS('Odoo Items'!$G$5:$G$4331,'Odoo Items'!$J$5:$J$4331,A1198),2)</f>
        <v>0</v>
      </c>
      <c r="L1198" s="9">
        <f>ROUND(J1198-K1198,2)</f>
        <v>-7425</v>
      </c>
      <c r="M1198" s="9">
        <f>ROUND(SUMIFS('Bank Lines'!$E$5:$E$1640,'Bank Lines'!$G$5:$G$1640,A1198,'Bank Lines'!$J$5:$J$1640,1,'Bank Lines'!$C$5:$C$1640,"&lt;="&amp;Cover!$C$13),2)</f>
        <v>0</v>
      </c>
      <c r="N1198" s="9">
        <f>ROUND(SUMIFS('Odoo Items'!$G$5:$G$4331,'Odoo Items'!$J$5:$J$4331,A1198,'Odoo Items'!$C$5:$C$4331,"&lt;="&amp;Cover!$C$13),2)</f>
        <v>0</v>
      </c>
      <c r="O1198">
        <f>COUNTIFS('Bank Lines'!$G$5:$G$1640,A1198,'Bank Lines'!$J$5:$J$1640,1,'Bank Lines'!$C$5:$C$1640,"&lt;="&amp;Cover!$C$13)</f>
        <v>0</v>
      </c>
      <c r="P1198">
        <f>COUNTIFS('Odoo Items'!$J$5:$J$4331,A1198,'Odoo Items'!$C$5:$C$4331,"&lt;="&amp;Cover!$C$13)</f>
        <v>0</v>
      </c>
      <c r="Q1198">
        <f>IF(AND(O1198=0,P1198=0),"",IF(O1198=0,"ODOO-ONLY",IF(P1198=0,"BANK-ONLY","BOTH")))</f>
      </c>
      <c r="R1198" s="9">
        <f>IF(Q1198="BOTH",ROUND(M1198-N1198,2),0)</f>
        <v>0</v>
      </c>
      <c r="S1198" s="9">
        <f>ROUND(SUMIFS('Bank Lines'!$E$5:$E$1640,'Bank Lines'!$G$5:$G$1640,A1198,'Bank Lines'!$J$5:$J$1640,1,'Bank Lines'!$C$5:$C$1640,"&lt;="&amp;Cover!$C$14),2)</f>
        <v>0</v>
      </c>
      <c r="T1198" s="9">
        <f>ROUND(SUMIFS('Odoo Items'!$G$5:$G$4331,'Odoo Items'!$J$5:$J$4331,A1198,'Odoo Items'!$C$5:$C$4331,"&lt;="&amp;Cover!$C$14),2)</f>
        <v>0</v>
      </c>
      <c r="U1198">
        <f>COUNTIFS('Bank Lines'!$G$5:$G$1640,A1198,'Bank Lines'!$J$5:$J$1640,1,'Bank Lines'!$C$5:$C$1640,"&lt;="&amp;Cover!$C$14)</f>
        <v>0</v>
      </c>
      <c r="V1198">
        <f>COUNTIFS('Odoo Items'!$J$5:$J$4331,A1198,'Odoo Items'!$C$5:$C$4331,"&lt;="&amp;Cover!$C$14)</f>
        <v>0</v>
      </c>
      <c r="W1198">
        <f>IF(AND(U1198=0,V1198=0),"",IF(U1198=0,"ODOO-ONLY",IF(V1198=0,"BANK-ONLY","BOTH")))</f>
      </c>
      <c r="X1198" s="9">
        <f>IF(W1198="BOTH",ROUND(S1198-T1198,2),0)</f>
        <v>0</v>
      </c>
      <c r="Y1198" s="9">
        <f>ROUND(SUMIFS('Bank Lines'!$E$5:$E$1640,'Bank Lines'!$G$5:$G$1640,A1198,'Bank Lines'!$J$5:$J$1640,1,'Bank Lines'!$C$5:$C$1640,"&lt;="&amp;Cover!$C$15),2)</f>
        <v>-7425</v>
      </c>
      <c r="Z1198" s="9">
        <f>ROUND(SUMIFS('Odoo Items'!$G$5:$G$4331,'Odoo Items'!$J$5:$J$4331,A1198,'Odoo Items'!$C$5:$C$4331,"&lt;="&amp;Cover!$C$15),2)</f>
        <v>0</v>
      </c>
      <c r="AA1198">
        <f>COUNTIFS('Bank Lines'!$G$5:$G$1640,A1198,'Bank Lines'!$J$5:$J$1640,1,'Bank Lines'!$C$5:$C$1640,"&lt;="&amp;Cover!$C$15)</f>
        <v>1</v>
      </c>
      <c r="AB1198">
        <f>COUNTIFS('Odoo Items'!$J$5:$J$4331,A1198,'Odoo Items'!$C$5:$C$4331,"&lt;="&amp;Cover!$C$15)</f>
        <v>0</v>
      </c>
      <c r="AC1198" t="str">
        <f>IF(AND(AA1198=0,AB1198=0),"",IF(AA1198=0,"ODOO-ONLY",IF(AB1198=0,"BANK-ONLY","BOTH")))</f>
        <v>BANK-ONLY</v>
      </c>
      <c r="AD1198" s="9">
        <f>IF(AC1198="BOTH",ROUND(Y1198-Z1198,2),0)</f>
        <v>0</v>
      </c>
    </row>
    <row r="1199">
      <c r="A1199" t="inlineStr">
        <is>
          <t>G01195</t>
        </is>
      </c>
      <c r="B1199" t="inlineStr">
        <is>
          <t>OPS</t>
        </is>
      </c>
      <c r="C1199" t="inlineStr">
        <is>
          <t>R11</t>
        </is>
      </c>
      <c r="D1199" t="inlineStr">
        <is>
          <t>REG</t>
        </is>
      </c>
      <c r="E1199" t="inlineStr">
        <is>
          <t>Westmere Council Services</t>
        </is>
      </c>
      <c r="F1199" t="n">
        <v>1</v>
      </c>
      <c r="G1199" t="inlineStr">
        <is>
          <t>Receipt not entered in Odoo; matches open INV/2026/03536</t>
        </is>
      </c>
      <c r="H1199">
        <f>COUNTIFS('Bank Lines'!$G$5:$G$1640,A1199,'Bank Lines'!$J$5:$J$1640,1)</f>
        <v>1</v>
      </c>
      <c r="I1199">
        <f>COUNTIFS('Odoo Items'!$J$5:$J$4331,A1199)</f>
        <v>0</v>
      </c>
      <c r="J1199" s="9">
        <f>ROUND(SUMIFS('Bank Lines'!$E$5:$E$1640,'Bank Lines'!$G$5:$G$1640,A1199,'Bank Lines'!$J$5:$J$1640,1),2)</f>
        <v>3547.5</v>
      </c>
      <c r="K1199" s="9">
        <f>ROUND(SUMIFS('Odoo Items'!$G$5:$G$4331,'Odoo Items'!$J$5:$J$4331,A1199),2)</f>
        <v>0</v>
      </c>
      <c r="L1199" s="9">
        <f>ROUND(J1199-K1199,2)</f>
        <v>3547.5</v>
      </c>
      <c r="M1199" s="9">
        <f>ROUND(SUMIFS('Bank Lines'!$E$5:$E$1640,'Bank Lines'!$G$5:$G$1640,A1199,'Bank Lines'!$J$5:$J$1640,1,'Bank Lines'!$C$5:$C$1640,"&lt;="&amp;Cover!$C$13),2)</f>
        <v>0</v>
      </c>
      <c r="N1199" s="9">
        <f>ROUND(SUMIFS('Odoo Items'!$G$5:$G$4331,'Odoo Items'!$J$5:$J$4331,A1199,'Odoo Items'!$C$5:$C$4331,"&lt;="&amp;Cover!$C$13),2)</f>
        <v>0</v>
      </c>
      <c r="O1199">
        <f>COUNTIFS('Bank Lines'!$G$5:$G$1640,A1199,'Bank Lines'!$J$5:$J$1640,1,'Bank Lines'!$C$5:$C$1640,"&lt;="&amp;Cover!$C$13)</f>
        <v>0</v>
      </c>
      <c r="P1199">
        <f>COUNTIFS('Odoo Items'!$J$5:$J$4331,A1199,'Odoo Items'!$C$5:$C$4331,"&lt;="&amp;Cover!$C$13)</f>
        <v>0</v>
      </c>
      <c r="Q1199">
        <f>IF(AND(O1199=0,P1199=0),"",IF(O1199=0,"ODOO-ONLY",IF(P1199=0,"BANK-ONLY","BOTH")))</f>
      </c>
      <c r="R1199" s="9">
        <f>IF(Q1199="BOTH",ROUND(M1199-N1199,2),0)</f>
        <v>0</v>
      </c>
      <c r="S1199" s="9">
        <f>ROUND(SUMIFS('Bank Lines'!$E$5:$E$1640,'Bank Lines'!$G$5:$G$1640,A1199,'Bank Lines'!$J$5:$J$1640,1,'Bank Lines'!$C$5:$C$1640,"&lt;="&amp;Cover!$C$14),2)</f>
        <v>0</v>
      </c>
      <c r="T1199" s="9">
        <f>ROUND(SUMIFS('Odoo Items'!$G$5:$G$4331,'Odoo Items'!$J$5:$J$4331,A1199,'Odoo Items'!$C$5:$C$4331,"&lt;="&amp;Cover!$C$14),2)</f>
        <v>0</v>
      </c>
      <c r="U1199">
        <f>COUNTIFS('Bank Lines'!$G$5:$G$1640,A1199,'Bank Lines'!$J$5:$J$1640,1,'Bank Lines'!$C$5:$C$1640,"&lt;="&amp;Cover!$C$14)</f>
        <v>0</v>
      </c>
      <c r="V1199">
        <f>COUNTIFS('Odoo Items'!$J$5:$J$4331,A1199,'Odoo Items'!$C$5:$C$4331,"&lt;="&amp;Cover!$C$14)</f>
        <v>0</v>
      </c>
      <c r="W1199">
        <f>IF(AND(U1199=0,V1199=0),"",IF(U1199=0,"ODOO-ONLY",IF(V1199=0,"BANK-ONLY","BOTH")))</f>
      </c>
      <c r="X1199" s="9">
        <f>IF(W1199="BOTH",ROUND(S1199-T1199,2),0)</f>
        <v>0</v>
      </c>
      <c r="Y1199" s="9">
        <f>ROUND(SUMIFS('Bank Lines'!$E$5:$E$1640,'Bank Lines'!$G$5:$G$1640,A1199,'Bank Lines'!$J$5:$J$1640,1,'Bank Lines'!$C$5:$C$1640,"&lt;="&amp;Cover!$C$15),2)</f>
        <v>3547.5</v>
      </c>
      <c r="Z1199" s="9">
        <f>ROUND(SUMIFS('Odoo Items'!$G$5:$G$4331,'Odoo Items'!$J$5:$J$4331,A1199,'Odoo Items'!$C$5:$C$4331,"&lt;="&amp;Cover!$C$15),2)</f>
        <v>0</v>
      </c>
      <c r="AA1199">
        <f>COUNTIFS('Bank Lines'!$G$5:$G$1640,A1199,'Bank Lines'!$J$5:$J$1640,1,'Bank Lines'!$C$5:$C$1640,"&lt;="&amp;Cover!$C$15)</f>
        <v>1</v>
      </c>
      <c r="AB1199">
        <f>COUNTIFS('Odoo Items'!$J$5:$J$4331,A1199,'Odoo Items'!$C$5:$C$4331,"&lt;="&amp;Cover!$C$15)</f>
        <v>0</v>
      </c>
      <c r="AC1199" t="str">
        <f>IF(AND(AA1199=0,AB1199=0),"",IF(AA1199=0,"ODOO-ONLY",IF(AB1199=0,"BANK-ONLY","BOTH")))</f>
        <v>BANK-ONLY</v>
      </c>
      <c r="AD1199" s="9">
        <f>IF(AC1199="BOTH",ROUND(Y1199-Z1199,2),0)</f>
        <v>0</v>
      </c>
    </row>
    <row r="1200">
      <c r="A1200" t="inlineStr">
        <is>
          <t>G01196</t>
        </is>
      </c>
      <c r="B1200" t="inlineStr">
        <is>
          <t>OPS</t>
        </is>
      </c>
      <c r="C1200" t="inlineStr">
        <is>
          <t>R11</t>
        </is>
      </c>
      <c r="D1200" t="inlineStr">
        <is>
          <t>NOBILL</t>
        </is>
      </c>
      <c r="E1200" t="inlineStr">
        <is>
          <t>Clinic Practice Software AU</t>
        </is>
      </c>
      <c r="F1200" t="n">
        <v>1</v>
      </c>
      <c r="G1200" t="inlineStr">
        <is>
          <t>Direct debit from Clinic Practice Software AU with no bill in Odoo; request the tax invoice</t>
        </is>
      </c>
      <c r="H1200">
        <f>COUNTIFS('Bank Lines'!$G$5:$G$1640,A1200,'Bank Lines'!$J$5:$J$1640,1)</f>
        <v>1</v>
      </c>
      <c r="I1200">
        <f>COUNTIFS('Odoo Items'!$J$5:$J$4331,A1200)</f>
        <v>0</v>
      </c>
      <c r="J1200" s="9">
        <f>ROUND(SUMIFS('Bank Lines'!$E$5:$E$1640,'Bank Lines'!$G$5:$G$1640,A1200,'Bank Lines'!$J$5:$J$1640,1),2)</f>
        <v>-1870</v>
      </c>
      <c r="K1200" s="9">
        <f>ROUND(SUMIFS('Odoo Items'!$G$5:$G$4331,'Odoo Items'!$J$5:$J$4331,A1200),2)</f>
        <v>0</v>
      </c>
      <c r="L1200" s="9">
        <f>ROUND(J1200-K1200,2)</f>
        <v>-1870</v>
      </c>
      <c r="M1200" s="9">
        <f>ROUND(SUMIFS('Bank Lines'!$E$5:$E$1640,'Bank Lines'!$G$5:$G$1640,A1200,'Bank Lines'!$J$5:$J$1640,1,'Bank Lines'!$C$5:$C$1640,"&lt;="&amp;Cover!$C$13),2)</f>
        <v>0</v>
      </c>
      <c r="N1200" s="9">
        <f>ROUND(SUMIFS('Odoo Items'!$G$5:$G$4331,'Odoo Items'!$J$5:$J$4331,A1200,'Odoo Items'!$C$5:$C$4331,"&lt;="&amp;Cover!$C$13),2)</f>
        <v>0</v>
      </c>
      <c r="O1200">
        <f>COUNTIFS('Bank Lines'!$G$5:$G$1640,A1200,'Bank Lines'!$J$5:$J$1640,1,'Bank Lines'!$C$5:$C$1640,"&lt;="&amp;Cover!$C$13)</f>
        <v>0</v>
      </c>
      <c r="P1200">
        <f>COUNTIFS('Odoo Items'!$J$5:$J$4331,A1200,'Odoo Items'!$C$5:$C$4331,"&lt;="&amp;Cover!$C$13)</f>
        <v>0</v>
      </c>
      <c r="Q1200">
        <f>IF(AND(O1200=0,P1200=0),"",IF(O1200=0,"ODOO-ONLY",IF(P1200=0,"BANK-ONLY","BOTH")))</f>
      </c>
      <c r="R1200" s="9">
        <f>IF(Q1200="BOTH",ROUND(M1200-N1200,2),0)</f>
        <v>0</v>
      </c>
      <c r="S1200" s="9">
        <f>ROUND(SUMIFS('Bank Lines'!$E$5:$E$1640,'Bank Lines'!$G$5:$G$1640,A1200,'Bank Lines'!$J$5:$J$1640,1,'Bank Lines'!$C$5:$C$1640,"&lt;="&amp;Cover!$C$14),2)</f>
        <v>0</v>
      </c>
      <c r="T1200" s="9">
        <f>ROUND(SUMIFS('Odoo Items'!$G$5:$G$4331,'Odoo Items'!$J$5:$J$4331,A1200,'Odoo Items'!$C$5:$C$4331,"&lt;="&amp;Cover!$C$14),2)</f>
        <v>0</v>
      </c>
      <c r="U1200">
        <f>COUNTIFS('Bank Lines'!$G$5:$G$1640,A1200,'Bank Lines'!$J$5:$J$1640,1,'Bank Lines'!$C$5:$C$1640,"&lt;="&amp;Cover!$C$14)</f>
        <v>0</v>
      </c>
      <c r="V1200">
        <f>COUNTIFS('Odoo Items'!$J$5:$J$4331,A1200,'Odoo Items'!$C$5:$C$4331,"&lt;="&amp;Cover!$C$14)</f>
        <v>0</v>
      </c>
      <c r="W1200">
        <f>IF(AND(U1200=0,V1200=0),"",IF(U1200=0,"ODOO-ONLY",IF(V1200=0,"BANK-ONLY","BOTH")))</f>
      </c>
      <c r="X1200" s="9">
        <f>IF(W1200="BOTH",ROUND(S1200-T1200,2),0)</f>
        <v>0</v>
      </c>
      <c r="Y1200" s="9">
        <f>ROUND(SUMIFS('Bank Lines'!$E$5:$E$1640,'Bank Lines'!$G$5:$G$1640,A1200,'Bank Lines'!$J$5:$J$1640,1,'Bank Lines'!$C$5:$C$1640,"&lt;="&amp;Cover!$C$15),2)</f>
        <v>-1870</v>
      </c>
      <c r="Z1200" s="9">
        <f>ROUND(SUMIFS('Odoo Items'!$G$5:$G$4331,'Odoo Items'!$J$5:$J$4331,A1200,'Odoo Items'!$C$5:$C$4331,"&lt;="&amp;Cover!$C$15),2)</f>
        <v>0</v>
      </c>
      <c r="AA1200">
        <f>COUNTIFS('Bank Lines'!$G$5:$G$1640,A1200,'Bank Lines'!$J$5:$J$1640,1,'Bank Lines'!$C$5:$C$1640,"&lt;="&amp;Cover!$C$15)</f>
        <v>1</v>
      </c>
      <c r="AB1200">
        <f>COUNTIFS('Odoo Items'!$J$5:$J$4331,A1200,'Odoo Items'!$C$5:$C$4331,"&lt;="&amp;Cover!$C$15)</f>
        <v>0</v>
      </c>
      <c r="AC1200" t="str">
        <f>IF(AND(AA1200=0,AB1200=0),"",IF(AA1200=0,"ODOO-ONLY",IF(AB1200=0,"BANK-ONLY","BOTH")))</f>
        <v>BANK-ONLY</v>
      </c>
      <c r="AD1200" s="9">
        <f>IF(AC1200="BOTH",ROUND(Y1200-Z1200,2),0)</f>
        <v>0</v>
      </c>
    </row>
    <row r="1201">
      <c r="A1201" t="inlineStr">
        <is>
          <t>G01197</t>
        </is>
      </c>
      <c r="B1201" t="inlineStr">
        <is>
          <t>OPS</t>
        </is>
      </c>
      <c r="C1201" t="inlineStr">
        <is>
          <t>R11</t>
        </is>
      </c>
      <c r="D1201" t="inlineStr">
        <is>
          <t>REG</t>
        </is>
      </c>
      <c r="E1201" t="inlineStr">
        <is>
          <t>Unity Workcover Agents</t>
        </is>
      </c>
      <c r="F1201" t="n">
        <v>1</v>
      </c>
      <c r="G1201" t="inlineStr">
        <is>
          <t>Receipt not entered in Odoo; matches open INV/2026/02735</t>
        </is>
      </c>
      <c r="H1201">
        <f>COUNTIFS('Bank Lines'!$G$5:$G$1640,A1201,'Bank Lines'!$J$5:$J$1640,1)</f>
        <v>1</v>
      </c>
      <c r="I1201">
        <f>COUNTIFS('Odoo Items'!$J$5:$J$4331,A1201)</f>
        <v>0</v>
      </c>
      <c r="J1201" s="9">
        <f>ROUND(SUMIFS('Bank Lines'!$E$5:$E$1640,'Bank Lines'!$G$5:$G$1640,A1201,'Bank Lines'!$J$5:$J$1640,1),2)</f>
        <v>412.5</v>
      </c>
      <c r="K1201" s="9">
        <f>ROUND(SUMIFS('Odoo Items'!$G$5:$G$4331,'Odoo Items'!$J$5:$J$4331,A1201),2)</f>
        <v>0</v>
      </c>
      <c r="L1201" s="9">
        <f>ROUND(J1201-K1201,2)</f>
        <v>412.5</v>
      </c>
      <c r="M1201" s="9">
        <f>ROUND(SUMIFS('Bank Lines'!$E$5:$E$1640,'Bank Lines'!$G$5:$G$1640,A1201,'Bank Lines'!$J$5:$J$1640,1,'Bank Lines'!$C$5:$C$1640,"&lt;="&amp;Cover!$C$13),2)</f>
        <v>0</v>
      </c>
      <c r="N1201" s="9">
        <f>ROUND(SUMIFS('Odoo Items'!$G$5:$G$4331,'Odoo Items'!$J$5:$J$4331,A1201,'Odoo Items'!$C$5:$C$4331,"&lt;="&amp;Cover!$C$13),2)</f>
        <v>0</v>
      </c>
      <c r="O1201">
        <f>COUNTIFS('Bank Lines'!$G$5:$G$1640,A1201,'Bank Lines'!$J$5:$J$1640,1,'Bank Lines'!$C$5:$C$1640,"&lt;="&amp;Cover!$C$13)</f>
        <v>0</v>
      </c>
      <c r="P1201">
        <f>COUNTIFS('Odoo Items'!$J$5:$J$4331,A1201,'Odoo Items'!$C$5:$C$4331,"&lt;="&amp;Cover!$C$13)</f>
        <v>0</v>
      </c>
      <c r="Q1201">
        <f>IF(AND(O1201=0,P1201=0),"",IF(O1201=0,"ODOO-ONLY",IF(P1201=0,"BANK-ONLY","BOTH")))</f>
      </c>
      <c r="R1201" s="9">
        <f>IF(Q1201="BOTH",ROUND(M1201-N1201,2),0)</f>
        <v>0</v>
      </c>
      <c r="S1201" s="9">
        <f>ROUND(SUMIFS('Bank Lines'!$E$5:$E$1640,'Bank Lines'!$G$5:$G$1640,A1201,'Bank Lines'!$J$5:$J$1640,1,'Bank Lines'!$C$5:$C$1640,"&lt;="&amp;Cover!$C$14),2)</f>
        <v>0</v>
      </c>
      <c r="T1201" s="9">
        <f>ROUND(SUMIFS('Odoo Items'!$G$5:$G$4331,'Odoo Items'!$J$5:$J$4331,A1201,'Odoo Items'!$C$5:$C$4331,"&lt;="&amp;Cover!$C$14),2)</f>
        <v>0</v>
      </c>
      <c r="U1201">
        <f>COUNTIFS('Bank Lines'!$G$5:$G$1640,A1201,'Bank Lines'!$J$5:$J$1640,1,'Bank Lines'!$C$5:$C$1640,"&lt;="&amp;Cover!$C$14)</f>
        <v>0</v>
      </c>
      <c r="V1201">
        <f>COUNTIFS('Odoo Items'!$J$5:$J$4331,A1201,'Odoo Items'!$C$5:$C$4331,"&lt;="&amp;Cover!$C$14)</f>
        <v>0</v>
      </c>
      <c r="W1201">
        <f>IF(AND(U1201=0,V1201=0),"",IF(U1201=0,"ODOO-ONLY",IF(V1201=0,"BANK-ONLY","BOTH")))</f>
      </c>
      <c r="X1201" s="9">
        <f>IF(W1201="BOTH",ROUND(S1201-T1201,2),0)</f>
        <v>0</v>
      </c>
      <c r="Y1201" s="9">
        <f>ROUND(SUMIFS('Bank Lines'!$E$5:$E$1640,'Bank Lines'!$G$5:$G$1640,A1201,'Bank Lines'!$J$5:$J$1640,1,'Bank Lines'!$C$5:$C$1640,"&lt;="&amp;Cover!$C$15),2)</f>
        <v>412.5</v>
      </c>
      <c r="Z1201" s="9">
        <f>ROUND(SUMIFS('Odoo Items'!$G$5:$G$4331,'Odoo Items'!$J$5:$J$4331,A1201,'Odoo Items'!$C$5:$C$4331,"&lt;="&amp;Cover!$C$15),2)</f>
        <v>0</v>
      </c>
      <c r="AA1201">
        <f>COUNTIFS('Bank Lines'!$G$5:$G$1640,A1201,'Bank Lines'!$J$5:$J$1640,1,'Bank Lines'!$C$5:$C$1640,"&lt;="&amp;Cover!$C$15)</f>
        <v>1</v>
      </c>
      <c r="AB1201">
        <f>COUNTIFS('Odoo Items'!$J$5:$J$4331,A1201,'Odoo Items'!$C$5:$C$4331,"&lt;="&amp;Cover!$C$15)</f>
        <v>0</v>
      </c>
      <c r="AC1201" t="str">
        <f>IF(AND(AA1201=0,AB1201=0),"",IF(AA1201=0,"ODOO-ONLY",IF(AB1201=0,"BANK-ONLY","BOTH")))</f>
        <v>BANK-ONLY</v>
      </c>
      <c r="AD1201" s="9">
        <f>IF(AC1201="BOTH",ROUND(Y1201-Z1201,2),0)</f>
        <v>0</v>
      </c>
    </row>
    <row r="1202">
      <c r="A1202" t="inlineStr">
        <is>
          <t>G01198</t>
        </is>
      </c>
      <c r="B1202" t="inlineStr">
        <is>
          <t>OPS</t>
        </is>
      </c>
      <c r="C1202" t="inlineStr">
        <is>
          <t>R11</t>
        </is>
      </c>
      <c r="D1202" t="inlineStr">
        <is>
          <t>REGBILL</t>
        </is>
      </c>
      <c r="E1202" t="inlineStr">
        <is>
          <t>Fibrewire Networks</t>
        </is>
      </c>
      <c r="F1202" t="n">
        <v>1</v>
      </c>
      <c r="G1202" t="inlineStr">
        <is>
          <t>Direct debit not entered in Odoo; matches open BILL/2026/1028</t>
        </is>
      </c>
      <c r="H1202">
        <f>COUNTIFS('Bank Lines'!$G$5:$G$1640,A1202,'Bank Lines'!$J$5:$J$1640,1)</f>
        <v>1</v>
      </c>
      <c r="I1202">
        <f>COUNTIFS('Odoo Items'!$J$5:$J$4331,A1202)</f>
        <v>0</v>
      </c>
      <c r="J1202" s="9">
        <f>ROUND(SUMIFS('Bank Lines'!$E$5:$E$1640,'Bank Lines'!$G$5:$G$1640,A1202,'Bank Lines'!$J$5:$J$1640,1),2)</f>
        <v>-649</v>
      </c>
      <c r="K1202" s="9">
        <f>ROUND(SUMIFS('Odoo Items'!$G$5:$G$4331,'Odoo Items'!$J$5:$J$4331,A1202),2)</f>
        <v>0</v>
      </c>
      <c r="L1202" s="9">
        <f>ROUND(J1202-K1202,2)</f>
        <v>-649</v>
      </c>
      <c r="M1202" s="9">
        <f>ROUND(SUMIFS('Bank Lines'!$E$5:$E$1640,'Bank Lines'!$G$5:$G$1640,A1202,'Bank Lines'!$J$5:$J$1640,1,'Bank Lines'!$C$5:$C$1640,"&lt;="&amp;Cover!$C$13),2)</f>
        <v>0</v>
      </c>
      <c r="N1202" s="9">
        <f>ROUND(SUMIFS('Odoo Items'!$G$5:$G$4331,'Odoo Items'!$J$5:$J$4331,A1202,'Odoo Items'!$C$5:$C$4331,"&lt;="&amp;Cover!$C$13),2)</f>
        <v>0</v>
      </c>
      <c r="O1202">
        <f>COUNTIFS('Bank Lines'!$G$5:$G$1640,A1202,'Bank Lines'!$J$5:$J$1640,1,'Bank Lines'!$C$5:$C$1640,"&lt;="&amp;Cover!$C$13)</f>
        <v>0</v>
      </c>
      <c r="P1202">
        <f>COUNTIFS('Odoo Items'!$J$5:$J$4331,A1202,'Odoo Items'!$C$5:$C$4331,"&lt;="&amp;Cover!$C$13)</f>
        <v>0</v>
      </c>
      <c r="Q1202">
        <f>IF(AND(O1202=0,P1202=0),"",IF(O1202=0,"ODOO-ONLY",IF(P1202=0,"BANK-ONLY","BOTH")))</f>
      </c>
      <c r="R1202" s="9">
        <f>IF(Q1202="BOTH",ROUND(M1202-N1202,2),0)</f>
        <v>0</v>
      </c>
      <c r="S1202" s="9">
        <f>ROUND(SUMIFS('Bank Lines'!$E$5:$E$1640,'Bank Lines'!$G$5:$G$1640,A1202,'Bank Lines'!$J$5:$J$1640,1,'Bank Lines'!$C$5:$C$1640,"&lt;="&amp;Cover!$C$14),2)</f>
        <v>0</v>
      </c>
      <c r="T1202" s="9">
        <f>ROUND(SUMIFS('Odoo Items'!$G$5:$G$4331,'Odoo Items'!$J$5:$J$4331,A1202,'Odoo Items'!$C$5:$C$4331,"&lt;="&amp;Cover!$C$14),2)</f>
        <v>0</v>
      </c>
      <c r="U1202">
        <f>COUNTIFS('Bank Lines'!$G$5:$G$1640,A1202,'Bank Lines'!$J$5:$J$1640,1,'Bank Lines'!$C$5:$C$1640,"&lt;="&amp;Cover!$C$14)</f>
        <v>0</v>
      </c>
      <c r="V1202">
        <f>COUNTIFS('Odoo Items'!$J$5:$J$4331,A1202,'Odoo Items'!$C$5:$C$4331,"&lt;="&amp;Cover!$C$14)</f>
        <v>0</v>
      </c>
      <c r="W1202">
        <f>IF(AND(U1202=0,V1202=0),"",IF(U1202=0,"ODOO-ONLY",IF(V1202=0,"BANK-ONLY","BOTH")))</f>
      </c>
      <c r="X1202" s="9">
        <f>IF(W1202="BOTH",ROUND(S1202-T1202,2),0)</f>
        <v>0</v>
      </c>
      <c r="Y1202" s="9">
        <f>ROUND(SUMIFS('Bank Lines'!$E$5:$E$1640,'Bank Lines'!$G$5:$G$1640,A1202,'Bank Lines'!$J$5:$J$1640,1,'Bank Lines'!$C$5:$C$1640,"&lt;="&amp;Cover!$C$15),2)</f>
        <v>-649</v>
      </c>
      <c r="Z1202" s="9">
        <f>ROUND(SUMIFS('Odoo Items'!$G$5:$G$4331,'Odoo Items'!$J$5:$J$4331,A1202,'Odoo Items'!$C$5:$C$4331,"&lt;="&amp;Cover!$C$15),2)</f>
        <v>0</v>
      </c>
      <c r="AA1202">
        <f>COUNTIFS('Bank Lines'!$G$5:$G$1640,A1202,'Bank Lines'!$J$5:$J$1640,1,'Bank Lines'!$C$5:$C$1640,"&lt;="&amp;Cover!$C$15)</f>
        <v>1</v>
      </c>
      <c r="AB1202">
        <f>COUNTIFS('Odoo Items'!$J$5:$J$4331,A1202,'Odoo Items'!$C$5:$C$4331,"&lt;="&amp;Cover!$C$15)</f>
        <v>0</v>
      </c>
      <c r="AC1202" t="str">
        <f>IF(AND(AA1202=0,AB1202=0),"",IF(AA1202=0,"ODOO-ONLY",IF(AB1202=0,"BANK-ONLY","BOTH")))</f>
        <v>BANK-ONLY</v>
      </c>
      <c r="AD1202" s="9">
        <f>IF(AC1202="BOTH",ROUND(Y1202-Z1202,2),0)</f>
        <v>0</v>
      </c>
    </row>
    <row r="1203">
      <c r="A1203" t="inlineStr">
        <is>
          <t>G01199</t>
        </is>
      </c>
      <c r="B1203" t="inlineStr">
        <is>
          <t>OPS</t>
        </is>
      </c>
      <c r="C1203" t="inlineStr">
        <is>
          <t>R11</t>
        </is>
      </c>
      <c r="D1203" t="inlineStr">
        <is>
          <t>REG</t>
        </is>
      </c>
      <c r="E1203" t="inlineStr">
        <is>
          <t>Harbour Mutual Health</t>
        </is>
      </c>
      <c r="F1203" t="n">
        <v>1</v>
      </c>
      <c r="G1203" t="inlineStr">
        <is>
          <t>Receipt not entered in Odoo; matches open INV/2026/02796</t>
        </is>
      </c>
      <c r="H1203">
        <f>COUNTIFS('Bank Lines'!$G$5:$G$1640,A1203,'Bank Lines'!$J$5:$J$1640,1)</f>
        <v>1</v>
      </c>
      <c r="I1203">
        <f>COUNTIFS('Odoo Items'!$J$5:$J$4331,A1203)</f>
        <v>0</v>
      </c>
      <c r="J1203" s="9">
        <f>ROUND(SUMIFS('Bank Lines'!$E$5:$E$1640,'Bank Lines'!$G$5:$G$1640,A1203,'Bank Lines'!$J$5:$J$1640,1),2)</f>
        <v>990</v>
      </c>
      <c r="K1203" s="9">
        <f>ROUND(SUMIFS('Odoo Items'!$G$5:$G$4331,'Odoo Items'!$J$5:$J$4331,A1203),2)</f>
        <v>0</v>
      </c>
      <c r="L1203" s="9">
        <f>ROUND(J1203-K1203,2)</f>
        <v>990</v>
      </c>
      <c r="M1203" s="9">
        <f>ROUND(SUMIFS('Bank Lines'!$E$5:$E$1640,'Bank Lines'!$G$5:$G$1640,A1203,'Bank Lines'!$J$5:$J$1640,1,'Bank Lines'!$C$5:$C$1640,"&lt;="&amp;Cover!$C$13),2)</f>
        <v>0</v>
      </c>
      <c r="N1203" s="9">
        <f>ROUND(SUMIFS('Odoo Items'!$G$5:$G$4331,'Odoo Items'!$J$5:$J$4331,A1203,'Odoo Items'!$C$5:$C$4331,"&lt;="&amp;Cover!$C$13),2)</f>
        <v>0</v>
      </c>
      <c r="O1203">
        <f>COUNTIFS('Bank Lines'!$G$5:$G$1640,A1203,'Bank Lines'!$J$5:$J$1640,1,'Bank Lines'!$C$5:$C$1640,"&lt;="&amp;Cover!$C$13)</f>
        <v>0</v>
      </c>
      <c r="P1203">
        <f>COUNTIFS('Odoo Items'!$J$5:$J$4331,A1203,'Odoo Items'!$C$5:$C$4331,"&lt;="&amp;Cover!$C$13)</f>
        <v>0</v>
      </c>
      <c r="Q1203">
        <f>IF(AND(O1203=0,P1203=0),"",IF(O1203=0,"ODOO-ONLY",IF(P1203=0,"BANK-ONLY","BOTH")))</f>
      </c>
      <c r="R1203" s="9">
        <f>IF(Q1203="BOTH",ROUND(M1203-N1203,2),0)</f>
        <v>0</v>
      </c>
      <c r="S1203" s="9">
        <f>ROUND(SUMIFS('Bank Lines'!$E$5:$E$1640,'Bank Lines'!$G$5:$G$1640,A1203,'Bank Lines'!$J$5:$J$1640,1,'Bank Lines'!$C$5:$C$1640,"&lt;="&amp;Cover!$C$14),2)</f>
        <v>0</v>
      </c>
      <c r="T1203" s="9">
        <f>ROUND(SUMIFS('Odoo Items'!$G$5:$G$4331,'Odoo Items'!$J$5:$J$4331,A1203,'Odoo Items'!$C$5:$C$4331,"&lt;="&amp;Cover!$C$14),2)</f>
        <v>0</v>
      </c>
      <c r="U1203">
        <f>COUNTIFS('Bank Lines'!$G$5:$G$1640,A1203,'Bank Lines'!$J$5:$J$1640,1,'Bank Lines'!$C$5:$C$1640,"&lt;="&amp;Cover!$C$14)</f>
        <v>0</v>
      </c>
      <c r="V1203">
        <f>COUNTIFS('Odoo Items'!$J$5:$J$4331,A1203,'Odoo Items'!$C$5:$C$4331,"&lt;="&amp;Cover!$C$14)</f>
        <v>0</v>
      </c>
      <c r="W1203">
        <f>IF(AND(U1203=0,V1203=0),"",IF(U1203=0,"ODOO-ONLY",IF(V1203=0,"BANK-ONLY","BOTH")))</f>
      </c>
      <c r="X1203" s="9">
        <f>IF(W1203="BOTH",ROUND(S1203-T1203,2),0)</f>
        <v>0</v>
      </c>
      <c r="Y1203" s="9">
        <f>ROUND(SUMIFS('Bank Lines'!$E$5:$E$1640,'Bank Lines'!$G$5:$G$1640,A1203,'Bank Lines'!$J$5:$J$1640,1,'Bank Lines'!$C$5:$C$1640,"&lt;="&amp;Cover!$C$15),2)</f>
        <v>990</v>
      </c>
      <c r="Z1203" s="9">
        <f>ROUND(SUMIFS('Odoo Items'!$G$5:$G$4331,'Odoo Items'!$J$5:$J$4331,A1203,'Odoo Items'!$C$5:$C$4331,"&lt;="&amp;Cover!$C$15),2)</f>
        <v>0</v>
      </c>
      <c r="AA1203">
        <f>COUNTIFS('Bank Lines'!$G$5:$G$1640,A1203,'Bank Lines'!$J$5:$J$1640,1,'Bank Lines'!$C$5:$C$1640,"&lt;="&amp;Cover!$C$15)</f>
        <v>1</v>
      </c>
      <c r="AB1203">
        <f>COUNTIFS('Odoo Items'!$J$5:$J$4331,A1203,'Odoo Items'!$C$5:$C$4331,"&lt;="&amp;Cover!$C$15)</f>
        <v>0</v>
      </c>
      <c r="AC1203" t="str">
        <f>IF(AND(AA1203=0,AB1203=0),"",IF(AA1203=0,"ODOO-ONLY",IF(AB1203=0,"BANK-ONLY","BOTH")))</f>
        <v>BANK-ONLY</v>
      </c>
      <c r="AD1203" s="9">
        <f>IF(AC1203="BOTH",ROUND(Y1203-Z1203,2),0)</f>
        <v>0</v>
      </c>
    </row>
    <row r="1204">
      <c r="A1204" t="inlineStr">
        <is>
          <t>G01200</t>
        </is>
      </c>
      <c r="B1204" t="inlineStr">
        <is>
          <t>OPS</t>
        </is>
      </c>
      <c r="C1204" t="inlineStr">
        <is>
          <t>R11</t>
        </is>
      </c>
      <c r="D1204" t="inlineStr">
        <is>
          <t>REG</t>
        </is>
      </c>
      <c r="E1204" t="inlineStr">
        <is>
          <t>Northline Injury Claims</t>
        </is>
      </c>
      <c r="F1204" t="n">
        <v>1</v>
      </c>
      <c r="G1204" t="inlineStr">
        <is>
          <t>Receipt not entered in Odoo; matches open INV/2026/02951</t>
        </is>
      </c>
      <c r="H1204">
        <f>COUNTIFS('Bank Lines'!$G$5:$G$1640,A1204,'Bank Lines'!$J$5:$J$1640,1)</f>
        <v>1</v>
      </c>
      <c r="I1204">
        <f>COUNTIFS('Odoo Items'!$J$5:$J$4331,A1204)</f>
        <v>0</v>
      </c>
      <c r="J1204" s="9">
        <f>ROUND(SUMIFS('Bank Lines'!$E$5:$E$1640,'Bank Lines'!$G$5:$G$1640,A1204,'Bank Lines'!$J$5:$J$1640,1),2)</f>
        <v>176</v>
      </c>
      <c r="K1204" s="9">
        <f>ROUND(SUMIFS('Odoo Items'!$G$5:$G$4331,'Odoo Items'!$J$5:$J$4331,A1204),2)</f>
        <v>0</v>
      </c>
      <c r="L1204" s="9">
        <f>ROUND(J1204-K1204,2)</f>
        <v>176</v>
      </c>
      <c r="M1204" s="9">
        <f>ROUND(SUMIFS('Bank Lines'!$E$5:$E$1640,'Bank Lines'!$G$5:$G$1640,A1204,'Bank Lines'!$J$5:$J$1640,1,'Bank Lines'!$C$5:$C$1640,"&lt;="&amp;Cover!$C$13),2)</f>
        <v>0</v>
      </c>
      <c r="N1204" s="9">
        <f>ROUND(SUMIFS('Odoo Items'!$G$5:$G$4331,'Odoo Items'!$J$5:$J$4331,A1204,'Odoo Items'!$C$5:$C$4331,"&lt;="&amp;Cover!$C$13),2)</f>
        <v>0</v>
      </c>
      <c r="O1204">
        <f>COUNTIFS('Bank Lines'!$G$5:$G$1640,A1204,'Bank Lines'!$J$5:$J$1640,1,'Bank Lines'!$C$5:$C$1640,"&lt;="&amp;Cover!$C$13)</f>
        <v>0</v>
      </c>
      <c r="P1204">
        <f>COUNTIFS('Odoo Items'!$J$5:$J$4331,A1204,'Odoo Items'!$C$5:$C$4331,"&lt;="&amp;Cover!$C$13)</f>
        <v>0</v>
      </c>
      <c r="Q1204">
        <f>IF(AND(O1204=0,P1204=0),"",IF(O1204=0,"ODOO-ONLY",IF(P1204=0,"BANK-ONLY","BOTH")))</f>
      </c>
      <c r="R1204" s="9">
        <f>IF(Q1204="BOTH",ROUND(M1204-N1204,2),0)</f>
        <v>0</v>
      </c>
      <c r="S1204" s="9">
        <f>ROUND(SUMIFS('Bank Lines'!$E$5:$E$1640,'Bank Lines'!$G$5:$G$1640,A1204,'Bank Lines'!$J$5:$J$1640,1,'Bank Lines'!$C$5:$C$1640,"&lt;="&amp;Cover!$C$14),2)</f>
        <v>0</v>
      </c>
      <c r="T1204" s="9">
        <f>ROUND(SUMIFS('Odoo Items'!$G$5:$G$4331,'Odoo Items'!$J$5:$J$4331,A1204,'Odoo Items'!$C$5:$C$4331,"&lt;="&amp;Cover!$C$14),2)</f>
        <v>0</v>
      </c>
      <c r="U1204">
        <f>COUNTIFS('Bank Lines'!$G$5:$G$1640,A1204,'Bank Lines'!$J$5:$J$1640,1,'Bank Lines'!$C$5:$C$1640,"&lt;="&amp;Cover!$C$14)</f>
        <v>0</v>
      </c>
      <c r="V1204">
        <f>COUNTIFS('Odoo Items'!$J$5:$J$4331,A1204,'Odoo Items'!$C$5:$C$4331,"&lt;="&amp;Cover!$C$14)</f>
        <v>0</v>
      </c>
      <c r="W1204">
        <f>IF(AND(U1204=0,V1204=0),"",IF(U1204=0,"ODOO-ONLY",IF(V1204=0,"BANK-ONLY","BOTH")))</f>
      </c>
      <c r="X1204" s="9">
        <f>IF(W1204="BOTH",ROUND(S1204-T1204,2),0)</f>
        <v>0</v>
      </c>
      <c r="Y1204" s="9">
        <f>ROUND(SUMIFS('Bank Lines'!$E$5:$E$1640,'Bank Lines'!$G$5:$G$1640,A1204,'Bank Lines'!$J$5:$J$1640,1,'Bank Lines'!$C$5:$C$1640,"&lt;="&amp;Cover!$C$15),2)</f>
        <v>176</v>
      </c>
      <c r="Z1204" s="9">
        <f>ROUND(SUMIFS('Odoo Items'!$G$5:$G$4331,'Odoo Items'!$J$5:$J$4331,A1204,'Odoo Items'!$C$5:$C$4331,"&lt;="&amp;Cover!$C$15),2)</f>
        <v>0</v>
      </c>
      <c r="AA1204">
        <f>COUNTIFS('Bank Lines'!$G$5:$G$1640,A1204,'Bank Lines'!$J$5:$J$1640,1,'Bank Lines'!$C$5:$C$1640,"&lt;="&amp;Cover!$C$15)</f>
        <v>1</v>
      </c>
      <c r="AB1204">
        <f>COUNTIFS('Odoo Items'!$J$5:$J$4331,A1204,'Odoo Items'!$C$5:$C$4331,"&lt;="&amp;Cover!$C$15)</f>
        <v>0</v>
      </c>
      <c r="AC1204" t="str">
        <f>IF(AND(AA1204=0,AB1204=0),"",IF(AA1204=0,"ODOO-ONLY",IF(AB1204=0,"BANK-ONLY","BOTH")))</f>
        <v>BANK-ONLY</v>
      </c>
      <c r="AD1204" s="9">
        <f>IF(AC1204="BOTH",ROUND(Y1204-Z1204,2),0)</f>
        <v>0</v>
      </c>
    </row>
    <row r="1205">
      <c r="A1205" t="inlineStr">
        <is>
          <t>G01201</t>
        </is>
      </c>
      <c r="B1205" t="inlineStr">
        <is>
          <t>OPS</t>
        </is>
      </c>
      <c r="C1205" t="inlineStr">
        <is>
          <t>R11</t>
        </is>
      </c>
      <c r="D1205" t="inlineStr">
        <is>
          <t>REGBILL</t>
        </is>
      </c>
      <c r="E1205" t="inlineStr">
        <is>
          <t>Fleetwise Vehicle Leasing</t>
        </is>
      </c>
      <c r="F1205" t="n">
        <v>1</v>
      </c>
      <c r="G1205" t="inlineStr">
        <is>
          <t>Direct debit not entered in Odoo; matches open BILL/2026/1025</t>
        </is>
      </c>
      <c r="H1205">
        <f>COUNTIFS('Bank Lines'!$G$5:$G$1640,A1205,'Bank Lines'!$J$5:$J$1640,1)</f>
        <v>1</v>
      </c>
      <c r="I1205">
        <f>COUNTIFS('Odoo Items'!$J$5:$J$4331,A1205)</f>
        <v>0</v>
      </c>
      <c r="J1205" s="9">
        <f>ROUND(SUMIFS('Bank Lines'!$E$5:$E$1640,'Bank Lines'!$G$5:$G$1640,A1205,'Bank Lines'!$J$5:$J$1640,1),2)</f>
        <v>-3184.62</v>
      </c>
      <c r="K1205" s="9">
        <f>ROUND(SUMIFS('Odoo Items'!$G$5:$G$4331,'Odoo Items'!$J$5:$J$4331,A1205),2)</f>
        <v>0</v>
      </c>
      <c r="L1205" s="9">
        <f>ROUND(J1205-K1205,2)</f>
        <v>-3184.62</v>
      </c>
      <c r="M1205" s="9">
        <f>ROUND(SUMIFS('Bank Lines'!$E$5:$E$1640,'Bank Lines'!$G$5:$G$1640,A1205,'Bank Lines'!$J$5:$J$1640,1,'Bank Lines'!$C$5:$C$1640,"&lt;="&amp;Cover!$C$13),2)</f>
        <v>0</v>
      </c>
      <c r="N1205" s="9">
        <f>ROUND(SUMIFS('Odoo Items'!$G$5:$G$4331,'Odoo Items'!$J$5:$J$4331,A1205,'Odoo Items'!$C$5:$C$4331,"&lt;="&amp;Cover!$C$13),2)</f>
        <v>0</v>
      </c>
      <c r="O1205">
        <f>COUNTIFS('Bank Lines'!$G$5:$G$1640,A1205,'Bank Lines'!$J$5:$J$1640,1,'Bank Lines'!$C$5:$C$1640,"&lt;="&amp;Cover!$C$13)</f>
        <v>0</v>
      </c>
      <c r="P1205">
        <f>COUNTIFS('Odoo Items'!$J$5:$J$4331,A1205,'Odoo Items'!$C$5:$C$4331,"&lt;="&amp;Cover!$C$13)</f>
        <v>0</v>
      </c>
      <c r="Q1205">
        <f>IF(AND(O1205=0,P1205=0),"",IF(O1205=0,"ODOO-ONLY",IF(P1205=0,"BANK-ONLY","BOTH")))</f>
      </c>
      <c r="R1205" s="9">
        <f>IF(Q1205="BOTH",ROUND(M1205-N1205,2),0)</f>
        <v>0</v>
      </c>
      <c r="S1205" s="9">
        <f>ROUND(SUMIFS('Bank Lines'!$E$5:$E$1640,'Bank Lines'!$G$5:$G$1640,A1205,'Bank Lines'!$J$5:$J$1640,1,'Bank Lines'!$C$5:$C$1640,"&lt;="&amp;Cover!$C$14),2)</f>
        <v>0</v>
      </c>
      <c r="T1205" s="9">
        <f>ROUND(SUMIFS('Odoo Items'!$G$5:$G$4331,'Odoo Items'!$J$5:$J$4331,A1205,'Odoo Items'!$C$5:$C$4331,"&lt;="&amp;Cover!$C$14),2)</f>
        <v>0</v>
      </c>
      <c r="U1205">
        <f>COUNTIFS('Bank Lines'!$G$5:$G$1640,A1205,'Bank Lines'!$J$5:$J$1640,1,'Bank Lines'!$C$5:$C$1640,"&lt;="&amp;Cover!$C$14)</f>
        <v>0</v>
      </c>
      <c r="V1205">
        <f>COUNTIFS('Odoo Items'!$J$5:$J$4331,A1205,'Odoo Items'!$C$5:$C$4331,"&lt;="&amp;Cover!$C$14)</f>
        <v>0</v>
      </c>
      <c r="W1205">
        <f>IF(AND(U1205=0,V1205=0),"",IF(U1205=0,"ODOO-ONLY",IF(V1205=0,"BANK-ONLY","BOTH")))</f>
      </c>
      <c r="X1205" s="9">
        <f>IF(W1205="BOTH",ROUND(S1205-T1205,2),0)</f>
        <v>0</v>
      </c>
      <c r="Y1205" s="9">
        <f>ROUND(SUMIFS('Bank Lines'!$E$5:$E$1640,'Bank Lines'!$G$5:$G$1640,A1205,'Bank Lines'!$J$5:$J$1640,1,'Bank Lines'!$C$5:$C$1640,"&lt;="&amp;Cover!$C$15),2)</f>
        <v>-3184.62</v>
      </c>
      <c r="Z1205" s="9">
        <f>ROUND(SUMIFS('Odoo Items'!$G$5:$G$4331,'Odoo Items'!$J$5:$J$4331,A1205,'Odoo Items'!$C$5:$C$4331,"&lt;="&amp;Cover!$C$15),2)</f>
        <v>0</v>
      </c>
      <c r="AA1205">
        <f>COUNTIFS('Bank Lines'!$G$5:$G$1640,A1205,'Bank Lines'!$J$5:$J$1640,1,'Bank Lines'!$C$5:$C$1640,"&lt;="&amp;Cover!$C$15)</f>
        <v>1</v>
      </c>
      <c r="AB1205">
        <f>COUNTIFS('Odoo Items'!$J$5:$J$4331,A1205,'Odoo Items'!$C$5:$C$4331,"&lt;="&amp;Cover!$C$15)</f>
        <v>0</v>
      </c>
      <c r="AC1205" t="str">
        <f>IF(AND(AA1205=0,AB1205=0),"",IF(AA1205=0,"ODOO-ONLY",IF(AB1205=0,"BANK-ONLY","BOTH")))</f>
        <v>BANK-ONLY</v>
      </c>
      <c r="AD1205" s="9">
        <f>IF(AC1205="BOTH",ROUND(Y1205-Z1205,2),0)</f>
        <v>0</v>
      </c>
    </row>
    <row r="1206">
      <c r="A1206" t="inlineStr">
        <is>
          <t>G01202</t>
        </is>
      </c>
      <c r="B1206" t="inlineStr">
        <is>
          <t>OPS</t>
        </is>
      </c>
      <c r="C1206" t="inlineStr">
        <is>
          <t>R11</t>
        </is>
      </c>
      <c r="D1206" t="inlineStr">
        <is>
          <t>REG</t>
        </is>
      </c>
      <c r="E1206" t="inlineStr">
        <is>
          <t>Coastline Health Fund</t>
        </is>
      </c>
      <c r="F1206" t="n">
        <v>1</v>
      </c>
      <c r="G1206" t="inlineStr">
        <is>
          <t>Receipt not entered in Odoo; matches open INV/2026/02926</t>
        </is>
      </c>
      <c r="H1206">
        <f>COUNTIFS('Bank Lines'!$G$5:$G$1640,A1206,'Bank Lines'!$J$5:$J$1640,1)</f>
        <v>1</v>
      </c>
      <c r="I1206">
        <f>COUNTIFS('Odoo Items'!$J$5:$J$4331,A1206)</f>
        <v>0</v>
      </c>
      <c r="J1206" s="9">
        <f>ROUND(SUMIFS('Bank Lines'!$E$5:$E$1640,'Bank Lines'!$G$5:$G$1640,A1206,'Bank Lines'!$J$5:$J$1640,1),2)</f>
        <v>176</v>
      </c>
      <c r="K1206" s="9">
        <f>ROUND(SUMIFS('Odoo Items'!$G$5:$G$4331,'Odoo Items'!$J$5:$J$4331,A1206),2)</f>
        <v>0</v>
      </c>
      <c r="L1206" s="9">
        <f>ROUND(J1206-K1206,2)</f>
        <v>176</v>
      </c>
      <c r="M1206" s="9">
        <f>ROUND(SUMIFS('Bank Lines'!$E$5:$E$1640,'Bank Lines'!$G$5:$G$1640,A1206,'Bank Lines'!$J$5:$J$1640,1,'Bank Lines'!$C$5:$C$1640,"&lt;="&amp;Cover!$C$13),2)</f>
        <v>0</v>
      </c>
      <c r="N1206" s="9">
        <f>ROUND(SUMIFS('Odoo Items'!$G$5:$G$4331,'Odoo Items'!$J$5:$J$4331,A1206,'Odoo Items'!$C$5:$C$4331,"&lt;="&amp;Cover!$C$13),2)</f>
        <v>0</v>
      </c>
      <c r="O1206">
        <f>COUNTIFS('Bank Lines'!$G$5:$G$1640,A1206,'Bank Lines'!$J$5:$J$1640,1,'Bank Lines'!$C$5:$C$1640,"&lt;="&amp;Cover!$C$13)</f>
        <v>0</v>
      </c>
      <c r="P1206">
        <f>COUNTIFS('Odoo Items'!$J$5:$J$4331,A1206,'Odoo Items'!$C$5:$C$4331,"&lt;="&amp;Cover!$C$13)</f>
        <v>0</v>
      </c>
      <c r="Q1206">
        <f>IF(AND(O1206=0,P1206=0),"",IF(O1206=0,"ODOO-ONLY",IF(P1206=0,"BANK-ONLY","BOTH")))</f>
      </c>
      <c r="R1206" s="9">
        <f>IF(Q1206="BOTH",ROUND(M1206-N1206,2),0)</f>
        <v>0</v>
      </c>
      <c r="S1206" s="9">
        <f>ROUND(SUMIFS('Bank Lines'!$E$5:$E$1640,'Bank Lines'!$G$5:$G$1640,A1206,'Bank Lines'!$J$5:$J$1640,1,'Bank Lines'!$C$5:$C$1640,"&lt;="&amp;Cover!$C$14),2)</f>
        <v>0</v>
      </c>
      <c r="T1206" s="9">
        <f>ROUND(SUMIFS('Odoo Items'!$G$5:$G$4331,'Odoo Items'!$J$5:$J$4331,A1206,'Odoo Items'!$C$5:$C$4331,"&lt;="&amp;Cover!$C$14),2)</f>
        <v>0</v>
      </c>
      <c r="U1206">
        <f>COUNTIFS('Bank Lines'!$G$5:$G$1640,A1206,'Bank Lines'!$J$5:$J$1640,1,'Bank Lines'!$C$5:$C$1640,"&lt;="&amp;Cover!$C$14)</f>
        <v>0</v>
      </c>
      <c r="V1206">
        <f>COUNTIFS('Odoo Items'!$J$5:$J$4331,A1206,'Odoo Items'!$C$5:$C$4331,"&lt;="&amp;Cover!$C$14)</f>
        <v>0</v>
      </c>
      <c r="W1206">
        <f>IF(AND(U1206=0,V1206=0),"",IF(U1206=0,"ODOO-ONLY",IF(V1206=0,"BANK-ONLY","BOTH")))</f>
      </c>
      <c r="X1206" s="9">
        <f>IF(W1206="BOTH",ROUND(S1206-T1206,2),0)</f>
        <v>0</v>
      </c>
      <c r="Y1206" s="9">
        <f>ROUND(SUMIFS('Bank Lines'!$E$5:$E$1640,'Bank Lines'!$G$5:$G$1640,A1206,'Bank Lines'!$J$5:$J$1640,1,'Bank Lines'!$C$5:$C$1640,"&lt;="&amp;Cover!$C$15),2)</f>
        <v>176</v>
      </c>
      <c r="Z1206" s="9">
        <f>ROUND(SUMIFS('Odoo Items'!$G$5:$G$4331,'Odoo Items'!$J$5:$J$4331,A1206,'Odoo Items'!$C$5:$C$4331,"&lt;="&amp;Cover!$C$15),2)</f>
        <v>0</v>
      </c>
      <c r="AA1206">
        <f>COUNTIFS('Bank Lines'!$G$5:$G$1640,A1206,'Bank Lines'!$J$5:$J$1640,1,'Bank Lines'!$C$5:$C$1640,"&lt;="&amp;Cover!$C$15)</f>
        <v>1</v>
      </c>
      <c r="AB1206">
        <f>COUNTIFS('Odoo Items'!$J$5:$J$4331,A1206,'Odoo Items'!$C$5:$C$4331,"&lt;="&amp;Cover!$C$15)</f>
        <v>0</v>
      </c>
      <c r="AC1206" t="str">
        <f>IF(AND(AA1206=0,AB1206=0),"",IF(AA1206=0,"ODOO-ONLY",IF(AB1206=0,"BANK-ONLY","BOTH")))</f>
        <v>BANK-ONLY</v>
      </c>
      <c r="AD1206" s="9">
        <f>IF(AC1206="BOTH",ROUND(Y1206-Z1206,2),0)</f>
        <v>0</v>
      </c>
    </row>
    <row r="1207">
      <c r="A1207" t="inlineStr">
        <is>
          <t>G01203</t>
        </is>
      </c>
      <c r="B1207" t="inlineStr">
        <is>
          <t>OPS</t>
        </is>
      </c>
      <c r="C1207" t="inlineStr">
        <is>
          <t>R11</t>
        </is>
      </c>
      <c r="D1207" t="inlineStr">
        <is>
          <t>REG</t>
        </is>
      </c>
      <c r="E1207" t="inlineStr">
        <is>
          <t>Unity Workcover Agents</t>
        </is>
      </c>
      <c r="F1207" t="n">
        <v>1</v>
      </c>
      <c r="G1207" t="inlineStr">
        <is>
          <t>Receipt not entered in Odoo; matches open INV/2026/03120</t>
        </is>
      </c>
      <c r="H1207">
        <f>COUNTIFS('Bank Lines'!$G$5:$G$1640,A1207,'Bank Lines'!$J$5:$J$1640,1)</f>
        <v>1</v>
      </c>
      <c r="I1207">
        <f>COUNTIFS('Odoo Items'!$J$5:$J$4331,A1207)</f>
        <v>0</v>
      </c>
      <c r="J1207" s="9">
        <f>ROUND(SUMIFS('Bank Lines'!$E$5:$E$1640,'Bank Lines'!$G$5:$G$1640,A1207,'Bank Lines'!$J$5:$J$1640,1),2)</f>
        <v>176</v>
      </c>
      <c r="K1207" s="9">
        <f>ROUND(SUMIFS('Odoo Items'!$G$5:$G$4331,'Odoo Items'!$J$5:$J$4331,A1207),2)</f>
        <v>0</v>
      </c>
      <c r="L1207" s="9">
        <f>ROUND(J1207-K1207,2)</f>
        <v>176</v>
      </c>
      <c r="M1207" s="9">
        <f>ROUND(SUMIFS('Bank Lines'!$E$5:$E$1640,'Bank Lines'!$G$5:$G$1640,A1207,'Bank Lines'!$J$5:$J$1640,1,'Bank Lines'!$C$5:$C$1640,"&lt;="&amp;Cover!$C$13),2)</f>
        <v>0</v>
      </c>
      <c r="N1207" s="9">
        <f>ROUND(SUMIFS('Odoo Items'!$G$5:$G$4331,'Odoo Items'!$J$5:$J$4331,A1207,'Odoo Items'!$C$5:$C$4331,"&lt;="&amp;Cover!$C$13),2)</f>
        <v>0</v>
      </c>
      <c r="O1207">
        <f>COUNTIFS('Bank Lines'!$G$5:$G$1640,A1207,'Bank Lines'!$J$5:$J$1640,1,'Bank Lines'!$C$5:$C$1640,"&lt;="&amp;Cover!$C$13)</f>
        <v>0</v>
      </c>
      <c r="P1207">
        <f>COUNTIFS('Odoo Items'!$J$5:$J$4331,A1207,'Odoo Items'!$C$5:$C$4331,"&lt;="&amp;Cover!$C$13)</f>
        <v>0</v>
      </c>
      <c r="Q1207">
        <f>IF(AND(O1207=0,P1207=0),"",IF(O1207=0,"ODOO-ONLY",IF(P1207=0,"BANK-ONLY","BOTH")))</f>
      </c>
      <c r="R1207" s="9">
        <f>IF(Q1207="BOTH",ROUND(M1207-N1207,2),0)</f>
        <v>0</v>
      </c>
      <c r="S1207" s="9">
        <f>ROUND(SUMIFS('Bank Lines'!$E$5:$E$1640,'Bank Lines'!$G$5:$G$1640,A1207,'Bank Lines'!$J$5:$J$1640,1,'Bank Lines'!$C$5:$C$1640,"&lt;="&amp;Cover!$C$14),2)</f>
        <v>0</v>
      </c>
      <c r="T1207" s="9">
        <f>ROUND(SUMIFS('Odoo Items'!$G$5:$G$4331,'Odoo Items'!$J$5:$J$4331,A1207,'Odoo Items'!$C$5:$C$4331,"&lt;="&amp;Cover!$C$14),2)</f>
        <v>0</v>
      </c>
      <c r="U1207">
        <f>COUNTIFS('Bank Lines'!$G$5:$G$1640,A1207,'Bank Lines'!$J$5:$J$1640,1,'Bank Lines'!$C$5:$C$1640,"&lt;="&amp;Cover!$C$14)</f>
        <v>0</v>
      </c>
      <c r="V1207">
        <f>COUNTIFS('Odoo Items'!$J$5:$J$4331,A1207,'Odoo Items'!$C$5:$C$4331,"&lt;="&amp;Cover!$C$14)</f>
        <v>0</v>
      </c>
      <c r="W1207">
        <f>IF(AND(U1207=0,V1207=0),"",IF(U1207=0,"ODOO-ONLY",IF(V1207=0,"BANK-ONLY","BOTH")))</f>
      </c>
      <c r="X1207" s="9">
        <f>IF(W1207="BOTH",ROUND(S1207-T1207,2),0)</f>
        <v>0</v>
      </c>
      <c r="Y1207" s="9">
        <f>ROUND(SUMIFS('Bank Lines'!$E$5:$E$1640,'Bank Lines'!$G$5:$G$1640,A1207,'Bank Lines'!$J$5:$J$1640,1,'Bank Lines'!$C$5:$C$1640,"&lt;="&amp;Cover!$C$15),2)</f>
        <v>176</v>
      </c>
      <c r="Z1207" s="9">
        <f>ROUND(SUMIFS('Odoo Items'!$G$5:$G$4331,'Odoo Items'!$J$5:$J$4331,A1207,'Odoo Items'!$C$5:$C$4331,"&lt;="&amp;Cover!$C$15),2)</f>
        <v>0</v>
      </c>
      <c r="AA1207">
        <f>COUNTIFS('Bank Lines'!$G$5:$G$1640,A1207,'Bank Lines'!$J$5:$J$1640,1,'Bank Lines'!$C$5:$C$1640,"&lt;="&amp;Cover!$C$15)</f>
        <v>1</v>
      </c>
      <c r="AB1207">
        <f>COUNTIFS('Odoo Items'!$J$5:$J$4331,A1207,'Odoo Items'!$C$5:$C$4331,"&lt;="&amp;Cover!$C$15)</f>
        <v>0</v>
      </c>
      <c r="AC1207" t="str">
        <f>IF(AND(AA1207=0,AB1207=0),"",IF(AA1207=0,"ODOO-ONLY",IF(AB1207=0,"BANK-ONLY","BOTH")))</f>
        <v>BANK-ONLY</v>
      </c>
      <c r="AD1207" s="9">
        <f>IF(AC1207="BOTH",ROUND(Y1207-Z1207,2),0)</f>
        <v>0</v>
      </c>
    </row>
    <row r="1208">
      <c r="A1208" t="inlineStr">
        <is>
          <t>G01204</t>
        </is>
      </c>
      <c r="B1208" t="inlineStr">
        <is>
          <t>OPS</t>
        </is>
      </c>
      <c r="C1208" t="inlineStr">
        <is>
          <t>R11</t>
        </is>
      </c>
      <c r="D1208" t="inlineStr">
        <is>
          <t>REG</t>
        </is>
      </c>
      <c r="E1208" t="inlineStr">
        <is>
          <t>Unity Workcover Agents</t>
        </is>
      </c>
      <c r="F1208" t="n">
        <v>1</v>
      </c>
      <c r="G1208" t="inlineStr">
        <is>
          <t>Receipt not entered in Odoo; matches open INV/2026/03149</t>
        </is>
      </c>
      <c r="H1208">
        <f>COUNTIFS('Bank Lines'!$G$5:$G$1640,A1208,'Bank Lines'!$J$5:$J$1640,1)</f>
        <v>1</v>
      </c>
      <c r="I1208">
        <f>COUNTIFS('Odoo Items'!$J$5:$J$4331,A1208)</f>
        <v>0</v>
      </c>
      <c r="J1208" s="9">
        <f>ROUND(SUMIFS('Bank Lines'!$E$5:$E$1640,'Bank Lines'!$G$5:$G$1640,A1208,'Bank Lines'!$J$5:$J$1640,1),2)</f>
        <v>264</v>
      </c>
      <c r="K1208" s="9">
        <f>ROUND(SUMIFS('Odoo Items'!$G$5:$G$4331,'Odoo Items'!$J$5:$J$4331,A1208),2)</f>
        <v>0</v>
      </c>
      <c r="L1208" s="9">
        <f>ROUND(J1208-K1208,2)</f>
        <v>264</v>
      </c>
      <c r="M1208" s="9">
        <f>ROUND(SUMIFS('Bank Lines'!$E$5:$E$1640,'Bank Lines'!$G$5:$G$1640,A1208,'Bank Lines'!$J$5:$J$1640,1,'Bank Lines'!$C$5:$C$1640,"&lt;="&amp;Cover!$C$13),2)</f>
        <v>0</v>
      </c>
      <c r="N1208" s="9">
        <f>ROUND(SUMIFS('Odoo Items'!$G$5:$G$4331,'Odoo Items'!$J$5:$J$4331,A1208,'Odoo Items'!$C$5:$C$4331,"&lt;="&amp;Cover!$C$13),2)</f>
        <v>0</v>
      </c>
      <c r="O1208">
        <f>COUNTIFS('Bank Lines'!$G$5:$G$1640,A1208,'Bank Lines'!$J$5:$J$1640,1,'Bank Lines'!$C$5:$C$1640,"&lt;="&amp;Cover!$C$13)</f>
        <v>0</v>
      </c>
      <c r="P1208">
        <f>COUNTIFS('Odoo Items'!$J$5:$J$4331,A1208,'Odoo Items'!$C$5:$C$4331,"&lt;="&amp;Cover!$C$13)</f>
        <v>0</v>
      </c>
      <c r="Q1208">
        <f>IF(AND(O1208=0,P1208=0),"",IF(O1208=0,"ODOO-ONLY",IF(P1208=0,"BANK-ONLY","BOTH")))</f>
      </c>
      <c r="R1208" s="9">
        <f>IF(Q1208="BOTH",ROUND(M1208-N1208,2),0)</f>
        <v>0</v>
      </c>
      <c r="S1208" s="9">
        <f>ROUND(SUMIFS('Bank Lines'!$E$5:$E$1640,'Bank Lines'!$G$5:$G$1640,A1208,'Bank Lines'!$J$5:$J$1640,1,'Bank Lines'!$C$5:$C$1640,"&lt;="&amp;Cover!$C$14),2)</f>
        <v>0</v>
      </c>
      <c r="T1208" s="9">
        <f>ROUND(SUMIFS('Odoo Items'!$G$5:$G$4331,'Odoo Items'!$J$5:$J$4331,A1208,'Odoo Items'!$C$5:$C$4331,"&lt;="&amp;Cover!$C$14),2)</f>
        <v>0</v>
      </c>
      <c r="U1208">
        <f>COUNTIFS('Bank Lines'!$G$5:$G$1640,A1208,'Bank Lines'!$J$5:$J$1640,1,'Bank Lines'!$C$5:$C$1640,"&lt;="&amp;Cover!$C$14)</f>
        <v>0</v>
      </c>
      <c r="V1208">
        <f>COUNTIFS('Odoo Items'!$J$5:$J$4331,A1208,'Odoo Items'!$C$5:$C$4331,"&lt;="&amp;Cover!$C$14)</f>
        <v>0</v>
      </c>
      <c r="W1208">
        <f>IF(AND(U1208=0,V1208=0),"",IF(U1208=0,"ODOO-ONLY",IF(V1208=0,"BANK-ONLY","BOTH")))</f>
      </c>
      <c r="X1208" s="9">
        <f>IF(W1208="BOTH",ROUND(S1208-T1208,2),0)</f>
        <v>0</v>
      </c>
      <c r="Y1208" s="9">
        <f>ROUND(SUMIFS('Bank Lines'!$E$5:$E$1640,'Bank Lines'!$G$5:$G$1640,A1208,'Bank Lines'!$J$5:$J$1640,1,'Bank Lines'!$C$5:$C$1640,"&lt;="&amp;Cover!$C$15),2)</f>
        <v>264</v>
      </c>
      <c r="Z1208" s="9">
        <f>ROUND(SUMIFS('Odoo Items'!$G$5:$G$4331,'Odoo Items'!$J$5:$J$4331,A1208,'Odoo Items'!$C$5:$C$4331,"&lt;="&amp;Cover!$C$15),2)</f>
        <v>0</v>
      </c>
      <c r="AA1208">
        <f>COUNTIFS('Bank Lines'!$G$5:$G$1640,A1208,'Bank Lines'!$J$5:$J$1640,1,'Bank Lines'!$C$5:$C$1640,"&lt;="&amp;Cover!$C$15)</f>
        <v>1</v>
      </c>
      <c r="AB1208">
        <f>COUNTIFS('Odoo Items'!$J$5:$J$4331,A1208,'Odoo Items'!$C$5:$C$4331,"&lt;="&amp;Cover!$C$15)</f>
        <v>0</v>
      </c>
      <c r="AC1208" t="str">
        <f>IF(AND(AA1208=0,AB1208=0),"",IF(AA1208=0,"ODOO-ONLY",IF(AB1208=0,"BANK-ONLY","BOTH")))</f>
        <v>BANK-ONLY</v>
      </c>
      <c r="AD1208" s="9">
        <f>IF(AC1208="BOTH",ROUND(Y1208-Z1208,2),0)</f>
        <v>0</v>
      </c>
    </row>
    <row r="1209">
      <c r="A1209" t="inlineStr">
        <is>
          <t>G01205</t>
        </is>
      </c>
      <c r="B1209" t="inlineStr">
        <is>
          <t>OPS</t>
        </is>
      </c>
      <c r="C1209" t="inlineStr">
        <is>
          <t>R11</t>
        </is>
      </c>
      <c r="D1209" t="inlineStr">
        <is>
          <t>REG</t>
        </is>
      </c>
      <c r="E1209" t="inlineStr">
        <is>
          <t>Coastline Health Fund</t>
        </is>
      </c>
      <c r="F1209" t="n">
        <v>1</v>
      </c>
      <c r="G1209" t="inlineStr">
        <is>
          <t>Receipt not entered in Odoo; matches open INV/2026/03189</t>
        </is>
      </c>
      <c r="H1209">
        <f>COUNTIFS('Bank Lines'!$G$5:$G$1640,A1209,'Bank Lines'!$J$5:$J$1640,1)</f>
        <v>1</v>
      </c>
      <c r="I1209">
        <f>COUNTIFS('Odoo Items'!$J$5:$J$4331,A1209)</f>
        <v>0</v>
      </c>
      <c r="J1209" s="9">
        <f>ROUND(SUMIFS('Bank Lines'!$E$5:$E$1640,'Bank Lines'!$G$5:$G$1640,A1209,'Bank Lines'!$J$5:$J$1640,1),2)</f>
        <v>264</v>
      </c>
      <c r="K1209" s="9">
        <f>ROUND(SUMIFS('Odoo Items'!$G$5:$G$4331,'Odoo Items'!$J$5:$J$4331,A1209),2)</f>
        <v>0</v>
      </c>
      <c r="L1209" s="9">
        <f>ROUND(J1209-K1209,2)</f>
        <v>264</v>
      </c>
      <c r="M1209" s="9">
        <f>ROUND(SUMIFS('Bank Lines'!$E$5:$E$1640,'Bank Lines'!$G$5:$G$1640,A1209,'Bank Lines'!$J$5:$J$1640,1,'Bank Lines'!$C$5:$C$1640,"&lt;="&amp;Cover!$C$13),2)</f>
        <v>0</v>
      </c>
      <c r="N1209" s="9">
        <f>ROUND(SUMIFS('Odoo Items'!$G$5:$G$4331,'Odoo Items'!$J$5:$J$4331,A1209,'Odoo Items'!$C$5:$C$4331,"&lt;="&amp;Cover!$C$13),2)</f>
        <v>0</v>
      </c>
      <c r="O1209">
        <f>COUNTIFS('Bank Lines'!$G$5:$G$1640,A1209,'Bank Lines'!$J$5:$J$1640,1,'Bank Lines'!$C$5:$C$1640,"&lt;="&amp;Cover!$C$13)</f>
        <v>0</v>
      </c>
      <c r="P1209">
        <f>COUNTIFS('Odoo Items'!$J$5:$J$4331,A1209,'Odoo Items'!$C$5:$C$4331,"&lt;="&amp;Cover!$C$13)</f>
        <v>0</v>
      </c>
      <c r="Q1209">
        <f>IF(AND(O1209=0,P1209=0),"",IF(O1209=0,"ODOO-ONLY",IF(P1209=0,"BANK-ONLY","BOTH")))</f>
      </c>
      <c r="R1209" s="9">
        <f>IF(Q1209="BOTH",ROUND(M1209-N1209,2),0)</f>
        <v>0</v>
      </c>
      <c r="S1209" s="9">
        <f>ROUND(SUMIFS('Bank Lines'!$E$5:$E$1640,'Bank Lines'!$G$5:$G$1640,A1209,'Bank Lines'!$J$5:$J$1640,1,'Bank Lines'!$C$5:$C$1640,"&lt;="&amp;Cover!$C$14),2)</f>
        <v>0</v>
      </c>
      <c r="T1209" s="9">
        <f>ROUND(SUMIFS('Odoo Items'!$G$5:$G$4331,'Odoo Items'!$J$5:$J$4331,A1209,'Odoo Items'!$C$5:$C$4331,"&lt;="&amp;Cover!$C$14),2)</f>
        <v>0</v>
      </c>
      <c r="U1209">
        <f>COUNTIFS('Bank Lines'!$G$5:$G$1640,A1209,'Bank Lines'!$J$5:$J$1640,1,'Bank Lines'!$C$5:$C$1640,"&lt;="&amp;Cover!$C$14)</f>
        <v>0</v>
      </c>
      <c r="V1209">
        <f>COUNTIFS('Odoo Items'!$J$5:$J$4331,A1209,'Odoo Items'!$C$5:$C$4331,"&lt;="&amp;Cover!$C$14)</f>
        <v>0</v>
      </c>
      <c r="W1209">
        <f>IF(AND(U1209=0,V1209=0),"",IF(U1209=0,"ODOO-ONLY",IF(V1209=0,"BANK-ONLY","BOTH")))</f>
      </c>
      <c r="X1209" s="9">
        <f>IF(W1209="BOTH",ROUND(S1209-T1209,2),0)</f>
        <v>0</v>
      </c>
      <c r="Y1209" s="9">
        <f>ROUND(SUMIFS('Bank Lines'!$E$5:$E$1640,'Bank Lines'!$G$5:$G$1640,A1209,'Bank Lines'!$J$5:$J$1640,1,'Bank Lines'!$C$5:$C$1640,"&lt;="&amp;Cover!$C$15),2)</f>
        <v>264</v>
      </c>
      <c r="Z1209" s="9">
        <f>ROUND(SUMIFS('Odoo Items'!$G$5:$G$4331,'Odoo Items'!$J$5:$J$4331,A1209,'Odoo Items'!$C$5:$C$4331,"&lt;="&amp;Cover!$C$15),2)</f>
        <v>0</v>
      </c>
      <c r="AA1209">
        <f>COUNTIFS('Bank Lines'!$G$5:$G$1640,A1209,'Bank Lines'!$J$5:$J$1640,1,'Bank Lines'!$C$5:$C$1640,"&lt;="&amp;Cover!$C$15)</f>
        <v>1</v>
      </c>
      <c r="AB1209">
        <f>COUNTIFS('Odoo Items'!$J$5:$J$4331,A1209,'Odoo Items'!$C$5:$C$4331,"&lt;="&amp;Cover!$C$15)</f>
        <v>0</v>
      </c>
      <c r="AC1209" t="str">
        <f>IF(AND(AA1209=0,AB1209=0),"",IF(AA1209=0,"ODOO-ONLY",IF(AB1209=0,"BANK-ONLY","BOTH")))</f>
        <v>BANK-ONLY</v>
      </c>
      <c r="AD1209" s="9">
        <f>IF(AC1209="BOTH",ROUND(Y1209-Z1209,2),0)</f>
        <v>0</v>
      </c>
    </row>
    <row r="1210">
      <c r="A1210" t="inlineStr">
        <is>
          <t>G01206</t>
        </is>
      </c>
      <c r="B1210" t="inlineStr">
        <is>
          <t>OPS</t>
        </is>
      </c>
      <c r="C1210" t="inlineStr">
        <is>
          <t>R11</t>
        </is>
      </c>
      <c r="D1210" t="inlineStr">
        <is>
          <t>REG</t>
        </is>
      </c>
      <c r="E1210" t="inlineStr">
        <is>
          <t>Westmere Council Services</t>
        </is>
      </c>
      <c r="F1210" t="n">
        <v>1</v>
      </c>
      <c r="G1210" t="inlineStr">
        <is>
          <t>Receipt not entered in Odoo; matches open INV/2026/03535</t>
        </is>
      </c>
      <c r="H1210">
        <f>COUNTIFS('Bank Lines'!$G$5:$G$1640,A1210,'Bank Lines'!$J$5:$J$1640,1)</f>
        <v>1</v>
      </c>
      <c r="I1210">
        <f>COUNTIFS('Odoo Items'!$J$5:$J$4331,A1210)</f>
        <v>0</v>
      </c>
      <c r="J1210" s="9">
        <f>ROUND(SUMIFS('Bank Lines'!$E$5:$E$1640,'Bank Lines'!$G$5:$G$1640,A1210,'Bank Lines'!$J$5:$J$1640,1),2)</f>
        <v>16101.25</v>
      </c>
      <c r="K1210" s="9">
        <f>ROUND(SUMIFS('Odoo Items'!$G$5:$G$4331,'Odoo Items'!$J$5:$J$4331,A1210),2)</f>
        <v>0</v>
      </c>
      <c r="L1210" s="9">
        <f>ROUND(J1210-K1210,2)</f>
        <v>16101.25</v>
      </c>
      <c r="M1210" s="9">
        <f>ROUND(SUMIFS('Bank Lines'!$E$5:$E$1640,'Bank Lines'!$G$5:$G$1640,A1210,'Bank Lines'!$J$5:$J$1640,1,'Bank Lines'!$C$5:$C$1640,"&lt;="&amp;Cover!$C$13),2)</f>
        <v>0</v>
      </c>
      <c r="N1210" s="9">
        <f>ROUND(SUMIFS('Odoo Items'!$G$5:$G$4331,'Odoo Items'!$J$5:$J$4331,A1210,'Odoo Items'!$C$5:$C$4331,"&lt;="&amp;Cover!$C$13),2)</f>
        <v>0</v>
      </c>
      <c r="O1210">
        <f>COUNTIFS('Bank Lines'!$G$5:$G$1640,A1210,'Bank Lines'!$J$5:$J$1640,1,'Bank Lines'!$C$5:$C$1640,"&lt;="&amp;Cover!$C$13)</f>
        <v>0</v>
      </c>
      <c r="P1210">
        <f>COUNTIFS('Odoo Items'!$J$5:$J$4331,A1210,'Odoo Items'!$C$5:$C$4331,"&lt;="&amp;Cover!$C$13)</f>
        <v>0</v>
      </c>
      <c r="Q1210">
        <f>IF(AND(O1210=0,P1210=0),"",IF(O1210=0,"ODOO-ONLY",IF(P1210=0,"BANK-ONLY","BOTH")))</f>
      </c>
      <c r="R1210" s="9">
        <f>IF(Q1210="BOTH",ROUND(M1210-N1210,2),0)</f>
        <v>0</v>
      </c>
      <c r="S1210" s="9">
        <f>ROUND(SUMIFS('Bank Lines'!$E$5:$E$1640,'Bank Lines'!$G$5:$G$1640,A1210,'Bank Lines'!$J$5:$J$1640,1,'Bank Lines'!$C$5:$C$1640,"&lt;="&amp;Cover!$C$14),2)</f>
        <v>0</v>
      </c>
      <c r="T1210" s="9">
        <f>ROUND(SUMIFS('Odoo Items'!$G$5:$G$4331,'Odoo Items'!$J$5:$J$4331,A1210,'Odoo Items'!$C$5:$C$4331,"&lt;="&amp;Cover!$C$14),2)</f>
        <v>0</v>
      </c>
      <c r="U1210">
        <f>COUNTIFS('Bank Lines'!$G$5:$G$1640,A1210,'Bank Lines'!$J$5:$J$1640,1,'Bank Lines'!$C$5:$C$1640,"&lt;="&amp;Cover!$C$14)</f>
        <v>0</v>
      </c>
      <c r="V1210">
        <f>COUNTIFS('Odoo Items'!$J$5:$J$4331,A1210,'Odoo Items'!$C$5:$C$4331,"&lt;="&amp;Cover!$C$14)</f>
        <v>0</v>
      </c>
      <c r="W1210">
        <f>IF(AND(U1210=0,V1210=0),"",IF(U1210=0,"ODOO-ONLY",IF(V1210=0,"BANK-ONLY","BOTH")))</f>
      </c>
      <c r="X1210" s="9">
        <f>IF(W1210="BOTH",ROUND(S1210-T1210,2),0)</f>
        <v>0</v>
      </c>
      <c r="Y1210" s="9">
        <f>ROUND(SUMIFS('Bank Lines'!$E$5:$E$1640,'Bank Lines'!$G$5:$G$1640,A1210,'Bank Lines'!$J$5:$J$1640,1,'Bank Lines'!$C$5:$C$1640,"&lt;="&amp;Cover!$C$15),2)</f>
        <v>16101.25</v>
      </c>
      <c r="Z1210" s="9">
        <f>ROUND(SUMIFS('Odoo Items'!$G$5:$G$4331,'Odoo Items'!$J$5:$J$4331,A1210,'Odoo Items'!$C$5:$C$4331,"&lt;="&amp;Cover!$C$15),2)</f>
        <v>0</v>
      </c>
      <c r="AA1210">
        <f>COUNTIFS('Bank Lines'!$G$5:$G$1640,A1210,'Bank Lines'!$J$5:$J$1640,1,'Bank Lines'!$C$5:$C$1640,"&lt;="&amp;Cover!$C$15)</f>
        <v>1</v>
      </c>
      <c r="AB1210">
        <f>COUNTIFS('Odoo Items'!$J$5:$J$4331,A1210,'Odoo Items'!$C$5:$C$4331,"&lt;="&amp;Cover!$C$15)</f>
        <v>0</v>
      </c>
      <c r="AC1210" t="str">
        <f>IF(AND(AA1210=0,AB1210=0),"",IF(AA1210=0,"ODOO-ONLY",IF(AB1210=0,"BANK-ONLY","BOTH")))</f>
        <v>BANK-ONLY</v>
      </c>
      <c r="AD1210" s="9">
        <f>IF(AC1210="BOTH",ROUND(Y1210-Z1210,2),0)</f>
        <v>0</v>
      </c>
    </row>
    <row r="1211">
      <c r="A1211" t="inlineStr">
        <is>
          <t>G01207</t>
        </is>
      </c>
      <c r="B1211" t="inlineStr">
        <is>
          <t>OPS</t>
        </is>
      </c>
      <c r="C1211" t="inlineStr">
        <is>
          <t>R11</t>
        </is>
      </c>
      <c r="D1211" t="inlineStr">
        <is>
          <t>REG</t>
        </is>
      </c>
      <c r="E1211" t="inlineStr">
        <is>
          <t>Mornane Electrical</t>
        </is>
      </c>
      <c r="F1211" t="n">
        <v>1</v>
      </c>
      <c r="G1211" t="inlineStr">
        <is>
          <t>Receipt not entered in Odoo; matches open INV/2026/03560</t>
        </is>
      </c>
      <c r="H1211">
        <f>COUNTIFS('Bank Lines'!$G$5:$G$1640,A1211,'Bank Lines'!$J$5:$J$1640,1)</f>
        <v>1</v>
      </c>
      <c r="I1211">
        <f>COUNTIFS('Odoo Items'!$J$5:$J$4331,A1211)</f>
        <v>0</v>
      </c>
      <c r="J1211" s="9">
        <f>ROUND(SUMIFS('Bank Lines'!$E$5:$E$1640,'Bank Lines'!$G$5:$G$1640,A1211,'Bank Lines'!$J$5:$J$1640,1),2)</f>
        <v>2722.5</v>
      </c>
      <c r="K1211" s="9">
        <f>ROUND(SUMIFS('Odoo Items'!$G$5:$G$4331,'Odoo Items'!$J$5:$J$4331,A1211),2)</f>
        <v>0</v>
      </c>
      <c r="L1211" s="9">
        <f>ROUND(J1211-K1211,2)</f>
        <v>2722.5</v>
      </c>
      <c r="M1211" s="9">
        <f>ROUND(SUMIFS('Bank Lines'!$E$5:$E$1640,'Bank Lines'!$G$5:$G$1640,A1211,'Bank Lines'!$J$5:$J$1640,1,'Bank Lines'!$C$5:$C$1640,"&lt;="&amp;Cover!$C$13),2)</f>
        <v>0</v>
      </c>
      <c r="N1211" s="9">
        <f>ROUND(SUMIFS('Odoo Items'!$G$5:$G$4331,'Odoo Items'!$J$5:$J$4331,A1211,'Odoo Items'!$C$5:$C$4331,"&lt;="&amp;Cover!$C$13),2)</f>
        <v>0</v>
      </c>
      <c r="O1211">
        <f>COUNTIFS('Bank Lines'!$G$5:$G$1640,A1211,'Bank Lines'!$J$5:$J$1640,1,'Bank Lines'!$C$5:$C$1640,"&lt;="&amp;Cover!$C$13)</f>
        <v>0</v>
      </c>
      <c r="P1211">
        <f>COUNTIFS('Odoo Items'!$J$5:$J$4331,A1211,'Odoo Items'!$C$5:$C$4331,"&lt;="&amp;Cover!$C$13)</f>
        <v>0</v>
      </c>
      <c r="Q1211">
        <f>IF(AND(O1211=0,P1211=0),"",IF(O1211=0,"ODOO-ONLY",IF(P1211=0,"BANK-ONLY","BOTH")))</f>
      </c>
      <c r="R1211" s="9">
        <f>IF(Q1211="BOTH",ROUND(M1211-N1211,2),0)</f>
        <v>0</v>
      </c>
      <c r="S1211" s="9">
        <f>ROUND(SUMIFS('Bank Lines'!$E$5:$E$1640,'Bank Lines'!$G$5:$G$1640,A1211,'Bank Lines'!$J$5:$J$1640,1,'Bank Lines'!$C$5:$C$1640,"&lt;="&amp;Cover!$C$14),2)</f>
        <v>0</v>
      </c>
      <c r="T1211" s="9">
        <f>ROUND(SUMIFS('Odoo Items'!$G$5:$G$4331,'Odoo Items'!$J$5:$J$4331,A1211,'Odoo Items'!$C$5:$C$4331,"&lt;="&amp;Cover!$C$14),2)</f>
        <v>0</v>
      </c>
      <c r="U1211">
        <f>COUNTIFS('Bank Lines'!$G$5:$G$1640,A1211,'Bank Lines'!$J$5:$J$1640,1,'Bank Lines'!$C$5:$C$1640,"&lt;="&amp;Cover!$C$14)</f>
        <v>0</v>
      </c>
      <c r="V1211">
        <f>COUNTIFS('Odoo Items'!$J$5:$J$4331,A1211,'Odoo Items'!$C$5:$C$4331,"&lt;="&amp;Cover!$C$14)</f>
        <v>0</v>
      </c>
      <c r="W1211">
        <f>IF(AND(U1211=0,V1211=0),"",IF(U1211=0,"ODOO-ONLY",IF(V1211=0,"BANK-ONLY","BOTH")))</f>
      </c>
      <c r="X1211" s="9">
        <f>IF(W1211="BOTH",ROUND(S1211-T1211,2),0)</f>
        <v>0</v>
      </c>
      <c r="Y1211" s="9">
        <f>ROUND(SUMIFS('Bank Lines'!$E$5:$E$1640,'Bank Lines'!$G$5:$G$1640,A1211,'Bank Lines'!$J$5:$J$1640,1,'Bank Lines'!$C$5:$C$1640,"&lt;="&amp;Cover!$C$15),2)</f>
        <v>2722.5</v>
      </c>
      <c r="Z1211" s="9">
        <f>ROUND(SUMIFS('Odoo Items'!$G$5:$G$4331,'Odoo Items'!$J$5:$J$4331,A1211,'Odoo Items'!$C$5:$C$4331,"&lt;="&amp;Cover!$C$15),2)</f>
        <v>0</v>
      </c>
      <c r="AA1211">
        <f>COUNTIFS('Bank Lines'!$G$5:$G$1640,A1211,'Bank Lines'!$J$5:$J$1640,1,'Bank Lines'!$C$5:$C$1640,"&lt;="&amp;Cover!$C$15)</f>
        <v>1</v>
      </c>
      <c r="AB1211">
        <f>COUNTIFS('Odoo Items'!$J$5:$J$4331,A1211,'Odoo Items'!$C$5:$C$4331,"&lt;="&amp;Cover!$C$15)</f>
        <v>0</v>
      </c>
      <c r="AC1211" t="str">
        <f>IF(AND(AA1211=0,AB1211=0),"",IF(AA1211=0,"ODOO-ONLY",IF(AB1211=0,"BANK-ONLY","BOTH")))</f>
        <v>BANK-ONLY</v>
      </c>
      <c r="AD1211" s="9">
        <f>IF(AC1211="BOTH",ROUND(Y1211-Z1211,2),0)</f>
        <v>0</v>
      </c>
    </row>
    <row r="1212">
      <c r="A1212" t="inlineStr">
        <is>
          <t>G01208</t>
        </is>
      </c>
      <c r="B1212" t="inlineStr">
        <is>
          <t>OPS</t>
        </is>
      </c>
      <c r="C1212" t="inlineStr">
        <is>
          <t>R11</t>
        </is>
      </c>
      <c r="D1212" t="inlineStr">
        <is>
          <t>REG</t>
        </is>
      </c>
      <c r="E1212" t="inlineStr">
        <is>
          <t>Daintree Packaging</t>
        </is>
      </c>
      <c r="F1212" t="n">
        <v>1</v>
      </c>
      <c r="G1212" t="inlineStr">
        <is>
          <t>Receipt not entered in Odoo; matches open INV/2026/03547</t>
        </is>
      </c>
      <c r="H1212">
        <f>COUNTIFS('Bank Lines'!$G$5:$G$1640,A1212,'Bank Lines'!$J$5:$J$1640,1)</f>
        <v>1</v>
      </c>
      <c r="I1212">
        <f>COUNTIFS('Odoo Items'!$J$5:$J$4331,A1212)</f>
        <v>0</v>
      </c>
      <c r="J1212" s="9">
        <f>ROUND(SUMIFS('Bank Lines'!$E$5:$E$1640,'Bank Lines'!$G$5:$G$1640,A1212,'Bank Lines'!$J$5:$J$1640,1),2)</f>
        <v>2722.5</v>
      </c>
      <c r="K1212" s="9">
        <f>ROUND(SUMIFS('Odoo Items'!$G$5:$G$4331,'Odoo Items'!$J$5:$J$4331,A1212),2)</f>
        <v>0</v>
      </c>
      <c r="L1212" s="9">
        <f>ROUND(J1212-K1212,2)</f>
        <v>2722.5</v>
      </c>
      <c r="M1212" s="9">
        <f>ROUND(SUMIFS('Bank Lines'!$E$5:$E$1640,'Bank Lines'!$G$5:$G$1640,A1212,'Bank Lines'!$J$5:$J$1640,1,'Bank Lines'!$C$5:$C$1640,"&lt;="&amp;Cover!$C$13),2)</f>
        <v>0</v>
      </c>
      <c r="N1212" s="9">
        <f>ROUND(SUMIFS('Odoo Items'!$G$5:$G$4331,'Odoo Items'!$J$5:$J$4331,A1212,'Odoo Items'!$C$5:$C$4331,"&lt;="&amp;Cover!$C$13),2)</f>
        <v>0</v>
      </c>
      <c r="O1212">
        <f>COUNTIFS('Bank Lines'!$G$5:$G$1640,A1212,'Bank Lines'!$J$5:$J$1640,1,'Bank Lines'!$C$5:$C$1640,"&lt;="&amp;Cover!$C$13)</f>
        <v>0</v>
      </c>
      <c r="P1212">
        <f>COUNTIFS('Odoo Items'!$J$5:$J$4331,A1212,'Odoo Items'!$C$5:$C$4331,"&lt;="&amp;Cover!$C$13)</f>
        <v>0</v>
      </c>
      <c r="Q1212">
        <f>IF(AND(O1212=0,P1212=0),"",IF(O1212=0,"ODOO-ONLY",IF(P1212=0,"BANK-ONLY","BOTH")))</f>
      </c>
      <c r="R1212" s="9">
        <f>IF(Q1212="BOTH",ROUND(M1212-N1212,2),0)</f>
        <v>0</v>
      </c>
      <c r="S1212" s="9">
        <f>ROUND(SUMIFS('Bank Lines'!$E$5:$E$1640,'Bank Lines'!$G$5:$G$1640,A1212,'Bank Lines'!$J$5:$J$1640,1,'Bank Lines'!$C$5:$C$1640,"&lt;="&amp;Cover!$C$14),2)</f>
        <v>0</v>
      </c>
      <c r="T1212" s="9">
        <f>ROUND(SUMIFS('Odoo Items'!$G$5:$G$4331,'Odoo Items'!$J$5:$J$4331,A1212,'Odoo Items'!$C$5:$C$4331,"&lt;="&amp;Cover!$C$14),2)</f>
        <v>0</v>
      </c>
      <c r="U1212">
        <f>COUNTIFS('Bank Lines'!$G$5:$G$1640,A1212,'Bank Lines'!$J$5:$J$1640,1,'Bank Lines'!$C$5:$C$1640,"&lt;="&amp;Cover!$C$14)</f>
        <v>0</v>
      </c>
      <c r="V1212">
        <f>COUNTIFS('Odoo Items'!$J$5:$J$4331,A1212,'Odoo Items'!$C$5:$C$4331,"&lt;="&amp;Cover!$C$14)</f>
        <v>0</v>
      </c>
      <c r="W1212">
        <f>IF(AND(U1212=0,V1212=0),"",IF(U1212=0,"ODOO-ONLY",IF(V1212=0,"BANK-ONLY","BOTH")))</f>
      </c>
      <c r="X1212" s="9">
        <f>IF(W1212="BOTH",ROUND(S1212-T1212,2),0)</f>
        <v>0</v>
      </c>
      <c r="Y1212" s="9">
        <f>ROUND(SUMIFS('Bank Lines'!$E$5:$E$1640,'Bank Lines'!$G$5:$G$1640,A1212,'Bank Lines'!$J$5:$J$1640,1,'Bank Lines'!$C$5:$C$1640,"&lt;="&amp;Cover!$C$15),2)</f>
        <v>2722.5</v>
      </c>
      <c r="Z1212" s="9">
        <f>ROUND(SUMIFS('Odoo Items'!$G$5:$G$4331,'Odoo Items'!$J$5:$J$4331,A1212,'Odoo Items'!$C$5:$C$4331,"&lt;="&amp;Cover!$C$15),2)</f>
        <v>0</v>
      </c>
      <c r="AA1212">
        <f>COUNTIFS('Bank Lines'!$G$5:$G$1640,A1212,'Bank Lines'!$J$5:$J$1640,1,'Bank Lines'!$C$5:$C$1640,"&lt;="&amp;Cover!$C$15)</f>
        <v>1</v>
      </c>
      <c r="AB1212">
        <f>COUNTIFS('Odoo Items'!$J$5:$J$4331,A1212,'Odoo Items'!$C$5:$C$4331,"&lt;="&amp;Cover!$C$15)</f>
        <v>0</v>
      </c>
      <c r="AC1212" t="str">
        <f>IF(AND(AA1212=0,AB1212=0),"",IF(AA1212=0,"ODOO-ONLY",IF(AB1212=0,"BANK-ONLY","BOTH")))</f>
        <v>BANK-ONLY</v>
      </c>
      <c r="AD1212" s="9">
        <f>IF(AC1212="BOTH",ROUND(Y1212-Z1212,2),0)</f>
        <v>0</v>
      </c>
    </row>
    <row r="1213">
      <c r="A1213" t="inlineStr">
        <is>
          <t>G01209</t>
        </is>
      </c>
      <c r="B1213" t="inlineStr">
        <is>
          <t>OPS</t>
        </is>
      </c>
      <c r="C1213" t="inlineStr">
        <is>
          <t>R12</t>
        </is>
      </c>
      <c r="D1213" t="inlineStr">
        <is>
          <t>FEE</t>
        </is>
      </c>
      <c r="E1213" t="inlineStr"/>
      <c r="G1213" t="inlineStr"/>
      <c r="H1213">
        <f>COUNTIFS('Bank Lines'!$G$5:$G$1640,A1213,'Bank Lines'!$J$5:$J$1640,1)</f>
        <v>1</v>
      </c>
      <c r="I1213">
        <f>COUNTIFS('Odoo Items'!$J$5:$J$4331,A1213)</f>
        <v>0</v>
      </c>
      <c r="J1213" s="9">
        <f>ROUND(SUMIFS('Bank Lines'!$E$5:$E$1640,'Bank Lines'!$G$5:$G$1640,A1213,'Bank Lines'!$J$5:$J$1640,1),2)</f>
        <v>-30</v>
      </c>
      <c r="K1213" s="9">
        <f>ROUND(SUMIFS('Odoo Items'!$G$5:$G$4331,'Odoo Items'!$J$5:$J$4331,A1213),2)</f>
        <v>0</v>
      </c>
      <c r="L1213" s="9">
        <f>ROUND(J1213-K1213,2)</f>
        <v>-30</v>
      </c>
      <c r="M1213" s="9">
        <f>ROUND(SUMIFS('Bank Lines'!$E$5:$E$1640,'Bank Lines'!$G$5:$G$1640,A1213,'Bank Lines'!$J$5:$J$1640,1,'Bank Lines'!$C$5:$C$1640,"&lt;="&amp;Cover!$C$13),2)</f>
        <v>-30</v>
      </c>
      <c r="N1213" s="9">
        <f>ROUND(SUMIFS('Odoo Items'!$G$5:$G$4331,'Odoo Items'!$J$5:$J$4331,A1213,'Odoo Items'!$C$5:$C$4331,"&lt;="&amp;Cover!$C$13),2)</f>
        <v>0</v>
      </c>
      <c r="O1213">
        <f>COUNTIFS('Bank Lines'!$G$5:$G$1640,A1213,'Bank Lines'!$J$5:$J$1640,1,'Bank Lines'!$C$5:$C$1640,"&lt;="&amp;Cover!$C$13)</f>
        <v>1</v>
      </c>
      <c r="P1213">
        <f>COUNTIFS('Odoo Items'!$J$5:$J$4331,A1213,'Odoo Items'!$C$5:$C$4331,"&lt;="&amp;Cover!$C$13)</f>
        <v>0</v>
      </c>
      <c r="Q1213" t="str">
        <f>IF(AND(O1213=0,P1213=0),"",IF(O1213=0,"ODOO-ONLY",IF(P1213=0,"BANK-ONLY","BOTH")))</f>
        <v>BANK-ONLY</v>
      </c>
      <c r="R1213" s="9">
        <f>IF(Q1213="BOTH",ROUND(M1213-N1213,2),0)</f>
        <v>0</v>
      </c>
      <c r="S1213" s="9">
        <f>ROUND(SUMIFS('Bank Lines'!$E$5:$E$1640,'Bank Lines'!$G$5:$G$1640,A1213,'Bank Lines'!$J$5:$J$1640,1,'Bank Lines'!$C$5:$C$1640,"&lt;="&amp;Cover!$C$14),2)</f>
        <v>-30</v>
      </c>
      <c r="T1213" s="9">
        <f>ROUND(SUMIFS('Odoo Items'!$G$5:$G$4331,'Odoo Items'!$J$5:$J$4331,A1213,'Odoo Items'!$C$5:$C$4331,"&lt;="&amp;Cover!$C$14),2)</f>
        <v>0</v>
      </c>
      <c r="U1213">
        <f>COUNTIFS('Bank Lines'!$G$5:$G$1640,A1213,'Bank Lines'!$J$5:$J$1640,1,'Bank Lines'!$C$5:$C$1640,"&lt;="&amp;Cover!$C$14)</f>
        <v>1</v>
      </c>
      <c r="V1213">
        <f>COUNTIFS('Odoo Items'!$J$5:$J$4331,A1213,'Odoo Items'!$C$5:$C$4331,"&lt;="&amp;Cover!$C$14)</f>
        <v>0</v>
      </c>
      <c r="W1213" t="str">
        <f>IF(AND(U1213=0,V1213=0),"",IF(U1213=0,"ODOO-ONLY",IF(V1213=0,"BANK-ONLY","BOTH")))</f>
        <v>BANK-ONLY</v>
      </c>
      <c r="X1213" s="9">
        <f>IF(W1213="BOTH",ROUND(S1213-T1213,2),0)</f>
        <v>0</v>
      </c>
      <c r="Y1213" s="9">
        <f>ROUND(SUMIFS('Bank Lines'!$E$5:$E$1640,'Bank Lines'!$G$5:$G$1640,A1213,'Bank Lines'!$J$5:$J$1640,1,'Bank Lines'!$C$5:$C$1640,"&lt;="&amp;Cover!$C$15),2)</f>
        <v>-30</v>
      </c>
      <c r="Z1213" s="9">
        <f>ROUND(SUMIFS('Odoo Items'!$G$5:$G$4331,'Odoo Items'!$J$5:$J$4331,A1213,'Odoo Items'!$C$5:$C$4331,"&lt;="&amp;Cover!$C$15),2)</f>
        <v>0</v>
      </c>
      <c r="AA1213">
        <f>COUNTIFS('Bank Lines'!$G$5:$G$1640,A1213,'Bank Lines'!$J$5:$J$1640,1,'Bank Lines'!$C$5:$C$1640,"&lt;="&amp;Cover!$C$15)</f>
        <v>1</v>
      </c>
      <c r="AB1213">
        <f>COUNTIFS('Odoo Items'!$J$5:$J$4331,A1213,'Odoo Items'!$C$5:$C$4331,"&lt;="&amp;Cover!$C$15)</f>
        <v>0</v>
      </c>
      <c r="AC1213" t="str">
        <f>IF(AND(AA1213=0,AB1213=0),"",IF(AA1213=0,"ODOO-ONLY",IF(AB1213=0,"BANK-ONLY","BOTH")))</f>
        <v>BANK-ONLY</v>
      </c>
      <c r="AD1213" s="9">
        <f>IF(AC1213="BOTH",ROUND(Y1213-Z1213,2),0)</f>
        <v>0</v>
      </c>
    </row>
    <row r="1214">
      <c r="A1214" t="inlineStr">
        <is>
          <t>G01210</t>
        </is>
      </c>
      <c r="B1214" t="inlineStr">
        <is>
          <t>OPS</t>
        </is>
      </c>
      <c r="C1214" t="inlineStr">
        <is>
          <t>R12</t>
        </is>
      </c>
      <c r="D1214" t="inlineStr">
        <is>
          <t>FEE</t>
        </is>
      </c>
      <c r="E1214" t="inlineStr"/>
      <c r="G1214" t="inlineStr"/>
      <c r="H1214">
        <f>COUNTIFS('Bank Lines'!$G$5:$G$1640,A1214,'Bank Lines'!$J$5:$J$1640,1)</f>
        <v>1</v>
      </c>
      <c r="I1214">
        <f>COUNTIFS('Odoo Items'!$J$5:$J$4331,A1214)</f>
        <v>0</v>
      </c>
      <c r="J1214" s="9">
        <f>ROUND(SUMIFS('Bank Lines'!$E$5:$E$1640,'Bank Lines'!$G$5:$G$1640,A1214,'Bank Lines'!$J$5:$J$1640,1),2)</f>
        <v>-54.15</v>
      </c>
      <c r="K1214" s="9">
        <f>ROUND(SUMIFS('Odoo Items'!$G$5:$G$4331,'Odoo Items'!$J$5:$J$4331,A1214),2)</f>
        <v>0</v>
      </c>
      <c r="L1214" s="9">
        <f>ROUND(J1214-K1214,2)</f>
        <v>-54.15</v>
      </c>
      <c r="M1214" s="9">
        <f>ROUND(SUMIFS('Bank Lines'!$E$5:$E$1640,'Bank Lines'!$G$5:$G$1640,A1214,'Bank Lines'!$J$5:$J$1640,1,'Bank Lines'!$C$5:$C$1640,"&lt;="&amp;Cover!$C$13),2)</f>
        <v>-54.15</v>
      </c>
      <c r="N1214" s="9">
        <f>ROUND(SUMIFS('Odoo Items'!$G$5:$G$4331,'Odoo Items'!$J$5:$J$4331,A1214,'Odoo Items'!$C$5:$C$4331,"&lt;="&amp;Cover!$C$13),2)</f>
        <v>0</v>
      </c>
      <c r="O1214">
        <f>COUNTIFS('Bank Lines'!$G$5:$G$1640,A1214,'Bank Lines'!$J$5:$J$1640,1,'Bank Lines'!$C$5:$C$1640,"&lt;="&amp;Cover!$C$13)</f>
        <v>1</v>
      </c>
      <c r="P1214">
        <f>COUNTIFS('Odoo Items'!$J$5:$J$4331,A1214,'Odoo Items'!$C$5:$C$4331,"&lt;="&amp;Cover!$C$13)</f>
        <v>0</v>
      </c>
      <c r="Q1214" t="str">
        <f>IF(AND(O1214=0,P1214=0),"",IF(O1214=0,"ODOO-ONLY",IF(P1214=0,"BANK-ONLY","BOTH")))</f>
        <v>BANK-ONLY</v>
      </c>
      <c r="R1214" s="9">
        <f>IF(Q1214="BOTH",ROUND(M1214-N1214,2),0)</f>
        <v>0</v>
      </c>
      <c r="S1214" s="9">
        <f>ROUND(SUMIFS('Bank Lines'!$E$5:$E$1640,'Bank Lines'!$G$5:$G$1640,A1214,'Bank Lines'!$J$5:$J$1640,1,'Bank Lines'!$C$5:$C$1640,"&lt;="&amp;Cover!$C$14),2)</f>
        <v>-54.15</v>
      </c>
      <c r="T1214" s="9">
        <f>ROUND(SUMIFS('Odoo Items'!$G$5:$G$4331,'Odoo Items'!$J$5:$J$4331,A1214,'Odoo Items'!$C$5:$C$4331,"&lt;="&amp;Cover!$C$14),2)</f>
        <v>0</v>
      </c>
      <c r="U1214">
        <f>COUNTIFS('Bank Lines'!$G$5:$G$1640,A1214,'Bank Lines'!$J$5:$J$1640,1,'Bank Lines'!$C$5:$C$1640,"&lt;="&amp;Cover!$C$14)</f>
        <v>1</v>
      </c>
      <c r="V1214">
        <f>COUNTIFS('Odoo Items'!$J$5:$J$4331,A1214,'Odoo Items'!$C$5:$C$4331,"&lt;="&amp;Cover!$C$14)</f>
        <v>0</v>
      </c>
      <c r="W1214" t="str">
        <f>IF(AND(U1214=0,V1214=0),"",IF(U1214=0,"ODOO-ONLY",IF(V1214=0,"BANK-ONLY","BOTH")))</f>
        <v>BANK-ONLY</v>
      </c>
      <c r="X1214" s="9">
        <f>IF(W1214="BOTH",ROUND(S1214-T1214,2),0)</f>
        <v>0</v>
      </c>
      <c r="Y1214" s="9">
        <f>ROUND(SUMIFS('Bank Lines'!$E$5:$E$1640,'Bank Lines'!$G$5:$G$1640,A1214,'Bank Lines'!$J$5:$J$1640,1,'Bank Lines'!$C$5:$C$1640,"&lt;="&amp;Cover!$C$15),2)</f>
        <v>-54.15</v>
      </c>
      <c r="Z1214" s="9">
        <f>ROUND(SUMIFS('Odoo Items'!$G$5:$G$4331,'Odoo Items'!$J$5:$J$4331,A1214,'Odoo Items'!$C$5:$C$4331,"&lt;="&amp;Cover!$C$15),2)</f>
        <v>0</v>
      </c>
      <c r="AA1214">
        <f>COUNTIFS('Bank Lines'!$G$5:$G$1640,A1214,'Bank Lines'!$J$5:$J$1640,1,'Bank Lines'!$C$5:$C$1640,"&lt;="&amp;Cover!$C$15)</f>
        <v>1</v>
      </c>
      <c r="AB1214">
        <f>COUNTIFS('Odoo Items'!$J$5:$J$4331,A1214,'Odoo Items'!$C$5:$C$4331,"&lt;="&amp;Cover!$C$15)</f>
        <v>0</v>
      </c>
      <c r="AC1214" t="str">
        <f>IF(AND(AA1214=0,AB1214=0),"",IF(AA1214=0,"ODOO-ONLY",IF(AB1214=0,"BANK-ONLY","BOTH")))</f>
        <v>BANK-ONLY</v>
      </c>
      <c r="AD1214" s="9">
        <f>IF(AC1214="BOTH",ROUND(Y1214-Z1214,2),0)</f>
        <v>0</v>
      </c>
    </row>
    <row r="1215">
      <c r="A1215" t="inlineStr">
        <is>
          <t>G01211</t>
        </is>
      </c>
      <c r="B1215" t="inlineStr">
        <is>
          <t>OPS</t>
        </is>
      </c>
      <c r="C1215" t="inlineStr">
        <is>
          <t>R12</t>
        </is>
      </c>
      <c r="D1215" t="inlineStr">
        <is>
          <t>INT</t>
        </is>
      </c>
      <c r="E1215" t="inlineStr"/>
      <c r="G1215" t="inlineStr"/>
      <c r="H1215">
        <f>COUNTIFS('Bank Lines'!$G$5:$G$1640,A1215,'Bank Lines'!$J$5:$J$1640,1)</f>
        <v>1</v>
      </c>
      <c r="I1215">
        <f>COUNTIFS('Odoo Items'!$J$5:$J$4331,A1215)</f>
        <v>0</v>
      </c>
      <c r="J1215" s="9">
        <f>ROUND(SUMIFS('Bank Lines'!$E$5:$E$1640,'Bank Lines'!$G$5:$G$1640,A1215,'Bank Lines'!$J$5:$J$1640,1),2)</f>
        <v>383.96</v>
      </c>
      <c r="K1215" s="9">
        <f>ROUND(SUMIFS('Odoo Items'!$G$5:$G$4331,'Odoo Items'!$J$5:$J$4331,A1215),2)</f>
        <v>0</v>
      </c>
      <c r="L1215" s="9">
        <f>ROUND(J1215-K1215,2)</f>
        <v>383.96</v>
      </c>
      <c r="M1215" s="9">
        <f>ROUND(SUMIFS('Bank Lines'!$E$5:$E$1640,'Bank Lines'!$G$5:$G$1640,A1215,'Bank Lines'!$J$5:$J$1640,1,'Bank Lines'!$C$5:$C$1640,"&lt;="&amp;Cover!$C$13),2)</f>
        <v>383.96</v>
      </c>
      <c r="N1215" s="9">
        <f>ROUND(SUMIFS('Odoo Items'!$G$5:$G$4331,'Odoo Items'!$J$5:$J$4331,A1215,'Odoo Items'!$C$5:$C$4331,"&lt;="&amp;Cover!$C$13),2)</f>
        <v>0</v>
      </c>
      <c r="O1215">
        <f>COUNTIFS('Bank Lines'!$G$5:$G$1640,A1215,'Bank Lines'!$J$5:$J$1640,1,'Bank Lines'!$C$5:$C$1640,"&lt;="&amp;Cover!$C$13)</f>
        <v>1</v>
      </c>
      <c r="P1215">
        <f>COUNTIFS('Odoo Items'!$J$5:$J$4331,A1215,'Odoo Items'!$C$5:$C$4331,"&lt;="&amp;Cover!$C$13)</f>
        <v>0</v>
      </c>
      <c r="Q1215" t="str">
        <f>IF(AND(O1215=0,P1215=0),"",IF(O1215=0,"ODOO-ONLY",IF(P1215=0,"BANK-ONLY","BOTH")))</f>
        <v>BANK-ONLY</v>
      </c>
      <c r="R1215" s="9">
        <f>IF(Q1215="BOTH",ROUND(M1215-N1215,2),0)</f>
        <v>0</v>
      </c>
      <c r="S1215" s="9">
        <f>ROUND(SUMIFS('Bank Lines'!$E$5:$E$1640,'Bank Lines'!$G$5:$G$1640,A1215,'Bank Lines'!$J$5:$J$1640,1,'Bank Lines'!$C$5:$C$1640,"&lt;="&amp;Cover!$C$14),2)</f>
        <v>383.96</v>
      </c>
      <c r="T1215" s="9">
        <f>ROUND(SUMIFS('Odoo Items'!$G$5:$G$4331,'Odoo Items'!$J$5:$J$4331,A1215,'Odoo Items'!$C$5:$C$4331,"&lt;="&amp;Cover!$C$14),2)</f>
        <v>0</v>
      </c>
      <c r="U1215">
        <f>COUNTIFS('Bank Lines'!$G$5:$G$1640,A1215,'Bank Lines'!$J$5:$J$1640,1,'Bank Lines'!$C$5:$C$1640,"&lt;="&amp;Cover!$C$14)</f>
        <v>1</v>
      </c>
      <c r="V1215">
        <f>COUNTIFS('Odoo Items'!$J$5:$J$4331,A1215,'Odoo Items'!$C$5:$C$4331,"&lt;="&amp;Cover!$C$14)</f>
        <v>0</v>
      </c>
      <c r="W1215" t="str">
        <f>IF(AND(U1215=0,V1215=0),"",IF(U1215=0,"ODOO-ONLY",IF(V1215=0,"BANK-ONLY","BOTH")))</f>
        <v>BANK-ONLY</v>
      </c>
      <c r="X1215" s="9">
        <f>IF(W1215="BOTH",ROUND(S1215-T1215,2),0)</f>
        <v>0</v>
      </c>
      <c r="Y1215" s="9">
        <f>ROUND(SUMIFS('Bank Lines'!$E$5:$E$1640,'Bank Lines'!$G$5:$G$1640,A1215,'Bank Lines'!$J$5:$J$1640,1,'Bank Lines'!$C$5:$C$1640,"&lt;="&amp;Cover!$C$15),2)</f>
        <v>383.96</v>
      </c>
      <c r="Z1215" s="9">
        <f>ROUND(SUMIFS('Odoo Items'!$G$5:$G$4331,'Odoo Items'!$J$5:$J$4331,A1215,'Odoo Items'!$C$5:$C$4331,"&lt;="&amp;Cover!$C$15),2)</f>
        <v>0</v>
      </c>
      <c r="AA1215">
        <f>COUNTIFS('Bank Lines'!$G$5:$G$1640,A1215,'Bank Lines'!$J$5:$J$1640,1,'Bank Lines'!$C$5:$C$1640,"&lt;="&amp;Cover!$C$15)</f>
        <v>1</v>
      </c>
      <c r="AB1215">
        <f>COUNTIFS('Odoo Items'!$J$5:$J$4331,A1215,'Odoo Items'!$C$5:$C$4331,"&lt;="&amp;Cover!$C$15)</f>
        <v>0</v>
      </c>
      <c r="AC1215" t="str">
        <f>IF(AND(AA1215=0,AB1215=0),"",IF(AA1215=0,"ODOO-ONLY",IF(AB1215=0,"BANK-ONLY","BOTH")))</f>
        <v>BANK-ONLY</v>
      </c>
      <c r="AD1215" s="9">
        <f>IF(AC1215="BOTH",ROUND(Y1215-Z1215,2),0)</f>
        <v>0</v>
      </c>
    </row>
    <row r="1216">
      <c r="A1216" t="inlineStr">
        <is>
          <t>G01212</t>
        </is>
      </c>
      <c r="B1216" t="inlineStr">
        <is>
          <t>OPS</t>
        </is>
      </c>
      <c r="C1216" t="inlineStr">
        <is>
          <t>R12</t>
        </is>
      </c>
      <c r="D1216" t="inlineStr">
        <is>
          <t>RETPAY</t>
        </is>
      </c>
      <c r="E1216" t="inlineStr"/>
      <c r="G1216" t="inlineStr">
        <is>
          <t>Payment to Paperline Stationery Pty returned from ABA batch 0416 (BILL/2026/0889); bank details wrong</t>
        </is>
      </c>
      <c r="H1216">
        <f>COUNTIFS('Bank Lines'!$G$5:$G$1640,A1216,'Bank Lines'!$J$5:$J$1640,1)</f>
        <v>1</v>
      </c>
      <c r="I1216">
        <f>COUNTIFS('Odoo Items'!$J$5:$J$4331,A1216)</f>
        <v>0</v>
      </c>
      <c r="J1216" s="9">
        <f>ROUND(SUMIFS('Bank Lines'!$E$5:$E$1640,'Bank Lines'!$G$5:$G$1640,A1216,'Bank Lines'!$J$5:$J$1640,1),2)</f>
        <v>5952.1</v>
      </c>
      <c r="K1216" s="9">
        <f>ROUND(SUMIFS('Odoo Items'!$G$5:$G$4331,'Odoo Items'!$J$5:$J$4331,A1216),2)</f>
        <v>0</v>
      </c>
      <c r="L1216" s="9">
        <f>ROUND(J1216-K1216,2)</f>
        <v>5952.1</v>
      </c>
      <c r="M1216" s="9">
        <f>ROUND(SUMIFS('Bank Lines'!$E$5:$E$1640,'Bank Lines'!$G$5:$G$1640,A1216,'Bank Lines'!$J$5:$J$1640,1,'Bank Lines'!$C$5:$C$1640,"&lt;="&amp;Cover!$C$13),2)</f>
        <v>0</v>
      </c>
      <c r="N1216" s="9">
        <f>ROUND(SUMIFS('Odoo Items'!$G$5:$G$4331,'Odoo Items'!$J$5:$J$4331,A1216,'Odoo Items'!$C$5:$C$4331,"&lt;="&amp;Cover!$C$13),2)</f>
        <v>0</v>
      </c>
      <c r="O1216">
        <f>COUNTIFS('Bank Lines'!$G$5:$G$1640,A1216,'Bank Lines'!$J$5:$J$1640,1,'Bank Lines'!$C$5:$C$1640,"&lt;="&amp;Cover!$C$13)</f>
        <v>0</v>
      </c>
      <c r="P1216">
        <f>COUNTIFS('Odoo Items'!$J$5:$J$4331,A1216,'Odoo Items'!$C$5:$C$4331,"&lt;="&amp;Cover!$C$13)</f>
        <v>0</v>
      </c>
      <c r="Q1216">
        <f>IF(AND(O1216=0,P1216=0),"",IF(O1216=0,"ODOO-ONLY",IF(P1216=0,"BANK-ONLY","BOTH")))</f>
      </c>
      <c r="R1216" s="9">
        <f>IF(Q1216="BOTH",ROUND(M1216-N1216,2),0)</f>
        <v>0</v>
      </c>
      <c r="S1216" s="9">
        <f>ROUND(SUMIFS('Bank Lines'!$E$5:$E$1640,'Bank Lines'!$G$5:$G$1640,A1216,'Bank Lines'!$J$5:$J$1640,1,'Bank Lines'!$C$5:$C$1640,"&lt;="&amp;Cover!$C$14),2)</f>
        <v>5952.1</v>
      </c>
      <c r="T1216" s="9">
        <f>ROUND(SUMIFS('Odoo Items'!$G$5:$G$4331,'Odoo Items'!$J$5:$J$4331,A1216,'Odoo Items'!$C$5:$C$4331,"&lt;="&amp;Cover!$C$14),2)</f>
        <v>0</v>
      </c>
      <c r="U1216">
        <f>COUNTIFS('Bank Lines'!$G$5:$G$1640,A1216,'Bank Lines'!$J$5:$J$1640,1,'Bank Lines'!$C$5:$C$1640,"&lt;="&amp;Cover!$C$14)</f>
        <v>1</v>
      </c>
      <c r="V1216">
        <f>COUNTIFS('Odoo Items'!$J$5:$J$4331,A1216,'Odoo Items'!$C$5:$C$4331,"&lt;="&amp;Cover!$C$14)</f>
        <v>0</v>
      </c>
      <c r="W1216" t="str">
        <f>IF(AND(U1216=0,V1216=0),"",IF(U1216=0,"ODOO-ONLY",IF(V1216=0,"BANK-ONLY","BOTH")))</f>
        <v>BANK-ONLY</v>
      </c>
      <c r="X1216" s="9">
        <f>IF(W1216="BOTH",ROUND(S1216-T1216,2),0)</f>
        <v>0</v>
      </c>
      <c r="Y1216" s="9">
        <f>ROUND(SUMIFS('Bank Lines'!$E$5:$E$1640,'Bank Lines'!$G$5:$G$1640,A1216,'Bank Lines'!$J$5:$J$1640,1,'Bank Lines'!$C$5:$C$1640,"&lt;="&amp;Cover!$C$15),2)</f>
        <v>5952.1</v>
      </c>
      <c r="Z1216" s="9">
        <f>ROUND(SUMIFS('Odoo Items'!$G$5:$G$4331,'Odoo Items'!$J$5:$J$4331,A1216,'Odoo Items'!$C$5:$C$4331,"&lt;="&amp;Cover!$C$15),2)</f>
        <v>0</v>
      </c>
      <c r="AA1216">
        <f>COUNTIFS('Bank Lines'!$G$5:$G$1640,A1216,'Bank Lines'!$J$5:$J$1640,1,'Bank Lines'!$C$5:$C$1640,"&lt;="&amp;Cover!$C$15)</f>
        <v>1</v>
      </c>
      <c r="AB1216">
        <f>COUNTIFS('Odoo Items'!$J$5:$J$4331,A1216,'Odoo Items'!$C$5:$C$4331,"&lt;="&amp;Cover!$C$15)</f>
        <v>0</v>
      </c>
      <c r="AC1216" t="str">
        <f>IF(AND(AA1216=0,AB1216=0),"",IF(AA1216=0,"ODOO-ONLY",IF(AB1216=0,"BANK-ONLY","BOTH")))</f>
        <v>BANK-ONLY</v>
      </c>
      <c r="AD1216" s="9">
        <f>IF(AC1216="BOTH",ROUND(Y1216-Z1216,2),0)</f>
        <v>0</v>
      </c>
    </row>
    <row r="1217">
      <c r="A1217" t="inlineStr">
        <is>
          <t>G01213</t>
        </is>
      </c>
      <c r="B1217" t="inlineStr">
        <is>
          <t>OPS</t>
        </is>
      </c>
      <c r="C1217" t="inlineStr">
        <is>
          <t>R12</t>
        </is>
      </c>
      <c r="D1217" t="inlineStr">
        <is>
          <t>FEE</t>
        </is>
      </c>
      <c r="E1217" t="inlineStr"/>
      <c r="G1217" t="inlineStr"/>
      <c r="H1217">
        <f>COUNTIFS('Bank Lines'!$G$5:$G$1640,A1217,'Bank Lines'!$J$5:$J$1640,1)</f>
        <v>1</v>
      </c>
      <c r="I1217">
        <f>COUNTIFS('Odoo Items'!$J$5:$J$4331,A1217)</f>
        <v>0</v>
      </c>
      <c r="J1217" s="9">
        <f>ROUND(SUMIFS('Bank Lines'!$E$5:$E$1640,'Bank Lines'!$G$5:$G$1640,A1217,'Bank Lines'!$J$5:$J$1640,1),2)</f>
        <v>-30</v>
      </c>
      <c r="K1217" s="9">
        <f>ROUND(SUMIFS('Odoo Items'!$G$5:$G$4331,'Odoo Items'!$J$5:$J$4331,A1217),2)</f>
        <v>0</v>
      </c>
      <c r="L1217" s="9">
        <f>ROUND(J1217-K1217,2)</f>
        <v>-30</v>
      </c>
      <c r="M1217" s="9">
        <f>ROUND(SUMIFS('Bank Lines'!$E$5:$E$1640,'Bank Lines'!$G$5:$G$1640,A1217,'Bank Lines'!$J$5:$J$1640,1,'Bank Lines'!$C$5:$C$1640,"&lt;="&amp;Cover!$C$13),2)</f>
        <v>0</v>
      </c>
      <c r="N1217" s="9">
        <f>ROUND(SUMIFS('Odoo Items'!$G$5:$G$4331,'Odoo Items'!$J$5:$J$4331,A1217,'Odoo Items'!$C$5:$C$4331,"&lt;="&amp;Cover!$C$13),2)</f>
        <v>0</v>
      </c>
      <c r="O1217">
        <f>COUNTIFS('Bank Lines'!$G$5:$G$1640,A1217,'Bank Lines'!$J$5:$J$1640,1,'Bank Lines'!$C$5:$C$1640,"&lt;="&amp;Cover!$C$13)</f>
        <v>0</v>
      </c>
      <c r="P1217">
        <f>COUNTIFS('Odoo Items'!$J$5:$J$4331,A1217,'Odoo Items'!$C$5:$C$4331,"&lt;="&amp;Cover!$C$13)</f>
        <v>0</v>
      </c>
      <c r="Q1217">
        <f>IF(AND(O1217=0,P1217=0),"",IF(O1217=0,"ODOO-ONLY",IF(P1217=0,"BANK-ONLY","BOTH")))</f>
      </c>
      <c r="R1217" s="9">
        <f>IF(Q1217="BOTH",ROUND(M1217-N1217,2),0)</f>
        <v>0</v>
      </c>
      <c r="S1217" s="9">
        <f>ROUND(SUMIFS('Bank Lines'!$E$5:$E$1640,'Bank Lines'!$G$5:$G$1640,A1217,'Bank Lines'!$J$5:$J$1640,1,'Bank Lines'!$C$5:$C$1640,"&lt;="&amp;Cover!$C$14),2)</f>
        <v>-30</v>
      </c>
      <c r="T1217" s="9">
        <f>ROUND(SUMIFS('Odoo Items'!$G$5:$G$4331,'Odoo Items'!$J$5:$J$4331,A1217,'Odoo Items'!$C$5:$C$4331,"&lt;="&amp;Cover!$C$14),2)</f>
        <v>0</v>
      </c>
      <c r="U1217">
        <f>COUNTIFS('Bank Lines'!$G$5:$G$1640,A1217,'Bank Lines'!$J$5:$J$1640,1,'Bank Lines'!$C$5:$C$1640,"&lt;="&amp;Cover!$C$14)</f>
        <v>1</v>
      </c>
      <c r="V1217">
        <f>COUNTIFS('Odoo Items'!$J$5:$J$4331,A1217,'Odoo Items'!$C$5:$C$4331,"&lt;="&amp;Cover!$C$14)</f>
        <v>0</v>
      </c>
      <c r="W1217" t="str">
        <f>IF(AND(U1217=0,V1217=0),"",IF(U1217=0,"ODOO-ONLY",IF(V1217=0,"BANK-ONLY","BOTH")))</f>
        <v>BANK-ONLY</v>
      </c>
      <c r="X1217" s="9">
        <f>IF(W1217="BOTH",ROUND(S1217-T1217,2),0)</f>
        <v>0</v>
      </c>
      <c r="Y1217" s="9">
        <f>ROUND(SUMIFS('Bank Lines'!$E$5:$E$1640,'Bank Lines'!$G$5:$G$1640,A1217,'Bank Lines'!$J$5:$J$1640,1,'Bank Lines'!$C$5:$C$1640,"&lt;="&amp;Cover!$C$15),2)</f>
        <v>-30</v>
      </c>
      <c r="Z1217" s="9">
        <f>ROUND(SUMIFS('Odoo Items'!$G$5:$G$4331,'Odoo Items'!$J$5:$J$4331,A1217,'Odoo Items'!$C$5:$C$4331,"&lt;="&amp;Cover!$C$15),2)</f>
        <v>0</v>
      </c>
      <c r="AA1217">
        <f>COUNTIFS('Bank Lines'!$G$5:$G$1640,A1217,'Bank Lines'!$J$5:$J$1640,1,'Bank Lines'!$C$5:$C$1640,"&lt;="&amp;Cover!$C$15)</f>
        <v>1</v>
      </c>
      <c r="AB1217">
        <f>COUNTIFS('Odoo Items'!$J$5:$J$4331,A1217,'Odoo Items'!$C$5:$C$4331,"&lt;="&amp;Cover!$C$15)</f>
        <v>0</v>
      </c>
      <c r="AC1217" t="str">
        <f>IF(AND(AA1217=0,AB1217=0),"",IF(AA1217=0,"ODOO-ONLY",IF(AB1217=0,"BANK-ONLY","BOTH")))</f>
        <v>BANK-ONLY</v>
      </c>
      <c r="AD1217" s="9">
        <f>IF(AC1217="BOTH",ROUND(Y1217-Z1217,2),0)</f>
        <v>0</v>
      </c>
    </row>
    <row r="1218">
      <c r="A1218" t="inlineStr">
        <is>
          <t>G01214</t>
        </is>
      </c>
      <c r="B1218" t="inlineStr">
        <is>
          <t>OPS</t>
        </is>
      </c>
      <c r="C1218" t="inlineStr">
        <is>
          <t>R12</t>
        </is>
      </c>
      <c r="D1218" t="inlineStr">
        <is>
          <t>FEE</t>
        </is>
      </c>
      <c r="E1218" t="inlineStr"/>
      <c r="G1218" t="inlineStr"/>
      <c r="H1218">
        <f>COUNTIFS('Bank Lines'!$G$5:$G$1640,A1218,'Bank Lines'!$J$5:$J$1640,1)</f>
        <v>1</v>
      </c>
      <c r="I1218">
        <f>COUNTIFS('Odoo Items'!$J$5:$J$4331,A1218)</f>
        <v>0</v>
      </c>
      <c r="J1218" s="9">
        <f>ROUND(SUMIFS('Bank Lines'!$E$5:$E$1640,'Bank Lines'!$G$5:$G$1640,A1218,'Bank Lines'!$J$5:$J$1640,1),2)</f>
        <v>-62.82</v>
      </c>
      <c r="K1218" s="9">
        <f>ROUND(SUMIFS('Odoo Items'!$G$5:$G$4331,'Odoo Items'!$J$5:$J$4331,A1218),2)</f>
        <v>0</v>
      </c>
      <c r="L1218" s="9">
        <f>ROUND(J1218-K1218,2)</f>
        <v>-62.82</v>
      </c>
      <c r="M1218" s="9">
        <f>ROUND(SUMIFS('Bank Lines'!$E$5:$E$1640,'Bank Lines'!$G$5:$G$1640,A1218,'Bank Lines'!$J$5:$J$1640,1,'Bank Lines'!$C$5:$C$1640,"&lt;="&amp;Cover!$C$13),2)</f>
        <v>0</v>
      </c>
      <c r="N1218" s="9">
        <f>ROUND(SUMIFS('Odoo Items'!$G$5:$G$4331,'Odoo Items'!$J$5:$J$4331,A1218,'Odoo Items'!$C$5:$C$4331,"&lt;="&amp;Cover!$C$13),2)</f>
        <v>0</v>
      </c>
      <c r="O1218">
        <f>COUNTIFS('Bank Lines'!$G$5:$G$1640,A1218,'Bank Lines'!$J$5:$J$1640,1,'Bank Lines'!$C$5:$C$1640,"&lt;="&amp;Cover!$C$13)</f>
        <v>0</v>
      </c>
      <c r="P1218">
        <f>COUNTIFS('Odoo Items'!$J$5:$J$4331,A1218,'Odoo Items'!$C$5:$C$4331,"&lt;="&amp;Cover!$C$13)</f>
        <v>0</v>
      </c>
      <c r="Q1218">
        <f>IF(AND(O1218=0,P1218=0),"",IF(O1218=0,"ODOO-ONLY",IF(P1218=0,"BANK-ONLY","BOTH")))</f>
      </c>
      <c r="R1218" s="9">
        <f>IF(Q1218="BOTH",ROUND(M1218-N1218,2),0)</f>
        <v>0</v>
      </c>
      <c r="S1218" s="9">
        <f>ROUND(SUMIFS('Bank Lines'!$E$5:$E$1640,'Bank Lines'!$G$5:$G$1640,A1218,'Bank Lines'!$J$5:$J$1640,1,'Bank Lines'!$C$5:$C$1640,"&lt;="&amp;Cover!$C$14),2)</f>
        <v>-62.82</v>
      </c>
      <c r="T1218" s="9">
        <f>ROUND(SUMIFS('Odoo Items'!$G$5:$G$4331,'Odoo Items'!$J$5:$J$4331,A1218,'Odoo Items'!$C$5:$C$4331,"&lt;="&amp;Cover!$C$14),2)</f>
        <v>0</v>
      </c>
      <c r="U1218">
        <f>COUNTIFS('Bank Lines'!$G$5:$G$1640,A1218,'Bank Lines'!$J$5:$J$1640,1,'Bank Lines'!$C$5:$C$1640,"&lt;="&amp;Cover!$C$14)</f>
        <v>1</v>
      </c>
      <c r="V1218">
        <f>COUNTIFS('Odoo Items'!$J$5:$J$4331,A1218,'Odoo Items'!$C$5:$C$4331,"&lt;="&amp;Cover!$C$14)</f>
        <v>0</v>
      </c>
      <c r="W1218" t="str">
        <f>IF(AND(U1218=0,V1218=0),"",IF(U1218=0,"ODOO-ONLY",IF(V1218=0,"BANK-ONLY","BOTH")))</f>
        <v>BANK-ONLY</v>
      </c>
      <c r="X1218" s="9">
        <f>IF(W1218="BOTH",ROUND(S1218-T1218,2),0)</f>
        <v>0</v>
      </c>
      <c r="Y1218" s="9">
        <f>ROUND(SUMIFS('Bank Lines'!$E$5:$E$1640,'Bank Lines'!$G$5:$G$1640,A1218,'Bank Lines'!$J$5:$J$1640,1,'Bank Lines'!$C$5:$C$1640,"&lt;="&amp;Cover!$C$15),2)</f>
        <v>-62.82</v>
      </c>
      <c r="Z1218" s="9">
        <f>ROUND(SUMIFS('Odoo Items'!$G$5:$G$4331,'Odoo Items'!$J$5:$J$4331,A1218,'Odoo Items'!$C$5:$C$4331,"&lt;="&amp;Cover!$C$15),2)</f>
        <v>0</v>
      </c>
      <c r="AA1218">
        <f>COUNTIFS('Bank Lines'!$G$5:$G$1640,A1218,'Bank Lines'!$J$5:$J$1640,1,'Bank Lines'!$C$5:$C$1640,"&lt;="&amp;Cover!$C$15)</f>
        <v>1</v>
      </c>
      <c r="AB1218">
        <f>COUNTIFS('Odoo Items'!$J$5:$J$4331,A1218,'Odoo Items'!$C$5:$C$4331,"&lt;="&amp;Cover!$C$15)</f>
        <v>0</v>
      </c>
      <c r="AC1218" t="str">
        <f>IF(AND(AA1218=0,AB1218=0),"",IF(AA1218=0,"ODOO-ONLY",IF(AB1218=0,"BANK-ONLY","BOTH")))</f>
        <v>BANK-ONLY</v>
      </c>
      <c r="AD1218" s="9">
        <f>IF(AC1218="BOTH",ROUND(Y1218-Z1218,2),0)</f>
        <v>0</v>
      </c>
    </row>
    <row r="1219">
      <c r="A1219" t="inlineStr">
        <is>
          <t>G01215</t>
        </is>
      </c>
      <c r="B1219" t="inlineStr">
        <is>
          <t>OPS</t>
        </is>
      </c>
      <c r="C1219" t="inlineStr">
        <is>
          <t>R12</t>
        </is>
      </c>
      <c r="D1219" t="inlineStr">
        <is>
          <t>INT</t>
        </is>
      </c>
      <c r="E1219" t="inlineStr"/>
      <c r="G1219" t="inlineStr"/>
      <c r="H1219">
        <f>COUNTIFS('Bank Lines'!$G$5:$G$1640,A1219,'Bank Lines'!$J$5:$J$1640,1)</f>
        <v>1</v>
      </c>
      <c r="I1219">
        <f>COUNTIFS('Odoo Items'!$J$5:$J$4331,A1219)</f>
        <v>0</v>
      </c>
      <c r="J1219" s="9">
        <f>ROUND(SUMIFS('Bank Lines'!$E$5:$E$1640,'Bank Lines'!$G$5:$G$1640,A1219,'Bank Lines'!$J$5:$J$1640,1),2)</f>
        <v>418.71</v>
      </c>
      <c r="K1219" s="9">
        <f>ROUND(SUMIFS('Odoo Items'!$G$5:$G$4331,'Odoo Items'!$J$5:$J$4331,A1219),2)</f>
        <v>0</v>
      </c>
      <c r="L1219" s="9">
        <f>ROUND(J1219-K1219,2)</f>
        <v>418.71</v>
      </c>
      <c r="M1219" s="9">
        <f>ROUND(SUMIFS('Bank Lines'!$E$5:$E$1640,'Bank Lines'!$G$5:$G$1640,A1219,'Bank Lines'!$J$5:$J$1640,1,'Bank Lines'!$C$5:$C$1640,"&lt;="&amp;Cover!$C$13),2)</f>
        <v>0</v>
      </c>
      <c r="N1219" s="9">
        <f>ROUND(SUMIFS('Odoo Items'!$G$5:$G$4331,'Odoo Items'!$J$5:$J$4331,A1219,'Odoo Items'!$C$5:$C$4331,"&lt;="&amp;Cover!$C$13),2)</f>
        <v>0</v>
      </c>
      <c r="O1219">
        <f>COUNTIFS('Bank Lines'!$G$5:$G$1640,A1219,'Bank Lines'!$J$5:$J$1640,1,'Bank Lines'!$C$5:$C$1640,"&lt;="&amp;Cover!$C$13)</f>
        <v>0</v>
      </c>
      <c r="P1219">
        <f>COUNTIFS('Odoo Items'!$J$5:$J$4331,A1219,'Odoo Items'!$C$5:$C$4331,"&lt;="&amp;Cover!$C$13)</f>
        <v>0</v>
      </c>
      <c r="Q1219">
        <f>IF(AND(O1219=0,P1219=0),"",IF(O1219=0,"ODOO-ONLY",IF(P1219=0,"BANK-ONLY","BOTH")))</f>
      </c>
      <c r="R1219" s="9">
        <f>IF(Q1219="BOTH",ROUND(M1219-N1219,2),0)</f>
        <v>0</v>
      </c>
      <c r="S1219" s="9">
        <f>ROUND(SUMIFS('Bank Lines'!$E$5:$E$1640,'Bank Lines'!$G$5:$G$1640,A1219,'Bank Lines'!$J$5:$J$1640,1,'Bank Lines'!$C$5:$C$1640,"&lt;="&amp;Cover!$C$14),2)</f>
        <v>418.71</v>
      </c>
      <c r="T1219" s="9">
        <f>ROUND(SUMIFS('Odoo Items'!$G$5:$G$4331,'Odoo Items'!$J$5:$J$4331,A1219,'Odoo Items'!$C$5:$C$4331,"&lt;="&amp;Cover!$C$14),2)</f>
        <v>0</v>
      </c>
      <c r="U1219">
        <f>COUNTIFS('Bank Lines'!$G$5:$G$1640,A1219,'Bank Lines'!$J$5:$J$1640,1,'Bank Lines'!$C$5:$C$1640,"&lt;="&amp;Cover!$C$14)</f>
        <v>1</v>
      </c>
      <c r="V1219">
        <f>COUNTIFS('Odoo Items'!$J$5:$J$4331,A1219,'Odoo Items'!$C$5:$C$4331,"&lt;="&amp;Cover!$C$14)</f>
        <v>0</v>
      </c>
      <c r="W1219" t="str">
        <f>IF(AND(U1219=0,V1219=0),"",IF(U1219=0,"ODOO-ONLY",IF(V1219=0,"BANK-ONLY","BOTH")))</f>
        <v>BANK-ONLY</v>
      </c>
      <c r="X1219" s="9">
        <f>IF(W1219="BOTH",ROUND(S1219-T1219,2),0)</f>
        <v>0</v>
      </c>
      <c r="Y1219" s="9">
        <f>ROUND(SUMIFS('Bank Lines'!$E$5:$E$1640,'Bank Lines'!$G$5:$G$1640,A1219,'Bank Lines'!$J$5:$J$1640,1,'Bank Lines'!$C$5:$C$1640,"&lt;="&amp;Cover!$C$15),2)</f>
        <v>418.71</v>
      </c>
      <c r="Z1219" s="9">
        <f>ROUND(SUMIFS('Odoo Items'!$G$5:$G$4331,'Odoo Items'!$J$5:$J$4331,A1219,'Odoo Items'!$C$5:$C$4331,"&lt;="&amp;Cover!$C$15),2)</f>
        <v>0</v>
      </c>
      <c r="AA1219">
        <f>COUNTIFS('Bank Lines'!$G$5:$G$1640,A1219,'Bank Lines'!$J$5:$J$1640,1,'Bank Lines'!$C$5:$C$1640,"&lt;="&amp;Cover!$C$15)</f>
        <v>1</v>
      </c>
      <c r="AB1219">
        <f>COUNTIFS('Odoo Items'!$J$5:$J$4331,A1219,'Odoo Items'!$C$5:$C$4331,"&lt;="&amp;Cover!$C$15)</f>
        <v>0</v>
      </c>
      <c r="AC1219" t="str">
        <f>IF(AND(AA1219=0,AB1219=0),"",IF(AA1219=0,"ODOO-ONLY",IF(AB1219=0,"BANK-ONLY","BOTH")))</f>
        <v>BANK-ONLY</v>
      </c>
      <c r="AD1219" s="9">
        <f>IF(AC1219="BOTH",ROUND(Y1219-Z1219,2),0)</f>
        <v>0</v>
      </c>
    </row>
    <row r="1220">
      <c r="A1220" t="inlineStr">
        <is>
          <t>G01216</t>
        </is>
      </c>
      <c r="B1220" t="inlineStr">
        <is>
          <t>OPS</t>
        </is>
      </c>
      <c r="C1220" t="inlineStr">
        <is>
          <t>R12</t>
        </is>
      </c>
      <c r="D1220" t="inlineStr">
        <is>
          <t>FEE</t>
        </is>
      </c>
      <c r="E1220" t="inlineStr"/>
      <c r="G1220" t="inlineStr"/>
      <c r="H1220">
        <f>COUNTIFS('Bank Lines'!$G$5:$G$1640,A1220,'Bank Lines'!$J$5:$J$1640,1)</f>
        <v>1</v>
      </c>
      <c r="I1220">
        <f>COUNTIFS('Odoo Items'!$J$5:$J$4331,A1220)</f>
        <v>0</v>
      </c>
      <c r="J1220" s="9">
        <f>ROUND(SUMIFS('Bank Lines'!$E$5:$E$1640,'Bank Lines'!$G$5:$G$1640,A1220,'Bank Lines'!$J$5:$J$1640,1),2)</f>
        <v>-30</v>
      </c>
      <c r="K1220" s="9">
        <f>ROUND(SUMIFS('Odoo Items'!$G$5:$G$4331,'Odoo Items'!$J$5:$J$4331,A1220),2)</f>
        <v>0</v>
      </c>
      <c r="L1220" s="9">
        <f>ROUND(J1220-K1220,2)</f>
        <v>-30</v>
      </c>
      <c r="M1220" s="9">
        <f>ROUND(SUMIFS('Bank Lines'!$E$5:$E$1640,'Bank Lines'!$G$5:$G$1640,A1220,'Bank Lines'!$J$5:$J$1640,1,'Bank Lines'!$C$5:$C$1640,"&lt;="&amp;Cover!$C$13),2)</f>
        <v>0</v>
      </c>
      <c r="N1220" s="9">
        <f>ROUND(SUMIFS('Odoo Items'!$G$5:$G$4331,'Odoo Items'!$J$5:$J$4331,A1220,'Odoo Items'!$C$5:$C$4331,"&lt;="&amp;Cover!$C$13),2)</f>
        <v>0</v>
      </c>
      <c r="O1220">
        <f>COUNTIFS('Bank Lines'!$G$5:$G$1640,A1220,'Bank Lines'!$J$5:$J$1640,1,'Bank Lines'!$C$5:$C$1640,"&lt;="&amp;Cover!$C$13)</f>
        <v>0</v>
      </c>
      <c r="P1220">
        <f>COUNTIFS('Odoo Items'!$J$5:$J$4331,A1220,'Odoo Items'!$C$5:$C$4331,"&lt;="&amp;Cover!$C$13)</f>
        <v>0</v>
      </c>
      <c r="Q1220">
        <f>IF(AND(O1220=0,P1220=0),"",IF(O1220=0,"ODOO-ONLY",IF(P1220=0,"BANK-ONLY","BOTH")))</f>
      </c>
      <c r="R1220" s="9">
        <f>IF(Q1220="BOTH",ROUND(M1220-N1220,2),0)</f>
        <v>0</v>
      </c>
      <c r="S1220" s="9">
        <f>ROUND(SUMIFS('Bank Lines'!$E$5:$E$1640,'Bank Lines'!$G$5:$G$1640,A1220,'Bank Lines'!$J$5:$J$1640,1,'Bank Lines'!$C$5:$C$1640,"&lt;="&amp;Cover!$C$14),2)</f>
        <v>0</v>
      </c>
      <c r="T1220" s="9">
        <f>ROUND(SUMIFS('Odoo Items'!$G$5:$G$4331,'Odoo Items'!$J$5:$J$4331,A1220,'Odoo Items'!$C$5:$C$4331,"&lt;="&amp;Cover!$C$14),2)</f>
        <v>0</v>
      </c>
      <c r="U1220">
        <f>COUNTIFS('Bank Lines'!$G$5:$G$1640,A1220,'Bank Lines'!$J$5:$J$1640,1,'Bank Lines'!$C$5:$C$1640,"&lt;="&amp;Cover!$C$14)</f>
        <v>0</v>
      </c>
      <c r="V1220">
        <f>COUNTIFS('Odoo Items'!$J$5:$J$4331,A1220,'Odoo Items'!$C$5:$C$4331,"&lt;="&amp;Cover!$C$14)</f>
        <v>0</v>
      </c>
      <c r="W1220">
        <f>IF(AND(U1220=0,V1220=0),"",IF(U1220=0,"ODOO-ONLY",IF(V1220=0,"BANK-ONLY","BOTH")))</f>
      </c>
      <c r="X1220" s="9">
        <f>IF(W1220="BOTH",ROUND(S1220-T1220,2),0)</f>
        <v>0</v>
      </c>
      <c r="Y1220" s="9">
        <f>ROUND(SUMIFS('Bank Lines'!$E$5:$E$1640,'Bank Lines'!$G$5:$G$1640,A1220,'Bank Lines'!$J$5:$J$1640,1,'Bank Lines'!$C$5:$C$1640,"&lt;="&amp;Cover!$C$15),2)</f>
        <v>-30</v>
      </c>
      <c r="Z1220" s="9">
        <f>ROUND(SUMIFS('Odoo Items'!$G$5:$G$4331,'Odoo Items'!$J$5:$J$4331,A1220,'Odoo Items'!$C$5:$C$4331,"&lt;="&amp;Cover!$C$15),2)</f>
        <v>0</v>
      </c>
      <c r="AA1220">
        <f>COUNTIFS('Bank Lines'!$G$5:$G$1640,A1220,'Bank Lines'!$J$5:$J$1640,1,'Bank Lines'!$C$5:$C$1640,"&lt;="&amp;Cover!$C$15)</f>
        <v>1</v>
      </c>
      <c r="AB1220">
        <f>COUNTIFS('Odoo Items'!$J$5:$J$4331,A1220,'Odoo Items'!$C$5:$C$4331,"&lt;="&amp;Cover!$C$15)</f>
        <v>0</v>
      </c>
      <c r="AC1220" t="str">
        <f>IF(AND(AA1220=0,AB1220=0),"",IF(AA1220=0,"ODOO-ONLY",IF(AB1220=0,"BANK-ONLY","BOTH")))</f>
        <v>BANK-ONLY</v>
      </c>
      <c r="AD1220" s="9">
        <f>IF(AC1220="BOTH",ROUND(Y1220-Z1220,2),0)</f>
        <v>0</v>
      </c>
    </row>
    <row r="1221">
      <c r="A1221" t="inlineStr">
        <is>
          <t>G01217</t>
        </is>
      </c>
      <c r="B1221" t="inlineStr">
        <is>
          <t>OPS</t>
        </is>
      </c>
      <c r="C1221" t="inlineStr">
        <is>
          <t>R12</t>
        </is>
      </c>
      <c r="D1221" t="inlineStr">
        <is>
          <t>FEE</t>
        </is>
      </c>
      <c r="E1221" t="inlineStr"/>
      <c r="G1221" t="inlineStr"/>
      <c r="H1221">
        <f>COUNTIFS('Bank Lines'!$G$5:$G$1640,A1221,'Bank Lines'!$J$5:$J$1640,1)</f>
        <v>1</v>
      </c>
      <c r="I1221">
        <f>COUNTIFS('Odoo Items'!$J$5:$J$4331,A1221)</f>
        <v>0</v>
      </c>
      <c r="J1221" s="9">
        <f>ROUND(SUMIFS('Bank Lines'!$E$5:$E$1640,'Bank Lines'!$G$5:$G$1640,A1221,'Bank Lines'!$J$5:$J$1640,1),2)</f>
        <v>-45.29</v>
      </c>
      <c r="K1221" s="9">
        <f>ROUND(SUMIFS('Odoo Items'!$G$5:$G$4331,'Odoo Items'!$J$5:$J$4331,A1221),2)</f>
        <v>0</v>
      </c>
      <c r="L1221" s="9">
        <f>ROUND(J1221-K1221,2)</f>
        <v>-45.29</v>
      </c>
      <c r="M1221" s="9">
        <f>ROUND(SUMIFS('Bank Lines'!$E$5:$E$1640,'Bank Lines'!$G$5:$G$1640,A1221,'Bank Lines'!$J$5:$J$1640,1,'Bank Lines'!$C$5:$C$1640,"&lt;="&amp;Cover!$C$13),2)</f>
        <v>0</v>
      </c>
      <c r="N1221" s="9">
        <f>ROUND(SUMIFS('Odoo Items'!$G$5:$G$4331,'Odoo Items'!$J$5:$J$4331,A1221,'Odoo Items'!$C$5:$C$4331,"&lt;="&amp;Cover!$C$13),2)</f>
        <v>0</v>
      </c>
      <c r="O1221">
        <f>COUNTIFS('Bank Lines'!$G$5:$G$1640,A1221,'Bank Lines'!$J$5:$J$1640,1,'Bank Lines'!$C$5:$C$1640,"&lt;="&amp;Cover!$C$13)</f>
        <v>0</v>
      </c>
      <c r="P1221">
        <f>COUNTIFS('Odoo Items'!$J$5:$J$4331,A1221,'Odoo Items'!$C$5:$C$4331,"&lt;="&amp;Cover!$C$13)</f>
        <v>0</v>
      </c>
      <c r="Q1221">
        <f>IF(AND(O1221=0,P1221=0),"",IF(O1221=0,"ODOO-ONLY",IF(P1221=0,"BANK-ONLY","BOTH")))</f>
      </c>
      <c r="R1221" s="9">
        <f>IF(Q1221="BOTH",ROUND(M1221-N1221,2),0)</f>
        <v>0</v>
      </c>
      <c r="S1221" s="9">
        <f>ROUND(SUMIFS('Bank Lines'!$E$5:$E$1640,'Bank Lines'!$G$5:$G$1640,A1221,'Bank Lines'!$J$5:$J$1640,1,'Bank Lines'!$C$5:$C$1640,"&lt;="&amp;Cover!$C$14),2)</f>
        <v>0</v>
      </c>
      <c r="T1221" s="9">
        <f>ROUND(SUMIFS('Odoo Items'!$G$5:$G$4331,'Odoo Items'!$J$5:$J$4331,A1221,'Odoo Items'!$C$5:$C$4331,"&lt;="&amp;Cover!$C$14),2)</f>
        <v>0</v>
      </c>
      <c r="U1221">
        <f>COUNTIFS('Bank Lines'!$G$5:$G$1640,A1221,'Bank Lines'!$J$5:$J$1640,1,'Bank Lines'!$C$5:$C$1640,"&lt;="&amp;Cover!$C$14)</f>
        <v>0</v>
      </c>
      <c r="V1221">
        <f>COUNTIFS('Odoo Items'!$J$5:$J$4331,A1221,'Odoo Items'!$C$5:$C$4331,"&lt;="&amp;Cover!$C$14)</f>
        <v>0</v>
      </c>
      <c r="W1221">
        <f>IF(AND(U1221=0,V1221=0),"",IF(U1221=0,"ODOO-ONLY",IF(V1221=0,"BANK-ONLY","BOTH")))</f>
      </c>
      <c r="X1221" s="9">
        <f>IF(W1221="BOTH",ROUND(S1221-T1221,2),0)</f>
        <v>0</v>
      </c>
      <c r="Y1221" s="9">
        <f>ROUND(SUMIFS('Bank Lines'!$E$5:$E$1640,'Bank Lines'!$G$5:$G$1640,A1221,'Bank Lines'!$J$5:$J$1640,1,'Bank Lines'!$C$5:$C$1640,"&lt;="&amp;Cover!$C$15),2)</f>
        <v>-45.29</v>
      </c>
      <c r="Z1221" s="9">
        <f>ROUND(SUMIFS('Odoo Items'!$G$5:$G$4331,'Odoo Items'!$J$5:$J$4331,A1221,'Odoo Items'!$C$5:$C$4331,"&lt;="&amp;Cover!$C$15),2)</f>
        <v>0</v>
      </c>
      <c r="AA1221">
        <f>COUNTIFS('Bank Lines'!$G$5:$G$1640,A1221,'Bank Lines'!$J$5:$J$1640,1,'Bank Lines'!$C$5:$C$1640,"&lt;="&amp;Cover!$C$15)</f>
        <v>1</v>
      </c>
      <c r="AB1221">
        <f>COUNTIFS('Odoo Items'!$J$5:$J$4331,A1221,'Odoo Items'!$C$5:$C$4331,"&lt;="&amp;Cover!$C$15)</f>
        <v>0</v>
      </c>
      <c r="AC1221" t="str">
        <f>IF(AND(AA1221=0,AB1221=0),"",IF(AA1221=0,"ODOO-ONLY",IF(AB1221=0,"BANK-ONLY","BOTH")))</f>
        <v>BANK-ONLY</v>
      </c>
      <c r="AD1221" s="9">
        <f>IF(AC1221="BOTH",ROUND(Y1221-Z1221,2),0)</f>
        <v>0</v>
      </c>
    </row>
    <row r="1222">
      <c r="A1222" t="inlineStr">
        <is>
          <t>G01218</t>
        </is>
      </c>
      <c r="B1222" t="inlineStr">
        <is>
          <t>OPS</t>
        </is>
      </c>
      <c r="C1222" t="inlineStr">
        <is>
          <t>R12</t>
        </is>
      </c>
      <c r="D1222" t="inlineStr">
        <is>
          <t>INT</t>
        </is>
      </c>
      <c r="E1222" t="inlineStr"/>
      <c r="G1222" t="inlineStr"/>
      <c r="H1222">
        <f>COUNTIFS('Bank Lines'!$G$5:$G$1640,A1222,'Bank Lines'!$J$5:$J$1640,1)</f>
        <v>1</v>
      </c>
      <c r="I1222">
        <f>COUNTIFS('Odoo Items'!$J$5:$J$4331,A1222)</f>
        <v>0</v>
      </c>
      <c r="J1222" s="9">
        <f>ROUND(SUMIFS('Bank Lines'!$E$5:$E$1640,'Bank Lines'!$G$5:$G$1640,A1222,'Bank Lines'!$J$5:$J$1640,1),2)</f>
        <v>379.93</v>
      </c>
      <c r="K1222" s="9">
        <f>ROUND(SUMIFS('Odoo Items'!$G$5:$G$4331,'Odoo Items'!$J$5:$J$4331,A1222),2)</f>
        <v>0</v>
      </c>
      <c r="L1222" s="9">
        <f>ROUND(J1222-K1222,2)</f>
        <v>379.93</v>
      </c>
      <c r="M1222" s="9">
        <f>ROUND(SUMIFS('Bank Lines'!$E$5:$E$1640,'Bank Lines'!$G$5:$G$1640,A1222,'Bank Lines'!$J$5:$J$1640,1,'Bank Lines'!$C$5:$C$1640,"&lt;="&amp;Cover!$C$13),2)</f>
        <v>0</v>
      </c>
      <c r="N1222" s="9">
        <f>ROUND(SUMIFS('Odoo Items'!$G$5:$G$4331,'Odoo Items'!$J$5:$J$4331,A1222,'Odoo Items'!$C$5:$C$4331,"&lt;="&amp;Cover!$C$13),2)</f>
        <v>0</v>
      </c>
      <c r="O1222">
        <f>COUNTIFS('Bank Lines'!$G$5:$G$1640,A1222,'Bank Lines'!$J$5:$J$1640,1,'Bank Lines'!$C$5:$C$1640,"&lt;="&amp;Cover!$C$13)</f>
        <v>0</v>
      </c>
      <c r="P1222">
        <f>COUNTIFS('Odoo Items'!$J$5:$J$4331,A1222,'Odoo Items'!$C$5:$C$4331,"&lt;="&amp;Cover!$C$13)</f>
        <v>0</v>
      </c>
      <c r="Q1222">
        <f>IF(AND(O1222=0,P1222=0),"",IF(O1222=0,"ODOO-ONLY",IF(P1222=0,"BANK-ONLY","BOTH")))</f>
      </c>
      <c r="R1222" s="9">
        <f>IF(Q1222="BOTH",ROUND(M1222-N1222,2),0)</f>
        <v>0</v>
      </c>
      <c r="S1222" s="9">
        <f>ROUND(SUMIFS('Bank Lines'!$E$5:$E$1640,'Bank Lines'!$G$5:$G$1640,A1222,'Bank Lines'!$J$5:$J$1640,1,'Bank Lines'!$C$5:$C$1640,"&lt;="&amp;Cover!$C$14),2)</f>
        <v>0</v>
      </c>
      <c r="T1222" s="9">
        <f>ROUND(SUMIFS('Odoo Items'!$G$5:$G$4331,'Odoo Items'!$J$5:$J$4331,A1222,'Odoo Items'!$C$5:$C$4331,"&lt;="&amp;Cover!$C$14),2)</f>
        <v>0</v>
      </c>
      <c r="U1222">
        <f>COUNTIFS('Bank Lines'!$G$5:$G$1640,A1222,'Bank Lines'!$J$5:$J$1640,1,'Bank Lines'!$C$5:$C$1640,"&lt;="&amp;Cover!$C$14)</f>
        <v>0</v>
      </c>
      <c r="V1222">
        <f>COUNTIFS('Odoo Items'!$J$5:$J$4331,A1222,'Odoo Items'!$C$5:$C$4331,"&lt;="&amp;Cover!$C$14)</f>
        <v>0</v>
      </c>
      <c r="W1222">
        <f>IF(AND(U1222=0,V1222=0),"",IF(U1222=0,"ODOO-ONLY",IF(V1222=0,"BANK-ONLY","BOTH")))</f>
      </c>
      <c r="X1222" s="9">
        <f>IF(W1222="BOTH",ROUND(S1222-T1222,2),0)</f>
        <v>0</v>
      </c>
      <c r="Y1222" s="9">
        <f>ROUND(SUMIFS('Bank Lines'!$E$5:$E$1640,'Bank Lines'!$G$5:$G$1640,A1222,'Bank Lines'!$J$5:$J$1640,1,'Bank Lines'!$C$5:$C$1640,"&lt;="&amp;Cover!$C$15),2)</f>
        <v>379.93</v>
      </c>
      <c r="Z1222" s="9">
        <f>ROUND(SUMIFS('Odoo Items'!$G$5:$G$4331,'Odoo Items'!$J$5:$J$4331,A1222,'Odoo Items'!$C$5:$C$4331,"&lt;="&amp;Cover!$C$15),2)</f>
        <v>0</v>
      </c>
      <c r="AA1222">
        <f>COUNTIFS('Bank Lines'!$G$5:$G$1640,A1222,'Bank Lines'!$J$5:$J$1640,1,'Bank Lines'!$C$5:$C$1640,"&lt;="&amp;Cover!$C$15)</f>
        <v>1</v>
      </c>
      <c r="AB1222">
        <f>COUNTIFS('Odoo Items'!$J$5:$J$4331,A1222,'Odoo Items'!$C$5:$C$4331,"&lt;="&amp;Cover!$C$15)</f>
        <v>0</v>
      </c>
      <c r="AC1222" t="str">
        <f>IF(AND(AA1222=0,AB1222=0),"",IF(AA1222=0,"ODOO-ONLY",IF(AB1222=0,"BANK-ONLY","BOTH")))</f>
        <v>BANK-ONLY</v>
      </c>
      <c r="AD1222" s="9">
        <f>IF(AC1222="BOTH",ROUND(Y1222-Z1222,2),0)</f>
        <v>0</v>
      </c>
    </row>
    <row r="1223">
      <c r="A1223" t="inlineStr">
        <is>
          <t>G01219</t>
        </is>
      </c>
      <c r="B1223" t="inlineStr">
        <is>
          <t>PAY</t>
        </is>
      </c>
      <c r="C1223" t="inlineStr">
        <is>
          <t>R12</t>
        </is>
      </c>
      <c r="D1223" t="inlineStr">
        <is>
          <t>FEE</t>
        </is>
      </c>
      <c r="E1223" t="inlineStr"/>
      <c r="G1223" t="inlineStr"/>
      <c r="H1223">
        <f>COUNTIFS('Bank Lines'!$G$5:$G$1640,A1223,'Bank Lines'!$J$5:$J$1640,1)</f>
        <v>1</v>
      </c>
      <c r="I1223">
        <f>COUNTIFS('Odoo Items'!$J$5:$J$4331,A1223)</f>
        <v>0</v>
      </c>
      <c r="J1223" s="9">
        <f>ROUND(SUMIFS('Bank Lines'!$E$5:$E$1640,'Bank Lines'!$G$5:$G$1640,A1223,'Bank Lines'!$J$5:$J$1640,1),2)</f>
        <v>-10</v>
      </c>
      <c r="K1223" s="9">
        <f>ROUND(SUMIFS('Odoo Items'!$G$5:$G$4331,'Odoo Items'!$J$5:$J$4331,A1223),2)</f>
        <v>0</v>
      </c>
      <c r="L1223" s="9">
        <f>ROUND(J1223-K1223,2)</f>
        <v>-10</v>
      </c>
      <c r="M1223" s="9">
        <f>ROUND(SUMIFS('Bank Lines'!$E$5:$E$1640,'Bank Lines'!$G$5:$G$1640,A1223,'Bank Lines'!$J$5:$J$1640,1,'Bank Lines'!$C$5:$C$1640,"&lt;="&amp;Cover!$C$13),2)</f>
        <v>-10</v>
      </c>
      <c r="N1223" s="9">
        <f>ROUND(SUMIFS('Odoo Items'!$G$5:$G$4331,'Odoo Items'!$J$5:$J$4331,A1223,'Odoo Items'!$C$5:$C$4331,"&lt;="&amp;Cover!$C$13),2)</f>
        <v>0</v>
      </c>
      <c r="O1223">
        <f>COUNTIFS('Bank Lines'!$G$5:$G$1640,A1223,'Bank Lines'!$J$5:$J$1640,1,'Bank Lines'!$C$5:$C$1640,"&lt;="&amp;Cover!$C$13)</f>
        <v>1</v>
      </c>
      <c r="P1223">
        <f>COUNTIFS('Odoo Items'!$J$5:$J$4331,A1223,'Odoo Items'!$C$5:$C$4331,"&lt;="&amp;Cover!$C$13)</f>
        <v>0</v>
      </c>
      <c r="Q1223" t="str">
        <f>IF(AND(O1223=0,P1223=0),"",IF(O1223=0,"ODOO-ONLY",IF(P1223=0,"BANK-ONLY","BOTH")))</f>
        <v>BANK-ONLY</v>
      </c>
      <c r="R1223" s="9">
        <f>IF(Q1223="BOTH",ROUND(M1223-N1223,2),0)</f>
        <v>0</v>
      </c>
      <c r="S1223" s="9">
        <f>ROUND(SUMIFS('Bank Lines'!$E$5:$E$1640,'Bank Lines'!$G$5:$G$1640,A1223,'Bank Lines'!$J$5:$J$1640,1,'Bank Lines'!$C$5:$C$1640,"&lt;="&amp;Cover!$C$14),2)</f>
        <v>-10</v>
      </c>
      <c r="T1223" s="9">
        <f>ROUND(SUMIFS('Odoo Items'!$G$5:$G$4331,'Odoo Items'!$J$5:$J$4331,A1223,'Odoo Items'!$C$5:$C$4331,"&lt;="&amp;Cover!$C$14),2)</f>
        <v>0</v>
      </c>
      <c r="U1223">
        <f>COUNTIFS('Bank Lines'!$G$5:$G$1640,A1223,'Bank Lines'!$J$5:$J$1640,1,'Bank Lines'!$C$5:$C$1640,"&lt;="&amp;Cover!$C$14)</f>
        <v>1</v>
      </c>
      <c r="V1223">
        <f>COUNTIFS('Odoo Items'!$J$5:$J$4331,A1223,'Odoo Items'!$C$5:$C$4331,"&lt;="&amp;Cover!$C$14)</f>
        <v>0</v>
      </c>
      <c r="W1223" t="str">
        <f>IF(AND(U1223=0,V1223=0),"",IF(U1223=0,"ODOO-ONLY",IF(V1223=0,"BANK-ONLY","BOTH")))</f>
        <v>BANK-ONLY</v>
      </c>
      <c r="X1223" s="9">
        <f>IF(W1223="BOTH",ROUND(S1223-T1223,2),0)</f>
        <v>0</v>
      </c>
      <c r="Y1223" s="9">
        <f>ROUND(SUMIFS('Bank Lines'!$E$5:$E$1640,'Bank Lines'!$G$5:$G$1640,A1223,'Bank Lines'!$J$5:$J$1640,1,'Bank Lines'!$C$5:$C$1640,"&lt;="&amp;Cover!$C$15),2)</f>
        <v>-10</v>
      </c>
      <c r="Z1223" s="9">
        <f>ROUND(SUMIFS('Odoo Items'!$G$5:$G$4331,'Odoo Items'!$J$5:$J$4331,A1223,'Odoo Items'!$C$5:$C$4331,"&lt;="&amp;Cover!$C$15),2)</f>
        <v>0</v>
      </c>
      <c r="AA1223">
        <f>COUNTIFS('Bank Lines'!$G$5:$G$1640,A1223,'Bank Lines'!$J$5:$J$1640,1,'Bank Lines'!$C$5:$C$1640,"&lt;="&amp;Cover!$C$15)</f>
        <v>1</v>
      </c>
      <c r="AB1223">
        <f>COUNTIFS('Odoo Items'!$J$5:$J$4331,A1223,'Odoo Items'!$C$5:$C$4331,"&lt;="&amp;Cover!$C$15)</f>
        <v>0</v>
      </c>
      <c r="AC1223" t="str">
        <f>IF(AND(AA1223=0,AB1223=0),"",IF(AA1223=0,"ODOO-ONLY",IF(AB1223=0,"BANK-ONLY","BOTH")))</f>
        <v>BANK-ONLY</v>
      </c>
      <c r="AD1223" s="9">
        <f>IF(AC1223="BOTH",ROUND(Y1223-Z1223,2),0)</f>
        <v>0</v>
      </c>
    </row>
    <row r="1224">
      <c r="A1224" t="inlineStr">
        <is>
          <t>G01220</t>
        </is>
      </c>
      <c r="B1224" t="inlineStr">
        <is>
          <t>PAY</t>
        </is>
      </c>
      <c r="C1224" t="inlineStr">
        <is>
          <t>R12</t>
        </is>
      </c>
      <c r="D1224" t="inlineStr">
        <is>
          <t>FEE</t>
        </is>
      </c>
      <c r="E1224" t="inlineStr"/>
      <c r="G1224" t="inlineStr"/>
      <c r="H1224">
        <f>COUNTIFS('Bank Lines'!$G$5:$G$1640,A1224,'Bank Lines'!$J$5:$J$1640,1)</f>
        <v>1</v>
      </c>
      <c r="I1224">
        <f>COUNTIFS('Odoo Items'!$J$5:$J$4331,A1224)</f>
        <v>0</v>
      </c>
      <c r="J1224" s="9">
        <f>ROUND(SUMIFS('Bank Lines'!$E$5:$E$1640,'Bank Lines'!$G$5:$G$1640,A1224,'Bank Lines'!$J$5:$J$1640,1),2)</f>
        <v>-10</v>
      </c>
      <c r="K1224" s="9">
        <f>ROUND(SUMIFS('Odoo Items'!$G$5:$G$4331,'Odoo Items'!$J$5:$J$4331,A1224),2)</f>
        <v>0</v>
      </c>
      <c r="L1224" s="9">
        <f>ROUND(J1224-K1224,2)</f>
        <v>-10</v>
      </c>
      <c r="M1224" s="9">
        <f>ROUND(SUMIFS('Bank Lines'!$E$5:$E$1640,'Bank Lines'!$G$5:$G$1640,A1224,'Bank Lines'!$J$5:$J$1640,1,'Bank Lines'!$C$5:$C$1640,"&lt;="&amp;Cover!$C$13),2)</f>
        <v>0</v>
      </c>
      <c r="N1224" s="9">
        <f>ROUND(SUMIFS('Odoo Items'!$G$5:$G$4331,'Odoo Items'!$J$5:$J$4331,A1224,'Odoo Items'!$C$5:$C$4331,"&lt;="&amp;Cover!$C$13),2)</f>
        <v>0</v>
      </c>
      <c r="O1224">
        <f>COUNTIFS('Bank Lines'!$G$5:$G$1640,A1224,'Bank Lines'!$J$5:$J$1640,1,'Bank Lines'!$C$5:$C$1640,"&lt;="&amp;Cover!$C$13)</f>
        <v>0</v>
      </c>
      <c r="P1224">
        <f>COUNTIFS('Odoo Items'!$J$5:$J$4331,A1224,'Odoo Items'!$C$5:$C$4331,"&lt;="&amp;Cover!$C$13)</f>
        <v>0</v>
      </c>
      <c r="Q1224">
        <f>IF(AND(O1224=0,P1224=0),"",IF(O1224=0,"ODOO-ONLY",IF(P1224=0,"BANK-ONLY","BOTH")))</f>
      </c>
      <c r="R1224" s="9">
        <f>IF(Q1224="BOTH",ROUND(M1224-N1224,2),0)</f>
        <v>0</v>
      </c>
      <c r="S1224" s="9">
        <f>ROUND(SUMIFS('Bank Lines'!$E$5:$E$1640,'Bank Lines'!$G$5:$G$1640,A1224,'Bank Lines'!$J$5:$J$1640,1,'Bank Lines'!$C$5:$C$1640,"&lt;="&amp;Cover!$C$14),2)</f>
        <v>-10</v>
      </c>
      <c r="T1224" s="9">
        <f>ROUND(SUMIFS('Odoo Items'!$G$5:$G$4331,'Odoo Items'!$J$5:$J$4331,A1224,'Odoo Items'!$C$5:$C$4331,"&lt;="&amp;Cover!$C$14),2)</f>
        <v>0</v>
      </c>
      <c r="U1224">
        <f>COUNTIFS('Bank Lines'!$G$5:$G$1640,A1224,'Bank Lines'!$J$5:$J$1640,1,'Bank Lines'!$C$5:$C$1640,"&lt;="&amp;Cover!$C$14)</f>
        <v>1</v>
      </c>
      <c r="V1224">
        <f>COUNTIFS('Odoo Items'!$J$5:$J$4331,A1224,'Odoo Items'!$C$5:$C$4331,"&lt;="&amp;Cover!$C$14)</f>
        <v>0</v>
      </c>
      <c r="W1224" t="str">
        <f>IF(AND(U1224=0,V1224=0),"",IF(U1224=0,"ODOO-ONLY",IF(V1224=0,"BANK-ONLY","BOTH")))</f>
        <v>BANK-ONLY</v>
      </c>
      <c r="X1224" s="9">
        <f>IF(W1224="BOTH",ROUND(S1224-T1224,2),0)</f>
        <v>0</v>
      </c>
      <c r="Y1224" s="9">
        <f>ROUND(SUMIFS('Bank Lines'!$E$5:$E$1640,'Bank Lines'!$G$5:$G$1640,A1224,'Bank Lines'!$J$5:$J$1640,1,'Bank Lines'!$C$5:$C$1640,"&lt;="&amp;Cover!$C$15),2)</f>
        <v>-10</v>
      </c>
      <c r="Z1224" s="9">
        <f>ROUND(SUMIFS('Odoo Items'!$G$5:$G$4331,'Odoo Items'!$J$5:$J$4331,A1224,'Odoo Items'!$C$5:$C$4331,"&lt;="&amp;Cover!$C$15),2)</f>
        <v>0</v>
      </c>
      <c r="AA1224">
        <f>COUNTIFS('Bank Lines'!$G$5:$G$1640,A1224,'Bank Lines'!$J$5:$J$1640,1,'Bank Lines'!$C$5:$C$1640,"&lt;="&amp;Cover!$C$15)</f>
        <v>1</v>
      </c>
      <c r="AB1224">
        <f>COUNTIFS('Odoo Items'!$J$5:$J$4331,A1224,'Odoo Items'!$C$5:$C$4331,"&lt;="&amp;Cover!$C$15)</f>
        <v>0</v>
      </c>
      <c r="AC1224" t="str">
        <f>IF(AND(AA1224=0,AB1224=0),"",IF(AA1224=0,"ODOO-ONLY",IF(AB1224=0,"BANK-ONLY","BOTH")))</f>
        <v>BANK-ONLY</v>
      </c>
      <c r="AD1224" s="9">
        <f>IF(AC1224="BOTH",ROUND(Y1224-Z1224,2),0)</f>
        <v>0</v>
      </c>
    </row>
    <row r="1225">
      <c r="A1225" t="inlineStr">
        <is>
          <t>G01221</t>
        </is>
      </c>
      <c r="B1225" t="inlineStr">
        <is>
          <t>PAY</t>
        </is>
      </c>
      <c r="C1225" t="inlineStr">
        <is>
          <t>R12</t>
        </is>
      </c>
      <c r="D1225" t="inlineStr">
        <is>
          <t>FEE</t>
        </is>
      </c>
      <c r="E1225" t="inlineStr"/>
      <c r="G1225" t="inlineStr"/>
      <c r="H1225">
        <f>COUNTIFS('Bank Lines'!$G$5:$G$1640,A1225,'Bank Lines'!$J$5:$J$1640,1)</f>
        <v>1</v>
      </c>
      <c r="I1225">
        <f>COUNTIFS('Odoo Items'!$J$5:$J$4331,A1225)</f>
        <v>0</v>
      </c>
      <c r="J1225" s="9">
        <f>ROUND(SUMIFS('Bank Lines'!$E$5:$E$1640,'Bank Lines'!$G$5:$G$1640,A1225,'Bank Lines'!$J$5:$J$1640,1),2)</f>
        <v>-10</v>
      </c>
      <c r="K1225" s="9">
        <f>ROUND(SUMIFS('Odoo Items'!$G$5:$G$4331,'Odoo Items'!$J$5:$J$4331,A1225),2)</f>
        <v>0</v>
      </c>
      <c r="L1225" s="9">
        <f>ROUND(J1225-K1225,2)</f>
        <v>-10</v>
      </c>
      <c r="M1225" s="9">
        <f>ROUND(SUMIFS('Bank Lines'!$E$5:$E$1640,'Bank Lines'!$G$5:$G$1640,A1225,'Bank Lines'!$J$5:$J$1640,1,'Bank Lines'!$C$5:$C$1640,"&lt;="&amp;Cover!$C$13),2)</f>
        <v>0</v>
      </c>
      <c r="N1225" s="9">
        <f>ROUND(SUMIFS('Odoo Items'!$G$5:$G$4331,'Odoo Items'!$J$5:$J$4331,A1225,'Odoo Items'!$C$5:$C$4331,"&lt;="&amp;Cover!$C$13),2)</f>
        <v>0</v>
      </c>
      <c r="O1225">
        <f>COUNTIFS('Bank Lines'!$G$5:$G$1640,A1225,'Bank Lines'!$J$5:$J$1640,1,'Bank Lines'!$C$5:$C$1640,"&lt;="&amp;Cover!$C$13)</f>
        <v>0</v>
      </c>
      <c r="P1225">
        <f>COUNTIFS('Odoo Items'!$J$5:$J$4331,A1225,'Odoo Items'!$C$5:$C$4331,"&lt;="&amp;Cover!$C$13)</f>
        <v>0</v>
      </c>
      <c r="Q1225">
        <f>IF(AND(O1225=0,P1225=0),"",IF(O1225=0,"ODOO-ONLY",IF(P1225=0,"BANK-ONLY","BOTH")))</f>
      </c>
      <c r="R1225" s="9">
        <f>IF(Q1225="BOTH",ROUND(M1225-N1225,2),0)</f>
        <v>0</v>
      </c>
      <c r="S1225" s="9">
        <f>ROUND(SUMIFS('Bank Lines'!$E$5:$E$1640,'Bank Lines'!$G$5:$G$1640,A1225,'Bank Lines'!$J$5:$J$1640,1,'Bank Lines'!$C$5:$C$1640,"&lt;="&amp;Cover!$C$14),2)</f>
        <v>0</v>
      </c>
      <c r="T1225" s="9">
        <f>ROUND(SUMIFS('Odoo Items'!$G$5:$G$4331,'Odoo Items'!$J$5:$J$4331,A1225,'Odoo Items'!$C$5:$C$4331,"&lt;="&amp;Cover!$C$14),2)</f>
        <v>0</v>
      </c>
      <c r="U1225">
        <f>COUNTIFS('Bank Lines'!$G$5:$G$1640,A1225,'Bank Lines'!$J$5:$J$1640,1,'Bank Lines'!$C$5:$C$1640,"&lt;="&amp;Cover!$C$14)</f>
        <v>0</v>
      </c>
      <c r="V1225">
        <f>COUNTIFS('Odoo Items'!$J$5:$J$4331,A1225,'Odoo Items'!$C$5:$C$4331,"&lt;="&amp;Cover!$C$14)</f>
        <v>0</v>
      </c>
      <c r="W1225">
        <f>IF(AND(U1225=0,V1225=0),"",IF(U1225=0,"ODOO-ONLY",IF(V1225=0,"BANK-ONLY","BOTH")))</f>
      </c>
      <c r="X1225" s="9">
        <f>IF(W1225="BOTH",ROUND(S1225-T1225,2),0)</f>
        <v>0</v>
      </c>
      <c r="Y1225" s="9">
        <f>ROUND(SUMIFS('Bank Lines'!$E$5:$E$1640,'Bank Lines'!$G$5:$G$1640,A1225,'Bank Lines'!$J$5:$J$1640,1,'Bank Lines'!$C$5:$C$1640,"&lt;="&amp;Cover!$C$15),2)</f>
        <v>-10</v>
      </c>
      <c r="Z1225" s="9">
        <f>ROUND(SUMIFS('Odoo Items'!$G$5:$G$4331,'Odoo Items'!$J$5:$J$4331,A1225,'Odoo Items'!$C$5:$C$4331,"&lt;="&amp;Cover!$C$15),2)</f>
        <v>0</v>
      </c>
      <c r="AA1225">
        <f>COUNTIFS('Bank Lines'!$G$5:$G$1640,A1225,'Bank Lines'!$J$5:$J$1640,1,'Bank Lines'!$C$5:$C$1640,"&lt;="&amp;Cover!$C$15)</f>
        <v>1</v>
      </c>
      <c r="AB1225">
        <f>COUNTIFS('Odoo Items'!$J$5:$J$4331,A1225,'Odoo Items'!$C$5:$C$4331,"&lt;="&amp;Cover!$C$15)</f>
        <v>0</v>
      </c>
      <c r="AC1225" t="str">
        <f>IF(AND(AA1225=0,AB1225=0),"",IF(AA1225=0,"ODOO-ONLY",IF(AB1225=0,"BANK-ONLY","BOTH")))</f>
        <v>BANK-ONLY</v>
      </c>
      <c r="AD1225" s="9">
        <f>IF(AC1225="BOTH",ROUND(Y1225-Z1225,2),0)</f>
        <v>0</v>
      </c>
    </row>
    <row r="1226">
      <c r="A1226" t="inlineStr">
        <is>
          <t>G01222</t>
        </is>
      </c>
      <c r="B1226" t="inlineStr">
        <is>
          <t>PAY</t>
        </is>
      </c>
      <c r="C1226" t="inlineStr">
        <is>
          <t>R12</t>
        </is>
      </c>
      <c r="D1226" t="inlineStr">
        <is>
          <t>RETPAY-PAY</t>
        </is>
      </c>
      <c r="E1226" t="inlineStr"/>
      <c r="G1226" t="inlineStr">
        <is>
          <t>Pay returned (invalid BSB) and reissued; nets to nil</t>
        </is>
      </c>
      <c r="H1226">
        <f>COUNTIFS('Bank Lines'!$G$5:$G$1640,A1226,'Bank Lines'!$J$5:$J$1640,1)</f>
        <v>2</v>
      </c>
      <c r="I1226">
        <f>COUNTIFS('Odoo Items'!$J$5:$J$4331,A1226)</f>
        <v>0</v>
      </c>
      <c r="J1226" s="9">
        <f>ROUND(SUMIFS('Bank Lines'!$E$5:$E$1640,'Bank Lines'!$G$5:$G$1640,A1226,'Bank Lines'!$J$5:$J$1640,1),2)</f>
        <v>0</v>
      </c>
      <c r="K1226" s="9">
        <f>ROUND(SUMIFS('Odoo Items'!$G$5:$G$4331,'Odoo Items'!$J$5:$J$4331,A1226),2)</f>
        <v>0</v>
      </c>
      <c r="L1226" s="9">
        <f>ROUND(J1226-K1226,2)</f>
        <v>0</v>
      </c>
      <c r="M1226" s="9">
        <f>ROUND(SUMIFS('Bank Lines'!$E$5:$E$1640,'Bank Lines'!$G$5:$G$1640,A1226,'Bank Lines'!$J$5:$J$1640,1,'Bank Lines'!$C$5:$C$1640,"&lt;="&amp;Cover!$C$13),2)</f>
        <v>0</v>
      </c>
      <c r="N1226" s="9">
        <f>ROUND(SUMIFS('Odoo Items'!$G$5:$G$4331,'Odoo Items'!$J$5:$J$4331,A1226,'Odoo Items'!$C$5:$C$4331,"&lt;="&amp;Cover!$C$13),2)</f>
        <v>0</v>
      </c>
      <c r="O1226">
        <f>COUNTIFS('Bank Lines'!$G$5:$G$1640,A1226,'Bank Lines'!$J$5:$J$1640,1,'Bank Lines'!$C$5:$C$1640,"&lt;="&amp;Cover!$C$13)</f>
        <v>0</v>
      </c>
      <c r="P1226">
        <f>COUNTIFS('Odoo Items'!$J$5:$J$4331,A1226,'Odoo Items'!$C$5:$C$4331,"&lt;="&amp;Cover!$C$13)</f>
        <v>0</v>
      </c>
      <c r="Q1226">
        <f>IF(AND(O1226=0,P1226=0),"",IF(O1226=0,"ODOO-ONLY",IF(P1226=0,"BANK-ONLY","BOTH")))</f>
      </c>
      <c r="R1226" s="9">
        <f>IF(Q1226="BOTH",ROUND(M1226-N1226,2),0)</f>
        <v>0</v>
      </c>
      <c r="S1226" s="9">
        <f>ROUND(SUMIFS('Bank Lines'!$E$5:$E$1640,'Bank Lines'!$G$5:$G$1640,A1226,'Bank Lines'!$J$5:$J$1640,1,'Bank Lines'!$C$5:$C$1640,"&lt;="&amp;Cover!$C$14),2)</f>
        <v>0</v>
      </c>
      <c r="T1226" s="9">
        <f>ROUND(SUMIFS('Odoo Items'!$G$5:$G$4331,'Odoo Items'!$J$5:$J$4331,A1226,'Odoo Items'!$C$5:$C$4331,"&lt;="&amp;Cover!$C$14),2)</f>
        <v>0</v>
      </c>
      <c r="U1226">
        <f>COUNTIFS('Bank Lines'!$G$5:$G$1640,A1226,'Bank Lines'!$J$5:$J$1640,1,'Bank Lines'!$C$5:$C$1640,"&lt;="&amp;Cover!$C$14)</f>
        <v>2</v>
      </c>
      <c r="V1226">
        <f>COUNTIFS('Odoo Items'!$J$5:$J$4331,A1226,'Odoo Items'!$C$5:$C$4331,"&lt;="&amp;Cover!$C$14)</f>
        <v>0</v>
      </c>
      <c r="W1226" t="str">
        <f>IF(AND(U1226=0,V1226=0),"",IF(U1226=0,"ODOO-ONLY",IF(V1226=0,"BANK-ONLY","BOTH")))</f>
        <v>BANK-ONLY</v>
      </c>
      <c r="X1226" s="9">
        <f>IF(W1226="BOTH",ROUND(S1226-T1226,2),0)</f>
        <v>0</v>
      </c>
      <c r="Y1226" s="9">
        <f>ROUND(SUMIFS('Bank Lines'!$E$5:$E$1640,'Bank Lines'!$G$5:$G$1640,A1226,'Bank Lines'!$J$5:$J$1640,1,'Bank Lines'!$C$5:$C$1640,"&lt;="&amp;Cover!$C$15),2)</f>
        <v>0</v>
      </c>
      <c r="Z1226" s="9">
        <f>ROUND(SUMIFS('Odoo Items'!$G$5:$G$4331,'Odoo Items'!$J$5:$J$4331,A1226,'Odoo Items'!$C$5:$C$4331,"&lt;="&amp;Cover!$C$15),2)</f>
        <v>0</v>
      </c>
      <c r="AA1226">
        <f>COUNTIFS('Bank Lines'!$G$5:$G$1640,A1226,'Bank Lines'!$J$5:$J$1640,1,'Bank Lines'!$C$5:$C$1640,"&lt;="&amp;Cover!$C$15)</f>
        <v>2</v>
      </c>
      <c r="AB1226">
        <f>COUNTIFS('Odoo Items'!$J$5:$J$4331,A1226,'Odoo Items'!$C$5:$C$4331,"&lt;="&amp;Cover!$C$15)</f>
        <v>0</v>
      </c>
      <c r="AC1226" t="str">
        <f>IF(AND(AA1226=0,AB1226=0),"",IF(AA1226=0,"ODOO-ONLY",IF(AB1226=0,"BANK-ONLY","BOTH")))</f>
        <v>BANK-ONLY</v>
      </c>
      <c r="AD1226" s="9">
        <f>IF(AC1226="BOTH",ROUND(Y1226-Z1226,2),0)</f>
        <v>0</v>
      </c>
    </row>
    <row r="1227">
      <c r="A1227" t="inlineStr">
        <is>
          <t>G01223</t>
        </is>
      </c>
      <c r="B1227" t="inlineStr">
        <is>
          <t>MER</t>
        </is>
      </c>
      <c r="C1227" t="inlineStr">
        <is>
          <t>R12</t>
        </is>
      </c>
      <c r="D1227" t="inlineStr">
        <is>
          <t>MERCH</t>
        </is>
      </c>
      <c r="E1227" t="inlineStr"/>
      <c r="G1227" t="inlineStr"/>
      <c r="H1227">
        <f>COUNTIFS('Bank Lines'!$G$5:$G$1640,A1227,'Bank Lines'!$J$5:$J$1640,1)</f>
        <v>1</v>
      </c>
      <c r="I1227">
        <f>COUNTIFS('Odoo Items'!$J$5:$J$4331,A1227)</f>
        <v>0</v>
      </c>
      <c r="J1227" s="9">
        <f>ROUND(SUMIFS('Bank Lines'!$E$5:$E$1640,'Bank Lines'!$G$5:$G$1640,A1227,'Bank Lines'!$J$5:$J$1640,1),2)</f>
        <v>-2203.04</v>
      </c>
      <c r="K1227" s="9">
        <f>ROUND(SUMIFS('Odoo Items'!$G$5:$G$4331,'Odoo Items'!$J$5:$J$4331,A1227),2)</f>
        <v>0</v>
      </c>
      <c r="L1227" s="9">
        <f>ROUND(J1227-K1227,2)</f>
        <v>-2203.04</v>
      </c>
      <c r="M1227" s="9">
        <f>ROUND(SUMIFS('Bank Lines'!$E$5:$E$1640,'Bank Lines'!$G$5:$G$1640,A1227,'Bank Lines'!$J$5:$J$1640,1,'Bank Lines'!$C$5:$C$1640,"&lt;="&amp;Cover!$C$13),2)</f>
        <v>-2203.04</v>
      </c>
      <c r="N1227" s="9">
        <f>ROUND(SUMIFS('Odoo Items'!$G$5:$G$4331,'Odoo Items'!$J$5:$J$4331,A1227,'Odoo Items'!$C$5:$C$4331,"&lt;="&amp;Cover!$C$13),2)</f>
        <v>0</v>
      </c>
      <c r="O1227">
        <f>COUNTIFS('Bank Lines'!$G$5:$G$1640,A1227,'Bank Lines'!$J$5:$J$1640,1,'Bank Lines'!$C$5:$C$1640,"&lt;="&amp;Cover!$C$13)</f>
        <v>1</v>
      </c>
      <c r="P1227">
        <f>COUNTIFS('Odoo Items'!$J$5:$J$4331,A1227,'Odoo Items'!$C$5:$C$4331,"&lt;="&amp;Cover!$C$13)</f>
        <v>0</v>
      </c>
      <c r="Q1227" t="str">
        <f>IF(AND(O1227=0,P1227=0),"",IF(O1227=0,"ODOO-ONLY",IF(P1227=0,"BANK-ONLY","BOTH")))</f>
        <v>BANK-ONLY</v>
      </c>
      <c r="R1227" s="9">
        <f>IF(Q1227="BOTH",ROUND(M1227-N1227,2),0)</f>
        <v>0</v>
      </c>
      <c r="S1227" s="9">
        <f>ROUND(SUMIFS('Bank Lines'!$E$5:$E$1640,'Bank Lines'!$G$5:$G$1640,A1227,'Bank Lines'!$J$5:$J$1640,1,'Bank Lines'!$C$5:$C$1640,"&lt;="&amp;Cover!$C$14),2)</f>
        <v>-2203.04</v>
      </c>
      <c r="T1227" s="9">
        <f>ROUND(SUMIFS('Odoo Items'!$G$5:$G$4331,'Odoo Items'!$J$5:$J$4331,A1227,'Odoo Items'!$C$5:$C$4331,"&lt;="&amp;Cover!$C$14),2)</f>
        <v>0</v>
      </c>
      <c r="U1227">
        <f>COUNTIFS('Bank Lines'!$G$5:$G$1640,A1227,'Bank Lines'!$J$5:$J$1640,1,'Bank Lines'!$C$5:$C$1640,"&lt;="&amp;Cover!$C$14)</f>
        <v>1</v>
      </c>
      <c r="V1227">
        <f>COUNTIFS('Odoo Items'!$J$5:$J$4331,A1227,'Odoo Items'!$C$5:$C$4331,"&lt;="&amp;Cover!$C$14)</f>
        <v>0</v>
      </c>
      <c r="W1227" t="str">
        <f>IF(AND(U1227=0,V1227=0),"",IF(U1227=0,"ODOO-ONLY",IF(V1227=0,"BANK-ONLY","BOTH")))</f>
        <v>BANK-ONLY</v>
      </c>
      <c r="X1227" s="9">
        <f>IF(W1227="BOTH",ROUND(S1227-T1227,2),0)</f>
        <v>0</v>
      </c>
      <c r="Y1227" s="9">
        <f>ROUND(SUMIFS('Bank Lines'!$E$5:$E$1640,'Bank Lines'!$G$5:$G$1640,A1227,'Bank Lines'!$J$5:$J$1640,1,'Bank Lines'!$C$5:$C$1640,"&lt;="&amp;Cover!$C$15),2)</f>
        <v>-2203.04</v>
      </c>
      <c r="Z1227" s="9">
        <f>ROUND(SUMIFS('Odoo Items'!$G$5:$G$4331,'Odoo Items'!$J$5:$J$4331,A1227,'Odoo Items'!$C$5:$C$4331,"&lt;="&amp;Cover!$C$15),2)</f>
        <v>0</v>
      </c>
      <c r="AA1227">
        <f>COUNTIFS('Bank Lines'!$G$5:$G$1640,A1227,'Bank Lines'!$J$5:$J$1640,1,'Bank Lines'!$C$5:$C$1640,"&lt;="&amp;Cover!$C$15)</f>
        <v>1</v>
      </c>
      <c r="AB1227">
        <f>COUNTIFS('Odoo Items'!$J$5:$J$4331,A1227,'Odoo Items'!$C$5:$C$4331,"&lt;="&amp;Cover!$C$15)</f>
        <v>0</v>
      </c>
      <c r="AC1227" t="str">
        <f>IF(AND(AA1227=0,AB1227=0),"",IF(AA1227=0,"ODOO-ONLY",IF(AB1227=0,"BANK-ONLY","BOTH")))</f>
        <v>BANK-ONLY</v>
      </c>
      <c r="AD1227" s="9">
        <f>IF(AC1227="BOTH",ROUND(Y1227-Z1227,2),0)</f>
        <v>0</v>
      </c>
    </row>
    <row r="1228">
      <c r="A1228" t="inlineStr">
        <is>
          <t>G01224</t>
        </is>
      </c>
      <c r="B1228" t="inlineStr">
        <is>
          <t>MER</t>
        </is>
      </c>
      <c r="C1228" t="inlineStr">
        <is>
          <t>R12</t>
        </is>
      </c>
      <c r="D1228" t="inlineStr">
        <is>
          <t>CHGBK</t>
        </is>
      </c>
      <c r="E1228" t="inlineStr"/>
      <c r="G1228" t="inlineStr"/>
      <c r="H1228">
        <f>COUNTIFS('Bank Lines'!$G$5:$G$1640,A1228,'Bank Lines'!$J$5:$J$1640,1)</f>
        <v>1</v>
      </c>
      <c r="I1228">
        <f>COUNTIFS('Odoo Items'!$J$5:$J$4331,A1228)</f>
        <v>0</v>
      </c>
      <c r="J1228" s="9">
        <f>ROUND(SUMIFS('Bank Lines'!$E$5:$E$1640,'Bank Lines'!$G$5:$G$1640,A1228,'Bank Lines'!$J$5:$J$1640,1),2)</f>
        <v>-340</v>
      </c>
      <c r="K1228" s="9">
        <f>ROUND(SUMIFS('Odoo Items'!$G$5:$G$4331,'Odoo Items'!$J$5:$J$4331,A1228),2)</f>
        <v>0</v>
      </c>
      <c r="L1228" s="9">
        <f>ROUND(J1228-K1228,2)</f>
        <v>-340</v>
      </c>
      <c r="M1228" s="9">
        <f>ROUND(SUMIFS('Bank Lines'!$E$5:$E$1640,'Bank Lines'!$G$5:$G$1640,A1228,'Bank Lines'!$J$5:$J$1640,1,'Bank Lines'!$C$5:$C$1640,"&lt;="&amp;Cover!$C$13),2)</f>
        <v>0</v>
      </c>
      <c r="N1228" s="9">
        <f>ROUND(SUMIFS('Odoo Items'!$G$5:$G$4331,'Odoo Items'!$J$5:$J$4331,A1228,'Odoo Items'!$C$5:$C$4331,"&lt;="&amp;Cover!$C$13),2)</f>
        <v>0</v>
      </c>
      <c r="O1228">
        <f>COUNTIFS('Bank Lines'!$G$5:$G$1640,A1228,'Bank Lines'!$J$5:$J$1640,1,'Bank Lines'!$C$5:$C$1640,"&lt;="&amp;Cover!$C$13)</f>
        <v>0</v>
      </c>
      <c r="P1228">
        <f>COUNTIFS('Odoo Items'!$J$5:$J$4331,A1228,'Odoo Items'!$C$5:$C$4331,"&lt;="&amp;Cover!$C$13)</f>
        <v>0</v>
      </c>
      <c r="Q1228">
        <f>IF(AND(O1228=0,P1228=0),"",IF(O1228=0,"ODOO-ONLY",IF(P1228=0,"BANK-ONLY","BOTH")))</f>
      </c>
      <c r="R1228" s="9">
        <f>IF(Q1228="BOTH",ROUND(M1228-N1228,2),0)</f>
        <v>0</v>
      </c>
      <c r="S1228" s="9">
        <f>ROUND(SUMIFS('Bank Lines'!$E$5:$E$1640,'Bank Lines'!$G$5:$G$1640,A1228,'Bank Lines'!$J$5:$J$1640,1,'Bank Lines'!$C$5:$C$1640,"&lt;="&amp;Cover!$C$14),2)</f>
        <v>-340</v>
      </c>
      <c r="T1228" s="9">
        <f>ROUND(SUMIFS('Odoo Items'!$G$5:$G$4331,'Odoo Items'!$J$5:$J$4331,A1228,'Odoo Items'!$C$5:$C$4331,"&lt;="&amp;Cover!$C$14),2)</f>
        <v>0</v>
      </c>
      <c r="U1228">
        <f>COUNTIFS('Bank Lines'!$G$5:$G$1640,A1228,'Bank Lines'!$J$5:$J$1640,1,'Bank Lines'!$C$5:$C$1640,"&lt;="&amp;Cover!$C$14)</f>
        <v>1</v>
      </c>
      <c r="V1228">
        <f>COUNTIFS('Odoo Items'!$J$5:$J$4331,A1228,'Odoo Items'!$C$5:$C$4331,"&lt;="&amp;Cover!$C$14)</f>
        <v>0</v>
      </c>
      <c r="W1228" t="str">
        <f>IF(AND(U1228=0,V1228=0),"",IF(U1228=0,"ODOO-ONLY",IF(V1228=0,"BANK-ONLY","BOTH")))</f>
        <v>BANK-ONLY</v>
      </c>
      <c r="X1228" s="9">
        <f>IF(W1228="BOTH",ROUND(S1228-T1228,2),0)</f>
        <v>0</v>
      </c>
      <c r="Y1228" s="9">
        <f>ROUND(SUMIFS('Bank Lines'!$E$5:$E$1640,'Bank Lines'!$G$5:$G$1640,A1228,'Bank Lines'!$J$5:$J$1640,1,'Bank Lines'!$C$5:$C$1640,"&lt;="&amp;Cover!$C$15),2)</f>
        <v>-340</v>
      </c>
      <c r="Z1228" s="9">
        <f>ROUND(SUMIFS('Odoo Items'!$G$5:$G$4331,'Odoo Items'!$J$5:$J$4331,A1228,'Odoo Items'!$C$5:$C$4331,"&lt;="&amp;Cover!$C$15),2)</f>
        <v>0</v>
      </c>
      <c r="AA1228">
        <f>COUNTIFS('Bank Lines'!$G$5:$G$1640,A1228,'Bank Lines'!$J$5:$J$1640,1,'Bank Lines'!$C$5:$C$1640,"&lt;="&amp;Cover!$C$15)</f>
        <v>1</v>
      </c>
      <c r="AB1228">
        <f>COUNTIFS('Odoo Items'!$J$5:$J$4331,A1228,'Odoo Items'!$C$5:$C$4331,"&lt;="&amp;Cover!$C$15)</f>
        <v>0</v>
      </c>
      <c r="AC1228" t="str">
        <f>IF(AND(AA1228=0,AB1228=0),"",IF(AA1228=0,"ODOO-ONLY",IF(AB1228=0,"BANK-ONLY","BOTH")))</f>
        <v>BANK-ONLY</v>
      </c>
      <c r="AD1228" s="9">
        <f>IF(AC1228="BOTH",ROUND(Y1228-Z1228,2),0)</f>
        <v>0</v>
      </c>
    </row>
    <row r="1229">
      <c r="A1229" t="inlineStr">
        <is>
          <t>G01225</t>
        </is>
      </c>
      <c r="B1229" t="inlineStr">
        <is>
          <t>MER</t>
        </is>
      </c>
      <c r="C1229" t="inlineStr">
        <is>
          <t>R12</t>
        </is>
      </c>
      <c r="D1229" t="inlineStr">
        <is>
          <t>MERCH</t>
        </is>
      </c>
      <c r="E1229" t="inlineStr"/>
      <c r="G1229" t="inlineStr"/>
      <c r="H1229">
        <f>COUNTIFS('Bank Lines'!$G$5:$G$1640,A1229,'Bank Lines'!$J$5:$J$1640,1)</f>
        <v>1</v>
      </c>
      <c r="I1229">
        <f>COUNTIFS('Odoo Items'!$J$5:$J$4331,A1229)</f>
        <v>0</v>
      </c>
      <c r="J1229" s="9">
        <f>ROUND(SUMIFS('Bank Lines'!$E$5:$E$1640,'Bank Lines'!$G$5:$G$1640,A1229,'Bank Lines'!$J$5:$J$1640,1),2)</f>
        <v>-2086.89</v>
      </c>
      <c r="K1229" s="9">
        <f>ROUND(SUMIFS('Odoo Items'!$G$5:$G$4331,'Odoo Items'!$J$5:$J$4331,A1229),2)</f>
        <v>0</v>
      </c>
      <c r="L1229" s="9">
        <f>ROUND(J1229-K1229,2)</f>
        <v>-2086.89</v>
      </c>
      <c r="M1229" s="9">
        <f>ROUND(SUMIFS('Bank Lines'!$E$5:$E$1640,'Bank Lines'!$G$5:$G$1640,A1229,'Bank Lines'!$J$5:$J$1640,1,'Bank Lines'!$C$5:$C$1640,"&lt;="&amp;Cover!$C$13),2)</f>
        <v>0</v>
      </c>
      <c r="N1229" s="9">
        <f>ROUND(SUMIFS('Odoo Items'!$G$5:$G$4331,'Odoo Items'!$J$5:$J$4331,A1229,'Odoo Items'!$C$5:$C$4331,"&lt;="&amp;Cover!$C$13),2)</f>
        <v>0</v>
      </c>
      <c r="O1229">
        <f>COUNTIFS('Bank Lines'!$G$5:$G$1640,A1229,'Bank Lines'!$J$5:$J$1640,1,'Bank Lines'!$C$5:$C$1640,"&lt;="&amp;Cover!$C$13)</f>
        <v>0</v>
      </c>
      <c r="P1229">
        <f>COUNTIFS('Odoo Items'!$J$5:$J$4331,A1229,'Odoo Items'!$C$5:$C$4331,"&lt;="&amp;Cover!$C$13)</f>
        <v>0</v>
      </c>
      <c r="Q1229">
        <f>IF(AND(O1229=0,P1229=0),"",IF(O1229=0,"ODOO-ONLY",IF(P1229=0,"BANK-ONLY","BOTH")))</f>
      </c>
      <c r="R1229" s="9">
        <f>IF(Q1229="BOTH",ROUND(M1229-N1229,2),0)</f>
        <v>0</v>
      </c>
      <c r="S1229" s="9">
        <f>ROUND(SUMIFS('Bank Lines'!$E$5:$E$1640,'Bank Lines'!$G$5:$G$1640,A1229,'Bank Lines'!$J$5:$J$1640,1,'Bank Lines'!$C$5:$C$1640,"&lt;="&amp;Cover!$C$14),2)</f>
        <v>-2086.89</v>
      </c>
      <c r="T1229" s="9">
        <f>ROUND(SUMIFS('Odoo Items'!$G$5:$G$4331,'Odoo Items'!$J$5:$J$4331,A1229,'Odoo Items'!$C$5:$C$4331,"&lt;="&amp;Cover!$C$14),2)</f>
        <v>0</v>
      </c>
      <c r="U1229">
        <f>COUNTIFS('Bank Lines'!$G$5:$G$1640,A1229,'Bank Lines'!$J$5:$J$1640,1,'Bank Lines'!$C$5:$C$1640,"&lt;="&amp;Cover!$C$14)</f>
        <v>1</v>
      </c>
      <c r="V1229">
        <f>COUNTIFS('Odoo Items'!$J$5:$J$4331,A1229,'Odoo Items'!$C$5:$C$4331,"&lt;="&amp;Cover!$C$14)</f>
        <v>0</v>
      </c>
      <c r="W1229" t="str">
        <f>IF(AND(U1229=0,V1229=0),"",IF(U1229=0,"ODOO-ONLY",IF(V1229=0,"BANK-ONLY","BOTH")))</f>
        <v>BANK-ONLY</v>
      </c>
      <c r="X1229" s="9">
        <f>IF(W1229="BOTH",ROUND(S1229-T1229,2),0)</f>
        <v>0</v>
      </c>
      <c r="Y1229" s="9">
        <f>ROUND(SUMIFS('Bank Lines'!$E$5:$E$1640,'Bank Lines'!$G$5:$G$1640,A1229,'Bank Lines'!$J$5:$J$1640,1,'Bank Lines'!$C$5:$C$1640,"&lt;="&amp;Cover!$C$15),2)</f>
        <v>-2086.89</v>
      </c>
      <c r="Z1229" s="9">
        <f>ROUND(SUMIFS('Odoo Items'!$G$5:$G$4331,'Odoo Items'!$J$5:$J$4331,A1229,'Odoo Items'!$C$5:$C$4331,"&lt;="&amp;Cover!$C$15),2)</f>
        <v>0</v>
      </c>
      <c r="AA1229">
        <f>COUNTIFS('Bank Lines'!$G$5:$G$1640,A1229,'Bank Lines'!$J$5:$J$1640,1,'Bank Lines'!$C$5:$C$1640,"&lt;="&amp;Cover!$C$15)</f>
        <v>1</v>
      </c>
      <c r="AB1229">
        <f>COUNTIFS('Odoo Items'!$J$5:$J$4331,A1229,'Odoo Items'!$C$5:$C$4331,"&lt;="&amp;Cover!$C$15)</f>
        <v>0</v>
      </c>
      <c r="AC1229" t="str">
        <f>IF(AND(AA1229=0,AB1229=0),"",IF(AA1229=0,"ODOO-ONLY",IF(AB1229=0,"BANK-ONLY","BOTH")))</f>
        <v>BANK-ONLY</v>
      </c>
      <c r="AD1229" s="9">
        <f>IF(AC1229="BOTH",ROUND(Y1229-Z1229,2),0)</f>
        <v>0</v>
      </c>
    </row>
    <row r="1230">
      <c r="A1230" t="inlineStr">
        <is>
          <t>G01226</t>
        </is>
      </c>
      <c r="B1230" t="inlineStr">
        <is>
          <t>MER</t>
        </is>
      </c>
      <c r="C1230" t="inlineStr">
        <is>
          <t>R12</t>
        </is>
      </c>
      <c r="D1230" t="inlineStr">
        <is>
          <t>MERCH</t>
        </is>
      </c>
      <c r="E1230" t="inlineStr"/>
      <c r="G1230" t="inlineStr"/>
      <c r="H1230">
        <f>COUNTIFS('Bank Lines'!$G$5:$G$1640,A1230,'Bank Lines'!$J$5:$J$1640,1)</f>
        <v>1</v>
      </c>
      <c r="I1230">
        <f>COUNTIFS('Odoo Items'!$J$5:$J$4331,A1230)</f>
        <v>0</v>
      </c>
      <c r="J1230" s="9">
        <f>ROUND(SUMIFS('Bank Lines'!$E$5:$E$1640,'Bank Lines'!$G$5:$G$1640,A1230,'Bank Lines'!$J$5:$J$1640,1),2)</f>
        <v>-2295.11</v>
      </c>
      <c r="K1230" s="9">
        <f>ROUND(SUMIFS('Odoo Items'!$G$5:$G$4331,'Odoo Items'!$J$5:$J$4331,A1230),2)</f>
        <v>0</v>
      </c>
      <c r="L1230" s="9">
        <f>ROUND(J1230-K1230,2)</f>
        <v>-2295.11</v>
      </c>
      <c r="M1230" s="9">
        <f>ROUND(SUMIFS('Bank Lines'!$E$5:$E$1640,'Bank Lines'!$G$5:$G$1640,A1230,'Bank Lines'!$J$5:$J$1640,1,'Bank Lines'!$C$5:$C$1640,"&lt;="&amp;Cover!$C$13),2)</f>
        <v>0</v>
      </c>
      <c r="N1230" s="9">
        <f>ROUND(SUMIFS('Odoo Items'!$G$5:$G$4331,'Odoo Items'!$J$5:$J$4331,A1230,'Odoo Items'!$C$5:$C$4331,"&lt;="&amp;Cover!$C$13),2)</f>
        <v>0</v>
      </c>
      <c r="O1230">
        <f>COUNTIFS('Bank Lines'!$G$5:$G$1640,A1230,'Bank Lines'!$J$5:$J$1640,1,'Bank Lines'!$C$5:$C$1640,"&lt;="&amp;Cover!$C$13)</f>
        <v>0</v>
      </c>
      <c r="P1230">
        <f>COUNTIFS('Odoo Items'!$J$5:$J$4331,A1230,'Odoo Items'!$C$5:$C$4331,"&lt;="&amp;Cover!$C$13)</f>
        <v>0</v>
      </c>
      <c r="Q1230">
        <f>IF(AND(O1230=0,P1230=0),"",IF(O1230=0,"ODOO-ONLY",IF(P1230=0,"BANK-ONLY","BOTH")))</f>
      </c>
      <c r="R1230" s="9">
        <f>IF(Q1230="BOTH",ROUND(M1230-N1230,2),0)</f>
        <v>0</v>
      </c>
      <c r="S1230" s="9">
        <f>ROUND(SUMIFS('Bank Lines'!$E$5:$E$1640,'Bank Lines'!$G$5:$G$1640,A1230,'Bank Lines'!$J$5:$J$1640,1,'Bank Lines'!$C$5:$C$1640,"&lt;="&amp;Cover!$C$14),2)</f>
        <v>0</v>
      </c>
      <c r="T1230" s="9">
        <f>ROUND(SUMIFS('Odoo Items'!$G$5:$G$4331,'Odoo Items'!$J$5:$J$4331,A1230,'Odoo Items'!$C$5:$C$4331,"&lt;="&amp;Cover!$C$14),2)</f>
        <v>0</v>
      </c>
      <c r="U1230">
        <f>COUNTIFS('Bank Lines'!$G$5:$G$1640,A1230,'Bank Lines'!$J$5:$J$1640,1,'Bank Lines'!$C$5:$C$1640,"&lt;="&amp;Cover!$C$14)</f>
        <v>0</v>
      </c>
      <c r="V1230">
        <f>COUNTIFS('Odoo Items'!$J$5:$J$4331,A1230,'Odoo Items'!$C$5:$C$4331,"&lt;="&amp;Cover!$C$14)</f>
        <v>0</v>
      </c>
      <c r="W1230">
        <f>IF(AND(U1230=0,V1230=0),"",IF(U1230=0,"ODOO-ONLY",IF(V1230=0,"BANK-ONLY","BOTH")))</f>
      </c>
      <c r="X1230" s="9">
        <f>IF(W1230="BOTH",ROUND(S1230-T1230,2),0)</f>
        <v>0</v>
      </c>
      <c r="Y1230" s="9">
        <f>ROUND(SUMIFS('Bank Lines'!$E$5:$E$1640,'Bank Lines'!$G$5:$G$1640,A1230,'Bank Lines'!$J$5:$J$1640,1,'Bank Lines'!$C$5:$C$1640,"&lt;="&amp;Cover!$C$15),2)</f>
        <v>-2295.11</v>
      </c>
      <c r="Z1230" s="9">
        <f>ROUND(SUMIFS('Odoo Items'!$G$5:$G$4331,'Odoo Items'!$J$5:$J$4331,A1230,'Odoo Items'!$C$5:$C$4331,"&lt;="&amp;Cover!$C$15),2)</f>
        <v>0</v>
      </c>
      <c r="AA1230">
        <f>COUNTIFS('Bank Lines'!$G$5:$G$1640,A1230,'Bank Lines'!$J$5:$J$1640,1,'Bank Lines'!$C$5:$C$1640,"&lt;="&amp;Cover!$C$15)</f>
        <v>1</v>
      </c>
      <c r="AB1230">
        <f>COUNTIFS('Odoo Items'!$J$5:$J$4331,A1230,'Odoo Items'!$C$5:$C$4331,"&lt;="&amp;Cover!$C$15)</f>
        <v>0</v>
      </c>
      <c r="AC1230" t="str">
        <f>IF(AND(AA1230=0,AB1230=0),"",IF(AA1230=0,"ODOO-ONLY",IF(AB1230=0,"BANK-ONLY","BOTH")))</f>
        <v>BANK-ONLY</v>
      </c>
      <c r="AD1230" s="9">
        <f>IF(AC1230="BOTH",ROUND(Y1230-Z1230,2),0)</f>
        <v>0</v>
      </c>
    </row>
    <row r="1231">
      <c r="A1231" t="inlineStr">
        <is>
          <t>G01227</t>
        </is>
      </c>
      <c r="B1231" t="inlineStr">
        <is>
          <t>USD</t>
        </is>
      </c>
      <c r="C1231" t="inlineStr">
        <is>
          <t>R12</t>
        </is>
      </c>
      <c r="D1231" t="inlineStr">
        <is>
          <t>FEE</t>
        </is>
      </c>
      <c r="E1231" t="inlineStr"/>
      <c r="G1231" t="inlineStr"/>
      <c r="H1231">
        <f>COUNTIFS('Bank Lines'!$G$5:$G$1640,A1231,'Bank Lines'!$J$5:$J$1640,1)</f>
        <v>1</v>
      </c>
      <c r="I1231">
        <f>COUNTIFS('Odoo Items'!$J$5:$J$4331,A1231)</f>
        <v>0</v>
      </c>
      <c r="J1231" s="9">
        <f>ROUND(SUMIFS('Bank Lines'!$E$5:$E$1640,'Bank Lines'!$G$5:$G$1640,A1231,'Bank Lines'!$J$5:$J$1640,1),2)</f>
        <v>-15</v>
      </c>
      <c r="K1231" s="9">
        <f>ROUND(SUMIFS('Odoo Items'!$G$5:$G$4331,'Odoo Items'!$J$5:$J$4331,A1231),2)</f>
        <v>0</v>
      </c>
      <c r="L1231" s="9">
        <f>ROUND(J1231-K1231,2)</f>
        <v>-15</v>
      </c>
      <c r="M1231" s="9">
        <f>ROUND(SUMIFS('Bank Lines'!$E$5:$E$1640,'Bank Lines'!$G$5:$G$1640,A1231,'Bank Lines'!$J$5:$J$1640,1,'Bank Lines'!$C$5:$C$1640,"&lt;="&amp;Cover!$C$13),2)</f>
        <v>-15</v>
      </c>
      <c r="N1231" s="9">
        <f>ROUND(SUMIFS('Odoo Items'!$G$5:$G$4331,'Odoo Items'!$J$5:$J$4331,A1231,'Odoo Items'!$C$5:$C$4331,"&lt;="&amp;Cover!$C$13),2)</f>
        <v>0</v>
      </c>
      <c r="O1231">
        <f>COUNTIFS('Bank Lines'!$G$5:$G$1640,A1231,'Bank Lines'!$J$5:$J$1640,1,'Bank Lines'!$C$5:$C$1640,"&lt;="&amp;Cover!$C$13)</f>
        <v>1</v>
      </c>
      <c r="P1231">
        <f>COUNTIFS('Odoo Items'!$J$5:$J$4331,A1231,'Odoo Items'!$C$5:$C$4331,"&lt;="&amp;Cover!$C$13)</f>
        <v>0</v>
      </c>
      <c r="Q1231" t="str">
        <f>IF(AND(O1231=0,P1231=0),"",IF(O1231=0,"ODOO-ONLY",IF(P1231=0,"BANK-ONLY","BOTH")))</f>
        <v>BANK-ONLY</v>
      </c>
      <c r="R1231" s="9">
        <f>IF(Q1231="BOTH",ROUND(M1231-N1231,2),0)</f>
        <v>0</v>
      </c>
      <c r="S1231" s="9">
        <f>ROUND(SUMIFS('Bank Lines'!$E$5:$E$1640,'Bank Lines'!$G$5:$G$1640,A1231,'Bank Lines'!$J$5:$J$1640,1,'Bank Lines'!$C$5:$C$1640,"&lt;="&amp;Cover!$C$14),2)</f>
        <v>-15</v>
      </c>
      <c r="T1231" s="9">
        <f>ROUND(SUMIFS('Odoo Items'!$G$5:$G$4331,'Odoo Items'!$J$5:$J$4331,A1231,'Odoo Items'!$C$5:$C$4331,"&lt;="&amp;Cover!$C$14),2)</f>
        <v>0</v>
      </c>
      <c r="U1231">
        <f>COUNTIFS('Bank Lines'!$G$5:$G$1640,A1231,'Bank Lines'!$J$5:$J$1640,1,'Bank Lines'!$C$5:$C$1640,"&lt;="&amp;Cover!$C$14)</f>
        <v>1</v>
      </c>
      <c r="V1231">
        <f>COUNTIFS('Odoo Items'!$J$5:$J$4331,A1231,'Odoo Items'!$C$5:$C$4331,"&lt;="&amp;Cover!$C$14)</f>
        <v>0</v>
      </c>
      <c r="W1231" t="str">
        <f>IF(AND(U1231=0,V1231=0),"",IF(U1231=0,"ODOO-ONLY",IF(V1231=0,"BANK-ONLY","BOTH")))</f>
        <v>BANK-ONLY</v>
      </c>
      <c r="X1231" s="9">
        <f>IF(W1231="BOTH",ROUND(S1231-T1231,2),0)</f>
        <v>0</v>
      </c>
      <c r="Y1231" s="9">
        <f>ROUND(SUMIFS('Bank Lines'!$E$5:$E$1640,'Bank Lines'!$G$5:$G$1640,A1231,'Bank Lines'!$J$5:$J$1640,1,'Bank Lines'!$C$5:$C$1640,"&lt;="&amp;Cover!$C$15),2)</f>
        <v>-15</v>
      </c>
      <c r="Z1231" s="9">
        <f>ROUND(SUMIFS('Odoo Items'!$G$5:$G$4331,'Odoo Items'!$J$5:$J$4331,A1231,'Odoo Items'!$C$5:$C$4331,"&lt;="&amp;Cover!$C$15),2)</f>
        <v>0</v>
      </c>
      <c r="AA1231">
        <f>COUNTIFS('Bank Lines'!$G$5:$G$1640,A1231,'Bank Lines'!$J$5:$J$1640,1,'Bank Lines'!$C$5:$C$1640,"&lt;="&amp;Cover!$C$15)</f>
        <v>1</v>
      </c>
      <c r="AB1231">
        <f>COUNTIFS('Odoo Items'!$J$5:$J$4331,A1231,'Odoo Items'!$C$5:$C$4331,"&lt;="&amp;Cover!$C$15)</f>
        <v>0</v>
      </c>
      <c r="AC1231" t="str">
        <f>IF(AND(AA1231=0,AB1231=0),"",IF(AA1231=0,"ODOO-ONLY",IF(AB1231=0,"BANK-ONLY","BOTH")))</f>
        <v>BANK-ONLY</v>
      </c>
      <c r="AD1231" s="9">
        <f>IF(AC1231="BOTH",ROUND(Y1231-Z1231,2),0)</f>
        <v>0</v>
      </c>
    </row>
    <row r="1232">
      <c r="A1232" t="inlineStr">
        <is>
          <t>G01228</t>
        </is>
      </c>
      <c r="B1232" t="inlineStr">
        <is>
          <t>USD</t>
        </is>
      </c>
      <c r="C1232" t="inlineStr">
        <is>
          <t>R12</t>
        </is>
      </c>
      <c r="D1232" t="inlineStr">
        <is>
          <t>FEE</t>
        </is>
      </c>
      <c r="E1232" t="inlineStr"/>
      <c r="G1232" t="inlineStr"/>
      <c r="H1232">
        <f>COUNTIFS('Bank Lines'!$G$5:$G$1640,A1232,'Bank Lines'!$J$5:$J$1640,1)</f>
        <v>1</v>
      </c>
      <c r="I1232">
        <f>COUNTIFS('Odoo Items'!$J$5:$J$4331,A1232)</f>
        <v>0</v>
      </c>
      <c r="J1232" s="9">
        <f>ROUND(SUMIFS('Bank Lines'!$E$5:$E$1640,'Bank Lines'!$G$5:$G$1640,A1232,'Bank Lines'!$J$5:$J$1640,1),2)</f>
        <v>-15</v>
      </c>
      <c r="K1232" s="9">
        <f>ROUND(SUMIFS('Odoo Items'!$G$5:$G$4331,'Odoo Items'!$J$5:$J$4331,A1232),2)</f>
        <v>0</v>
      </c>
      <c r="L1232" s="9">
        <f>ROUND(J1232-K1232,2)</f>
        <v>-15</v>
      </c>
      <c r="M1232" s="9">
        <f>ROUND(SUMIFS('Bank Lines'!$E$5:$E$1640,'Bank Lines'!$G$5:$G$1640,A1232,'Bank Lines'!$J$5:$J$1640,1,'Bank Lines'!$C$5:$C$1640,"&lt;="&amp;Cover!$C$13),2)</f>
        <v>-15</v>
      </c>
      <c r="N1232" s="9">
        <f>ROUND(SUMIFS('Odoo Items'!$G$5:$G$4331,'Odoo Items'!$J$5:$J$4331,A1232,'Odoo Items'!$C$5:$C$4331,"&lt;="&amp;Cover!$C$13),2)</f>
        <v>0</v>
      </c>
      <c r="O1232">
        <f>COUNTIFS('Bank Lines'!$G$5:$G$1640,A1232,'Bank Lines'!$J$5:$J$1640,1,'Bank Lines'!$C$5:$C$1640,"&lt;="&amp;Cover!$C$13)</f>
        <v>1</v>
      </c>
      <c r="P1232">
        <f>COUNTIFS('Odoo Items'!$J$5:$J$4331,A1232,'Odoo Items'!$C$5:$C$4331,"&lt;="&amp;Cover!$C$13)</f>
        <v>0</v>
      </c>
      <c r="Q1232" t="str">
        <f>IF(AND(O1232=0,P1232=0),"",IF(O1232=0,"ODOO-ONLY",IF(P1232=0,"BANK-ONLY","BOTH")))</f>
        <v>BANK-ONLY</v>
      </c>
      <c r="R1232" s="9">
        <f>IF(Q1232="BOTH",ROUND(M1232-N1232,2),0)</f>
        <v>0</v>
      </c>
      <c r="S1232" s="9">
        <f>ROUND(SUMIFS('Bank Lines'!$E$5:$E$1640,'Bank Lines'!$G$5:$G$1640,A1232,'Bank Lines'!$J$5:$J$1640,1,'Bank Lines'!$C$5:$C$1640,"&lt;="&amp;Cover!$C$14),2)</f>
        <v>-15</v>
      </c>
      <c r="T1232" s="9">
        <f>ROUND(SUMIFS('Odoo Items'!$G$5:$G$4331,'Odoo Items'!$J$5:$J$4331,A1232,'Odoo Items'!$C$5:$C$4331,"&lt;="&amp;Cover!$C$14),2)</f>
        <v>0</v>
      </c>
      <c r="U1232">
        <f>COUNTIFS('Bank Lines'!$G$5:$G$1640,A1232,'Bank Lines'!$J$5:$J$1640,1,'Bank Lines'!$C$5:$C$1640,"&lt;="&amp;Cover!$C$14)</f>
        <v>1</v>
      </c>
      <c r="V1232">
        <f>COUNTIFS('Odoo Items'!$J$5:$J$4331,A1232,'Odoo Items'!$C$5:$C$4331,"&lt;="&amp;Cover!$C$14)</f>
        <v>0</v>
      </c>
      <c r="W1232" t="str">
        <f>IF(AND(U1232=0,V1232=0),"",IF(U1232=0,"ODOO-ONLY",IF(V1232=0,"BANK-ONLY","BOTH")))</f>
        <v>BANK-ONLY</v>
      </c>
      <c r="X1232" s="9">
        <f>IF(W1232="BOTH",ROUND(S1232-T1232,2),0)</f>
        <v>0</v>
      </c>
      <c r="Y1232" s="9">
        <f>ROUND(SUMIFS('Bank Lines'!$E$5:$E$1640,'Bank Lines'!$G$5:$G$1640,A1232,'Bank Lines'!$J$5:$J$1640,1,'Bank Lines'!$C$5:$C$1640,"&lt;="&amp;Cover!$C$15),2)</f>
        <v>-15</v>
      </c>
      <c r="Z1232" s="9">
        <f>ROUND(SUMIFS('Odoo Items'!$G$5:$G$4331,'Odoo Items'!$J$5:$J$4331,A1232,'Odoo Items'!$C$5:$C$4331,"&lt;="&amp;Cover!$C$15),2)</f>
        <v>0</v>
      </c>
      <c r="AA1232">
        <f>COUNTIFS('Bank Lines'!$G$5:$G$1640,A1232,'Bank Lines'!$J$5:$J$1640,1,'Bank Lines'!$C$5:$C$1640,"&lt;="&amp;Cover!$C$15)</f>
        <v>1</v>
      </c>
      <c r="AB1232">
        <f>COUNTIFS('Odoo Items'!$J$5:$J$4331,A1232,'Odoo Items'!$C$5:$C$4331,"&lt;="&amp;Cover!$C$15)</f>
        <v>0</v>
      </c>
      <c r="AC1232" t="str">
        <f>IF(AND(AA1232=0,AB1232=0),"",IF(AA1232=0,"ODOO-ONLY",IF(AB1232=0,"BANK-ONLY","BOTH")))</f>
        <v>BANK-ONLY</v>
      </c>
      <c r="AD1232" s="9">
        <f>IF(AC1232="BOTH",ROUND(Y1232-Z1232,2),0)</f>
        <v>0</v>
      </c>
    </row>
    <row r="1233">
      <c r="A1233" t="inlineStr">
        <is>
          <t>G01229</t>
        </is>
      </c>
      <c r="B1233" t="inlineStr">
        <is>
          <t>USD</t>
        </is>
      </c>
      <c r="C1233" t="inlineStr">
        <is>
          <t>R12</t>
        </is>
      </c>
      <c r="D1233" t="inlineStr">
        <is>
          <t>FEE</t>
        </is>
      </c>
      <c r="E1233" t="inlineStr"/>
      <c r="G1233" t="inlineStr"/>
      <c r="H1233">
        <f>COUNTIFS('Bank Lines'!$G$5:$G$1640,A1233,'Bank Lines'!$J$5:$J$1640,1)</f>
        <v>1</v>
      </c>
      <c r="I1233">
        <f>COUNTIFS('Odoo Items'!$J$5:$J$4331,A1233)</f>
        <v>0</v>
      </c>
      <c r="J1233" s="9">
        <f>ROUND(SUMIFS('Bank Lines'!$E$5:$E$1640,'Bank Lines'!$G$5:$G$1640,A1233,'Bank Lines'!$J$5:$J$1640,1),2)</f>
        <v>-15</v>
      </c>
      <c r="K1233" s="9">
        <f>ROUND(SUMIFS('Odoo Items'!$G$5:$G$4331,'Odoo Items'!$J$5:$J$4331,A1233),2)</f>
        <v>0</v>
      </c>
      <c r="L1233" s="9">
        <f>ROUND(J1233-K1233,2)</f>
        <v>-15</v>
      </c>
      <c r="M1233" s="9">
        <f>ROUND(SUMIFS('Bank Lines'!$E$5:$E$1640,'Bank Lines'!$G$5:$G$1640,A1233,'Bank Lines'!$J$5:$J$1640,1,'Bank Lines'!$C$5:$C$1640,"&lt;="&amp;Cover!$C$13),2)</f>
        <v>-15</v>
      </c>
      <c r="N1233" s="9">
        <f>ROUND(SUMIFS('Odoo Items'!$G$5:$G$4331,'Odoo Items'!$J$5:$J$4331,A1233,'Odoo Items'!$C$5:$C$4331,"&lt;="&amp;Cover!$C$13),2)</f>
        <v>0</v>
      </c>
      <c r="O1233">
        <f>COUNTIFS('Bank Lines'!$G$5:$G$1640,A1233,'Bank Lines'!$J$5:$J$1640,1,'Bank Lines'!$C$5:$C$1640,"&lt;="&amp;Cover!$C$13)</f>
        <v>1</v>
      </c>
      <c r="P1233">
        <f>COUNTIFS('Odoo Items'!$J$5:$J$4331,A1233,'Odoo Items'!$C$5:$C$4331,"&lt;="&amp;Cover!$C$13)</f>
        <v>0</v>
      </c>
      <c r="Q1233" t="str">
        <f>IF(AND(O1233=0,P1233=0),"",IF(O1233=0,"ODOO-ONLY",IF(P1233=0,"BANK-ONLY","BOTH")))</f>
        <v>BANK-ONLY</v>
      </c>
      <c r="R1233" s="9">
        <f>IF(Q1233="BOTH",ROUND(M1233-N1233,2),0)</f>
        <v>0</v>
      </c>
      <c r="S1233" s="9">
        <f>ROUND(SUMIFS('Bank Lines'!$E$5:$E$1640,'Bank Lines'!$G$5:$G$1640,A1233,'Bank Lines'!$J$5:$J$1640,1,'Bank Lines'!$C$5:$C$1640,"&lt;="&amp;Cover!$C$14),2)</f>
        <v>-15</v>
      </c>
      <c r="T1233" s="9">
        <f>ROUND(SUMIFS('Odoo Items'!$G$5:$G$4331,'Odoo Items'!$J$5:$J$4331,A1233,'Odoo Items'!$C$5:$C$4331,"&lt;="&amp;Cover!$C$14),2)</f>
        <v>0</v>
      </c>
      <c r="U1233">
        <f>COUNTIFS('Bank Lines'!$G$5:$G$1640,A1233,'Bank Lines'!$J$5:$J$1640,1,'Bank Lines'!$C$5:$C$1640,"&lt;="&amp;Cover!$C$14)</f>
        <v>1</v>
      </c>
      <c r="V1233">
        <f>COUNTIFS('Odoo Items'!$J$5:$J$4331,A1233,'Odoo Items'!$C$5:$C$4331,"&lt;="&amp;Cover!$C$14)</f>
        <v>0</v>
      </c>
      <c r="W1233" t="str">
        <f>IF(AND(U1233=0,V1233=0),"",IF(U1233=0,"ODOO-ONLY",IF(V1233=0,"BANK-ONLY","BOTH")))</f>
        <v>BANK-ONLY</v>
      </c>
      <c r="X1233" s="9">
        <f>IF(W1233="BOTH",ROUND(S1233-T1233,2),0)</f>
        <v>0</v>
      </c>
      <c r="Y1233" s="9">
        <f>ROUND(SUMIFS('Bank Lines'!$E$5:$E$1640,'Bank Lines'!$G$5:$G$1640,A1233,'Bank Lines'!$J$5:$J$1640,1,'Bank Lines'!$C$5:$C$1640,"&lt;="&amp;Cover!$C$15),2)</f>
        <v>-15</v>
      </c>
      <c r="Z1233" s="9">
        <f>ROUND(SUMIFS('Odoo Items'!$G$5:$G$4331,'Odoo Items'!$J$5:$J$4331,A1233,'Odoo Items'!$C$5:$C$4331,"&lt;="&amp;Cover!$C$15),2)</f>
        <v>0</v>
      </c>
      <c r="AA1233">
        <f>COUNTIFS('Bank Lines'!$G$5:$G$1640,A1233,'Bank Lines'!$J$5:$J$1640,1,'Bank Lines'!$C$5:$C$1640,"&lt;="&amp;Cover!$C$15)</f>
        <v>1</v>
      </c>
      <c r="AB1233">
        <f>COUNTIFS('Odoo Items'!$J$5:$J$4331,A1233,'Odoo Items'!$C$5:$C$4331,"&lt;="&amp;Cover!$C$15)</f>
        <v>0</v>
      </c>
      <c r="AC1233" t="str">
        <f>IF(AND(AA1233=0,AB1233=0),"",IF(AA1233=0,"ODOO-ONLY",IF(AB1233=0,"BANK-ONLY","BOTH")))</f>
        <v>BANK-ONLY</v>
      </c>
      <c r="AD1233" s="9">
        <f>IF(AC1233="BOTH",ROUND(Y1233-Z1233,2),0)</f>
        <v>0</v>
      </c>
    </row>
    <row r="1234">
      <c r="A1234" t="inlineStr">
        <is>
          <t>G01230</t>
        </is>
      </c>
      <c r="B1234" t="inlineStr">
        <is>
          <t>USD</t>
        </is>
      </c>
      <c r="C1234" t="inlineStr">
        <is>
          <t>R12</t>
        </is>
      </c>
      <c r="D1234" t="inlineStr">
        <is>
          <t>FEE</t>
        </is>
      </c>
      <c r="E1234" t="inlineStr"/>
      <c r="G1234" t="inlineStr"/>
      <c r="H1234">
        <f>COUNTIFS('Bank Lines'!$G$5:$G$1640,A1234,'Bank Lines'!$J$5:$J$1640,1)</f>
        <v>1</v>
      </c>
      <c r="I1234">
        <f>COUNTIFS('Odoo Items'!$J$5:$J$4331,A1234)</f>
        <v>0</v>
      </c>
      <c r="J1234" s="9">
        <f>ROUND(SUMIFS('Bank Lines'!$E$5:$E$1640,'Bank Lines'!$G$5:$G$1640,A1234,'Bank Lines'!$J$5:$J$1640,1),2)</f>
        <v>-15</v>
      </c>
      <c r="K1234" s="9">
        <f>ROUND(SUMIFS('Odoo Items'!$G$5:$G$4331,'Odoo Items'!$J$5:$J$4331,A1234),2)</f>
        <v>0</v>
      </c>
      <c r="L1234" s="9">
        <f>ROUND(J1234-K1234,2)</f>
        <v>-15</v>
      </c>
      <c r="M1234" s="9">
        <f>ROUND(SUMIFS('Bank Lines'!$E$5:$E$1640,'Bank Lines'!$G$5:$G$1640,A1234,'Bank Lines'!$J$5:$J$1640,1,'Bank Lines'!$C$5:$C$1640,"&lt;="&amp;Cover!$C$13),2)</f>
        <v>-15</v>
      </c>
      <c r="N1234" s="9">
        <f>ROUND(SUMIFS('Odoo Items'!$G$5:$G$4331,'Odoo Items'!$J$5:$J$4331,A1234,'Odoo Items'!$C$5:$C$4331,"&lt;="&amp;Cover!$C$13),2)</f>
        <v>0</v>
      </c>
      <c r="O1234">
        <f>COUNTIFS('Bank Lines'!$G$5:$G$1640,A1234,'Bank Lines'!$J$5:$J$1640,1,'Bank Lines'!$C$5:$C$1640,"&lt;="&amp;Cover!$C$13)</f>
        <v>1</v>
      </c>
      <c r="P1234">
        <f>COUNTIFS('Odoo Items'!$J$5:$J$4331,A1234,'Odoo Items'!$C$5:$C$4331,"&lt;="&amp;Cover!$C$13)</f>
        <v>0</v>
      </c>
      <c r="Q1234" t="str">
        <f>IF(AND(O1234=0,P1234=0),"",IF(O1234=0,"ODOO-ONLY",IF(P1234=0,"BANK-ONLY","BOTH")))</f>
        <v>BANK-ONLY</v>
      </c>
      <c r="R1234" s="9">
        <f>IF(Q1234="BOTH",ROUND(M1234-N1234,2),0)</f>
        <v>0</v>
      </c>
      <c r="S1234" s="9">
        <f>ROUND(SUMIFS('Bank Lines'!$E$5:$E$1640,'Bank Lines'!$G$5:$G$1640,A1234,'Bank Lines'!$J$5:$J$1640,1,'Bank Lines'!$C$5:$C$1640,"&lt;="&amp;Cover!$C$14),2)</f>
        <v>-15</v>
      </c>
      <c r="T1234" s="9">
        <f>ROUND(SUMIFS('Odoo Items'!$G$5:$G$4331,'Odoo Items'!$J$5:$J$4331,A1234,'Odoo Items'!$C$5:$C$4331,"&lt;="&amp;Cover!$C$14),2)</f>
        <v>0</v>
      </c>
      <c r="U1234">
        <f>COUNTIFS('Bank Lines'!$G$5:$G$1640,A1234,'Bank Lines'!$J$5:$J$1640,1,'Bank Lines'!$C$5:$C$1640,"&lt;="&amp;Cover!$C$14)</f>
        <v>1</v>
      </c>
      <c r="V1234">
        <f>COUNTIFS('Odoo Items'!$J$5:$J$4331,A1234,'Odoo Items'!$C$5:$C$4331,"&lt;="&amp;Cover!$C$14)</f>
        <v>0</v>
      </c>
      <c r="W1234" t="str">
        <f>IF(AND(U1234=0,V1234=0),"",IF(U1234=0,"ODOO-ONLY",IF(V1234=0,"BANK-ONLY","BOTH")))</f>
        <v>BANK-ONLY</v>
      </c>
      <c r="X1234" s="9">
        <f>IF(W1234="BOTH",ROUND(S1234-T1234,2),0)</f>
        <v>0</v>
      </c>
      <c r="Y1234" s="9">
        <f>ROUND(SUMIFS('Bank Lines'!$E$5:$E$1640,'Bank Lines'!$G$5:$G$1640,A1234,'Bank Lines'!$J$5:$J$1640,1,'Bank Lines'!$C$5:$C$1640,"&lt;="&amp;Cover!$C$15),2)</f>
        <v>-15</v>
      </c>
      <c r="Z1234" s="9">
        <f>ROUND(SUMIFS('Odoo Items'!$G$5:$G$4331,'Odoo Items'!$J$5:$J$4331,A1234,'Odoo Items'!$C$5:$C$4331,"&lt;="&amp;Cover!$C$15),2)</f>
        <v>0</v>
      </c>
      <c r="AA1234">
        <f>COUNTIFS('Bank Lines'!$G$5:$G$1640,A1234,'Bank Lines'!$J$5:$J$1640,1,'Bank Lines'!$C$5:$C$1640,"&lt;="&amp;Cover!$C$15)</f>
        <v>1</v>
      </c>
      <c r="AB1234">
        <f>COUNTIFS('Odoo Items'!$J$5:$J$4331,A1234,'Odoo Items'!$C$5:$C$4331,"&lt;="&amp;Cover!$C$15)</f>
        <v>0</v>
      </c>
      <c r="AC1234" t="str">
        <f>IF(AND(AA1234=0,AB1234=0),"",IF(AA1234=0,"ODOO-ONLY",IF(AB1234=0,"BANK-ONLY","BOTH")))</f>
        <v>BANK-ONLY</v>
      </c>
      <c r="AD1234" s="9">
        <f>IF(AC1234="BOTH",ROUND(Y1234-Z1234,2),0)</f>
        <v>0</v>
      </c>
    </row>
    <row r="1235">
      <c r="A1235" t="inlineStr">
        <is>
          <t>G01231</t>
        </is>
      </c>
      <c r="B1235" t="inlineStr">
        <is>
          <t>USD</t>
        </is>
      </c>
      <c r="C1235" t="inlineStr">
        <is>
          <t>R12</t>
        </is>
      </c>
      <c r="D1235" t="inlineStr">
        <is>
          <t>FEE</t>
        </is>
      </c>
      <c r="E1235" t="inlineStr"/>
      <c r="G1235" t="inlineStr"/>
      <c r="H1235">
        <f>COUNTIFS('Bank Lines'!$G$5:$G$1640,A1235,'Bank Lines'!$J$5:$J$1640,1)</f>
        <v>1</v>
      </c>
      <c r="I1235">
        <f>COUNTIFS('Odoo Items'!$J$5:$J$4331,A1235)</f>
        <v>0</v>
      </c>
      <c r="J1235" s="9">
        <f>ROUND(SUMIFS('Bank Lines'!$E$5:$E$1640,'Bank Lines'!$G$5:$G$1640,A1235,'Bank Lines'!$J$5:$J$1640,1),2)</f>
        <v>-15</v>
      </c>
      <c r="K1235" s="9">
        <f>ROUND(SUMIFS('Odoo Items'!$G$5:$G$4331,'Odoo Items'!$J$5:$J$4331,A1235),2)</f>
        <v>0</v>
      </c>
      <c r="L1235" s="9">
        <f>ROUND(J1235-K1235,2)</f>
        <v>-15</v>
      </c>
      <c r="M1235" s="9">
        <f>ROUND(SUMIFS('Bank Lines'!$E$5:$E$1640,'Bank Lines'!$G$5:$G$1640,A1235,'Bank Lines'!$J$5:$J$1640,1,'Bank Lines'!$C$5:$C$1640,"&lt;="&amp;Cover!$C$13),2)</f>
        <v>0</v>
      </c>
      <c r="N1235" s="9">
        <f>ROUND(SUMIFS('Odoo Items'!$G$5:$G$4331,'Odoo Items'!$J$5:$J$4331,A1235,'Odoo Items'!$C$5:$C$4331,"&lt;="&amp;Cover!$C$13),2)</f>
        <v>0</v>
      </c>
      <c r="O1235">
        <f>COUNTIFS('Bank Lines'!$G$5:$G$1640,A1235,'Bank Lines'!$J$5:$J$1640,1,'Bank Lines'!$C$5:$C$1640,"&lt;="&amp;Cover!$C$13)</f>
        <v>0</v>
      </c>
      <c r="P1235">
        <f>COUNTIFS('Odoo Items'!$J$5:$J$4331,A1235,'Odoo Items'!$C$5:$C$4331,"&lt;="&amp;Cover!$C$13)</f>
        <v>0</v>
      </c>
      <c r="Q1235">
        <f>IF(AND(O1235=0,P1235=0),"",IF(O1235=0,"ODOO-ONLY",IF(P1235=0,"BANK-ONLY","BOTH")))</f>
      </c>
      <c r="R1235" s="9">
        <f>IF(Q1235="BOTH",ROUND(M1235-N1235,2),0)</f>
        <v>0</v>
      </c>
      <c r="S1235" s="9">
        <f>ROUND(SUMIFS('Bank Lines'!$E$5:$E$1640,'Bank Lines'!$G$5:$G$1640,A1235,'Bank Lines'!$J$5:$J$1640,1,'Bank Lines'!$C$5:$C$1640,"&lt;="&amp;Cover!$C$14),2)</f>
        <v>-15</v>
      </c>
      <c r="T1235" s="9">
        <f>ROUND(SUMIFS('Odoo Items'!$G$5:$G$4331,'Odoo Items'!$J$5:$J$4331,A1235,'Odoo Items'!$C$5:$C$4331,"&lt;="&amp;Cover!$C$14),2)</f>
        <v>0</v>
      </c>
      <c r="U1235">
        <f>COUNTIFS('Bank Lines'!$G$5:$G$1640,A1235,'Bank Lines'!$J$5:$J$1640,1,'Bank Lines'!$C$5:$C$1640,"&lt;="&amp;Cover!$C$14)</f>
        <v>1</v>
      </c>
      <c r="V1235">
        <f>COUNTIFS('Odoo Items'!$J$5:$J$4331,A1235,'Odoo Items'!$C$5:$C$4331,"&lt;="&amp;Cover!$C$14)</f>
        <v>0</v>
      </c>
      <c r="W1235" t="str">
        <f>IF(AND(U1235=0,V1235=0),"",IF(U1235=0,"ODOO-ONLY",IF(V1235=0,"BANK-ONLY","BOTH")))</f>
        <v>BANK-ONLY</v>
      </c>
      <c r="X1235" s="9">
        <f>IF(W1235="BOTH",ROUND(S1235-T1235,2),0)</f>
        <v>0</v>
      </c>
      <c r="Y1235" s="9">
        <f>ROUND(SUMIFS('Bank Lines'!$E$5:$E$1640,'Bank Lines'!$G$5:$G$1640,A1235,'Bank Lines'!$J$5:$J$1640,1,'Bank Lines'!$C$5:$C$1640,"&lt;="&amp;Cover!$C$15),2)</f>
        <v>-15</v>
      </c>
      <c r="Z1235" s="9">
        <f>ROUND(SUMIFS('Odoo Items'!$G$5:$G$4331,'Odoo Items'!$J$5:$J$4331,A1235,'Odoo Items'!$C$5:$C$4331,"&lt;="&amp;Cover!$C$15),2)</f>
        <v>0</v>
      </c>
      <c r="AA1235">
        <f>COUNTIFS('Bank Lines'!$G$5:$G$1640,A1235,'Bank Lines'!$J$5:$J$1640,1,'Bank Lines'!$C$5:$C$1640,"&lt;="&amp;Cover!$C$15)</f>
        <v>1</v>
      </c>
      <c r="AB1235">
        <f>COUNTIFS('Odoo Items'!$J$5:$J$4331,A1235,'Odoo Items'!$C$5:$C$4331,"&lt;="&amp;Cover!$C$15)</f>
        <v>0</v>
      </c>
      <c r="AC1235" t="str">
        <f>IF(AND(AA1235=0,AB1235=0),"",IF(AA1235=0,"ODOO-ONLY",IF(AB1235=0,"BANK-ONLY","BOTH")))</f>
        <v>BANK-ONLY</v>
      </c>
      <c r="AD1235" s="9">
        <f>IF(AC1235="BOTH",ROUND(Y1235-Z1235,2),0)</f>
        <v>0</v>
      </c>
    </row>
    <row r="1236">
      <c r="A1236" t="inlineStr">
        <is>
          <t>G01232</t>
        </is>
      </c>
      <c r="B1236" t="inlineStr">
        <is>
          <t>USD</t>
        </is>
      </c>
      <c r="C1236" t="inlineStr">
        <is>
          <t>R12</t>
        </is>
      </c>
      <c r="D1236" t="inlineStr">
        <is>
          <t>FEE</t>
        </is>
      </c>
      <c r="E1236" t="inlineStr"/>
      <c r="G1236" t="inlineStr"/>
      <c r="H1236">
        <f>COUNTIFS('Bank Lines'!$G$5:$G$1640,A1236,'Bank Lines'!$J$5:$J$1640,1)</f>
        <v>1</v>
      </c>
      <c r="I1236">
        <f>COUNTIFS('Odoo Items'!$J$5:$J$4331,A1236)</f>
        <v>0</v>
      </c>
      <c r="J1236" s="9">
        <f>ROUND(SUMIFS('Bank Lines'!$E$5:$E$1640,'Bank Lines'!$G$5:$G$1640,A1236,'Bank Lines'!$J$5:$J$1640,1),2)</f>
        <v>-15</v>
      </c>
      <c r="K1236" s="9">
        <f>ROUND(SUMIFS('Odoo Items'!$G$5:$G$4331,'Odoo Items'!$J$5:$J$4331,A1236),2)</f>
        <v>0</v>
      </c>
      <c r="L1236" s="9">
        <f>ROUND(J1236-K1236,2)</f>
        <v>-15</v>
      </c>
      <c r="M1236" s="9">
        <f>ROUND(SUMIFS('Bank Lines'!$E$5:$E$1640,'Bank Lines'!$G$5:$G$1640,A1236,'Bank Lines'!$J$5:$J$1640,1,'Bank Lines'!$C$5:$C$1640,"&lt;="&amp;Cover!$C$13),2)</f>
        <v>0</v>
      </c>
      <c r="N1236" s="9">
        <f>ROUND(SUMIFS('Odoo Items'!$G$5:$G$4331,'Odoo Items'!$J$5:$J$4331,A1236,'Odoo Items'!$C$5:$C$4331,"&lt;="&amp;Cover!$C$13),2)</f>
        <v>0</v>
      </c>
      <c r="O1236">
        <f>COUNTIFS('Bank Lines'!$G$5:$G$1640,A1236,'Bank Lines'!$J$5:$J$1640,1,'Bank Lines'!$C$5:$C$1640,"&lt;="&amp;Cover!$C$13)</f>
        <v>0</v>
      </c>
      <c r="P1236">
        <f>COUNTIFS('Odoo Items'!$J$5:$J$4331,A1236,'Odoo Items'!$C$5:$C$4331,"&lt;="&amp;Cover!$C$13)</f>
        <v>0</v>
      </c>
      <c r="Q1236">
        <f>IF(AND(O1236=0,P1236=0),"",IF(O1236=0,"ODOO-ONLY",IF(P1236=0,"BANK-ONLY","BOTH")))</f>
      </c>
      <c r="R1236" s="9">
        <f>IF(Q1236="BOTH",ROUND(M1236-N1236,2),0)</f>
        <v>0</v>
      </c>
      <c r="S1236" s="9">
        <f>ROUND(SUMIFS('Bank Lines'!$E$5:$E$1640,'Bank Lines'!$G$5:$G$1640,A1236,'Bank Lines'!$J$5:$J$1640,1,'Bank Lines'!$C$5:$C$1640,"&lt;="&amp;Cover!$C$14),2)</f>
        <v>-15</v>
      </c>
      <c r="T1236" s="9">
        <f>ROUND(SUMIFS('Odoo Items'!$G$5:$G$4331,'Odoo Items'!$J$5:$J$4331,A1236,'Odoo Items'!$C$5:$C$4331,"&lt;="&amp;Cover!$C$14),2)</f>
        <v>0</v>
      </c>
      <c r="U1236">
        <f>COUNTIFS('Bank Lines'!$G$5:$G$1640,A1236,'Bank Lines'!$J$5:$J$1640,1,'Bank Lines'!$C$5:$C$1640,"&lt;="&amp;Cover!$C$14)</f>
        <v>1</v>
      </c>
      <c r="V1236">
        <f>COUNTIFS('Odoo Items'!$J$5:$J$4331,A1236,'Odoo Items'!$C$5:$C$4331,"&lt;="&amp;Cover!$C$14)</f>
        <v>0</v>
      </c>
      <c r="W1236" t="str">
        <f>IF(AND(U1236=0,V1236=0),"",IF(U1236=0,"ODOO-ONLY",IF(V1236=0,"BANK-ONLY","BOTH")))</f>
        <v>BANK-ONLY</v>
      </c>
      <c r="X1236" s="9">
        <f>IF(W1236="BOTH",ROUND(S1236-T1236,2),0)</f>
        <v>0</v>
      </c>
      <c r="Y1236" s="9">
        <f>ROUND(SUMIFS('Bank Lines'!$E$5:$E$1640,'Bank Lines'!$G$5:$G$1640,A1236,'Bank Lines'!$J$5:$J$1640,1,'Bank Lines'!$C$5:$C$1640,"&lt;="&amp;Cover!$C$15),2)</f>
        <v>-15</v>
      </c>
      <c r="Z1236" s="9">
        <f>ROUND(SUMIFS('Odoo Items'!$G$5:$G$4331,'Odoo Items'!$J$5:$J$4331,A1236,'Odoo Items'!$C$5:$C$4331,"&lt;="&amp;Cover!$C$15),2)</f>
        <v>0</v>
      </c>
      <c r="AA1236">
        <f>COUNTIFS('Bank Lines'!$G$5:$G$1640,A1236,'Bank Lines'!$J$5:$J$1640,1,'Bank Lines'!$C$5:$C$1640,"&lt;="&amp;Cover!$C$15)</f>
        <v>1</v>
      </c>
      <c r="AB1236">
        <f>COUNTIFS('Odoo Items'!$J$5:$J$4331,A1236,'Odoo Items'!$C$5:$C$4331,"&lt;="&amp;Cover!$C$15)</f>
        <v>0</v>
      </c>
      <c r="AC1236" t="str">
        <f>IF(AND(AA1236=0,AB1236=0),"",IF(AA1236=0,"ODOO-ONLY",IF(AB1236=0,"BANK-ONLY","BOTH")))</f>
        <v>BANK-ONLY</v>
      </c>
      <c r="AD1236" s="9">
        <f>IF(AC1236="BOTH",ROUND(Y1236-Z1236,2),0)</f>
        <v>0</v>
      </c>
    </row>
    <row r="1237">
      <c r="A1237" t="inlineStr">
        <is>
          <t>G01233</t>
        </is>
      </c>
      <c r="B1237" t="inlineStr">
        <is>
          <t>USD</t>
        </is>
      </c>
      <c r="C1237" t="inlineStr">
        <is>
          <t>R12</t>
        </is>
      </c>
      <c r="D1237" t="inlineStr">
        <is>
          <t>FEE</t>
        </is>
      </c>
      <c r="E1237" t="inlineStr"/>
      <c r="G1237" t="inlineStr"/>
      <c r="H1237">
        <f>COUNTIFS('Bank Lines'!$G$5:$G$1640,A1237,'Bank Lines'!$J$5:$J$1640,1)</f>
        <v>1</v>
      </c>
      <c r="I1237">
        <f>COUNTIFS('Odoo Items'!$J$5:$J$4331,A1237)</f>
        <v>0</v>
      </c>
      <c r="J1237" s="9">
        <f>ROUND(SUMIFS('Bank Lines'!$E$5:$E$1640,'Bank Lines'!$G$5:$G$1640,A1237,'Bank Lines'!$J$5:$J$1640,1),2)</f>
        <v>-15</v>
      </c>
      <c r="K1237" s="9">
        <f>ROUND(SUMIFS('Odoo Items'!$G$5:$G$4331,'Odoo Items'!$J$5:$J$4331,A1237),2)</f>
        <v>0</v>
      </c>
      <c r="L1237" s="9">
        <f>ROUND(J1237-K1237,2)</f>
        <v>-15</v>
      </c>
      <c r="M1237" s="9">
        <f>ROUND(SUMIFS('Bank Lines'!$E$5:$E$1640,'Bank Lines'!$G$5:$G$1640,A1237,'Bank Lines'!$J$5:$J$1640,1,'Bank Lines'!$C$5:$C$1640,"&lt;="&amp;Cover!$C$13),2)</f>
        <v>0</v>
      </c>
      <c r="N1237" s="9">
        <f>ROUND(SUMIFS('Odoo Items'!$G$5:$G$4331,'Odoo Items'!$J$5:$J$4331,A1237,'Odoo Items'!$C$5:$C$4331,"&lt;="&amp;Cover!$C$13),2)</f>
        <v>0</v>
      </c>
      <c r="O1237">
        <f>COUNTIFS('Bank Lines'!$G$5:$G$1640,A1237,'Bank Lines'!$J$5:$J$1640,1,'Bank Lines'!$C$5:$C$1640,"&lt;="&amp;Cover!$C$13)</f>
        <v>0</v>
      </c>
      <c r="P1237">
        <f>COUNTIFS('Odoo Items'!$J$5:$J$4331,A1237,'Odoo Items'!$C$5:$C$4331,"&lt;="&amp;Cover!$C$13)</f>
        <v>0</v>
      </c>
      <c r="Q1237">
        <f>IF(AND(O1237=0,P1237=0),"",IF(O1237=0,"ODOO-ONLY",IF(P1237=0,"BANK-ONLY","BOTH")))</f>
      </c>
      <c r="R1237" s="9">
        <f>IF(Q1237="BOTH",ROUND(M1237-N1237,2),0)</f>
        <v>0</v>
      </c>
      <c r="S1237" s="9">
        <f>ROUND(SUMIFS('Bank Lines'!$E$5:$E$1640,'Bank Lines'!$G$5:$G$1640,A1237,'Bank Lines'!$J$5:$J$1640,1,'Bank Lines'!$C$5:$C$1640,"&lt;="&amp;Cover!$C$14),2)</f>
        <v>-15</v>
      </c>
      <c r="T1237" s="9">
        <f>ROUND(SUMIFS('Odoo Items'!$G$5:$G$4331,'Odoo Items'!$J$5:$J$4331,A1237,'Odoo Items'!$C$5:$C$4331,"&lt;="&amp;Cover!$C$14),2)</f>
        <v>0</v>
      </c>
      <c r="U1237">
        <f>COUNTIFS('Bank Lines'!$G$5:$G$1640,A1237,'Bank Lines'!$J$5:$J$1640,1,'Bank Lines'!$C$5:$C$1640,"&lt;="&amp;Cover!$C$14)</f>
        <v>1</v>
      </c>
      <c r="V1237">
        <f>COUNTIFS('Odoo Items'!$J$5:$J$4331,A1237,'Odoo Items'!$C$5:$C$4331,"&lt;="&amp;Cover!$C$14)</f>
        <v>0</v>
      </c>
      <c r="W1237" t="str">
        <f>IF(AND(U1237=0,V1237=0),"",IF(U1237=0,"ODOO-ONLY",IF(V1237=0,"BANK-ONLY","BOTH")))</f>
        <v>BANK-ONLY</v>
      </c>
      <c r="X1237" s="9">
        <f>IF(W1237="BOTH",ROUND(S1237-T1237,2),0)</f>
        <v>0</v>
      </c>
      <c r="Y1237" s="9">
        <f>ROUND(SUMIFS('Bank Lines'!$E$5:$E$1640,'Bank Lines'!$G$5:$G$1640,A1237,'Bank Lines'!$J$5:$J$1640,1,'Bank Lines'!$C$5:$C$1640,"&lt;="&amp;Cover!$C$15),2)</f>
        <v>-15</v>
      </c>
      <c r="Z1237" s="9">
        <f>ROUND(SUMIFS('Odoo Items'!$G$5:$G$4331,'Odoo Items'!$J$5:$J$4331,A1237,'Odoo Items'!$C$5:$C$4331,"&lt;="&amp;Cover!$C$15),2)</f>
        <v>0</v>
      </c>
      <c r="AA1237">
        <f>COUNTIFS('Bank Lines'!$G$5:$G$1640,A1237,'Bank Lines'!$J$5:$J$1640,1,'Bank Lines'!$C$5:$C$1640,"&lt;="&amp;Cover!$C$15)</f>
        <v>1</v>
      </c>
      <c r="AB1237">
        <f>COUNTIFS('Odoo Items'!$J$5:$J$4331,A1237,'Odoo Items'!$C$5:$C$4331,"&lt;="&amp;Cover!$C$15)</f>
        <v>0</v>
      </c>
      <c r="AC1237" t="str">
        <f>IF(AND(AA1237=0,AB1237=0),"",IF(AA1237=0,"ODOO-ONLY",IF(AB1237=0,"BANK-ONLY","BOTH")))</f>
        <v>BANK-ONLY</v>
      </c>
      <c r="AD1237" s="9">
        <f>IF(AC1237="BOTH",ROUND(Y1237-Z1237,2),0)</f>
        <v>0</v>
      </c>
    </row>
    <row r="1238">
      <c r="A1238" t="inlineStr">
        <is>
          <t>G01234</t>
        </is>
      </c>
      <c r="B1238" t="inlineStr">
        <is>
          <t>USD</t>
        </is>
      </c>
      <c r="C1238" t="inlineStr">
        <is>
          <t>R12</t>
        </is>
      </c>
      <c r="D1238" t="inlineStr">
        <is>
          <t>FEE</t>
        </is>
      </c>
      <c r="E1238" t="inlineStr"/>
      <c r="G1238" t="inlineStr"/>
      <c r="H1238">
        <f>COUNTIFS('Bank Lines'!$G$5:$G$1640,A1238,'Bank Lines'!$J$5:$J$1640,1)</f>
        <v>1</v>
      </c>
      <c r="I1238">
        <f>COUNTIFS('Odoo Items'!$J$5:$J$4331,A1238)</f>
        <v>0</v>
      </c>
      <c r="J1238" s="9">
        <f>ROUND(SUMIFS('Bank Lines'!$E$5:$E$1640,'Bank Lines'!$G$5:$G$1640,A1238,'Bank Lines'!$J$5:$J$1640,1),2)</f>
        <v>-15</v>
      </c>
      <c r="K1238" s="9">
        <f>ROUND(SUMIFS('Odoo Items'!$G$5:$G$4331,'Odoo Items'!$J$5:$J$4331,A1238),2)</f>
        <v>0</v>
      </c>
      <c r="L1238" s="9">
        <f>ROUND(J1238-K1238,2)</f>
        <v>-15</v>
      </c>
      <c r="M1238" s="9">
        <f>ROUND(SUMIFS('Bank Lines'!$E$5:$E$1640,'Bank Lines'!$G$5:$G$1640,A1238,'Bank Lines'!$J$5:$J$1640,1,'Bank Lines'!$C$5:$C$1640,"&lt;="&amp;Cover!$C$13),2)</f>
        <v>0</v>
      </c>
      <c r="N1238" s="9">
        <f>ROUND(SUMIFS('Odoo Items'!$G$5:$G$4331,'Odoo Items'!$J$5:$J$4331,A1238,'Odoo Items'!$C$5:$C$4331,"&lt;="&amp;Cover!$C$13),2)</f>
        <v>0</v>
      </c>
      <c r="O1238">
        <f>COUNTIFS('Bank Lines'!$G$5:$G$1640,A1238,'Bank Lines'!$J$5:$J$1640,1,'Bank Lines'!$C$5:$C$1640,"&lt;="&amp;Cover!$C$13)</f>
        <v>0</v>
      </c>
      <c r="P1238">
        <f>COUNTIFS('Odoo Items'!$J$5:$J$4331,A1238,'Odoo Items'!$C$5:$C$4331,"&lt;="&amp;Cover!$C$13)</f>
        <v>0</v>
      </c>
      <c r="Q1238">
        <f>IF(AND(O1238=0,P1238=0),"",IF(O1238=0,"ODOO-ONLY",IF(P1238=0,"BANK-ONLY","BOTH")))</f>
      </c>
      <c r="R1238" s="9">
        <f>IF(Q1238="BOTH",ROUND(M1238-N1238,2),0)</f>
        <v>0</v>
      </c>
      <c r="S1238" s="9">
        <f>ROUND(SUMIFS('Bank Lines'!$E$5:$E$1640,'Bank Lines'!$G$5:$G$1640,A1238,'Bank Lines'!$J$5:$J$1640,1,'Bank Lines'!$C$5:$C$1640,"&lt;="&amp;Cover!$C$14),2)</f>
        <v>-15</v>
      </c>
      <c r="T1238" s="9">
        <f>ROUND(SUMIFS('Odoo Items'!$G$5:$G$4331,'Odoo Items'!$J$5:$J$4331,A1238,'Odoo Items'!$C$5:$C$4331,"&lt;="&amp;Cover!$C$14),2)</f>
        <v>0</v>
      </c>
      <c r="U1238">
        <f>COUNTIFS('Bank Lines'!$G$5:$G$1640,A1238,'Bank Lines'!$J$5:$J$1640,1,'Bank Lines'!$C$5:$C$1640,"&lt;="&amp;Cover!$C$14)</f>
        <v>1</v>
      </c>
      <c r="V1238">
        <f>COUNTIFS('Odoo Items'!$J$5:$J$4331,A1238,'Odoo Items'!$C$5:$C$4331,"&lt;="&amp;Cover!$C$14)</f>
        <v>0</v>
      </c>
      <c r="W1238" t="str">
        <f>IF(AND(U1238=0,V1238=0),"",IF(U1238=0,"ODOO-ONLY",IF(V1238=0,"BANK-ONLY","BOTH")))</f>
        <v>BANK-ONLY</v>
      </c>
      <c r="X1238" s="9">
        <f>IF(W1238="BOTH",ROUND(S1238-T1238,2),0)</f>
        <v>0</v>
      </c>
      <c r="Y1238" s="9">
        <f>ROUND(SUMIFS('Bank Lines'!$E$5:$E$1640,'Bank Lines'!$G$5:$G$1640,A1238,'Bank Lines'!$J$5:$J$1640,1,'Bank Lines'!$C$5:$C$1640,"&lt;="&amp;Cover!$C$15),2)</f>
        <v>-15</v>
      </c>
      <c r="Z1238" s="9">
        <f>ROUND(SUMIFS('Odoo Items'!$G$5:$G$4331,'Odoo Items'!$J$5:$J$4331,A1238,'Odoo Items'!$C$5:$C$4331,"&lt;="&amp;Cover!$C$15),2)</f>
        <v>0</v>
      </c>
      <c r="AA1238">
        <f>COUNTIFS('Bank Lines'!$G$5:$G$1640,A1238,'Bank Lines'!$J$5:$J$1640,1,'Bank Lines'!$C$5:$C$1640,"&lt;="&amp;Cover!$C$15)</f>
        <v>1</v>
      </c>
      <c r="AB1238">
        <f>COUNTIFS('Odoo Items'!$J$5:$J$4331,A1238,'Odoo Items'!$C$5:$C$4331,"&lt;="&amp;Cover!$C$15)</f>
        <v>0</v>
      </c>
      <c r="AC1238" t="str">
        <f>IF(AND(AA1238=0,AB1238=0),"",IF(AA1238=0,"ODOO-ONLY",IF(AB1238=0,"BANK-ONLY","BOTH")))</f>
        <v>BANK-ONLY</v>
      </c>
      <c r="AD1238" s="9">
        <f>IF(AC1238="BOTH",ROUND(Y1238-Z1238,2),0)</f>
        <v>0</v>
      </c>
    </row>
    <row r="1239">
      <c r="A1239" t="inlineStr">
        <is>
          <t>G01235</t>
        </is>
      </c>
      <c r="B1239" t="inlineStr">
        <is>
          <t>USD</t>
        </is>
      </c>
      <c r="C1239" t="inlineStr">
        <is>
          <t>R12</t>
        </is>
      </c>
      <c r="D1239" t="inlineStr">
        <is>
          <t>FEE</t>
        </is>
      </c>
      <c r="E1239" t="inlineStr"/>
      <c r="G1239" t="inlineStr"/>
      <c r="H1239">
        <f>COUNTIFS('Bank Lines'!$G$5:$G$1640,A1239,'Bank Lines'!$J$5:$J$1640,1)</f>
        <v>1</v>
      </c>
      <c r="I1239">
        <f>COUNTIFS('Odoo Items'!$J$5:$J$4331,A1239)</f>
        <v>0</v>
      </c>
      <c r="J1239" s="9">
        <f>ROUND(SUMIFS('Bank Lines'!$E$5:$E$1640,'Bank Lines'!$G$5:$G$1640,A1239,'Bank Lines'!$J$5:$J$1640,1),2)</f>
        <v>-15</v>
      </c>
      <c r="K1239" s="9">
        <f>ROUND(SUMIFS('Odoo Items'!$G$5:$G$4331,'Odoo Items'!$J$5:$J$4331,A1239),2)</f>
        <v>0</v>
      </c>
      <c r="L1239" s="9">
        <f>ROUND(J1239-K1239,2)</f>
        <v>-15</v>
      </c>
      <c r="M1239" s="9">
        <f>ROUND(SUMIFS('Bank Lines'!$E$5:$E$1640,'Bank Lines'!$G$5:$G$1640,A1239,'Bank Lines'!$J$5:$J$1640,1,'Bank Lines'!$C$5:$C$1640,"&lt;="&amp;Cover!$C$13),2)</f>
        <v>0</v>
      </c>
      <c r="N1239" s="9">
        <f>ROUND(SUMIFS('Odoo Items'!$G$5:$G$4331,'Odoo Items'!$J$5:$J$4331,A1239,'Odoo Items'!$C$5:$C$4331,"&lt;="&amp;Cover!$C$13),2)</f>
        <v>0</v>
      </c>
      <c r="O1239">
        <f>COUNTIFS('Bank Lines'!$G$5:$G$1640,A1239,'Bank Lines'!$J$5:$J$1640,1,'Bank Lines'!$C$5:$C$1640,"&lt;="&amp;Cover!$C$13)</f>
        <v>0</v>
      </c>
      <c r="P1239">
        <f>COUNTIFS('Odoo Items'!$J$5:$J$4331,A1239,'Odoo Items'!$C$5:$C$4331,"&lt;="&amp;Cover!$C$13)</f>
        <v>0</v>
      </c>
      <c r="Q1239">
        <f>IF(AND(O1239=0,P1239=0),"",IF(O1239=0,"ODOO-ONLY",IF(P1239=0,"BANK-ONLY","BOTH")))</f>
      </c>
      <c r="R1239" s="9">
        <f>IF(Q1239="BOTH",ROUND(M1239-N1239,2),0)</f>
        <v>0</v>
      </c>
      <c r="S1239" s="9">
        <f>ROUND(SUMIFS('Bank Lines'!$E$5:$E$1640,'Bank Lines'!$G$5:$G$1640,A1239,'Bank Lines'!$J$5:$J$1640,1,'Bank Lines'!$C$5:$C$1640,"&lt;="&amp;Cover!$C$14),2)</f>
        <v>0</v>
      </c>
      <c r="T1239" s="9">
        <f>ROUND(SUMIFS('Odoo Items'!$G$5:$G$4331,'Odoo Items'!$J$5:$J$4331,A1239,'Odoo Items'!$C$5:$C$4331,"&lt;="&amp;Cover!$C$14),2)</f>
        <v>0</v>
      </c>
      <c r="U1239">
        <f>COUNTIFS('Bank Lines'!$G$5:$G$1640,A1239,'Bank Lines'!$J$5:$J$1640,1,'Bank Lines'!$C$5:$C$1640,"&lt;="&amp;Cover!$C$14)</f>
        <v>0</v>
      </c>
      <c r="V1239">
        <f>COUNTIFS('Odoo Items'!$J$5:$J$4331,A1239,'Odoo Items'!$C$5:$C$4331,"&lt;="&amp;Cover!$C$14)</f>
        <v>0</v>
      </c>
      <c r="W1239">
        <f>IF(AND(U1239=0,V1239=0),"",IF(U1239=0,"ODOO-ONLY",IF(V1239=0,"BANK-ONLY","BOTH")))</f>
      </c>
      <c r="X1239" s="9">
        <f>IF(W1239="BOTH",ROUND(S1239-T1239,2),0)</f>
        <v>0</v>
      </c>
      <c r="Y1239" s="9">
        <f>ROUND(SUMIFS('Bank Lines'!$E$5:$E$1640,'Bank Lines'!$G$5:$G$1640,A1239,'Bank Lines'!$J$5:$J$1640,1,'Bank Lines'!$C$5:$C$1640,"&lt;="&amp;Cover!$C$15),2)</f>
        <v>-15</v>
      </c>
      <c r="Z1239" s="9">
        <f>ROUND(SUMIFS('Odoo Items'!$G$5:$G$4331,'Odoo Items'!$J$5:$J$4331,A1239,'Odoo Items'!$C$5:$C$4331,"&lt;="&amp;Cover!$C$15),2)</f>
        <v>0</v>
      </c>
      <c r="AA1239">
        <f>COUNTIFS('Bank Lines'!$G$5:$G$1640,A1239,'Bank Lines'!$J$5:$J$1640,1,'Bank Lines'!$C$5:$C$1640,"&lt;="&amp;Cover!$C$15)</f>
        <v>1</v>
      </c>
      <c r="AB1239">
        <f>COUNTIFS('Odoo Items'!$J$5:$J$4331,A1239,'Odoo Items'!$C$5:$C$4331,"&lt;="&amp;Cover!$C$15)</f>
        <v>0</v>
      </c>
      <c r="AC1239" t="str">
        <f>IF(AND(AA1239=0,AB1239=0),"",IF(AA1239=0,"ODOO-ONLY",IF(AB1239=0,"BANK-ONLY","BOTH")))</f>
        <v>BANK-ONLY</v>
      </c>
      <c r="AD1239" s="9">
        <f>IF(AC1239="BOTH",ROUND(Y1239-Z1239,2),0)</f>
        <v>0</v>
      </c>
    </row>
    <row r="1240">
      <c r="A1240" t="inlineStr">
        <is>
          <t>G01236</t>
        </is>
      </c>
      <c r="B1240" t="inlineStr">
        <is>
          <t>USD</t>
        </is>
      </c>
      <c r="C1240" t="inlineStr">
        <is>
          <t>R12</t>
        </is>
      </c>
      <c r="D1240" t="inlineStr">
        <is>
          <t>FEE</t>
        </is>
      </c>
      <c r="E1240" t="inlineStr"/>
      <c r="G1240" t="inlineStr"/>
      <c r="H1240">
        <f>COUNTIFS('Bank Lines'!$G$5:$G$1640,A1240,'Bank Lines'!$J$5:$J$1640,1)</f>
        <v>1</v>
      </c>
      <c r="I1240">
        <f>COUNTIFS('Odoo Items'!$J$5:$J$4331,A1240)</f>
        <v>0</v>
      </c>
      <c r="J1240" s="9">
        <f>ROUND(SUMIFS('Bank Lines'!$E$5:$E$1640,'Bank Lines'!$G$5:$G$1640,A1240,'Bank Lines'!$J$5:$J$1640,1),2)</f>
        <v>-15</v>
      </c>
      <c r="K1240" s="9">
        <f>ROUND(SUMIFS('Odoo Items'!$G$5:$G$4331,'Odoo Items'!$J$5:$J$4331,A1240),2)</f>
        <v>0</v>
      </c>
      <c r="L1240" s="9">
        <f>ROUND(J1240-K1240,2)</f>
        <v>-15</v>
      </c>
      <c r="M1240" s="9">
        <f>ROUND(SUMIFS('Bank Lines'!$E$5:$E$1640,'Bank Lines'!$G$5:$G$1640,A1240,'Bank Lines'!$J$5:$J$1640,1,'Bank Lines'!$C$5:$C$1640,"&lt;="&amp;Cover!$C$13),2)</f>
        <v>0</v>
      </c>
      <c r="N1240" s="9">
        <f>ROUND(SUMIFS('Odoo Items'!$G$5:$G$4331,'Odoo Items'!$J$5:$J$4331,A1240,'Odoo Items'!$C$5:$C$4331,"&lt;="&amp;Cover!$C$13),2)</f>
        <v>0</v>
      </c>
      <c r="O1240">
        <f>COUNTIFS('Bank Lines'!$G$5:$G$1640,A1240,'Bank Lines'!$J$5:$J$1640,1,'Bank Lines'!$C$5:$C$1640,"&lt;="&amp;Cover!$C$13)</f>
        <v>0</v>
      </c>
      <c r="P1240">
        <f>COUNTIFS('Odoo Items'!$J$5:$J$4331,A1240,'Odoo Items'!$C$5:$C$4331,"&lt;="&amp;Cover!$C$13)</f>
        <v>0</v>
      </c>
      <c r="Q1240">
        <f>IF(AND(O1240=0,P1240=0),"",IF(O1240=0,"ODOO-ONLY",IF(P1240=0,"BANK-ONLY","BOTH")))</f>
      </c>
      <c r="R1240" s="9">
        <f>IF(Q1240="BOTH",ROUND(M1240-N1240,2),0)</f>
        <v>0</v>
      </c>
      <c r="S1240" s="9">
        <f>ROUND(SUMIFS('Bank Lines'!$E$5:$E$1640,'Bank Lines'!$G$5:$G$1640,A1240,'Bank Lines'!$J$5:$J$1640,1,'Bank Lines'!$C$5:$C$1640,"&lt;="&amp;Cover!$C$14),2)</f>
        <v>0</v>
      </c>
      <c r="T1240" s="9">
        <f>ROUND(SUMIFS('Odoo Items'!$G$5:$G$4331,'Odoo Items'!$J$5:$J$4331,A1240,'Odoo Items'!$C$5:$C$4331,"&lt;="&amp;Cover!$C$14),2)</f>
        <v>0</v>
      </c>
      <c r="U1240">
        <f>COUNTIFS('Bank Lines'!$G$5:$G$1640,A1240,'Bank Lines'!$J$5:$J$1640,1,'Bank Lines'!$C$5:$C$1640,"&lt;="&amp;Cover!$C$14)</f>
        <v>0</v>
      </c>
      <c r="V1240">
        <f>COUNTIFS('Odoo Items'!$J$5:$J$4331,A1240,'Odoo Items'!$C$5:$C$4331,"&lt;="&amp;Cover!$C$14)</f>
        <v>0</v>
      </c>
      <c r="W1240">
        <f>IF(AND(U1240=0,V1240=0),"",IF(U1240=0,"ODOO-ONLY",IF(V1240=0,"BANK-ONLY","BOTH")))</f>
      </c>
      <c r="X1240" s="9">
        <f>IF(W1240="BOTH",ROUND(S1240-T1240,2),0)</f>
        <v>0</v>
      </c>
      <c r="Y1240" s="9">
        <f>ROUND(SUMIFS('Bank Lines'!$E$5:$E$1640,'Bank Lines'!$G$5:$G$1640,A1240,'Bank Lines'!$J$5:$J$1640,1,'Bank Lines'!$C$5:$C$1640,"&lt;="&amp;Cover!$C$15),2)</f>
        <v>-15</v>
      </c>
      <c r="Z1240" s="9">
        <f>ROUND(SUMIFS('Odoo Items'!$G$5:$G$4331,'Odoo Items'!$J$5:$J$4331,A1240,'Odoo Items'!$C$5:$C$4331,"&lt;="&amp;Cover!$C$15),2)</f>
        <v>0</v>
      </c>
      <c r="AA1240">
        <f>COUNTIFS('Bank Lines'!$G$5:$G$1640,A1240,'Bank Lines'!$J$5:$J$1640,1,'Bank Lines'!$C$5:$C$1640,"&lt;="&amp;Cover!$C$15)</f>
        <v>1</v>
      </c>
      <c r="AB1240">
        <f>COUNTIFS('Odoo Items'!$J$5:$J$4331,A1240,'Odoo Items'!$C$5:$C$4331,"&lt;="&amp;Cover!$C$15)</f>
        <v>0</v>
      </c>
      <c r="AC1240" t="str">
        <f>IF(AND(AA1240=0,AB1240=0),"",IF(AA1240=0,"ODOO-ONLY",IF(AB1240=0,"BANK-ONLY","BOTH")))</f>
        <v>BANK-ONLY</v>
      </c>
      <c r="AD1240" s="9">
        <f>IF(AC1240="BOTH",ROUND(Y1240-Z1240,2),0)</f>
        <v>0</v>
      </c>
    </row>
    <row r="1241">
      <c r="A1241" t="inlineStr">
        <is>
          <t>G01237</t>
        </is>
      </c>
      <c r="B1241" t="inlineStr">
        <is>
          <t>USD</t>
        </is>
      </c>
      <c r="C1241" t="inlineStr">
        <is>
          <t>R12</t>
        </is>
      </c>
      <c r="D1241" t="inlineStr">
        <is>
          <t>FEE</t>
        </is>
      </c>
      <c r="E1241" t="inlineStr"/>
      <c r="G1241" t="inlineStr"/>
      <c r="H1241">
        <f>COUNTIFS('Bank Lines'!$G$5:$G$1640,A1241,'Bank Lines'!$J$5:$J$1640,1)</f>
        <v>1</v>
      </c>
      <c r="I1241">
        <f>COUNTIFS('Odoo Items'!$J$5:$J$4331,A1241)</f>
        <v>0</v>
      </c>
      <c r="J1241" s="9">
        <f>ROUND(SUMIFS('Bank Lines'!$E$5:$E$1640,'Bank Lines'!$G$5:$G$1640,A1241,'Bank Lines'!$J$5:$J$1640,1),2)</f>
        <v>-15</v>
      </c>
      <c r="K1241" s="9">
        <f>ROUND(SUMIFS('Odoo Items'!$G$5:$G$4331,'Odoo Items'!$J$5:$J$4331,A1241),2)</f>
        <v>0</v>
      </c>
      <c r="L1241" s="9">
        <f>ROUND(J1241-K1241,2)</f>
        <v>-15</v>
      </c>
      <c r="M1241" s="9">
        <f>ROUND(SUMIFS('Bank Lines'!$E$5:$E$1640,'Bank Lines'!$G$5:$G$1640,A1241,'Bank Lines'!$J$5:$J$1640,1,'Bank Lines'!$C$5:$C$1640,"&lt;="&amp;Cover!$C$13),2)</f>
        <v>0</v>
      </c>
      <c r="N1241" s="9">
        <f>ROUND(SUMIFS('Odoo Items'!$G$5:$G$4331,'Odoo Items'!$J$5:$J$4331,A1241,'Odoo Items'!$C$5:$C$4331,"&lt;="&amp;Cover!$C$13),2)</f>
        <v>0</v>
      </c>
      <c r="O1241">
        <f>COUNTIFS('Bank Lines'!$G$5:$G$1640,A1241,'Bank Lines'!$J$5:$J$1640,1,'Bank Lines'!$C$5:$C$1640,"&lt;="&amp;Cover!$C$13)</f>
        <v>0</v>
      </c>
      <c r="P1241">
        <f>COUNTIFS('Odoo Items'!$J$5:$J$4331,A1241,'Odoo Items'!$C$5:$C$4331,"&lt;="&amp;Cover!$C$13)</f>
        <v>0</v>
      </c>
      <c r="Q1241">
        <f>IF(AND(O1241=0,P1241=0),"",IF(O1241=0,"ODOO-ONLY",IF(P1241=0,"BANK-ONLY","BOTH")))</f>
      </c>
      <c r="R1241" s="9">
        <f>IF(Q1241="BOTH",ROUND(M1241-N1241,2),0)</f>
        <v>0</v>
      </c>
      <c r="S1241" s="9">
        <f>ROUND(SUMIFS('Bank Lines'!$E$5:$E$1640,'Bank Lines'!$G$5:$G$1640,A1241,'Bank Lines'!$J$5:$J$1640,1,'Bank Lines'!$C$5:$C$1640,"&lt;="&amp;Cover!$C$14),2)</f>
        <v>0</v>
      </c>
      <c r="T1241" s="9">
        <f>ROUND(SUMIFS('Odoo Items'!$G$5:$G$4331,'Odoo Items'!$J$5:$J$4331,A1241,'Odoo Items'!$C$5:$C$4331,"&lt;="&amp;Cover!$C$14),2)</f>
        <v>0</v>
      </c>
      <c r="U1241">
        <f>COUNTIFS('Bank Lines'!$G$5:$G$1640,A1241,'Bank Lines'!$J$5:$J$1640,1,'Bank Lines'!$C$5:$C$1640,"&lt;="&amp;Cover!$C$14)</f>
        <v>0</v>
      </c>
      <c r="V1241">
        <f>COUNTIFS('Odoo Items'!$J$5:$J$4331,A1241,'Odoo Items'!$C$5:$C$4331,"&lt;="&amp;Cover!$C$14)</f>
        <v>0</v>
      </c>
      <c r="W1241">
        <f>IF(AND(U1241=0,V1241=0),"",IF(U1241=0,"ODOO-ONLY",IF(V1241=0,"BANK-ONLY","BOTH")))</f>
      </c>
      <c r="X1241" s="9">
        <f>IF(W1241="BOTH",ROUND(S1241-T1241,2),0)</f>
        <v>0</v>
      </c>
      <c r="Y1241" s="9">
        <f>ROUND(SUMIFS('Bank Lines'!$E$5:$E$1640,'Bank Lines'!$G$5:$G$1640,A1241,'Bank Lines'!$J$5:$J$1640,1,'Bank Lines'!$C$5:$C$1640,"&lt;="&amp;Cover!$C$15),2)</f>
        <v>-15</v>
      </c>
      <c r="Z1241" s="9">
        <f>ROUND(SUMIFS('Odoo Items'!$G$5:$G$4331,'Odoo Items'!$J$5:$J$4331,A1241,'Odoo Items'!$C$5:$C$4331,"&lt;="&amp;Cover!$C$15),2)</f>
        <v>0</v>
      </c>
      <c r="AA1241">
        <f>COUNTIFS('Bank Lines'!$G$5:$G$1640,A1241,'Bank Lines'!$J$5:$J$1640,1,'Bank Lines'!$C$5:$C$1640,"&lt;="&amp;Cover!$C$15)</f>
        <v>1</v>
      </c>
      <c r="AB1241">
        <f>COUNTIFS('Odoo Items'!$J$5:$J$4331,A1241,'Odoo Items'!$C$5:$C$4331,"&lt;="&amp;Cover!$C$15)</f>
        <v>0</v>
      </c>
      <c r="AC1241" t="str">
        <f>IF(AND(AA1241=0,AB1241=0),"",IF(AA1241=0,"ODOO-ONLY",IF(AB1241=0,"BANK-ONLY","BOTH")))</f>
        <v>BANK-ONLY</v>
      </c>
      <c r="AD1241" s="9">
        <f>IF(AC1241="BOTH",ROUND(Y1241-Z1241,2),0)</f>
        <v>0</v>
      </c>
    </row>
    <row r="1242">
      <c r="A1242" t="inlineStr">
        <is>
          <t>G01238</t>
        </is>
      </c>
      <c r="B1242" t="inlineStr">
        <is>
          <t>USD</t>
        </is>
      </c>
      <c r="C1242" t="inlineStr">
        <is>
          <t>R12</t>
        </is>
      </c>
      <c r="D1242" t="inlineStr">
        <is>
          <t>FEE</t>
        </is>
      </c>
      <c r="E1242" t="inlineStr"/>
      <c r="G1242" t="inlineStr"/>
      <c r="H1242">
        <f>COUNTIFS('Bank Lines'!$G$5:$G$1640,A1242,'Bank Lines'!$J$5:$J$1640,1)</f>
        <v>1</v>
      </c>
      <c r="I1242">
        <f>COUNTIFS('Odoo Items'!$J$5:$J$4331,A1242)</f>
        <v>0</v>
      </c>
      <c r="J1242" s="9">
        <f>ROUND(SUMIFS('Bank Lines'!$E$5:$E$1640,'Bank Lines'!$G$5:$G$1640,A1242,'Bank Lines'!$J$5:$J$1640,1),2)</f>
        <v>-15</v>
      </c>
      <c r="K1242" s="9">
        <f>ROUND(SUMIFS('Odoo Items'!$G$5:$G$4331,'Odoo Items'!$J$5:$J$4331,A1242),2)</f>
        <v>0</v>
      </c>
      <c r="L1242" s="9">
        <f>ROUND(J1242-K1242,2)</f>
        <v>-15</v>
      </c>
      <c r="M1242" s="9">
        <f>ROUND(SUMIFS('Bank Lines'!$E$5:$E$1640,'Bank Lines'!$G$5:$G$1640,A1242,'Bank Lines'!$J$5:$J$1640,1,'Bank Lines'!$C$5:$C$1640,"&lt;="&amp;Cover!$C$13),2)</f>
        <v>0</v>
      </c>
      <c r="N1242" s="9">
        <f>ROUND(SUMIFS('Odoo Items'!$G$5:$G$4331,'Odoo Items'!$J$5:$J$4331,A1242,'Odoo Items'!$C$5:$C$4331,"&lt;="&amp;Cover!$C$13),2)</f>
        <v>0</v>
      </c>
      <c r="O1242">
        <f>COUNTIFS('Bank Lines'!$G$5:$G$1640,A1242,'Bank Lines'!$J$5:$J$1640,1,'Bank Lines'!$C$5:$C$1640,"&lt;="&amp;Cover!$C$13)</f>
        <v>0</v>
      </c>
      <c r="P1242">
        <f>COUNTIFS('Odoo Items'!$J$5:$J$4331,A1242,'Odoo Items'!$C$5:$C$4331,"&lt;="&amp;Cover!$C$13)</f>
        <v>0</v>
      </c>
      <c r="Q1242">
        <f>IF(AND(O1242=0,P1242=0),"",IF(O1242=0,"ODOO-ONLY",IF(P1242=0,"BANK-ONLY","BOTH")))</f>
      </c>
      <c r="R1242" s="9">
        <f>IF(Q1242="BOTH",ROUND(M1242-N1242,2),0)</f>
        <v>0</v>
      </c>
      <c r="S1242" s="9">
        <f>ROUND(SUMIFS('Bank Lines'!$E$5:$E$1640,'Bank Lines'!$G$5:$G$1640,A1242,'Bank Lines'!$J$5:$J$1640,1,'Bank Lines'!$C$5:$C$1640,"&lt;="&amp;Cover!$C$14),2)</f>
        <v>0</v>
      </c>
      <c r="T1242" s="9">
        <f>ROUND(SUMIFS('Odoo Items'!$G$5:$G$4331,'Odoo Items'!$J$5:$J$4331,A1242,'Odoo Items'!$C$5:$C$4331,"&lt;="&amp;Cover!$C$14),2)</f>
        <v>0</v>
      </c>
      <c r="U1242">
        <f>COUNTIFS('Bank Lines'!$G$5:$G$1640,A1242,'Bank Lines'!$J$5:$J$1640,1,'Bank Lines'!$C$5:$C$1640,"&lt;="&amp;Cover!$C$14)</f>
        <v>0</v>
      </c>
      <c r="V1242">
        <f>COUNTIFS('Odoo Items'!$J$5:$J$4331,A1242,'Odoo Items'!$C$5:$C$4331,"&lt;="&amp;Cover!$C$14)</f>
        <v>0</v>
      </c>
      <c r="W1242">
        <f>IF(AND(U1242=0,V1242=0),"",IF(U1242=0,"ODOO-ONLY",IF(V1242=0,"BANK-ONLY","BOTH")))</f>
      </c>
      <c r="X1242" s="9">
        <f>IF(W1242="BOTH",ROUND(S1242-T1242,2),0)</f>
        <v>0</v>
      </c>
      <c r="Y1242" s="9">
        <f>ROUND(SUMIFS('Bank Lines'!$E$5:$E$1640,'Bank Lines'!$G$5:$G$1640,A1242,'Bank Lines'!$J$5:$J$1640,1,'Bank Lines'!$C$5:$C$1640,"&lt;="&amp;Cover!$C$15),2)</f>
        <v>-15</v>
      </c>
      <c r="Z1242" s="9">
        <f>ROUND(SUMIFS('Odoo Items'!$G$5:$G$4331,'Odoo Items'!$J$5:$J$4331,A1242,'Odoo Items'!$C$5:$C$4331,"&lt;="&amp;Cover!$C$15),2)</f>
        <v>0</v>
      </c>
      <c r="AA1242">
        <f>COUNTIFS('Bank Lines'!$G$5:$G$1640,A1242,'Bank Lines'!$J$5:$J$1640,1,'Bank Lines'!$C$5:$C$1640,"&lt;="&amp;Cover!$C$15)</f>
        <v>1</v>
      </c>
      <c r="AB1242">
        <f>COUNTIFS('Odoo Items'!$J$5:$J$4331,A1242,'Odoo Items'!$C$5:$C$4331,"&lt;="&amp;Cover!$C$15)</f>
        <v>0</v>
      </c>
      <c r="AC1242" t="str">
        <f>IF(AND(AA1242=0,AB1242=0),"",IF(AA1242=0,"ODOO-ONLY",IF(AB1242=0,"BANK-ONLY","BOTH")))</f>
        <v>BANK-ONLY</v>
      </c>
      <c r="AD1242" s="9">
        <f>IF(AC1242="BOTH",ROUND(Y1242-Z1242,2),0)</f>
        <v>0</v>
      </c>
    </row>
    <row r="1243">
      <c r="A1243" t="inlineStr">
        <is>
          <t>G01239</t>
        </is>
      </c>
      <c r="B1243" t="inlineStr">
        <is>
          <t>OPS</t>
        </is>
      </c>
      <c r="C1243" t="inlineStr">
        <is>
          <t>R13</t>
        </is>
      </c>
      <c r="D1243" t="inlineStr">
        <is>
          <t>MATCH</t>
        </is>
      </c>
      <c r="E1243" t="inlineStr"/>
      <c r="G1243" t="inlineStr">
        <is>
          <t>Amount and date: Australian Taxation Office BAS Q4 FY26</t>
        </is>
      </c>
      <c r="H1243">
        <f>COUNTIFS('Bank Lines'!$G$5:$G$1640,A1243,'Bank Lines'!$J$5:$J$1640,1)</f>
        <v>1</v>
      </c>
      <c r="I1243">
        <f>COUNTIFS('Odoo Items'!$J$5:$J$4331,A1243)</f>
        <v>1</v>
      </c>
      <c r="J1243" s="9">
        <f>ROUND(SUMIFS('Bank Lines'!$E$5:$E$1640,'Bank Lines'!$G$5:$G$1640,A1243,'Bank Lines'!$J$5:$J$1640,1),2)</f>
        <v>-38412</v>
      </c>
      <c r="K1243" s="9">
        <f>ROUND(SUMIFS('Odoo Items'!$G$5:$G$4331,'Odoo Items'!$J$5:$J$4331,A1243),2)</f>
        <v>-38412</v>
      </c>
      <c r="L1243" s="9">
        <f>ROUND(J1243-K1243,2)</f>
        <v>0</v>
      </c>
      <c r="M1243" s="9">
        <f>ROUND(SUMIFS('Bank Lines'!$E$5:$E$1640,'Bank Lines'!$G$5:$G$1640,A1243,'Bank Lines'!$J$5:$J$1640,1,'Bank Lines'!$C$5:$C$1640,"&lt;="&amp;Cover!$C$13),2)</f>
        <v>-38412</v>
      </c>
      <c r="N1243" s="9">
        <f>ROUND(SUMIFS('Odoo Items'!$G$5:$G$4331,'Odoo Items'!$J$5:$J$4331,A1243,'Odoo Items'!$C$5:$C$4331,"&lt;="&amp;Cover!$C$13),2)</f>
        <v>-38412</v>
      </c>
      <c r="O1243">
        <f>COUNTIFS('Bank Lines'!$G$5:$G$1640,A1243,'Bank Lines'!$J$5:$J$1640,1,'Bank Lines'!$C$5:$C$1640,"&lt;="&amp;Cover!$C$13)</f>
        <v>1</v>
      </c>
      <c r="P1243">
        <f>COUNTIFS('Odoo Items'!$J$5:$J$4331,A1243,'Odoo Items'!$C$5:$C$4331,"&lt;="&amp;Cover!$C$13)</f>
        <v>1</v>
      </c>
      <c r="Q1243" t="str">
        <f>IF(AND(O1243=0,P1243=0),"",IF(O1243=0,"ODOO-ONLY",IF(P1243=0,"BANK-ONLY","BOTH")))</f>
        <v>BOTH</v>
      </c>
      <c r="R1243" s="9">
        <f>IF(Q1243="BOTH",ROUND(M1243-N1243,2),0)</f>
        <v>0</v>
      </c>
      <c r="S1243" s="9">
        <f>ROUND(SUMIFS('Bank Lines'!$E$5:$E$1640,'Bank Lines'!$G$5:$G$1640,A1243,'Bank Lines'!$J$5:$J$1640,1,'Bank Lines'!$C$5:$C$1640,"&lt;="&amp;Cover!$C$14),2)</f>
        <v>-38412</v>
      </c>
      <c r="T1243" s="9">
        <f>ROUND(SUMIFS('Odoo Items'!$G$5:$G$4331,'Odoo Items'!$J$5:$J$4331,A1243,'Odoo Items'!$C$5:$C$4331,"&lt;="&amp;Cover!$C$14),2)</f>
        <v>-38412</v>
      </c>
      <c r="U1243">
        <f>COUNTIFS('Bank Lines'!$G$5:$G$1640,A1243,'Bank Lines'!$J$5:$J$1640,1,'Bank Lines'!$C$5:$C$1640,"&lt;="&amp;Cover!$C$14)</f>
        <v>1</v>
      </c>
      <c r="V1243">
        <f>COUNTIFS('Odoo Items'!$J$5:$J$4331,A1243,'Odoo Items'!$C$5:$C$4331,"&lt;="&amp;Cover!$C$14)</f>
        <v>1</v>
      </c>
      <c r="W1243" t="str">
        <f>IF(AND(U1243=0,V1243=0),"",IF(U1243=0,"ODOO-ONLY",IF(V1243=0,"BANK-ONLY","BOTH")))</f>
        <v>BOTH</v>
      </c>
      <c r="X1243" s="9">
        <f>IF(W1243="BOTH",ROUND(S1243-T1243,2),0)</f>
        <v>0</v>
      </c>
      <c r="Y1243" s="9">
        <f>ROUND(SUMIFS('Bank Lines'!$E$5:$E$1640,'Bank Lines'!$G$5:$G$1640,A1243,'Bank Lines'!$J$5:$J$1640,1,'Bank Lines'!$C$5:$C$1640,"&lt;="&amp;Cover!$C$15),2)</f>
        <v>-38412</v>
      </c>
      <c r="Z1243" s="9">
        <f>ROUND(SUMIFS('Odoo Items'!$G$5:$G$4331,'Odoo Items'!$J$5:$J$4331,A1243,'Odoo Items'!$C$5:$C$4331,"&lt;="&amp;Cover!$C$15),2)</f>
        <v>-38412</v>
      </c>
      <c r="AA1243">
        <f>COUNTIFS('Bank Lines'!$G$5:$G$1640,A1243,'Bank Lines'!$J$5:$J$1640,1,'Bank Lines'!$C$5:$C$1640,"&lt;="&amp;Cover!$C$15)</f>
        <v>1</v>
      </c>
      <c r="AB1243">
        <f>COUNTIFS('Odoo Items'!$J$5:$J$4331,A1243,'Odoo Items'!$C$5:$C$4331,"&lt;="&amp;Cover!$C$15)</f>
        <v>1</v>
      </c>
      <c r="AC1243" t="str">
        <f>IF(AND(AA1243=0,AB1243=0),"",IF(AA1243=0,"ODOO-ONLY",IF(AB1243=0,"BANK-ONLY","BOTH")))</f>
        <v>BOTH</v>
      </c>
      <c r="AD1243" s="9">
        <f>IF(AC1243="BOTH",ROUND(Y1243-Z1243,2),0)</f>
        <v>0</v>
      </c>
    </row>
    <row r="1244">
      <c r="A1244" t="inlineStr">
        <is>
          <t>G01240</t>
        </is>
      </c>
      <c r="B1244" t="inlineStr">
        <is>
          <t>PAY</t>
        </is>
      </c>
      <c r="C1244" t="inlineStr">
        <is>
          <t>R13</t>
        </is>
      </c>
      <c r="D1244" t="inlineStr">
        <is>
          <t>MATCH</t>
        </is>
      </c>
      <c r="E1244" t="inlineStr"/>
      <c r="G1244" t="inlineStr">
        <is>
          <t>Amount and date: Super clearing house SUPER PR260716</t>
        </is>
      </c>
      <c r="H1244">
        <f>COUNTIFS('Bank Lines'!$G$5:$G$1640,A1244,'Bank Lines'!$J$5:$J$1640,1)</f>
        <v>1</v>
      </c>
      <c r="I1244">
        <f>COUNTIFS('Odoo Items'!$J$5:$J$4331,A1244)</f>
        <v>1</v>
      </c>
      <c r="J1244" s="9">
        <f>ROUND(SUMIFS('Bank Lines'!$E$5:$E$1640,'Bank Lines'!$G$5:$G$1640,A1244,'Bank Lines'!$J$5:$J$1640,1),2)</f>
        <v>-20607.2</v>
      </c>
      <c r="K1244" s="9">
        <f>ROUND(SUMIFS('Odoo Items'!$G$5:$G$4331,'Odoo Items'!$J$5:$J$4331,A1244),2)</f>
        <v>-20607.2</v>
      </c>
      <c r="L1244" s="9">
        <f>ROUND(J1244-K1244,2)</f>
        <v>0</v>
      </c>
      <c r="M1244" s="9">
        <f>ROUND(SUMIFS('Bank Lines'!$E$5:$E$1640,'Bank Lines'!$G$5:$G$1640,A1244,'Bank Lines'!$J$5:$J$1640,1,'Bank Lines'!$C$5:$C$1640,"&lt;="&amp;Cover!$C$13),2)</f>
        <v>-20607.2</v>
      </c>
      <c r="N1244" s="9">
        <f>ROUND(SUMIFS('Odoo Items'!$G$5:$G$4331,'Odoo Items'!$J$5:$J$4331,A1244,'Odoo Items'!$C$5:$C$4331,"&lt;="&amp;Cover!$C$13),2)</f>
        <v>-20607.2</v>
      </c>
      <c r="O1244">
        <f>COUNTIFS('Bank Lines'!$G$5:$G$1640,A1244,'Bank Lines'!$J$5:$J$1640,1,'Bank Lines'!$C$5:$C$1640,"&lt;="&amp;Cover!$C$13)</f>
        <v>1</v>
      </c>
      <c r="P1244">
        <f>COUNTIFS('Odoo Items'!$J$5:$J$4331,A1244,'Odoo Items'!$C$5:$C$4331,"&lt;="&amp;Cover!$C$13)</f>
        <v>1</v>
      </c>
      <c r="Q1244" t="str">
        <f>IF(AND(O1244=0,P1244=0),"",IF(O1244=0,"ODOO-ONLY",IF(P1244=0,"BANK-ONLY","BOTH")))</f>
        <v>BOTH</v>
      </c>
      <c r="R1244" s="9">
        <f>IF(Q1244="BOTH",ROUND(M1244-N1244,2),0)</f>
        <v>0</v>
      </c>
      <c r="S1244" s="9">
        <f>ROUND(SUMIFS('Bank Lines'!$E$5:$E$1640,'Bank Lines'!$G$5:$G$1640,A1244,'Bank Lines'!$J$5:$J$1640,1,'Bank Lines'!$C$5:$C$1640,"&lt;="&amp;Cover!$C$14),2)</f>
        <v>-20607.2</v>
      </c>
      <c r="T1244" s="9">
        <f>ROUND(SUMIFS('Odoo Items'!$G$5:$G$4331,'Odoo Items'!$J$5:$J$4331,A1244,'Odoo Items'!$C$5:$C$4331,"&lt;="&amp;Cover!$C$14),2)</f>
        <v>-20607.2</v>
      </c>
      <c r="U1244">
        <f>COUNTIFS('Bank Lines'!$G$5:$G$1640,A1244,'Bank Lines'!$J$5:$J$1640,1,'Bank Lines'!$C$5:$C$1640,"&lt;="&amp;Cover!$C$14)</f>
        <v>1</v>
      </c>
      <c r="V1244">
        <f>COUNTIFS('Odoo Items'!$J$5:$J$4331,A1244,'Odoo Items'!$C$5:$C$4331,"&lt;="&amp;Cover!$C$14)</f>
        <v>1</v>
      </c>
      <c r="W1244" t="str">
        <f>IF(AND(U1244=0,V1244=0),"",IF(U1244=0,"ODOO-ONLY",IF(V1244=0,"BANK-ONLY","BOTH")))</f>
        <v>BOTH</v>
      </c>
      <c r="X1244" s="9">
        <f>IF(W1244="BOTH",ROUND(S1244-T1244,2),0)</f>
        <v>0</v>
      </c>
      <c r="Y1244" s="9">
        <f>ROUND(SUMIFS('Bank Lines'!$E$5:$E$1640,'Bank Lines'!$G$5:$G$1640,A1244,'Bank Lines'!$J$5:$J$1640,1,'Bank Lines'!$C$5:$C$1640,"&lt;="&amp;Cover!$C$15),2)</f>
        <v>-20607.2</v>
      </c>
      <c r="Z1244" s="9">
        <f>ROUND(SUMIFS('Odoo Items'!$G$5:$G$4331,'Odoo Items'!$J$5:$J$4331,A1244,'Odoo Items'!$C$5:$C$4331,"&lt;="&amp;Cover!$C$15),2)</f>
        <v>-20607.2</v>
      </c>
      <c r="AA1244">
        <f>COUNTIFS('Bank Lines'!$G$5:$G$1640,A1244,'Bank Lines'!$J$5:$J$1640,1,'Bank Lines'!$C$5:$C$1640,"&lt;="&amp;Cover!$C$15)</f>
        <v>1</v>
      </c>
      <c r="AB1244">
        <f>COUNTIFS('Odoo Items'!$J$5:$J$4331,A1244,'Odoo Items'!$C$5:$C$4331,"&lt;="&amp;Cover!$C$15)</f>
        <v>1</v>
      </c>
      <c r="AC1244" t="str">
        <f>IF(AND(AA1244=0,AB1244=0),"",IF(AA1244=0,"ODOO-ONLY",IF(AB1244=0,"BANK-ONLY","BOTH")))</f>
        <v>BOTH</v>
      </c>
      <c r="AD1244" s="9">
        <f>IF(AC1244="BOTH",ROUND(Y1244-Z1244,2),0)</f>
        <v>0</v>
      </c>
    </row>
    <row r="1245">
      <c r="A1245" t="inlineStr">
        <is>
          <t>G01241</t>
        </is>
      </c>
      <c r="B1245" t="inlineStr">
        <is>
          <t>PAY</t>
        </is>
      </c>
      <c r="C1245" t="inlineStr">
        <is>
          <t>R13</t>
        </is>
      </c>
      <c r="D1245" t="inlineStr">
        <is>
          <t>MATCH</t>
        </is>
      </c>
      <c r="E1245" t="inlineStr"/>
      <c r="G1245" t="inlineStr">
        <is>
          <t>Amount and date: Australian Taxation Office PAYG PR260716</t>
        </is>
      </c>
      <c r="H1245">
        <f>COUNTIFS('Bank Lines'!$G$5:$G$1640,A1245,'Bank Lines'!$J$5:$J$1640,1)</f>
        <v>1</v>
      </c>
      <c r="I1245">
        <f>COUNTIFS('Odoo Items'!$J$5:$J$4331,A1245)</f>
        <v>1</v>
      </c>
      <c r="J1245" s="9">
        <f>ROUND(SUMIFS('Bank Lines'!$E$5:$E$1640,'Bank Lines'!$G$5:$G$1640,A1245,'Bank Lines'!$J$5:$J$1640,1),2)</f>
        <v>-35326.62</v>
      </c>
      <c r="K1245" s="9">
        <f>ROUND(SUMIFS('Odoo Items'!$G$5:$G$4331,'Odoo Items'!$J$5:$J$4331,A1245),2)</f>
        <v>-35326.62</v>
      </c>
      <c r="L1245" s="9">
        <f>ROUND(J1245-K1245,2)</f>
        <v>0</v>
      </c>
      <c r="M1245" s="9">
        <f>ROUND(SUMIFS('Bank Lines'!$E$5:$E$1640,'Bank Lines'!$G$5:$G$1640,A1245,'Bank Lines'!$J$5:$J$1640,1,'Bank Lines'!$C$5:$C$1640,"&lt;="&amp;Cover!$C$13),2)</f>
        <v>-35326.62</v>
      </c>
      <c r="N1245" s="9">
        <f>ROUND(SUMIFS('Odoo Items'!$G$5:$G$4331,'Odoo Items'!$J$5:$J$4331,A1245,'Odoo Items'!$C$5:$C$4331,"&lt;="&amp;Cover!$C$13),2)</f>
        <v>-35326.62</v>
      </c>
      <c r="O1245">
        <f>COUNTIFS('Bank Lines'!$G$5:$G$1640,A1245,'Bank Lines'!$J$5:$J$1640,1,'Bank Lines'!$C$5:$C$1640,"&lt;="&amp;Cover!$C$13)</f>
        <v>1</v>
      </c>
      <c r="P1245">
        <f>COUNTIFS('Odoo Items'!$J$5:$J$4331,A1245,'Odoo Items'!$C$5:$C$4331,"&lt;="&amp;Cover!$C$13)</f>
        <v>1</v>
      </c>
      <c r="Q1245" t="str">
        <f>IF(AND(O1245=0,P1245=0),"",IF(O1245=0,"ODOO-ONLY",IF(P1245=0,"BANK-ONLY","BOTH")))</f>
        <v>BOTH</v>
      </c>
      <c r="R1245" s="9">
        <f>IF(Q1245="BOTH",ROUND(M1245-N1245,2),0)</f>
        <v>0</v>
      </c>
      <c r="S1245" s="9">
        <f>ROUND(SUMIFS('Bank Lines'!$E$5:$E$1640,'Bank Lines'!$G$5:$G$1640,A1245,'Bank Lines'!$J$5:$J$1640,1,'Bank Lines'!$C$5:$C$1640,"&lt;="&amp;Cover!$C$14),2)</f>
        <v>-35326.62</v>
      </c>
      <c r="T1245" s="9">
        <f>ROUND(SUMIFS('Odoo Items'!$G$5:$G$4331,'Odoo Items'!$J$5:$J$4331,A1245,'Odoo Items'!$C$5:$C$4331,"&lt;="&amp;Cover!$C$14),2)</f>
        <v>-35326.62</v>
      </c>
      <c r="U1245">
        <f>COUNTIFS('Bank Lines'!$G$5:$G$1640,A1245,'Bank Lines'!$J$5:$J$1640,1,'Bank Lines'!$C$5:$C$1640,"&lt;="&amp;Cover!$C$14)</f>
        <v>1</v>
      </c>
      <c r="V1245">
        <f>COUNTIFS('Odoo Items'!$J$5:$J$4331,A1245,'Odoo Items'!$C$5:$C$4331,"&lt;="&amp;Cover!$C$14)</f>
        <v>1</v>
      </c>
      <c r="W1245" t="str">
        <f>IF(AND(U1245=0,V1245=0),"",IF(U1245=0,"ODOO-ONLY",IF(V1245=0,"BANK-ONLY","BOTH")))</f>
        <v>BOTH</v>
      </c>
      <c r="X1245" s="9">
        <f>IF(W1245="BOTH",ROUND(S1245-T1245,2),0)</f>
        <v>0</v>
      </c>
      <c r="Y1245" s="9">
        <f>ROUND(SUMIFS('Bank Lines'!$E$5:$E$1640,'Bank Lines'!$G$5:$G$1640,A1245,'Bank Lines'!$J$5:$J$1640,1,'Bank Lines'!$C$5:$C$1640,"&lt;="&amp;Cover!$C$15),2)</f>
        <v>-35326.62</v>
      </c>
      <c r="Z1245" s="9">
        <f>ROUND(SUMIFS('Odoo Items'!$G$5:$G$4331,'Odoo Items'!$J$5:$J$4331,A1245,'Odoo Items'!$C$5:$C$4331,"&lt;="&amp;Cover!$C$15),2)</f>
        <v>-35326.62</v>
      </c>
      <c r="AA1245">
        <f>COUNTIFS('Bank Lines'!$G$5:$G$1640,A1245,'Bank Lines'!$J$5:$J$1640,1,'Bank Lines'!$C$5:$C$1640,"&lt;="&amp;Cover!$C$15)</f>
        <v>1</v>
      </c>
      <c r="AB1245">
        <f>COUNTIFS('Odoo Items'!$J$5:$J$4331,A1245,'Odoo Items'!$C$5:$C$4331,"&lt;="&amp;Cover!$C$15)</f>
        <v>1</v>
      </c>
      <c r="AC1245" t="str">
        <f>IF(AND(AA1245=0,AB1245=0),"",IF(AA1245=0,"ODOO-ONLY",IF(AB1245=0,"BANK-ONLY","BOTH")))</f>
        <v>BOTH</v>
      </c>
      <c r="AD1245" s="9">
        <f>IF(AC1245="BOTH",ROUND(Y1245-Z1245,2),0)</f>
        <v>0</v>
      </c>
    </row>
    <row r="1246">
      <c r="A1246" t="inlineStr">
        <is>
          <t>G01242</t>
        </is>
      </c>
      <c r="B1246" t="inlineStr">
        <is>
          <t>PAY</t>
        </is>
      </c>
      <c r="C1246" t="inlineStr">
        <is>
          <t>R13</t>
        </is>
      </c>
      <c r="D1246" t="inlineStr">
        <is>
          <t>MATCH</t>
        </is>
      </c>
      <c r="E1246" t="inlineStr"/>
      <c r="G1246" t="inlineStr">
        <is>
          <t>Amount and date: Super clearing house SUPER PR260813</t>
        </is>
      </c>
      <c r="H1246">
        <f>COUNTIFS('Bank Lines'!$G$5:$G$1640,A1246,'Bank Lines'!$J$5:$J$1640,1)</f>
        <v>1</v>
      </c>
      <c r="I1246">
        <f>COUNTIFS('Odoo Items'!$J$5:$J$4331,A1246)</f>
        <v>1</v>
      </c>
      <c r="J1246" s="9">
        <f>ROUND(SUMIFS('Bank Lines'!$E$5:$E$1640,'Bank Lines'!$G$5:$G$1640,A1246,'Bank Lines'!$J$5:$J$1640,1),2)</f>
        <v>-20439.35</v>
      </c>
      <c r="K1246" s="9">
        <f>ROUND(SUMIFS('Odoo Items'!$G$5:$G$4331,'Odoo Items'!$J$5:$J$4331,A1246),2)</f>
        <v>-20439.35</v>
      </c>
      <c r="L1246" s="9">
        <f>ROUND(J1246-K1246,2)</f>
        <v>0</v>
      </c>
      <c r="M1246" s="9">
        <f>ROUND(SUMIFS('Bank Lines'!$E$5:$E$1640,'Bank Lines'!$G$5:$G$1640,A1246,'Bank Lines'!$J$5:$J$1640,1,'Bank Lines'!$C$5:$C$1640,"&lt;="&amp;Cover!$C$13),2)</f>
        <v>0</v>
      </c>
      <c r="N1246" s="9">
        <f>ROUND(SUMIFS('Odoo Items'!$G$5:$G$4331,'Odoo Items'!$J$5:$J$4331,A1246,'Odoo Items'!$C$5:$C$4331,"&lt;="&amp;Cover!$C$13),2)</f>
        <v>0</v>
      </c>
      <c r="O1246">
        <f>COUNTIFS('Bank Lines'!$G$5:$G$1640,A1246,'Bank Lines'!$J$5:$J$1640,1,'Bank Lines'!$C$5:$C$1640,"&lt;="&amp;Cover!$C$13)</f>
        <v>0</v>
      </c>
      <c r="P1246">
        <f>COUNTIFS('Odoo Items'!$J$5:$J$4331,A1246,'Odoo Items'!$C$5:$C$4331,"&lt;="&amp;Cover!$C$13)</f>
        <v>0</v>
      </c>
      <c r="Q1246">
        <f>IF(AND(O1246=0,P1246=0),"",IF(O1246=0,"ODOO-ONLY",IF(P1246=0,"BANK-ONLY","BOTH")))</f>
      </c>
      <c r="R1246" s="9">
        <f>IF(Q1246="BOTH",ROUND(M1246-N1246,2),0)</f>
        <v>0</v>
      </c>
      <c r="S1246" s="9">
        <f>ROUND(SUMIFS('Bank Lines'!$E$5:$E$1640,'Bank Lines'!$G$5:$G$1640,A1246,'Bank Lines'!$J$5:$J$1640,1,'Bank Lines'!$C$5:$C$1640,"&lt;="&amp;Cover!$C$14),2)</f>
        <v>-20439.35</v>
      </c>
      <c r="T1246" s="9">
        <f>ROUND(SUMIFS('Odoo Items'!$G$5:$G$4331,'Odoo Items'!$J$5:$J$4331,A1246,'Odoo Items'!$C$5:$C$4331,"&lt;="&amp;Cover!$C$14),2)</f>
        <v>-20439.35</v>
      </c>
      <c r="U1246">
        <f>COUNTIFS('Bank Lines'!$G$5:$G$1640,A1246,'Bank Lines'!$J$5:$J$1640,1,'Bank Lines'!$C$5:$C$1640,"&lt;="&amp;Cover!$C$14)</f>
        <v>1</v>
      </c>
      <c r="V1246">
        <f>COUNTIFS('Odoo Items'!$J$5:$J$4331,A1246,'Odoo Items'!$C$5:$C$4331,"&lt;="&amp;Cover!$C$14)</f>
        <v>1</v>
      </c>
      <c r="W1246" t="str">
        <f>IF(AND(U1246=0,V1246=0),"",IF(U1246=0,"ODOO-ONLY",IF(V1246=0,"BANK-ONLY","BOTH")))</f>
        <v>BOTH</v>
      </c>
      <c r="X1246" s="9">
        <f>IF(W1246="BOTH",ROUND(S1246-T1246,2),0)</f>
        <v>0</v>
      </c>
      <c r="Y1246" s="9">
        <f>ROUND(SUMIFS('Bank Lines'!$E$5:$E$1640,'Bank Lines'!$G$5:$G$1640,A1246,'Bank Lines'!$J$5:$J$1640,1,'Bank Lines'!$C$5:$C$1640,"&lt;="&amp;Cover!$C$15),2)</f>
        <v>-20439.35</v>
      </c>
      <c r="Z1246" s="9">
        <f>ROUND(SUMIFS('Odoo Items'!$G$5:$G$4331,'Odoo Items'!$J$5:$J$4331,A1246,'Odoo Items'!$C$5:$C$4331,"&lt;="&amp;Cover!$C$15),2)</f>
        <v>-20439.35</v>
      </c>
      <c r="AA1246">
        <f>COUNTIFS('Bank Lines'!$G$5:$G$1640,A1246,'Bank Lines'!$J$5:$J$1640,1,'Bank Lines'!$C$5:$C$1640,"&lt;="&amp;Cover!$C$15)</f>
        <v>1</v>
      </c>
      <c r="AB1246">
        <f>COUNTIFS('Odoo Items'!$J$5:$J$4331,A1246,'Odoo Items'!$C$5:$C$4331,"&lt;="&amp;Cover!$C$15)</f>
        <v>1</v>
      </c>
      <c r="AC1246" t="str">
        <f>IF(AND(AA1246=0,AB1246=0),"",IF(AA1246=0,"ODOO-ONLY",IF(AB1246=0,"BANK-ONLY","BOTH")))</f>
        <v>BOTH</v>
      </c>
      <c r="AD1246" s="9">
        <f>IF(AC1246="BOTH",ROUND(Y1246-Z1246,2),0)</f>
        <v>0</v>
      </c>
    </row>
    <row r="1247">
      <c r="A1247" t="inlineStr">
        <is>
          <t>G01243</t>
        </is>
      </c>
      <c r="B1247" t="inlineStr">
        <is>
          <t>PAY</t>
        </is>
      </c>
      <c r="C1247" t="inlineStr">
        <is>
          <t>R13</t>
        </is>
      </c>
      <c r="D1247" t="inlineStr">
        <is>
          <t>MATCH</t>
        </is>
      </c>
      <c r="E1247" t="inlineStr"/>
      <c r="G1247" t="inlineStr">
        <is>
          <t>Amount and date: Australian Taxation Office PAYG PR260813</t>
        </is>
      </c>
      <c r="H1247">
        <f>COUNTIFS('Bank Lines'!$G$5:$G$1640,A1247,'Bank Lines'!$J$5:$J$1640,1)</f>
        <v>1</v>
      </c>
      <c r="I1247">
        <f>COUNTIFS('Odoo Items'!$J$5:$J$4331,A1247)</f>
        <v>1</v>
      </c>
      <c r="J1247" s="9">
        <f>ROUND(SUMIFS('Bank Lines'!$E$5:$E$1640,'Bank Lines'!$G$5:$G$1640,A1247,'Bank Lines'!$J$5:$J$1640,1),2)</f>
        <v>-35038.89</v>
      </c>
      <c r="K1247" s="9">
        <f>ROUND(SUMIFS('Odoo Items'!$G$5:$G$4331,'Odoo Items'!$J$5:$J$4331,A1247),2)</f>
        <v>-35038.89</v>
      </c>
      <c r="L1247" s="9">
        <f>ROUND(J1247-K1247,2)</f>
        <v>0</v>
      </c>
      <c r="M1247" s="9">
        <f>ROUND(SUMIFS('Bank Lines'!$E$5:$E$1640,'Bank Lines'!$G$5:$G$1640,A1247,'Bank Lines'!$J$5:$J$1640,1,'Bank Lines'!$C$5:$C$1640,"&lt;="&amp;Cover!$C$13),2)</f>
        <v>0</v>
      </c>
      <c r="N1247" s="9">
        <f>ROUND(SUMIFS('Odoo Items'!$G$5:$G$4331,'Odoo Items'!$J$5:$J$4331,A1247,'Odoo Items'!$C$5:$C$4331,"&lt;="&amp;Cover!$C$13),2)</f>
        <v>0</v>
      </c>
      <c r="O1247">
        <f>COUNTIFS('Bank Lines'!$G$5:$G$1640,A1247,'Bank Lines'!$J$5:$J$1640,1,'Bank Lines'!$C$5:$C$1640,"&lt;="&amp;Cover!$C$13)</f>
        <v>0</v>
      </c>
      <c r="P1247">
        <f>COUNTIFS('Odoo Items'!$J$5:$J$4331,A1247,'Odoo Items'!$C$5:$C$4331,"&lt;="&amp;Cover!$C$13)</f>
        <v>0</v>
      </c>
      <c r="Q1247">
        <f>IF(AND(O1247=0,P1247=0),"",IF(O1247=0,"ODOO-ONLY",IF(P1247=0,"BANK-ONLY","BOTH")))</f>
      </c>
      <c r="R1247" s="9">
        <f>IF(Q1247="BOTH",ROUND(M1247-N1247,2),0)</f>
        <v>0</v>
      </c>
      <c r="S1247" s="9">
        <f>ROUND(SUMIFS('Bank Lines'!$E$5:$E$1640,'Bank Lines'!$G$5:$G$1640,A1247,'Bank Lines'!$J$5:$J$1640,1,'Bank Lines'!$C$5:$C$1640,"&lt;="&amp;Cover!$C$14),2)</f>
        <v>-35038.89</v>
      </c>
      <c r="T1247" s="9">
        <f>ROUND(SUMIFS('Odoo Items'!$G$5:$G$4331,'Odoo Items'!$J$5:$J$4331,A1247,'Odoo Items'!$C$5:$C$4331,"&lt;="&amp;Cover!$C$14),2)</f>
        <v>-35038.89</v>
      </c>
      <c r="U1247">
        <f>COUNTIFS('Bank Lines'!$G$5:$G$1640,A1247,'Bank Lines'!$J$5:$J$1640,1,'Bank Lines'!$C$5:$C$1640,"&lt;="&amp;Cover!$C$14)</f>
        <v>1</v>
      </c>
      <c r="V1247">
        <f>COUNTIFS('Odoo Items'!$J$5:$J$4331,A1247,'Odoo Items'!$C$5:$C$4331,"&lt;="&amp;Cover!$C$14)</f>
        <v>1</v>
      </c>
      <c r="W1247" t="str">
        <f>IF(AND(U1247=0,V1247=0),"",IF(U1247=0,"ODOO-ONLY",IF(V1247=0,"BANK-ONLY","BOTH")))</f>
        <v>BOTH</v>
      </c>
      <c r="X1247" s="9">
        <f>IF(W1247="BOTH",ROUND(S1247-T1247,2),0)</f>
        <v>0</v>
      </c>
      <c r="Y1247" s="9">
        <f>ROUND(SUMIFS('Bank Lines'!$E$5:$E$1640,'Bank Lines'!$G$5:$G$1640,A1247,'Bank Lines'!$J$5:$J$1640,1,'Bank Lines'!$C$5:$C$1640,"&lt;="&amp;Cover!$C$15),2)</f>
        <v>-35038.89</v>
      </c>
      <c r="Z1247" s="9">
        <f>ROUND(SUMIFS('Odoo Items'!$G$5:$G$4331,'Odoo Items'!$J$5:$J$4331,A1247,'Odoo Items'!$C$5:$C$4331,"&lt;="&amp;Cover!$C$15),2)</f>
        <v>-35038.89</v>
      </c>
      <c r="AA1247">
        <f>COUNTIFS('Bank Lines'!$G$5:$G$1640,A1247,'Bank Lines'!$J$5:$J$1640,1,'Bank Lines'!$C$5:$C$1640,"&lt;="&amp;Cover!$C$15)</f>
        <v>1</v>
      </c>
      <c r="AB1247">
        <f>COUNTIFS('Odoo Items'!$J$5:$J$4331,A1247,'Odoo Items'!$C$5:$C$4331,"&lt;="&amp;Cover!$C$15)</f>
        <v>1</v>
      </c>
      <c r="AC1247" t="str">
        <f>IF(AND(AA1247=0,AB1247=0),"",IF(AA1247=0,"ODOO-ONLY",IF(AB1247=0,"BANK-ONLY","BOTH")))</f>
        <v>BOTH</v>
      </c>
      <c r="AD1247" s="9">
        <f>IF(AC1247="BOTH",ROUND(Y1247-Z1247,2),0)</f>
        <v>0</v>
      </c>
    </row>
    <row r="1248">
      <c r="A1248" t="inlineStr">
        <is>
          <t>G01244</t>
        </is>
      </c>
      <c r="B1248" t="inlineStr">
        <is>
          <t>PAY</t>
        </is>
      </c>
      <c r="C1248" t="inlineStr">
        <is>
          <t>R13</t>
        </is>
      </c>
      <c r="D1248" t="inlineStr">
        <is>
          <t>MATCH</t>
        </is>
      </c>
      <c r="E1248" t="inlineStr"/>
      <c r="G1248" t="inlineStr">
        <is>
          <t>Amount and date: Super clearing house SUPER PR260910</t>
        </is>
      </c>
      <c r="H1248">
        <f>COUNTIFS('Bank Lines'!$G$5:$G$1640,A1248,'Bank Lines'!$J$5:$J$1640,1)</f>
        <v>1</v>
      </c>
      <c r="I1248">
        <f>COUNTIFS('Odoo Items'!$J$5:$J$4331,A1248)</f>
        <v>1</v>
      </c>
      <c r="J1248" s="9">
        <f>ROUND(SUMIFS('Bank Lines'!$E$5:$E$1640,'Bank Lines'!$G$5:$G$1640,A1248,'Bank Lines'!$J$5:$J$1640,1),2)</f>
        <v>-20838.09</v>
      </c>
      <c r="K1248" s="9">
        <f>ROUND(SUMIFS('Odoo Items'!$G$5:$G$4331,'Odoo Items'!$J$5:$J$4331,A1248),2)</f>
        <v>-20838.09</v>
      </c>
      <c r="L1248" s="9">
        <f>ROUND(J1248-K1248,2)</f>
        <v>0</v>
      </c>
      <c r="M1248" s="9">
        <f>ROUND(SUMIFS('Bank Lines'!$E$5:$E$1640,'Bank Lines'!$G$5:$G$1640,A1248,'Bank Lines'!$J$5:$J$1640,1,'Bank Lines'!$C$5:$C$1640,"&lt;="&amp;Cover!$C$13),2)</f>
        <v>0</v>
      </c>
      <c r="N1248" s="9">
        <f>ROUND(SUMIFS('Odoo Items'!$G$5:$G$4331,'Odoo Items'!$J$5:$J$4331,A1248,'Odoo Items'!$C$5:$C$4331,"&lt;="&amp;Cover!$C$13),2)</f>
        <v>0</v>
      </c>
      <c r="O1248">
        <f>COUNTIFS('Bank Lines'!$G$5:$G$1640,A1248,'Bank Lines'!$J$5:$J$1640,1,'Bank Lines'!$C$5:$C$1640,"&lt;="&amp;Cover!$C$13)</f>
        <v>0</v>
      </c>
      <c r="P1248">
        <f>COUNTIFS('Odoo Items'!$J$5:$J$4331,A1248,'Odoo Items'!$C$5:$C$4331,"&lt;="&amp;Cover!$C$13)</f>
        <v>0</v>
      </c>
      <c r="Q1248">
        <f>IF(AND(O1248=0,P1248=0),"",IF(O1248=0,"ODOO-ONLY",IF(P1248=0,"BANK-ONLY","BOTH")))</f>
      </c>
      <c r="R1248" s="9">
        <f>IF(Q1248="BOTH",ROUND(M1248-N1248,2),0)</f>
        <v>0</v>
      </c>
      <c r="S1248" s="9">
        <f>ROUND(SUMIFS('Bank Lines'!$E$5:$E$1640,'Bank Lines'!$G$5:$G$1640,A1248,'Bank Lines'!$J$5:$J$1640,1,'Bank Lines'!$C$5:$C$1640,"&lt;="&amp;Cover!$C$14),2)</f>
        <v>0</v>
      </c>
      <c r="T1248" s="9">
        <f>ROUND(SUMIFS('Odoo Items'!$G$5:$G$4331,'Odoo Items'!$J$5:$J$4331,A1248,'Odoo Items'!$C$5:$C$4331,"&lt;="&amp;Cover!$C$14),2)</f>
        <v>0</v>
      </c>
      <c r="U1248">
        <f>COUNTIFS('Bank Lines'!$G$5:$G$1640,A1248,'Bank Lines'!$J$5:$J$1640,1,'Bank Lines'!$C$5:$C$1640,"&lt;="&amp;Cover!$C$14)</f>
        <v>0</v>
      </c>
      <c r="V1248">
        <f>COUNTIFS('Odoo Items'!$J$5:$J$4331,A1248,'Odoo Items'!$C$5:$C$4331,"&lt;="&amp;Cover!$C$14)</f>
        <v>0</v>
      </c>
      <c r="W1248">
        <f>IF(AND(U1248=0,V1248=0),"",IF(U1248=0,"ODOO-ONLY",IF(V1248=0,"BANK-ONLY","BOTH")))</f>
      </c>
      <c r="X1248" s="9">
        <f>IF(W1248="BOTH",ROUND(S1248-T1248,2),0)</f>
        <v>0</v>
      </c>
      <c r="Y1248" s="9">
        <f>ROUND(SUMIFS('Bank Lines'!$E$5:$E$1640,'Bank Lines'!$G$5:$G$1640,A1248,'Bank Lines'!$J$5:$J$1640,1,'Bank Lines'!$C$5:$C$1640,"&lt;="&amp;Cover!$C$15),2)</f>
        <v>-20838.09</v>
      </c>
      <c r="Z1248" s="9">
        <f>ROUND(SUMIFS('Odoo Items'!$G$5:$G$4331,'Odoo Items'!$J$5:$J$4331,A1248,'Odoo Items'!$C$5:$C$4331,"&lt;="&amp;Cover!$C$15),2)</f>
        <v>-20838.09</v>
      </c>
      <c r="AA1248">
        <f>COUNTIFS('Bank Lines'!$G$5:$G$1640,A1248,'Bank Lines'!$J$5:$J$1640,1,'Bank Lines'!$C$5:$C$1640,"&lt;="&amp;Cover!$C$15)</f>
        <v>1</v>
      </c>
      <c r="AB1248">
        <f>COUNTIFS('Odoo Items'!$J$5:$J$4331,A1248,'Odoo Items'!$C$5:$C$4331,"&lt;="&amp;Cover!$C$15)</f>
        <v>1</v>
      </c>
      <c r="AC1248" t="str">
        <f>IF(AND(AA1248=0,AB1248=0),"",IF(AA1248=0,"ODOO-ONLY",IF(AB1248=0,"BANK-ONLY","BOTH")))</f>
        <v>BOTH</v>
      </c>
      <c r="AD1248" s="9">
        <f>IF(AC1248="BOTH",ROUND(Y1248-Z1248,2),0)</f>
        <v>0</v>
      </c>
    </row>
    <row r="1249">
      <c r="A1249" t="inlineStr">
        <is>
          <t>G01245</t>
        </is>
      </c>
      <c r="B1249" t="inlineStr">
        <is>
          <t>PAY</t>
        </is>
      </c>
      <c r="C1249" t="inlineStr">
        <is>
          <t>R13</t>
        </is>
      </c>
      <c r="D1249" t="inlineStr">
        <is>
          <t>MATCH</t>
        </is>
      </c>
      <c r="E1249" t="inlineStr"/>
      <c r="G1249" t="inlineStr">
        <is>
          <t>Amount and date: Australian Taxation Office PAYG PR260910</t>
        </is>
      </c>
      <c r="H1249">
        <f>COUNTIFS('Bank Lines'!$G$5:$G$1640,A1249,'Bank Lines'!$J$5:$J$1640,1)</f>
        <v>1</v>
      </c>
      <c r="I1249">
        <f>COUNTIFS('Odoo Items'!$J$5:$J$4331,A1249)</f>
        <v>1</v>
      </c>
      <c r="J1249" s="9">
        <f>ROUND(SUMIFS('Bank Lines'!$E$5:$E$1640,'Bank Lines'!$G$5:$G$1640,A1249,'Bank Lines'!$J$5:$J$1640,1),2)</f>
        <v>-35722.44</v>
      </c>
      <c r="K1249" s="9">
        <f>ROUND(SUMIFS('Odoo Items'!$G$5:$G$4331,'Odoo Items'!$J$5:$J$4331,A1249),2)</f>
        <v>-35722.44</v>
      </c>
      <c r="L1249" s="9">
        <f>ROUND(J1249-K1249,2)</f>
        <v>0</v>
      </c>
      <c r="M1249" s="9">
        <f>ROUND(SUMIFS('Bank Lines'!$E$5:$E$1640,'Bank Lines'!$G$5:$G$1640,A1249,'Bank Lines'!$J$5:$J$1640,1,'Bank Lines'!$C$5:$C$1640,"&lt;="&amp;Cover!$C$13),2)</f>
        <v>0</v>
      </c>
      <c r="N1249" s="9">
        <f>ROUND(SUMIFS('Odoo Items'!$G$5:$G$4331,'Odoo Items'!$J$5:$J$4331,A1249,'Odoo Items'!$C$5:$C$4331,"&lt;="&amp;Cover!$C$13),2)</f>
        <v>0</v>
      </c>
      <c r="O1249">
        <f>COUNTIFS('Bank Lines'!$G$5:$G$1640,A1249,'Bank Lines'!$J$5:$J$1640,1,'Bank Lines'!$C$5:$C$1640,"&lt;="&amp;Cover!$C$13)</f>
        <v>0</v>
      </c>
      <c r="P1249">
        <f>COUNTIFS('Odoo Items'!$J$5:$J$4331,A1249,'Odoo Items'!$C$5:$C$4331,"&lt;="&amp;Cover!$C$13)</f>
        <v>0</v>
      </c>
      <c r="Q1249">
        <f>IF(AND(O1249=0,P1249=0),"",IF(O1249=0,"ODOO-ONLY",IF(P1249=0,"BANK-ONLY","BOTH")))</f>
      </c>
      <c r="R1249" s="9">
        <f>IF(Q1249="BOTH",ROUND(M1249-N1249,2),0)</f>
        <v>0</v>
      </c>
      <c r="S1249" s="9">
        <f>ROUND(SUMIFS('Bank Lines'!$E$5:$E$1640,'Bank Lines'!$G$5:$G$1640,A1249,'Bank Lines'!$J$5:$J$1640,1,'Bank Lines'!$C$5:$C$1640,"&lt;="&amp;Cover!$C$14),2)</f>
        <v>0</v>
      </c>
      <c r="T1249" s="9">
        <f>ROUND(SUMIFS('Odoo Items'!$G$5:$G$4331,'Odoo Items'!$J$5:$J$4331,A1249,'Odoo Items'!$C$5:$C$4331,"&lt;="&amp;Cover!$C$14),2)</f>
        <v>0</v>
      </c>
      <c r="U1249">
        <f>COUNTIFS('Bank Lines'!$G$5:$G$1640,A1249,'Bank Lines'!$J$5:$J$1640,1,'Bank Lines'!$C$5:$C$1640,"&lt;="&amp;Cover!$C$14)</f>
        <v>0</v>
      </c>
      <c r="V1249">
        <f>COUNTIFS('Odoo Items'!$J$5:$J$4331,A1249,'Odoo Items'!$C$5:$C$4331,"&lt;="&amp;Cover!$C$14)</f>
        <v>0</v>
      </c>
      <c r="W1249">
        <f>IF(AND(U1249=0,V1249=0),"",IF(U1249=0,"ODOO-ONLY",IF(V1249=0,"BANK-ONLY","BOTH")))</f>
      </c>
      <c r="X1249" s="9">
        <f>IF(W1249="BOTH",ROUND(S1249-T1249,2),0)</f>
        <v>0</v>
      </c>
      <c r="Y1249" s="9">
        <f>ROUND(SUMIFS('Bank Lines'!$E$5:$E$1640,'Bank Lines'!$G$5:$G$1640,A1249,'Bank Lines'!$J$5:$J$1640,1,'Bank Lines'!$C$5:$C$1640,"&lt;="&amp;Cover!$C$15),2)</f>
        <v>-35722.44</v>
      </c>
      <c r="Z1249" s="9">
        <f>ROUND(SUMIFS('Odoo Items'!$G$5:$G$4331,'Odoo Items'!$J$5:$J$4331,A1249,'Odoo Items'!$C$5:$C$4331,"&lt;="&amp;Cover!$C$15),2)</f>
        <v>-35722.44</v>
      </c>
      <c r="AA1249">
        <f>COUNTIFS('Bank Lines'!$G$5:$G$1640,A1249,'Bank Lines'!$J$5:$J$1640,1,'Bank Lines'!$C$5:$C$1640,"&lt;="&amp;Cover!$C$15)</f>
        <v>1</v>
      </c>
      <c r="AB1249">
        <f>COUNTIFS('Odoo Items'!$J$5:$J$4331,A1249,'Odoo Items'!$C$5:$C$4331,"&lt;="&amp;Cover!$C$15)</f>
        <v>1</v>
      </c>
      <c r="AC1249" t="str">
        <f>IF(AND(AA1249=0,AB1249=0),"",IF(AA1249=0,"ODOO-ONLY",IF(AB1249=0,"BANK-ONLY","BOTH")))</f>
        <v>BOTH</v>
      </c>
      <c r="AD1249" s="9">
        <f>IF(AC1249="BOTH",ROUND(Y1249-Z1249,2),0)</f>
        <v>0</v>
      </c>
    </row>
    <row r="1250">
      <c r="A1250" t="inlineStr">
        <is>
          <t>G01246</t>
        </is>
      </c>
      <c r="B1250" t="inlineStr">
        <is>
          <t>OPS</t>
        </is>
      </c>
      <c r="C1250" t="inlineStr">
        <is>
          <t>R99</t>
        </is>
      </c>
      <c r="D1250" t="inlineStr">
        <is>
          <t>UNEXP</t>
        </is>
      </c>
      <c r="E1250" t="inlineStr"/>
      <c r="G1250" t="inlineStr">
        <is>
          <t>No Odoo item, open invoice or known pattern. Escalated.</t>
        </is>
      </c>
      <c r="H1250">
        <f>COUNTIFS('Bank Lines'!$G$5:$G$1640,A1250,'Bank Lines'!$J$5:$J$1640,1)</f>
        <v>1</v>
      </c>
      <c r="I1250">
        <f>COUNTIFS('Odoo Items'!$J$5:$J$4331,A1250)</f>
        <v>0</v>
      </c>
      <c r="J1250" s="9">
        <f>ROUND(SUMIFS('Bank Lines'!$E$5:$E$1640,'Bank Lines'!$G$5:$G$1640,A1250,'Bank Lines'!$J$5:$J$1640,1),2)</f>
        <v>1850</v>
      </c>
      <c r="K1250" s="9">
        <f>ROUND(SUMIFS('Odoo Items'!$G$5:$G$4331,'Odoo Items'!$J$5:$J$4331,A1250),2)</f>
        <v>0</v>
      </c>
      <c r="L1250" s="9">
        <f>ROUND(J1250-K1250,2)</f>
        <v>1850</v>
      </c>
      <c r="M1250" s="9">
        <f>ROUND(SUMIFS('Bank Lines'!$E$5:$E$1640,'Bank Lines'!$G$5:$G$1640,A1250,'Bank Lines'!$J$5:$J$1640,1,'Bank Lines'!$C$5:$C$1640,"&lt;="&amp;Cover!$C$13),2)</f>
        <v>0</v>
      </c>
      <c r="N1250" s="9">
        <f>ROUND(SUMIFS('Odoo Items'!$G$5:$G$4331,'Odoo Items'!$J$5:$J$4331,A1250,'Odoo Items'!$C$5:$C$4331,"&lt;="&amp;Cover!$C$13),2)</f>
        <v>0</v>
      </c>
      <c r="O1250">
        <f>COUNTIFS('Bank Lines'!$G$5:$G$1640,A1250,'Bank Lines'!$J$5:$J$1640,1,'Bank Lines'!$C$5:$C$1640,"&lt;="&amp;Cover!$C$13)</f>
        <v>0</v>
      </c>
      <c r="P1250">
        <f>COUNTIFS('Odoo Items'!$J$5:$J$4331,A1250,'Odoo Items'!$C$5:$C$4331,"&lt;="&amp;Cover!$C$13)</f>
        <v>0</v>
      </c>
      <c r="Q1250">
        <f>IF(AND(O1250=0,P1250=0),"",IF(O1250=0,"ODOO-ONLY",IF(P1250=0,"BANK-ONLY","BOTH")))</f>
      </c>
      <c r="R1250" s="9">
        <f>IF(Q1250="BOTH",ROUND(M1250-N1250,2),0)</f>
        <v>0</v>
      </c>
      <c r="S1250" s="9">
        <f>ROUND(SUMIFS('Bank Lines'!$E$5:$E$1640,'Bank Lines'!$G$5:$G$1640,A1250,'Bank Lines'!$J$5:$J$1640,1,'Bank Lines'!$C$5:$C$1640,"&lt;="&amp;Cover!$C$14),2)</f>
        <v>1850</v>
      </c>
      <c r="T1250" s="9">
        <f>ROUND(SUMIFS('Odoo Items'!$G$5:$G$4331,'Odoo Items'!$J$5:$J$4331,A1250,'Odoo Items'!$C$5:$C$4331,"&lt;="&amp;Cover!$C$14),2)</f>
        <v>0</v>
      </c>
      <c r="U1250">
        <f>COUNTIFS('Bank Lines'!$G$5:$G$1640,A1250,'Bank Lines'!$J$5:$J$1640,1,'Bank Lines'!$C$5:$C$1640,"&lt;="&amp;Cover!$C$14)</f>
        <v>1</v>
      </c>
      <c r="V1250">
        <f>COUNTIFS('Odoo Items'!$J$5:$J$4331,A1250,'Odoo Items'!$C$5:$C$4331,"&lt;="&amp;Cover!$C$14)</f>
        <v>0</v>
      </c>
      <c r="W1250" t="str">
        <f>IF(AND(U1250=0,V1250=0),"",IF(U1250=0,"ODOO-ONLY",IF(V1250=0,"BANK-ONLY","BOTH")))</f>
        <v>BANK-ONLY</v>
      </c>
      <c r="X1250" s="9">
        <f>IF(W1250="BOTH",ROUND(S1250-T1250,2),0)</f>
        <v>0</v>
      </c>
      <c r="Y1250" s="9">
        <f>ROUND(SUMIFS('Bank Lines'!$E$5:$E$1640,'Bank Lines'!$G$5:$G$1640,A1250,'Bank Lines'!$J$5:$J$1640,1,'Bank Lines'!$C$5:$C$1640,"&lt;="&amp;Cover!$C$15),2)</f>
        <v>1850</v>
      </c>
      <c r="Z1250" s="9">
        <f>ROUND(SUMIFS('Odoo Items'!$G$5:$G$4331,'Odoo Items'!$J$5:$J$4331,A1250,'Odoo Items'!$C$5:$C$4331,"&lt;="&amp;Cover!$C$15),2)</f>
        <v>0</v>
      </c>
      <c r="AA1250">
        <f>COUNTIFS('Bank Lines'!$G$5:$G$1640,A1250,'Bank Lines'!$J$5:$J$1640,1,'Bank Lines'!$C$5:$C$1640,"&lt;="&amp;Cover!$C$15)</f>
        <v>1</v>
      </c>
      <c r="AB1250">
        <f>COUNTIFS('Odoo Items'!$J$5:$J$4331,A1250,'Odoo Items'!$C$5:$C$4331,"&lt;="&amp;Cover!$C$15)</f>
        <v>0</v>
      </c>
      <c r="AC1250" t="str">
        <f>IF(AND(AA1250=0,AB1250=0),"",IF(AA1250=0,"ODOO-ONLY",IF(AB1250=0,"BANK-ONLY","BOTH")))</f>
        <v>BANK-ONLY</v>
      </c>
      <c r="AD1250" s="9">
        <f>IF(AC1250="BOTH",ROUND(Y1250-Z1250,2),0)</f>
        <v>0</v>
      </c>
    </row>
    <row r="1251">
      <c r="A1251" t="inlineStr">
        <is>
          <t>G01247</t>
        </is>
      </c>
      <c r="B1251" t="inlineStr">
        <is>
          <t>OPS</t>
        </is>
      </c>
      <c r="C1251" t="inlineStr">
        <is>
          <t>R99</t>
        </is>
      </c>
      <c r="D1251" t="inlineStr">
        <is>
          <t>UNEXP</t>
        </is>
      </c>
      <c r="E1251" t="inlineStr"/>
      <c r="G1251" t="inlineStr">
        <is>
          <t>No Odoo item, open invoice or known pattern. Escalated.</t>
        </is>
      </c>
      <c r="H1251">
        <f>COUNTIFS('Bank Lines'!$G$5:$G$1640,A1251,'Bank Lines'!$J$5:$J$1640,1)</f>
        <v>1</v>
      </c>
      <c r="I1251">
        <f>COUNTIFS('Odoo Items'!$J$5:$J$4331,A1251)</f>
        <v>0</v>
      </c>
      <c r="J1251" s="9">
        <f>ROUND(SUMIFS('Bank Lines'!$E$5:$E$1640,'Bank Lines'!$G$5:$G$1640,A1251,'Bank Lines'!$J$5:$J$1640,1),2)</f>
        <v>-49.95</v>
      </c>
      <c r="K1251" s="9">
        <f>ROUND(SUMIFS('Odoo Items'!$G$5:$G$4331,'Odoo Items'!$J$5:$J$4331,A1251),2)</f>
        <v>0</v>
      </c>
      <c r="L1251" s="9">
        <f>ROUND(J1251-K1251,2)</f>
        <v>-49.95</v>
      </c>
      <c r="M1251" s="9">
        <f>ROUND(SUMIFS('Bank Lines'!$E$5:$E$1640,'Bank Lines'!$G$5:$G$1640,A1251,'Bank Lines'!$J$5:$J$1640,1,'Bank Lines'!$C$5:$C$1640,"&lt;="&amp;Cover!$C$13),2)</f>
        <v>0</v>
      </c>
      <c r="N1251" s="9">
        <f>ROUND(SUMIFS('Odoo Items'!$G$5:$G$4331,'Odoo Items'!$J$5:$J$4331,A1251,'Odoo Items'!$C$5:$C$4331,"&lt;="&amp;Cover!$C$13),2)</f>
        <v>0</v>
      </c>
      <c r="O1251">
        <f>COUNTIFS('Bank Lines'!$G$5:$G$1640,A1251,'Bank Lines'!$J$5:$J$1640,1,'Bank Lines'!$C$5:$C$1640,"&lt;="&amp;Cover!$C$13)</f>
        <v>0</v>
      </c>
      <c r="P1251">
        <f>COUNTIFS('Odoo Items'!$J$5:$J$4331,A1251,'Odoo Items'!$C$5:$C$4331,"&lt;="&amp;Cover!$C$13)</f>
        <v>0</v>
      </c>
      <c r="Q1251">
        <f>IF(AND(O1251=0,P1251=0),"",IF(O1251=0,"ODOO-ONLY",IF(P1251=0,"BANK-ONLY","BOTH")))</f>
      </c>
      <c r="R1251" s="9">
        <f>IF(Q1251="BOTH",ROUND(M1251-N1251,2),0)</f>
        <v>0</v>
      </c>
      <c r="S1251" s="9">
        <f>ROUND(SUMIFS('Bank Lines'!$E$5:$E$1640,'Bank Lines'!$G$5:$G$1640,A1251,'Bank Lines'!$J$5:$J$1640,1,'Bank Lines'!$C$5:$C$1640,"&lt;="&amp;Cover!$C$14),2)</f>
        <v>0</v>
      </c>
      <c r="T1251" s="9">
        <f>ROUND(SUMIFS('Odoo Items'!$G$5:$G$4331,'Odoo Items'!$J$5:$J$4331,A1251,'Odoo Items'!$C$5:$C$4331,"&lt;="&amp;Cover!$C$14),2)</f>
        <v>0</v>
      </c>
      <c r="U1251">
        <f>COUNTIFS('Bank Lines'!$G$5:$G$1640,A1251,'Bank Lines'!$J$5:$J$1640,1,'Bank Lines'!$C$5:$C$1640,"&lt;="&amp;Cover!$C$14)</f>
        <v>0</v>
      </c>
      <c r="V1251">
        <f>COUNTIFS('Odoo Items'!$J$5:$J$4331,A1251,'Odoo Items'!$C$5:$C$4331,"&lt;="&amp;Cover!$C$14)</f>
        <v>0</v>
      </c>
      <c r="W1251">
        <f>IF(AND(U1251=0,V1251=0),"",IF(U1251=0,"ODOO-ONLY",IF(V1251=0,"BANK-ONLY","BOTH")))</f>
      </c>
      <c r="X1251" s="9">
        <f>IF(W1251="BOTH",ROUND(S1251-T1251,2),0)</f>
        <v>0</v>
      </c>
      <c r="Y1251" s="9">
        <f>ROUND(SUMIFS('Bank Lines'!$E$5:$E$1640,'Bank Lines'!$G$5:$G$1640,A1251,'Bank Lines'!$J$5:$J$1640,1,'Bank Lines'!$C$5:$C$1640,"&lt;="&amp;Cover!$C$15),2)</f>
        <v>-49.95</v>
      </c>
      <c r="Z1251" s="9">
        <f>ROUND(SUMIFS('Odoo Items'!$G$5:$G$4331,'Odoo Items'!$J$5:$J$4331,A1251,'Odoo Items'!$C$5:$C$4331,"&lt;="&amp;Cover!$C$15),2)</f>
        <v>0</v>
      </c>
      <c r="AA1251">
        <f>COUNTIFS('Bank Lines'!$G$5:$G$1640,A1251,'Bank Lines'!$J$5:$J$1640,1,'Bank Lines'!$C$5:$C$1640,"&lt;="&amp;Cover!$C$15)</f>
        <v>1</v>
      </c>
      <c r="AB1251">
        <f>COUNTIFS('Odoo Items'!$J$5:$J$4331,A1251,'Odoo Items'!$C$5:$C$4331,"&lt;="&amp;Cover!$C$15)</f>
        <v>0</v>
      </c>
      <c r="AC1251" t="str">
        <f>IF(AND(AA1251=0,AB1251=0),"",IF(AA1251=0,"ODOO-ONLY",IF(AB1251=0,"BANK-ONLY","BOTH")))</f>
        <v>BANK-ONLY</v>
      </c>
      <c r="AD1251" s="9">
        <f>IF(AC1251="BOTH",ROUND(Y1251-Z1251,2),0)</f>
        <v>0</v>
      </c>
    </row>
    <row r="1252">
      <c r="A1252" t="inlineStr">
        <is>
          <t>G01248</t>
        </is>
      </c>
      <c r="B1252" t="inlineStr">
        <is>
          <t>OPS</t>
        </is>
      </c>
      <c r="C1252" t="inlineStr">
        <is>
          <t>R99</t>
        </is>
      </c>
      <c r="D1252" t="inlineStr">
        <is>
          <t>UNEXP</t>
        </is>
      </c>
      <c r="E1252" t="inlineStr"/>
      <c r="G1252" t="inlineStr">
        <is>
          <t>No Odoo item, open invoice or known pattern. Escalated.</t>
        </is>
      </c>
      <c r="H1252">
        <f>COUNTIFS('Bank Lines'!$G$5:$G$1640,A1252,'Bank Lines'!$J$5:$J$1640,1)</f>
        <v>1</v>
      </c>
      <c r="I1252">
        <f>COUNTIFS('Odoo Items'!$J$5:$J$4331,A1252)</f>
        <v>0</v>
      </c>
      <c r="J1252" s="9">
        <f>ROUND(SUMIFS('Bank Lines'!$E$5:$E$1640,'Bank Lines'!$G$5:$G$1640,A1252,'Bank Lines'!$J$5:$J$1640,1),2)</f>
        <v>1320</v>
      </c>
      <c r="K1252" s="9">
        <f>ROUND(SUMIFS('Odoo Items'!$G$5:$G$4331,'Odoo Items'!$J$5:$J$4331,A1252),2)</f>
        <v>0</v>
      </c>
      <c r="L1252" s="9">
        <f>ROUND(J1252-K1252,2)</f>
        <v>1320</v>
      </c>
      <c r="M1252" s="9">
        <f>ROUND(SUMIFS('Bank Lines'!$E$5:$E$1640,'Bank Lines'!$G$5:$G$1640,A1252,'Bank Lines'!$J$5:$J$1640,1,'Bank Lines'!$C$5:$C$1640,"&lt;="&amp;Cover!$C$13),2)</f>
        <v>0</v>
      </c>
      <c r="N1252" s="9">
        <f>ROUND(SUMIFS('Odoo Items'!$G$5:$G$4331,'Odoo Items'!$J$5:$J$4331,A1252,'Odoo Items'!$C$5:$C$4331,"&lt;="&amp;Cover!$C$13),2)</f>
        <v>0</v>
      </c>
      <c r="O1252">
        <f>COUNTIFS('Bank Lines'!$G$5:$G$1640,A1252,'Bank Lines'!$J$5:$J$1640,1,'Bank Lines'!$C$5:$C$1640,"&lt;="&amp;Cover!$C$13)</f>
        <v>0</v>
      </c>
      <c r="P1252">
        <f>COUNTIFS('Odoo Items'!$J$5:$J$4331,A1252,'Odoo Items'!$C$5:$C$4331,"&lt;="&amp;Cover!$C$13)</f>
        <v>0</v>
      </c>
      <c r="Q1252">
        <f>IF(AND(O1252=0,P1252=0),"",IF(O1252=0,"ODOO-ONLY",IF(P1252=0,"BANK-ONLY","BOTH")))</f>
      </c>
      <c r="R1252" s="9">
        <f>IF(Q1252="BOTH",ROUND(M1252-N1252,2),0)</f>
        <v>0</v>
      </c>
      <c r="S1252" s="9">
        <f>ROUND(SUMIFS('Bank Lines'!$E$5:$E$1640,'Bank Lines'!$G$5:$G$1640,A1252,'Bank Lines'!$J$5:$J$1640,1,'Bank Lines'!$C$5:$C$1640,"&lt;="&amp;Cover!$C$14),2)</f>
        <v>0</v>
      </c>
      <c r="T1252" s="9">
        <f>ROUND(SUMIFS('Odoo Items'!$G$5:$G$4331,'Odoo Items'!$J$5:$J$4331,A1252,'Odoo Items'!$C$5:$C$4331,"&lt;="&amp;Cover!$C$14),2)</f>
        <v>0</v>
      </c>
      <c r="U1252">
        <f>COUNTIFS('Bank Lines'!$G$5:$G$1640,A1252,'Bank Lines'!$J$5:$J$1640,1,'Bank Lines'!$C$5:$C$1640,"&lt;="&amp;Cover!$C$14)</f>
        <v>0</v>
      </c>
      <c r="V1252">
        <f>COUNTIFS('Odoo Items'!$J$5:$J$4331,A1252,'Odoo Items'!$C$5:$C$4331,"&lt;="&amp;Cover!$C$14)</f>
        <v>0</v>
      </c>
      <c r="W1252">
        <f>IF(AND(U1252=0,V1252=0),"",IF(U1252=0,"ODOO-ONLY",IF(V1252=0,"BANK-ONLY","BOTH")))</f>
      </c>
      <c r="X1252" s="9">
        <f>IF(W1252="BOTH",ROUND(S1252-T1252,2),0)</f>
        <v>0</v>
      </c>
      <c r="Y1252" s="9">
        <f>ROUND(SUMIFS('Bank Lines'!$E$5:$E$1640,'Bank Lines'!$G$5:$G$1640,A1252,'Bank Lines'!$J$5:$J$1640,1,'Bank Lines'!$C$5:$C$1640,"&lt;="&amp;Cover!$C$15),2)</f>
        <v>1320</v>
      </c>
      <c r="Z1252" s="9">
        <f>ROUND(SUMIFS('Odoo Items'!$G$5:$G$4331,'Odoo Items'!$J$5:$J$4331,A1252,'Odoo Items'!$C$5:$C$4331,"&lt;="&amp;Cover!$C$15),2)</f>
        <v>0</v>
      </c>
      <c r="AA1252">
        <f>COUNTIFS('Bank Lines'!$G$5:$G$1640,A1252,'Bank Lines'!$J$5:$J$1640,1,'Bank Lines'!$C$5:$C$1640,"&lt;="&amp;Cover!$C$15)</f>
        <v>1</v>
      </c>
      <c r="AB1252">
        <f>COUNTIFS('Odoo Items'!$J$5:$J$4331,A1252,'Odoo Items'!$C$5:$C$4331,"&lt;="&amp;Cover!$C$15)</f>
        <v>0</v>
      </c>
      <c r="AC1252" t="str">
        <f>IF(AND(AA1252=0,AB1252=0),"",IF(AA1252=0,"ODOO-ONLY",IF(AB1252=0,"BANK-ONLY","BOTH")))</f>
        <v>BANK-ONLY</v>
      </c>
      <c r="AD1252" s="9">
        <f>IF(AC1252="BOTH",ROUND(Y1252-Z1252,2),0)</f>
        <v>0</v>
      </c>
    </row>
    <row r="1253">
      <c r="A1253" t="inlineStr">
        <is>
          <t>G01249</t>
        </is>
      </c>
      <c r="B1253" t="inlineStr">
        <is>
          <t>OPS</t>
        </is>
      </c>
      <c r="C1253" t="inlineStr">
        <is>
          <t>R99</t>
        </is>
      </c>
      <c r="D1253" t="inlineStr">
        <is>
          <t>STALE</t>
        </is>
      </c>
      <c r="E1253" t="inlineStr"/>
      <c r="G1253" t="inlineStr">
        <is>
          <t>Cheque issued 2026-06-26, unpresented for 96 days</t>
        </is>
      </c>
      <c r="H1253">
        <f>COUNTIFS('Bank Lines'!$G$5:$G$1640,A1253,'Bank Lines'!$J$5:$J$1640,1)</f>
        <v>0</v>
      </c>
      <c r="I1253">
        <f>COUNTIFS('Odoo Items'!$J$5:$J$4331,A1253)</f>
        <v>1</v>
      </c>
      <c r="J1253" s="9">
        <f>ROUND(SUMIFS('Bank Lines'!$E$5:$E$1640,'Bank Lines'!$G$5:$G$1640,A1253,'Bank Lines'!$J$5:$J$1640,1),2)</f>
        <v>0</v>
      </c>
      <c r="K1253" s="9">
        <f>ROUND(SUMIFS('Odoo Items'!$G$5:$G$4331,'Odoo Items'!$J$5:$J$4331,A1253),2)</f>
        <v>-286</v>
      </c>
      <c r="L1253" s="9">
        <f>ROUND(J1253-K1253,2)</f>
        <v>286</v>
      </c>
      <c r="M1253" s="9">
        <f>ROUND(SUMIFS('Bank Lines'!$E$5:$E$1640,'Bank Lines'!$G$5:$G$1640,A1253,'Bank Lines'!$J$5:$J$1640,1,'Bank Lines'!$C$5:$C$1640,"&lt;="&amp;Cover!$C$13),2)</f>
        <v>0</v>
      </c>
      <c r="N1253" s="9">
        <f>ROUND(SUMIFS('Odoo Items'!$G$5:$G$4331,'Odoo Items'!$J$5:$J$4331,A1253,'Odoo Items'!$C$5:$C$4331,"&lt;="&amp;Cover!$C$13),2)</f>
        <v>-286</v>
      </c>
      <c r="O1253">
        <f>COUNTIFS('Bank Lines'!$G$5:$G$1640,A1253,'Bank Lines'!$J$5:$J$1640,1,'Bank Lines'!$C$5:$C$1640,"&lt;="&amp;Cover!$C$13)</f>
        <v>0</v>
      </c>
      <c r="P1253">
        <f>COUNTIFS('Odoo Items'!$J$5:$J$4331,A1253,'Odoo Items'!$C$5:$C$4331,"&lt;="&amp;Cover!$C$13)</f>
        <v>1</v>
      </c>
      <c r="Q1253" t="str">
        <f>IF(AND(O1253=0,P1253=0),"",IF(O1253=0,"ODOO-ONLY",IF(P1253=0,"BANK-ONLY","BOTH")))</f>
        <v>ODOO-ONLY</v>
      </c>
      <c r="R1253" s="9">
        <f>IF(Q1253="BOTH",ROUND(M1253-N1253,2),0)</f>
        <v>0</v>
      </c>
      <c r="S1253" s="9">
        <f>ROUND(SUMIFS('Bank Lines'!$E$5:$E$1640,'Bank Lines'!$G$5:$G$1640,A1253,'Bank Lines'!$J$5:$J$1640,1,'Bank Lines'!$C$5:$C$1640,"&lt;="&amp;Cover!$C$14),2)</f>
        <v>0</v>
      </c>
      <c r="T1253" s="9">
        <f>ROUND(SUMIFS('Odoo Items'!$G$5:$G$4331,'Odoo Items'!$J$5:$J$4331,A1253,'Odoo Items'!$C$5:$C$4331,"&lt;="&amp;Cover!$C$14),2)</f>
        <v>-286</v>
      </c>
      <c r="U1253">
        <f>COUNTIFS('Bank Lines'!$G$5:$G$1640,A1253,'Bank Lines'!$J$5:$J$1640,1,'Bank Lines'!$C$5:$C$1640,"&lt;="&amp;Cover!$C$14)</f>
        <v>0</v>
      </c>
      <c r="V1253">
        <f>COUNTIFS('Odoo Items'!$J$5:$J$4331,A1253,'Odoo Items'!$C$5:$C$4331,"&lt;="&amp;Cover!$C$14)</f>
        <v>1</v>
      </c>
      <c r="W1253" t="str">
        <f>IF(AND(U1253=0,V1253=0),"",IF(U1253=0,"ODOO-ONLY",IF(V1253=0,"BANK-ONLY","BOTH")))</f>
        <v>ODOO-ONLY</v>
      </c>
      <c r="X1253" s="9">
        <f>IF(W1253="BOTH",ROUND(S1253-T1253,2),0)</f>
        <v>0</v>
      </c>
      <c r="Y1253" s="9">
        <f>ROUND(SUMIFS('Bank Lines'!$E$5:$E$1640,'Bank Lines'!$G$5:$G$1640,A1253,'Bank Lines'!$J$5:$J$1640,1,'Bank Lines'!$C$5:$C$1640,"&lt;="&amp;Cover!$C$15),2)</f>
        <v>0</v>
      </c>
      <c r="Z1253" s="9">
        <f>ROUND(SUMIFS('Odoo Items'!$G$5:$G$4331,'Odoo Items'!$J$5:$J$4331,A1253,'Odoo Items'!$C$5:$C$4331,"&lt;="&amp;Cover!$C$15),2)</f>
        <v>-286</v>
      </c>
      <c r="AA1253">
        <f>COUNTIFS('Bank Lines'!$G$5:$G$1640,A1253,'Bank Lines'!$J$5:$J$1640,1,'Bank Lines'!$C$5:$C$1640,"&lt;="&amp;Cover!$C$15)</f>
        <v>0</v>
      </c>
      <c r="AB1253">
        <f>COUNTIFS('Odoo Items'!$J$5:$J$4331,A1253,'Odoo Items'!$C$5:$C$4331,"&lt;="&amp;Cover!$C$15)</f>
        <v>1</v>
      </c>
      <c r="AC1253" t="str">
        <f>IF(AND(AA1253=0,AB1253=0),"",IF(AA1253=0,"ODOO-ONLY",IF(AB1253=0,"BANK-ONLY","BOTH")))</f>
        <v>ODOO-ONLY</v>
      </c>
      <c r="AD1253" s="9">
        <f>IF(AC1253="BOTH",ROUND(Y1253-Z1253,2),0)</f>
        <v>0</v>
      </c>
    </row>
    <row r="1254">
      <c r="A1254" t="inlineStr">
        <is>
          <t>G01250</t>
        </is>
      </c>
      <c r="B1254" t="inlineStr">
        <is>
          <t>OPS</t>
        </is>
      </c>
      <c r="C1254" t="inlineStr">
        <is>
          <t>R99</t>
        </is>
      </c>
      <c r="D1254" t="inlineStr">
        <is>
          <t>DUPL</t>
        </is>
      </c>
      <c r="E1254" t="inlineStr"/>
      <c r="G1254" t="inlineStr">
        <is>
          <t>INV/2026/02428 shows a credit balance of 320.98: this payment was registered twice</t>
        </is>
      </c>
      <c r="H1254">
        <f>COUNTIFS('Bank Lines'!$G$5:$G$1640,A1254,'Bank Lines'!$J$5:$J$1640,1)</f>
        <v>0</v>
      </c>
      <c r="I1254">
        <f>COUNTIFS('Odoo Items'!$J$5:$J$4331,A1254)</f>
        <v>1</v>
      </c>
      <c r="J1254" s="9">
        <f>ROUND(SUMIFS('Bank Lines'!$E$5:$E$1640,'Bank Lines'!$G$5:$G$1640,A1254,'Bank Lines'!$J$5:$J$1640,1),2)</f>
        <v>0</v>
      </c>
      <c r="K1254" s="9">
        <f>ROUND(SUMIFS('Odoo Items'!$G$5:$G$4331,'Odoo Items'!$J$5:$J$4331,A1254),2)</f>
        <v>320.98</v>
      </c>
      <c r="L1254" s="9">
        <f>ROUND(J1254-K1254,2)</f>
        <v>-320.98</v>
      </c>
      <c r="M1254" s="9">
        <f>ROUND(SUMIFS('Bank Lines'!$E$5:$E$1640,'Bank Lines'!$G$5:$G$1640,A1254,'Bank Lines'!$J$5:$J$1640,1,'Bank Lines'!$C$5:$C$1640,"&lt;="&amp;Cover!$C$13),2)</f>
        <v>0</v>
      </c>
      <c r="N1254" s="9">
        <f>ROUND(SUMIFS('Odoo Items'!$G$5:$G$4331,'Odoo Items'!$J$5:$J$4331,A1254,'Odoo Items'!$C$5:$C$4331,"&lt;="&amp;Cover!$C$13),2)</f>
        <v>0</v>
      </c>
      <c r="O1254">
        <f>COUNTIFS('Bank Lines'!$G$5:$G$1640,A1254,'Bank Lines'!$J$5:$J$1640,1,'Bank Lines'!$C$5:$C$1640,"&lt;="&amp;Cover!$C$13)</f>
        <v>0</v>
      </c>
      <c r="P1254">
        <f>COUNTIFS('Odoo Items'!$J$5:$J$4331,A1254,'Odoo Items'!$C$5:$C$4331,"&lt;="&amp;Cover!$C$13)</f>
        <v>0</v>
      </c>
      <c r="Q1254">
        <f>IF(AND(O1254=0,P1254=0),"",IF(O1254=0,"ODOO-ONLY",IF(P1254=0,"BANK-ONLY","BOTH")))</f>
      </c>
      <c r="R1254" s="9">
        <f>IF(Q1254="BOTH",ROUND(M1254-N1254,2),0)</f>
        <v>0</v>
      </c>
      <c r="S1254" s="9">
        <f>ROUND(SUMIFS('Bank Lines'!$E$5:$E$1640,'Bank Lines'!$G$5:$G$1640,A1254,'Bank Lines'!$J$5:$J$1640,1,'Bank Lines'!$C$5:$C$1640,"&lt;="&amp;Cover!$C$14),2)</f>
        <v>0</v>
      </c>
      <c r="T1254" s="9">
        <f>ROUND(SUMIFS('Odoo Items'!$G$5:$G$4331,'Odoo Items'!$J$5:$J$4331,A1254,'Odoo Items'!$C$5:$C$4331,"&lt;="&amp;Cover!$C$14),2)</f>
        <v>320.98</v>
      </c>
      <c r="U1254">
        <f>COUNTIFS('Bank Lines'!$G$5:$G$1640,A1254,'Bank Lines'!$J$5:$J$1640,1,'Bank Lines'!$C$5:$C$1640,"&lt;="&amp;Cover!$C$14)</f>
        <v>0</v>
      </c>
      <c r="V1254">
        <f>COUNTIFS('Odoo Items'!$J$5:$J$4331,A1254,'Odoo Items'!$C$5:$C$4331,"&lt;="&amp;Cover!$C$14)</f>
        <v>1</v>
      </c>
      <c r="W1254" t="str">
        <f>IF(AND(U1254=0,V1254=0),"",IF(U1254=0,"ODOO-ONLY",IF(V1254=0,"BANK-ONLY","BOTH")))</f>
        <v>ODOO-ONLY</v>
      </c>
      <c r="X1254" s="9">
        <f>IF(W1254="BOTH",ROUND(S1254-T1254,2),0)</f>
        <v>0</v>
      </c>
      <c r="Y1254" s="9">
        <f>ROUND(SUMIFS('Bank Lines'!$E$5:$E$1640,'Bank Lines'!$G$5:$G$1640,A1254,'Bank Lines'!$J$5:$J$1640,1,'Bank Lines'!$C$5:$C$1640,"&lt;="&amp;Cover!$C$15),2)</f>
        <v>0</v>
      </c>
      <c r="Z1254" s="9">
        <f>ROUND(SUMIFS('Odoo Items'!$G$5:$G$4331,'Odoo Items'!$J$5:$J$4331,A1254,'Odoo Items'!$C$5:$C$4331,"&lt;="&amp;Cover!$C$15),2)</f>
        <v>320.98</v>
      </c>
      <c r="AA1254">
        <f>COUNTIFS('Bank Lines'!$G$5:$G$1640,A1254,'Bank Lines'!$J$5:$J$1640,1,'Bank Lines'!$C$5:$C$1640,"&lt;="&amp;Cover!$C$15)</f>
        <v>0</v>
      </c>
      <c r="AB1254">
        <f>COUNTIFS('Odoo Items'!$J$5:$J$4331,A1254,'Odoo Items'!$C$5:$C$4331,"&lt;="&amp;Cover!$C$15)</f>
        <v>1</v>
      </c>
      <c r="AC1254" t="str">
        <f>IF(AND(AA1254=0,AB1254=0),"",IF(AA1254=0,"ODOO-ONLY",IF(AB1254=0,"BANK-ONLY","BOTH")))</f>
        <v>ODOO-ONLY</v>
      </c>
      <c r="AD1254" s="9">
        <f>IF(AC1254="BOTH",ROUND(Y1254-Z1254,2),0)</f>
        <v>0</v>
      </c>
    </row>
    <row r="1255">
      <c r="A1255" t="inlineStr">
        <is>
          <t>G01251</t>
        </is>
      </c>
      <c r="B1255" t="inlineStr">
        <is>
          <t>OPS</t>
        </is>
      </c>
      <c r="C1255" t="inlineStr">
        <is>
          <t>R99</t>
        </is>
      </c>
      <c r="D1255" t="inlineStr">
        <is>
          <t>DUPL</t>
        </is>
      </c>
      <c r="E1255" t="inlineStr"/>
      <c r="G1255" t="inlineStr">
        <is>
          <t>INV/2026/03118 shows a credit balance of 155.19: this payment was registered twice</t>
        </is>
      </c>
      <c r="H1255">
        <f>COUNTIFS('Bank Lines'!$G$5:$G$1640,A1255,'Bank Lines'!$J$5:$J$1640,1)</f>
        <v>0</v>
      </c>
      <c r="I1255">
        <f>COUNTIFS('Odoo Items'!$J$5:$J$4331,A1255)</f>
        <v>1</v>
      </c>
      <c r="J1255" s="9">
        <f>ROUND(SUMIFS('Bank Lines'!$E$5:$E$1640,'Bank Lines'!$G$5:$G$1640,A1255,'Bank Lines'!$J$5:$J$1640,1),2)</f>
        <v>0</v>
      </c>
      <c r="K1255" s="9">
        <f>ROUND(SUMIFS('Odoo Items'!$G$5:$G$4331,'Odoo Items'!$J$5:$J$4331,A1255),2)</f>
        <v>155.19</v>
      </c>
      <c r="L1255" s="9">
        <f>ROUND(J1255-K1255,2)</f>
        <v>-155.19</v>
      </c>
      <c r="M1255" s="9">
        <f>ROUND(SUMIFS('Bank Lines'!$E$5:$E$1640,'Bank Lines'!$G$5:$G$1640,A1255,'Bank Lines'!$J$5:$J$1640,1,'Bank Lines'!$C$5:$C$1640,"&lt;="&amp;Cover!$C$13),2)</f>
        <v>0</v>
      </c>
      <c r="N1255" s="9">
        <f>ROUND(SUMIFS('Odoo Items'!$G$5:$G$4331,'Odoo Items'!$J$5:$J$4331,A1255,'Odoo Items'!$C$5:$C$4331,"&lt;="&amp;Cover!$C$13),2)</f>
        <v>0</v>
      </c>
      <c r="O1255">
        <f>COUNTIFS('Bank Lines'!$G$5:$G$1640,A1255,'Bank Lines'!$J$5:$J$1640,1,'Bank Lines'!$C$5:$C$1640,"&lt;="&amp;Cover!$C$13)</f>
        <v>0</v>
      </c>
      <c r="P1255">
        <f>COUNTIFS('Odoo Items'!$J$5:$J$4331,A1255,'Odoo Items'!$C$5:$C$4331,"&lt;="&amp;Cover!$C$13)</f>
        <v>0</v>
      </c>
      <c r="Q1255">
        <f>IF(AND(O1255=0,P1255=0),"",IF(O1255=0,"ODOO-ONLY",IF(P1255=0,"BANK-ONLY","BOTH")))</f>
      </c>
      <c r="R1255" s="9">
        <f>IF(Q1255="BOTH",ROUND(M1255-N1255,2),0)</f>
        <v>0</v>
      </c>
      <c r="S1255" s="9">
        <f>ROUND(SUMIFS('Bank Lines'!$E$5:$E$1640,'Bank Lines'!$G$5:$G$1640,A1255,'Bank Lines'!$J$5:$J$1640,1,'Bank Lines'!$C$5:$C$1640,"&lt;="&amp;Cover!$C$14),2)</f>
        <v>0</v>
      </c>
      <c r="T1255" s="9">
        <f>ROUND(SUMIFS('Odoo Items'!$G$5:$G$4331,'Odoo Items'!$J$5:$J$4331,A1255,'Odoo Items'!$C$5:$C$4331,"&lt;="&amp;Cover!$C$14),2)</f>
        <v>0</v>
      </c>
      <c r="U1255">
        <f>COUNTIFS('Bank Lines'!$G$5:$G$1640,A1255,'Bank Lines'!$J$5:$J$1640,1,'Bank Lines'!$C$5:$C$1640,"&lt;="&amp;Cover!$C$14)</f>
        <v>0</v>
      </c>
      <c r="V1255">
        <f>COUNTIFS('Odoo Items'!$J$5:$J$4331,A1255,'Odoo Items'!$C$5:$C$4331,"&lt;="&amp;Cover!$C$14)</f>
        <v>0</v>
      </c>
      <c r="W1255">
        <f>IF(AND(U1255=0,V1255=0),"",IF(U1255=0,"ODOO-ONLY",IF(V1255=0,"BANK-ONLY","BOTH")))</f>
      </c>
      <c r="X1255" s="9">
        <f>IF(W1255="BOTH",ROUND(S1255-T1255,2),0)</f>
        <v>0</v>
      </c>
      <c r="Y1255" s="9">
        <f>ROUND(SUMIFS('Bank Lines'!$E$5:$E$1640,'Bank Lines'!$G$5:$G$1640,A1255,'Bank Lines'!$J$5:$J$1640,1,'Bank Lines'!$C$5:$C$1640,"&lt;="&amp;Cover!$C$15),2)</f>
        <v>0</v>
      </c>
      <c r="Z1255" s="9">
        <f>ROUND(SUMIFS('Odoo Items'!$G$5:$G$4331,'Odoo Items'!$J$5:$J$4331,A1255,'Odoo Items'!$C$5:$C$4331,"&lt;="&amp;Cover!$C$15),2)</f>
        <v>155.19</v>
      </c>
      <c r="AA1255">
        <f>COUNTIFS('Bank Lines'!$G$5:$G$1640,A1255,'Bank Lines'!$J$5:$J$1640,1,'Bank Lines'!$C$5:$C$1640,"&lt;="&amp;Cover!$C$15)</f>
        <v>0</v>
      </c>
      <c r="AB1255">
        <f>COUNTIFS('Odoo Items'!$J$5:$J$4331,A1255,'Odoo Items'!$C$5:$C$4331,"&lt;="&amp;Cover!$C$15)</f>
        <v>1</v>
      </c>
      <c r="AC1255" t="str">
        <f>IF(AND(AA1255=0,AB1255=0),"",IF(AA1255=0,"ODOO-ONLY",IF(AB1255=0,"BANK-ONLY","BOTH")))</f>
        <v>ODOO-ONLY</v>
      </c>
      <c r="AD1255" s="9">
        <f>IF(AC1255="BOTH",ROUND(Y1255-Z1255,2),0)</f>
        <v>0</v>
      </c>
    </row>
    <row r="1256">
      <c r="A1256" t="inlineStr">
        <is>
          <t>G01252</t>
        </is>
      </c>
      <c r="B1256" t="inlineStr">
        <is>
          <t>OPS</t>
        </is>
      </c>
      <c r="C1256" t="inlineStr">
        <is>
          <t>R99</t>
        </is>
      </c>
      <c r="D1256" t="inlineStr">
        <is>
          <t>OUT</t>
        </is>
      </c>
      <c r="E1256" t="inlineStr"/>
      <c r="G1256" t="inlineStr">
        <is>
          <t>In Odoo, not yet on the bank statement at 30 Sep</t>
        </is>
      </c>
      <c r="H1256">
        <f>COUNTIFS('Bank Lines'!$G$5:$G$1640,A1256,'Bank Lines'!$J$5:$J$1640,1)</f>
        <v>0</v>
      </c>
      <c r="I1256">
        <f>COUNTIFS('Odoo Items'!$J$5:$J$4331,A1256)</f>
        <v>1</v>
      </c>
      <c r="J1256" s="9">
        <f>ROUND(SUMIFS('Bank Lines'!$E$5:$E$1640,'Bank Lines'!$G$5:$G$1640,A1256,'Bank Lines'!$J$5:$J$1640,1),2)</f>
        <v>0</v>
      </c>
      <c r="K1256" s="9">
        <f>ROUND(SUMIFS('Odoo Items'!$G$5:$G$4331,'Odoo Items'!$J$5:$J$4331,A1256),2)</f>
        <v>180</v>
      </c>
      <c r="L1256" s="9">
        <f>ROUND(J1256-K1256,2)</f>
        <v>-180</v>
      </c>
      <c r="M1256" s="9">
        <f>ROUND(SUMIFS('Bank Lines'!$E$5:$E$1640,'Bank Lines'!$G$5:$G$1640,A1256,'Bank Lines'!$J$5:$J$1640,1,'Bank Lines'!$C$5:$C$1640,"&lt;="&amp;Cover!$C$13),2)</f>
        <v>0</v>
      </c>
      <c r="N1256" s="9">
        <f>ROUND(SUMIFS('Odoo Items'!$G$5:$G$4331,'Odoo Items'!$J$5:$J$4331,A1256,'Odoo Items'!$C$5:$C$4331,"&lt;="&amp;Cover!$C$13),2)</f>
        <v>0</v>
      </c>
      <c r="O1256">
        <f>COUNTIFS('Bank Lines'!$G$5:$G$1640,A1256,'Bank Lines'!$J$5:$J$1640,1,'Bank Lines'!$C$5:$C$1640,"&lt;="&amp;Cover!$C$13)</f>
        <v>0</v>
      </c>
      <c r="P1256">
        <f>COUNTIFS('Odoo Items'!$J$5:$J$4331,A1256,'Odoo Items'!$C$5:$C$4331,"&lt;="&amp;Cover!$C$13)</f>
        <v>0</v>
      </c>
      <c r="Q1256">
        <f>IF(AND(O1256=0,P1256=0),"",IF(O1256=0,"ODOO-ONLY",IF(P1256=0,"BANK-ONLY","BOTH")))</f>
      </c>
      <c r="R1256" s="9">
        <f>IF(Q1256="BOTH",ROUND(M1256-N1256,2),0)</f>
        <v>0</v>
      </c>
      <c r="S1256" s="9">
        <f>ROUND(SUMIFS('Bank Lines'!$E$5:$E$1640,'Bank Lines'!$G$5:$G$1640,A1256,'Bank Lines'!$J$5:$J$1640,1,'Bank Lines'!$C$5:$C$1640,"&lt;="&amp;Cover!$C$14),2)</f>
        <v>0</v>
      </c>
      <c r="T1256" s="9">
        <f>ROUND(SUMIFS('Odoo Items'!$G$5:$G$4331,'Odoo Items'!$J$5:$J$4331,A1256,'Odoo Items'!$C$5:$C$4331,"&lt;="&amp;Cover!$C$14),2)</f>
        <v>0</v>
      </c>
      <c r="U1256">
        <f>COUNTIFS('Bank Lines'!$G$5:$G$1640,A1256,'Bank Lines'!$J$5:$J$1640,1,'Bank Lines'!$C$5:$C$1640,"&lt;="&amp;Cover!$C$14)</f>
        <v>0</v>
      </c>
      <c r="V1256">
        <f>COUNTIFS('Odoo Items'!$J$5:$J$4331,A1256,'Odoo Items'!$C$5:$C$4331,"&lt;="&amp;Cover!$C$14)</f>
        <v>0</v>
      </c>
      <c r="W1256">
        <f>IF(AND(U1256=0,V1256=0),"",IF(U1256=0,"ODOO-ONLY",IF(V1256=0,"BANK-ONLY","BOTH")))</f>
      </c>
      <c r="X1256" s="9">
        <f>IF(W1256="BOTH",ROUND(S1256-T1256,2),0)</f>
        <v>0</v>
      </c>
      <c r="Y1256" s="9">
        <f>ROUND(SUMIFS('Bank Lines'!$E$5:$E$1640,'Bank Lines'!$G$5:$G$1640,A1256,'Bank Lines'!$J$5:$J$1640,1,'Bank Lines'!$C$5:$C$1640,"&lt;="&amp;Cover!$C$15),2)</f>
        <v>0</v>
      </c>
      <c r="Z1256" s="9">
        <f>ROUND(SUMIFS('Odoo Items'!$G$5:$G$4331,'Odoo Items'!$J$5:$J$4331,A1256,'Odoo Items'!$C$5:$C$4331,"&lt;="&amp;Cover!$C$15),2)</f>
        <v>180</v>
      </c>
      <c r="AA1256">
        <f>COUNTIFS('Bank Lines'!$G$5:$G$1640,A1256,'Bank Lines'!$J$5:$J$1640,1,'Bank Lines'!$C$5:$C$1640,"&lt;="&amp;Cover!$C$15)</f>
        <v>0</v>
      </c>
      <c r="AB1256">
        <f>COUNTIFS('Odoo Items'!$J$5:$J$4331,A1256,'Odoo Items'!$C$5:$C$4331,"&lt;="&amp;Cover!$C$15)</f>
        <v>1</v>
      </c>
      <c r="AC1256" t="str">
        <f>IF(AND(AA1256=0,AB1256=0),"",IF(AA1256=0,"ODOO-ONLY",IF(AB1256=0,"BANK-ONLY","BOTH")))</f>
        <v>ODOO-ONLY</v>
      </c>
      <c r="AD1256" s="9">
        <f>IF(AC1256="BOTH",ROUND(Y1256-Z1256,2),0)</f>
        <v>0</v>
      </c>
    </row>
    <row r="1257">
      <c r="A1257" t="inlineStr">
        <is>
          <t>G01253</t>
        </is>
      </c>
      <c r="B1257" t="inlineStr">
        <is>
          <t>OPS</t>
        </is>
      </c>
      <c r="C1257" t="inlineStr">
        <is>
          <t>R99</t>
        </is>
      </c>
      <c r="D1257" t="inlineStr">
        <is>
          <t>OUT</t>
        </is>
      </c>
      <c r="E1257" t="inlineStr"/>
      <c r="G1257" t="inlineStr">
        <is>
          <t>In Odoo, not yet on the bank statement at 30 Sep</t>
        </is>
      </c>
      <c r="H1257">
        <f>COUNTIFS('Bank Lines'!$G$5:$G$1640,A1257,'Bank Lines'!$J$5:$J$1640,1)</f>
        <v>0</v>
      </c>
      <c r="I1257">
        <f>COUNTIFS('Odoo Items'!$J$5:$J$4331,A1257)</f>
        <v>1</v>
      </c>
      <c r="J1257" s="9">
        <f>ROUND(SUMIFS('Bank Lines'!$E$5:$E$1640,'Bank Lines'!$G$5:$G$1640,A1257,'Bank Lines'!$J$5:$J$1640,1),2)</f>
        <v>0</v>
      </c>
      <c r="K1257" s="9">
        <f>ROUND(SUMIFS('Odoo Items'!$G$5:$G$4331,'Odoo Items'!$J$5:$J$4331,A1257),2)</f>
        <v>65</v>
      </c>
      <c r="L1257" s="9">
        <f>ROUND(J1257-K1257,2)</f>
        <v>-65</v>
      </c>
      <c r="M1257" s="9">
        <f>ROUND(SUMIFS('Bank Lines'!$E$5:$E$1640,'Bank Lines'!$G$5:$G$1640,A1257,'Bank Lines'!$J$5:$J$1640,1,'Bank Lines'!$C$5:$C$1640,"&lt;="&amp;Cover!$C$13),2)</f>
        <v>0</v>
      </c>
      <c r="N1257" s="9">
        <f>ROUND(SUMIFS('Odoo Items'!$G$5:$G$4331,'Odoo Items'!$J$5:$J$4331,A1257,'Odoo Items'!$C$5:$C$4331,"&lt;="&amp;Cover!$C$13),2)</f>
        <v>0</v>
      </c>
      <c r="O1257">
        <f>COUNTIFS('Bank Lines'!$G$5:$G$1640,A1257,'Bank Lines'!$J$5:$J$1640,1,'Bank Lines'!$C$5:$C$1640,"&lt;="&amp;Cover!$C$13)</f>
        <v>0</v>
      </c>
      <c r="P1257">
        <f>COUNTIFS('Odoo Items'!$J$5:$J$4331,A1257,'Odoo Items'!$C$5:$C$4331,"&lt;="&amp;Cover!$C$13)</f>
        <v>0</v>
      </c>
      <c r="Q1257">
        <f>IF(AND(O1257=0,P1257=0),"",IF(O1257=0,"ODOO-ONLY",IF(P1257=0,"BANK-ONLY","BOTH")))</f>
      </c>
      <c r="R1257" s="9">
        <f>IF(Q1257="BOTH",ROUND(M1257-N1257,2),0)</f>
        <v>0</v>
      </c>
      <c r="S1257" s="9">
        <f>ROUND(SUMIFS('Bank Lines'!$E$5:$E$1640,'Bank Lines'!$G$5:$G$1640,A1257,'Bank Lines'!$J$5:$J$1640,1,'Bank Lines'!$C$5:$C$1640,"&lt;="&amp;Cover!$C$14),2)</f>
        <v>0</v>
      </c>
      <c r="T1257" s="9">
        <f>ROUND(SUMIFS('Odoo Items'!$G$5:$G$4331,'Odoo Items'!$J$5:$J$4331,A1257,'Odoo Items'!$C$5:$C$4331,"&lt;="&amp;Cover!$C$14),2)</f>
        <v>0</v>
      </c>
      <c r="U1257">
        <f>COUNTIFS('Bank Lines'!$G$5:$G$1640,A1257,'Bank Lines'!$J$5:$J$1640,1,'Bank Lines'!$C$5:$C$1640,"&lt;="&amp;Cover!$C$14)</f>
        <v>0</v>
      </c>
      <c r="V1257">
        <f>COUNTIFS('Odoo Items'!$J$5:$J$4331,A1257,'Odoo Items'!$C$5:$C$4331,"&lt;="&amp;Cover!$C$14)</f>
        <v>0</v>
      </c>
      <c r="W1257">
        <f>IF(AND(U1257=0,V1257=0),"",IF(U1257=0,"ODOO-ONLY",IF(V1257=0,"BANK-ONLY","BOTH")))</f>
      </c>
      <c r="X1257" s="9">
        <f>IF(W1257="BOTH",ROUND(S1257-T1257,2),0)</f>
        <v>0</v>
      </c>
      <c r="Y1257" s="9">
        <f>ROUND(SUMIFS('Bank Lines'!$E$5:$E$1640,'Bank Lines'!$G$5:$G$1640,A1257,'Bank Lines'!$J$5:$J$1640,1,'Bank Lines'!$C$5:$C$1640,"&lt;="&amp;Cover!$C$15),2)</f>
        <v>0</v>
      </c>
      <c r="Z1257" s="9">
        <f>ROUND(SUMIFS('Odoo Items'!$G$5:$G$4331,'Odoo Items'!$J$5:$J$4331,A1257,'Odoo Items'!$C$5:$C$4331,"&lt;="&amp;Cover!$C$15),2)</f>
        <v>65</v>
      </c>
      <c r="AA1257">
        <f>COUNTIFS('Bank Lines'!$G$5:$G$1640,A1257,'Bank Lines'!$J$5:$J$1640,1,'Bank Lines'!$C$5:$C$1640,"&lt;="&amp;Cover!$C$15)</f>
        <v>0</v>
      </c>
      <c r="AB1257">
        <f>COUNTIFS('Odoo Items'!$J$5:$J$4331,A1257,'Odoo Items'!$C$5:$C$4331,"&lt;="&amp;Cover!$C$15)</f>
        <v>1</v>
      </c>
      <c r="AC1257" t="str">
        <f>IF(AND(AA1257=0,AB1257=0),"",IF(AA1257=0,"ODOO-ONLY",IF(AB1257=0,"BANK-ONLY","BOTH")))</f>
        <v>ODOO-ONLY</v>
      </c>
      <c r="AD1257" s="9">
        <f>IF(AC1257="BOTH",ROUND(Y1257-Z1257,2),0)</f>
        <v>0</v>
      </c>
    </row>
    <row r="1258">
      <c r="A1258" t="inlineStr">
        <is>
          <t>G01254</t>
        </is>
      </c>
      <c r="B1258" t="inlineStr">
        <is>
          <t>OPS</t>
        </is>
      </c>
      <c r="C1258" t="inlineStr">
        <is>
          <t>R99</t>
        </is>
      </c>
      <c r="D1258" t="inlineStr">
        <is>
          <t>OUT</t>
        </is>
      </c>
      <c r="E1258" t="inlineStr"/>
      <c r="G1258" t="inlineStr">
        <is>
          <t>In Odoo, not yet on the bank statement at 30 Sep</t>
        </is>
      </c>
      <c r="H1258">
        <f>COUNTIFS('Bank Lines'!$G$5:$G$1640,A1258,'Bank Lines'!$J$5:$J$1640,1)</f>
        <v>0</v>
      </c>
      <c r="I1258">
        <f>COUNTIFS('Odoo Items'!$J$5:$J$4331,A1258)</f>
        <v>1</v>
      </c>
      <c r="J1258" s="9">
        <f>ROUND(SUMIFS('Bank Lines'!$E$5:$E$1640,'Bank Lines'!$G$5:$G$1640,A1258,'Bank Lines'!$J$5:$J$1640,1),2)</f>
        <v>0</v>
      </c>
      <c r="K1258" s="9">
        <f>ROUND(SUMIFS('Odoo Items'!$G$5:$G$4331,'Odoo Items'!$J$5:$J$4331,A1258),2)</f>
        <v>110</v>
      </c>
      <c r="L1258" s="9">
        <f>ROUND(J1258-K1258,2)</f>
        <v>-110</v>
      </c>
      <c r="M1258" s="9">
        <f>ROUND(SUMIFS('Bank Lines'!$E$5:$E$1640,'Bank Lines'!$G$5:$G$1640,A1258,'Bank Lines'!$J$5:$J$1640,1,'Bank Lines'!$C$5:$C$1640,"&lt;="&amp;Cover!$C$13),2)</f>
        <v>0</v>
      </c>
      <c r="N1258" s="9">
        <f>ROUND(SUMIFS('Odoo Items'!$G$5:$G$4331,'Odoo Items'!$J$5:$J$4331,A1258,'Odoo Items'!$C$5:$C$4331,"&lt;="&amp;Cover!$C$13),2)</f>
        <v>0</v>
      </c>
      <c r="O1258">
        <f>COUNTIFS('Bank Lines'!$G$5:$G$1640,A1258,'Bank Lines'!$J$5:$J$1640,1,'Bank Lines'!$C$5:$C$1640,"&lt;="&amp;Cover!$C$13)</f>
        <v>0</v>
      </c>
      <c r="P1258">
        <f>COUNTIFS('Odoo Items'!$J$5:$J$4331,A1258,'Odoo Items'!$C$5:$C$4331,"&lt;="&amp;Cover!$C$13)</f>
        <v>0</v>
      </c>
      <c r="Q1258">
        <f>IF(AND(O1258=0,P1258=0),"",IF(O1258=0,"ODOO-ONLY",IF(P1258=0,"BANK-ONLY","BOTH")))</f>
      </c>
      <c r="R1258" s="9">
        <f>IF(Q1258="BOTH",ROUND(M1258-N1258,2),0)</f>
        <v>0</v>
      </c>
      <c r="S1258" s="9">
        <f>ROUND(SUMIFS('Bank Lines'!$E$5:$E$1640,'Bank Lines'!$G$5:$G$1640,A1258,'Bank Lines'!$J$5:$J$1640,1,'Bank Lines'!$C$5:$C$1640,"&lt;="&amp;Cover!$C$14),2)</f>
        <v>0</v>
      </c>
      <c r="T1258" s="9">
        <f>ROUND(SUMIFS('Odoo Items'!$G$5:$G$4331,'Odoo Items'!$J$5:$J$4331,A1258,'Odoo Items'!$C$5:$C$4331,"&lt;="&amp;Cover!$C$14),2)</f>
        <v>0</v>
      </c>
      <c r="U1258">
        <f>COUNTIFS('Bank Lines'!$G$5:$G$1640,A1258,'Bank Lines'!$J$5:$J$1640,1,'Bank Lines'!$C$5:$C$1640,"&lt;="&amp;Cover!$C$14)</f>
        <v>0</v>
      </c>
      <c r="V1258">
        <f>COUNTIFS('Odoo Items'!$J$5:$J$4331,A1258,'Odoo Items'!$C$5:$C$4331,"&lt;="&amp;Cover!$C$14)</f>
        <v>0</v>
      </c>
      <c r="W1258">
        <f>IF(AND(U1258=0,V1258=0),"",IF(U1258=0,"ODOO-ONLY",IF(V1258=0,"BANK-ONLY","BOTH")))</f>
      </c>
      <c r="X1258" s="9">
        <f>IF(W1258="BOTH",ROUND(S1258-T1258,2),0)</f>
        <v>0</v>
      </c>
      <c r="Y1258" s="9">
        <f>ROUND(SUMIFS('Bank Lines'!$E$5:$E$1640,'Bank Lines'!$G$5:$G$1640,A1258,'Bank Lines'!$J$5:$J$1640,1,'Bank Lines'!$C$5:$C$1640,"&lt;="&amp;Cover!$C$15),2)</f>
        <v>0</v>
      </c>
      <c r="Z1258" s="9">
        <f>ROUND(SUMIFS('Odoo Items'!$G$5:$G$4331,'Odoo Items'!$J$5:$J$4331,A1258,'Odoo Items'!$C$5:$C$4331,"&lt;="&amp;Cover!$C$15),2)</f>
        <v>110</v>
      </c>
      <c r="AA1258">
        <f>COUNTIFS('Bank Lines'!$G$5:$G$1640,A1258,'Bank Lines'!$J$5:$J$1640,1,'Bank Lines'!$C$5:$C$1640,"&lt;="&amp;Cover!$C$15)</f>
        <v>0</v>
      </c>
      <c r="AB1258">
        <f>COUNTIFS('Odoo Items'!$J$5:$J$4331,A1258,'Odoo Items'!$C$5:$C$4331,"&lt;="&amp;Cover!$C$15)</f>
        <v>1</v>
      </c>
      <c r="AC1258" t="str">
        <f>IF(AND(AA1258=0,AB1258=0),"",IF(AA1258=0,"ODOO-ONLY",IF(AB1258=0,"BANK-ONLY","BOTH")))</f>
        <v>ODOO-ONLY</v>
      </c>
      <c r="AD1258" s="9">
        <f>IF(AC1258="BOTH",ROUND(Y1258-Z1258,2),0)</f>
        <v>0</v>
      </c>
    </row>
    <row r="1259">
      <c r="A1259" t="inlineStr">
        <is>
          <t>G01255</t>
        </is>
      </c>
      <c r="B1259" t="inlineStr">
        <is>
          <t>OPS</t>
        </is>
      </c>
      <c r="C1259" t="inlineStr">
        <is>
          <t>R99</t>
        </is>
      </c>
      <c r="D1259" t="inlineStr">
        <is>
          <t>OUT</t>
        </is>
      </c>
      <c r="E1259" t="inlineStr"/>
      <c r="G1259" t="inlineStr">
        <is>
          <t>In Odoo, not yet on the bank statement at 30 Sep</t>
        </is>
      </c>
      <c r="H1259">
        <f>COUNTIFS('Bank Lines'!$G$5:$G$1640,A1259,'Bank Lines'!$J$5:$J$1640,1)</f>
        <v>0</v>
      </c>
      <c r="I1259">
        <f>COUNTIFS('Odoo Items'!$J$5:$J$4331,A1259)</f>
        <v>1</v>
      </c>
      <c r="J1259" s="9">
        <f>ROUND(SUMIFS('Bank Lines'!$E$5:$E$1640,'Bank Lines'!$G$5:$G$1640,A1259,'Bank Lines'!$J$5:$J$1640,1),2)</f>
        <v>0</v>
      </c>
      <c r="K1259" s="9">
        <f>ROUND(SUMIFS('Odoo Items'!$G$5:$G$4331,'Odoo Items'!$J$5:$J$4331,A1259),2)</f>
        <v>135</v>
      </c>
      <c r="L1259" s="9">
        <f>ROUND(J1259-K1259,2)</f>
        <v>-135</v>
      </c>
      <c r="M1259" s="9">
        <f>ROUND(SUMIFS('Bank Lines'!$E$5:$E$1640,'Bank Lines'!$G$5:$G$1640,A1259,'Bank Lines'!$J$5:$J$1640,1,'Bank Lines'!$C$5:$C$1640,"&lt;="&amp;Cover!$C$13),2)</f>
        <v>0</v>
      </c>
      <c r="N1259" s="9">
        <f>ROUND(SUMIFS('Odoo Items'!$G$5:$G$4331,'Odoo Items'!$J$5:$J$4331,A1259,'Odoo Items'!$C$5:$C$4331,"&lt;="&amp;Cover!$C$13),2)</f>
        <v>0</v>
      </c>
      <c r="O1259">
        <f>COUNTIFS('Bank Lines'!$G$5:$G$1640,A1259,'Bank Lines'!$J$5:$J$1640,1,'Bank Lines'!$C$5:$C$1640,"&lt;="&amp;Cover!$C$13)</f>
        <v>0</v>
      </c>
      <c r="P1259">
        <f>COUNTIFS('Odoo Items'!$J$5:$J$4331,A1259,'Odoo Items'!$C$5:$C$4331,"&lt;="&amp;Cover!$C$13)</f>
        <v>0</v>
      </c>
      <c r="Q1259">
        <f>IF(AND(O1259=0,P1259=0),"",IF(O1259=0,"ODOO-ONLY",IF(P1259=0,"BANK-ONLY","BOTH")))</f>
      </c>
      <c r="R1259" s="9">
        <f>IF(Q1259="BOTH",ROUND(M1259-N1259,2),0)</f>
        <v>0</v>
      </c>
      <c r="S1259" s="9">
        <f>ROUND(SUMIFS('Bank Lines'!$E$5:$E$1640,'Bank Lines'!$G$5:$G$1640,A1259,'Bank Lines'!$J$5:$J$1640,1,'Bank Lines'!$C$5:$C$1640,"&lt;="&amp;Cover!$C$14),2)</f>
        <v>0</v>
      </c>
      <c r="T1259" s="9">
        <f>ROUND(SUMIFS('Odoo Items'!$G$5:$G$4331,'Odoo Items'!$J$5:$J$4331,A1259,'Odoo Items'!$C$5:$C$4331,"&lt;="&amp;Cover!$C$14),2)</f>
        <v>0</v>
      </c>
      <c r="U1259">
        <f>COUNTIFS('Bank Lines'!$G$5:$G$1640,A1259,'Bank Lines'!$J$5:$J$1640,1,'Bank Lines'!$C$5:$C$1640,"&lt;="&amp;Cover!$C$14)</f>
        <v>0</v>
      </c>
      <c r="V1259">
        <f>COUNTIFS('Odoo Items'!$J$5:$J$4331,A1259,'Odoo Items'!$C$5:$C$4331,"&lt;="&amp;Cover!$C$14)</f>
        <v>0</v>
      </c>
      <c r="W1259">
        <f>IF(AND(U1259=0,V1259=0),"",IF(U1259=0,"ODOO-ONLY",IF(V1259=0,"BANK-ONLY","BOTH")))</f>
      </c>
      <c r="X1259" s="9">
        <f>IF(W1259="BOTH",ROUND(S1259-T1259,2),0)</f>
        <v>0</v>
      </c>
      <c r="Y1259" s="9">
        <f>ROUND(SUMIFS('Bank Lines'!$E$5:$E$1640,'Bank Lines'!$G$5:$G$1640,A1259,'Bank Lines'!$J$5:$J$1640,1,'Bank Lines'!$C$5:$C$1640,"&lt;="&amp;Cover!$C$15),2)</f>
        <v>0</v>
      </c>
      <c r="Z1259" s="9">
        <f>ROUND(SUMIFS('Odoo Items'!$G$5:$G$4331,'Odoo Items'!$J$5:$J$4331,A1259,'Odoo Items'!$C$5:$C$4331,"&lt;="&amp;Cover!$C$15),2)</f>
        <v>135</v>
      </c>
      <c r="AA1259">
        <f>COUNTIFS('Bank Lines'!$G$5:$G$1640,A1259,'Bank Lines'!$J$5:$J$1640,1,'Bank Lines'!$C$5:$C$1640,"&lt;="&amp;Cover!$C$15)</f>
        <v>0</v>
      </c>
      <c r="AB1259">
        <f>COUNTIFS('Odoo Items'!$J$5:$J$4331,A1259,'Odoo Items'!$C$5:$C$4331,"&lt;="&amp;Cover!$C$15)</f>
        <v>1</v>
      </c>
      <c r="AC1259" t="str">
        <f>IF(AND(AA1259=0,AB1259=0),"",IF(AA1259=0,"ODOO-ONLY",IF(AB1259=0,"BANK-ONLY","BOTH")))</f>
        <v>ODOO-ONLY</v>
      </c>
      <c r="AD1259" s="9">
        <f>IF(AC1259="BOTH",ROUND(Y1259-Z1259,2),0)</f>
        <v>0</v>
      </c>
    </row>
    <row r="1260">
      <c r="A1260" t="inlineStr">
        <is>
          <t>G01256</t>
        </is>
      </c>
      <c r="B1260" t="inlineStr">
        <is>
          <t>OPS</t>
        </is>
      </c>
      <c r="C1260" t="inlineStr">
        <is>
          <t>R99</t>
        </is>
      </c>
      <c r="D1260" t="inlineStr">
        <is>
          <t>OUT</t>
        </is>
      </c>
      <c r="E1260" t="inlineStr"/>
      <c r="G1260" t="inlineStr">
        <is>
          <t>In Odoo, not yet on the bank statement at 30 Sep</t>
        </is>
      </c>
      <c r="H1260">
        <f>COUNTIFS('Bank Lines'!$G$5:$G$1640,A1260,'Bank Lines'!$J$5:$J$1640,1)</f>
        <v>0</v>
      </c>
      <c r="I1260">
        <f>COUNTIFS('Odoo Items'!$J$5:$J$4331,A1260)</f>
        <v>1</v>
      </c>
      <c r="J1260" s="9">
        <f>ROUND(SUMIFS('Bank Lines'!$E$5:$E$1640,'Bank Lines'!$G$5:$G$1640,A1260,'Bank Lines'!$J$5:$J$1640,1),2)</f>
        <v>0</v>
      </c>
      <c r="K1260" s="9">
        <f>ROUND(SUMIFS('Odoo Items'!$G$5:$G$4331,'Odoo Items'!$J$5:$J$4331,A1260),2)</f>
        <v>135</v>
      </c>
      <c r="L1260" s="9">
        <f>ROUND(J1260-K1260,2)</f>
        <v>-135</v>
      </c>
      <c r="M1260" s="9">
        <f>ROUND(SUMIFS('Bank Lines'!$E$5:$E$1640,'Bank Lines'!$G$5:$G$1640,A1260,'Bank Lines'!$J$5:$J$1640,1,'Bank Lines'!$C$5:$C$1640,"&lt;="&amp;Cover!$C$13),2)</f>
        <v>0</v>
      </c>
      <c r="N1260" s="9">
        <f>ROUND(SUMIFS('Odoo Items'!$G$5:$G$4331,'Odoo Items'!$J$5:$J$4331,A1260,'Odoo Items'!$C$5:$C$4331,"&lt;="&amp;Cover!$C$13),2)</f>
        <v>0</v>
      </c>
      <c r="O1260">
        <f>COUNTIFS('Bank Lines'!$G$5:$G$1640,A1260,'Bank Lines'!$J$5:$J$1640,1,'Bank Lines'!$C$5:$C$1640,"&lt;="&amp;Cover!$C$13)</f>
        <v>0</v>
      </c>
      <c r="P1260">
        <f>COUNTIFS('Odoo Items'!$J$5:$J$4331,A1260,'Odoo Items'!$C$5:$C$4331,"&lt;="&amp;Cover!$C$13)</f>
        <v>0</v>
      </c>
      <c r="Q1260">
        <f>IF(AND(O1260=0,P1260=0),"",IF(O1260=0,"ODOO-ONLY",IF(P1260=0,"BANK-ONLY","BOTH")))</f>
      </c>
      <c r="R1260" s="9">
        <f>IF(Q1260="BOTH",ROUND(M1260-N1260,2),0)</f>
        <v>0</v>
      </c>
      <c r="S1260" s="9">
        <f>ROUND(SUMIFS('Bank Lines'!$E$5:$E$1640,'Bank Lines'!$G$5:$G$1640,A1260,'Bank Lines'!$J$5:$J$1640,1,'Bank Lines'!$C$5:$C$1640,"&lt;="&amp;Cover!$C$14),2)</f>
        <v>0</v>
      </c>
      <c r="T1260" s="9">
        <f>ROUND(SUMIFS('Odoo Items'!$G$5:$G$4331,'Odoo Items'!$J$5:$J$4331,A1260,'Odoo Items'!$C$5:$C$4331,"&lt;="&amp;Cover!$C$14),2)</f>
        <v>0</v>
      </c>
      <c r="U1260">
        <f>COUNTIFS('Bank Lines'!$G$5:$G$1640,A1260,'Bank Lines'!$J$5:$J$1640,1,'Bank Lines'!$C$5:$C$1640,"&lt;="&amp;Cover!$C$14)</f>
        <v>0</v>
      </c>
      <c r="V1260">
        <f>COUNTIFS('Odoo Items'!$J$5:$J$4331,A1260,'Odoo Items'!$C$5:$C$4331,"&lt;="&amp;Cover!$C$14)</f>
        <v>0</v>
      </c>
      <c r="W1260">
        <f>IF(AND(U1260=0,V1260=0),"",IF(U1260=0,"ODOO-ONLY",IF(V1260=0,"BANK-ONLY","BOTH")))</f>
      </c>
      <c r="X1260" s="9">
        <f>IF(W1260="BOTH",ROUND(S1260-T1260,2),0)</f>
        <v>0</v>
      </c>
      <c r="Y1260" s="9">
        <f>ROUND(SUMIFS('Bank Lines'!$E$5:$E$1640,'Bank Lines'!$G$5:$G$1640,A1260,'Bank Lines'!$J$5:$J$1640,1,'Bank Lines'!$C$5:$C$1640,"&lt;="&amp;Cover!$C$15),2)</f>
        <v>0</v>
      </c>
      <c r="Z1260" s="9">
        <f>ROUND(SUMIFS('Odoo Items'!$G$5:$G$4331,'Odoo Items'!$J$5:$J$4331,A1260,'Odoo Items'!$C$5:$C$4331,"&lt;="&amp;Cover!$C$15),2)</f>
        <v>135</v>
      </c>
      <c r="AA1260">
        <f>COUNTIFS('Bank Lines'!$G$5:$G$1640,A1260,'Bank Lines'!$J$5:$J$1640,1,'Bank Lines'!$C$5:$C$1640,"&lt;="&amp;Cover!$C$15)</f>
        <v>0</v>
      </c>
      <c r="AB1260">
        <f>COUNTIFS('Odoo Items'!$J$5:$J$4331,A1260,'Odoo Items'!$C$5:$C$4331,"&lt;="&amp;Cover!$C$15)</f>
        <v>1</v>
      </c>
      <c r="AC1260" t="str">
        <f>IF(AND(AA1260=0,AB1260=0),"",IF(AA1260=0,"ODOO-ONLY",IF(AB1260=0,"BANK-ONLY","BOTH")))</f>
        <v>ODOO-ONLY</v>
      </c>
      <c r="AD1260" s="9">
        <f>IF(AC1260="BOTH",ROUND(Y1260-Z1260,2),0)</f>
        <v>0</v>
      </c>
    </row>
    <row r="1261">
      <c r="A1261" t="inlineStr">
        <is>
          <t>G01257</t>
        </is>
      </c>
      <c r="B1261" t="inlineStr">
        <is>
          <t>OPS</t>
        </is>
      </c>
      <c r="C1261" t="inlineStr">
        <is>
          <t>R99</t>
        </is>
      </c>
      <c r="D1261" t="inlineStr">
        <is>
          <t>OUT</t>
        </is>
      </c>
      <c r="E1261" t="inlineStr"/>
      <c r="G1261" t="inlineStr">
        <is>
          <t>In Odoo, not yet on the bank statement at 30 Sep</t>
        </is>
      </c>
      <c r="H1261">
        <f>COUNTIFS('Bank Lines'!$G$5:$G$1640,A1261,'Bank Lines'!$J$5:$J$1640,1)</f>
        <v>0</v>
      </c>
      <c r="I1261">
        <f>COUNTIFS('Odoo Items'!$J$5:$J$4331,A1261)</f>
        <v>1</v>
      </c>
      <c r="J1261" s="9">
        <f>ROUND(SUMIFS('Bank Lines'!$E$5:$E$1640,'Bank Lines'!$G$5:$G$1640,A1261,'Bank Lines'!$J$5:$J$1640,1),2)</f>
        <v>0</v>
      </c>
      <c r="K1261" s="9">
        <f>ROUND(SUMIFS('Odoo Items'!$G$5:$G$4331,'Odoo Items'!$J$5:$J$4331,A1261),2)</f>
        <v>120</v>
      </c>
      <c r="L1261" s="9">
        <f>ROUND(J1261-K1261,2)</f>
        <v>-120</v>
      </c>
      <c r="M1261" s="9">
        <f>ROUND(SUMIFS('Bank Lines'!$E$5:$E$1640,'Bank Lines'!$G$5:$G$1640,A1261,'Bank Lines'!$J$5:$J$1640,1,'Bank Lines'!$C$5:$C$1640,"&lt;="&amp;Cover!$C$13),2)</f>
        <v>0</v>
      </c>
      <c r="N1261" s="9">
        <f>ROUND(SUMIFS('Odoo Items'!$G$5:$G$4331,'Odoo Items'!$J$5:$J$4331,A1261,'Odoo Items'!$C$5:$C$4331,"&lt;="&amp;Cover!$C$13),2)</f>
        <v>0</v>
      </c>
      <c r="O1261">
        <f>COUNTIFS('Bank Lines'!$G$5:$G$1640,A1261,'Bank Lines'!$J$5:$J$1640,1,'Bank Lines'!$C$5:$C$1640,"&lt;="&amp;Cover!$C$13)</f>
        <v>0</v>
      </c>
      <c r="P1261">
        <f>COUNTIFS('Odoo Items'!$J$5:$J$4331,A1261,'Odoo Items'!$C$5:$C$4331,"&lt;="&amp;Cover!$C$13)</f>
        <v>0</v>
      </c>
      <c r="Q1261">
        <f>IF(AND(O1261=0,P1261=0),"",IF(O1261=0,"ODOO-ONLY",IF(P1261=0,"BANK-ONLY","BOTH")))</f>
      </c>
      <c r="R1261" s="9">
        <f>IF(Q1261="BOTH",ROUND(M1261-N1261,2),0)</f>
        <v>0</v>
      </c>
      <c r="S1261" s="9">
        <f>ROUND(SUMIFS('Bank Lines'!$E$5:$E$1640,'Bank Lines'!$G$5:$G$1640,A1261,'Bank Lines'!$J$5:$J$1640,1,'Bank Lines'!$C$5:$C$1640,"&lt;="&amp;Cover!$C$14),2)</f>
        <v>0</v>
      </c>
      <c r="T1261" s="9">
        <f>ROUND(SUMIFS('Odoo Items'!$G$5:$G$4331,'Odoo Items'!$J$5:$J$4331,A1261,'Odoo Items'!$C$5:$C$4331,"&lt;="&amp;Cover!$C$14),2)</f>
        <v>0</v>
      </c>
      <c r="U1261">
        <f>COUNTIFS('Bank Lines'!$G$5:$G$1640,A1261,'Bank Lines'!$J$5:$J$1640,1,'Bank Lines'!$C$5:$C$1640,"&lt;="&amp;Cover!$C$14)</f>
        <v>0</v>
      </c>
      <c r="V1261">
        <f>COUNTIFS('Odoo Items'!$J$5:$J$4331,A1261,'Odoo Items'!$C$5:$C$4331,"&lt;="&amp;Cover!$C$14)</f>
        <v>0</v>
      </c>
      <c r="W1261">
        <f>IF(AND(U1261=0,V1261=0),"",IF(U1261=0,"ODOO-ONLY",IF(V1261=0,"BANK-ONLY","BOTH")))</f>
      </c>
      <c r="X1261" s="9">
        <f>IF(W1261="BOTH",ROUND(S1261-T1261,2),0)</f>
        <v>0</v>
      </c>
      <c r="Y1261" s="9">
        <f>ROUND(SUMIFS('Bank Lines'!$E$5:$E$1640,'Bank Lines'!$G$5:$G$1640,A1261,'Bank Lines'!$J$5:$J$1640,1,'Bank Lines'!$C$5:$C$1640,"&lt;="&amp;Cover!$C$15),2)</f>
        <v>0</v>
      </c>
      <c r="Z1261" s="9">
        <f>ROUND(SUMIFS('Odoo Items'!$G$5:$G$4331,'Odoo Items'!$J$5:$J$4331,A1261,'Odoo Items'!$C$5:$C$4331,"&lt;="&amp;Cover!$C$15),2)</f>
        <v>120</v>
      </c>
      <c r="AA1261">
        <f>COUNTIFS('Bank Lines'!$G$5:$G$1640,A1261,'Bank Lines'!$J$5:$J$1640,1,'Bank Lines'!$C$5:$C$1640,"&lt;="&amp;Cover!$C$15)</f>
        <v>0</v>
      </c>
      <c r="AB1261">
        <f>COUNTIFS('Odoo Items'!$J$5:$J$4331,A1261,'Odoo Items'!$C$5:$C$4331,"&lt;="&amp;Cover!$C$15)</f>
        <v>1</v>
      </c>
      <c r="AC1261" t="str">
        <f>IF(AND(AA1261=0,AB1261=0),"",IF(AA1261=0,"ODOO-ONLY",IF(AB1261=0,"BANK-ONLY","BOTH")))</f>
        <v>ODOO-ONLY</v>
      </c>
      <c r="AD1261" s="9">
        <f>IF(AC1261="BOTH",ROUND(Y1261-Z1261,2),0)</f>
        <v>0</v>
      </c>
    </row>
    <row r="1262">
      <c r="A1262" t="inlineStr">
        <is>
          <t>G01258</t>
        </is>
      </c>
      <c r="B1262" t="inlineStr">
        <is>
          <t>OPS</t>
        </is>
      </c>
      <c r="C1262" t="inlineStr">
        <is>
          <t>R99</t>
        </is>
      </c>
      <c r="D1262" t="inlineStr">
        <is>
          <t>OUT</t>
        </is>
      </c>
      <c r="E1262" t="inlineStr"/>
      <c r="G1262" t="inlineStr">
        <is>
          <t>In Odoo, not yet on the bank statement at 30 Sep</t>
        </is>
      </c>
      <c r="H1262">
        <f>COUNTIFS('Bank Lines'!$G$5:$G$1640,A1262,'Bank Lines'!$J$5:$J$1640,1)</f>
        <v>0</v>
      </c>
      <c r="I1262">
        <f>COUNTIFS('Odoo Items'!$J$5:$J$4331,A1262)</f>
        <v>1</v>
      </c>
      <c r="J1262" s="9">
        <f>ROUND(SUMIFS('Bank Lines'!$E$5:$E$1640,'Bank Lines'!$G$5:$G$1640,A1262,'Bank Lines'!$J$5:$J$1640,1),2)</f>
        <v>0</v>
      </c>
      <c r="K1262" s="9">
        <f>ROUND(SUMIFS('Odoo Items'!$G$5:$G$4331,'Odoo Items'!$J$5:$J$4331,A1262),2)</f>
        <v>110</v>
      </c>
      <c r="L1262" s="9">
        <f>ROUND(J1262-K1262,2)</f>
        <v>-110</v>
      </c>
      <c r="M1262" s="9">
        <f>ROUND(SUMIFS('Bank Lines'!$E$5:$E$1640,'Bank Lines'!$G$5:$G$1640,A1262,'Bank Lines'!$J$5:$J$1640,1,'Bank Lines'!$C$5:$C$1640,"&lt;="&amp;Cover!$C$13),2)</f>
        <v>0</v>
      </c>
      <c r="N1262" s="9">
        <f>ROUND(SUMIFS('Odoo Items'!$G$5:$G$4331,'Odoo Items'!$J$5:$J$4331,A1262,'Odoo Items'!$C$5:$C$4331,"&lt;="&amp;Cover!$C$13),2)</f>
        <v>0</v>
      </c>
      <c r="O1262">
        <f>COUNTIFS('Bank Lines'!$G$5:$G$1640,A1262,'Bank Lines'!$J$5:$J$1640,1,'Bank Lines'!$C$5:$C$1640,"&lt;="&amp;Cover!$C$13)</f>
        <v>0</v>
      </c>
      <c r="P1262">
        <f>COUNTIFS('Odoo Items'!$J$5:$J$4331,A1262,'Odoo Items'!$C$5:$C$4331,"&lt;="&amp;Cover!$C$13)</f>
        <v>0</v>
      </c>
      <c r="Q1262">
        <f>IF(AND(O1262=0,P1262=0),"",IF(O1262=0,"ODOO-ONLY",IF(P1262=0,"BANK-ONLY","BOTH")))</f>
      </c>
      <c r="R1262" s="9">
        <f>IF(Q1262="BOTH",ROUND(M1262-N1262,2),0)</f>
        <v>0</v>
      </c>
      <c r="S1262" s="9">
        <f>ROUND(SUMIFS('Bank Lines'!$E$5:$E$1640,'Bank Lines'!$G$5:$G$1640,A1262,'Bank Lines'!$J$5:$J$1640,1,'Bank Lines'!$C$5:$C$1640,"&lt;="&amp;Cover!$C$14),2)</f>
        <v>0</v>
      </c>
      <c r="T1262" s="9">
        <f>ROUND(SUMIFS('Odoo Items'!$G$5:$G$4331,'Odoo Items'!$J$5:$J$4331,A1262,'Odoo Items'!$C$5:$C$4331,"&lt;="&amp;Cover!$C$14),2)</f>
        <v>0</v>
      </c>
      <c r="U1262">
        <f>COUNTIFS('Bank Lines'!$G$5:$G$1640,A1262,'Bank Lines'!$J$5:$J$1640,1,'Bank Lines'!$C$5:$C$1640,"&lt;="&amp;Cover!$C$14)</f>
        <v>0</v>
      </c>
      <c r="V1262">
        <f>COUNTIFS('Odoo Items'!$J$5:$J$4331,A1262,'Odoo Items'!$C$5:$C$4331,"&lt;="&amp;Cover!$C$14)</f>
        <v>0</v>
      </c>
      <c r="W1262">
        <f>IF(AND(U1262=0,V1262=0),"",IF(U1262=0,"ODOO-ONLY",IF(V1262=0,"BANK-ONLY","BOTH")))</f>
      </c>
      <c r="X1262" s="9">
        <f>IF(W1262="BOTH",ROUND(S1262-T1262,2),0)</f>
        <v>0</v>
      </c>
      <c r="Y1262" s="9">
        <f>ROUND(SUMIFS('Bank Lines'!$E$5:$E$1640,'Bank Lines'!$G$5:$G$1640,A1262,'Bank Lines'!$J$5:$J$1640,1,'Bank Lines'!$C$5:$C$1640,"&lt;="&amp;Cover!$C$15),2)</f>
        <v>0</v>
      </c>
      <c r="Z1262" s="9">
        <f>ROUND(SUMIFS('Odoo Items'!$G$5:$G$4331,'Odoo Items'!$J$5:$J$4331,A1262,'Odoo Items'!$C$5:$C$4331,"&lt;="&amp;Cover!$C$15),2)</f>
        <v>110</v>
      </c>
      <c r="AA1262">
        <f>COUNTIFS('Bank Lines'!$G$5:$G$1640,A1262,'Bank Lines'!$J$5:$J$1640,1,'Bank Lines'!$C$5:$C$1640,"&lt;="&amp;Cover!$C$15)</f>
        <v>0</v>
      </c>
      <c r="AB1262">
        <f>COUNTIFS('Odoo Items'!$J$5:$J$4331,A1262,'Odoo Items'!$C$5:$C$4331,"&lt;="&amp;Cover!$C$15)</f>
        <v>1</v>
      </c>
      <c r="AC1262" t="str">
        <f>IF(AND(AA1262=0,AB1262=0),"",IF(AA1262=0,"ODOO-ONLY",IF(AB1262=0,"BANK-ONLY","BOTH")))</f>
        <v>ODOO-ONLY</v>
      </c>
      <c r="AD1262" s="9">
        <f>IF(AC1262="BOTH",ROUND(Y1262-Z1262,2),0)</f>
        <v>0</v>
      </c>
    </row>
    <row r="1263">
      <c r="A1263" t="inlineStr">
        <is>
          <t>G01259</t>
        </is>
      </c>
      <c r="B1263" t="inlineStr">
        <is>
          <t>OPS</t>
        </is>
      </c>
      <c r="C1263" t="inlineStr">
        <is>
          <t>R99</t>
        </is>
      </c>
      <c r="D1263" t="inlineStr">
        <is>
          <t>OUT</t>
        </is>
      </c>
      <c r="E1263" t="inlineStr"/>
      <c r="G1263" t="inlineStr">
        <is>
          <t>In Odoo, not yet on the bank statement at 30 Sep</t>
        </is>
      </c>
      <c r="H1263">
        <f>COUNTIFS('Bank Lines'!$G$5:$G$1640,A1263,'Bank Lines'!$J$5:$J$1640,1)</f>
        <v>0</v>
      </c>
      <c r="I1263">
        <f>COUNTIFS('Odoo Items'!$J$5:$J$4331,A1263)</f>
        <v>1</v>
      </c>
      <c r="J1263" s="9">
        <f>ROUND(SUMIFS('Bank Lines'!$E$5:$E$1640,'Bank Lines'!$G$5:$G$1640,A1263,'Bank Lines'!$J$5:$J$1640,1),2)</f>
        <v>0</v>
      </c>
      <c r="K1263" s="9">
        <f>ROUND(SUMIFS('Odoo Items'!$G$5:$G$4331,'Odoo Items'!$J$5:$J$4331,A1263),2)</f>
        <v>220</v>
      </c>
      <c r="L1263" s="9">
        <f>ROUND(J1263-K1263,2)</f>
        <v>-220</v>
      </c>
      <c r="M1263" s="9">
        <f>ROUND(SUMIFS('Bank Lines'!$E$5:$E$1640,'Bank Lines'!$G$5:$G$1640,A1263,'Bank Lines'!$J$5:$J$1640,1,'Bank Lines'!$C$5:$C$1640,"&lt;="&amp;Cover!$C$13),2)</f>
        <v>0</v>
      </c>
      <c r="N1263" s="9">
        <f>ROUND(SUMIFS('Odoo Items'!$G$5:$G$4331,'Odoo Items'!$J$5:$J$4331,A1263,'Odoo Items'!$C$5:$C$4331,"&lt;="&amp;Cover!$C$13),2)</f>
        <v>0</v>
      </c>
      <c r="O1263">
        <f>COUNTIFS('Bank Lines'!$G$5:$G$1640,A1263,'Bank Lines'!$J$5:$J$1640,1,'Bank Lines'!$C$5:$C$1640,"&lt;="&amp;Cover!$C$13)</f>
        <v>0</v>
      </c>
      <c r="P1263">
        <f>COUNTIFS('Odoo Items'!$J$5:$J$4331,A1263,'Odoo Items'!$C$5:$C$4331,"&lt;="&amp;Cover!$C$13)</f>
        <v>0</v>
      </c>
      <c r="Q1263">
        <f>IF(AND(O1263=0,P1263=0),"",IF(O1263=0,"ODOO-ONLY",IF(P1263=0,"BANK-ONLY","BOTH")))</f>
      </c>
      <c r="R1263" s="9">
        <f>IF(Q1263="BOTH",ROUND(M1263-N1263,2),0)</f>
        <v>0</v>
      </c>
      <c r="S1263" s="9">
        <f>ROUND(SUMIFS('Bank Lines'!$E$5:$E$1640,'Bank Lines'!$G$5:$G$1640,A1263,'Bank Lines'!$J$5:$J$1640,1,'Bank Lines'!$C$5:$C$1640,"&lt;="&amp;Cover!$C$14),2)</f>
        <v>0</v>
      </c>
      <c r="T1263" s="9">
        <f>ROUND(SUMIFS('Odoo Items'!$G$5:$G$4331,'Odoo Items'!$J$5:$J$4331,A1263,'Odoo Items'!$C$5:$C$4331,"&lt;="&amp;Cover!$C$14),2)</f>
        <v>0</v>
      </c>
      <c r="U1263">
        <f>COUNTIFS('Bank Lines'!$G$5:$G$1640,A1263,'Bank Lines'!$J$5:$J$1640,1,'Bank Lines'!$C$5:$C$1640,"&lt;="&amp;Cover!$C$14)</f>
        <v>0</v>
      </c>
      <c r="V1263">
        <f>COUNTIFS('Odoo Items'!$J$5:$J$4331,A1263,'Odoo Items'!$C$5:$C$4331,"&lt;="&amp;Cover!$C$14)</f>
        <v>0</v>
      </c>
      <c r="W1263">
        <f>IF(AND(U1263=0,V1263=0),"",IF(U1263=0,"ODOO-ONLY",IF(V1263=0,"BANK-ONLY","BOTH")))</f>
      </c>
      <c r="X1263" s="9">
        <f>IF(W1263="BOTH",ROUND(S1263-T1263,2),0)</f>
        <v>0</v>
      </c>
      <c r="Y1263" s="9">
        <f>ROUND(SUMIFS('Bank Lines'!$E$5:$E$1640,'Bank Lines'!$G$5:$G$1640,A1263,'Bank Lines'!$J$5:$J$1640,1,'Bank Lines'!$C$5:$C$1640,"&lt;="&amp;Cover!$C$15),2)</f>
        <v>0</v>
      </c>
      <c r="Z1263" s="9">
        <f>ROUND(SUMIFS('Odoo Items'!$G$5:$G$4331,'Odoo Items'!$J$5:$J$4331,A1263,'Odoo Items'!$C$5:$C$4331,"&lt;="&amp;Cover!$C$15),2)</f>
        <v>220</v>
      </c>
      <c r="AA1263">
        <f>COUNTIFS('Bank Lines'!$G$5:$G$1640,A1263,'Bank Lines'!$J$5:$J$1640,1,'Bank Lines'!$C$5:$C$1640,"&lt;="&amp;Cover!$C$15)</f>
        <v>0</v>
      </c>
      <c r="AB1263">
        <f>COUNTIFS('Odoo Items'!$J$5:$J$4331,A1263,'Odoo Items'!$C$5:$C$4331,"&lt;="&amp;Cover!$C$15)</f>
        <v>1</v>
      </c>
      <c r="AC1263" t="str">
        <f>IF(AND(AA1263=0,AB1263=0),"",IF(AA1263=0,"ODOO-ONLY",IF(AB1263=0,"BANK-ONLY","BOTH")))</f>
        <v>ODOO-ONLY</v>
      </c>
      <c r="AD1263" s="9">
        <f>IF(AC1263="BOTH",ROUND(Y1263-Z1263,2),0)</f>
        <v>0</v>
      </c>
    </row>
    <row r="1264">
      <c r="A1264" t="inlineStr">
        <is>
          <t>G01260</t>
        </is>
      </c>
      <c r="B1264" t="inlineStr">
        <is>
          <t>OPS</t>
        </is>
      </c>
      <c r="C1264" t="inlineStr">
        <is>
          <t>R99</t>
        </is>
      </c>
      <c r="D1264" t="inlineStr">
        <is>
          <t>OUT</t>
        </is>
      </c>
      <c r="E1264" t="inlineStr"/>
      <c r="G1264" t="inlineStr">
        <is>
          <t>In Odoo, not yet on the bank statement at 30 Sep</t>
        </is>
      </c>
      <c r="H1264">
        <f>COUNTIFS('Bank Lines'!$G$5:$G$1640,A1264,'Bank Lines'!$J$5:$J$1640,1)</f>
        <v>0</v>
      </c>
      <c r="I1264">
        <f>COUNTIFS('Odoo Items'!$J$5:$J$4331,A1264)</f>
        <v>1</v>
      </c>
      <c r="J1264" s="9">
        <f>ROUND(SUMIFS('Bank Lines'!$E$5:$E$1640,'Bank Lines'!$G$5:$G$1640,A1264,'Bank Lines'!$J$5:$J$1640,1),2)</f>
        <v>0</v>
      </c>
      <c r="K1264" s="9">
        <f>ROUND(SUMIFS('Odoo Items'!$G$5:$G$4331,'Odoo Items'!$J$5:$J$4331,A1264),2)</f>
        <v>120</v>
      </c>
      <c r="L1264" s="9">
        <f>ROUND(J1264-K1264,2)</f>
        <v>-120</v>
      </c>
      <c r="M1264" s="9">
        <f>ROUND(SUMIFS('Bank Lines'!$E$5:$E$1640,'Bank Lines'!$G$5:$G$1640,A1264,'Bank Lines'!$J$5:$J$1640,1,'Bank Lines'!$C$5:$C$1640,"&lt;="&amp;Cover!$C$13),2)</f>
        <v>0</v>
      </c>
      <c r="N1264" s="9">
        <f>ROUND(SUMIFS('Odoo Items'!$G$5:$G$4331,'Odoo Items'!$J$5:$J$4331,A1264,'Odoo Items'!$C$5:$C$4331,"&lt;="&amp;Cover!$C$13),2)</f>
        <v>0</v>
      </c>
      <c r="O1264">
        <f>COUNTIFS('Bank Lines'!$G$5:$G$1640,A1264,'Bank Lines'!$J$5:$J$1640,1,'Bank Lines'!$C$5:$C$1640,"&lt;="&amp;Cover!$C$13)</f>
        <v>0</v>
      </c>
      <c r="P1264">
        <f>COUNTIFS('Odoo Items'!$J$5:$J$4331,A1264,'Odoo Items'!$C$5:$C$4331,"&lt;="&amp;Cover!$C$13)</f>
        <v>0</v>
      </c>
      <c r="Q1264">
        <f>IF(AND(O1264=0,P1264=0),"",IF(O1264=0,"ODOO-ONLY",IF(P1264=0,"BANK-ONLY","BOTH")))</f>
      </c>
      <c r="R1264" s="9">
        <f>IF(Q1264="BOTH",ROUND(M1264-N1264,2),0)</f>
        <v>0</v>
      </c>
      <c r="S1264" s="9">
        <f>ROUND(SUMIFS('Bank Lines'!$E$5:$E$1640,'Bank Lines'!$G$5:$G$1640,A1264,'Bank Lines'!$J$5:$J$1640,1,'Bank Lines'!$C$5:$C$1640,"&lt;="&amp;Cover!$C$14),2)</f>
        <v>0</v>
      </c>
      <c r="T1264" s="9">
        <f>ROUND(SUMIFS('Odoo Items'!$G$5:$G$4331,'Odoo Items'!$J$5:$J$4331,A1264,'Odoo Items'!$C$5:$C$4331,"&lt;="&amp;Cover!$C$14),2)</f>
        <v>0</v>
      </c>
      <c r="U1264">
        <f>COUNTIFS('Bank Lines'!$G$5:$G$1640,A1264,'Bank Lines'!$J$5:$J$1640,1,'Bank Lines'!$C$5:$C$1640,"&lt;="&amp;Cover!$C$14)</f>
        <v>0</v>
      </c>
      <c r="V1264">
        <f>COUNTIFS('Odoo Items'!$J$5:$J$4331,A1264,'Odoo Items'!$C$5:$C$4331,"&lt;="&amp;Cover!$C$14)</f>
        <v>0</v>
      </c>
      <c r="W1264">
        <f>IF(AND(U1264=0,V1264=0),"",IF(U1264=0,"ODOO-ONLY",IF(V1264=0,"BANK-ONLY","BOTH")))</f>
      </c>
      <c r="X1264" s="9">
        <f>IF(W1264="BOTH",ROUND(S1264-T1264,2),0)</f>
        <v>0</v>
      </c>
      <c r="Y1264" s="9">
        <f>ROUND(SUMIFS('Bank Lines'!$E$5:$E$1640,'Bank Lines'!$G$5:$G$1640,A1264,'Bank Lines'!$J$5:$J$1640,1,'Bank Lines'!$C$5:$C$1640,"&lt;="&amp;Cover!$C$15),2)</f>
        <v>0</v>
      </c>
      <c r="Z1264" s="9">
        <f>ROUND(SUMIFS('Odoo Items'!$G$5:$G$4331,'Odoo Items'!$J$5:$J$4331,A1264,'Odoo Items'!$C$5:$C$4331,"&lt;="&amp;Cover!$C$15),2)</f>
        <v>120</v>
      </c>
      <c r="AA1264">
        <f>COUNTIFS('Bank Lines'!$G$5:$G$1640,A1264,'Bank Lines'!$J$5:$J$1640,1,'Bank Lines'!$C$5:$C$1640,"&lt;="&amp;Cover!$C$15)</f>
        <v>0</v>
      </c>
      <c r="AB1264">
        <f>COUNTIFS('Odoo Items'!$J$5:$J$4331,A1264,'Odoo Items'!$C$5:$C$4331,"&lt;="&amp;Cover!$C$15)</f>
        <v>1</v>
      </c>
      <c r="AC1264" t="str">
        <f>IF(AND(AA1264=0,AB1264=0),"",IF(AA1264=0,"ODOO-ONLY",IF(AB1264=0,"BANK-ONLY","BOTH")))</f>
        <v>ODOO-ONLY</v>
      </c>
      <c r="AD1264" s="9">
        <f>IF(AC1264="BOTH",ROUND(Y1264-Z1264,2),0)</f>
        <v>0</v>
      </c>
    </row>
    <row r="1265">
      <c r="A1265" t="inlineStr">
        <is>
          <t>G01261</t>
        </is>
      </c>
      <c r="B1265" t="inlineStr">
        <is>
          <t>OPS</t>
        </is>
      </c>
      <c r="C1265" t="inlineStr">
        <is>
          <t>R99</t>
        </is>
      </c>
      <c r="D1265" t="inlineStr">
        <is>
          <t>OUT</t>
        </is>
      </c>
      <c r="E1265" t="inlineStr"/>
      <c r="G1265" t="inlineStr">
        <is>
          <t>In Odoo, not yet on the bank statement at 30 Sep</t>
        </is>
      </c>
      <c r="H1265">
        <f>COUNTIFS('Bank Lines'!$G$5:$G$1640,A1265,'Bank Lines'!$J$5:$J$1640,1)</f>
        <v>0</v>
      </c>
      <c r="I1265">
        <f>COUNTIFS('Odoo Items'!$J$5:$J$4331,A1265)</f>
        <v>1</v>
      </c>
      <c r="J1265" s="9">
        <f>ROUND(SUMIFS('Bank Lines'!$E$5:$E$1640,'Bank Lines'!$G$5:$G$1640,A1265,'Bank Lines'!$J$5:$J$1640,1),2)</f>
        <v>0</v>
      </c>
      <c r="K1265" s="9">
        <f>ROUND(SUMIFS('Odoo Items'!$G$5:$G$4331,'Odoo Items'!$J$5:$J$4331,A1265),2)</f>
        <v>220</v>
      </c>
      <c r="L1265" s="9">
        <f>ROUND(J1265-K1265,2)</f>
        <v>-220</v>
      </c>
      <c r="M1265" s="9">
        <f>ROUND(SUMIFS('Bank Lines'!$E$5:$E$1640,'Bank Lines'!$G$5:$G$1640,A1265,'Bank Lines'!$J$5:$J$1640,1,'Bank Lines'!$C$5:$C$1640,"&lt;="&amp;Cover!$C$13),2)</f>
        <v>0</v>
      </c>
      <c r="N1265" s="9">
        <f>ROUND(SUMIFS('Odoo Items'!$G$5:$G$4331,'Odoo Items'!$J$5:$J$4331,A1265,'Odoo Items'!$C$5:$C$4331,"&lt;="&amp;Cover!$C$13),2)</f>
        <v>0</v>
      </c>
      <c r="O1265">
        <f>COUNTIFS('Bank Lines'!$G$5:$G$1640,A1265,'Bank Lines'!$J$5:$J$1640,1,'Bank Lines'!$C$5:$C$1640,"&lt;="&amp;Cover!$C$13)</f>
        <v>0</v>
      </c>
      <c r="P1265">
        <f>COUNTIFS('Odoo Items'!$J$5:$J$4331,A1265,'Odoo Items'!$C$5:$C$4331,"&lt;="&amp;Cover!$C$13)</f>
        <v>0</v>
      </c>
      <c r="Q1265">
        <f>IF(AND(O1265=0,P1265=0),"",IF(O1265=0,"ODOO-ONLY",IF(P1265=0,"BANK-ONLY","BOTH")))</f>
      </c>
      <c r="R1265" s="9">
        <f>IF(Q1265="BOTH",ROUND(M1265-N1265,2),0)</f>
        <v>0</v>
      </c>
      <c r="S1265" s="9">
        <f>ROUND(SUMIFS('Bank Lines'!$E$5:$E$1640,'Bank Lines'!$G$5:$G$1640,A1265,'Bank Lines'!$J$5:$J$1640,1,'Bank Lines'!$C$5:$C$1640,"&lt;="&amp;Cover!$C$14),2)</f>
        <v>0</v>
      </c>
      <c r="T1265" s="9">
        <f>ROUND(SUMIFS('Odoo Items'!$G$5:$G$4331,'Odoo Items'!$J$5:$J$4331,A1265,'Odoo Items'!$C$5:$C$4331,"&lt;="&amp;Cover!$C$14),2)</f>
        <v>0</v>
      </c>
      <c r="U1265">
        <f>COUNTIFS('Bank Lines'!$G$5:$G$1640,A1265,'Bank Lines'!$J$5:$J$1640,1,'Bank Lines'!$C$5:$C$1640,"&lt;="&amp;Cover!$C$14)</f>
        <v>0</v>
      </c>
      <c r="V1265">
        <f>COUNTIFS('Odoo Items'!$J$5:$J$4331,A1265,'Odoo Items'!$C$5:$C$4331,"&lt;="&amp;Cover!$C$14)</f>
        <v>0</v>
      </c>
      <c r="W1265">
        <f>IF(AND(U1265=0,V1265=0),"",IF(U1265=0,"ODOO-ONLY",IF(V1265=0,"BANK-ONLY","BOTH")))</f>
      </c>
      <c r="X1265" s="9">
        <f>IF(W1265="BOTH",ROUND(S1265-T1265,2),0)</f>
        <v>0</v>
      </c>
      <c r="Y1265" s="9">
        <f>ROUND(SUMIFS('Bank Lines'!$E$5:$E$1640,'Bank Lines'!$G$5:$G$1640,A1265,'Bank Lines'!$J$5:$J$1640,1,'Bank Lines'!$C$5:$C$1640,"&lt;="&amp;Cover!$C$15),2)</f>
        <v>0</v>
      </c>
      <c r="Z1265" s="9">
        <f>ROUND(SUMIFS('Odoo Items'!$G$5:$G$4331,'Odoo Items'!$J$5:$J$4331,A1265,'Odoo Items'!$C$5:$C$4331,"&lt;="&amp;Cover!$C$15),2)</f>
        <v>220</v>
      </c>
      <c r="AA1265">
        <f>COUNTIFS('Bank Lines'!$G$5:$G$1640,A1265,'Bank Lines'!$J$5:$J$1640,1,'Bank Lines'!$C$5:$C$1640,"&lt;="&amp;Cover!$C$15)</f>
        <v>0</v>
      </c>
      <c r="AB1265">
        <f>COUNTIFS('Odoo Items'!$J$5:$J$4331,A1265,'Odoo Items'!$C$5:$C$4331,"&lt;="&amp;Cover!$C$15)</f>
        <v>1</v>
      </c>
      <c r="AC1265" t="str">
        <f>IF(AND(AA1265=0,AB1265=0),"",IF(AA1265=0,"ODOO-ONLY",IF(AB1265=0,"BANK-ONLY","BOTH")))</f>
        <v>ODOO-ONLY</v>
      </c>
      <c r="AD1265" s="9">
        <f>IF(AC1265="BOTH",ROUND(Y1265-Z1265,2),0)</f>
        <v>0</v>
      </c>
    </row>
    <row r="1266">
      <c r="A1266" t="inlineStr">
        <is>
          <t>G01262</t>
        </is>
      </c>
      <c r="B1266" t="inlineStr">
        <is>
          <t>OPS</t>
        </is>
      </c>
      <c r="C1266" t="inlineStr">
        <is>
          <t>R99</t>
        </is>
      </c>
      <c r="D1266" t="inlineStr">
        <is>
          <t>OUT</t>
        </is>
      </c>
      <c r="E1266" t="inlineStr"/>
      <c r="G1266" t="inlineStr">
        <is>
          <t>In Odoo, not yet on the bank statement at 30 Sep</t>
        </is>
      </c>
      <c r="H1266">
        <f>COUNTIFS('Bank Lines'!$G$5:$G$1640,A1266,'Bank Lines'!$J$5:$J$1640,1)</f>
        <v>0</v>
      </c>
      <c r="I1266">
        <f>COUNTIFS('Odoo Items'!$J$5:$J$4331,A1266)</f>
        <v>1</v>
      </c>
      <c r="J1266" s="9">
        <f>ROUND(SUMIFS('Bank Lines'!$E$5:$E$1640,'Bank Lines'!$G$5:$G$1640,A1266,'Bank Lines'!$J$5:$J$1640,1),2)</f>
        <v>0</v>
      </c>
      <c r="K1266" s="9">
        <f>ROUND(SUMIFS('Odoo Items'!$G$5:$G$4331,'Odoo Items'!$J$5:$J$4331,A1266),2)</f>
        <v>220</v>
      </c>
      <c r="L1266" s="9">
        <f>ROUND(J1266-K1266,2)</f>
        <v>-220</v>
      </c>
      <c r="M1266" s="9">
        <f>ROUND(SUMIFS('Bank Lines'!$E$5:$E$1640,'Bank Lines'!$G$5:$G$1640,A1266,'Bank Lines'!$J$5:$J$1640,1,'Bank Lines'!$C$5:$C$1640,"&lt;="&amp;Cover!$C$13),2)</f>
        <v>0</v>
      </c>
      <c r="N1266" s="9">
        <f>ROUND(SUMIFS('Odoo Items'!$G$5:$G$4331,'Odoo Items'!$J$5:$J$4331,A1266,'Odoo Items'!$C$5:$C$4331,"&lt;="&amp;Cover!$C$13),2)</f>
        <v>0</v>
      </c>
      <c r="O1266">
        <f>COUNTIFS('Bank Lines'!$G$5:$G$1640,A1266,'Bank Lines'!$J$5:$J$1640,1,'Bank Lines'!$C$5:$C$1640,"&lt;="&amp;Cover!$C$13)</f>
        <v>0</v>
      </c>
      <c r="P1266">
        <f>COUNTIFS('Odoo Items'!$J$5:$J$4331,A1266,'Odoo Items'!$C$5:$C$4331,"&lt;="&amp;Cover!$C$13)</f>
        <v>0</v>
      </c>
      <c r="Q1266">
        <f>IF(AND(O1266=0,P1266=0),"",IF(O1266=0,"ODOO-ONLY",IF(P1266=0,"BANK-ONLY","BOTH")))</f>
      </c>
      <c r="R1266" s="9">
        <f>IF(Q1266="BOTH",ROUND(M1266-N1266,2),0)</f>
        <v>0</v>
      </c>
      <c r="S1266" s="9">
        <f>ROUND(SUMIFS('Bank Lines'!$E$5:$E$1640,'Bank Lines'!$G$5:$G$1640,A1266,'Bank Lines'!$J$5:$J$1640,1,'Bank Lines'!$C$5:$C$1640,"&lt;="&amp;Cover!$C$14),2)</f>
        <v>0</v>
      </c>
      <c r="T1266" s="9">
        <f>ROUND(SUMIFS('Odoo Items'!$G$5:$G$4331,'Odoo Items'!$J$5:$J$4331,A1266,'Odoo Items'!$C$5:$C$4331,"&lt;="&amp;Cover!$C$14),2)</f>
        <v>0</v>
      </c>
      <c r="U1266">
        <f>COUNTIFS('Bank Lines'!$G$5:$G$1640,A1266,'Bank Lines'!$J$5:$J$1640,1,'Bank Lines'!$C$5:$C$1640,"&lt;="&amp;Cover!$C$14)</f>
        <v>0</v>
      </c>
      <c r="V1266">
        <f>COUNTIFS('Odoo Items'!$J$5:$J$4331,A1266,'Odoo Items'!$C$5:$C$4331,"&lt;="&amp;Cover!$C$14)</f>
        <v>0</v>
      </c>
      <c r="W1266">
        <f>IF(AND(U1266=0,V1266=0),"",IF(U1266=0,"ODOO-ONLY",IF(V1266=0,"BANK-ONLY","BOTH")))</f>
      </c>
      <c r="X1266" s="9">
        <f>IF(W1266="BOTH",ROUND(S1266-T1266,2),0)</f>
        <v>0</v>
      </c>
      <c r="Y1266" s="9">
        <f>ROUND(SUMIFS('Bank Lines'!$E$5:$E$1640,'Bank Lines'!$G$5:$G$1640,A1266,'Bank Lines'!$J$5:$J$1640,1,'Bank Lines'!$C$5:$C$1640,"&lt;="&amp;Cover!$C$15),2)</f>
        <v>0</v>
      </c>
      <c r="Z1266" s="9">
        <f>ROUND(SUMIFS('Odoo Items'!$G$5:$G$4331,'Odoo Items'!$J$5:$J$4331,A1266,'Odoo Items'!$C$5:$C$4331,"&lt;="&amp;Cover!$C$15),2)</f>
        <v>220</v>
      </c>
      <c r="AA1266">
        <f>COUNTIFS('Bank Lines'!$G$5:$G$1640,A1266,'Bank Lines'!$J$5:$J$1640,1,'Bank Lines'!$C$5:$C$1640,"&lt;="&amp;Cover!$C$15)</f>
        <v>0</v>
      </c>
      <c r="AB1266">
        <f>COUNTIFS('Odoo Items'!$J$5:$J$4331,A1266,'Odoo Items'!$C$5:$C$4331,"&lt;="&amp;Cover!$C$15)</f>
        <v>1</v>
      </c>
      <c r="AC1266" t="str">
        <f>IF(AND(AA1266=0,AB1266=0),"",IF(AA1266=0,"ODOO-ONLY",IF(AB1266=0,"BANK-ONLY","BOTH")))</f>
        <v>ODOO-ONLY</v>
      </c>
      <c r="AD1266" s="9">
        <f>IF(AC1266="BOTH",ROUND(Y1266-Z1266,2),0)</f>
        <v>0</v>
      </c>
    </row>
    <row r="1267">
      <c r="A1267" t="inlineStr">
        <is>
          <t>G01263</t>
        </is>
      </c>
      <c r="B1267" t="inlineStr">
        <is>
          <t>OPS</t>
        </is>
      </c>
      <c r="C1267" t="inlineStr">
        <is>
          <t>R99</t>
        </is>
      </c>
      <c r="D1267" t="inlineStr">
        <is>
          <t>OUT</t>
        </is>
      </c>
      <c r="E1267" t="inlineStr"/>
      <c r="G1267" t="inlineStr">
        <is>
          <t>In Odoo, not yet on the bank statement at 30 Sep</t>
        </is>
      </c>
      <c r="H1267">
        <f>COUNTIFS('Bank Lines'!$G$5:$G$1640,A1267,'Bank Lines'!$J$5:$J$1640,1)</f>
        <v>0</v>
      </c>
      <c r="I1267">
        <f>COUNTIFS('Odoo Items'!$J$5:$J$4331,A1267)</f>
        <v>1</v>
      </c>
      <c r="J1267" s="9">
        <f>ROUND(SUMIFS('Bank Lines'!$E$5:$E$1640,'Bank Lines'!$G$5:$G$1640,A1267,'Bank Lines'!$J$5:$J$1640,1),2)</f>
        <v>0</v>
      </c>
      <c r="K1267" s="9">
        <f>ROUND(SUMIFS('Odoo Items'!$G$5:$G$4331,'Odoo Items'!$J$5:$J$4331,A1267),2)</f>
        <v>110</v>
      </c>
      <c r="L1267" s="9">
        <f>ROUND(J1267-K1267,2)</f>
        <v>-110</v>
      </c>
      <c r="M1267" s="9">
        <f>ROUND(SUMIFS('Bank Lines'!$E$5:$E$1640,'Bank Lines'!$G$5:$G$1640,A1267,'Bank Lines'!$J$5:$J$1640,1,'Bank Lines'!$C$5:$C$1640,"&lt;="&amp;Cover!$C$13),2)</f>
        <v>0</v>
      </c>
      <c r="N1267" s="9">
        <f>ROUND(SUMIFS('Odoo Items'!$G$5:$G$4331,'Odoo Items'!$J$5:$J$4331,A1267,'Odoo Items'!$C$5:$C$4331,"&lt;="&amp;Cover!$C$13),2)</f>
        <v>0</v>
      </c>
      <c r="O1267">
        <f>COUNTIFS('Bank Lines'!$G$5:$G$1640,A1267,'Bank Lines'!$J$5:$J$1640,1,'Bank Lines'!$C$5:$C$1640,"&lt;="&amp;Cover!$C$13)</f>
        <v>0</v>
      </c>
      <c r="P1267">
        <f>COUNTIFS('Odoo Items'!$J$5:$J$4331,A1267,'Odoo Items'!$C$5:$C$4331,"&lt;="&amp;Cover!$C$13)</f>
        <v>0</v>
      </c>
      <c r="Q1267">
        <f>IF(AND(O1267=0,P1267=0),"",IF(O1267=0,"ODOO-ONLY",IF(P1267=0,"BANK-ONLY","BOTH")))</f>
      </c>
      <c r="R1267" s="9">
        <f>IF(Q1267="BOTH",ROUND(M1267-N1267,2),0)</f>
        <v>0</v>
      </c>
      <c r="S1267" s="9">
        <f>ROUND(SUMIFS('Bank Lines'!$E$5:$E$1640,'Bank Lines'!$G$5:$G$1640,A1267,'Bank Lines'!$J$5:$J$1640,1,'Bank Lines'!$C$5:$C$1640,"&lt;="&amp;Cover!$C$14),2)</f>
        <v>0</v>
      </c>
      <c r="T1267" s="9">
        <f>ROUND(SUMIFS('Odoo Items'!$G$5:$G$4331,'Odoo Items'!$J$5:$J$4331,A1267,'Odoo Items'!$C$5:$C$4331,"&lt;="&amp;Cover!$C$14),2)</f>
        <v>0</v>
      </c>
      <c r="U1267">
        <f>COUNTIFS('Bank Lines'!$G$5:$G$1640,A1267,'Bank Lines'!$J$5:$J$1640,1,'Bank Lines'!$C$5:$C$1640,"&lt;="&amp;Cover!$C$14)</f>
        <v>0</v>
      </c>
      <c r="V1267">
        <f>COUNTIFS('Odoo Items'!$J$5:$J$4331,A1267,'Odoo Items'!$C$5:$C$4331,"&lt;="&amp;Cover!$C$14)</f>
        <v>0</v>
      </c>
      <c r="W1267">
        <f>IF(AND(U1267=0,V1267=0),"",IF(U1267=0,"ODOO-ONLY",IF(V1267=0,"BANK-ONLY","BOTH")))</f>
      </c>
      <c r="X1267" s="9">
        <f>IF(W1267="BOTH",ROUND(S1267-T1267,2),0)</f>
        <v>0</v>
      </c>
      <c r="Y1267" s="9">
        <f>ROUND(SUMIFS('Bank Lines'!$E$5:$E$1640,'Bank Lines'!$G$5:$G$1640,A1267,'Bank Lines'!$J$5:$J$1640,1,'Bank Lines'!$C$5:$C$1640,"&lt;="&amp;Cover!$C$15),2)</f>
        <v>0</v>
      </c>
      <c r="Z1267" s="9">
        <f>ROUND(SUMIFS('Odoo Items'!$G$5:$G$4331,'Odoo Items'!$J$5:$J$4331,A1267,'Odoo Items'!$C$5:$C$4331,"&lt;="&amp;Cover!$C$15),2)</f>
        <v>110</v>
      </c>
      <c r="AA1267">
        <f>COUNTIFS('Bank Lines'!$G$5:$G$1640,A1267,'Bank Lines'!$J$5:$J$1640,1,'Bank Lines'!$C$5:$C$1640,"&lt;="&amp;Cover!$C$15)</f>
        <v>0</v>
      </c>
      <c r="AB1267">
        <f>COUNTIFS('Odoo Items'!$J$5:$J$4331,A1267,'Odoo Items'!$C$5:$C$4331,"&lt;="&amp;Cover!$C$15)</f>
        <v>1</v>
      </c>
      <c r="AC1267" t="str">
        <f>IF(AND(AA1267=0,AB1267=0),"",IF(AA1267=0,"ODOO-ONLY",IF(AB1267=0,"BANK-ONLY","BOTH")))</f>
        <v>ODOO-ONLY</v>
      </c>
      <c r="AD1267" s="9">
        <f>IF(AC1267="BOTH",ROUND(Y1267-Z1267,2),0)</f>
        <v>0</v>
      </c>
    </row>
    <row r="1268">
      <c r="A1268" t="inlineStr">
        <is>
          <t>G01264</t>
        </is>
      </c>
      <c r="B1268" t="inlineStr">
        <is>
          <t>OPS</t>
        </is>
      </c>
      <c r="C1268" t="inlineStr">
        <is>
          <t>R99</t>
        </is>
      </c>
      <c r="D1268" t="inlineStr">
        <is>
          <t>OUT</t>
        </is>
      </c>
      <c r="E1268" t="inlineStr"/>
      <c r="G1268" t="inlineStr">
        <is>
          <t>In Odoo, not yet on the bank statement at 30 Sep</t>
        </is>
      </c>
      <c r="H1268">
        <f>COUNTIFS('Bank Lines'!$G$5:$G$1640,A1268,'Bank Lines'!$J$5:$J$1640,1)</f>
        <v>0</v>
      </c>
      <c r="I1268">
        <f>COUNTIFS('Odoo Items'!$J$5:$J$4331,A1268)</f>
        <v>1</v>
      </c>
      <c r="J1268" s="9">
        <f>ROUND(SUMIFS('Bank Lines'!$E$5:$E$1640,'Bank Lines'!$G$5:$G$1640,A1268,'Bank Lines'!$J$5:$J$1640,1),2)</f>
        <v>0</v>
      </c>
      <c r="K1268" s="9">
        <f>ROUND(SUMIFS('Odoo Items'!$G$5:$G$4331,'Odoo Items'!$J$5:$J$4331,A1268),2)</f>
        <v>180</v>
      </c>
      <c r="L1268" s="9">
        <f>ROUND(J1268-K1268,2)</f>
        <v>-180</v>
      </c>
      <c r="M1268" s="9">
        <f>ROUND(SUMIFS('Bank Lines'!$E$5:$E$1640,'Bank Lines'!$G$5:$G$1640,A1268,'Bank Lines'!$J$5:$J$1640,1,'Bank Lines'!$C$5:$C$1640,"&lt;="&amp;Cover!$C$13),2)</f>
        <v>0</v>
      </c>
      <c r="N1268" s="9">
        <f>ROUND(SUMIFS('Odoo Items'!$G$5:$G$4331,'Odoo Items'!$J$5:$J$4331,A1268,'Odoo Items'!$C$5:$C$4331,"&lt;="&amp;Cover!$C$13),2)</f>
        <v>0</v>
      </c>
      <c r="O1268">
        <f>COUNTIFS('Bank Lines'!$G$5:$G$1640,A1268,'Bank Lines'!$J$5:$J$1640,1,'Bank Lines'!$C$5:$C$1640,"&lt;="&amp;Cover!$C$13)</f>
        <v>0</v>
      </c>
      <c r="P1268">
        <f>COUNTIFS('Odoo Items'!$J$5:$J$4331,A1268,'Odoo Items'!$C$5:$C$4331,"&lt;="&amp;Cover!$C$13)</f>
        <v>0</v>
      </c>
      <c r="Q1268">
        <f>IF(AND(O1268=0,P1268=0),"",IF(O1268=0,"ODOO-ONLY",IF(P1268=0,"BANK-ONLY","BOTH")))</f>
      </c>
      <c r="R1268" s="9">
        <f>IF(Q1268="BOTH",ROUND(M1268-N1268,2),0)</f>
        <v>0</v>
      </c>
      <c r="S1268" s="9">
        <f>ROUND(SUMIFS('Bank Lines'!$E$5:$E$1640,'Bank Lines'!$G$5:$G$1640,A1268,'Bank Lines'!$J$5:$J$1640,1,'Bank Lines'!$C$5:$C$1640,"&lt;="&amp;Cover!$C$14),2)</f>
        <v>0</v>
      </c>
      <c r="T1268" s="9">
        <f>ROUND(SUMIFS('Odoo Items'!$G$5:$G$4331,'Odoo Items'!$J$5:$J$4331,A1268,'Odoo Items'!$C$5:$C$4331,"&lt;="&amp;Cover!$C$14),2)</f>
        <v>0</v>
      </c>
      <c r="U1268">
        <f>COUNTIFS('Bank Lines'!$G$5:$G$1640,A1268,'Bank Lines'!$J$5:$J$1640,1,'Bank Lines'!$C$5:$C$1640,"&lt;="&amp;Cover!$C$14)</f>
        <v>0</v>
      </c>
      <c r="V1268">
        <f>COUNTIFS('Odoo Items'!$J$5:$J$4331,A1268,'Odoo Items'!$C$5:$C$4331,"&lt;="&amp;Cover!$C$14)</f>
        <v>0</v>
      </c>
      <c r="W1268">
        <f>IF(AND(U1268=0,V1268=0),"",IF(U1268=0,"ODOO-ONLY",IF(V1268=0,"BANK-ONLY","BOTH")))</f>
      </c>
      <c r="X1268" s="9">
        <f>IF(W1268="BOTH",ROUND(S1268-T1268,2),0)</f>
        <v>0</v>
      </c>
      <c r="Y1268" s="9">
        <f>ROUND(SUMIFS('Bank Lines'!$E$5:$E$1640,'Bank Lines'!$G$5:$G$1640,A1268,'Bank Lines'!$J$5:$J$1640,1,'Bank Lines'!$C$5:$C$1640,"&lt;="&amp;Cover!$C$15),2)</f>
        <v>0</v>
      </c>
      <c r="Z1268" s="9">
        <f>ROUND(SUMIFS('Odoo Items'!$G$5:$G$4331,'Odoo Items'!$J$5:$J$4331,A1268,'Odoo Items'!$C$5:$C$4331,"&lt;="&amp;Cover!$C$15),2)</f>
        <v>180</v>
      </c>
      <c r="AA1268">
        <f>COUNTIFS('Bank Lines'!$G$5:$G$1640,A1268,'Bank Lines'!$J$5:$J$1640,1,'Bank Lines'!$C$5:$C$1640,"&lt;="&amp;Cover!$C$15)</f>
        <v>0</v>
      </c>
      <c r="AB1268">
        <f>COUNTIFS('Odoo Items'!$J$5:$J$4331,A1268,'Odoo Items'!$C$5:$C$4331,"&lt;="&amp;Cover!$C$15)</f>
        <v>1</v>
      </c>
      <c r="AC1268" t="str">
        <f>IF(AND(AA1268=0,AB1268=0),"",IF(AA1268=0,"ODOO-ONLY",IF(AB1268=0,"BANK-ONLY","BOTH")))</f>
        <v>ODOO-ONLY</v>
      </c>
      <c r="AD1268" s="9">
        <f>IF(AC1268="BOTH",ROUND(Y1268-Z1268,2),0)</f>
        <v>0</v>
      </c>
    </row>
    <row r="1269">
      <c r="A1269" t="inlineStr">
        <is>
          <t>G01265</t>
        </is>
      </c>
      <c r="B1269" t="inlineStr">
        <is>
          <t>OPS</t>
        </is>
      </c>
      <c r="C1269" t="inlineStr">
        <is>
          <t>R99</t>
        </is>
      </c>
      <c r="D1269" t="inlineStr">
        <is>
          <t>OUT</t>
        </is>
      </c>
      <c r="E1269" t="inlineStr"/>
      <c r="G1269" t="inlineStr">
        <is>
          <t>In Odoo, not yet on the bank statement at 30 Sep</t>
        </is>
      </c>
      <c r="H1269">
        <f>COUNTIFS('Bank Lines'!$G$5:$G$1640,A1269,'Bank Lines'!$J$5:$J$1640,1)</f>
        <v>0</v>
      </c>
      <c r="I1269">
        <f>COUNTIFS('Odoo Items'!$J$5:$J$4331,A1269)</f>
        <v>1</v>
      </c>
      <c r="J1269" s="9">
        <f>ROUND(SUMIFS('Bank Lines'!$E$5:$E$1640,'Bank Lines'!$G$5:$G$1640,A1269,'Bank Lines'!$J$5:$J$1640,1),2)</f>
        <v>0</v>
      </c>
      <c r="K1269" s="9">
        <f>ROUND(SUMIFS('Odoo Items'!$G$5:$G$4331,'Odoo Items'!$J$5:$J$4331,A1269),2)</f>
        <v>180</v>
      </c>
      <c r="L1269" s="9">
        <f>ROUND(J1269-K1269,2)</f>
        <v>-180</v>
      </c>
      <c r="M1269" s="9">
        <f>ROUND(SUMIFS('Bank Lines'!$E$5:$E$1640,'Bank Lines'!$G$5:$G$1640,A1269,'Bank Lines'!$J$5:$J$1640,1,'Bank Lines'!$C$5:$C$1640,"&lt;="&amp;Cover!$C$13),2)</f>
        <v>0</v>
      </c>
      <c r="N1269" s="9">
        <f>ROUND(SUMIFS('Odoo Items'!$G$5:$G$4331,'Odoo Items'!$J$5:$J$4331,A1269,'Odoo Items'!$C$5:$C$4331,"&lt;="&amp;Cover!$C$13),2)</f>
        <v>0</v>
      </c>
      <c r="O1269">
        <f>COUNTIFS('Bank Lines'!$G$5:$G$1640,A1269,'Bank Lines'!$J$5:$J$1640,1,'Bank Lines'!$C$5:$C$1640,"&lt;="&amp;Cover!$C$13)</f>
        <v>0</v>
      </c>
      <c r="P1269">
        <f>COUNTIFS('Odoo Items'!$J$5:$J$4331,A1269,'Odoo Items'!$C$5:$C$4331,"&lt;="&amp;Cover!$C$13)</f>
        <v>0</v>
      </c>
      <c r="Q1269">
        <f>IF(AND(O1269=0,P1269=0),"",IF(O1269=0,"ODOO-ONLY",IF(P1269=0,"BANK-ONLY","BOTH")))</f>
      </c>
      <c r="R1269" s="9">
        <f>IF(Q1269="BOTH",ROUND(M1269-N1269,2),0)</f>
        <v>0</v>
      </c>
      <c r="S1269" s="9">
        <f>ROUND(SUMIFS('Bank Lines'!$E$5:$E$1640,'Bank Lines'!$G$5:$G$1640,A1269,'Bank Lines'!$J$5:$J$1640,1,'Bank Lines'!$C$5:$C$1640,"&lt;="&amp;Cover!$C$14),2)</f>
        <v>0</v>
      </c>
      <c r="T1269" s="9">
        <f>ROUND(SUMIFS('Odoo Items'!$G$5:$G$4331,'Odoo Items'!$J$5:$J$4331,A1269,'Odoo Items'!$C$5:$C$4331,"&lt;="&amp;Cover!$C$14),2)</f>
        <v>0</v>
      </c>
      <c r="U1269">
        <f>COUNTIFS('Bank Lines'!$G$5:$G$1640,A1269,'Bank Lines'!$J$5:$J$1640,1,'Bank Lines'!$C$5:$C$1640,"&lt;="&amp;Cover!$C$14)</f>
        <v>0</v>
      </c>
      <c r="V1269">
        <f>COUNTIFS('Odoo Items'!$J$5:$J$4331,A1269,'Odoo Items'!$C$5:$C$4331,"&lt;="&amp;Cover!$C$14)</f>
        <v>0</v>
      </c>
      <c r="W1269">
        <f>IF(AND(U1269=0,V1269=0),"",IF(U1269=0,"ODOO-ONLY",IF(V1269=0,"BANK-ONLY","BOTH")))</f>
      </c>
      <c r="X1269" s="9">
        <f>IF(W1269="BOTH",ROUND(S1269-T1269,2),0)</f>
        <v>0</v>
      </c>
      <c r="Y1269" s="9">
        <f>ROUND(SUMIFS('Bank Lines'!$E$5:$E$1640,'Bank Lines'!$G$5:$G$1640,A1269,'Bank Lines'!$J$5:$J$1640,1,'Bank Lines'!$C$5:$C$1640,"&lt;="&amp;Cover!$C$15),2)</f>
        <v>0</v>
      </c>
      <c r="Z1269" s="9">
        <f>ROUND(SUMIFS('Odoo Items'!$G$5:$G$4331,'Odoo Items'!$J$5:$J$4331,A1269,'Odoo Items'!$C$5:$C$4331,"&lt;="&amp;Cover!$C$15),2)</f>
        <v>180</v>
      </c>
      <c r="AA1269">
        <f>COUNTIFS('Bank Lines'!$G$5:$G$1640,A1269,'Bank Lines'!$J$5:$J$1640,1,'Bank Lines'!$C$5:$C$1640,"&lt;="&amp;Cover!$C$15)</f>
        <v>0</v>
      </c>
      <c r="AB1269">
        <f>COUNTIFS('Odoo Items'!$J$5:$J$4331,A1269,'Odoo Items'!$C$5:$C$4331,"&lt;="&amp;Cover!$C$15)</f>
        <v>1</v>
      </c>
      <c r="AC1269" t="str">
        <f>IF(AND(AA1269=0,AB1269=0),"",IF(AA1269=0,"ODOO-ONLY",IF(AB1269=0,"BANK-ONLY","BOTH")))</f>
        <v>ODOO-ONLY</v>
      </c>
      <c r="AD1269" s="9">
        <f>IF(AC1269="BOTH",ROUND(Y1269-Z1269,2),0)</f>
        <v>0</v>
      </c>
    </row>
    <row r="1270">
      <c r="A1270" t="inlineStr">
        <is>
          <t>G01266</t>
        </is>
      </c>
      <c r="B1270" t="inlineStr">
        <is>
          <t>OPS</t>
        </is>
      </c>
      <c r="C1270" t="inlineStr">
        <is>
          <t>R99</t>
        </is>
      </c>
      <c r="D1270" t="inlineStr">
        <is>
          <t>OUT</t>
        </is>
      </c>
      <c r="E1270" t="inlineStr"/>
      <c r="G1270" t="inlineStr">
        <is>
          <t>In Odoo, not yet on the bank statement at 30 Sep</t>
        </is>
      </c>
      <c r="H1270">
        <f>COUNTIFS('Bank Lines'!$G$5:$G$1640,A1270,'Bank Lines'!$J$5:$J$1640,1)</f>
        <v>0</v>
      </c>
      <c r="I1270">
        <f>COUNTIFS('Odoo Items'!$J$5:$J$4331,A1270)</f>
        <v>1</v>
      </c>
      <c r="J1270" s="9">
        <f>ROUND(SUMIFS('Bank Lines'!$E$5:$E$1640,'Bank Lines'!$G$5:$G$1640,A1270,'Bank Lines'!$J$5:$J$1640,1),2)</f>
        <v>0</v>
      </c>
      <c r="K1270" s="9">
        <f>ROUND(SUMIFS('Odoo Items'!$G$5:$G$4331,'Odoo Items'!$J$5:$J$4331,A1270),2)</f>
        <v>120</v>
      </c>
      <c r="L1270" s="9">
        <f>ROUND(J1270-K1270,2)</f>
        <v>-120</v>
      </c>
      <c r="M1270" s="9">
        <f>ROUND(SUMIFS('Bank Lines'!$E$5:$E$1640,'Bank Lines'!$G$5:$G$1640,A1270,'Bank Lines'!$J$5:$J$1640,1,'Bank Lines'!$C$5:$C$1640,"&lt;="&amp;Cover!$C$13),2)</f>
        <v>0</v>
      </c>
      <c r="N1270" s="9">
        <f>ROUND(SUMIFS('Odoo Items'!$G$5:$G$4331,'Odoo Items'!$J$5:$J$4331,A1270,'Odoo Items'!$C$5:$C$4331,"&lt;="&amp;Cover!$C$13),2)</f>
        <v>0</v>
      </c>
      <c r="O1270">
        <f>COUNTIFS('Bank Lines'!$G$5:$G$1640,A1270,'Bank Lines'!$J$5:$J$1640,1,'Bank Lines'!$C$5:$C$1640,"&lt;="&amp;Cover!$C$13)</f>
        <v>0</v>
      </c>
      <c r="P1270">
        <f>COUNTIFS('Odoo Items'!$J$5:$J$4331,A1270,'Odoo Items'!$C$5:$C$4331,"&lt;="&amp;Cover!$C$13)</f>
        <v>0</v>
      </c>
      <c r="Q1270">
        <f>IF(AND(O1270=0,P1270=0),"",IF(O1270=0,"ODOO-ONLY",IF(P1270=0,"BANK-ONLY","BOTH")))</f>
      </c>
      <c r="R1270" s="9">
        <f>IF(Q1270="BOTH",ROUND(M1270-N1270,2),0)</f>
        <v>0</v>
      </c>
      <c r="S1270" s="9">
        <f>ROUND(SUMIFS('Bank Lines'!$E$5:$E$1640,'Bank Lines'!$G$5:$G$1640,A1270,'Bank Lines'!$J$5:$J$1640,1,'Bank Lines'!$C$5:$C$1640,"&lt;="&amp;Cover!$C$14),2)</f>
        <v>0</v>
      </c>
      <c r="T1270" s="9">
        <f>ROUND(SUMIFS('Odoo Items'!$G$5:$G$4331,'Odoo Items'!$J$5:$J$4331,A1270,'Odoo Items'!$C$5:$C$4331,"&lt;="&amp;Cover!$C$14),2)</f>
        <v>0</v>
      </c>
      <c r="U1270">
        <f>COUNTIFS('Bank Lines'!$G$5:$G$1640,A1270,'Bank Lines'!$J$5:$J$1640,1,'Bank Lines'!$C$5:$C$1640,"&lt;="&amp;Cover!$C$14)</f>
        <v>0</v>
      </c>
      <c r="V1270">
        <f>COUNTIFS('Odoo Items'!$J$5:$J$4331,A1270,'Odoo Items'!$C$5:$C$4331,"&lt;="&amp;Cover!$C$14)</f>
        <v>0</v>
      </c>
      <c r="W1270">
        <f>IF(AND(U1270=0,V1270=0),"",IF(U1270=0,"ODOO-ONLY",IF(V1270=0,"BANK-ONLY","BOTH")))</f>
      </c>
      <c r="X1270" s="9">
        <f>IF(W1270="BOTH",ROUND(S1270-T1270,2),0)</f>
        <v>0</v>
      </c>
      <c r="Y1270" s="9">
        <f>ROUND(SUMIFS('Bank Lines'!$E$5:$E$1640,'Bank Lines'!$G$5:$G$1640,A1270,'Bank Lines'!$J$5:$J$1640,1,'Bank Lines'!$C$5:$C$1640,"&lt;="&amp;Cover!$C$15),2)</f>
        <v>0</v>
      </c>
      <c r="Z1270" s="9">
        <f>ROUND(SUMIFS('Odoo Items'!$G$5:$G$4331,'Odoo Items'!$J$5:$J$4331,A1270,'Odoo Items'!$C$5:$C$4331,"&lt;="&amp;Cover!$C$15),2)</f>
        <v>120</v>
      </c>
      <c r="AA1270">
        <f>COUNTIFS('Bank Lines'!$G$5:$G$1640,A1270,'Bank Lines'!$J$5:$J$1640,1,'Bank Lines'!$C$5:$C$1640,"&lt;="&amp;Cover!$C$15)</f>
        <v>0</v>
      </c>
      <c r="AB1270">
        <f>COUNTIFS('Odoo Items'!$J$5:$J$4331,A1270,'Odoo Items'!$C$5:$C$4331,"&lt;="&amp;Cover!$C$15)</f>
        <v>1</v>
      </c>
      <c r="AC1270" t="str">
        <f>IF(AND(AA1270=0,AB1270=0),"",IF(AA1270=0,"ODOO-ONLY",IF(AB1270=0,"BANK-ONLY","BOTH")))</f>
        <v>ODOO-ONLY</v>
      </c>
      <c r="AD1270" s="9">
        <f>IF(AC1270="BOTH",ROUND(Y1270-Z1270,2),0)</f>
        <v>0</v>
      </c>
    </row>
    <row r="1271">
      <c r="A1271" t="inlineStr">
        <is>
          <t>G01267</t>
        </is>
      </c>
      <c r="B1271" t="inlineStr">
        <is>
          <t>OPS</t>
        </is>
      </c>
      <c r="C1271" t="inlineStr">
        <is>
          <t>R99</t>
        </is>
      </c>
      <c r="D1271" t="inlineStr">
        <is>
          <t>OUT</t>
        </is>
      </c>
      <c r="E1271" t="inlineStr"/>
      <c r="G1271" t="inlineStr">
        <is>
          <t>In Odoo, not yet on the bank statement at 30 Sep</t>
        </is>
      </c>
      <c r="H1271">
        <f>COUNTIFS('Bank Lines'!$G$5:$G$1640,A1271,'Bank Lines'!$J$5:$J$1640,1)</f>
        <v>0</v>
      </c>
      <c r="I1271">
        <f>COUNTIFS('Odoo Items'!$J$5:$J$4331,A1271)</f>
        <v>1</v>
      </c>
      <c r="J1271" s="9">
        <f>ROUND(SUMIFS('Bank Lines'!$E$5:$E$1640,'Bank Lines'!$G$5:$G$1640,A1271,'Bank Lines'!$J$5:$J$1640,1),2)</f>
        <v>0</v>
      </c>
      <c r="K1271" s="9">
        <f>ROUND(SUMIFS('Odoo Items'!$G$5:$G$4331,'Odoo Items'!$J$5:$J$4331,A1271),2)</f>
        <v>180</v>
      </c>
      <c r="L1271" s="9">
        <f>ROUND(J1271-K1271,2)</f>
        <v>-180</v>
      </c>
      <c r="M1271" s="9">
        <f>ROUND(SUMIFS('Bank Lines'!$E$5:$E$1640,'Bank Lines'!$G$5:$G$1640,A1271,'Bank Lines'!$J$5:$J$1640,1,'Bank Lines'!$C$5:$C$1640,"&lt;="&amp;Cover!$C$13),2)</f>
        <v>0</v>
      </c>
      <c r="N1271" s="9">
        <f>ROUND(SUMIFS('Odoo Items'!$G$5:$G$4331,'Odoo Items'!$J$5:$J$4331,A1271,'Odoo Items'!$C$5:$C$4331,"&lt;="&amp;Cover!$C$13),2)</f>
        <v>0</v>
      </c>
      <c r="O1271">
        <f>COUNTIFS('Bank Lines'!$G$5:$G$1640,A1271,'Bank Lines'!$J$5:$J$1640,1,'Bank Lines'!$C$5:$C$1640,"&lt;="&amp;Cover!$C$13)</f>
        <v>0</v>
      </c>
      <c r="P1271">
        <f>COUNTIFS('Odoo Items'!$J$5:$J$4331,A1271,'Odoo Items'!$C$5:$C$4331,"&lt;="&amp;Cover!$C$13)</f>
        <v>0</v>
      </c>
      <c r="Q1271">
        <f>IF(AND(O1271=0,P1271=0),"",IF(O1271=0,"ODOO-ONLY",IF(P1271=0,"BANK-ONLY","BOTH")))</f>
      </c>
      <c r="R1271" s="9">
        <f>IF(Q1271="BOTH",ROUND(M1271-N1271,2),0)</f>
        <v>0</v>
      </c>
      <c r="S1271" s="9">
        <f>ROUND(SUMIFS('Bank Lines'!$E$5:$E$1640,'Bank Lines'!$G$5:$G$1640,A1271,'Bank Lines'!$J$5:$J$1640,1,'Bank Lines'!$C$5:$C$1640,"&lt;="&amp;Cover!$C$14),2)</f>
        <v>0</v>
      </c>
      <c r="T1271" s="9">
        <f>ROUND(SUMIFS('Odoo Items'!$G$5:$G$4331,'Odoo Items'!$J$5:$J$4331,A1271,'Odoo Items'!$C$5:$C$4331,"&lt;="&amp;Cover!$C$14),2)</f>
        <v>0</v>
      </c>
      <c r="U1271">
        <f>COUNTIFS('Bank Lines'!$G$5:$G$1640,A1271,'Bank Lines'!$J$5:$J$1640,1,'Bank Lines'!$C$5:$C$1640,"&lt;="&amp;Cover!$C$14)</f>
        <v>0</v>
      </c>
      <c r="V1271">
        <f>COUNTIFS('Odoo Items'!$J$5:$J$4331,A1271,'Odoo Items'!$C$5:$C$4331,"&lt;="&amp;Cover!$C$14)</f>
        <v>0</v>
      </c>
      <c r="W1271">
        <f>IF(AND(U1271=0,V1271=0),"",IF(U1271=0,"ODOO-ONLY",IF(V1271=0,"BANK-ONLY","BOTH")))</f>
      </c>
      <c r="X1271" s="9">
        <f>IF(W1271="BOTH",ROUND(S1271-T1271,2),0)</f>
        <v>0</v>
      </c>
      <c r="Y1271" s="9">
        <f>ROUND(SUMIFS('Bank Lines'!$E$5:$E$1640,'Bank Lines'!$G$5:$G$1640,A1271,'Bank Lines'!$J$5:$J$1640,1,'Bank Lines'!$C$5:$C$1640,"&lt;="&amp;Cover!$C$15),2)</f>
        <v>0</v>
      </c>
      <c r="Z1271" s="9">
        <f>ROUND(SUMIFS('Odoo Items'!$G$5:$G$4331,'Odoo Items'!$J$5:$J$4331,A1271,'Odoo Items'!$C$5:$C$4331,"&lt;="&amp;Cover!$C$15),2)</f>
        <v>180</v>
      </c>
      <c r="AA1271">
        <f>COUNTIFS('Bank Lines'!$G$5:$G$1640,A1271,'Bank Lines'!$J$5:$J$1640,1,'Bank Lines'!$C$5:$C$1640,"&lt;="&amp;Cover!$C$15)</f>
        <v>0</v>
      </c>
      <c r="AB1271">
        <f>COUNTIFS('Odoo Items'!$J$5:$J$4331,A1271,'Odoo Items'!$C$5:$C$4331,"&lt;="&amp;Cover!$C$15)</f>
        <v>1</v>
      </c>
      <c r="AC1271" t="str">
        <f>IF(AND(AA1271=0,AB1271=0),"",IF(AA1271=0,"ODOO-ONLY",IF(AB1271=0,"BANK-ONLY","BOTH")))</f>
        <v>ODOO-ONLY</v>
      </c>
      <c r="AD1271" s="9">
        <f>IF(AC1271="BOTH",ROUND(Y1271-Z1271,2),0)</f>
        <v>0</v>
      </c>
    </row>
    <row r="1272">
      <c r="A1272" t="inlineStr">
        <is>
          <t>G01268</t>
        </is>
      </c>
      <c r="B1272" t="inlineStr">
        <is>
          <t>OPS</t>
        </is>
      </c>
      <c r="C1272" t="inlineStr">
        <is>
          <t>R99</t>
        </is>
      </c>
      <c r="D1272" t="inlineStr">
        <is>
          <t>OUT</t>
        </is>
      </c>
      <c r="E1272" t="inlineStr"/>
      <c r="G1272" t="inlineStr">
        <is>
          <t>In Odoo, not yet on the bank statement at 30 Sep</t>
        </is>
      </c>
      <c r="H1272">
        <f>COUNTIFS('Bank Lines'!$G$5:$G$1640,A1272,'Bank Lines'!$J$5:$J$1640,1)</f>
        <v>0</v>
      </c>
      <c r="I1272">
        <f>COUNTIFS('Odoo Items'!$J$5:$J$4331,A1272)</f>
        <v>1</v>
      </c>
      <c r="J1272" s="9">
        <f>ROUND(SUMIFS('Bank Lines'!$E$5:$E$1640,'Bank Lines'!$G$5:$G$1640,A1272,'Bank Lines'!$J$5:$J$1640,1),2)</f>
        <v>0</v>
      </c>
      <c r="K1272" s="9">
        <f>ROUND(SUMIFS('Odoo Items'!$G$5:$G$4331,'Odoo Items'!$J$5:$J$4331,A1272),2)</f>
        <v>95</v>
      </c>
      <c r="L1272" s="9">
        <f>ROUND(J1272-K1272,2)</f>
        <v>-95</v>
      </c>
      <c r="M1272" s="9">
        <f>ROUND(SUMIFS('Bank Lines'!$E$5:$E$1640,'Bank Lines'!$G$5:$G$1640,A1272,'Bank Lines'!$J$5:$J$1640,1,'Bank Lines'!$C$5:$C$1640,"&lt;="&amp;Cover!$C$13),2)</f>
        <v>0</v>
      </c>
      <c r="N1272" s="9">
        <f>ROUND(SUMIFS('Odoo Items'!$G$5:$G$4331,'Odoo Items'!$J$5:$J$4331,A1272,'Odoo Items'!$C$5:$C$4331,"&lt;="&amp;Cover!$C$13),2)</f>
        <v>0</v>
      </c>
      <c r="O1272">
        <f>COUNTIFS('Bank Lines'!$G$5:$G$1640,A1272,'Bank Lines'!$J$5:$J$1640,1,'Bank Lines'!$C$5:$C$1640,"&lt;="&amp;Cover!$C$13)</f>
        <v>0</v>
      </c>
      <c r="P1272">
        <f>COUNTIFS('Odoo Items'!$J$5:$J$4331,A1272,'Odoo Items'!$C$5:$C$4331,"&lt;="&amp;Cover!$C$13)</f>
        <v>0</v>
      </c>
      <c r="Q1272">
        <f>IF(AND(O1272=0,P1272=0),"",IF(O1272=0,"ODOO-ONLY",IF(P1272=0,"BANK-ONLY","BOTH")))</f>
      </c>
      <c r="R1272" s="9">
        <f>IF(Q1272="BOTH",ROUND(M1272-N1272,2),0)</f>
        <v>0</v>
      </c>
      <c r="S1272" s="9">
        <f>ROUND(SUMIFS('Bank Lines'!$E$5:$E$1640,'Bank Lines'!$G$5:$G$1640,A1272,'Bank Lines'!$J$5:$J$1640,1,'Bank Lines'!$C$5:$C$1640,"&lt;="&amp;Cover!$C$14),2)</f>
        <v>0</v>
      </c>
      <c r="T1272" s="9">
        <f>ROUND(SUMIFS('Odoo Items'!$G$5:$G$4331,'Odoo Items'!$J$5:$J$4331,A1272,'Odoo Items'!$C$5:$C$4331,"&lt;="&amp;Cover!$C$14),2)</f>
        <v>0</v>
      </c>
      <c r="U1272">
        <f>COUNTIFS('Bank Lines'!$G$5:$G$1640,A1272,'Bank Lines'!$J$5:$J$1640,1,'Bank Lines'!$C$5:$C$1640,"&lt;="&amp;Cover!$C$14)</f>
        <v>0</v>
      </c>
      <c r="V1272">
        <f>COUNTIFS('Odoo Items'!$J$5:$J$4331,A1272,'Odoo Items'!$C$5:$C$4331,"&lt;="&amp;Cover!$C$14)</f>
        <v>0</v>
      </c>
      <c r="W1272">
        <f>IF(AND(U1272=0,V1272=0),"",IF(U1272=0,"ODOO-ONLY",IF(V1272=0,"BANK-ONLY","BOTH")))</f>
      </c>
      <c r="X1272" s="9">
        <f>IF(W1272="BOTH",ROUND(S1272-T1272,2),0)</f>
        <v>0</v>
      </c>
      <c r="Y1272" s="9">
        <f>ROUND(SUMIFS('Bank Lines'!$E$5:$E$1640,'Bank Lines'!$G$5:$G$1640,A1272,'Bank Lines'!$J$5:$J$1640,1,'Bank Lines'!$C$5:$C$1640,"&lt;="&amp;Cover!$C$15),2)</f>
        <v>0</v>
      </c>
      <c r="Z1272" s="9">
        <f>ROUND(SUMIFS('Odoo Items'!$G$5:$G$4331,'Odoo Items'!$J$5:$J$4331,A1272,'Odoo Items'!$C$5:$C$4331,"&lt;="&amp;Cover!$C$15),2)</f>
        <v>95</v>
      </c>
      <c r="AA1272">
        <f>COUNTIFS('Bank Lines'!$G$5:$G$1640,A1272,'Bank Lines'!$J$5:$J$1640,1,'Bank Lines'!$C$5:$C$1640,"&lt;="&amp;Cover!$C$15)</f>
        <v>0</v>
      </c>
      <c r="AB1272">
        <f>COUNTIFS('Odoo Items'!$J$5:$J$4331,A1272,'Odoo Items'!$C$5:$C$4331,"&lt;="&amp;Cover!$C$15)</f>
        <v>1</v>
      </c>
      <c r="AC1272" t="str">
        <f>IF(AND(AA1272=0,AB1272=0),"",IF(AA1272=0,"ODOO-ONLY",IF(AB1272=0,"BANK-ONLY","BOTH")))</f>
        <v>ODOO-ONLY</v>
      </c>
      <c r="AD1272" s="9">
        <f>IF(AC1272="BOTH",ROUND(Y1272-Z1272,2),0)</f>
        <v>0</v>
      </c>
    </row>
    <row r="1273">
      <c r="A1273" t="inlineStr">
        <is>
          <t>G01269</t>
        </is>
      </c>
      <c r="B1273" t="inlineStr">
        <is>
          <t>OPS</t>
        </is>
      </c>
      <c r="C1273" t="inlineStr">
        <is>
          <t>R99</t>
        </is>
      </c>
      <c r="D1273" t="inlineStr">
        <is>
          <t>OUT</t>
        </is>
      </c>
      <c r="E1273" t="inlineStr"/>
      <c r="G1273" t="inlineStr">
        <is>
          <t>In Odoo, not yet on the bank statement at 30 Sep</t>
        </is>
      </c>
      <c r="H1273">
        <f>COUNTIFS('Bank Lines'!$G$5:$G$1640,A1273,'Bank Lines'!$J$5:$J$1640,1)</f>
        <v>0</v>
      </c>
      <c r="I1273">
        <f>COUNTIFS('Odoo Items'!$J$5:$J$4331,A1273)</f>
        <v>1</v>
      </c>
      <c r="J1273" s="9">
        <f>ROUND(SUMIFS('Bank Lines'!$E$5:$E$1640,'Bank Lines'!$G$5:$G$1640,A1273,'Bank Lines'!$J$5:$J$1640,1),2)</f>
        <v>0</v>
      </c>
      <c r="K1273" s="9">
        <f>ROUND(SUMIFS('Odoo Items'!$G$5:$G$4331,'Odoo Items'!$J$5:$J$4331,A1273),2)</f>
        <v>220</v>
      </c>
      <c r="L1273" s="9">
        <f>ROUND(J1273-K1273,2)</f>
        <v>-220</v>
      </c>
      <c r="M1273" s="9">
        <f>ROUND(SUMIFS('Bank Lines'!$E$5:$E$1640,'Bank Lines'!$G$5:$G$1640,A1273,'Bank Lines'!$J$5:$J$1640,1,'Bank Lines'!$C$5:$C$1640,"&lt;="&amp;Cover!$C$13),2)</f>
        <v>0</v>
      </c>
      <c r="N1273" s="9">
        <f>ROUND(SUMIFS('Odoo Items'!$G$5:$G$4331,'Odoo Items'!$J$5:$J$4331,A1273,'Odoo Items'!$C$5:$C$4331,"&lt;="&amp;Cover!$C$13),2)</f>
        <v>0</v>
      </c>
      <c r="O1273">
        <f>COUNTIFS('Bank Lines'!$G$5:$G$1640,A1273,'Bank Lines'!$J$5:$J$1640,1,'Bank Lines'!$C$5:$C$1640,"&lt;="&amp;Cover!$C$13)</f>
        <v>0</v>
      </c>
      <c r="P1273">
        <f>COUNTIFS('Odoo Items'!$J$5:$J$4331,A1273,'Odoo Items'!$C$5:$C$4331,"&lt;="&amp;Cover!$C$13)</f>
        <v>0</v>
      </c>
      <c r="Q1273">
        <f>IF(AND(O1273=0,P1273=0),"",IF(O1273=0,"ODOO-ONLY",IF(P1273=0,"BANK-ONLY","BOTH")))</f>
      </c>
      <c r="R1273" s="9">
        <f>IF(Q1273="BOTH",ROUND(M1273-N1273,2),0)</f>
        <v>0</v>
      </c>
      <c r="S1273" s="9">
        <f>ROUND(SUMIFS('Bank Lines'!$E$5:$E$1640,'Bank Lines'!$G$5:$G$1640,A1273,'Bank Lines'!$J$5:$J$1640,1,'Bank Lines'!$C$5:$C$1640,"&lt;="&amp;Cover!$C$14),2)</f>
        <v>0</v>
      </c>
      <c r="T1273" s="9">
        <f>ROUND(SUMIFS('Odoo Items'!$G$5:$G$4331,'Odoo Items'!$J$5:$J$4331,A1273,'Odoo Items'!$C$5:$C$4331,"&lt;="&amp;Cover!$C$14),2)</f>
        <v>0</v>
      </c>
      <c r="U1273">
        <f>COUNTIFS('Bank Lines'!$G$5:$G$1640,A1273,'Bank Lines'!$J$5:$J$1640,1,'Bank Lines'!$C$5:$C$1640,"&lt;="&amp;Cover!$C$14)</f>
        <v>0</v>
      </c>
      <c r="V1273">
        <f>COUNTIFS('Odoo Items'!$J$5:$J$4331,A1273,'Odoo Items'!$C$5:$C$4331,"&lt;="&amp;Cover!$C$14)</f>
        <v>0</v>
      </c>
      <c r="W1273">
        <f>IF(AND(U1273=0,V1273=0),"",IF(U1273=0,"ODOO-ONLY",IF(V1273=0,"BANK-ONLY","BOTH")))</f>
      </c>
      <c r="X1273" s="9">
        <f>IF(W1273="BOTH",ROUND(S1273-T1273,2),0)</f>
        <v>0</v>
      </c>
      <c r="Y1273" s="9">
        <f>ROUND(SUMIFS('Bank Lines'!$E$5:$E$1640,'Bank Lines'!$G$5:$G$1640,A1273,'Bank Lines'!$J$5:$J$1640,1,'Bank Lines'!$C$5:$C$1640,"&lt;="&amp;Cover!$C$15),2)</f>
        <v>0</v>
      </c>
      <c r="Z1273" s="9">
        <f>ROUND(SUMIFS('Odoo Items'!$G$5:$G$4331,'Odoo Items'!$J$5:$J$4331,A1273,'Odoo Items'!$C$5:$C$4331,"&lt;="&amp;Cover!$C$15),2)</f>
        <v>220</v>
      </c>
      <c r="AA1273">
        <f>COUNTIFS('Bank Lines'!$G$5:$G$1640,A1273,'Bank Lines'!$J$5:$J$1640,1,'Bank Lines'!$C$5:$C$1640,"&lt;="&amp;Cover!$C$15)</f>
        <v>0</v>
      </c>
      <c r="AB1273">
        <f>COUNTIFS('Odoo Items'!$J$5:$J$4331,A1273,'Odoo Items'!$C$5:$C$4331,"&lt;="&amp;Cover!$C$15)</f>
        <v>1</v>
      </c>
      <c r="AC1273" t="str">
        <f>IF(AND(AA1273=0,AB1273=0),"",IF(AA1273=0,"ODOO-ONLY",IF(AB1273=0,"BANK-ONLY","BOTH")))</f>
        <v>ODOO-ONLY</v>
      </c>
      <c r="AD1273" s="9">
        <f>IF(AC1273="BOTH",ROUND(Y1273-Z1273,2),0)</f>
        <v>0</v>
      </c>
    </row>
    <row r="1274">
      <c r="A1274" t="inlineStr">
        <is>
          <t>G01270</t>
        </is>
      </c>
      <c r="B1274" t="inlineStr">
        <is>
          <t>OPS</t>
        </is>
      </c>
      <c r="C1274" t="inlineStr">
        <is>
          <t>R99</t>
        </is>
      </c>
      <c r="D1274" t="inlineStr">
        <is>
          <t>OUT</t>
        </is>
      </c>
      <c r="E1274" t="inlineStr"/>
      <c r="G1274" t="inlineStr">
        <is>
          <t>In Odoo, not yet on the bank statement at 30 Sep</t>
        </is>
      </c>
      <c r="H1274">
        <f>COUNTIFS('Bank Lines'!$G$5:$G$1640,A1274,'Bank Lines'!$J$5:$J$1640,1)</f>
        <v>0</v>
      </c>
      <c r="I1274">
        <f>COUNTIFS('Odoo Items'!$J$5:$J$4331,A1274)</f>
        <v>1</v>
      </c>
      <c r="J1274" s="9">
        <f>ROUND(SUMIFS('Bank Lines'!$E$5:$E$1640,'Bank Lines'!$G$5:$G$1640,A1274,'Bank Lines'!$J$5:$J$1640,1),2)</f>
        <v>0</v>
      </c>
      <c r="K1274" s="9">
        <f>ROUND(SUMIFS('Odoo Items'!$G$5:$G$4331,'Odoo Items'!$J$5:$J$4331,A1274),2)</f>
        <v>135</v>
      </c>
      <c r="L1274" s="9">
        <f>ROUND(J1274-K1274,2)</f>
        <v>-135</v>
      </c>
      <c r="M1274" s="9">
        <f>ROUND(SUMIFS('Bank Lines'!$E$5:$E$1640,'Bank Lines'!$G$5:$G$1640,A1274,'Bank Lines'!$J$5:$J$1640,1,'Bank Lines'!$C$5:$C$1640,"&lt;="&amp;Cover!$C$13),2)</f>
        <v>0</v>
      </c>
      <c r="N1274" s="9">
        <f>ROUND(SUMIFS('Odoo Items'!$G$5:$G$4331,'Odoo Items'!$J$5:$J$4331,A1274,'Odoo Items'!$C$5:$C$4331,"&lt;="&amp;Cover!$C$13),2)</f>
        <v>0</v>
      </c>
      <c r="O1274">
        <f>COUNTIFS('Bank Lines'!$G$5:$G$1640,A1274,'Bank Lines'!$J$5:$J$1640,1,'Bank Lines'!$C$5:$C$1640,"&lt;="&amp;Cover!$C$13)</f>
        <v>0</v>
      </c>
      <c r="P1274">
        <f>COUNTIFS('Odoo Items'!$J$5:$J$4331,A1274,'Odoo Items'!$C$5:$C$4331,"&lt;="&amp;Cover!$C$13)</f>
        <v>0</v>
      </c>
      <c r="Q1274">
        <f>IF(AND(O1274=0,P1274=0),"",IF(O1274=0,"ODOO-ONLY",IF(P1274=0,"BANK-ONLY","BOTH")))</f>
      </c>
      <c r="R1274" s="9">
        <f>IF(Q1274="BOTH",ROUND(M1274-N1274,2),0)</f>
        <v>0</v>
      </c>
      <c r="S1274" s="9">
        <f>ROUND(SUMIFS('Bank Lines'!$E$5:$E$1640,'Bank Lines'!$G$5:$G$1640,A1274,'Bank Lines'!$J$5:$J$1640,1,'Bank Lines'!$C$5:$C$1640,"&lt;="&amp;Cover!$C$14),2)</f>
        <v>0</v>
      </c>
      <c r="T1274" s="9">
        <f>ROUND(SUMIFS('Odoo Items'!$G$5:$G$4331,'Odoo Items'!$J$5:$J$4331,A1274,'Odoo Items'!$C$5:$C$4331,"&lt;="&amp;Cover!$C$14),2)</f>
        <v>0</v>
      </c>
      <c r="U1274">
        <f>COUNTIFS('Bank Lines'!$G$5:$G$1640,A1274,'Bank Lines'!$J$5:$J$1640,1,'Bank Lines'!$C$5:$C$1640,"&lt;="&amp;Cover!$C$14)</f>
        <v>0</v>
      </c>
      <c r="V1274">
        <f>COUNTIFS('Odoo Items'!$J$5:$J$4331,A1274,'Odoo Items'!$C$5:$C$4331,"&lt;="&amp;Cover!$C$14)</f>
        <v>0</v>
      </c>
      <c r="W1274">
        <f>IF(AND(U1274=0,V1274=0),"",IF(U1274=0,"ODOO-ONLY",IF(V1274=0,"BANK-ONLY","BOTH")))</f>
      </c>
      <c r="X1274" s="9">
        <f>IF(W1274="BOTH",ROUND(S1274-T1274,2),0)</f>
        <v>0</v>
      </c>
      <c r="Y1274" s="9">
        <f>ROUND(SUMIFS('Bank Lines'!$E$5:$E$1640,'Bank Lines'!$G$5:$G$1640,A1274,'Bank Lines'!$J$5:$J$1640,1,'Bank Lines'!$C$5:$C$1640,"&lt;="&amp;Cover!$C$15),2)</f>
        <v>0</v>
      </c>
      <c r="Z1274" s="9">
        <f>ROUND(SUMIFS('Odoo Items'!$G$5:$G$4331,'Odoo Items'!$J$5:$J$4331,A1274,'Odoo Items'!$C$5:$C$4331,"&lt;="&amp;Cover!$C$15),2)</f>
        <v>135</v>
      </c>
      <c r="AA1274">
        <f>COUNTIFS('Bank Lines'!$G$5:$G$1640,A1274,'Bank Lines'!$J$5:$J$1640,1,'Bank Lines'!$C$5:$C$1640,"&lt;="&amp;Cover!$C$15)</f>
        <v>0</v>
      </c>
      <c r="AB1274">
        <f>COUNTIFS('Odoo Items'!$J$5:$J$4331,A1274,'Odoo Items'!$C$5:$C$4331,"&lt;="&amp;Cover!$C$15)</f>
        <v>1</v>
      </c>
      <c r="AC1274" t="str">
        <f>IF(AND(AA1274=0,AB1274=0),"",IF(AA1274=0,"ODOO-ONLY",IF(AB1274=0,"BANK-ONLY","BOTH")))</f>
        <v>ODOO-ONLY</v>
      </c>
      <c r="AD1274" s="9">
        <f>IF(AC1274="BOTH",ROUND(Y1274-Z1274,2),0)</f>
        <v>0</v>
      </c>
    </row>
    <row r="1275">
      <c r="A1275" t="inlineStr">
        <is>
          <t>G01271</t>
        </is>
      </c>
      <c r="B1275" t="inlineStr">
        <is>
          <t>OPS</t>
        </is>
      </c>
      <c r="C1275" t="inlineStr">
        <is>
          <t>R99</t>
        </is>
      </c>
      <c r="D1275" t="inlineStr">
        <is>
          <t>OUT</t>
        </is>
      </c>
      <c r="E1275" t="inlineStr"/>
      <c r="G1275" t="inlineStr">
        <is>
          <t>In Odoo, not yet on the bank statement at 30 Sep</t>
        </is>
      </c>
      <c r="H1275">
        <f>COUNTIFS('Bank Lines'!$G$5:$G$1640,A1275,'Bank Lines'!$J$5:$J$1640,1)</f>
        <v>0</v>
      </c>
      <c r="I1275">
        <f>COUNTIFS('Odoo Items'!$J$5:$J$4331,A1275)</f>
        <v>1</v>
      </c>
      <c r="J1275" s="9">
        <f>ROUND(SUMIFS('Bank Lines'!$E$5:$E$1640,'Bank Lines'!$G$5:$G$1640,A1275,'Bank Lines'!$J$5:$J$1640,1),2)</f>
        <v>0</v>
      </c>
      <c r="K1275" s="9">
        <f>ROUND(SUMIFS('Odoo Items'!$G$5:$G$4331,'Odoo Items'!$J$5:$J$4331,A1275),2)</f>
        <v>220</v>
      </c>
      <c r="L1275" s="9">
        <f>ROUND(J1275-K1275,2)</f>
        <v>-220</v>
      </c>
      <c r="M1275" s="9">
        <f>ROUND(SUMIFS('Bank Lines'!$E$5:$E$1640,'Bank Lines'!$G$5:$G$1640,A1275,'Bank Lines'!$J$5:$J$1640,1,'Bank Lines'!$C$5:$C$1640,"&lt;="&amp;Cover!$C$13),2)</f>
        <v>0</v>
      </c>
      <c r="N1275" s="9">
        <f>ROUND(SUMIFS('Odoo Items'!$G$5:$G$4331,'Odoo Items'!$J$5:$J$4331,A1275,'Odoo Items'!$C$5:$C$4331,"&lt;="&amp;Cover!$C$13),2)</f>
        <v>0</v>
      </c>
      <c r="O1275">
        <f>COUNTIFS('Bank Lines'!$G$5:$G$1640,A1275,'Bank Lines'!$J$5:$J$1640,1,'Bank Lines'!$C$5:$C$1640,"&lt;="&amp;Cover!$C$13)</f>
        <v>0</v>
      </c>
      <c r="P1275">
        <f>COUNTIFS('Odoo Items'!$J$5:$J$4331,A1275,'Odoo Items'!$C$5:$C$4331,"&lt;="&amp;Cover!$C$13)</f>
        <v>0</v>
      </c>
      <c r="Q1275">
        <f>IF(AND(O1275=0,P1275=0),"",IF(O1275=0,"ODOO-ONLY",IF(P1275=0,"BANK-ONLY","BOTH")))</f>
      </c>
      <c r="R1275" s="9">
        <f>IF(Q1275="BOTH",ROUND(M1275-N1275,2),0)</f>
        <v>0</v>
      </c>
      <c r="S1275" s="9">
        <f>ROUND(SUMIFS('Bank Lines'!$E$5:$E$1640,'Bank Lines'!$G$5:$G$1640,A1275,'Bank Lines'!$J$5:$J$1640,1,'Bank Lines'!$C$5:$C$1640,"&lt;="&amp;Cover!$C$14),2)</f>
        <v>0</v>
      </c>
      <c r="T1275" s="9">
        <f>ROUND(SUMIFS('Odoo Items'!$G$5:$G$4331,'Odoo Items'!$J$5:$J$4331,A1275,'Odoo Items'!$C$5:$C$4331,"&lt;="&amp;Cover!$C$14),2)</f>
        <v>0</v>
      </c>
      <c r="U1275">
        <f>COUNTIFS('Bank Lines'!$G$5:$G$1640,A1275,'Bank Lines'!$J$5:$J$1640,1,'Bank Lines'!$C$5:$C$1640,"&lt;="&amp;Cover!$C$14)</f>
        <v>0</v>
      </c>
      <c r="V1275">
        <f>COUNTIFS('Odoo Items'!$J$5:$J$4331,A1275,'Odoo Items'!$C$5:$C$4331,"&lt;="&amp;Cover!$C$14)</f>
        <v>0</v>
      </c>
      <c r="W1275">
        <f>IF(AND(U1275=0,V1275=0),"",IF(U1275=0,"ODOO-ONLY",IF(V1275=0,"BANK-ONLY","BOTH")))</f>
      </c>
      <c r="X1275" s="9">
        <f>IF(W1275="BOTH",ROUND(S1275-T1275,2),0)</f>
        <v>0</v>
      </c>
      <c r="Y1275" s="9">
        <f>ROUND(SUMIFS('Bank Lines'!$E$5:$E$1640,'Bank Lines'!$G$5:$G$1640,A1275,'Bank Lines'!$J$5:$J$1640,1,'Bank Lines'!$C$5:$C$1640,"&lt;="&amp;Cover!$C$15),2)</f>
        <v>0</v>
      </c>
      <c r="Z1275" s="9">
        <f>ROUND(SUMIFS('Odoo Items'!$G$5:$G$4331,'Odoo Items'!$J$5:$J$4331,A1275,'Odoo Items'!$C$5:$C$4331,"&lt;="&amp;Cover!$C$15),2)</f>
        <v>220</v>
      </c>
      <c r="AA1275">
        <f>COUNTIFS('Bank Lines'!$G$5:$G$1640,A1275,'Bank Lines'!$J$5:$J$1640,1,'Bank Lines'!$C$5:$C$1640,"&lt;="&amp;Cover!$C$15)</f>
        <v>0</v>
      </c>
      <c r="AB1275">
        <f>COUNTIFS('Odoo Items'!$J$5:$J$4331,A1275,'Odoo Items'!$C$5:$C$4331,"&lt;="&amp;Cover!$C$15)</f>
        <v>1</v>
      </c>
      <c r="AC1275" t="str">
        <f>IF(AND(AA1275=0,AB1275=0),"",IF(AA1275=0,"ODOO-ONLY",IF(AB1275=0,"BANK-ONLY","BOTH")))</f>
        <v>ODOO-ONLY</v>
      </c>
      <c r="AD1275" s="9">
        <f>IF(AC1275="BOTH",ROUND(Y1275-Z1275,2),0)</f>
        <v>0</v>
      </c>
    </row>
    <row r="1276">
      <c r="A1276" t="inlineStr">
        <is>
          <t>G01272</t>
        </is>
      </c>
      <c r="B1276" t="inlineStr">
        <is>
          <t>OPS</t>
        </is>
      </c>
      <c r="C1276" t="inlineStr">
        <is>
          <t>R99</t>
        </is>
      </c>
      <c r="D1276" t="inlineStr">
        <is>
          <t>OUT</t>
        </is>
      </c>
      <c r="E1276" t="inlineStr"/>
      <c r="G1276" t="inlineStr">
        <is>
          <t>In Odoo, not yet on the bank statement at 30 Sep</t>
        </is>
      </c>
      <c r="H1276">
        <f>COUNTIFS('Bank Lines'!$G$5:$G$1640,A1276,'Bank Lines'!$J$5:$J$1640,1)</f>
        <v>0</v>
      </c>
      <c r="I1276">
        <f>COUNTIFS('Odoo Items'!$J$5:$J$4331,A1276)</f>
        <v>1</v>
      </c>
      <c r="J1276" s="9">
        <f>ROUND(SUMIFS('Bank Lines'!$E$5:$E$1640,'Bank Lines'!$G$5:$G$1640,A1276,'Bank Lines'!$J$5:$J$1640,1),2)</f>
        <v>0</v>
      </c>
      <c r="K1276" s="9">
        <f>ROUND(SUMIFS('Odoo Items'!$G$5:$G$4331,'Odoo Items'!$J$5:$J$4331,A1276),2)</f>
        <v>180</v>
      </c>
      <c r="L1276" s="9">
        <f>ROUND(J1276-K1276,2)</f>
        <v>-180</v>
      </c>
      <c r="M1276" s="9">
        <f>ROUND(SUMIFS('Bank Lines'!$E$5:$E$1640,'Bank Lines'!$G$5:$G$1640,A1276,'Bank Lines'!$J$5:$J$1640,1,'Bank Lines'!$C$5:$C$1640,"&lt;="&amp;Cover!$C$13),2)</f>
        <v>0</v>
      </c>
      <c r="N1276" s="9">
        <f>ROUND(SUMIFS('Odoo Items'!$G$5:$G$4331,'Odoo Items'!$J$5:$J$4331,A1276,'Odoo Items'!$C$5:$C$4331,"&lt;="&amp;Cover!$C$13),2)</f>
        <v>0</v>
      </c>
      <c r="O1276">
        <f>COUNTIFS('Bank Lines'!$G$5:$G$1640,A1276,'Bank Lines'!$J$5:$J$1640,1,'Bank Lines'!$C$5:$C$1640,"&lt;="&amp;Cover!$C$13)</f>
        <v>0</v>
      </c>
      <c r="P1276">
        <f>COUNTIFS('Odoo Items'!$J$5:$J$4331,A1276,'Odoo Items'!$C$5:$C$4331,"&lt;="&amp;Cover!$C$13)</f>
        <v>0</v>
      </c>
      <c r="Q1276">
        <f>IF(AND(O1276=0,P1276=0),"",IF(O1276=0,"ODOO-ONLY",IF(P1276=0,"BANK-ONLY","BOTH")))</f>
      </c>
      <c r="R1276" s="9">
        <f>IF(Q1276="BOTH",ROUND(M1276-N1276,2),0)</f>
        <v>0</v>
      </c>
      <c r="S1276" s="9">
        <f>ROUND(SUMIFS('Bank Lines'!$E$5:$E$1640,'Bank Lines'!$G$5:$G$1640,A1276,'Bank Lines'!$J$5:$J$1640,1,'Bank Lines'!$C$5:$C$1640,"&lt;="&amp;Cover!$C$14),2)</f>
        <v>0</v>
      </c>
      <c r="T1276" s="9">
        <f>ROUND(SUMIFS('Odoo Items'!$G$5:$G$4331,'Odoo Items'!$J$5:$J$4331,A1276,'Odoo Items'!$C$5:$C$4331,"&lt;="&amp;Cover!$C$14),2)</f>
        <v>0</v>
      </c>
      <c r="U1276">
        <f>COUNTIFS('Bank Lines'!$G$5:$G$1640,A1276,'Bank Lines'!$J$5:$J$1640,1,'Bank Lines'!$C$5:$C$1640,"&lt;="&amp;Cover!$C$14)</f>
        <v>0</v>
      </c>
      <c r="V1276">
        <f>COUNTIFS('Odoo Items'!$J$5:$J$4331,A1276,'Odoo Items'!$C$5:$C$4331,"&lt;="&amp;Cover!$C$14)</f>
        <v>0</v>
      </c>
      <c r="W1276">
        <f>IF(AND(U1276=0,V1276=0),"",IF(U1276=0,"ODOO-ONLY",IF(V1276=0,"BANK-ONLY","BOTH")))</f>
      </c>
      <c r="X1276" s="9">
        <f>IF(W1276="BOTH",ROUND(S1276-T1276,2),0)</f>
        <v>0</v>
      </c>
      <c r="Y1276" s="9">
        <f>ROUND(SUMIFS('Bank Lines'!$E$5:$E$1640,'Bank Lines'!$G$5:$G$1640,A1276,'Bank Lines'!$J$5:$J$1640,1,'Bank Lines'!$C$5:$C$1640,"&lt;="&amp;Cover!$C$15),2)</f>
        <v>0</v>
      </c>
      <c r="Z1276" s="9">
        <f>ROUND(SUMIFS('Odoo Items'!$G$5:$G$4331,'Odoo Items'!$J$5:$J$4331,A1276,'Odoo Items'!$C$5:$C$4331,"&lt;="&amp;Cover!$C$15),2)</f>
        <v>180</v>
      </c>
      <c r="AA1276">
        <f>COUNTIFS('Bank Lines'!$G$5:$G$1640,A1276,'Bank Lines'!$J$5:$J$1640,1,'Bank Lines'!$C$5:$C$1640,"&lt;="&amp;Cover!$C$15)</f>
        <v>0</v>
      </c>
      <c r="AB1276">
        <f>COUNTIFS('Odoo Items'!$J$5:$J$4331,A1276,'Odoo Items'!$C$5:$C$4331,"&lt;="&amp;Cover!$C$15)</f>
        <v>1</v>
      </c>
      <c r="AC1276" t="str">
        <f>IF(AND(AA1276=0,AB1276=0),"",IF(AA1276=0,"ODOO-ONLY",IF(AB1276=0,"BANK-ONLY","BOTH")))</f>
        <v>ODOO-ONLY</v>
      </c>
      <c r="AD1276" s="9">
        <f>IF(AC1276="BOTH",ROUND(Y1276-Z1276,2),0)</f>
        <v>0</v>
      </c>
    </row>
    <row r="1277">
      <c r="A1277" t="inlineStr">
        <is>
          <t>G01273</t>
        </is>
      </c>
      <c r="B1277" t="inlineStr">
        <is>
          <t>OPS</t>
        </is>
      </c>
      <c r="C1277" t="inlineStr">
        <is>
          <t>R99</t>
        </is>
      </c>
      <c r="D1277" t="inlineStr">
        <is>
          <t>OUT</t>
        </is>
      </c>
      <c r="E1277" t="inlineStr"/>
      <c r="G1277" t="inlineStr">
        <is>
          <t>In Odoo, not yet on the bank statement at 30 Sep</t>
        </is>
      </c>
      <c r="H1277">
        <f>COUNTIFS('Bank Lines'!$G$5:$G$1640,A1277,'Bank Lines'!$J$5:$J$1640,1)</f>
        <v>0</v>
      </c>
      <c r="I1277">
        <f>COUNTIFS('Odoo Items'!$J$5:$J$4331,A1277)</f>
        <v>1</v>
      </c>
      <c r="J1277" s="9">
        <f>ROUND(SUMIFS('Bank Lines'!$E$5:$E$1640,'Bank Lines'!$G$5:$G$1640,A1277,'Bank Lines'!$J$5:$J$1640,1),2)</f>
        <v>0</v>
      </c>
      <c r="K1277" s="9">
        <f>ROUND(SUMIFS('Odoo Items'!$G$5:$G$4331,'Odoo Items'!$J$5:$J$4331,A1277),2)</f>
        <v>85</v>
      </c>
      <c r="L1277" s="9">
        <f>ROUND(J1277-K1277,2)</f>
        <v>-85</v>
      </c>
      <c r="M1277" s="9">
        <f>ROUND(SUMIFS('Bank Lines'!$E$5:$E$1640,'Bank Lines'!$G$5:$G$1640,A1277,'Bank Lines'!$J$5:$J$1640,1,'Bank Lines'!$C$5:$C$1640,"&lt;="&amp;Cover!$C$13),2)</f>
        <v>0</v>
      </c>
      <c r="N1277" s="9">
        <f>ROUND(SUMIFS('Odoo Items'!$G$5:$G$4331,'Odoo Items'!$J$5:$J$4331,A1277,'Odoo Items'!$C$5:$C$4331,"&lt;="&amp;Cover!$C$13),2)</f>
        <v>0</v>
      </c>
      <c r="O1277">
        <f>COUNTIFS('Bank Lines'!$G$5:$G$1640,A1277,'Bank Lines'!$J$5:$J$1640,1,'Bank Lines'!$C$5:$C$1640,"&lt;="&amp;Cover!$C$13)</f>
        <v>0</v>
      </c>
      <c r="P1277">
        <f>COUNTIFS('Odoo Items'!$J$5:$J$4331,A1277,'Odoo Items'!$C$5:$C$4331,"&lt;="&amp;Cover!$C$13)</f>
        <v>0</v>
      </c>
      <c r="Q1277">
        <f>IF(AND(O1277=0,P1277=0),"",IF(O1277=0,"ODOO-ONLY",IF(P1277=0,"BANK-ONLY","BOTH")))</f>
      </c>
      <c r="R1277" s="9">
        <f>IF(Q1277="BOTH",ROUND(M1277-N1277,2),0)</f>
        <v>0</v>
      </c>
      <c r="S1277" s="9">
        <f>ROUND(SUMIFS('Bank Lines'!$E$5:$E$1640,'Bank Lines'!$G$5:$G$1640,A1277,'Bank Lines'!$J$5:$J$1640,1,'Bank Lines'!$C$5:$C$1640,"&lt;="&amp;Cover!$C$14),2)</f>
        <v>0</v>
      </c>
      <c r="T1277" s="9">
        <f>ROUND(SUMIFS('Odoo Items'!$G$5:$G$4331,'Odoo Items'!$J$5:$J$4331,A1277,'Odoo Items'!$C$5:$C$4331,"&lt;="&amp;Cover!$C$14),2)</f>
        <v>0</v>
      </c>
      <c r="U1277">
        <f>COUNTIFS('Bank Lines'!$G$5:$G$1640,A1277,'Bank Lines'!$J$5:$J$1640,1,'Bank Lines'!$C$5:$C$1640,"&lt;="&amp;Cover!$C$14)</f>
        <v>0</v>
      </c>
      <c r="V1277">
        <f>COUNTIFS('Odoo Items'!$J$5:$J$4331,A1277,'Odoo Items'!$C$5:$C$4331,"&lt;="&amp;Cover!$C$14)</f>
        <v>0</v>
      </c>
      <c r="W1277">
        <f>IF(AND(U1277=0,V1277=0),"",IF(U1277=0,"ODOO-ONLY",IF(V1277=0,"BANK-ONLY","BOTH")))</f>
      </c>
      <c r="X1277" s="9">
        <f>IF(W1277="BOTH",ROUND(S1277-T1277,2),0)</f>
        <v>0</v>
      </c>
      <c r="Y1277" s="9">
        <f>ROUND(SUMIFS('Bank Lines'!$E$5:$E$1640,'Bank Lines'!$G$5:$G$1640,A1277,'Bank Lines'!$J$5:$J$1640,1,'Bank Lines'!$C$5:$C$1640,"&lt;="&amp;Cover!$C$15),2)</f>
        <v>0</v>
      </c>
      <c r="Z1277" s="9">
        <f>ROUND(SUMIFS('Odoo Items'!$G$5:$G$4331,'Odoo Items'!$J$5:$J$4331,A1277,'Odoo Items'!$C$5:$C$4331,"&lt;="&amp;Cover!$C$15),2)</f>
        <v>85</v>
      </c>
      <c r="AA1277">
        <f>COUNTIFS('Bank Lines'!$G$5:$G$1640,A1277,'Bank Lines'!$J$5:$J$1640,1,'Bank Lines'!$C$5:$C$1640,"&lt;="&amp;Cover!$C$15)</f>
        <v>0</v>
      </c>
      <c r="AB1277">
        <f>COUNTIFS('Odoo Items'!$J$5:$J$4331,A1277,'Odoo Items'!$C$5:$C$4331,"&lt;="&amp;Cover!$C$15)</f>
        <v>1</v>
      </c>
      <c r="AC1277" t="str">
        <f>IF(AND(AA1277=0,AB1277=0),"",IF(AA1277=0,"ODOO-ONLY",IF(AB1277=0,"BANK-ONLY","BOTH")))</f>
        <v>ODOO-ONLY</v>
      </c>
      <c r="AD1277" s="9">
        <f>IF(AC1277="BOTH",ROUND(Y1277-Z1277,2),0)</f>
        <v>0</v>
      </c>
    </row>
    <row r="1278">
      <c r="A1278" t="inlineStr">
        <is>
          <t>G01274</t>
        </is>
      </c>
      <c r="B1278" t="inlineStr">
        <is>
          <t>OPS</t>
        </is>
      </c>
      <c r="C1278" t="inlineStr">
        <is>
          <t>R99</t>
        </is>
      </c>
      <c r="D1278" t="inlineStr">
        <is>
          <t>OUT</t>
        </is>
      </c>
      <c r="E1278" t="inlineStr"/>
      <c r="G1278" t="inlineStr">
        <is>
          <t>In Odoo, not yet on the bank statement at 30 Sep</t>
        </is>
      </c>
      <c r="H1278">
        <f>COUNTIFS('Bank Lines'!$G$5:$G$1640,A1278,'Bank Lines'!$J$5:$J$1640,1)</f>
        <v>0</v>
      </c>
      <c r="I1278">
        <f>COUNTIFS('Odoo Items'!$J$5:$J$4331,A1278)</f>
        <v>1</v>
      </c>
      <c r="J1278" s="9">
        <f>ROUND(SUMIFS('Bank Lines'!$E$5:$E$1640,'Bank Lines'!$G$5:$G$1640,A1278,'Bank Lines'!$J$5:$J$1640,1),2)</f>
        <v>0</v>
      </c>
      <c r="K1278" s="9">
        <f>ROUND(SUMIFS('Odoo Items'!$G$5:$G$4331,'Odoo Items'!$J$5:$J$4331,A1278),2)</f>
        <v>65</v>
      </c>
      <c r="L1278" s="9">
        <f>ROUND(J1278-K1278,2)</f>
        <v>-65</v>
      </c>
      <c r="M1278" s="9">
        <f>ROUND(SUMIFS('Bank Lines'!$E$5:$E$1640,'Bank Lines'!$G$5:$G$1640,A1278,'Bank Lines'!$J$5:$J$1640,1,'Bank Lines'!$C$5:$C$1640,"&lt;="&amp;Cover!$C$13),2)</f>
        <v>0</v>
      </c>
      <c r="N1278" s="9">
        <f>ROUND(SUMIFS('Odoo Items'!$G$5:$G$4331,'Odoo Items'!$J$5:$J$4331,A1278,'Odoo Items'!$C$5:$C$4331,"&lt;="&amp;Cover!$C$13),2)</f>
        <v>0</v>
      </c>
      <c r="O1278">
        <f>COUNTIFS('Bank Lines'!$G$5:$G$1640,A1278,'Bank Lines'!$J$5:$J$1640,1,'Bank Lines'!$C$5:$C$1640,"&lt;="&amp;Cover!$C$13)</f>
        <v>0</v>
      </c>
      <c r="P1278">
        <f>COUNTIFS('Odoo Items'!$J$5:$J$4331,A1278,'Odoo Items'!$C$5:$C$4331,"&lt;="&amp;Cover!$C$13)</f>
        <v>0</v>
      </c>
      <c r="Q1278">
        <f>IF(AND(O1278=0,P1278=0),"",IF(O1278=0,"ODOO-ONLY",IF(P1278=0,"BANK-ONLY","BOTH")))</f>
      </c>
      <c r="R1278" s="9">
        <f>IF(Q1278="BOTH",ROUND(M1278-N1278,2),0)</f>
        <v>0</v>
      </c>
      <c r="S1278" s="9">
        <f>ROUND(SUMIFS('Bank Lines'!$E$5:$E$1640,'Bank Lines'!$G$5:$G$1640,A1278,'Bank Lines'!$J$5:$J$1640,1,'Bank Lines'!$C$5:$C$1640,"&lt;="&amp;Cover!$C$14),2)</f>
        <v>0</v>
      </c>
      <c r="T1278" s="9">
        <f>ROUND(SUMIFS('Odoo Items'!$G$5:$G$4331,'Odoo Items'!$J$5:$J$4331,A1278,'Odoo Items'!$C$5:$C$4331,"&lt;="&amp;Cover!$C$14),2)</f>
        <v>0</v>
      </c>
      <c r="U1278">
        <f>COUNTIFS('Bank Lines'!$G$5:$G$1640,A1278,'Bank Lines'!$J$5:$J$1640,1,'Bank Lines'!$C$5:$C$1640,"&lt;="&amp;Cover!$C$14)</f>
        <v>0</v>
      </c>
      <c r="V1278">
        <f>COUNTIFS('Odoo Items'!$J$5:$J$4331,A1278,'Odoo Items'!$C$5:$C$4331,"&lt;="&amp;Cover!$C$14)</f>
        <v>0</v>
      </c>
      <c r="W1278">
        <f>IF(AND(U1278=0,V1278=0),"",IF(U1278=0,"ODOO-ONLY",IF(V1278=0,"BANK-ONLY","BOTH")))</f>
      </c>
      <c r="X1278" s="9">
        <f>IF(W1278="BOTH",ROUND(S1278-T1278,2),0)</f>
        <v>0</v>
      </c>
      <c r="Y1278" s="9">
        <f>ROUND(SUMIFS('Bank Lines'!$E$5:$E$1640,'Bank Lines'!$G$5:$G$1640,A1278,'Bank Lines'!$J$5:$J$1640,1,'Bank Lines'!$C$5:$C$1640,"&lt;="&amp;Cover!$C$15),2)</f>
        <v>0</v>
      </c>
      <c r="Z1278" s="9">
        <f>ROUND(SUMIFS('Odoo Items'!$G$5:$G$4331,'Odoo Items'!$J$5:$J$4331,A1278,'Odoo Items'!$C$5:$C$4331,"&lt;="&amp;Cover!$C$15),2)</f>
        <v>65</v>
      </c>
      <c r="AA1278">
        <f>COUNTIFS('Bank Lines'!$G$5:$G$1640,A1278,'Bank Lines'!$J$5:$J$1640,1,'Bank Lines'!$C$5:$C$1640,"&lt;="&amp;Cover!$C$15)</f>
        <v>0</v>
      </c>
      <c r="AB1278">
        <f>COUNTIFS('Odoo Items'!$J$5:$J$4331,A1278,'Odoo Items'!$C$5:$C$4331,"&lt;="&amp;Cover!$C$15)</f>
        <v>1</v>
      </c>
      <c r="AC1278" t="str">
        <f>IF(AND(AA1278=0,AB1278=0),"",IF(AA1278=0,"ODOO-ONLY",IF(AB1278=0,"BANK-ONLY","BOTH")))</f>
        <v>ODOO-ONLY</v>
      </c>
      <c r="AD1278" s="9">
        <f>IF(AC1278="BOTH",ROUND(Y1278-Z1278,2),0)</f>
        <v>0</v>
      </c>
    </row>
    <row r="1279">
      <c r="A1279" t="inlineStr">
        <is>
          <t>G01275</t>
        </is>
      </c>
      <c r="B1279" t="inlineStr">
        <is>
          <t>OPS</t>
        </is>
      </c>
      <c r="C1279" t="inlineStr">
        <is>
          <t>R99</t>
        </is>
      </c>
      <c r="D1279" t="inlineStr">
        <is>
          <t>OUT</t>
        </is>
      </c>
      <c r="E1279" t="inlineStr"/>
      <c r="G1279" t="inlineStr">
        <is>
          <t>In Odoo, not yet on the bank statement at 30 Sep</t>
        </is>
      </c>
      <c r="H1279">
        <f>COUNTIFS('Bank Lines'!$G$5:$G$1640,A1279,'Bank Lines'!$J$5:$J$1640,1)</f>
        <v>0</v>
      </c>
      <c r="I1279">
        <f>COUNTIFS('Odoo Items'!$J$5:$J$4331,A1279)</f>
        <v>1</v>
      </c>
      <c r="J1279" s="9">
        <f>ROUND(SUMIFS('Bank Lines'!$E$5:$E$1640,'Bank Lines'!$G$5:$G$1640,A1279,'Bank Lines'!$J$5:$J$1640,1),2)</f>
        <v>0</v>
      </c>
      <c r="K1279" s="9">
        <f>ROUND(SUMIFS('Odoo Items'!$G$5:$G$4331,'Odoo Items'!$J$5:$J$4331,A1279),2)</f>
        <v>220</v>
      </c>
      <c r="L1279" s="9">
        <f>ROUND(J1279-K1279,2)</f>
        <v>-220</v>
      </c>
      <c r="M1279" s="9">
        <f>ROUND(SUMIFS('Bank Lines'!$E$5:$E$1640,'Bank Lines'!$G$5:$G$1640,A1279,'Bank Lines'!$J$5:$J$1640,1,'Bank Lines'!$C$5:$C$1640,"&lt;="&amp;Cover!$C$13),2)</f>
        <v>0</v>
      </c>
      <c r="N1279" s="9">
        <f>ROUND(SUMIFS('Odoo Items'!$G$5:$G$4331,'Odoo Items'!$J$5:$J$4331,A1279,'Odoo Items'!$C$5:$C$4331,"&lt;="&amp;Cover!$C$13),2)</f>
        <v>0</v>
      </c>
      <c r="O1279">
        <f>COUNTIFS('Bank Lines'!$G$5:$G$1640,A1279,'Bank Lines'!$J$5:$J$1640,1,'Bank Lines'!$C$5:$C$1640,"&lt;="&amp;Cover!$C$13)</f>
        <v>0</v>
      </c>
      <c r="P1279">
        <f>COUNTIFS('Odoo Items'!$J$5:$J$4331,A1279,'Odoo Items'!$C$5:$C$4331,"&lt;="&amp;Cover!$C$13)</f>
        <v>0</v>
      </c>
      <c r="Q1279">
        <f>IF(AND(O1279=0,P1279=0),"",IF(O1279=0,"ODOO-ONLY",IF(P1279=0,"BANK-ONLY","BOTH")))</f>
      </c>
      <c r="R1279" s="9">
        <f>IF(Q1279="BOTH",ROUND(M1279-N1279,2),0)</f>
        <v>0</v>
      </c>
      <c r="S1279" s="9">
        <f>ROUND(SUMIFS('Bank Lines'!$E$5:$E$1640,'Bank Lines'!$G$5:$G$1640,A1279,'Bank Lines'!$J$5:$J$1640,1,'Bank Lines'!$C$5:$C$1640,"&lt;="&amp;Cover!$C$14),2)</f>
        <v>0</v>
      </c>
      <c r="T1279" s="9">
        <f>ROUND(SUMIFS('Odoo Items'!$G$5:$G$4331,'Odoo Items'!$J$5:$J$4331,A1279,'Odoo Items'!$C$5:$C$4331,"&lt;="&amp;Cover!$C$14),2)</f>
        <v>0</v>
      </c>
      <c r="U1279">
        <f>COUNTIFS('Bank Lines'!$G$5:$G$1640,A1279,'Bank Lines'!$J$5:$J$1640,1,'Bank Lines'!$C$5:$C$1640,"&lt;="&amp;Cover!$C$14)</f>
        <v>0</v>
      </c>
      <c r="V1279">
        <f>COUNTIFS('Odoo Items'!$J$5:$J$4331,A1279,'Odoo Items'!$C$5:$C$4331,"&lt;="&amp;Cover!$C$14)</f>
        <v>0</v>
      </c>
      <c r="W1279">
        <f>IF(AND(U1279=0,V1279=0),"",IF(U1279=0,"ODOO-ONLY",IF(V1279=0,"BANK-ONLY","BOTH")))</f>
      </c>
      <c r="X1279" s="9">
        <f>IF(W1279="BOTH",ROUND(S1279-T1279,2),0)</f>
        <v>0</v>
      </c>
      <c r="Y1279" s="9">
        <f>ROUND(SUMIFS('Bank Lines'!$E$5:$E$1640,'Bank Lines'!$G$5:$G$1640,A1279,'Bank Lines'!$J$5:$J$1640,1,'Bank Lines'!$C$5:$C$1640,"&lt;="&amp;Cover!$C$15),2)</f>
        <v>0</v>
      </c>
      <c r="Z1279" s="9">
        <f>ROUND(SUMIFS('Odoo Items'!$G$5:$G$4331,'Odoo Items'!$J$5:$J$4331,A1279,'Odoo Items'!$C$5:$C$4331,"&lt;="&amp;Cover!$C$15),2)</f>
        <v>220</v>
      </c>
      <c r="AA1279">
        <f>COUNTIFS('Bank Lines'!$G$5:$G$1640,A1279,'Bank Lines'!$J$5:$J$1640,1,'Bank Lines'!$C$5:$C$1640,"&lt;="&amp;Cover!$C$15)</f>
        <v>0</v>
      </c>
      <c r="AB1279">
        <f>COUNTIFS('Odoo Items'!$J$5:$J$4331,A1279,'Odoo Items'!$C$5:$C$4331,"&lt;="&amp;Cover!$C$15)</f>
        <v>1</v>
      </c>
      <c r="AC1279" t="str">
        <f>IF(AND(AA1279=0,AB1279=0),"",IF(AA1279=0,"ODOO-ONLY",IF(AB1279=0,"BANK-ONLY","BOTH")))</f>
        <v>ODOO-ONLY</v>
      </c>
      <c r="AD1279" s="9">
        <f>IF(AC1279="BOTH",ROUND(Y1279-Z1279,2),0)</f>
        <v>0</v>
      </c>
    </row>
    <row r="1280">
      <c r="A1280" t="inlineStr">
        <is>
          <t>G01276</t>
        </is>
      </c>
      <c r="B1280" t="inlineStr">
        <is>
          <t>OPS</t>
        </is>
      </c>
      <c r="C1280" t="inlineStr">
        <is>
          <t>R99</t>
        </is>
      </c>
      <c r="D1280" t="inlineStr">
        <is>
          <t>OUT</t>
        </is>
      </c>
      <c r="E1280" t="inlineStr"/>
      <c r="G1280" t="inlineStr">
        <is>
          <t>In Odoo, not yet on the bank statement at 30 Sep</t>
        </is>
      </c>
      <c r="H1280">
        <f>COUNTIFS('Bank Lines'!$G$5:$G$1640,A1280,'Bank Lines'!$J$5:$J$1640,1)</f>
        <v>0</v>
      </c>
      <c r="I1280">
        <f>COUNTIFS('Odoo Items'!$J$5:$J$4331,A1280)</f>
        <v>1</v>
      </c>
      <c r="J1280" s="9">
        <f>ROUND(SUMIFS('Bank Lines'!$E$5:$E$1640,'Bank Lines'!$G$5:$G$1640,A1280,'Bank Lines'!$J$5:$J$1640,1),2)</f>
        <v>0</v>
      </c>
      <c r="K1280" s="9">
        <f>ROUND(SUMIFS('Odoo Items'!$G$5:$G$4331,'Odoo Items'!$J$5:$J$4331,A1280),2)</f>
        <v>65</v>
      </c>
      <c r="L1280" s="9">
        <f>ROUND(J1280-K1280,2)</f>
        <v>-65</v>
      </c>
      <c r="M1280" s="9">
        <f>ROUND(SUMIFS('Bank Lines'!$E$5:$E$1640,'Bank Lines'!$G$5:$G$1640,A1280,'Bank Lines'!$J$5:$J$1640,1,'Bank Lines'!$C$5:$C$1640,"&lt;="&amp;Cover!$C$13),2)</f>
        <v>0</v>
      </c>
      <c r="N1280" s="9">
        <f>ROUND(SUMIFS('Odoo Items'!$G$5:$G$4331,'Odoo Items'!$J$5:$J$4331,A1280,'Odoo Items'!$C$5:$C$4331,"&lt;="&amp;Cover!$C$13),2)</f>
        <v>0</v>
      </c>
      <c r="O1280">
        <f>COUNTIFS('Bank Lines'!$G$5:$G$1640,A1280,'Bank Lines'!$J$5:$J$1640,1,'Bank Lines'!$C$5:$C$1640,"&lt;="&amp;Cover!$C$13)</f>
        <v>0</v>
      </c>
      <c r="P1280">
        <f>COUNTIFS('Odoo Items'!$J$5:$J$4331,A1280,'Odoo Items'!$C$5:$C$4331,"&lt;="&amp;Cover!$C$13)</f>
        <v>0</v>
      </c>
      <c r="Q1280">
        <f>IF(AND(O1280=0,P1280=0),"",IF(O1280=0,"ODOO-ONLY",IF(P1280=0,"BANK-ONLY","BOTH")))</f>
      </c>
      <c r="R1280" s="9">
        <f>IF(Q1280="BOTH",ROUND(M1280-N1280,2),0)</f>
        <v>0</v>
      </c>
      <c r="S1280" s="9">
        <f>ROUND(SUMIFS('Bank Lines'!$E$5:$E$1640,'Bank Lines'!$G$5:$G$1640,A1280,'Bank Lines'!$J$5:$J$1640,1,'Bank Lines'!$C$5:$C$1640,"&lt;="&amp;Cover!$C$14),2)</f>
        <v>0</v>
      </c>
      <c r="T1280" s="9">
        <f>ROUND(SUMIFS('Odoo Items'!$G$5:$G$4331,'Odoo Items'!$J$5:$J$4331,A1280,'Odoo Items'!$C$5:$C$4331,"&lt;="&amp;Cover!$C$14),2)</f>
        <v>0</v>
      </c>
      <c r="U1280">
        <f>COUNTIFS('Bank Lines'!$G$5:$G$1640,A1280,'Bank Lines'!$J$5:$J$1640,1,'Bank Lines'!$C$5:$C$1640,"&lt;="&amp;Cover!$C$14)</f>
        <v>0</v>
      </c>
      <c r="V1280">
        <f>COUNTIFS('Odoo Items'!$J$5:$J$4331,A1280,'Odoo Items'!$C$5:$C$4331,"&lt;="&amp;Cover!$C$14)</f>
        <v>0</v>
      </c>
      <c r="W1280">
        <f>IF(AND(U1280=0,V1280=0),"",IF(U1280=0,"ODOO-ONLY",IF(V1280=0,"BANK-ONLY","BOTH")))</f>
      </c>
      <c r="X1280" s="9">
        <f>IF(W1280="BOTH",ROUND(S1280-T1280,2),0)</f>
        <v>0</v>
      </c>
      <c r="Y1280" s="9">
        <f>ROUND(SUMIFS('Bank Lines'!$E$5:$E$1640,'Bank Lines'!$G$5:$G$1640,A1280,'Bank Lines'!$J$5:$J$1640,1,'Bank Lines'!$C$5:$C$1640,"&lt;="&amp;Cover!$C$15),2)</f>
        <v>0</v>
      </c>
      <c r="Z1280" s="9">
        <f>ROUND(SUMIFS('Odoo Items'!$G$5:$G$4331,'Odoo Items'!$J$5:$J$4331,A1280,'Odoo Items'!$C$5:$C$4331,"&lt;="&amp;Cover!$C$15),2)</f>
        <v>65</v>
      </c>
      <c r="AA1280">
        <f>COUNTIFS('Bank Lines'!$G$5:$G$1640,A1280,'Bank Lines'!$J$5:$J$1640,1,'Bank Lines'!$C$5:$C$1640,"&lt;="&amp;Cover!$C$15)</f>
        <v>0</v>
      </c>
      <c r="AB1280">
        <f>COUNTIFS('Odoo Items'!$J$5:$J$4331,A1280,'Odoo Items'!$C$5:$C$4331,"&lt;="&amp;Cover!$C$15)</f>
        <v>1</v>
      </c>
      <c r="AC1280" t="str">
        <f>IF(AND(AA1280=0,AB1280=0),"",IF(AA1280=0,"ODOO-ONLY",IF(AB1280=0,"BANK-ONLY","BOTH")))</f>
        <v>ODOO-ONLY</v>
      </c>
      <c r="AD1280" s="9">
        <f>IF(AC1280="BOTH",ROUND(Y1280-Z1280,2),0)</f>
        <v>0</v>
      </c>
    </row>
    <row r="1281">
      <c r="A1281" t="inlineStr">
        <is>
          <t>G01277</t>
        </is>
      </c>
      <c r="B1281" t="inlineStr">
        <is>
          <t>OPS</t>
        </is>
      </c>
      <c r="C1281" t="inlineStr">
        <is>
          <t>R99</t>
        </is>
      </c>
      <c r="D1281" t="inlineStr">
        <is>
          <t>OUT</t>
        </is>
      </c>
      <c r="E1281" t="inlineStr"/>
      <c r="G1281" t="inlineStr">
        <is>
          <t>In Odoo, not yet on the bank statement at 30 Sep</t>
        </is>
      </c>
      <c r="H1281">
        <f>COUNTIFS('Bank Lines'!$G$5:$G$1640,A1281,'Bank Lines'!$J$5:$J$1640,1)</f>
        <v>0</v>
      </c>
      <c r="I1281">
        <f>COUNTIFS('Odoo Items'!$J$5:$J$4331,A1281)</f>
        <v>1</v>
      </c>
      <c r="J1281" s="9">
        <f>ROUND(SUMIFS('Bank Lines'!$E$5:$E$1640,'Bank Lines'!$G$5:$G$1640,A1281,'Bank Lines'!$J$5:$J$1640,1),2)</f>
        <v>0</v>
      </c>
      <c r="K1281" s="9">
        <f>ROUND(SUMIFS('Odoo Items'!$G$5:$G$4331,'Odoo Items'!$J$5:$J$4331,A1281),2)</f>
        <v>120</v>
      </c>
      <c r="L1281" s="9">
        <f>ROUND(J1281-K1281,2)</f>
        <v>-120</v>
      </c>
      <c r="M1281" s="9">
        <f>ROUND(SUMIFS('Bank Lines'!$E$5:$E$1640,'Bank Lines'!$G$5:$G$1640,A1281,'Bank Lines'!$J$5:$J$1640,1,'Bank Lines'!$C$5:$C$1640,"&lt;="&amp;Cover!$C$13),2)</f>
        <v>0</v>
      </c>
      <c r="N1281" s="9">
        <f>ROUND(SUMIFS('Odoo Items'!$G$5:$G$4331,'Odoo Items'!$J$5:$J$4331,A1281,'Odoo Items'!$C$5:$C$4331,"&lt;="&amp;Cover!$C$13),2)</f>
        <v>0</v>
      </c>
      <c r="O1281">
        <f>COUNTIFS('Bank Lines'!$G$5:$G$1640,A1281,'Bank Lines'!$J$5:$J$1640,1,'Bank Lines'!$C$5:$C$1640,"&lt;="&amp;Cover!$C$13)</f>
        <v>0</v>
      </c>
      <c r="P1281">
        <f>COUNTIFS('Odoo Items'!$J$5:$J$4331,A1281,'Odoo Items'!$C$5:$C$4331,"&lt;="&amp;Cover!$C$13)</f>
        <v>0</v>
      </c>
      <c r="Q1281">
        <f>IF(AND(O1281=0,P1281=0),"",IF(O1281=0,"ODOO-ONLY",IF(P1281=0,"BANK-ONLY","BOTH")))</f>
      </c>
      <c r="R1281" s="9">
        <f>IF(Q1281="BOTH",ROUND(M1281-N1281,2),0)</f>
        <v>0</v>
      </c>
      <c r="S1281" s="9">
        <f>ROUND(SUMIFS('Bank Lines'!$E$5:$E$1640,'Bank Lines'!$G$5:$G$1640,A1281,'Bank Lines'!$J$5:$J$1640,1,'Bank Lines'!$C$5:$C$1640,"&lt;="&amp;Cover!$C$14),2)</f>
        <v>0</v>
      </c>
      <c r="T1281" s="9">
        <f>ROUND(SUMIFS('Odoo Items'!$G$5:$G$4331,'Odoo Items'!$J$5:$J$4331,A1281,'Odoo Items'!$C$5:$C$4331,"&lt;="&amp;Cover!$C$14),2)</f>
        <v>0</v>
      </c>
      <c r="U1281">
        <f>COUNTIFS('Bank Lines'!$G$5:$G$1640,A1281,'Bank Lines'!$J$5:$J$1640,1,'Bank Lines'!$C$5:$C$1640,"&lt;="&amp;Cover!$C$14)</f>
        <v>0</v>
      </c>
      <c r="V1281">
        <f>COUNTIFS('Odoo Items'!$J$5:$J$4331,A1281,'Odoo Items'!$C$5:$C$4331,"&lt;="&amp;Cover!$C$14)</f>
        <v>0</v>
      </c>
      <c r="W1281">
        <f>IF(AND(U1281=0,V1281=0),"",IF(U1281=0,"ODOO-ONLY",IF(V1281=0,"BANK-ONLY","BOTH")))</f>
      </c>
      <c r="X1281" s="9">
        <f>IF(W1281="BOTH",ROUND(S1281-T1281,2),0)</f>
        <v>0</v>
      </c>
      <c r="Y1281" s="9">
        <f>ROUND(SUMIFS('Bank Lines'!$E$5:$E$1640,'Bank Lines'!$G$5:$G$1640,A1281,'Bank Lines'!$J$5:$J$1640,1,'Bank Lines'!$C$5:$C$1640,"&lt;="&amp;Cover!$C$15),2)</f>
        <v>0</v>
      </c>
      <c r="Z1281" s="9">
        <f>ROUND(SUMIFS('Odoo Items'!$G$5:$G$4331,'Odoo Items'!$J$5:$J$4331,A1281,'Odoo Items'!$C$5:$C$4331,"&lt;="&amp;Cover!$C$15),2)</f>
        <v>120</v>
      </c>
      <c r="AA1281">
        <f>COUNTIFS('Bank Lines'!$G$5:$G$1640,A1281,'Bank Lines'!$J$5:$J$1640,1,'Bank Lines'!$C$5:$C$1640,"&lt;="&amp;Cover!$C$15)</f>
        <v>0</v>
      </c>
      <c r="AB1281">
        <f>COUNTIFS('Odoo Items'!$J$5:$J$4331,A1281,'Odoo Items'!$C$5:$C$4331,"&lt;="&amp;Cover!$C$15)</f>
        <v>1</v>
      </c>
      <c r="AC1281" t="str">
        <f>IF(AND(AA1281=0,AB1281=0),"",IF(AA1281=0,"ODOO-ONLY",IF(AB1281=0,"BANK-ONLY","BOTH")))</f>
        <v>ODOO-ONLY</v>
      </c>
      <c r="AD1281" s="9">
        <f>IF(AC1281="BOTH",ROUND(Y1281-Z1281,2),0)</f>
        <v>0</v>
      </c>
    </row>
    <row r="1282">
      <c r="A1282" t="inlineStr">
        <is>
          <t>G01278</t>
        </is>
      </c>
      <c r="B1282" t="inlineStr">
        <is>
          <t>OPS</t>
        </is>
      </c>
      <c r="C1282" t="inlineStr">
        <is>
          <t>R99</t>
        </is>
      </c>
      <c r="D1282" t="inlineStr">
        <is>
          <t>OUT</t>
        </is>
      </c>
      <c r="E1282" t="inlineStr"/>
      <c r="G1282" t="inlineStr">
        <is>
          <t>In Odoo, not yet on the bank statement at 30 Sep</t>
        </is>
      </c>
      <c r="H1282">
        <f>COUNTIFS('Bank Lines'!$G$5:$G$1640,A1282,'Bank Lines'!$J$5:$J$1640,1)</f>
        <v>0</v>
      </c>
      <c r="I1282">
        <f>COUNTIFS('Odoo Items'!$J$5:$J$4331,A1282)</f>
        <v>1</v>
      </c>
      <c r="J1282" s="9">
        <f>ROUND(SUMIFS('Bank Lines'!$E$5:$E$1640,'Bank Lines'!$G$5:$G$1640,A1282,'Bank Lines'!$J$5:$J$1640,1),2)</f>
        <v>0</v>
      </c>
      <c r="K1282" s="9">
        <f>ROUND(SUMIFS('Odoo Items'!$G$5:$G$4331,'Odoo Items'!$J$5:$J$4331,A1282),2)</f>
        <v>65</v>
      </c>
      <c r="L1282" s="9">
        <f>ROUND(J1282-K1282,2)</f>
        <v>-65</v>
      </c>
      <c r="M1282" s="9">
        <f>ROUND(SUMIFS('Bank Lines'!$E$5:$E$1640,'Bank Lines'!$G$5:$G$1640,A1282,'Bank Lines'!$J$5:$J$1640,1,'Bank Lines'!$C$5:$C$1640,"&lt;="&amp;Cover!$C$13),2)</f>
        <v>0</v>
      </c>
      <c r="N1282" s="9">
        <f>ROUND(SUMIFS('Odoo Items'!$G$5:$G$4331,'Odoo Items'!$J$5:$J$4331,A1282,'Odoo Items'!$C$5:$C$4331,"&lt;="&amp;Cover!$C$13),2)</f>
        <v>0</v>
      </c>
      <c r="O1282">
        <f>COUNTIFS('Bank Lines'!$G$5:$G$1640,A1282,'Bank Lines'!$J$5:$J$1640,1,'Bank Lines'!$C$5:$C$1640,"&lt;="&amp;Cover!$C$13)</f>
        <v>0</v>
      </c>
      <c r="P1282">
        <f>COUNTIFS('Odoo Items'!$J$5:$J$4331,A1282,'Odoo Items'!$C$5:$C$4331,"&lt;="&amp;Cover!$C$13)</f>
        <v>0</v>
      </c>
      <c r="Q1282">
        <f>IF(AND(O1282=0,P1282=0),"",IF(O1282=0,"ODOO-ONLY",IF(P1282=0,"BANK-ONLY","BOTH")))</f>
      </c>
      <c r="R1282" s="9">
        <f>IF(Q1282="BOTH",ROUND(M1282-N1282,2),0)</f>
        <v>0</v>
      </c>
      <c r="S1282" s="9">
        <f>ROUND(SUMIFS('Bank Lines'!$E$5:$E$1640,'Bank Lines'!$G$5:$G$1640,A1282,'Bank Lines'!$J$5:$J$1640,1,'Bank Lines'!$C$5:$C$1640,"&lt;="&amp;Cover!$C$14),2)</f>
        <v>0</v>
      </c>
      <c r="T1282" s="9">
        <f>ROUND(SUMIFS('Odoo Items'!$G$5:$G$4331,'Odoo Items'!$J$5:$J$4331,A1282,'Odoo Items'!$C$5:$C$4331,"&lt;="&amp;Cover!$C$14),2)</f>
        <v>0</v>
      </c>
      <c r="U1282">
        <f>COUNTIFS('Bank Lines'!$G$5:$G$1640,A1282,'Bank Lines'!$J$5:$J$1640,1,'Bank Lines'!$C$5:$C$1640,"&lt;="&amp;Cover!$C$14)</f>
        <v>0</v>
      </c>
      <c r="V1282">
        <f>COUNTIFS('Odoo Items'!$J$5:$J$4331,A1282,'Odoo Items'!$C$5:$C$4331,"&lt;="&amp;Cover!$C$14)</f>
        <v>0</v>
      </c>
      <c r="W1282">
        <f>IF(AND(U1282=0,V1282=0),"",IF(U1282=0,"ODOO-ONLY",IF(V1282=0,"BANK-ONLY","BOTH")))</f>
      </c>
      <c r="X1282" s="9">
        <f>IF(W1282="BOTH",ROUND(S1282-T1282,2),0)</f>
        <v>0</v>
      </c>
      <c r="Y1282" s="9">
        <f>ROUND(SUMIFS('Bank Lines'!$E$5:$E$1640,'Bank Lines'!$G$5:$G$1640,A1282,'Bank Lines'!$J$5:$J$1640,1,'Bank Lines'!$C$5:$C$1640,"&lt;="&amp;Cover!$C$15),2)</f>
        <v>0</v>
      </c>
      <c r="Z1282" s="9">
        <f>ROUND(SUMIFS('Odoo Items'!$G$5:$G$4331,'Odoo Items'!$J$5:$J$4331,A1282,'Odoo Items'!$C$5:$C$4331,"&lt;="&amp;Cover!$C$15),2)</f>
        <v>65</v>
      </c>
      <c r="AA1282">
        <f>COUNTIFS('Bank Lines'!$G$5:$G$1640,A1282,'Bank Lines'!$J$5:$J$1640,1,'Bank Lines'!$C$5:$C$1640,"&lt;="&amp;Cover!$C$15)</f>
        <v>0</v>
      </c>
      <c r="AB1282">
        <f>COUNTIFS('Odoo Items'!$J$5:$J$4331,A1282,'Odoo Items'!$C$5:$C$4331,"&lt;="&amp;Cover!$C$15)</f>
        <v>1</v>
      </c>
      <c r="AC1282" t="str">
        <f>IF(AND(AA1282=0,AB1282=0),"",IF(AA1282=0,"ODOO-ONLY",IF(AB1282=0,"BANK-ONLY","BOTH")))</f>
        <v>ODOO-ONLY</v>
      </c>
      <c r="AD1282" s="9">
        <f>IF(AC1282="BOTH",ROUND(Y1282-Z1282,2),0)</f>
        <v>0</v>
      </c>
    </row>
    <row r="1283">
      <c r="A1283" t="inlineStr">
        <is>
          <t>G01279</t>
        </is>
      </c>
      <c r="B1283" t="inlineStr">
        <is>
          <t>OPS</t>
        </is>
      </c>
      <c r="C1283" t="inlineStr">
        <is>
          <t>R99</t>
        </is>
      </c>
      <c r="D1283" t="inlineStr">
        <is>
          <t>OUT</t>
        </is>
      </c>
      <c r="E1283" t="inlineStr"/>
      <c r="G1283" t="inlineStr">
        <is>
          <t>In Odoo, not yet on the bank statement at 30 Sep</t>
        </is>
      </c>
      <c r="H1283">
        <f>COUNTIFS('Bank Lines'!$G$5:$G$1640,A1283,'Bank Lines'!$J$5:$J$1640,1)</f>
        <v>0</v>
      </c>
      <c r="I1283">
        <f>COUNTIFS('Odoo Items'!$J$5:$J$4331,A1283)</f>
        <v>1</v>
      </c>
      <c r="J1283" s="9">
        <f>ROUND(SUMIFS('Bank Lines'!$E$5:$E$1640,'Bank Lines'!$G$5:$G$1640,A1283,'Bank Lines'!$J$5:$J$1640,1),2)</f>
        <v>0</v>
      </c>
      <c r="K1283" s="9">
        <f>ROUND(SUMIFS('Odoo Items'!$G$5:$G$4331,'Odoo Items'!$J$5:$J$4331,A1283),2)</f>
        <v>85</v>
      </c>
      <c r="L1283" s="9">
        <f>ROUND(J1283-K1283,2)</f>
        <v>-85</v>
      </c>
      <c r="M1283" s="9">
        <f>ROUND(SUMIFS('Bank Lines'!$E$5:$E$1640,'Bank Lines'!$G$5:$G$1640,A1283,'Bank Lines'!$J$5:$J$1640,1,'Bank Lines'!$C$5:$C$1640,"&lt;="&amp;Cover!$C$13),2)</f>
        <v>0</v>
      </c>
      <c r="N1283" s="9">
        <f>ROUND(SUMIFS('Odoo Items'!$G$5:$G$4331,'Odoo Items'!$J$5:$J$4331,A1283,'Odoo Items'!$C$5:$C$4331,"&lt;="&amp;Cover!$C$13),2)</f>
        <v>0</v>
      </c>
      <c r="O1283">
        <f>COUNTIFS('Bank Lines'!$G$5:$G$1640,A1283,'Bank Lines'!$J$5:$J$1640,1,'Bank Lines'!$C$5:$C$1640,"&lt;="&amp;Cover!$C$13)</f>
        <v>0</v>
      </c>
      <c r="P1283">
        <f>COUNTIFS('Odoo Items'!$J$5:$J$4331,A1283,'Odoo Items'!$C$5:$C$4331,"&lt;="&amp;Cover!$C$13)</f>
        <v>0</v>
      </c>
      <c r="Q1283">
        <f>IF(AND(O1283=0,P1283=0),"",IF(O1283=0,"ODOO-ONLY",IF(P1283=0,"BANK-ONLY","BOTH")))</f>
      </c>
      <c r="R1283" s="9">
        <f>IF(Q1283="BOTH",ROUND(M1283-N1283,2),0)</f>
        <v>0</v>
      </c>
      <c r="S1283" s="9">
        <f>ROUND(SUMIFS('Bank Lines'!$E$5:$E$1640,'Bank Lines'!$G$5:$G$1640,A1283,'Bank Lines'!$J$5:$J$1640,1,'Bank Lines'!$C$5:$C$1640,"&lt;="&amp;Cover!$C$14),2)</f>
        <v>0</v>
      </c>
      <c r="T1283" s="9">
        <f>ROUND(SUMIFS('Odoo Items'!$G$5:$G$4331,'Odoo Items'!$J$5:$J$4331,A1283,'Odoo Items'!$C$5:$C$4331,"&lt;="&amp;Cover!$C$14),2)</f>
        <v>0</v>
      </c>
      <c r="U1283">
        <f>COUNTIFS('Bank Lines'!$G$5:$G$1640,A1283,'Bank Lines'!$J$5:$J$1640,1,'Bank Lines'!$C$5:$C$1640,"&lt;="&amp;Cover!$C$14)</f>
        <v>0</v>
      </c>
      <c r="V1283">
        <f>COUNTIFS('Odoo Items'!$J$5:$J$4331,A1283,'Odoo Items'!$C$5:$C$4331,"&lt;="&amp;Cover!$C$14)</f>
        <v>0</v>
      </c>
      <c r="W1283">
        <f>IF(AND(U1283=0,V1283=0),"",IF(U1283=0,"ODOO-ONLY",IF(V1283=0,"BANK-ONLY","BOTH")))</f>
      </c>
      <c r="X1283" s="9">
        <f>IF(W1283="BOTH",ROUND(S1283-T1283,2),0)</f>
        <v>0</v>
      </c>
      <c r="Y1283" s="9">
        <f>ROUND(SUMIFS('Bank Lines'!$E$5:$E$1640,'Bank Lines'!$G$5:$G$1640,A1283,'Bank Lines'!$J$5:$J$1640,1,'Bank Lines'!$C$5:$C$1640,"&lt;="&amp;Cover!$C$15),2)</f>
        <v>0</v>
      </c>
      <c r="Z1283" s="9">
        <f>ROUND(SUMIFS('Odoo Items'!$G$5:$G$4331,'Odoo Items'!$J$5:$J$4331,A1283,'Odoo Items'!$C$5:$C$4331,"&lt;="&amp;Cover!$C$15),2)</f>
        <v>85</v>
      </c>
      <c r="AA1283">
        <f>COUNTIFS('Bank Lines'!$G$5:$G$1640,A1283,'Bank Lines'!$J$5:$J$1640,1,'Bank Lines'!$C$5:$C$1640,"&lt;="&amp;Cover!$C$15)</f>
        <v>0</v>
      </c>
      <c r="AB1283">
        <f>COUNTIFS('Odoo Items'!$J$5:$J$4331,A1283,'Odoo Items'!$C$5:$C$4331,"&lt;="&amp;Cover!$C$15)</f>
        <v>1</v>
      </c>
      <c r="AC1283" t="str">
        <f>IF(AND(AA1283=0,AB1283=0),"",IF(AA1283=0,"ODOO-ONLY",IF(AB1283=0,"BANK-ONLY","BOTH")))</f>
        <v>ODOO-ONLY</v>
      </c>
      <c r="AD1283" s="9">
        <f>IF(AC1283="BOTH",ROUND(Y1283-Z1283,2),0)</f>
        <v>0</v>
      </c>
    </row>
    <row r="1284">
      <c r="A1284" t="inlineStr">
        <is>
          <t>G01280</t>
        </is>
      </c>
      <c r="B1284" t="inlineStr">
        <is>
          <t>OPS</t>
        </is>
      </c>
      <c r="C1284" t="inlineStr">
        <is>
          <t>R99</t>
        </is>
      </c>
      <c r="D1284" t="inlineStr">
        <is>
          <t>OUT</t>
        </is>
      </c>
      <c r="E1284" t="inlineStr"/>
      <c r="G1284" t="inlineStr">
        <is>
          <t>In Odoo, not yet on the bank statement at 30 Sep</t>
        </is>
      </c>
      <c r="H1284">
        <f>COUNTIFS('Bank Lines'!$G$5:$G$1640,A1284,'Bank Lines'!$J$5:$J$1640,1)</f>
        <v>0</v>
      </c>
      <c r="I1284">
        <f>COUNTIFS('Odoo Items'!$J$5:$J$4331,A1284)</f>
        <v>1</v>
      </c>
      <c r="J1284" s="9">
        <f>ROUND(SUMIFS('Bank Lines'!$E$5:$E$1640,'Bank Lines'!$G$5:$G$1640,A1284,'Bank Lines'!$J$5:$J$1640,1),2)</f>
        <v>0</v>
      </c>
      <c r="K1284" s="9">
        <f>ROUND(SUMIFS('Odoo Items'!$G$5:$G$4331,'Odoo Items'!$J$5:$J$4331,A1284),2)</f>
        <v>150</v>
      </c>
      <c r="L1284" s="9">
        <f>ROUND(J1284-K1284,2)</f>
        <v>-150</v>
      </c>
      <c r="M1284" s="9">
        <f>ROUND(SUMIFS('Bank Lines'!$E$5:$E$1640,'Bank Lines'!$G$5:$G$1640,A1284,'Bank Lines'!$J$5:$J$1640,1,'Bank Lines'!$C$5:$C$1640,"&lt;="&amp;Cover!$C$13),2)</f>
        <v>0</v>
      </c>
      <c r="N1284" s="9">
        <f>ROUND(SUMIFS('Odoo Items'!$G$5:$G$4331,'Odoo Items'!$J$5:$J$4331,A1284,'Odoo Items'!$C$5:$C$4331,"&lt;="&amp;Cover!$C$13),2)</f>
        <v>0</v>
      </c>
      <c r="O1284">
        <f>COUNTIFS('Bank Lines'!$G$5:$G$1640,A1284,'Bank Lines'!$J$5:$J$1640,1,'Bank Lines'!$C$5:$C$1640,"&lt;="&amp;Cover!$C$13)</f>
        <v>0</v>
      </c>
      <c r="P1284">
        <f>COUNTIFS('Odoo Items'!$J$5:$J$4331,A1284,'Odoo Items'!$C$5:$C$4331,"&lt;="&amp;Cover!$C$13)</f>
        <v>0</v>
      </c>
      <c r="Q1284">
        <f>IF(AND(O1284=0,P1284=0),"",IF(O1284=0,"ODOO-ONLY",IF(P1284=0,"BANK-ONLY","BOTH")))</f>
      </c>
      <c r="R1284" s="9">
        <f>IF(Q1284="BOTH",ROUND(M1284-N1284,2),0)</f>
        <v>0</v>
      </c>
      <c r="S1284" s="9">
        <f>ROUND(SUMIFS('Bank Lines'!$E$5:$E$1640,'Bank Lines'!$G$5:$G$1640,A1284,'Bank Lines'!$J$5:$J$1640,1,'Bank Lines'!$C$5:$C$1640,"&lt;="&amp;Cover!$C$14),2)</f>
        <v>0</v>
      </c>
      <c r="T1284" s="9">
        <f>ROUND(SUMIFS('Odoo Items'!$G$5:$G$4331,'Odoo Items'!$J$5:$J$4331,A1284,'Odoo Items'!$C$5:$C$4331,"&lt;="&amp;Cover!$C$14),2)</f>
        <v>0</v>
      </c>
      <c r="U1284">
        <f>COUNTIFS('Bank Lines'!$G$5:$G$1640,A1284,'Bank Lines'!$J$5:$J$1640,1,'Bank Lines'!$C$5:$C$1640,"&lt;="&amp;Cover!$C$14)</f>
        <v>0</v>
      </c>
      <c r="V1284">
        <f>COUNTIFS('Odoo Items'!$J$5:$J$4331,A1284,'Odoo Items'!$C$5:$C$4331,"&lt;="&amp;Cover!$C$14)</f>
        <v>0</v>
      </c>
      <c r="W1284">
        <f>IF(AND(U1284=0,V1284=0),"",IF(U1284=0,"ODOO-ONLY",IF(V1284=0,"BANK-ONLY","BOTH")))</f>
      </c>
      <c r="X1284" s="9">
        <f>IF(W1284="BOTH",ROUND(S1284-T1284,2),0)</f>
        <v>0</v>
      </c>
      <c r="Y1284" s="9">
        <f>ROUND(SUMIFS('Bank Lines'!$E$5:$E$1640,'Bank Lines'!$G$5:$G$1640,A1284,'Bank Lines'!$J$5:$J$1640,1,'Bank Lines'!$C$5:$C$1640,"&lt;="&amp;Cover!$C$15),2)</f>
        <v>0</v>
      </c>
      <c r="Z1284" s="9">
        <f>ROUND(SUMIFS('Odoo Items'!$G$5:$G$4331,'Odoo Items'!$J$5:$J$4331,A1284,'Odoo Items'!$C$5:$C$4331,"&lt;="&amp;Cover!$C$15),2)</f>
        <v>150</v>
      </c>
      <c r="AA1284">
        <f>COUNTIFS('Bank Lines'!$G$5:$G$1640,A1284,'Bank Lines'!$J$5:$J$1640,1,'Bank Lines'!$C$5:$C$1640,"&lt;="&amp;Cover!$C$15)</f>
        <v>0</v>
      </c>
      <c r="AB1284">
        <f>COUNTIFS('Odoo Items'!$J$5:$J$4331,A1284,'Odoo Items'!$C$5:$C$4331,"&lt;="&amp;Cover!$C$15)</f>
        <v>1</v>
      </c>
      <c r="AC1284" t="str">
        <f>IF(AND(AA1284=0,AB1284=0),"",IF(AA1284=0,"ODOO-ONLY",IF(AB1284=0,"BANK-ONLY","BOTH")))</f>
        <v>ODOO-ONLY</v>
      </c>
      <c r="AD1284" s="9">
        <f>IF(AC1284="BOTH",ROUND(Y1284-Z1284,2),0)</f>
        <v>0</v>
      </c>
    </row>
    <row r="1285">
      <c r="A1285" t="inlineStr">
        <is>
          <t>G01281</t>
        </is>
      </c>
      <c r="B1285" t="inlineStr">
        <is>
          <t>OPS</t>
        </is>
      </c>
      <c r="C1285" t="inlineStr">
        <is>
          <t>R99</t>
        </is>
      </c>
      <c r="D1285" t="inlineStr">
        <is>
          <t>OUT</t>
        </is>
      </c>
      <c r="E1285" t="inlineStr"/>
      <c r="G1285" t="inlineStr">
        <is>
          <t>In Odoo, not yet on the bank statement at 30 Sep</t>
        </is>
      </c>
      <c r="H1285">
        <f>COUNTIFS('Bank Lines'!$G$5:$G$1640,A1285,'Bank Lines'!$J$5:$J$1640,1)</f>
        <v>0</v>
      </c>
      <c r="I1285">
        <f>COUNTIFS('Odoo Items'!$J$5:$J$4331,A1285)</f>
        <v>1</v>
      </c>
      <c r="J1285" s="9">
        <f>ROUND(SUMIFS('Bank Lines'!$E$5:$E$1640,'Bank Lines'!$G$5:$G$1640,A1285,'Bank Lines'!$J$5:$J$1640,1),2)</f>
        <v>0</v>
      </c>
      <c r="K1285" s="9">
        <f>ROUND(SUMIFS('Odoo Items'!$G$5:$G$4331,'Odoo Items'!$J$5:$J$4331,A1285),2)</f>
        <v>135</v>
      </c>
      <c r="L1285" s="9">
        <f>ROUND(J1285-K1285,2)</f>
        <v>-135</v>
      </c>
      <c r="M1285" s="9">
        <f>ROUND(SUMIFS('Bank Lines'!$E$5:$E$1640,'Bank Lines'!$G$5:$G$1640,A1285,'Bank Lines'!$J$5:$J$1640,1,'Bank Lines'!$C$5:$C$1640,"&lt;="&amp;Cover!$C$13),2)</f>
        <v>0</v>
      </c>
      <c r="N1285" s="9">
        <f>ROUND(SUMIFS('Odoo Items'!$G$5:$G$4331,'Odoo Items'!$J$5:$J$4331,A1285,'Odoo Items'!$C$5:$C$4331,"&lt;="&amp;Cover!$C$13),2)</f>
        <v>0</v>
      </c>
      <c r="O1285">
        <f>COUNTIFS('Bank Lines'!$G$5:$G$1640,A1285,'Bank Lines'!$J$5:$J$1640,1,'Bank Lines'!$C$5:$C$1640,"&lt;="&amp;Cover!$C$13)</f>
        <v>0</v>
      </c>
      <c r="P1285">
        <f>COUNTIFS('Odoo Items'!$J$5:$J$4331,A1285,'Odoo Items'!$C$5:$C$4331,"&lt;="&amp;Cover!$C$13)</f>
        <v>0</v>
      </c>
      <c r="Q1285">
        <f>IF(AND(O1285=0,P1285=0),"",IF(O1285=0,"ODOO-ONLY",IF(P1285=0,"BANK-ONLY","BOTH")))</f>
      </c>
      <c r="R1285" s="9">
        <f>IF(Q1285="BOTH",ROUND(M1285-N1285,2),0)</f>
        <v>0</v>
      </c>
      <c r="S1285" s="9">
        <f>ROUND(SUMIFS('Bank Lines'!$E$5:$E$1640,'Bank Lines'!$G$5:$G$1640,A1285,'Bank Lines'!$J$5:$J$1640,1,'Bank Lines'!$C$5:$C$1640,"&lt;="&amp;Cover!$C$14),2)</f>
        <v>0</v>
      </c>
      <c r="T1285" s="9">
        <f>ROUND(SUMIFS('Odoo Items'!$G$5:$G$4331,'Odoo Items'!$J$5:$J$4331,A1285,'Odoo Items'!$C$5:$C$4331,"&lt;="&amp;Cover!$C$14),2)</f>
        <v>0</v>
      </c>
      <c r="U1285">
        <f>COUNTIFS('Bank Lines'!$G$5:$G$1640,A1285,'Bank Lines'!$J$5:$J$1640,1,'Bank Lines'!$C$5:$C$1640,"&lt;="&amp;Cover!$C$14)</f>
        <v>0</v>
      </c>
      <c r="V1285">
        <f>COUNTIFS('Odoo Items'!$J$5:$J$4331,A1285,'Odoo Items'!$C$5:$C$4331,"&lt;="&amp;Cover!$C$14)</f>
        <v>0</v>
      </c>
      <c r="W1285">
        <f>IF(AND(U1285=0,V1285=0),"",IF(U1285=0,"ODOO-ONLY",IF(V1285=0,"BANK-ONLY","BOTH")))</f>
      </c>
      <c r="X1285" s="9">
        <f>IF(W1285="BOTH",ROUND(S1285-T1285,2),0)</f>
        <v>0</v>
      </c>
      <c r="Y1285" s="9">
        <f>ROUND(SUMIFS('Bank Lines'!$E$5:$E$1640,'Bank Lines'!$G$5:$G$1640,A1285,'Bank Lines'!$J$5:$J$1640,1,'Bank Lines'!$C$5:$C$1640,"&lt;="&amp;Cover!$C$15),2)</f>
        <v>0</v>
      </c>
      <c r="Z1285" s="9">
        <f>ROUND(SUMIFS('Odoo Items'!$G$5:$G$4331,'Odoo Items'!$J$5:$J$4331,A1285,'Odoo Items'!$C$5:$C$4331,"&lt;="&amp;Cover!$C$15),2)</f>
        <v>135</v>
      </c>
      <c r="AA1285">
        <f>COUNTIFS('Bank Lines'!$G$5:$G$1640,A1285,'Bank Lines'!$J$5:$J$1640,1,'Bank Lines'!$C$5:$C$1640,"&lt;="&amp;Cover!$C$15)</f>
        <v>0</v>
      </c>
      <c r="AB1285">
        <f>COUNTIFS('Odoo Items'!$J$5:$J$4331,A1285,'Odoo Items'!$C$5:$C$4331,"&lt;="&amp;Cover!$C$15)</f>
        <v>1</v>
      </c>
      <c r="AC1285" t="str">
        <f>IF(AND(AA1285=0,AB1285=0),"",IF(AA1285=0,"ODOO-ONLY",IF(AB1285=0,"BANK-ONLY","BOTH")))</f>
        <v>ODOO-ONLY</v>
      </c>
      <c r="AD1285" s="9">
        <f>IF(AC1285="BOTH",ROUND(Y1285-Z1285,2),0)</f>
        <v>0</v>
      </c>
    </row>
    <row r="1286">
      <c r="A1286" t="inlineStr">
        <is>
          <t>G01282</t>
        </is>
      </c>
      <c r="B1286" t="inlineStr">
        <is>
          <t>OPS</t>
        </is>
      </c>
      <c r="C1286" t="inlineStr">
        <is>
          <t>R99</t>
        </is>
      </c>
      <c r="D1286" t="inlineStr">
        <is>
          <t>OUT</t>
        </is>
      </c>
      <c r="E1286" t="inlineStr"/>
      <c r="G1286" t="inlineStr">
        <is>
          <t>In Odoo, not yet on the bank statement at 30 Sep</t>
        </is>
      </c>
      <c r="H1286">
        <f>COUNTIFS('Bank Lines'!$G$5:$G$1640,A1286,'Bank Lines'!$J$5:$J$1640,1)</f>
        <v>0</v>
      </c>
      <c r="I1286">
        <f>COUNTIFS('Odoo Items'!$J$5:$J$4331,A1286)</f>
        <v>1</v>
      </c>
      <c r="J1286" s="9">
        <f>ROUND(SUMIFS('Bank Lines'!$E$5:$E$1640,'Bank Lines'!$G$5:$G$1640,A1286,'Bank Lines'!$J$5:$J$1640,1),2)</f>
        <v>0</v>
      </c>
      <c r="K1286" s="9">
        <f>ROUND(SUMIFS('Odoo Items'!$G$5:$G$4331,'Odoo Items'!$J$5:$J$4331,A1286),2)</f>
        <v>135</v>
      </c>
      <c r="L1286" s="9">
        <f>ROUND(J1286-K1286,2)</f>
        <v>-135</v>
      </c>
      <c r="M1286" s="9">
        <f>ROUND(SUMIFS('Bank Lines'!$E$5:$E$1640,'Bank Lines'!$G$5:$G$1640,A1286,'Bank Lines'!$J$5:$J$1640,1,'Bank Lines'!$C$5:$C$1640,"&lt;="&amp;Cover!$C$13),2)</f>
        <v>0</v>
      </c>
      <c r="N1286" s="9">
        <f>ROUND(SUMIFS('Odoo Items'!$G$5:$G$4331,'Odoo Items'!$J$5:$J$4331,A1286,'Odoo Items'!$C$5:$C$4331,"&lt;="&amp;Cover!$C$13),2)</f>
        <v>0</v>
      </c>
      <c r="O1286">
        <f>COUNTIFS('Bank Lines'!$G$5:$G$1640,A1286,'Bank Lines'!$J$5:$J$1640,1,'Bank Lines'!$C$5:$C$1640,"&lt;="&amp;Cover!$C$13)</f>
        <v>0</v>
      </c>
      <c r="P1286">
        <f>COUNTIFS('Odoo Items'!$J$5:$J$4331,A1286,'Odoo Items'!$C$5:$C$4331,"&lt;="&amp;Cover!$C$13)</f>
        <v>0</v>
      </c>
      <c r="Q1286">
        <f>IF(AND(O1286=0,P1286=0),"",IF(O1286=0,"ODOO-ONLY",IF(P1286=0,"BANK-ONLY","BOTH")))</f>
      </c>
      <c r="R1286" s="9">
        <f>IF(Q1286="BOTH",ROUND(M1286-N1286,2),0)</f>
        <v>0</v>
      </c>
      <c r="S1286" s="9">
        <f>ROUND(SUMIFS('Bank Lines'!$E$5:$E$1640,'Bank Lines'!$G$5:$G$1640,A1286,'Bank Lines'!$J$5:$J$1640,1,'Bank Lines'!$C$5:$C$1640,"&lt;="&amp;Cover!$C$14),2)</f>
        <v>0</v>
      </c>
      <c r="T1286" s="9">
        <f>ROUND(SUMIFS('Odoo Items'!$G$5:$G$4331,'Odoo Items'!$J$5:$J$4331,A1286,'Odoo Items'!$C$5:$C$4331,"&lt;="&amp;Cover!$C$14),2)</f>
        <v>0</v>
      </c>
      <c r="U1286">
        <f>COUNTIFS('Bank Lines'!$G$5:$G$1640,A1286,'Bank Lines'!$J$5:$J$1640,1,'Bank Lines'!$C$5:$C$1640,"&lt;="&amp;Cover!$C$14)</f>
        <v>0</v>
      </c>
      <c r="V1286">
        <f>COUNTIFS('Odoo Items'!$J$5:$J$4331,A1286,'Odoo Items'!$C$5:$C$4331,"&lt;="&amp;Cover!$C$14)</f>
        <v>0</v>
      </c>
      <c r="W1286">
        <f>IF(AND(U1286=0,V1286=0),"",IF(U1286=0,"ODOO-ONLY",IF(V1286=0,"BANK-ONLY","BOTH")))</f>
      </c>
      <c r="X1286" s="9">
        <f>IF(W1286="BOTH",ROUND(S1286-T1286,2),0)</f>
        <v>0</v>
      </c>
      <c r="Y1286" s="9">
        <f>ROUND(SUMIFS('Bank Lines'!$E$5:$E$1640,'Bank Lines'!$G$5:$G$1640,A1286,'Bank Lines'!$J$5:$J$1640,1,'Bank Lines'!$C$5:$C$1640,"&lt;="&amp;Cover!$C$15),2)</f>
        <v>0</v>
      </c>
      <c r="Z1286" s="9">
        <f>ROUND(SUMIFS('Odoo Items'!$G$5:$G$4331,'Odoo Items'!$J$5:$J$4331,A1286,'Odoo Items'!$C$5:$C$4331,"&lt;="&amp;Cover!$C$15),2)</f>
        <v>135</v>
      </c>
      <c r="AA1286">
        <f>COUNTIFS('Bank Lines'!$G$5:$G$1640,A1286,'Bank Lines'!$J$5:$J$1640,1,'Bank Lines'!$C$5:$C$1640,"&lt;="&amp;Cover!$C$15)</f>
        <v>0</v>
      </c>
      <c r="AB1286">
        <f>COUNTIFS('Odoo Items'!$J$5:$J$4331,A1286,'Odoo Items'!$C$5:$C$4331,"&lt;="&amp;Cover!$C$15)</f>
        <v>1</v>
      </c>
      <c r="AC1286" t="str">
        <f>IF(AND(AA1286=0,AB1286=0),"",IF(AA1286=0,"ODOO-ONLY",IF(AB1286=0,"BANK-ONLY","BOTH")))</f>
        <v>ODOO-ONLY</v>
      </c>
      <c r="AD1286" s="9">
        <f>IF(AC1286="BOTH",ROUND(Y1286-Z1286,2),0)</f>
        <v>0</v>
      </c>
    </row>
    <row r="1287">
      <c r="A1287" t="inlineStr">
        <is>
          <t>G01283</t>
        </is>
      </c>
      <c r="B1287" t="inlineStr">
        <is>
          <t>OPS</t>
        </is>
      </c>
      <c r="C1287" t="inlineStr">
        <is>
          <t>R99</t>
        </is>
      </c>
      <c r="D1287" t="inlineStr">
        <is>
          <t>OUT</t>
        </is>
      </c>
      <c r="E1287" t="inlineStr"/>
      <c r="G1287" t="inlineStr">
        <is>
          <t>In Odoo, not yet on the bank statement at 30 Sep</t>
        </is>
      </c>
      <c r="H1287">
        <f>COUNTIFS('Bank Lines'!$G$5:$G$1640,A1287,'Bank Lines'!$J$5:$J$1640,1)</f>
        <v>0</v>
      </c>
      <c r="I1287">
        <f>COUNTIFS('Odoo Items'!$J$5:$J$4331,A1287)</f>
        <v>1</v>
      </c>
      <c r="J1287" s="9">
        <f>ROUND(SUMIFS('Bank Lines'!$E$5:$E$1640,'Bank Lines'!$G$5:$G$1640,A1287,'Bank Lines'!$J$5:$J$1640,1),2)</f>
        <v>0</v>
      </c>
      <c r="K1287" s="9">
        <f>ROUND(SUMIFS('Odoo Items'!$G$5:$G$4331,'Odoo Items'!$J$5:$J$4331,A1287),2)</f>
        <v>85</v>
      </c>
      <c r="L1287" s="9">
        <f>ROUND(J1287-K1287,2)</f>
        <v>-85</v>
      </c>
      <c r="M1287" s="9">
        <f>ROUND(SUMIFS('Bank Lines'!$E$5:$E$1640,'Bank Lines'!$G$5:$G$1640,A1287,'Bank Lines'!$J$5:$J$1640,1,'Bank Lines'!$C$5:$C$1640,"&lt;="&amp;Cover!$C$13),2)</f>
        <v>0</v>
      </c>
      <c r="N1287" s="9">
        <f>ROUND(SUMIFS('Odoo Items'!$G$5:$G$4331,'Odoo Items'!$J$5:$J$4331,A1287,'Odoo Items'!$C$5:$C$4331,"&lt;="&amp;Cover!$C$13),2)</f>
        <v>0</v>
      </c>
      <c r="O1287">
        <f>COUNTIFS('Bank Lines'!$G$5:$G$1640,A1287,'Bank Lines'!$J$5:$J$1640,1,'Bank Lines'!$C$5:$C$1640,"&lt;="&amp;Cover!$C$13)</f>
        <v>0</v>
      </c>
      <c r="P1287">
        <f>COUNTIFS('Odoo Items'!$J$5:$J$4331,A1287,'Odoo Items'!$C$5:$C$4331,"&lt;="&amp;Cover!$C$13)</f>
        <v>0</v>
      </c>
      <c r="Q1287">
        <f>IF(AND(O1287=0,P1287=0),"",IF(O1287=0,"ODOO-ONLY",IF(P1287=0,"BANK-ONLY","BOTH")))</f>
      </c>
      <c r="R1287" s="9">
        <f>IF(Q1287="BOTH",ROUND(M1287-N1287,2),0)</f>
        <v>0</v>
      </c>
      <c r="S1287" s="9">
        <f>ROUND(SUMIFS('Bank Lines'!$E$5:$E$1640,'Bank Lines'!$G$5:$G$1640,A1287,'Bank Lines'!$J$5:$J$1640,1,'Bank Lines'!$C$5:$C$1640,"&lt;="&amp;Cover!$C$14),2)</f>
        <v>0</v>
      </c>
      <c r="T1287" s="9">
        <f>ROUND(SUMIFS('Odoo Items'!$G$5:$G$4331,'Odoo Items'!$J$5:$J$4331,A1287,'Odoo Items'!$C$5:$C$4331,"&lt;="&amp;Cover!$C$14),2)</f>
        <v>0</v>
      </c>
      <c r="U1287">
        <f>COUNTIFS('Bank Lines'!$G$5:$G$1640,A1287,'Bank Lines'!$J$5:$J$1640,1,'Bank Lines'!$C$5:$C$1640,"&lt;="&amp;Cover!$C$14)</f>
        <v>0</v>
      </c>
      <c r="V1287">
        <f>COUNTIFS('Odoo Items'!$J$5:$J$4331,A1287,'Odoo Items'!$C$5:$C$4331,"&lt;="&amp;Cover!$C$14)</f>
        <v>0</v>
      </c>
      <c r="W1287">
        <f>IF(AND(U1287=0,V1287=0),"",IF(U1287=0,"ODOO-ONLY",IF(V1287=0,"BANK-ONLY","BOTH")))</f>
      </c>
      <c r="X1287" s="9">
        <f>IF(W1287="BOTH",ROUND(S1287-T1287,2),0)</f>
        <v>0</v>
      </c>
      <c r="Y1287" s="9">
        <f>ROUND(SUMIFS('Bank Lines'!$E$5:$E$1640,'Bank Lines'!$G$5:$G$1640,A1287,'Bank Lines'!$J$5:$J$1640,1,'Bank Lines'!$C$5:$C$1640,"&lt;="&amp;Cover!$C$15),2)</f>
        <v>0</v>
      </c>
      <c r="Z1287" s="9">
        <f>ROUND(SUMIFS('Odoo Items'!$G$5:$G$4331,'Odoo Items'!$J$5:$J$4331,A1287,'Odoo Items'!$C$5:$C$4331,"&lt;="&amp;Cover!$C$15),2)</f>
        <v>85</v>
      </c>
      <c r="AA1287">
        <f>COUNTIFS('Bank Lines'!$G$5:$G$1640,A1287,'Bank Lines'!$J$5:$J$1640,1,'Bank Lines'!$C$5:$C$1640,"&lt;="&amp;Cover!$C$15)</f>
        <v>0</v>
      </c>
      <c r="AB1287">
        <f>COUNTIFS('Odoo Items'!$J$5:$J$4331,A1287,'Odoo Items'!$C$5:$C$4331,"&lt;="&amp;Cover!$C$15)</f>
        <v>1</v>
      </c>
      <c r="AC1287" t="str">
        <f>IF(AND(AA1287=0,AB1287=0),"",IF(AA1287=0,"ODOO-ONLY",IF(AB1287=0,"BANK-ONLY","BOTH")))</f>
        <v>ODOO-ONLY</v>
      </c>
      <c r="AD1287" s="9">
        <f>IF(AC1287="BOTH",ROUND(Y1287-Z1287,2),0)</f>
        <v>0</v>
      </c>
    </row>
    <row r="1288">
      <c r="A1288" t="inlineStr">
        <is>
          <t>G01284</t>
        </is>
      </c>
      <c r="B1288" t="inlineStr">
        <is>
          <t>OPS</t>
        </is>
      </c>
      <c r="C1288" t="inlineStr">
        <is>
          <t>R99</t>
        </is>
      </c>
      <c r="D1288" t="inlineStr">
        <is>
          <t>OUT</t>
        </is>
      </c>
      <c r="E1288" t="inlineStr"/>
      <c r="G1288" t="inlineStr">
        <is>
          <t>In Odoo, not yet on the bank statement at 30 Sep</t>
        </is>
      </c>
      <c r="H1288">
        <f>COUNTIFS('Bank Lines'!$G$5:$G$1640,A1288,'Bank Lines'!$J$5:$J$1640,1)</f>
        <v>0</v>
      </c>
      <c r="I1288">
        <f>COUNTIFS('Odoo Items'!$J$5:$J$4331,A1288)</f>
        <v>1</v>
      </c>
      <c r="J1288" s="9">
        <f>ROUND(SUMIFS('Bank Lines'!$E$5:$E$1640,'Bank Lines'!$G$5:$G$1640,A1288,'Bank Lines'!$J$5:$J$1640,1),2)</f>
        <v>0</v>
      </c>
      <c r="K1288" s="9">
        <f>ROUND(SUMIFS('Odoo Items'!$G$5:$G$4331,'Odoo Items'!$J$5:$J$4331,A1288),2)</f>
        <v>110</v>
      </c>
      <c r="L1288" s="9">
        <f>ROUND(J1288-K1288,2)</f>
        <v>-110</v>
      </c>
      <c r="M1288" s="9">
        <f>ROUND(SUMIFS('Bank Lines'!$E$5:$E$1640,'Bank Lines'!$G$5:$G$1640,A1288,'Bank Lines'!$J$5:$J$1640,1,'Bank Lines'!$C$5:$C$1640,"&lt;="&amp;Cover!$C$13),2)</f>
        <v>0</v>
      </c>
      <c r="N1288" s="9">
        <f>ROUND(SUMIFS('Odoo Items'!$G$5:$G$4331,'Odoo Items'!$J$5:$J$4331,A1288,'Odoo Items'!$C$5:$C$4331,"&lt;="&amp;Cover!$C$13),2)</f>
        <v>0</v>
      </c>
      <c r="O1288">
        <f>COUNTIFS('Bank Lines'!$G$5:$G$1640,A1288,'Bank Lines'!$J$5:$J$1640,1,'Bank Lines'!$C$5:$C$1640,"&lt;="&amp;Cover!$C$13)</f>
        <v>0</v>
      </c>
      <c r="P1288">
        <f>COUNTIFS('Odoo Items'!$J$5:$J$4331,A1288,'Odoo Items'!$C$5:$C$4331,"&lt;="&amp;Cover!$C$13)</f>
        <v>0</v>
      </c>
      <c r="Q1288">
        <f>IF(AND(O1288=0,P1288=0),"",IF(O1288=0,"ODOO-ONLY",IF(P1288=0,"BANK-ONLY","BOTH")))</f>
      </c>
      <c r="R1288" s="9">
        <f>IF(Q1288="BOTH",ROUND(M1288-N1288,2),0)</f>
        <v>0</v>
      </c>
      <c r="S1288" s="9">
        <f>ROUND(SUMIFS('Bank Lines'!$E$5:$E$1640,'Bank Lines'!$G$5:$G$1640,A1288,'Bank Lines'!$J$5:$J$1640,1,'Bank Lines'!$C$5:$C$1640,"&lt;="&amp;Cover!$C$14),2)</f>
        <v>0</v>
      </c>
      <c r="T1288" s="9">
        <f>ROUND(SUMIFS('Odoo Items'!$G$5:$G$4331,'Odoo Items'!$J$5:$J$4331,A1288,'Odoo Items'!$C$5:$C$4331,"&lt;="&amp;Cover!$C$14),2)</f>
        <v>0</v>
      </c>
      <c r="U1288">
        <f>COUNTIFS('Bank Lines'!$G$5:$G$1640,A1288,'Bank Lines'!$J$5:$J$1640,1,'Bank Lines'!$C$5:$C$1640,"&lt;="&amp;Cover!$C$14)</f>
        <v>0</v>
      </c>
      <c r="V1288">
        <f>COUNTIFS('Odoo Items'!$J$5:$J$4331,A1288,'Odoo Items'!$C$5:$C$4331,"&lt;="&amp;Cover!$C$14)</f>
        <v>0</v>
      </c>
      <c r="W1288">
        <f>IF(AND(U1288=0,V1288=0),"",IF(U1288=0,"ODOO-ONLY",IF(V1288=0,"BANK-ONLY","BOTH")))</f>
      </c>
      <c r="X1288" s="9">
        <f>IF(W1288="BOTH",ROUND(S1288-T1288,2),0)</f>
        <v>0</v>
      </c>
      <c r="Y1288" s="9">
        <f>ROUND(SUMIFS('Bank Lines'!$E$5:$E$1640,'Bank Lines'!$G$5:$G$1640,A1288,'Bank Lines'!$J$5:$J$1640,1,'Bank Lines'!$C$5:$C$1640,"&lt;="&amp;Cover!$C$15),2)</f>
        <v>0</v>
      </c>
      <c r="Z1288" s="9">
        <f>ROUND(SUMIFS('Odoo Items'!$G$5:$G$4331,'Odoo Items'!$J$5:$J$4331,A1288,'Odoo Items'!$C$5:$C$4331,"&lt;="&amp;Cover!$C$15),2)</f>
        <v>110</v>
      </c>
      <c r="AA1288">
        <f>COUNTIFS('Bank Lines'!$G$5:$G$1640,A1288,'Bank Lines'!$J$5:$J$1640,1,'Bank Lines'!$C$5:$C$1640,"&lt;="&amp;Cover!$C$15)</f>
        <v>0</v>
      </c>
      <c r="AB1288">
        <f>COUNTIFS('Odoo Items'!$J$5:$J$4331,A1288,'Odoo Items'!$C$5:$C$4331,"&lt;="&amp;Cover!$C$15)</f>
        <v>1</v>
      </c>
      <c r="AC1288" t="str">
        <f>IF(AND(AA1288=0,AB1288=0),"",IF(AA1288=0,"ODOO-ONLY",IF(AB1288=0,"BANK-ONLY","BOTH")))</f>
        <v>ODOO-ONLY</v>
      </c>
      <c r="AD1288" s="9">
        <f>IF(AC1288="BOTH",ROUND(Y1288-Z1288,2),0)</f>
        <v>0</v>
      </c>
    </row>
    <row r="1289">
      <c r="A1289" t="inlineStr">
        <is>
          <t>G01285</t>
        </is>
      </c>
      <c r="B1289" t="inlineStr">
        <is>
          <t>OPS</t>
        </is>
      </c>
      <c r="C1289" t="inlineStr">
        <is>
          <t>R99</t>
        </is>
      </c>
      <c r="D1289" t="inlineStr">
        <is>
          <t>OUT</t>
        </is>
      </c>
      <c r="E1289" t="inlineStr"/>
      <c r="G1289" t="inlineStr">
        <is>
          <t>In Odoo, not yet on the bank statement at 30 Sep</t>
        </is>
      </c>
      <c r="H1289">
        <f>COUNTIFS('Bank Lines'!$G$5:$G$1640,A1289,'Bank Lines'!$J$5:$J$1640,1)</f>
        <v>0</v>
      </c>
      <c r="I1289">
        <f>COUNTIFS('Odoo Items'!$J$5:$J$4331,A1289)</f>
        <v>1</v>
      </c>
      <c r="J1289" s="9">
        <f>ROUND(SUMIFS('Bank Lines'!$E$5:$E$1640,'Bank Lines'!$G$5:$G$1640,A1289,'Bank Lines'!$J$5:$J$1640,1),2)</f>
        <v>0</v>
      </c>
      <c r="K1289" s="9">
        <f>ROUND(SUMIFS('Odoo Items'!$G$5:$G$4331,'Odoo Items'!$J$5:$J$4331,A1289),2)</f>
        <v>150</v>
      </c>
      <c r="L1289" s="9">
        <f>ROUND(J1289-K1289,2)</f>
        <v>-150</v>
      </c>
      <c r="M1289" s="9">
        <f>ROUND(SUMIFS('Bank Lines'!$E$5:$E$1640,'Bank Lines'!$G$5:$G$1640,A1289,'Bank Lines'!$J$5:$J$1640,1,'Bank Lines'!$C$5:$C$1640,"&lt;="&amp;Cover!$C$13),2)</f>
        <v>0</v>
      </c>
      <c r="N1289" s="9">
        <f>ROUND(SUMIFS('Odoo Items'!$G$5:$G$4331,'Odoo Items'!$J$5:$J$4331,A1289,'Odoo Items'!$C$5:$C$4331,"&lt;="&amp;Cover!$C$13),2)</f>
        <v>0</v>
      </c>
      <c r="O1289">
        <f>COUNTIFS('Bank Lines'!$G$5:$G$1640,A1289,'Bank Lines'!$J$5:$J$1640,1,'Bank Lines'!$C$5:$C$1640,"&lt;="&amp;Cover!$C$13)</f>
        <v>0</v>
      </c>
      <c r="P1289">
        <f>COUNTIFS('Odoo Items'!$J$5:$J$4331,A1289,'Odoo Items'!$C$5:$C$4331,"&lt;="&amp;Cover!$C$13)</f>
        <v>0</v>
      </c>
      <c r="Q1289">
        <f>IF(AND(O1289=0,P1289=0),"",IF(O1289=0,"ODOO-ONLY",IF(P1289=0,"BANK-ONLY","BOTH")))</f>
      </c>
      <c r="R1289" s="9">
        <f>IF(Q1289="BOTH",ROUND(M1289-N1289,2),0)</f>
        <v>0</v>
      </c>
      <c r="S1289" s="9">
        <f>ROUND(SUMIFS('Bank Lines'!$E$5:$E$1640,'Bank Lines'!$G$5:$G$1640,A1289,'Bank Lines'!$J$5:$J$1640,1,'Bank Lines'!$C$5:$C$1640,"&lt;="&amp;Cover!$C$14),2)</f>
        <v>0</v>
      </c>
      <c r="T1289" s="9">
        <f>ROUND(SUMIFS('Odoo Items'!$G$5:$G$4331,'Odoo Items'!$J$5:$J$4331,A1289,'Odoo Items'!$C$5:$C$4331,"&lt;="&amp;Cover!$C$14),2)</f>
        <v>0</v>
      </c>
      <c r="U1289">
        <f>COUNTIFS('Bank Lines'!$G$5:$G$1640,A1289,'Bank Lines'!$J$5:$J$1640,1,'Bank Lines'!$C$5:$C$1640,"&lt;="&amp;Cover!$C$14)</f>
        <v>0</v>
      </c>
      <c r="V1289">
        <f>COUNTIFS('Odoo Items'!$J$5:$J$4331,A1289,'Odoo Items'!$C$5:$C$4331,"&lt;="&amp;Cover!$C$14)</f>
        <v>0</v>
      </c>
      <c r="W1289">
        <f>IF(AND(U1289=0,V1289=0),"",IF(U1289=0,"ODOO-ONLY",IF(V1289=0,"BANK-ONLY","BOTH")))</f>
      </c>
      <c r="X1289" s="9">
        <f>IF(W1289="BOTH",ROUND(S1289-T1289,2),0)</f>
        <v>0</v>
      </c>
      <c r="Y1289" s="9">
        <f>ROUND(SUMIFS('Bank Lines'!$E$5:$E$1640,'Bank Lines'!$G$5:$G$1640,A1289,'Bank Lines'!$J$5:$J$1640,1,'Bank Lines'!$C$5:$C$1640,"&lt;="&amp;Cover!$C$15),2)</f>
        <v>0</v>
      </c>
      <c r="Z1289" s="9">
        <f>ROUND(SUMIFS('Odoo Items'!$G$5:$G$4331,'Odoo Items'!$J$5:$J$4331,A1289,'Odoo Items'!$C$5:$C$4331,"&lt;="&amp;Cover!$C$15),2)</f>
        <v>150</v>
      </c>
      <c r="AA1289">
        <f>COUNTIFS('Bank Lines'!$G$5:$G$1640,A1289,'Bank Lines'!$J$5:$J$1640,1,'Bank Lines'!$C$5:$C$1640,"&lt;="&amp;Cover!$C$15)</f>
        <v>0</v>
      </c>
      <c r="AB1289">
        <f>COUNTIFS('Odoo Items'!$J$5:$J$4331,A1289,'Odoo Items'!$C$5:$C$4331,"&lt;="&amp;Cover!$C$15)</f>
        <v>1</v>
      </c>
      <c r="AC1289" t="str">
        <f>IF(AND(AA1289=0,AB1289=0),"",IF(AA1289=0,"ODOO-ONLY",IF(AB1289=0,"BANK-ONLY","BOTH")))</f>
        <v>ODOO-ONLY</v>
      </c>
      <c r="AD1289" s="9">
        <f>IF(AC1289="BOTH",ROUND(Y1289-Z1289,2),0)</f>
        <v>0</v>
      </c>
    </row>
    <row r="1290">
      <c r="A1290" t="inlineStr">
        <is>
          <t>G01286</t>
        </is>
      </c>
      <c r="B1290" t="inlineStr">
        <is>
          <t>OPS</t>
        </is>
      </c>
      <c r="C1290" t="inlineStr">
        <is>
          <t>R99</t>
        </is>
      </c>
      <c r="D1290" t="inlineStr">
        <is>
          <t>OUT</t>
        </is>
      </c>
      <c r="E1290" t="inlineStr"/>
      <c r="G1290" t="inlineStr">
        <is>
          <t>In Odoo, not yet on the bank statement at 30 Sep</t>
        </is>
      </c>
      <c r="H1290">
        <f>COUNTIFS('Bank Lines'!$G$5:$G$1640,A1290,'Bank Lines'!$J$5:$J$1640,1)</f>
        <v>0</v>
      </c>
      <c r="I1290">
        <f>COUNTIFS('Odoo Items'!$J$5:$J$4331,A1290)</f>
        <v>1</v>
      </c>
      <c r="J1290" s="9">
        <f>ROUND(SUMIFS('Bank Lines'!$E$5:$E$1640,'Bank Lines'!$G$5:$G$1640,A1290,'Bank Lines'!$J$5:$J$1640,1),2)</f>
        <v>0</v>
      </c>
      <c r="K1290" s="9">
        <f>ROUND(SUMIFS('Odoo Items'!$G$5:$G$4331,'Odoo Items'!$J$5:$J$4331,A1290),2)</f>
        <v>150</v>
      </c>
      <c r="L1290" s="9">
        <f>ROUND(J1290-K1290,2)</f>
        <v>-150</v>
      </c>
      <c r="M1290" s="9">
        <f>ROUND(SUMIFS('Bank Lines'!$E$5:$E$1640,'Bank Lines'!$G$5:$G$1640,A1290,'Bank Lines'!$J$5:$J$1640,1,'Bank Lines'!$C$5:$C$1640,"&lt;="&amp;Cover!$C$13),2)</f>
        <v>0</v>
      </c>
      <c r="N1290" s="9">
        <f>ROUND(SUMIFS('Odoo Items'!$G$5:$G$4331,'Odoo Items'!$J$5:$J$4331,A1290,'Odoo Items'!$C$5:$C$4331,"&lt;="&amp;Cover!$C$13),2)</f>
        <v>0</v>
      </c>
      <c r="O1290">
        <f>COUNTIFS('Bank Lines'!$G$5:$G$1640,A1290,'Bank Lines'!$J$5:$J$1640,1,'Bank Lines'!$C$5:$C$1640,"&lt;="&amp;Cover!$C$13)</f>
        <v>0</v>
      </c>
      <c r="P1290">
        <f>COUNTIFS('Odoo Items'!$J$5:$J$4331,A1290,'Odoo Items'!$C$5:$C$4331,"&lt;="&amp;Cover!$C$13)</f>
        <v>0</v>
      </c>
      <c r="Q1290">
        <f>IF(AND(O1290=0,P1290=0),"",IF(O1290=0,"ODOO-ONLY",IF(P1290=0,"BANK-ONLY","BOTH")))</f>
      </c>
      <c r="R1290" s="9">
        <f>IF(Q1290="BOTH",ROUND(M1290-N1290,2),0)</f>
        <v>0</v>
      </c>
      <c r="S1290" s="9">
        <f>ROUND(SUMIFS('Bank Lines'!$E$5:$E$1640,'Bank Lines'!$G$5:$G$1640,A1290,'Bank Lines'!$J$5:$J$1640,1,'Bank Lines'!$C$5:$C$1640,"&lt;="&amp;Cover!$C$14),2)</f>
        <v>0</v>
      </c>
      <c r="T1290" s="9">
        <f>ROUND(SUMIFS('Odoo Items'!$G$5:$G$4331,'Odoo Items'!$J$5:$J$4331,A1290,'Odoo Items'!$C$5:$C$4331,"&lt;="&amp;Cover!$C$14),2)</f>
        <v>0</v>
      </c>
      <c r="U1290">
        <f>COUNTIFS('Bank Lines'!$G$5:$G$1640,A1290,'Bank Lines'!$J$5:$J$1640,1,'Bank Lines'!$C$5:$C$1640,"&lt;="&amp;Cover!$C$14)</f>
        <v>0</v>
      </c>
      <c r="V1290">
        <f>COUNTIFS('Odoo Items'!$J$5:$J$4331,A1290,'Odoo Items'!$C$5:$C$4331,"&lt;="&amp;Cover!$C$14)</f>
        <v>0</v>
      </c>
      <c r="W1290">
        <f>IF(AND(U1290=0,V1290=0),"",IF(U1290=0,"ODOO-ONLY",IF(V1290=0,"BANK-ONLY","BOTH")))</f>
      </c>
      <c r="X1290" s="9">
        <f>IF(W1290="BOTH",ROUND(S1290-T1290,2),0)</f>
        <v>0</v>
      </c>
      <c r="Y1290" s="9">
        <f>ROUND(SUMIFS('Bank Lines'!$E$5:$E$1640,'Bank Lines'!$G$5:$G$1640,A1290,'Bank Lines'!$J$5:$J$1640,1,'Bank Lines'!$C$5:$C$1640,"&lt;="&amp;Cover!$C$15),2)</f>
        <v>0</v>
      </c>
      <c r="Z1290" s="9">
        <f>ROUND(SUMIFS('Odoo Items'!$G$5:$G$4331,'Odoo Items'!$J$5:$J$4331,A1290,'Odoo Items'!$C$5:$C$4331,"&lt;="&amp;Cover!$C$15),2)</f>
        <v>150</v>
      </c>
      <c r="AA1290">
        <f>COUNTIFS('Bank Lines'!$G$5:$G$1640,A1290,'Bank Lines'!$J$5:$J$1640,1,'Bank Lines'!$C$5:$C$1640,"&lt;="&amp;Cover!$C$15)</f>
        <v>0</v>
      </c>
      <c r="AB1290">
        <f>COUNTIFS('Odoo Items'!$J$5:$J$4331,A1290,'Odoo Items'!$C$5:$C$4331,"&lt;="&amp;Cover!$C$15)</f>
        <v>1</v>
      </c>
      <c r="AC1290" t="str">
        <f>IF(AND(AA1290=0,AB1290=0),"",IF(AA1290=0,"ODOO-ONLY",IF(AB1290=0,"BANK-ONLY","BOTH")))</f>
        <v>ODOO-ONLY</v>
      </c>
      <c r="AD1290" s="9">
        <f>IF(AC1290="BOTH",ROUND(Y1290-Z1290,2),0)</f>
        <v>0</v>
      </c>
    </row>
    <row r="1291">
      <c r="A1291" t="inlineStr">
        <is>
          <t>G01287</t>
        </is>
      </c>
      <c r="B1291" t="inlineStr">
        <is>
          <t>OPS</t>
        </is>
      </c>
      <c r="C1291" t="inlineStr">
        <is>
          <t>R99</t>
        </is>
      </c>
      <c r="D1291" t="inlineStr">
        <is>
          <t>OUT</t>
        </is>
      </c>
      <c r="E1291" t="inlineStr"/>
      <c r="G1291" t="inlineStr">
        <is>
          <t>In Odoo, not yet on the bank statement at 30 Sep</t>
        </is>
      </c>
      <c r="H1291">
        <f>COUNTIFS('Bank Lines'!$G$5:$G$1640,A1291,'Bank Lines'!$J$5:$J$1640,1)</f>
        <v>0</v>
      </c>
      <c r="I1291">
        <f>COUNTIFS('Odoo Items'!$J$5:$J$4331,A1291)</f>
        <v>1</v>
      </c>
      <c r="J1291" s="9">
        <f>ROUND(SUMIFS('Bank Lines'!$E$5:$E$1640,'Bank Lines'!$G$5:$G$1640,A1291,'Bank Lines'!$J$5:$J$1640,1),2)</f>
        <v>0</v>
      </c>
      <c r="K1291" s="9">
        <f>ROUND(SUMIFS('Odoo Items'!$G$5:$G$4331,'Odoo Items'!$J$5:$J$4331,A1291),2)</f>
        <v>220</v>
      </c>
      <c r="L1291" s="9">
        <f>ROUND(J1291-K1291,2)</f>
        <v>-220</v>
      </c>
      <c r="M1291" s="9">
        <f>ROUND(SUMIFS('Bank Lines'!$E$5:$E$1640,'Bank Lines'!$G$5:$G$1640,A1291,'Bank Lines'!$J$5:$J$1640,1,'Bank Lines'!$C$5:$C$1640,"&lt;="&amp;Cover!$C$13),2)</f>
        <v>0</v>
      </c>
      <c r="N1291" s="9">
        <f>ROUND(SUMIFS('Odoo Items'!$G$5:$G$4331,'Odoo Items'!$J$5:$J$4331,A1291,'Odoo Items'!$C$5:$C$4331,"&lt;="&amp;Cover!$C$13),2)</f>
        <v>0</v>
      </c>
      <c r="O1291">
        <f>COUNTIFS('Bank Lines'!$G$5:$G$1640,A1291,'Bank Lines'!$J$5:$J$1640,1,'Bank Lines'!$C$5:$C$1640,"&lt;="&amp;Cover!$C$13)</f>
        <v>0</v>
      </c>
      <c r="P1291">
        <f>COUNTIFS('Odoo Items'!$J$5:$J$4331,A1291,'Odoo Items'!$C$5:$C$4331,"&lt;="&amp;Cover!$C$13)</f>
        <v>0</v>
      </c>
      <c r="Q1291">
        <f>IF(AND(O1291=0,P1291=0),"",IF(O1291=0,"ODOO-ONLY",IF(P1291=0,"BANK-ONLY","BOTH")))</f>
      </c>
      <c r="R1291" s="9">
        <f>IF(Q1291="BOTH",ROUND(M1291-N1291,2),0)</f>
        <v>0</v>
      </c>
      <c r="S1291" s="9">
        <f>ROUND(SUMIFS('Bank Lines'!$E$5:$E$1640,'Bank Lines'!$G$5:$G$1640,A1291,'Bank Lines'!$J$5:$J$1640,1,'Bank Lines'!$C$5:$C$1640,"&lt;="&amp;Cover!$C$14),2)</f>
        <v>0</v>
      </c>
      <c r="T1291" s="9">
        <f>ROUND(SUMIFS('Odoo Items'!$G$5:$G$4331,'Odoo Items'!$J$5:$J$4331,A1291,'Odoo Items'!$C$5:$C$4331,"&lt;="&amp;Cover!$C$14),2)</f>
        <v>0</v>
      </c>
      <c r="U1291">
        <f>COUNTIFS('Bank Lines'!$G$5:$G$1640,A1291,'Bank Lines'!$J$5:$J$1640,1,'Bank Lines'!$C$5:$C$1640,"&lt;="&amp;Cover!$C$14)</f>
        <v>0</v>
      </c>
      <c r="V1291">
        <f>COUNTIFS('Odoo Items'!$J$5:$J$4331,A1291,'Odoo Items'!$C$5:$C$4331,"&lt;="&amp;Cover!$C$14)</f>
        <v>0</v>
      </c>
      <c r="W1291">
        <f>IF(AND(U1291=0,V1291=0),"",IF(U1291=0,"ODOO-ONLY",IF(V1291=0,"BANK-ONLY","BOTH")))</f>
      </c>
      <c r="X1291" s="9">
        <f>IF(W1291="BOTH",ROUND(S1291-T1291,2),0)</f>
        <v>0</v>
      </c>
      <c r="Y1291" s="9">
        <f>ROUND(SUMIFS('Bank Lines'!$E$5:$E$1640,'Bank Lines'!$G$5:$G$1640,A1291,'Bank Lines'!$J$5:$J$1640,1,'Bank Lines'!$C$5:$C$1640,"&lt;="&amp;Cover!$C$15),2)</f>
        <v>0</v>
      </c>
      <c r="Z1291" s="9">
        <f>ROUND(SUMIFS('Odoo Items'!$G$5:$G$4331,'Odoo Items'!$J$5:$J$4331,A1291,'Odoo Items'!$C$5:$C$4331,"&lt;="&amp;Cover!$C$15),2)</f>
        <v>220</v>
      </c>
      <c r="AA1291">
        <f>COUNTIFS('Bank Lines'!$G$5:$G$1640,A1291,'Bank Lines'!$J$5:$J$1640,1,'Bank Lines'!$C$5:$C$1640,"&lt;="&amp;Cover!$C$15)</f>
        <v>0</v>
      </c>
      <c r="AB1291">
        <f>COUNTIFS('Odoo Items'!$J$5:$J$4331,A1291,'Odoo Items'!$C$5:$C$4331,"&lt;="&amp;Cover!$C$15)</f>
        <v>1</v>
      </c>
      <c r="AC1291" t="str">
        <f>IF(AND(AA1291=0,AB1291=0),"",IF(AA1291=0,"ODOO-ONLY",IF(AB1291=0,"BANK-ONLY","BOTH")))</f>
        <v>ODOO-ONLY</v>
      </c>
      <c r="AD1291" s="9">
        <f>IF(AC1291="BOTH",ROUND(Y1291-Z1291,2),0)</f>
        <v>0</v>
      </c>
    </row>
    <row r="1292">
      <c r="A1292" t="inlineStr">
        <is>
          <t>G01288</t>
        </is>
      </c>
      <c r="B1292" t="inlineStr">
        <is>
          <t>OPS</t>
        </is>
      </c>
      <c r="C1292" t="inlineStr">
        <is>
          <t>R99</t>
        </is>
      </c>
      <c r="D1292" t="inlineStr">
        <is>
          <t>OUT</t>
        </is>
      </c>
      <c r="E1292" t="inlineStr"/>
      <c r="G1292" t="inlineStr">
        <is>
          <t>In Odoo, not yet on the bank statement at 30 Sep</t>
        </is>
      </c>
      <c r="H1292">
        <f>COUNTIFS('Bank Lines'!$G$5:$G$1640,A1292,'Bank Lines'!$J$5:$J$1640,1)</f>
        <v>0</v>
      </c>
      <c r="I1292">
        <f>COUNTIFS('Odoo Items'!$J$5:$J$4331,A1292)</f>
        <v>1</v>
      </c>
      <c r="J1292" s="9">
        <f>ROUND(SUMIFS('Bank Lines'!$E$5:$E$1640,'Bank Lines'!$G$5:$G$1640,A1292,'Bank Lines'!$J$5:$J$1640,1),2)</f>
        <v>0</v>
      </c>
      <c r="K1292" s="9">
        <f>ROUND(SUMIFS('Odoo Items'!$G$5:$G$4331,'Odoo Items'!$J$5:$J$4331,A1292),2)</f>
        <v>95</v>
      </c>
      <c r="L1292" s="9">
        <f>ROUND(J1292-K1292,2)</f>
        <v>-95</v>
      </c>
      <c r="M1292" s="9">
        <f>ROUND(SUMIFS('Bank Lines'!$E$5:$E$1640,'Bank Lines'!$G$5:$G$1640,A1292,'Bank Lines'!$J$5:$J$1640,1,'Bank Lines'!$C$5:$C$1640,"&lt;="&amp;Cover!$C$13),2)</f>
        <v>0</v>
      </c>
      <c r="N1292" s="9">
        <f>ROUND(SUMIFS('Odoo Items'!$G$5:$G$4331,'Odoo Items'!$J$5:$J$4331,A1292,'Odoo Items'!$C$5:$C$4331,"&lt;="&amp;Cover!$C$13),2)</f>
        <v>0</v>
      </c>
      <c r="O1292">
        <f>COUNTIFS('Bank Lines'!$G$5:$G$1640,A1292,'Bank Lines'!$J$5:$J$1640,1,'Bank Lines'!$C$5:$C$1640,"&lt;="&amp;Cover!$C$13)</f>
        <v>0</v>
      </c>
      <c r="P1292">
        <f>COUNTIFS('Odoo Items'!$J$5:$J$4331,A1292,'Odoo Items'!$C$5:$C$4331,"&lt;="&amp;Cover!$C$13)</f>
        <v>0</v>
      </c>
      <c r="Q1292">
        <f>IF(AND(O1292=0,P1292=0),"",IF(O1292=0,"ODOO-ONLY",IF(P1292=0,"BANK-ONLY","BOTH")))</f>
      </c>
      <c r="R1292" s="9">
        <f>IF(Q1292="BOTH",ROUND(M1292-N1292,2),0)</f>
        <v>0</v>
      </c>
      <c r="S1292" s="9">
        <f>ROUND(SUMIFS('Bank Lines'!$E$5:$E$1640,'Bank Lines'!$G$5:$G$1640,A1292,'Bank Lines'!$J$5:$J$1640,1,'Bank Lines'!$C$5:$C$1640,"&lt;="&amp;Cover!$C$14),2)</f>
        <v>0</v>
      </c>
      <c r="T1292" s="9">
        <f>ROUND(SUMIFS('Odoo Items'!$G$5:$G$4331,'Odoo Items'!$J$5:$J$4331,A1292,'Odoo Items'!$C$5:$C$4331,"&lt;="&amp;Cover!$C$14),2)</f>
        <v>0</v>
      </c>
      <c r="U1292">
        <f>COUNTIFS('Bank Lines'!$G$5:$G$1640,A1292,'Bank Lines'!$J$5:$J$1640,1,'Bank Lines'!$C$5:$C$1640,"&lt;="&amp;Cover!$C$14)</f>
        <v>0</v>
      </c>
      <c r="V1292">
        <f>COUNTIFS('Odoo Items'!$J$5:$J$4331,A1292,'Odoo Items'!$C$5:$C$4331,"&lt;="&amp;Cover!$C$14)</f>
        <v>0</v>
      </c>
      <c r="W1292">
        <f>IF(AND(U1292=0,V1292=0),"",IF(U1292=0,"ODOO-ONLY",IF(V1292=0,"BANK-ONLY","BOTH")))</f>
      </c>
      <c r="X1292" s="9">
        <f>IF(W1292="BOTH",ROUND(S1292-T1292,2),0)</f>
        <v>0</v>
      </c>
      <c r="Y1292" s="9">
        <f>ROUND(SUMIFS('Bank Lines'!$E$5:$E$1640,'Bank Lines'!$G$5:$G$1640,A1292,'Bank Lines'!$J$5:$J$1640,1,'Bank Lines'!$C$5:$C$1640,"&lt;="&amp;Cover!$C$15),2)</f>
        <v>0</v>
      </c>
      <c r="Z1292" s="9">
        <f>ROUND(SUMIFS('Odoo Items'!$G$5:$G$4331,'Odoo Items'!$J$5:$J$4331,A1292,'Odoo Items'!$C$5:$C$4331,"&lt;="&amp;Cover!$C$15),2)</f>
        <v>95</v>
      </c>
      <c r="AA1292">
        <f>COUNTIFS('Bank Lines'!$G$5:$G$1640,A1292,'Bank Lines'!$J$5:$J$1640,1,'Bank Lines'!$C$5:$C$1640,"&lt;="&amp;Cover!$C$15)</f>
        <v>0</v>
      </c>
      <c r="AB1292">
        <f>COUNTIFS('Odoo Items'!$J$5:$J$4331,A1292,'Odoo Items'!$C$5:$C$4331,"&lt;="&amp;Cover!$C$15)</f>
        <v>1</v>
      </c>
      <c r="AC1292" t="str">
        <f>IF(AND(AA1292=0,AB1292=0),"",IF(AA1292=0,"ODOO-ONLY",IF(AB1292=0,"BANK-ONLY","BOTH")))</f>
        <v>ODOO-ONLY</v>
      </c>
      <c r="AD1292" s="9">
        <f>IF(AC1292="BOTH",ROUND(Y1292-Z1292,2),0)</f>
        <v>0</v>
      </c>
    </row>
    <row r="1293">
      <c r="A1293" t="inlineStr">
        <is>
          <t>G01289</t>
        </is>
      </c>
      <c r="B1293" t="inlineStr">
        <is>
          <t>OPS</t>
        </is>
      </c>
      <c r="C1293" t="inlineStr">
        <is>
          <t>R99</t>
        </is>
      </c>
      <c r="D1293" t="inlineStr">
        <is>
          <t>OUT</t>
        </is>
      </c>
      <c r="E1293" t="inlineStr"/>
      <c r="G1293" t="inlineStr">
        <is>
          <t>In Odoo, not yet on the bank statement at 30 Sep</t>
        </is>
      </c>
      <c r="H1293">
        <f>COUNTIFS('Bank Lines'!$G$5:$G$1640,A1293,'Bank Lines'!$J$5:$J$1640,1)</f>
        <v>0</v>
      </c>
      <c r="I1293">
        <f>COUNTIFS('Odoo Items'!$J$5:$J$4331,A1293)</f>
        <v>1</v>
      </c>
      <c r="J1293" s="9">
        <f>ROUND(SUMIFS('Bank Lines'!$E$5:$E$1640,'Bank Lines'!$G$5:$G$1640,A1293,'Bank Lines'!$J$5:$J$1640,1),2)</f>
        <v>0</v>
      </c>
      <c r="K1293" s="9">
        <f>ROUND(SUMIFS('Odoo Items'!$G$5:$G$4331,'Odoo Items'!$J$5:$J$4331,A1293),2)</f>
        <v>150</v>
      </c>
      <c r="L1293" s="9">
        <f>ROUND(J1293-K1293,2)</f>
        <v>-150</v>
      </c>
      <c r="M1293" s="9">
        <f>ROUND(SUMIFS('Bank Lines'!$E$5:$E$1640,'Bank Lines'!$G$5:$G$1640,A1293,'Bank Lines'!$J$5:$J$1640,1,'Bank Lines'!$C$5:$C$1640,"&lt;="&amp;Cover!$C$13),2)</f>
        <v>0</v>
      </c>
      <c r="N1293" s="9">
        <f>ROUND(SUMIFS('Odoo Items'!$G$5:$G$4331,'Odoo Items'!$J$5:$J$4331,A1293,'Odoo Items'!$C$5:$C$4331,"&lt;="&amp;Cover!$C$13),2)</f>
        <v>0</v>
      </c>
      <c r="O1293">
        <f>COUNTIFS('Bank Lines'!$G$5:$G$1640,A1293,'Bank Lines'!$J$5:$J$1640,1,'Bank Lines'!$C$5:$C$1640,"&lt;="&amp;Cover!$C$13)</f>
        <v>0</v>
      </c>
      <c r="P1293">
        <f>COUNTIFS('Odoo Items'!$J$5:$J$4331,A1293,'Odoo Items'!$C$5:$C$4331,"&lt;="&amp;Cover!$C$13)</f>
        <v>0</v>
      </c>
      <c r="Q1293">
        <f>IF(AND(O1293=0,P1293=0),"",IF(O1293=0,"ODOO-ONLY",IF(P1293=0,"BANK-ONLY","BOTH")))</f>
      </c>
      <c r="R1293" s="9">
        <f>IF(Q1293="BOTH",ROUND(M1293-N1293,2),0)</f>
        <v>0</v>
      </c>
      <c r="S1293" s="9">
        <f>ROUND(SUMIFS('Bank Lines'!$E$5:$E$1640,'Bank Lines'!$G$5:$G$1640,A1293,'Bank Lines'!$J$5:$J$1640,1,'Bank Lines'!$C$5:$C$1640,"&lt;="&amp;Cover!$C$14),2)</f>
        <v>0</v>
      </c>
      <c r="T1293" s="9">
        <f>ROUND(SUMIFS('Odoo Items'!$G$5:$G$4331,'Odoo Items'!$J$5:$J$4331,A1293,'Odoo Items'!$C$5:$C$4331,"&lt;="&amp;Cover!$C$14),2)</f>
        <v>0</v>
      </c>
      <c r="U1293">
        <f>COUNTIFS('Bank Lines'!$G$5:$G$1640,A1293,'Bank Lines'!$J$5:$J$1640,1,'Bank Lines'!$C$5:$C$1640,"&lt;="&amp;Cover!$C$14)</f>
        <v>0</v>
      </c>
      <c r="V1293">
        <f>COUNTIFS('Odoo Items'!$J$5:$J$4331,A1293,'Odoo Items'!$C$5:$C$4331,"&lt;="&amp;Cover!$C$14)</f>
        <v>0</v>
      </c>
      <c r="W1293">
        <f>IF(AND(U1293=0,V1293=0),"",IF(U1293=0,"ODOO-ONLY",IF(V1293=0,"BANK-ONLY","BOTH")))</f>
      </c>
      <c r="X1293" s="9">
        <f>IF(W1293="BOTH",ROUND(S1293-T1293,2),0)</f>
        <v>0</v>
      </c>
      <c r="Y1293" s="9">
        <f>ROUND(SUMIFS('Bank Lines'!$E$5:$E$1640,'Bank Lines'!$G$5:$G$1640,A1293,'Bank Lines'!$J$5:$J$1640,1,'Bank Lines'!$C$5:$C$1640,"&lt;="&amp;Cover!$C$15),2)</f>
        <v>0</v>
      </c>
      <c r="Z1293" s="9">
        <f>ROUND(SUMIFS('Odoo Items'!$G$5:$G$4331,'Odoo Items'!$J$5:$J$4331,A1293,'Odoo Items'!$C$5:$C$4331,"&lt;="&amp;Cover!$C$15),2)</f>
        <v>150</v>
      </c>
      <c r="AA1293">
        <f>COUNTIFS('Bank Lines'!$G$5:$G$1640,A1293,'Bank Lines'!$J$5:$J$1640,1,'Bank Lines'!$C$5:$C$1640,"&lt;="&amp;Cover!$C$15)</f>
        <v>0</v>
      </c>
      <c r="AB1293">
        <f>COUNTIFS('Odoo Items'!$J$5:$J$4331,A1293,'Odoo Items'!$C$5:$C$4331,"&lt;="&amp;Cover!$C$15)</f>
        <v>1</v>
      </c>
      <c r="AC1293" t="str">
        <f>IF(AND(AA1293=0,AB1293=0),"",IF(AA1293=0,"ODOO-ONLY",IF(AB1293=0,"BANK-ONLY","BOTH")))</f>
        <v>ODOO-ONLY</v>
      </c>
      <c r="AD1293" s="9">
        <f>IF(AC1293="BOTH",ROUND(Y1293-Z1293,2),0)</f>
        <v>0</v>
      </c>
    </row>
    <row r="1294">
      <c r="A1294" t="inlineStr">
        <is>
          <t>G01290</t>
        </is>
      </c>
      <c r="B1294" t="inlineStr">
        <is>
          <t>OPS</t>
        </is>
      </c>
      <c r="C1294" t="inlineStr">
        <is>
          <t>R99</t>
        </is>
      </c>
      <c r="D1294" t="inlineStr">
        <is>
          <t>OUT</t>
        </is>
      </c>
      <c r="E1294" t="inlineStr"/>
      <c r="G1294" t="inlineStr">
        <is>
          <t>In Odoo, not yet on the bank statement at 30 Sep</t>
        </is>
      </c>
      <c r="H1294">
        <f>COUNTIFS('Bank Lines'!$G$5:$G$1640,A1294,'Bank Lines'!$J$5:$J$1640,1)</f>
        <v>0</v>
      </c>
      <c r="I1294">
        <f>COUNTIFS('Odoo Items'!$J$5:$J$4331,A1294)</f>
        <v>1</v>
      </c>
      <c r="J1294" s="9">
        <f>ROUND(SUMIFS('Bank Lines'!$E$5:$E$1640,'Bank Lines'!$G$5:$G$1640,A1294,'Bank Lines'!$J$5:$J$1640,1),2)</f>
        <v>0</v>
      </c>
      <c r="K1294" s="9">
        <f>ROUND(SUMIFS('Odoo Items'!$G$5:$G$4331,'Odoo Items'!$J$5:$J$4331,A1294),2)</f>
        <v>220</v>
      </c>
      <c r="L1294" s="9">
        <f>ROUND(J1294-K1294,2)</f>
        <v>-220</v>
      </c>
      <c r="M1294" s="9">
        <f>ROUND(SUMIFS('Bank Lines'!$E$5:$E$1640,'Bank Lines'!$G$5:$G$1640,A1294,'Bank Lines'!$J$5:$J$1640,1,'Bank Lines'!$C$5:$C$1640,"&lt;="&amp;Cover!$C$13),2)</f>
        <v>0</v>
      </c>
      <c r="N1294" s="9">
        <f>ROUND(SUMIFS('Odoo Items'!$G$5:$G$4331,'Odoo Items'!$J$5:$J$4331,A1294,'Odoo Items'!$C$5:$C$4331,"&lt;="&amp;Cover!$C$13),2)</f>
        <v>0</v>
      </c>
      <c r="O1294">
        <f>COUNTIFS('Bank Lines'!$G$5:$G$1640,A1294,'Bank Lines'!$J$5:$J$1640,1,'Bank Lines'!$C$5:$C$1640,"&lt;="&amp;Cover!$C$13)</f>
        <v>0</v>
      </c>
      <c r="P1294">
        <f>COUNTIFS('Odoo Items'!$J$5:$J$4331,A1294,'Odoo Items'!$C$5:$C$4331,"&lt;="&amp;Cover!$C$13)</f>
        <v>0</v>
      </c>
      <c r="Q1294">
        <f>IF(AND(O1294=0,P1294=0),"",IF(O1294=0,"ODOO-ONLY",IF(P1294=0,"BANK-ONLY","BOTH")))</f>
      </c>
      <c r="R1294" s="9">
        <f>IF(Q1294="BOTH",ROUND(M1294-N1294,2),0)</f>
        <v>0</v>
      </c>
      <c r="S1294" s="9">
        <f>ROUND(SUMIFS('Bank Lines'!$E$5:$E$1640,'Bank Lines'!$G$5:$G$1640,A1294,'Bank Lines'!$J$5:$J$1640,1,'Bank Lines'!$C$5:$C$1640,"&lt;="&amp;Cover!$C$14),2)</f>
        <v>0</v>
      </c>
      <c r="T1294" s="9">
        <f>ROUND(SUMIFS('Odoo Items'!$G$5:$G$4331,'Odoo Items'!$J$5:$J$4331,A1294,'Odoo Items'!$C$5:$C$4331,"&lt;="&amp;Cover!$C$14),2)</f>
        <v>0</v>
      </c>
      <c r="U1294">
        <f>COUNTIFS('Bank Lines'!$G$5:$G$1640,A1294,'Bank Lines'!$J$5:$J$1640,1,'Bank Lines'!$C$5:$C$1640,"&lt;="&amp;Cover!$C$14)</f>
        <v>0</v>
      </c>
      <c r="V1294">
        <f>COUNTIFS('Odoo Items'!$J$5:$J$4331,A1294,'Odoo Items'!$C$5:$C$4331,"&lt;="&amp;Cover!$C$14)</f>
        <v>0</v>
      </c>
      <c r="W1294">
        <f>IF(AND(U1294=0,V1294=0),"",IF(U1294=0,"ODOO-ONLY",IF(V1294=0,"BANK-ONLY","BOTH")))</f>
      </c>
      <c r="X1294" s="9">
        <f>IF(W1294="BOTH",ROUND(S1294-T1294,2),0)</f>
        <v>0</v>
      </c>
      <c r="Y1294" s="9">
        <f>ROUND(SUMIFS('Bank Lines'!$E$5:$E$1640,'Bank Lines'!$G$5:$G$1640,A1294,'Bank Lines'!$J$5:$J$1640,1,'Bank Lines'!$C$5:$C$1640,"&lt;="&amp;Cover!$C$15),2)</f>
        <v>0</v>
      </c>
      <c r="Z1294" s="9">
        <f>ROUND(SUMIFS('Odoo Items'!$G$5:$G$4331,'Odoo Items'!$J$5:$J$4331,A1294,'Odoo Items'!$C$5:$C$4331,"&lt;="&amp;Cover!$C$15),2)</f>
        <v>220</v>
      </c>
      <c r="AA1294">
        <f>COUNTIFS('Bank Lines'!$G$5:$G$1640,A1294,'Bank Lines'!$J$5:$J$1640,1,'Bank Lines'!$C$5:$C$1640,"&lt;="&amp;Cover!$C$15)</f>
        <v>0</v>
      </c>
      <c r="AB1294">
        <f>COUNTIFS('Odoo Items'!$J$5:$J$4331,A1294,'Odoo Items'!$C$5:$C$4331,"&lt;="&amp;Cover!$C$15)</f>
        <v>1</v>
      </c>
      <c r="AC1294" t="str">
        <f>IF(AND(AA1294=0,AB1294=0),"",IF(AA1294=0,"ODOO-ONLY",IF(AB1294=0,"BANK-ONLY","BOTH")))</f>
        <v>ODOO-ONLY</v>
      </c>
      <c r="AD1294" s="9">
        <f>IF(AC1294="BOTH",ROUND(Y1294-Z1294,2),0)</f>
        <v>0</v>
      </c>
    </row>
    <row r="1295">
      <c r="A1295" t="inlineStr">
        <is>
          <t>G01291</t>
        </is>
      </c>
      <c r="B1295" t="inlineStr">
        <is>
          <t>OPS</t>
        </is>
      </c>
      <c r="C1295" t="inlineStr">
        <is>
          <t>R99</t>
        </is>
      </c>
      <c r="D1295" t="inlineStr">
        <is>
          <t>OUT</t>
        </is>
      </c>
      <c r="E1295" t="inlineStr"/>
      <c r="G1295" t="inlineStr">
        <is>
          <t>In Odoo, not yet on the bank statement at 30 Sep</t>
        </is>
      </c>
      <c r="H1295">
        <f>COUNTIFS('Bank Lines'!$G$5:$G$1640,A1295,'Bank Lines'!$J$5:$J$1640,1)</f>
        <v>0</v>
      </c>
      <c r="I1295">
        <f>COUNTIFS('Odoo Items'!$J$5:$J$4331,A1295)</f>
        <v>1</v>
      </c>
      <c r="J1295" s="9">
        <f>ROUND(SUMIFS('Bank Lines'!$E$5:$E$1640,'Bank Lines'!$G$5:$G$1640,A1295,'Bank Lines'!$J$5:$J$1640,1),2)</f>
        <v>0</v>
      </c>
      <c r="K1295" s="9">
        <f>ROUND(SUMIFS('Odoo Items'!$G$5:$G$4331,'Odoo Items'!$J$5:$J$4331,A1295),2)</f>
        <v>120</v>
      </c>
      <c r="L1295" s="9">
        <f>ROUND(J1295-K1295,2)</f>
        <v>-120</v>
      </c>
      <c r="M1295" s="9">
        <f>ROUND(SUMIFS('Bank Lines'!$E$5:$E$1640,'Bank Lines'!$G$5:$G$1640,A1295,'Bank Lines'!$J$5:$J$1640,1,'Bank Lines'!$C$5:$C$1640,"&lt;="&amp;Cover!$C$13),2)</f>
        <v>0</v>
      </c>
      <c r="N1295" s="9">
        <f>ROUND(SUMIFS('Odoo Items'!$G$5:$G$4331,'Odoo Items'!$J$5:$J$4331,A1295,'Odoo Items'!$C$5:$C$4331,"&lt;="&amp;Cover!$C$13),2)</f>
        <v>0</v>
      </c>
      <c r="O1295">
        <f>COUNTIFS('Bank Lines'!$G$5:$G$1640,A1295,'Bank Lines'!$J$5:$J$1640,1,'Bank Lines'!$C$5:$C$1640,"&lt;="&amp;Cover!$C$13)</f>
        <v>0</v>
      </c>
      <c r="P1295">
        <f>COUNTIFS('Odoo Items'!$J$5:$J$4331,A1295,'Odoo Items'!$C$5:$C$4331,"&lt;="&amp;Cover!$C$13)</f>
        <v>0</v>
      </c>
      <c r="Q1295">
        <f>IF(AND(O1295=0,P1295=0),"",IF(O1295=0,"ODOO-ONLY",IF(P1295=0,"BANK-ONLY","BOTH")))</f>
      </c>
      <c r="R1295" s="9">
        <f>IF(Q1295="BOTH",ROUND(M1295-N1295,2),0)</f>
        <v>0</v>
      </c>
      <c r="S1295" s="9">
        <f>ROUND(SUMIFS('Bank Lines'!$E$5:$E$1640,'Bank Lines'!$G$5:$G$1640,A1295,'Bank Lines'!$J$5:$J$1640,1,'Bank Lines'!$C$5:$C$1640,"&lt;="&amp;Cover!$C$14),2)</f>
        <v>0</v>
      </c>
      <c r="T1295" s="9">
        <f>ROUND(SUMIFS('Odoo Items'!$G$5:$G$4331,'Odoo Items'!$J$5:$J$4331,A1295,'Odoo Items'!$C$5:$C$4331,"&lt;="&amp;Cover!$C$14),2)</f>
        <v>0</v>
      </c>
      <c r="U1295">
        <f>COUNTIFS('Bank Lines'!$G$5:$G$1640,A1295,'Bank Lines'!$J$5:$J$1640,1,'Bank Lines'!$C$5:$C$1640,"&lt;="&amp;Cover!$C$14)</f>
        <v>0</v>
      </c>
      <c r="V1295">
        <f>COUNTIFS('Odoo Items'!$J$5:$J$4331,A1295,'Odoo Items'!$C$5:$C$4331,"&lt;="&amp;Cover!$C$14)</f>
        <v>0</v>
      </c>
      <c r="W1295">
        <f>IF(AND(U1295=0,V1295=0),"",IF(U1295=0,"ODOO-ONLY",IF(V1295=0,"BANK-ONLY","BOTH")))</f>
      </c>
      <c r="X1295" s="9">
        <f>IF(W1295="BOTH",ROUND(S1295-T1295,2),0)</f>
        <v>0</v>
      </c>
      <c r="Y1295" s="9">
        <f>ROUND(SUMIFS('Bank Lines'!$E$5:$E$1640,'Bank Lines'!$G$5:$G$1640,A1295,'Bank Lines'!$J$5:$J$1640,1,'Bank Lines'!$C$5:$C$1640,"&lt;="&amp;Cover!$C$15),2)</f>
        <v>0</v>
      </c>
      <c r="Z1295" s="9">
        <f>ROUND(SUMIFS('Odoo Items'!$G$5:$G$4331,'Odoo Items'!$J$5:$J$4331,A1295,'Odoo Items'!$C$5:$C$4331,"&lt;="&amp;Cover!$C$15),2)</f>
        <v>120</v>
      </c>
      <c r="AA1295">
        <f>COUNTIFS('Bank Lines'!$G$5:$G$1640,A1295,'Bank Lines'!$J$5:$J$1640,1,'Bank Lines'!$C$5:$C$1640,"&lt;="&amp;Cover!$C$15)</f>
        <v>0</v>
      </c>
      <c r="AB1295">
        <f>COUNTIFS('Odoo Items'!$J$5:$J$4331,A1295,'Odoo Items'!$C$5:$C$4331,"&lt;="&amp;Cover!$C$15)</f>
        <v>1</v>
      </c>
      <c r="AC1295" t="str">
        <f>IF(AND(AA1295=0,AB1295=0),"",IF(AA1295=0,"ODOO-ONLY",IF(AB1295=0,"BANK-ONLY","BOTH")))</f>
        <v>ODOO-ONLY</v>
      </c>
      <c r="AD1295" s="9">
        <f>IF(AC1295="BOTH",ROUND(Y1295-Z1295,2),0)</f>
        <v>0</v>
      </c>
    </row>
    <row r="1296">
      <c r="A1296" t="inlineStr">
        <is>
          <t>G01292</t>
        </is>
      </c>
      <c r="B1296" t="inlineStr">
        <is>
          <t>OPS</t>
        </is>
      </c>
      <c r="C1296" t="inlineStr">
        <is>
          <t>R99</t>
        </is>
      </c>
      <c r="D1296" t="inlineStr">
        <is>
          <t>OUT</t>
        </is>
      </c>
      <c r="E1296" t="inlineStr"/>
      <c r="G1296" t="inlineStr">
        <is>
          <t>In Odoo, not yet on the bank statement at 30 Sep</t>
        </is>
      </c>
      <c r="H1296">
        <f>COUNTIFS('Bank Lines'!$G$5:$G$1640,A1296,'Bank Lines'!$J$5:$J$1640,1)</f>
        <v>0</v>
      </c>
      <c r="I1296">
        <f>COUNTIFS('Odoo Items'!$J$5:$J$4331,A1296)</f>
        <v>1</v>
      </c>
      <c r="J1296" s="9">
        <f>ROUND(SUMIFS('Bank Lines'!$E$5:$E$1640,'Bank Lines'!$G$5:$G$1640,A1296,'Bank Lines'!$J$5:$J$1640,1),2)</f>
        <v>0</v>
      </c>
      <c r="K1296" s="9">
        <f>ROUND(SUMIFS('Odoo Items'!$G$5:$G$4331,'Odoo Items'!$J$5:$J$4331,A1296),2)</f>
        <v>180</v>
      </c>
      <c r="L1296" s="9">
        <f>ROUND(J1296-K1296,2)</f>
        <v>-180</v>
      </c>
      <c r="M1296" s="9">
        <f>ROUND(SUMIFS('Bank Lines'!$E$5:$E$1640,'Bank Lines'!$G$5:$G$1640,A1296,'Bank Lines'!$J$5:$J$1640,1,'Bank Lines'!$C$5:$C$1640,"&lt;="&amp;Cover!$C$13),2)</f>
        <v>0</v>
      </c>
      <c r="N1296" s="9">
        <f>ROUND(SUMIFS('Odoo Items'!$G$5:$G$4331,'Odoo Items'!$J$5:$J$4331,A1296,'Odoo Items'!$C$5:$C$4331,"&lt;="&amp;Cover!$C$13),2)</f>
        <v>0</v>
      </c>
      <c r="O1296">
        <f>COUNTIFS('Bank Lines'!$G$5:$G$1640,A1296,'Bank Lines'!$J$5:$J$1640,1,'Bank Lines'!$C$5:$C$1640,"&lt;="&amp;Cover!$C$13)</f>
        <v>0</v>
      </c>
      <c r="P1296">
        <f>COUNTIFS('Odoo Items'!$J$5:$J$4331,A1296,'Odoo Items'!$C$5:$C$4331,"&lt;="&amp;Cover!$C$13)</f>
        <v>0</v>
      </c>
      <c r="Q1296">
        <f>IF(AND(O1296=0,P1296=0),"",IF(O1296=0,"ODOO-ONLY",IF(P1296=0,"BANK-ONLY","BOTH")))</f>
      </c>
      <c r="R1296" s="9">
        <f>IF(Q1296="BOTH",ROUND(M1296-N1296,2),0)</f>
        <v>0</v>
      </c>
      <c r="S1296" s="9">
        <f>ROUND(SUMIFS('Bank Lines'!$E$5:$E$1640,'Bank Lines'!$G$5:$G$1640,A1296,'Bank Lines'!$J$5:$J$1640,1,'Bank Lines'!$C$5:$C$1640,"&lt;="&amp;Cover!$C$14),2)</f>
        <v>0</v>
      </c>
      <c r="T1296" s="9">
        <f>ROUND(SUMIFS('Odoo Items'!$G$5:$G$4331,'Odoo Items'!$J$5:$J$4331,A1296,'Odoo Items'!$C$5:$C$4331,"&lt;="&amp;Cover!$C$14),2)</f>
        <v>0</v>
      </c>
      <c r="U1296">
        <f>COUNTIFS('Bank Lines'!$G$5:$G$1640,A1296,'Bank Lines'!$J$5:$J$1640,1,'Bank Lines'!$C$5:$C$1640,"&lt;="&amp;Cover!$C$14)</f>
        <v>0</v>
      </c>
      <c r="V1296">
        <f>COUNTIFS('Odoo Items'!$J$5:$J$4331,A1296,'Odoo Items'!$C$5:$C$4331,"&lt;="&amp;Cover!$C$14)</f>
        <v>0</v>
      </c>
      <c r="W1296">
        <f>IF(AND(U1296=0,V1296=0),"",IF(U1296=0,"ODOO-ONLY",IF(V1296=0,"BANK-ONLY","BOTH")))</f>
      </c>
      <c r="X1296" s="9">
        <f>IF(W1296="BOTH",ROUND(S1296-T1296,2),0)</f>
        <v>0</v>
      </c>
      <c r="Y1296" s="9">
        <f>ROUND(SUMIFS('Bank Lines'!$E$5:$E$1640,'Bank Lines'!$G$5:$G$1640,A1296,'Bank Lines'!$J$5:$J$1640,1,'Bank Lines'!$C$5:$C$1640,"&lt;="&amp;Cover!$C$15),2)</f>
        <v>0</v>
      </c>
      <c r="Z1296" s="9">
        <f>ROUND(SUMIFS('Odoo Items'!$G$5:$G$4331,'Odoo Items'!$J$5:$J$4331,A1296,'Odoo Items'!$C$5:$C$4331,"&lt;="&amp;Cover!$C$15),2)</f>
        <v>180</v>
      </c>
      <c r="AA1296">
        <f>COUNTIFS('Bank Lines'!$G$5:$G$1640,A1296,'Bank Lines'!$J$5:$J$1640,1,'Bank Lines'!$C$5:$C$1640,"&lt;="&amp;Cover!$C$15)</f>
        <v>0</v>
      </c>
      <c r="AB1296">
        <f>COUNTIFS('Odoo Items'!$J$5:$J$4331,A1296,'Odoo Items'!$C$5:$C$4331,"&lt;="&amp;Cover!$C$15)</f>
        <v>1</v>
      </c>
      <c r="AC1296" t="str">
        <f>IF(AND(AA1296=0,AB1296=0),"",IF(AA1296=0,"ODOO-ONLY",IF(AB1296=0,"BANK-ONLY","BOTH")))</f>
        <v>ODOO-ONLY</v>
      </c>
      <c r="AD1296" s="9">
        <f>IF(AC1296="BOTH",ROUND(Y1296-Z1296,2),0)</f>
        <v>0</v>
      </c>
    </row>
    <row r="1297">
      <c r="A1297" t="inlineStr">
        <is>
          <t>G01293</t>
        </is>
      </c>
      <c r="B1297" t="inlineStr">
        <is>
          <t>OPS</t>
        </is>
      </c>
      <c r="C1297" t="inlineStr">
        <is>
          <t>R99</t>
        </is>
      </c>
      <c r="D1297" t="inlineStr">
        <is>
          <t>OUT</t>
        </is>
      </c>
      <c r="E1297" t="inlineStr"/>
      <c r="G1297" t="inlineStr">
        <is>
          <t>In Odoo, not yet on the bank statement at 30 Sep</t>
        </is>
      </c>
      <c r="H1297">
        <f>COUNTIFS('Bank Lines'!$G$5:$G$1640,A1297,'Bank Lines'!$J$5:$J$1640,1)</f>
        <v>0</v>
      </c>
      <c r="I1297">
        <f>COUNTIFS('Odoo Items'!$J$5:$J$4331,A1297)</f>
        <v>1</v>
      </c>
      <c r="J1297" s="9">
        <f>ROUND(SUMIFS('Bank Lines'!$E$5:$E$1640,'Bank Lines'!$G$5:$G$1640,A1297,'Bank Lines'!$J$5:$J$1640,1),2)</f>
        <v>0</v>
      </c>
      <c r="K1297" s="9">
        <f>ROUND(SUMIFS('Odoo Items'!$G$5:$G$4331,'Odoo Items'!$J$5:$J$4331,A1297),2)</f>
        <v>120</v>
      </c>
      <c r="L1297" s="9">
        <f>ROUND(J1297-K1297,2)</f>
        <v>-120</v>
      </c>
      <c r="M1297" s="9">
        <f>ROUND(SUMIFS('Bank Lines'!$E$5:$E$1640,'Bank Lines'!$G$5:$G$1640,A1297,'Bank Lines'!$J$5:$J$1640,1,'Bank Lines'!$C$5:$C$1640,"&lt;="&amp;Cover!$C$13),2)</f>
        <v>0</v>
      </c>
      <c r="N1297" s="9">
        <f>ROUND(SUMIFS('Odoo Items'!$G$5:$G$4331,'Odoo Items'!$J$5:$J$4331,A1297,'Odoo Items'!$C$5:$C$4331,"&lt;="&amp;Cover!$C$13),2)</f>
        <v>0</v>
      </c>
      <c r="O1297">
        <f>COUNTIFS('Bank Lines'!$G$5:$G$1640,A1297,'Bank Lines'!$J$5:$J$1640,1,'Bank Lines'!$C$5:$C$1640,"&lt;="&amp;Cover!$C$13)</f>
        <v>0</v>
      </c>
      <c r="P1297">
        <f>COUNTIFS('Odoo Items'!$J$5:$J$4331,A1297,'Odoo Items'!$C$5:$C$4331,"&lt;="&amp;Cover!$C$13)</f>
        <v>0</v>
      </c>
      <c r="Q1297">
        <f>IF(AND(O1297=0,P1297=0),"",IF(O1297=0,"ODOO-ONLY",IF(P1297=0,"BANK-ONLY","BOTH")))</f>
      </c>
      <c r="R1297" s="9">
        <f>IF(Q1297="BOTH",ROUND(M1297-N1297,2),0)</f>
        <v>0</v>
      </c>
      <c r="S1297" s="9">
        <f>ROUND(SUMIFS('Bank Lines'!$E$5:$E$1640,'Bank Lines'!$G$5:$G$1640,A1297,'Bank Lines'!$J$5:$J$1640,1,'Bank Lines'!$C$5:$C$1640,"&lt;="&amp;Cover!$C$14),2)</f>
        <v>0</v>
      </c>
      <c r="T1297" s="9">
        <f>ROUND(SUMIFS('Odoo Items'!$G$5:$G$4331,'Odoo Items'!$J$5:$J$4331,A1297,'Odoo Items'!$C$5:$C$4331,"&lt;="&amp;Cover!$C$14),2)</f>
        <v>0</v>
      </c>
      <c r="U1297">
        <f>COUNTIFS('Bank Lines'!$G$5:$G$1640,A1297,'Bank Lines'!$J$5:$J$1640,1,'Bank Lines'!$C$5:$C$1640,"&lt;="&amp;Cover!$C$14)</f>
        <v>0</v>
      </c>
      <c r="V1297">
        <f>COUNTIFS('Odoo Items'!$J$5:$J$4331,A1297,'Odoo Items'!$C$5:$C$4331,"&lt;="&amp;Cover!$C$14)</f>
        <v>0</v>
      </c>
      <c r="W1297">
        <f>IF(AND(U1297=0,V1297=0),"",IF(U1297=0,"ODOO-ONLY",IF(V1297=0,"BANK-ONLY","BOTH")))</f>
      </c>
      <c r="X1297" s="9">
        <f>IF(W1297="BOTH",ROUND(S1297-T1297,2),0)</f>
        <v>0</v>
      </c>
      <c r="Y1297" s="9">
        <f>ROUND(SUMIFS('Bank Lines'!$E$5:$E$1640,'Bank Lines'!$G$5:$G$1640,A1297,'Bank Lines'!$J$5:$J$1640,1,'Bank Lines'!$C$5:$C$1640,"&lt;="&amp;Cover!$C$15),2)</f>
        <v>0</v>
      </c>
      <c r="Z1297" s="9">
        <f>ROUND(SUMIFS('Odoo Items'!$G$5:$G$4331,'Odoo Items'!$J$5:$J$4331,A1297,'Odoo Items'!$C$5:$C$4331,"&lt;="&amp;Cover!$C$15),2)</f>
        <v>120</v>
      </c>
      <c r="AA1297">
        <f>COUNTIFS('Bank Lines'!$G$5:$G$1640,A1297,'Bank Lines'!$J$5:$J$1640,1,'Bank Lines'!$C$5:$C$1640,"&lt;="&amp;Cover!$C$15)</f>
        <v>0</v>
      </c>
      <c r="AB1297">
        <f>COUNTIFS('Odoo Items'!$J$5:$J$4331,A1297,'Odoo Items'!$C$5:$C$4331,"&lt;="&amp;Cover!$C$15)</f>
        <v>1</v>
      </c>
      <c r="AC1297" t="str">
        <f>IF(AND(AA1297=0,AB1297=0),"",IF(AA1297=0,"ODOO-ONLY",IF(AB1297=0,"BANK-ONLY","BOTH")))</f>
        <v>ODOO-ONLY</v>
      </c>
      <c r="AD1297" s="9">
        <f>IF(AC1297="BOTH",ROUND(Y1297-Z1297,2),0)</f>
        <v>0</v>
      </c>
    </row>
    <row r="1298">
      <c r="A1298" t="inlineStr">
        <is>
          <t>G01294</t>
        </is>
      </c>
      <c r="B1298" t="inlineStr">
        <is>
          <t>OPS</t>
        </is>
      </c>
      <c r="C1298" t="inlineStr">
        <is>
          <t>R99</t>
        </is>
      </c>
      <c r="D1298" t="inlineStr">
        <is>
          <t>OUT</t>
        </is>
      </c>
      <c r="E1298" t="inlineStr"/>
      <c r="G1298" t="inlineStr">
        <is>
          <t>In Odoo, not yet on the bank statement at 30 Sep</t>
        </is>
      </c>
      <c r="H1298">
        <f>COUNTIFS('Bank Lines'!$G$5:$G$1640,A1298,'Bank Lines'!$J$5:$J$1640,1)</f>
        <v>0</v>
      </c>
      <c r="I1298">
        <f>COUNTIFS('Odoo Items'!$J$5:$J$4331,A1298)</f>
        <v>1</v>
      </c>
      <c r="J1298" s="9">
        <f>ROUND(SUMIFS('Bank Lines'!$E$5:$E$1640,'Bank Lines'!$G$5:$G$1640,A1298,'Bank Lines'!$J$5:$J$1640,1),2)</f>
        <v>0</v>
      </c>
      <c r="K1298" s="9">
        <f>ROUND(SUMIFS('Odoo Items'!$G$5:$G$4331,'Odoo Items'!$J$5:$J$4331,A1298),2)</f>
        <v>110</v>
      </c>
      <c r="L1298" s="9">
        <f>ROUND(J1298-K1298,2)</f>
        <v>-110</v>
      </c>
      <c r="M1298" s="9">
        <f>ROUND(SUMIFS('Bank Lines'!$E$5:$E$1640,'Bank Lines'!$G$5:$G$1640,A1298,'Bank Lines'!$J$5:$J$1640,1,'Bank Lines'!$C$5:$C$1640,"&lt;="&amp;Cover!$C$13),2)</f>
        <v>0</v>
      </c>
      <c r="N1298" s="9">
        <f>ROUND(SUMIFS('Odoo Items'!$G$5:$G$4331,'Odoo Items'!$J$5:$J$4331,A1298,'Odoo Items'!$C$5:$C$4331,"&lt;="&amp;Cover!$C$13),2)</f>
        <v>0</v>
      </c>
      <c r="O1298">
        <f>COUNTIFS('Bank Lines'!$G$5:$G$1640,A1298,'Bank Lines'!$J$5:$J$1640,1,'Bank Lines'!$C$5:$C$1640,"&lt;="&amp;Cover!$C$13)</f>
        <v>0</v>
      </c>
      <c r="P1298">
        <f>COUNTIFS('Odoo Items'!$J$5:$J$4331,A1298,'Odoo Items'!$C$5:$C$4331,"&lt;="&amp;Cover!$C$13)</f>
        <v>0</v>
      </c>
      <c r="Q1298">
        <f>IF(AND(O1298=0,P1298=0),"",IF(O1298=0,"ODOO-ONLY",IF(P1298=0,"BANK-ONLY","BOTH")))</f>
      </c>
      <c r="R1298" s="9">
        <f>IF(Q1298="BOTH",ROUND(M1298-N1298,2),0)</f>
        <v>0</v>
      </c>
      <c r="S1298" s="9">
        <f>ROUND(SUMIFS('Bank Lines'!$E$5:$E$1640,'Bank Lines'!$G$5:$G$1640,A1298,'Bank Lines'!$J$5:$J$1640,1,'Bank Lines'!$C$5:$C$1640,"&lt;="&amp;Cover!$C$14),2)</f>
        <v>0</v>
      </c>
      <c r="T1298" s="9">
        <f>ROUND(SUMIFS('Odoo Items'!$G$5:$G$4331,'Odoo Items'!$J$5:$J$4331,A1298,'Odoo Items'!$C$5:$C$4331,"&lt;="&amp;Cover!$C$14),2)</f>
        <v>0</v>
      </c>
      <c r="U1298">
        <f>COUNTIFS('Bank Lines'!$G$5:$G$1640,A1298,'Bank Lines'!$J$5:$J$1640,1,'Bank Lines'!$C$5:$C$1640,"&lt;="&amp;Cover!$C$14)</f>
        <v>0</v>
      </c>
      <c r="V1298">
        <f>COUNTIFS('Odoo Items'!$J$5:$J$4331,A1298,'Odoo Items'!$C$5:$C$4331,"&lt;="&amp;Cover!$C$14)</f>
        <v>0</v>
      </c>
      <c r="W1298">
        <f>IF(AND(U1298=0,V1298=0),"",IF(U1298=0,"ODOO-ONLY",IF(V1298=0,"BANK-ONLY","BOTH")))</f>
      </c>
      <c r="X1298" s="9">
        <f>IF(W1298="BOTH",ROUND(S1298-T1298,2),0)</f>
        <v>0</v>
      </c>
      <c r="Y1298" s="9">
        <f>ROUND(SUMIFS('Bank Lines'!$E$5:$E$1640,'Bank Lines'!$G$5:$G$1640,A1298,'Bank Lines'!$J$5:$J$1640,1,'Bank Lines'!$C$5:$C$1640,"&lt;="&amp;Cover!$C$15),2)</f>
        <v>0</v>
      </c>
      <c r="Z1298" s="9">
        <f>ROUND(SUMIFS('Odoo Items'!$G$5:$G$4331,'Odoo Items'!$J$5:$J$4331,A1298,'Odoo Items'!$C$5:$C$4331,"&lt;="&amp;Cover!$C$15),2)</f>
        <v>110</v>
      </c>
      <c r="AA1298">
        <f>COUNTIFS('Bank Lines'!$G$5:$G$1640,A1298,'Bank Lines'!$J$5:$J$1640,1,'Bank Lines'!$C$5:$C$1640,"&lt;="&amp;Cover!$C$15)</f>
        <v>0</v>
      </c>
      <c r="AB1298">
        <f>COUNTIFS('Odoo Items'!$J$5:$J$4331,A1298,'Odoo Items'!$C$5:$C$4331,"&lt;="&amp;Cover!$C$15)</f>
        <v>1</v>
      </c>
      <c r="AC1298" t="str">
        <f>IF(AND(AA1298=0,AB1298=0),"",IF(AA1298=0,"ODOO-ONLY",IF(AB1298=0,"BANK-ONLY","BOTH")))</f>
        <v>ODOO-ONLY</v>
      </c>
      <c r="AD1298" s="9">
        <f>IF(AC1298="BOTH",ROUND(Y1298-Z1298,2),0)</f>
        <v>0</v>
      </c>
    </row>
    <row r="1299">
      <c r="A1299" t="inlineStr">
        <is>
          <t>G01295</t>
        </is>
      </c>
      <c r="B1299" t="inlineStr">
        <is>
          <t>OPS</t>
        </is>
      </c>
      <c r="C1299" t="inlineStr">
        <is>
          <t>R99</t>
        </is>
      </c>
      <c r="D1299" t="inlineStr">
        <is>
          <t>OUT</t>
        </is>
      </c>
      <c r="E1299" t="inlineStr"/>
      <c r="G1299" t="inlineStr">
        <is>
          <t>In Odoo, not yet on the bank statement at 30 Sep</t>
        </is>
      </c>
      <c r="H1299">
        <f>COUNTIFS('Bank Lines'!$G$5:$G$1640,A1299,'Bank Lines'!$J$5:$J$1640,1)</f>
        <v>0</v>
      </c>
      <c r="I1299">
        <f>COUNTIFS('Odoo Items'!$J$5:$J$4331,A1299)</f>
        <v>1</v>
      </c>
      <c r="J1299" s="9">
        <f>ROUND(SUMIFS('Bank Lines'!$E$5:$E$1640,'Bank Lines'!$G$5:$G$1640,A1299,'Bank Lines'!$J$5:$J$1640,1),2)</f>
        <v>0</v>
      </c>
      <c r="K1299" s="9">
        <f>ROUND(SUMIFS('Odoo Items'!$G$5:$G$4331,'Odoo Items'!$J$5:$J$4331,A1299),2)</f>
        <v>150</v>
      </c>
      <c r="L1299" s="9">
        <f>ROUND(J1299-K1299,2)</f>
        <v>-150</v>
      </c>
      <c r="M1299" s="9">
        <f>ROUND(SUMIFS('Bank Lines'!$E$5:$E$1640,'Bank Lines'!$G$5:$G$1640,A1299,'Bank Lines'!$J$5:$J$1640,1,'Bank Lines'!$C$5:$C$1640,"&lt;="&amp;Cover!$C$13),2)</f>
        <v>0</v>
      </c>
      <c r="N1299" s="9">
        <f>ROUND(SUMIFS('Odoo Items'!$G$5:$G$4331,'Odoo Items'!$J$5:$J$4331,A1299,'Odoo Items'!$C$5:$C$4331,"&lt;="&amp;Cover!$C$13),2)</f>
        <v>0</v>
      </c>
      <c r="O1299">
        <f>COUNTIFS('Bank Lines'!$G$5:$G$1640,A1299,'Bank Lines'!$J$5:$J$1640,1,'Bank Lines'!$C$5:$C$1640,"&lt;="&amp;Cover!$C$13)</f>
        <v>0</v>
      </c>
      <c r="P1299">
        <f>COUNTIFS('Odoo Items'!$J$5:$J$4331,A1299,'Odoo Items'!$C$5:$C$4331,"&lt;="&amp;Cover!$C$13)</f>
        <v>0</v>
      </c>
      <c r="Q1299">
        <f>IF(AND(O1299=0,P1299=0),"",IF(O1299=0,"ODOO-ONLY",IF(P1299=0,"BANK-ONLY","BOTH")))</f>
      </c>
      <c r="R1299" s="9">
        <f>IF(Q1299="BOTH",ROUND(M1299-N1299,2),0)</f>
        <v>0</v>
      </c>
      <c r="S1299" s="9">
        <f>ROUND(SUMIFS('Bank Lines'!$E$5:$E$1640,'Bank Lines'!$G$5:$G$1640,A1299,'Bank Lines'!$J$5:$J$1640,1,'Bank Lines'!$C$5:$C$1640,"&lt;="&amp;Cover!$C$14),2)</f>
        <v>0</v>
      </c>
      <c r="T1299" s="9">
        <f>ROUND(SUMIFS('Odoo Items'!$G$5:$G$4331,'Odoo Items'!$J$5:$J$4331,A1299,'Odoo Items'!$C$5:$C$4331,"&lt;="&amp;Cover!$C$14),2)</f>
        <v>0</v>
      </c>
      <c r="U1299">
        <f>COUNTIFS('Bank Lines'!$G$5:$G$1640,A1299,'Bank Lines'!$J$5:$J$1640,1,'Bank Lines'!$C$5:$C$1640,"&lt;="&amp;Cover!$C$14)</f>
        <v>0</v>
      </c>
      <c r="V1299">
        <f>COUNTIFS('Odoo Items'!$J$5:$J$4331,A1299,'Odoo Items'!$C$5:$C$4331,"&lt;="&amp;Cover!$C$14)</f>
        <v>0</v>
      </c>
      <c r="W1299">
        <f>IF(AND(U1299=0,V1299=0),"",IF(U1299=0,"ODOO-ONLY",IF(V1299=0,"BANK-ONLY","BOTH")))</f>
      </c>
      <c r="X1299" s="9">
        <f>IF(W1299="BOTH",ROUND(S1299-T1299,2),0)</f>
        <v>0</v>
      </c>
      <c r="Y1299" s="9">
        <f>ROUND(SUMIFS('Bank Lines'!$E$5:$E$1640,'Bank Lines'!$G$5:$G$1640,A1299,'Bank Lines'!$J$5:$J$1640,1,'Bank Lines'!$C$5:$C$1640,"&lt;="&amp;Cover!$C$15),2)</f>
        <v>0</v>
      </c>
      <c r="Z1299" s="9">
        <f>ROUND(SUMIFS('Odoo Items'!$G$5:$G$4331,'Odoo Items'!$J$5:$J$4331,A1299,'Odoo Items'!$C$5:$C$4331,"&lt;="&amp;Cover!$C$15),2)</f>
        <v>150</v>
      </c>
      <c r="AA1299">
        <f>COUNTIFS('Bank Lines'!$G$5:$G$1640,A1299,'Bank Lines'!$J$5:$J$1640,1,'Bank Lines'!$C$5:$C$1640,"&lt;="&amp;Cover!$C$15)</f>
        <v>0</v>
      </c>
      <c r="AB1299">
        <f>COUNTIFS('Odoo Items'!$J$5:$J$4331,A1299,'Odoo Items'!$C$5:$C$4331,"&lt;="&amp;Cover!$C$15)</f>
        <v>1</v>
      </c>
      <c r="AC1299" t="str">
        <f>IF(AND(AA1299=0,AB1299=0),"",IF(AA1299=0,"ODOO-ONLY",IF(AB1299=0,"BANK-ONLY","BOTH")))</f>
        <v>ODOO-ONLY</v>
      </c>
      <c r="AD1299" s="9">
        <f>IF(AC1299="BOTH",ROUND(Y1299-Z1299,2),0)</f>
        <v>0</v>
      </c>
    </row>
    <row r="1300">
      <c r="A1300" t="inlineStr">
        <is>
          <t>G01296</t>
        </is>
      </c>
      <c r="B1300" t="inlineStr">
        <is>
          <t>OPS</t>
        </is>
      </c>
      <c r="C1300" t="inlineStr">
        <is>
          <t>R99</t>
        </is>
      </c>
      <c r="D1300" t="inlineStr">
        <is>
          <t>OUT</t>
        </is>
      </c>
      <c r="E1300" t="inlineStr"/>
      <c r="G1300" t="inlineStr">
        <is>
          <t>In Odoo, not yet on the bank statement at 30 Sep</t>
        </is>
      </c>
      <c r="H1300">
        <f>COUNTIFS('Bank Lines'!$G$5:$G$1640,A1300,'Bank Lines'!$J$5:$J$1640,1)</f>
        <v>0</v>
      </c>
      <c r="I1300">
        <f>COUNTIFS('Odoo Items'!$J$5:$J$4331,A1300)</f>
        <v>1</v>
      </c>
      <c r="J1300" s="9">
        <f>ROUND(SUMIFS('Bank Lines'!$E$5:$E$1640,'Bank Lines'!$G$5:$G$1640,A1300,'Bank Lines'!$J$5:$J$1640,1),2)</f>
        <v>0</v>
      </c>
      <c r="K1300" s="9">
        <f>ROUND(SUMIFS('Odoo Items'!$G$5:$G$4331,'Odoo Items'!$J$5:$J$4331,A1300),2)</f>
        <v>110</v>
      </c>
      <c r="L1300" s="9">
        <f>ROUND(J1300-K1300,2)</f>
        <v>-110</v>
      </c>
      <c r="M1300" s="9">
        <f>ROUND(SUMIFS('Bank Lines'!$E$5:$E$1640,'Bank Lines'!$G$5:$G$1640,A1300,'Bank Lines'!$J$5:$J$1640,1,'Bank Lines'!$C$5:$C$1640,"&lt;="&amp;Cover!$C$13),2)</f>
        <v>0</v>
      </c>
      <c r="N1300" s="9">
        <f>ROUND(SUMIFS('Odoo Items'!$G$5:$G$4331,'Odoo Items'!$J$5:$J$4331,A1300,'Odoo Items'!$C$5:$C$4331,"&lt;="&amp;Cover!$C$13),2)</f>
        <v>0</v>
      </c>
      <c r="O1300">
        <f>COUNTIFS('Bank Lines'!$G$5:$G$1640,A1300,'Bank Lines'!$J$5:$J$1640,1,'Bank Lines'!$C$5:$C$1640,"&lt;="&amp;Cover!$C$13)</f>
        <v>0</v>
      </c>
      <c r="P1300">
        <f>COUNTIFS('Odoo Items'!$J$5:$J$4331,A1300,'Odoo Items'!$C$5:$C$4331,"&lt;="&amp;Cover!$C$13)</f>
        <v>0</v>
      </c>
      <c r="Q1300">
        <f>IF(AND(O1300=0,P1300=0),"",IF(O1300=0,"ODOO-ONLY",IF(P1300=0,"BANK-ONLY","BOTH")))</f>
      </c>
      <c r="R1300" s="9">
        <f>IF(Q1300="BOTH",ROUND(M1300-N1300,2),0)</f>
        <v>0</v>
      </c>
      <c r="S1300" s="9">
        <f>ROUND(SUMIFS('Bank Lines'!$E$5:$E$1640,'Bank Lines'!$G$5:$G$1640,A1300,'Bank Lines'!$J$5:$J$1640,1,'Bank Lines'!$C$5:$C$1640,"&lt;="&amp;Cover!$C$14),2)</f>
        <v>0</v>
      </c>
      <c r="T1300" s="9">
        <f>ROUND(SUMIFS('Odoo Items'!$G$5:$G$4331,'Odoo Items'!$J$5:$J$4331,A1300,'Odoo Items'!$C$5:$C$4331,"&lt;="&amp;Cover!$C$14),2)</f>
        <v>0</v>
      </c>
      <c r="U1300">
        <f>COUNTIFS('Bank Lines'!$G$5:$G$1640,A1300,'Bank Lines'!$J$5:$J$1640,1,'Bank Lines'!$C$5:$C$1640,"&lt;="&amp;Cover!$C$14)</f>
        <v>0</v>
      </c>
      <c r="V1300">
        <f>COUNTIFS('Odoo Items'!$J$5:$J$4331,A1300,'Odoo Items'!$C$5:$C$4331,"&lt;="&amp;Cover!$C$14)</f>
        <v>0</v>
      </c>
      <c r="W1300">
        <f>IF(AND(U1300=0,V1300=0),"",IF(U1300=0,"ODOO-ONLY",IF(V1300=0,"BANK-ONLY","BOTH")))</f>
      </c>
      <c r="X1300" s="9">
        <f>IF(W1300="BOTH",ROUND(S1300-T1300,2),0)</f>
        <v>0</v>
      </c>
      <c r="Y1300" s="9">
        <f>ROUND(SUMIFS('Bank Lines'!$E$5:$E$1640,'Bank Lines'!$G$5:$G$1640,A1300,'Bank Lines'!$J$5:$J$1640,1,'Bank Lines'!$C$5:$C$1640,"&lt;="&amp;Cover!$C$15),2)</f>
        <v>0</v>
      </c>
      <c r="Z1300" s="9">
        <f>ROUND(SUMIFS('Odoo Items'!$G$5:$G$4331,'Odoo Items'!$J$5:$J$4331,A1300,'Odoo Items'!$C$5:$C$4331,"&lt;="&amp;Cover!$C$15),2)</f>
        <v>110</v>
      </c>
      <c r="AA1300">
        <f>COUNTIFS('Bank Lines'!$G$5:$G$1640,A1300,'Bank Lines'!$J$5:$J$1640,1,'Bank Lines'!$C$5:$C$1640,"&lt;="&amp;Cover!$C$15)</f>
        <v>0</v>
      </c>
      <c r="AB1300">
        <f>COUNTIFS('Odoo Items'!$J$5:$J$4331,A1300,'Odoo Items'!$C$5:$C$4331,"&lt;="&amp;Cover!$C$15)</f>
        <v>1</v>
      </c>
      <c r="AC1300" t="str">
        <f>IF(AND(AA1300=0,AB1300=0),"",IF(AA1300=0,"ODOO-ONLY",IF(AB1300=0,"BANK-ONLY","BOTH")))</f>
        <v>ODOO-ONLY</v>
      </c>
      <c r="AD1300" s="9">
        <f>IF(AC1300="BOTH",ROUND(Y1300-Z1300,2),0)</f>
        <v>0</v>
      </c>
    </row>
    <row r="1301">
      <c r="A1301" t="inlineStr">
        <is>
          <t>G01297</t>
        </is>
      </c>
      <c r="B1301" t="inlineStr">
        <is>
          <t>OPS</t>
        </is>
      </c>
      <c r="C1301" t="inlineStr">
        <is>
          <t>R99</t>
        </is>
      </c>
      <c r="D1301" t="inlineStr">
        <is>
          <t>OUT</t>
        </is>
      </c>
      <c r="E1301" t="inlineStr"/>
      <c r="G1301" t="inlineStr">
        <is>
          <t>In Odoo, not yet on the bank statement at 30 Sep</t>
        </is>
      </c>
      <c r="H1301">
        <f>COUNTIFS('Bank Lines'!$G$5:$G$1640,A1301,'Bank Lines'!$J$5:$J$1640,1)</f>
        <v>0</v>
      </c>
      <c r="I1301">
        <f>COUNTIFS('Odoo Items'!$J$5:$J$4331,A1301)</f>
        <v>1</v>
      </c>
      <c r="J1301" s="9">
        <f>ROUND(SUMIFS('Bank Lines'!$E$5:$E$1640,'Bank Lines'!$G$5:$G$1640,A1301,'Bank Lines'!$J$5:$J$1640,1),2)</f>
        <v>0</v>
      </c>
      <c r="K1301" s="9">
        <f>ROUND(SUMIFS('Odoo Items'!$G$5:$G$4331,'Odoo Items'!$J$5:$J$4331,A1301),2)</f>
        <v>150</v>
      </c>
      <c r="L1301" s="9">
        <f>ROUND(J1301-K1301,2)</f>
        <v>-150</v>
      </c>
      <c r="M1301" s="9">
        <f>ROUND(SUMIFS('Bank Lines'!$E$5:$E$1640,'Bank Lines'!$G$5:$G$1640,A1301,'Bank Lines'!$J$5:$J$1640,1,'Bank Lines'!$C$5:$C$1640,"&lt;="&amp;Cover!$C$13),2)</f>
        <v>0</v>
      </c>
      <c r="N1301" s="9">
        <f>ROUND(SUMIFS('Odoo Items'!$G$5:$G$4331,'Odoo Items'!$J$5:$J$4331,A1301,'Odoo Items'!$C$5:$C$4331,"&lt;="&amp;Cover!$C$13),2)</f>
        <v>0</v>
      </c>
      <c r="O1301">
        <f>COUNTIFS('Bank Lines'!$G$5:$G$1640,A1301,'Bank Lines'!$J$5:$J$1640,1,'Bank Lines'!$C$5:$C$1640,"&lt;="&amp;Cover!$C$13)</f>
        <v>0</v>
      </c>
      <c r="P1301">
        <f>COUNTIFS('Odoo Items'!$J$5:$J$4331,A1301,'Odoo Items'!$C$5:$C$4331,"&lt;="&amp;Cover!$C$13)</f>
        <v>0</v>
      </c>
      <c r="Q1301">
        <f>IF(AND(O1301=0,P1301=0),"",IF(O1301=0,"ODOO-ONLY",IF(P1301=0,"BANK-ONLY","BOTH")))</f>
      </c>
      <c r="R1301" s="9">
        <f>IF(Q1301="BOTH",ROUND(M1301-N1301,2),0)</f>
        <v>0</v>
      </c>
      <c r="S1301" s="9">
        <f>ROUND(SUMIFS('Bank Lines'!$E$5:$E$1640,'Bank Lines'!$G$5:$G$1640,A1301,'Bank Lines'!$J$5:$J$1640,1,'Bank Lines'!$C$5:$C$1640,"&lt;="&amp;Cover!$C$14),2)</f>
        <v>0</v>
      </c>
      <c r="T1301" s="9">
        <f>ROUND(SUMIFS('Odoo Items'!$G$5:$G$4331,'Odoo Items'!$J$5:$J$4331,A1301,'Odoo Items'!$C$5:$C$4331,"&lt;="&amp;Cover!$C$14),2)</f>
        <v>0</v>
      </c>
      <c r="U1301">
        <f>COUNTIFS('Bank Lines'!$G$5:$G$1640,A1301,'Bank Lines'!$J$5:$J$1640,1,'Bank Lines'!$C$5:$C$1640,"&lt;="&amp;Cover!$C$14)</f>
        <v>0</v>
      </c>
      <c r="V1301">
        <f>COUNTIFS('Odoo Items'!$J$5:$J$4331,A1301,'Odoo Items'!$C$5:$C$4331,"&lt;="&amp;Cover!$C$14)</f>
        <v>0</v>
      </c>
      <c r="W1301">
        <f>IF(AND(U1301=0,V1301=0),"",IF(U1301=0,"ODOO-ONLY",IF(V1301=0,"BANK-ONLY","BOTH")))</f>
      </c>
      <c r="X1301" s="9">
        <f>IF(W1301="BOTH",ROUND(S1301-T1301,2),0)</f>
        <v>0</v>
      </c>
      <c r="Y1301" s="9">
        <f>ROUND(SUMIFS('Bank Lines'!$E$5:$E$1640,'Bank Lines'!$G$5:$G$1640,A1301,'Bank Lines'!$J$5:$J$1640,1,'Bank Lines'!$C$5:$C$1640,"&lt;="&amp;Cover!$C$15),2)</f>
        <v>0</v>
      </c>
      <c r="Z1301" s="9">
        <f>ROUND(SUMIFS('Odoo Items'!$G$5:$G$4331,'Odoo Items'!$J$5:$J$4331,A1301,'Odoo Items'!$C$5:$C$4331,"&lt;="&amp;Cover!$C$15),2)</f>
        <v>150</v>
      </c>
      <c r="AA1301">
        <f>COUNTIFS('Bank Lines'!$G$5:$G$1640,A1301,'Bank Lines'!$J$5:$J$1640,1,'Bank Lines'!$C$5:$C$1640,"&lt;="&amp;Cover!$C$15)</f>
        <v>0</v>
      </c>
      <c r="AB1301">
        <f>COUNTIFS('Odoo Items'!$J$5:$J$4331,A1301,'Odoo Items'!$C$5:$C$4331,"&lt;="&amp;Cover!$C$15)</f>
        <v>1</v>
      </c>
      <c r="AC1301" t="str">
        <f>IF(AND(AA1301=0,AB1301=0),"",IF(AA1301=0,"ODOO-ONLY",IF(AB1301=0,"BANK-ONLY","BOTH")))</f>
        <v>ODOO-ONLY</v>
      </c>
      <c r="AD1301" s="9">
        <f>IF(AC1301="BOTH",ROUND(Y1301-Z1301,2),0)</f>
        <v>0</v>
      </c>
    </row>
    <row r="1302">
      <c r="A1302" t="inlineStr">
        <is>
          <t>G01298</t>
        </is>
      </c>
      <c r="B1302" t="inlineStr">
        <is>
          <t>OPS</t>
        </is>
      </c>
      <c r="C1302" t="inlineStr">
        <is>
          <t>R99</t>
        </is>
      </c>
      <c r="D1302" t="inlineStr">
        <is>
          <t>OUT</t>
        </is>
      </c>
      <c r="E1302" t="inlineStr"/>
      <c r="G1302" t="inlineStr">
        <is>
          <t>In Odoo, not yet on the bank statement at 30 Sep</t>
        </is>
      </c>
      <c r="H1302">
        <f>COUNTIFS('Bank Lines'!$G$5:$G$1640,A1302,'Bank Lines'!$J$5:$J$1640,1)</f>
        <v>0</v>
      </c>
      <c r="I1302">
        <f>COUNTIFS('Odoo Items'!$J$5:$J$4331,A1302)</f>
        <v>1</v>
      </c>
      <c r="J1302" s="9">
        <f>ROUND(SUMIFS('Bank Lines'!$E$5:$E$1640,'Bank Lines'!$G$5:$G$1640,A1302,'Bank Lines'!$J$5:$J$1640,1),2)</f>
        <v>0</v>
      </c>
      <c r="K1302" s="9">
        <f>ROUND(SUMIFS('Odoo Items'!$G$5:$G$4331,'Odoo Items'!$J$5:$J$4331,A1302),2)</f>
        <v>65</v>
      </c>
      <c r="L1302" s="9">
        <f>ROUND(J1302-K1302,2)</f>
        <v>-65</v>
      </c>
      <c r="M1302" s="9">
        <f>ROUND(SUMIFS('Bank Lines'!$E$5:$E$1640,'Bank Lines'!$G$5:$G$1640,A1302,'Bank Lines'!$J$5:$J$1640,1,'Bank Lines'!$C$5:$C$1640,"&lt;="&amp;Cover!$C$13),2)</f>
        <v>0</v>
      </c>
      <c r="N1302" s="9">
        <f>ROUND(SUMIFS('Odoo Items'!$G$5:$G$4331,'Odoo Items'!$J$5:$J$4331,A1302,'Odoo Items'!$C$5:$C$4331,"&lt;="&amp;Cover!$C$13),2)</f>
        <v>0</v>
      </c>
      <c r="O1302">
        <f>COUNTIFS('Bank Lines'!$G$5:$G$1640,A1302,'Bank Lines'!$J$5:$J$1640,1,'Bank Lines'!$C$5:$C$1640,"&lt;="&amp;Cover!$C$13)</f>
        <v>0</v>
      </c>
      <c r="P1302">
        <f>COUNTIFS('Odoo Items'!$J$5:$J$4331,A1302,'Odoo Items'!$C$5:$C$4331,"&lt;="&amp;Cover!$C$13)</f>
        <v>0</v>
      </c>
      <c r="Q1302">
        <f>IF(AND(O1302=0,P1302=0),"",IF(O1302=0,"ODOO-ONLY",IF(P1302=0,"BANK-ONLY","BOTH")))</f>
      </c>
      <c r="R1302" s="9">
        <f>IF(Q1302="BOTH",ROUND(M1302-N1302,2),0)</f>
        <v>0</v>
      </c>
      <c r="S1302" s="9">
        <f>ROUND(SUMIFS('Bank Lines'!$E$5:$E$1640,'Bank Lines'!$G$5:$G$1640,A1302,'Bank Lines'!$J$5:$J$1640,1,'Bank Lines'!$C$5:$C$1640,"&lt;="&amp;Cover!$C$14),2)</f>
        <v>0</v>
      </c>
      <c r="T1302" s="9">
        <f>ROUND(SUMIFS('Odoo Items'!$G$5:$G$4331,'Odoo Items'!$J$5:$J$4331,A1302,'Odoo Items'!$C$5:$C$4331,"&lt;="&amp;Cover!$C$14),2)</f>
        <v>0</v>
      </c>
      <c r="U1302">
        <f>COUNTIFS('Bank Lines'!$G$5:$G$1640,A1302,'Bank Lines'!$J$5:$J$1640,1,'Bank Lines'!$C$5:$C$1640,"&lt;="&amp;Cover!$C$14)</f>
        <v>0</v>
      </c>
      <c r="V1302">
        <f>COUNTIFS('Odoo Items'!$J$5:$J$4331,A1302,'Odoo Items'!$C$5:$C$4331,"&lt;="&amp;Cover!$C$14)</f>
        <v>0</v>
      </c>
      <c r="W1302">
        <f>IF(AND(U1302=0,V1302=0),"",IF(U1302=0,"ODOO-ONLY",IF(V1302=0,"BANK-ONLY","BOTH")))</f>
      </c>
      <c r="X1302" s="9">
        <f>IF(W1302="BOTH",ROUND(S1302-T1302,2),0)</f>
        <v>0</v>
      </c>
      <c r="Y1302" s="9">
        <f>ROUND(SUMIFS('Bank Lines'!$E$5:$E$1640,'Bank Lines'!$G$5:$G$1640,A1302,'Bank Lines'!$J$5:$J$1640,1,'Bank Lines'!$C$5:$C$1640,"&lt;="&amp;Cover!$C$15),2)</f>
        <v>0</v>
      </c>
      <c r="Z1302" s="9">
        <f>ROUND(SUMIFS('Odoo Items'!$G$5:$G$4331,'Odoo Items'!$J$5:$J$4331,A1302,'Odoo Items'!$C$5:$C$4331,"&lt;="&amp;Cover!$C$15),2)</f>
        <v>65</v>
      </c>
      <c r="AA1302">
        <f>COUNTIFS('Bank Lines'!$G$5:$G$1640,A1302,'Bank Lines'!$J$5:$J$1640,1,'Bank Lines'!$C$5:$C$1640,"&lt;="&amp;Cover!$C$15)</f>
        <v>0</v>
      </c>
      <c r="AB1302">
        <f>COUNTIFS('Odoo Items'!$J$5:$J$4331,A1302,'Odoo Items'!$C$5:$C$4331,"&lt;="&amp;Cover!$C$15)</f>
        <v>1</v>
      </c>
      <c r="AC1302" t="str">
        <f>IF(AND(AA1302=0,AB1302=0),"",IF(AA1302=0,"ODOO-ONLY",IF(AB1302=0,"BANK-ONLY","BOTH")))</f>
        <v>ODOO-ONLY</v>
      </c>
      <c r="AD1302" s="9">
        <f>IF(AC1302="BOTH",ROUND(Y1302-Z1302,2),0)</f>
        <v>0</v>
      </c>
    </row>
    <row r="1303">
      <c r="A1303" t="inlineStr">
        <is>
          <t>G01299</t>
        </is>
      </c>
      <c r="B1303" t="inlineStr">
        <is>
          <t>OPS</t>
        </is>
      </c>
      <c r="C1303" t="inlineStr">
        <is>
          <t>R99</t>
        </is>
      </c>
      <c r="D1303" t="inlineStr">
        <is>
          <t>OUT</t>
        </is>
      </c>
      <c r="E1303" t="inlineStr"/>
      <c r="G1303" t="inlineStr">
        <is>
          <t>In Odoo, not yet on the bank statement at 30 Sep</t>
        </is>
      </c>
      <c r="H1303">
        <f>COUNTIFS('Bank Lines'!$G$5:$G$1640,A1303,'Bank Lines'!$J$5:$J$1640,1)</f>
        <v>0</v>
      </c>
      <c r="I1303">
        <f>COUNTIFS('Odoo Items'!$J$5:$J$4331,A1303)</f>
        <v>1</v>
      </c>
      <c r="J1303" s="9">
        <f>ROUND(SUMIFS('Bank Lines'!$E$5:$E$1640,'Bank Lines'!$G$5:$G$1640,A1303,'Bank Lines'!$J$5:$J$1640,1),2)</f>
        <v>0</v>
      </c>
      <c r="K1303" s="9">
        <f>ROUND(SUMIFS('Odoo Items'!$G$5:$G$4331,'Odoo Items'!$J$5:$J$4331,A1303),2)</f>
        <v>65</v>
      </c>
      <c r="L1303" s="9">
        <f>ROUND(J1303-K1303,2)</f>
        <v>-65</v>
      </c>
      <c r="M1303" s="9">
        <f>ROUND(SUMIFS('Bank Lines'!$E$5:$E$1640,'Bank Lines'!$G$5:$G$1640,A1303,'Bank Lines'!$J$5:$J$1640,1,'Bank Lines'!$C$5:$C$1640,"&lt;="&amp;Cover!$C$13),2)</f>
        <v>0</v>
      </c>
      <c r="N1303" s="9">
        <f>ROUND(SUMIFS('Odoo Items'!$G$5:$G$4331,'Odoo Items'!$J$5:$J$4331,A1303,'Odoo Items'!$C$5:$C$4331,"&lt;="&amp;Cover!$C$13),2)</f>
        <v>0</v>
      </c>
      <c r="O1303">
        <f>COUNTIFS('Bank Lines'!$G$5:$G$1640,A1303,'Bank Lines'!$J$5:$J$1640,1,'Bank Lines'!$C$5:$C$1640,"&lt;="&amp;Cover!$C$13)</f>
        <v>0</v>
      </c>
      <c r="P1303">
        <f>COUNTIFS('Odoo Items'!$J$5:$J$4331,A1303,'Odoo Items'!$C$5:$C$4331,"&lt;="&amp;Cover!$C$13)</f>
        <v>0</v>
      </c>
      <c r="Q1303">
        <f>IF(AND(O1303=0,P1303=0),"",IF(O1303=0,"ODOO-ONLY",IF(P1303=0,"BANK-ONLY","BOTH")))</f>
      </c>
      <c r="R1303" s="9">
        <f>IF(Q1303="BOTH",ROUND(M1303-N1303,2),0)</f>
        <v>0</v>
      </c>
      <c r="S1303" s="9">
        <f>ROUND(SUMIFS('Bank Lines'!$E$5:$E$1640,'Bank Lines'!$G$5:$G$1640,A1303,'Bank Lines'!$J$5:$J$1640,1,'Bank Lines'!$C$5:$C$1640,"&lt;="&amp;Cover!$C$14),2)</f>
        <v>0</v>
      </c>
      <c r="T1303" s="9">
        <f>ROUND(SUMIFS('Odoo Items'!$G$5:$G$4331,'Odoo Items'!$J$5:$J$4331,A1303,'Odoo Items'!$C$5:$C$4331,"&lt;="&amp;Cover!$C$14),2)</f>
        <v>0</v>
      </c>
      <c r="U1303">
        <f>COUNTIFS('Bank Lines'!$G$5:$G$1640,A1303,'Bank Lines'!$J$5:$J$1640,1,'Bank Lines'!$C$5:$C$1640,"&lt;="&amp;Cover!$C$14)</f>
        <v>0</v>
      </c>
      <c r="V1303">
        <f>COUNTIFS('Odoo Items'!$J$5:$J$4331,A1303,'Odoo Items'!$C$5:$C$4331,"&lt;="&amp;Cover!$C$14)</f>
        <v>0</v>
      </c>
      <c r="W1303">
        <f>IF(AND(U1303=0,V1303=0),"",IF(U1303=0,"ODOO-ONLY",IF(V1303=0,"BANK-ONLY","BOTH")))</f>
      </c>
      <c r="X1303" s="9">
        <f>IF(W1303="BOTH",ROUND(S1303-T1303,2),0)</f>
        <v>0</v>
      </c>
      <c r="Y1303" s="9">
        <f>ROUND(SUMIFS('Bank Lines'!$E$5:$E$1640,'Bank Lines'!$G$5:$G$1640,A1303,'Bank Lines'!$J$5:$J$1640,1,'Bank Lines'!$C$5:$C$1640,"&lt;="&amp;Cover!$C$15),2)</f>
        <v>0</v>
      </c>
      <c r="Z1303" s="9">
        <f>ROUND(SUMIFS('Odoo Items'!$G$5:$G$4331,'Odoo Items'!$J$5:$J$4331,A1303,'Odoo Items'!$C$5:$C$4331,"&lt;="&amp;Cover!$C$15),2)</f>
        <v>65</v>
      </c>
      <c r="AA1303">
        <f>COUNTIFS('Bank Lines'!$G$5:$G$1640,A1303,'Bank Lines'!$J$5:$J$1640,1,'Bank Lines'!$C$5:$C$1640,"&lt;="&amp;Cover!$C$15)</f>
        <v>0</v>
      </c>
      <c r="AB1303">
        <f>COUNTIFS('Odoo Items'!$J$5:$J$4331,A1303,'Odoo Items'!$C$5:$C$4331,"&lt;="&amp;Cover!$C$15)</f>
        <v>1</v>
      </c>
      <c r="AC1303" t="str">
        <f>IF(AND(AA1303=0,AB1303=0),"",IF(AA1303=0,"ODOO-ONLY",IF(AB1303=0,"BANK-ONLY","BOTH")))</f>
        <v>ODOO-ONLY</v>
      </c>
      <c r="AD1303" s="9">
        <f>IF(AC1303="BOTH",ROUND(Y1303-Z1303,2),0)</f>
        <v>0</v>
      </c>
    </row>
    <row r="1304">
      <c r="A1304" t="inlineStr">
        <is>
          <t>G01300</t>
        </is>
      </c>
      <c r="B1304" t="inlineStr">
        <is>
          <t>OPS</t>
        </is>
      </c>
      <c r="C1304" t="inlineStr">
        <is>
          <t>R99</t>
        </is>
      </c>
      <c r="D1304" t="inlineStr">
        <is>
          <t>OUT</t>
        </is>
      </c>
      <c r="E1304" t="inlineStr"/>
      <c r="G1304" t="inlineStr">
        <is>
          <t>In Odoo, not yet on the bank statement at 30 Sep</t>
        </is>
      </c>
      <c r="H1304">
        <f>COUNTIFS('Bank Lines'!$G$5:$G$1640,A1304,'Bank Lines'!$J$5:$J$1640,1)</f>
        <v>0</v>
      </c>
      <c r="I1304">
        <f>COUNTIFS('Odoo Items'!$J$5:$J$4331,A1304)</f>
        <v>1</v>
      </c>
      <c r="J1304" s="9">
        <f>ROUND(SUMIFS('Bank Lines'!$E$5:$E$1640,'Bank Lines'!$G$5:$G$1640,A1304,'Bank Lines'!$J$5:$J$1640,1),2)</f>
        <v>0</v>
      </c>
      <c r="K1304" s="9">
        <f>ROUND(SUMIFS('Odoo Items'!$G$5:$G$4331,'Odoo Items'!$J$5:$J$4331,A1304),2)</f>
        <v>150</v>
      </c>
      <c r="L1304" s="9">
        <f>ROUND(J1304-K1304,2)</f>
        <v>-150</v>
      </c>
      <c r="M1304" s="9">
        <f>ROUND(SUMIFS('Bank Lines'!$E$5:$E$1640,'Bank Lines'!$G$5:$G$1640,A1304,'Bank Lines'!$J$5:$J$1640,1,'Bank Lines'!$C$5:$C$1640,"&lt;="&amp;Cover!$C$13),2)</f>
        <v>0</v>
      </c>
      <c r="N1304" s="9">
        <f>ROUND(SUMIFS('Odoo Items'!$G$5:$G$4331,'Odoo Items'!$J$5:$J$4331,A1304,'Odoo Items'!$C$5:$C$4331,"&lt;="&amp;Cover!$C$13),2)</f>
        <v>0</v>
      </c>
      <c r="O1304">
        <f>COUNTIFS('Bank Lines'!$G$5:$G$1640,A1304,'Bank Lines'!$J$5:$J$1640,1,'Bank Lines'!$C$5:$C$1640,"&lt;="&amp;Cover!$C$13)</f>
        <v>0</v>
      </c>
      <c r="P1304">
        <f>COUNTIFS('Odoo Items'!$J$5:$J$4331,A1304,'Odoo Items'!$C$5:$C$4331,"&lt;="&amp;Cover!$C$13)</f>
        <v>0</v>
      </c>
      <c r="Q1304">
        <f>IF(AND(O1304=0,P1304=0),"",IF(O1304=0,"ODOO-ONLY",IF(P1304=0,"BANK-ONLY","BOTH")))</f>
      </c>
      <c r="R1304" s="9">
        <f>IF(Q1304="BOTH",ROUND(M1304-N1304,2),0)</f>
        <v>0</v>
      </c>
      <c r="S1304" s="9">
        <f>ROUND(SUMIFS('Bank Lines'!$E$5:$E$1640,'Bank Lines'!$G$5:$G$1640,A1304,'Bank Lines'!$J$5:$J$1640,1,'Bank Lines'!$C$5:$C$1640,"&lt;="&amp;Cover!$C$14),2)</f>
        <v>0</v>
      </c>
      <c r="T1304" s="9">
        <f>ROUND(SUMIFS('Odoo Items'!$G$5:$G$4331,'Odoo Items'!$J$5:$J$4331,A1304,'Odoo Items'!$C$5:$C$4331,"&lt;="&amp;Cover!$C$14),2)</f>
        <v>0</v>
      </c>
      <c r="U1304">
        <f>COUNTIFS('Bank Lines'!$G$5:$G$1640,A1304,'Bank Lines'!$J$5:$J$1640,1,'Bank Lines'!$C$5:$C$1640,"&lt;="&amp;Cover!$C$14)</f>
        <v>0</v>
      </c>
      <c r="V1304">
        <f>COUNTIFS('Odoo Items'!$J$5:$J$4331,A1304,'Odoo Items'!$C$5:$C$4331,"&lt;="&amp;Cover!$C$14)</f>
        <v>0</v>
      </c>
      <c r="W1304">
        <f>IF(AND(U1304=0,V1304=0),"",IF(U1304=0,"ODOO-ONLY",IF(V1304=0,"BANK-ONLY","BOTH")))</f>
      </c>
      <c r="X1304" s="9">
        <f>IF(W1304="BOTH",ROUND(S1304-T1304,2),0)</f>
        <v>0</v>
      </c>
      <c r="Y1304" s="9">
        <f>ROUND(SUMIFS('Bank Lines'!$E$5:$E$1640,'Bank Lines'!$G$5:$G$1640,A1304,'Bank Lines'!$J$5:$J$1640,1,'Bank Lines'!$C$5:$C$1640,"&lt;="&amp;Cover!$C$15),2)</f>
        <v>0</v>
      </c>
      <c r="Z1304" s="9">
        <f>ROUND(SUMIFS('Odoo Items'!$G$5:$G$4331,'Odoo Items'!$J$5:$J$4331,A1304,'Odoo Items'!$C$5:$C$4331,"&lt;="&amp;Cover!$C$15),2)</f>
        <v>150</v>
      </c>
      <c r="AA1304">
        <f>COUNTIFS('Bank Lines'!$G$5:$G$1640,A1304,'Bank Lines'!$J$5:$J$1640,1,'Bank Lines'!$C$5:$C$1640,"&lt;="&amp;Cover!$C$15)</f>
        <v>0</v>
      </c>
      <c r="AB1304">
        <f>COUNTIFS('Odoo Items'!$J$5:$J$4331,A1304,'Odoo Items'!$C$5:$C$4331,"&lt;="&amp;Cover!$C$15)</f>
        <v>1</v>
      </c>
      <c r="AC1304" t="str">
        <f>IF(AND(AA1304=0,AB1304=0),"",IF(AA1304=0,"ODOO-ONLY",IF(AB1304=0,"BANK-ONLY","BOTH")))</f>
        <v>ODOO-ONLY</v>
      </c>
      <c r="AD1304" s="9">
        <f>IF(AC1304="BOTH",ROUND(Y1304-Z1304,2),0)</f>
        <v>0</v>
      </c>
    </row>
    <row r="1305">
      <c r="A1305" t="inlineStr">
        <is>
          <t>G01301</t>
        </is>
      </c>
      <c r="B1305" t="inlineStr">
        <is>
          <t>OPS</t>
        </is>
      </c>
      <c r="C1305" t="inlineStr">
        <is>
          <t>R99</t>
        </is>
      </c>
      <c r="D1305" t="inlineStr">
        <is>
          <t>OUT</t>
        </is>
      </c>
      <c r="E1305" t="inlineStr"/>
      <c r="G1305" t="inlineStr">
        <is>
          <t>In Odoo, not yet on the bank statement at 30 Sep</t>
        </is>
      </c>
      <c r="H1305">
        <f>COUNTIFS('Bank Lines'!$G$5:$G$1640,A1305,'Bank Lines'!$J$5:$J$1640,1)</f>
        <v>0</v>
      </c>
      <c r="I1305">
        <f>COUNTIFS('Odoo Items'!$J$5:$J$4331,A1305)</f>
        <v>1</v>
      </c>
      <c r="J1305" s="9">
        <f>ROUND(SUMIFS('Bank Lines'!$E$5:$E$1640,'Bank Lines'!$G$5:$G$1640,A1305,'Bank Lines'!$J$5:$J$1640,1),2)</f>
        <v>0</v>
      </c>
      <c r="K1305" s="9">
        <f>ROUND(SUMIFS('Odoo Items'!$G$5:$G$4331,'Odoo Items'!$J$5:$J$4331,A1305),2)</f>
        <v>65</v>
      </c>
      <c r="L1305" s="9">
        <f>ROUND(J1305-K1305,2)</f>
        <v>-65</v>
      </c>
      <c r="M1305" s="9">
        <f>ROUND(SUMIFS('Bank Lines'!$E$5:$E$1640,'Bank Lines'!$G$5:$G$1640,A1305,'Bank Lines'!$J$5:$J$1640,1,'Bank Lines'!$C$5:$C$1640,"&lt;="&amp;Cover!$C$13),2)</f>
        <v>0</v>
      </c>
      <c r="N1305" s="9">
        <f>ROUND(SUMIFS('Odoo Items'!$G$5:$G$4331,'Odoo Items'!$J$5:$J$4331,A1305,'Odoo Items'!$C$5:$C$4331,"&lt;="&amp;Cover!$C$13),2)</f>
        <v>0</v>
      </c>
      <c r="O1305">
        <f>COUNTIFS('Bank Lines'!$G$5:$G$1640,A1305,'Bank Lines'!$J$5:$J$1640,1,'Bank Lines'!$C$5:$C$1640,"&lt;="&amp;Cover!$C$13)</f>
        <v>0</v>
      </c>
      <c r="P1305">
        <f>COUNTIFS('Odoo Items'!$J$5:$J$4331,A1305,'Odoo Items'!$C$5:$C$4331,"&lt;="&amp;Cover!$C$13)</f>
        <v>0</v>
      </c>
      <c r="Q1305">
        <f>IF(AND(O1305=0,P1305=0),"",IF(O1305=0,"ODOO-ONLY",IF(P1305=0,"BANK-ONLY","BOTH")))</f>
      </c>
      <c r="R1305" s="9">
        <f>IF(Q1305="BOTH",ROUND(M1305-N1305,2),0)</f>
        <v>0</v>
      </c>
      <c r="S1305" s="9">
        <f>ROUND(SUMIFS('Bank Lines'!$E$5:$E$1640,'Bank Lines'!$G$5:$G$1640,A1305,'Bank Lines'!$J$5:$J$1640,1,'Bank Lines'!$C$5:$C$1640,"&lt;="&amp;Cover!$C$14),2)</f>
        <v>0</v>
      </c>
      <c r="T1305" s="9">
        <f>ROUND(SUMIFS('Odoo Items'!$G$5:$G$4331,'Odoo Items'!$J$5:$J$4331,A1305,'Odoo Items'!$C$5:$C$4331,"&lt;="&amp;Cover!$C$14),2)</f>
        <v>0</v>
      </c>
      <c r="U1305">
        <f>COUNTIFS('Bank Lines'!$G$5:$G$1640,A1305,'Bank Lines'!$J$5:$J$1640,1,'Bank Lines'!$C$5:$C$1640,"&lt;="&amp;Cover!$C$14)</f>
        <v>0</v>
      </c>
      <c r="V1305">
        <f>COUNTIFS('Odoo Items'!$J$5:$J$4331,A1305,'Odoo Items'!$C$5:$C$4331,"&lt;="&amp;Cover!$C$14)</f>
        <v>0</v>
      </c>
      <c r="W1305">
        <f>IF(AND(U1305=0,V1305=0),"",IF(U1305=0,"ODOO-ONLY",IF(V1305=0,"BANK-ONLY","BOTH")))</f>
      </c>
      <c r="X1305" s="9">
        <f>IF(W1305="BOTH",ROUND(S1305-T1305,2),0)</f>
        <v>0</v>
      </c>
      <c r="Y1305" s="9">
        <f>ROUND(SUMIFS('Bank Lines'!$E$5:$E$1640,'Bank Lines'!$G$5:$G$1640,A1305,'Bank Lines'!$J$5:$J$1640,1,'Bank Lines'!$C$5:$C$1640,"&lt;="&amp;Cover!$C$15),2)</f>
        <v>0</v>
      </c>
      <c r="Z1305" s="9">
        <f>ROUND(SUMIFS('Odoo Items'!$G$5:$G$4331,'Odoo Items'!$J$5:$J$4331,A1305,'Odoo Items'!$C$5:$C$4331,"&lt;="&amp;Cover!$C$15),2)</f>
        <v>65</v>
      </c>
      <c r="AA1305">
        <f>COUNTIFS('Bank Lines'!$G$5:$G$1640,A1305,'Bank Lines'!$J$5:$J$1640,1,'Bank Lines'!$C$5:$C$1640,"&lt;="&amp;Cover!$C$15)</f>
        <v>0</v>
      </c>
      <c r="AB1305">
        <f>COUNTIFS('Odoo Items'!$J$5:$J$4331,A1305,'Odoo Items'!$C$5:$C$4331,"&lt;="&amp;Cover!$C$15)</f>
        <v>1</v>
      </c>
      <c r="AC1305" t="str">
        <f>IF(AND(AA1305=0,AB1305=0),"",IF(AA1305=0,"ODOO-ONLY",IF(AB1305=0,"BANK-ONLY","BOTH")))</f>
        <v>ODOO-ONLY</v>
      </c>
      <c r="AD1305" s="9">
        <f>IF(AC1305="BOTH",ROUND(Y1305-Z1305,2),0)</f>
        <v>0</v>
      </c>
    </row>
    <row r="1306">
      <c r="A1306" t="inlineStr">
        <is>
          <t>G01302</t>
        </is>
      </c>
      <c r="B1306" t="inlineStr">
        <is>
          <t>OPS</t>
        </is>
      </c>
      <c r="C1306" t="inlineStr">
        <is>
          <t>R99</t>
        </is>
      </c>
      <c r="D1306" t="inlineStr">
        <is>
          <t>OUT</t>
        </is>
      </c>
      <c r="E1306" t="inlineStr"/>
      <c r="G1306" t="inlineStr">
        <is>
          <t>In Odoo, not yet on the bank statement at 30 Sep</t>
        </is>
      </c>
      <c r="H1306">
        <f>COUNTIFS('Bank Lines'!$G$5:$G$1640,A1306,'Bank Lines'!$J$5:$J$1640,1)</f>
        <v>0</v>
      </c>
      <c r="I1306">
        <f>COUNTIFS('Odoo Items'!$J$5:$J$4331,A1306)</f>
        <v>1</v>
      </c>
      <c r="J1306" s="9">
        <f>ROUND(SUMIFS('Bank Lines'!$E$5:$E$1640,'Bank Lines'!$G$5:$G$1640,A1306,'Bank Lines'!$J$5:$J$1640,1),2)</f>
        <v>0</v>
      </c>
      <c r="K1306" s="9">
        <f>ROUND(SUMIFS('Odoo Items'!$G$5:$G$4331,'Odoo Items'!$J$5:$J$4331,A1306),2)</f>
        <v>85</v>
      </c>
      <c r="L1306" s="9">
        <f>ROUND(J1306-K1306,2)</f>
        <v>-85</v>
      </c>
      <c r="M1306" s="9">
        <f>ROUND(SUMIFS('Bank Lines'!$E$5:$E$1640,'Bank Lines'!$G$5:$G$1640,A1306,'Bank Lines'!$J$5:$J$1640,1,'Bank Lines'!$C$5:$C$1640,"&lt;="&amp;Cover!$C$13),2)</f>
        <v>0</v>
      </c>
      <c r="N1306" s="9">
        <f>ROUND(SUMIFS('Odoo Items'!$G$5:$G$4331,'Odoo Items'!$J$5:$J$4331,A1306,'Odoo Items'!$C$5:$C$4331,"&lt;="&amp;Cover!$C$13),2)</f>
        <v>0</v>
      </c>
      <c r="O1306">
        <f>COUNTIFS('Bank Lines'!$G$5:$G$1640,A1306,'Bank Lines'!$J$5:$J$1640,1,'Bank Lines'!$C$5:$C$1640,"&lt;="&amp;Cover!$C$13)</f>
        <v>0</v>
      </c>
      <c r="P1306">
        <f>COUNTIFS('Odoo Items'!$J$5:$J$4331,A1306,'Odoo Items'!$C$5:$C$4331,"&lt;="&amp;Cover!$C$13)</f>
        <v>0</v>
      </c>
      <c r="Q1306">
        <f>IF(AND(O1306=0,P1306=0),"",IF(O1306=0,"ODOO-ONLY",IF(P1306=0,"BANK-ONLY","BOTH")))</f>
      </c>
      <c r="R1306" s="9">
        <f>IF(Q1306="BOTH",ROUND(M1306-N1306,2),0)</f>
        <v>0</v>
      </c>
      <c r="S1306" s="9">
        <f>ROUND(SUMIFS('Bank Lines'!$E$5:$E$1640,'Bank Lines'!$G$5:$G$1640,A1306,'Bank Lines'!$J$5:$J$1640,1,'Bank Lines'!$C$5:$C$1640,"&lt;="&amp;Cover!$C$14),2)</f>
        <v>0</v>
      </c>
      <c r="T1306" s="9">
        <f>ROUND(SUMIFS('Odoo Items'!$G$5:$G$4331,'Odoo Items'!$J$5:$J$4331,A1306,'Odoo Items'!$C$5:$C$4331,"&lt;="&amp;Cover!$C$14),2)</f>
        <v>0</v>
      </c>
      <c r="U1306">
        <f>COUNTIFS('Bank Lines'!$G$5:$G$1640,A1306,'Bank Lines'!$J$5:$J$1640,1,'Bank Lines'!$C$5:$C$1640,"&lt;="&amp;Cover!$C$14)</f>
        <v>0</v>
      </c>
      <c r="V1306">
        <f>COUNTIFS('Odoo Items'!$J$5:$J$4331,A1306,'Odoo Items'!$C$5:$C$4331,"&lt;="&amp;Cover!$C$14)</f>
        <v>0</v>
      </c>
      <c r="W1306">
        <f>IF(AND(U1306=0,V1306=0),"",IF(U1306=0,"ODOO-ONLY",IF(V1306=0,"BANK-ONLY","BOTH")))</f>
      </c>
      <c r="X1306" s="9">
        <f>IF(W1306="BOTH",ROUND(S1306-T1306,2),0)</f>
        <v>0</v>
      </c>
      <c r="Y1306" s="9">
        <f>ROUND(SUMIFS('Bank Lines'!$E$5:$E$1640,'Bank Lines'!$G$5:$G$1640,A1306,'Bank Lines'!$J$5:$J$1640,1,'Bank Lines'!$C$5:$C$1640,"&lt;="&amp;Cover!$C$15),2)</f>
        <v>0</v>
      </c>
      <c r="Z1306" s="9">
        <f>ROUND(SUMIFS('Odoo Items'!$G$5:$G$4331,'Odoo Items'!$J$5:$J$4331,A1306,'Odoo Items'!$C$5:$C$4331,"&lt;="&amp;Cover!$C$15),2)</f>
        <v>85</v>
      </c>
      <c r="AA1306">
        <f>COUNTIFS('Bank Lines'!$G$5:$G$1640,A1306,'Bank Lines'!$J$5:$J$1640,1,'Bank Lines'!$C$5:$C$1640,"&lt;="&amp;Cover!$C$15)</f>
        <v>0</v>
      </c>
      <c r="AB1306">
        <f>COUNTIFS('Odoo Items'!$J$5:$J$4331,A1306,'Odoo Items'!$C$5:$C$4331,"&lt;="&amp;Cover!$C$15)</f>
        <v>1</v>
      </c>
      <c r="AC1306" t="str">
        <f>IF(AND(AA1306=0,AB1306=0),"",IF(AA1306=0,"ODOO-ONLY",IF(AB1306=0,"BANK-ONLY","BOTH")))</f>
        <v>ODOO-ONLY</v>
      </c>
      <c r="AD1306" s="9">
        <f>IF(AC1306="BOTH",ROUND(Y1306-Z1306,2),0)</f>
        <v>0</v>
      </c>
    </row>
    <row r="1307">
      <c r="A1307" t="inlineStr">
        <is>
          <t>G01303</t>
        </is>
      </c>
      <c r="B1307" t="inlineStr">
        <is>
          <t>OPS</t>
        </is>
      </c>
      <c r="C1307" t="inlineStr">
        <is>
          <t>R99</t>
        </is>
      </c>
      <c r="D1307" t="inlineStr">
        <is>
          <t>OUT</t>
        </is>
      </c>
      <c r="E1307" t="inlineStr"/>
      <c r="G1307" t="inlineStr">
        <is>
          <t>In Odoo, not yet on the bank statement at 30 Sep</t>
        </is>
      </c>
      <c r="H1307">
        <f>COUNTIFS('Bank Lines'!$G$5:$G$1640,A1307,'Bank Lines'!$J$5:$J$1640,1)</f>
        <v>0</v>
      </c>
      <c r="I1307">
        <f>COUNTIFS('Odoo Items'!$J$5:$J$4331,A1307)</f>
        <v>1</v>
      </c>
      <c r="J1307" s="9">
        <f>ROUND(SUMIFS('Bank Lines'!$E$5:$E$1640,'Bank Lines'!$G$5:$G$1640,A1307,'Bank Lines'!$J$5:$J$1640,1),2)</f>
        <v>0</v>
      </c>
      <c r="K1307" s="9">
        <f>ROUND(SUMIFS('Odoo Items'!$G$5:$G$4331,'Odoo Items'!$J$5:$J$4331,A1307),2)</f>
        <v>95</v>
      </c>
      <c r="L1307" s="9">
        <f>ROUND(J1307-K1307,2)</f>
        <v>-95</v>
      </c>
      <c r="M1307" s="9">
        <f>ROUND(SUMIFS('Bank Lines'!$E$5:$E$1640,'Bank Lines'!$G$5:$G$1640,A1307,'Bank Lines'!$J$5:$J$1640,1,'Bank Lines'!$C$5:$C$1640,"&lt;="&amp;Cover!$C$13),2)</f>
        <v>0</v>
      </c>
      <c r="N1307" s="9">
        <f>ROUND(SUMIFS('Odoo Items'!$G$5:$G$4331,'Odoo Items'!$J$5:$J$4331,A1307,'Odoo Items'!$C$5:$C$4331,"&lt;="&amp;Cover!$C$13),2)</f>
        <v>0</v>
      </c>
      <c r="O1307">
        <f>COUNTIFS('Bank Lines'!$G$5:$G$1640,A1307,'Bank Lines'!$J$5:$J$1640,1,'Bank Lines'!$C$5:$C$1640,"&lt;="&amp;Cover!$C$13)</f>
        <v>0</v>
      </c>
      <c r="P1307">
        <f>COUNTIFS('Odoo Items'!$J$5:$J$4331,A1307,'Odoo Items'!$C$5:$C$4331,"&lt;="&amp;Cover!$C$13)</f>
        <v>0</v>
      </c>
      <c r="Q1307">
        <f>IF(AND(O1307=0,P1307=0),"",IF(O1307=0,"ODOO-ONLY",IF(P1307=0,"BANK-ONLY","BOTH")))</f>
      </c>
      <c r="R1307" s="9">
        <f>IF(Q1307="BOTH",ROUND(M1307-N1307,2),0)</f>
        <v>0</v>
      </c>
      <c r="S1307" s="9">
        <f>ROUND(SUMIFS('Bank Lines'!$E$5:$E$1640,'Bank Lines'!$G$5:$G$1640,A1307,'Bank Lines'!$J$5:$J$1640,1,'Bank Lines'!$C$5:$C$1640,"&lt;="&amp;Cover!$C$14),2)</f>
        <v>0</v>
      </c>
      <c r="T1307" s="9">
        <f>ROUND(SUMIFS('Odoo Items'!$G$5:$G$4331,'Odoo Items'!$J$5:$J$4331,A1307,'Odoo Items'!$C$5:$C$4331,"&lt;="&amp;Cover!$C$14),2)</f>
        <v>0</v>
      </c>
      <c r="U1307">
        <f>COUNTIFS('Bank Lines'!$G$5:$G$1640,A1307,'Bank Lines'!$J$5:$J$1640,1,'Bank Lines'!$C$5:$C$1640,"&lt;="&amp;Cover!$C$14)</f>
        <v>0</v>
      </c>
      <c r="V1307">
        <f>COUNTIFS('Odoo Items'!$J$5:$J$4331,A1307,'Odoo Items'!$C$5:$C$4331,"&lt;="&amp;Cover!$C$14)</f>
        <v>0</v>
      </c>
      <c r="W1307">
        <f>IF(AND(U1307=0,V1307=0),"",IF(U1307=0,"ODOO-ONLY",IF(V1307=0,"BANK-ONLY","BOTH")))</f>
      </c>
      <c r="X1307" s="9">
        <f>IF(W1307="BOTH",ROUND(S1307-T1307,2),0)</f>
        <v>0</v>
      </c>
      <c r="Y1307" s="9">
        <f>ROUND(SUMIFS('Bank Lines'!$E$5:$E$1640,'Bank Lines'!$G$5:$G$1640,A1307,'Bank Lines'!$J$5:$J$1640,1,'Bank Lines'!$C$5:$C$1640,"&lt;="&amp;Cover!$C$15),2)</f>
        <v>0</v>
      </c>
      <c r="Z1307" s="9">
        <f>ROUND(SUMIFS('Odoo Items'!$G$5:$G$4331,'Odoo Items'!$J$5:$J$4331,A1307,'Odoo Items'!$C$5:$C$4331,"&lt;="&amp;Cover!$C$15),2)</f>
        <v>95</v>
      </c>
      <c r="AA1307">
        <f>COUNTIFS('Bank Lines'!$G$5:$G$1640,A1307,'Bank Lines'!$J$5:$J$1640,1,'Bank Lines'!$C$5:$C$1640,"&lt;="&amp;Cover!$C$15)</f>
        <v>0</v>
      </c>
      <c r="AB1307">
        <f>COUNTIFS('Odoo Items'!$J$5:$J$4331,A1307,'Odoo Items'!$C$5:$C$4331,"&lt;="&amp;Cover!$C$15)</f>
        <v>1</v>
      </c>
      <c r="AC1307" t="str">
        <f>IF(AND(AA1307=0,AB1307=0),"",IF(AA1307=0,"ODOO-ONLY",IF(AB1307=0,"BANK-ONLY","BOTH")))</f>
        <v>ODOO-ONLY</v>
      </c>
      <c r="AD1307" s="9">
        <f>IF(AC1307="BOTH",ROUND(Y1307-Z1307,2),0)</f>
        <v>0</v>
      </c>
    </row>
    <row r="1308">
      <c r="A1308" t="inlineStr">
        <is>
          <t>G01304</t>
        </is>
      </c>
      <c r="B1308" t="inlineStr">
        <is>
          <t>OPS</t>
        </is>
      </c>
      <c r="C1308" t="inlineStr">
        <is>
          <t>R99</t>
        </is>
      </c>
      <c r="D1308" t="inlineStr">
        <is>
          <t>OUT</t>
        </is>
      </c>
      <c r="E1308" t="inlineStr"/>
      <c r="G1308" t="inlineStr">
        <is>
          <t>In Odoo, not yet on the bank statement at 30 Sep</t>
        </is>
      </c>
      <c r="H1308">
        <f>COUNTIFS('Bank Lines'!$G$5:$G$1640,A1308,'Bank Lines'!$J$5:$J$1640,1)</f>
        <v>0</v>
      </c>
      <c r="I1308">
        <f>COUNTIFS('Odoo Items'!$J$5:$J$4331,A1308)</f>
        <v>1</v>
      </c>
      <c r="J1308" s="9">
        <f>ROUND(SUMIFS('Bank Lines'!$E$5:$E$1640,'Bank Lines'!$G$5:$G$1640,A1308,'Bank Lines'!$J$5:$J$1640,1),2)</f>
        <v>0</v>
      </c>
      <c r="K1308" s="9">
        <f>ROUND(SUMIFS('Odoo Items'!$G$5:$G$4331,'Odoo Items'!$J$5:$J$4331,A1308),2)</f>
        <v>220</v>
      </c>
      <c r="L1308" s="9">
        <f>ROUND(J1308-K1308,2)</f>
        <v>-220</v>
      </c>
      <c r="M1308" s="9">
        <f>ROUND(SUMIFS('Bank Lines'!$E$5:$E$1640,'Bank Lines'!$G$5:$G$1640,A1308,'Bank Lines'!$J$5:$J$1640,1,'Bank Lines'!$C$5:$C$1640,"&lt;="&amp;Cover!$C$13),2)</f>
        <v>0</v>
      </c>
      <c r="N1308" s="9">
        <f>ROUND(SUMIFS('Odoo Items'!$G$5:$G$4331,'Odoo Items'!$J$5:$J$4331,A1308,'Odoo Items'!$C$5:$C$4331,"&lt;="&amp;Cover!$C$13),2)</f>
        <v>0</v>
      </c>
      <c r="O1308">
        <f>COUNTIFS('Bank Lines'!$G$5:$G$1640,A1308,'Bank Lines'!$J$5:$J$1640,1,'Bank Lines'!$C$5:$C$1640,"&lt;="&amp;Cover!$C$13)</f>
        <v>0</v>
      </c>
      <c r="P1308">
        <f>COUNTIFS('Odoo Items'!$J$5:$J$4331,A1308,'Odoo Items'!$C$5:$C$4331,"&lt;="&amp;Cover!$C$13)</f>
        <v>0</v>
      </c>
      <c r="Q1308">
        <f>IF(AND(O1308=0,P1308=0),"",IF(O1308=0,"ODOO-ONLY",IF(P1308=0,"BANK-ONLY","BOTH")))</f>
      </c>
      <c r="R1308" s="9">
        <f>IF(Q1308="BOTH",ROUND(M1308-N1308,2),0)</f>
        <v>0</v>
      </c>
      <c r="S1308" s="9">
        <f>ROUND(SUMIFS('Bank Lines'!$E$5:$E$1640,'Bank Lines'!$G$5:$G$1640,A1308,'Bank Lines'!$J$5:$J$1640,1,'Bank Lines'!$C$5:$C$1640,"&lt;="&amp;Cover!$C$14),2)</f>
        <v>0</v>
      </c>
      <c r="T1308" s="9">
        <f>ROUND(SUMIFS('Odoo Items'!$G$5:$G$4331,'Odoo Items'!$J$5:$J$4331,A1308,'Odoo Items'!$C$5:$C$4331,"&lt;="&amp;Cover!$C$14),2)</f>
        <v>0</v>
      </c>
      <c r="U1308">
        <f>COUNTIFS('Bank Lines'!$G$5:$G$1640,A1308,'Bank Lines'!$J$5:$J$1640,1,'Bank Lines'!$C$5:$C$1640,"&lt;="&amp;Cover!$C$14)</f>
        <v>0</v>
      </c>
      <c r="V1308">
        <f>COUNTIFS('Odoo Items'!$J$5:$J$4331,A1308,'Odoo Items'!$C$5:$C$4331,"&lt;="&amp;Cover!$C$14)</f>
        <v>0</v>
      </c>
      <c r="W1308">
        <f>IF(AND(U1308=0,V1308=0),"",IF(U1308=0,"ODOO-ONLY",IF(V1308=0,"BANK-ONLY","BOTH")))</f>
      </c>
      <c r="X1308" s="9">
        <f>IF(W1308="BOTH",ROUND(S1308-T1308,2),0)</f>
        <v>0</v>
      </c>
      <c r="Y1308" s="9">
        <f>ROUND(SUMIFS('Bank Lines'!$E$5:$E$1640,'Bank Lines'!$G$5:$G$1640,A1308,'Bank Lines'!$J$5:$J$1640,1,'Bank Lines'!$C$5:$C$1640,"&lt;="&amp;Cover!$C$15),2)</f>
        <v>0</v>
      </c>
      <c r="Z1308" s="9">
        <f>ROUND(SUMIFS('Odoo Items'!$G$5:$G$4331,'Odoo Items'!$J$5:$J$4331,A1308,'Odoo Items'!$C$5:$C$4331,"&lt;="&amp;Cover!$C$15),2)</f>
        <v>220</v>
      </c>
      <c r="AA1308">
        <f>COUNTIFS('Bank Lines'!$G$5:$G$1640,A1308,'Bank Lines'!$J$5:$J$1640,1,'Bank Lines'!$C$5:$C$1640,"&lt;="&amp;Cover!$C$15)</f>
        <v>0</v>
      </c>
      <c r="AB1308">
        <f>COUNTIFS('Odoo Items'!$J$5:$J$4331,A1308,'Odoo Items'!$C$5:$C$4331,"&lt;="&amp;Cover!$C$15)</f>
        <v>1</v>
      </c>
      <c r="AC1308" t="str">
        <f>IF(AND(AA1308=0,AB1308=0),"",IF(AA1308=0,"ODOO-ONLY",IF(AB1308=0,"BANK-ONLY","BOTH")))</f>
        <v>ODOO-ONLY</v>
      </c>
      <c r="AD1308" s="9">
        <f>IF(AC1308="BOTH",ROUND(Y1308-Z1308,2),0)</f>
        <v>0</v>
      </c>
    </row>
    <row r="1309">
      <c r="A1309" t="inlineStr">
        <is>
          <t>G01305</t>
        </is>
      </c>
      <c r="B1309" t="inlineStr">
        <is>
          <t>OPS</t>
        </is>
      </c>
      <c r="C1309" t="inlineStr">
        <is>
          <t>R99</t>
        </is>
      </c>
      <c r="D1309" t="inlineStr">
        <is>
          <t>OUT</t>
        </is>
      </c>
      <c r="E1309" t="inlineStr"/>
      <c r="G1309" t="inlineStr">
        <is>
          <t>In Odoo, not yet on the bank statement at 30 Sep</t>
        </is>
      </c>
      <c r="H1309">
        <f>COUNTIFS('Bank Lines'!$G$5:$G$1640,A1309,'Bank Lines'!$J$5:$J$1640,1)</f>
        <v>0</v>
      </c>
      <c r="I1309">
        <f>COUNTIFS('Odoo Items'!$J$5:$J$4331,A1309)</f>
        <v>1</v>
      </c>
      <c r="J1309" s="9">
        <f>ROUND(SUMIFS('Bank Lines'!$E$5:$E$1640,'Bank Lines'!$G$5:$G$1640,A1309,'Bank Lines'!$J$5:$J$1640,1),2)</f>
        <v>0</v>
      </c>
      <c r="K1309" s="9">
        <f>ROUND(SUMIFS('Odoo Items'!$G$5:$G$4331,'Odoo Items'!$J$5:$J$4331,A1309),2)</f>
        <v>85</v>
      </c>
      <c r="L1309" s="9">
        <f>ROUND(J1309-K1309,2)</f>
        <v>-85</v>
      </c>
      <c r="M1309" s="9">
        <f>ROUND(SUMIFS('Bank Lines'!$E$5:$E$1640,'Bank Lines'!$G$5:$G$1640,A1309,'Bank Lines'!$J$5:$J$1640,1,'Bank Lines'!$C$5:$C$1640,"&lt;="&amp;Cover!$C$13),2)</f>
        <v>0</v>
      </c>
      <c r="N1309" s="9">
        <f>ROUND(SUMIFS('Odoo Items'!$G$5:$G$4331,'Odoo Items'!$J$5:$J$4331,A1309,'Odoo Items'!$C$5:$C$4331,"&lt;="&amp;Cover!$C$13),2)</f>
        <v>0</v>
      </c>
      <c r="O1309">
        <f>COUNTIFS('Bank Lines'!$G$5:$G$1640,A1309,'Bank Lines'!$J$5:$J$1640,1,'Bank Lines'!$C$5:$C$1640,"&lt;="&amp;Cover!$C$13)</f>
        <v>0</v>
      </c>
      <c r="P1309">
        <f>COUNTIFS('Odoo Items'!$J$5:$J$4331,A1309,'Odoo Items'!$C$5:$C$4331,"&lt;="&amp;Cover!$C$13)</f>
        <v>0</v>
      </c>
      <c r="Q1309">
        <f>IF(AND(O1309=0,P1309=0),"",IF(O1309=0,"ODOO-ONLY",IF(P1309=0,"BANK-ONLY","BOTH")))</f>
      </c>
      <c r="R1309" s="9">
        <f>IF(Q1309="BOTH",ROUND(M1309-N1309,2),0)</f>
        <v>0</v>
      </c>
      <c r="S1309" s="9">
        <f>ROUND(SUMIFS('Bank Lines'!$E$5:$E$1640,'Bank Lines'!$G$5:$G$1640,A1309,'Bank Lines'!$J$5:$J$1640,1,'Bank Lines'!$C$5:$C$1640,"&lt;="&amp;Cover!$C$14),2)</f>
        <v>0</v>
      </c>
      <c r="T1309" s="9">
        <f>ROUND(SUMIFS('Odoo Items'!$G$5:$G$4331,'Odoo Items'!$J$5:$J$4331,A1309,'Odoo Items'!$C$5:$C$4331,"&lt;="&amp;Cover!$C$14),2)</f>
        <v>0</v>
      </c>
      <c r="U1309">
        <f>COUNTIFS('Bank Lines'!$G$5:$G$1640,A1309,'Bank Lines'!$J$5:$J$1640,1,'Bank Lines'!$C$5:$C$1640,"&lt;="&amp;Cover!$C$14)</f>
        <v>0</v>
      </c>
      <c r="V1309">
        <f>COUNTIFS('Odoo Items'!$J$5:$J$4331,A1309,'Odoo Items'!$C$5:$C$4331,"&lt;="&amp;Cover!$C$14)</f>
        <v>0</v>
      </c>
      <c r="W1309">
        <f>IF(AND(U1309=0,V1309=0),"",IF(U1309=0,"ODOO-ONLY",IF(V1309=0,"BANK-ONLY","BOTH")))</f>
      </c>
      <c r="X1309" s="9">
        <f>IF(W1309="BOTH",ROUND(S1309-T1309,2),0)</f>
        <v>0</v>
      </c>
      <c r="Y1309" s="9">
        <f>ROUND(SUMIFS('Bank Lines'!$E$5:$E$1640,'Bank Lines'!$G$5:$G$1640,A1309,'Bank Lines'!$J$5:$J$1640,1,'Bank Lines'!$C$5:$C$1640,"&lt;="&amp;Cover!$C$15),2)</f>
        <v>0</v>
      </c>
      <c r="Z1309" s="9">
        <f>ROUND(SUMIFS('Odoo Items'!$G$5:$G$4331,'Odoo Items'!$J$5:$J$4331,A1309,'Odoo Items'!$C$5:$C$4331,"&lt;="&amp;Cover!$C$15),2)</f>
        <v>85</v>
      </c>
      <c r="AA1309">
        <f>COUNTIFS('Bank Lines'!$G$5:$G$1640,A1309,'Bank Lines'!$J$5:$J$1640,1,'Bank Lines'!$C$5:$C$1640,"&lt;="&amp;Cover!$C$15)</f>
        <v>0</v>
      </c>
      <c r="AB1309">
        <f>COUNTIFS('Odoo Items'!$J$5:$J$4331,A1309,'Odoo Items'!$C$5:$C$4331,"&lt;="&amp;Cover!$C$15)</f>
        <v>1</v>
      </c>
      <c r="AC1309" t="str">
        <f>IF(AND(AA1309=0,AB1309=0),"",IF(AA1309=0,"ODOO-ONLY",IF(AB1309=0,"BANK-ONLY","BOTH")))</f>
        <v>ODOO-ONLY</v>
      </c>
      <c r="AD1309" s="9">
        <f>IF(AC1309="BOTH",ROUND(Y1309-Z1309,2),0)</f>
        <v>0</v>
      </c>
    </row>
    <row r="1310">
      <c r="A1310" t="inlineStr">
        <is>
          <t>G01306</t>
        </is>
      </c>
      <c r="B1310" t="inlineStr">
        <is>
          <t>OPS</t>
        </is>
      </c>
      <c r="C1310" t="inlineStr">
        <is>
          <t>R99</t>
        </is>
      </c>
      <c r="D1310" t="inlineStr">
        <is>
          <t>OUT</t>
        </is>
      </c>
      <c r="E1310" t="inlineStr"/>
      <c r="G1310" t="inlineStr">
        <is>
          <t>In Odoo, not yet on the bank statement at 30 Sep</t>
        </is>
      </c>
      <c r="H1310">
        <f>COUNTIFS('Bank Lines'!$G$5:$G$1640,A1310,'Bank Lines'!$J$5:$J$1640,1)</f>
        <v>0</v>
      </c>
      <c r="I1310">
        <f>COUNTIFS('Odoo Items'!$J$5:$J$4331,A1310)</f>
        <v>1</v>
      </c>
      <c r="J1310" s="9">
        <f>ROUND(SUMIFS('Bank Lines'!$E$5:$E$1640,'Bank Lines'!$G$5:$G$1640,A1310,'Bank Lines'!$J$5:$J$1640,1),2)</f>
        <v>0</v>
      </c>
      <c r="K1310" s="9">
        <f>ROUND(SUMIFS('Odoo Items'!$G$5:$G$4331,'Odoo Items'!$J$5:$J$4331,A1310),2)</f>
        <v>85</v>
      </c>
      <c r="L1310" s="9">
        <f>ROUND(J1310-K1310,2)</f>
        <v>-85</v>
      </c>
      <c r="M1310" s="9">
        <f>ROUND(SUMIFS('Bank Lines'!$E$5:$E$1640,'Bank Lines'!$G$5:$G$1640,A1310,'Bank Lines'!$J$5:$J$1640,1,'Bank Lines'!$C$5:$C$1640,"&lt;="&amp;Cover!$C$13),2)</f>
        <v>0</v>
      </c>
      <c r="N1310" s="9">
        <f>ROUND(SUMIFS('Odoo Items'!$G$5:$G$4331,'Odoo Items'!$J$5:$J$4331,A1310,'Odoo Items'!$C$5:$C$4331,"&lt;="&amp;Cover!$C$13),2)</f>
        <v>0</v>
      </c>
      <c r="O1310">
        <f>COUNTIFS('Bank Lines'!$G$5:$G$1640,A1310,'Bank Lines'!$J$5:$J$1640,1,'Bank Lines'!$C$5:$C$1640,"&lt;="&amp;Cover!$C$13)</f>
        <v>0</v>
      </c>
      <c r="P1310">
        <f>COUNTIFS('Odoo Items'!$J$5:$J$4331,A1310,'Odoo Items'!$C$5:$C$4331,"&lt;="&amp;Cover!$C$13)</f>
        <v>0</v>
      </c>
      <c r="Q1310">
        <f>IF(AND(O1310=0,P1310=0),"",IF(O1310=0,"ODOO-ONLY",IF(P1310=0,"BANK-ONLY","BOTH")))</f>
      </c>
      <c r="R1310" s="9">
        <f>IF(Q1310="BOTH",ROUND(M1310-N1310,2),0)</f>
        <v>0</v>
      </c>
      <c r="S1310" s="9">
        <f>ROUND(SUMIFS('Bank Lines'!$E$5:$E$1640,'Bank Lines'!$G$5:$G$1640,A1310,'Bank Lines'!$J$5:$J$1640,1,'Bank Lines'!$C$5:$C$1640,"&lt;="&amp;Cover!$C$14),2)</f>
        <v>0</v>
      </c>
      <c r="T1310" s="9">
        <f>ROUND(SUMIFS('Odoo Items'!$G$5:$G$4331,'Odoo Items'!$J$5:$J$4331,A1310,'Odoo Items'!$C$5:$C$4331,"&lt;="&amp;Cover!$C$14),2)</f>
        <v>0</v>
      </c>
      <c r="U1310">
        <f>COUNTIFS('Bank Lines'!$G$5:$G$1640,A1310,'Bank Lines'!$J$5:$J$1640,1,'Bank Lines'!$C$5:$C$1640,"&lt;="&amp;Cover!$C$14)</f>
        <v>0</v>
      </c>
      <c r="V1310">
        <f>COUNTIFS('Odoo Items'!$J$5:$J$4331,A1310,'Odoo Items'!$C$5:$C$4331,"&lt;="&amp;Cover!$C$14)</f>
        <v>0</v>
      </c>
      <c r="W1310">
        <f>IF(AND(U1310=0,V1310=0),"",IF(U1310=0,"ODOO-ONLY",IF(V1310=0,"BANK-ONLY","BOTH")))</f>
      </c>
      <c r="X1310" s="9">
        <f>IF(W1310="BOTH",ROUND(S1310-T1310,2),0)</f>
        <v>0</v>
      </c>
      <c r="Y1310" s="9">
        <f>ROUND(SUMIFS('Bank Lines'!$E$5:$E$1640,'Bank Lines'!$G$5:$G$1640,A1310,'Bank Lines'!$J$5:$J$1640,1,'Bank Lines'!$C$5:$C$1640,"&lt;="&amp;Cover!$C$15),2)</f>
        <v>0</v>
      </c>
      <c r="Z1310" s="9">
        <f>ROUND(SUMIFS('Odoo Items'!$G$5:$G$4331,'Odoo Items'!$J$5:$J$4331,A1310,'Odoo Items'!$C$5:$C$4331,"&lt;="&amp;Cover!$C$15),2)</f>
        <v>85</v>
      </c>
      <c r="AA1310">
        <f>COUNTIFS('Bank Lines'!$G$5:$G$1640,A1310,'Bank Lines'!$J$5:$J$1640,1,'Bank Lines'!$C$5:$C$1640,"&lt;="&amp;Cover!$C$15)</f>
        <v>0</v>
      </c>
      <c r="AB1310">
        <f>COUNTIFS('Odoo Items'!$J$5:$J$4331,A1310,'Odoo Items'!$C$5:$C$4331,"&lt;="&amp;Cover!$C$15)</f>
        <v>1</v>
      </c>
      <c r="AC1310" t="str">
        <f>IF(AND(AA1310=0,AB1310=0),"",IF(AA1310=0,"ODOO-ONLY",IF(AB1310=0,"BANK-ONLY","BOTH")))</f>
        <v>ODOO-ONLY</v>
      </c>
      <c r="AD1310" s="9">
        <f>IF(AC1310="BOTH",ROUND(Y1310-Z1310,2),0)</f>
        <v>0</v>
      </c>
    </row>
    <row r="1311">
      <c r="A1311" t="inlineStr">
        <is>
          <t>G01307</t>
        </is>
      </c>
      <c r="B1311" t="inlineStr">
        <is>
          <t>OPS</t>
        </is>
      </c>
      <c r="C1311" t="inlineStr">
        <is>
          <t>R99</t>
        </is>
      </c>
      <c r="D1311" t="inlineStr">
        <is>
          <t>OUT</t>
        </is>
      </c>
      <c r="E1311" t="inlineStr"/>
      <c r="G1311" t="inlineStr">
        <is>
          <t>In Odoo, not yet on the bank statement at 30 Sep</t>
        </is>
      </c>
      <c r="H1311">
        <f>COUNTIFS('Bank Lines'!$G$5:$G$1640,A1311,'Bank Lines'!$J$5:$J$1640,1)</f>
        <v>0</v>
      </c>
      <c r="I1311">
        <f>COUNTIFS('Odoo Items'!$J$5:$J$4331,A1311)</f>
        <v>1</v>
      </c>
      <c r="J1311" s="9">
        <f>ROUND(SUMIFS('Bank Lines'!$E$5:$E$1640,'Bank Lines'!$G$5:$G$1640,A1311,'Bank Lines'!$J$5:$J$1640,1),2)</f>
        <v>0</v>
      </c>
      <c r="K1311" s="9">
        <f>ROUND(SUMIFS('Odoo Items'!$G$5:$G$4331,'Odoo Items'!$J$5:$J$4331,A1311),2)</f>
        <v>110</v>
      </c>
      <c r="L1311" s="9">
        <f>ROUND(J1311-K1311,2)</f>
        <v>-110</v>
      </c>
      <c r="M1311" s="9">
        <f>ROUND(SUMIFS('Bank Lines'!$E$5:$E$1640,'Bank Lines'!$G$5:$G$1640,A1311,'Bank Lines'!$J$5:$J$1640,1,'Bank Lines'!$C$5:$C$1640,"&lt;="&amp;Cover!$C$13),2)</f>
        <v>0</v>
      </c>
      <c r="N1311" s="9">
        <f>ROUND(SUMIFS('Odoo Items'!$G$5:$G$4331,'Odoo Items'!$J$5:$J$4331,A1311,'Odoo Items'!$C$5:$C$4331,"&lt;="&amp;Cover!$C$13),2)</f>
        <v>0</v>
      </c>
      <c r="O1311">
        <f>COUNTIFS('Bank Lines'!$G$5:$G$1640,A1311,'Bank Lines'!$J$5:$J$1640,1,'Bank Lines'!$C$5:$C$1640,"&lt;="&amp;Cover!$C$13)</f>
        <v>0</v>
      </c>
      <c r="P1311">
        <f>COUNTIFS('Odoo Items'!$J$5:$J$4331,A1311,'Odoo Items'!$C$5:$C$4331,"&lt;="&amp;Cover!$C$13)</f>
        <v>0</v>
      </c>
      <c r="Q1311">
        <f>IF(AND(O1311=0,P1311=0),"",IF(O1311=0,"ODOO-ONLY",IF(P1311=0,"BANK-ONLY","BOTH")))</f>
      </c>
      <c r="R1311" s="9">
        <f>IF(Q1311="BOTH",ROUND(M1311-N1311,2),0)</f>
        <v>0</v>
      </c>
      <c r="S1311" s="9">
        <f>ROUND(SUMIFS('Bank Lines'!$E$5:$E$1640,'Bank Lines'!$G$5:$G$1640,A1311,'Bank Lines'!$J$5:$J$1640,1,'Bank Lines'!$C$5:$C$1640,"&lt;="&amp;Cover!$C$14),2)</f>
        <v>0</v>
      </c>
      <c r="T1311" s="9">
        <f>ROUND(SUMIFS('Odoo Items'!$G$5:$G$4331,'Odoo Items'!$J$5:$J$4331,A1311,'Odoo Items'!$C$5:$C$4331,"&lt;="&amp;Cover!$C$14),2)</f>
        <v>0</v>
      </c>
      <c r="U1311">
        <f>COUNTIFS('Bank Lines'!$G$5:$G$1640,A1311,'Bank Lines'!$J$5:$J$1640,1,'Bank Lines'!$C$5:$C$1640,"&lt;="&amp;Cover!$C$14)</f>
        <v>0</v>
      </c>
      <c r="V1311">
        <f>COUNTIFS('Odoo Items'!$J$5:$J$4331,A1311,'Odoo Items'!$C$5:$C$4331,"&lt;="&amp;Cover!$C$14)</f>
        <v>0</v>
      </c>
      <c r="W1311">
        <f>IF(AND(U1311=0,V1311=0),"",IF(U1311=0,"ODOO-ONLY",IF(V1311=0,"BANK-ONLY","BOTH")))</f>
      </c>
      <c r="X1311" s="9">
        <f>IF(W1311="BOTH",ROUND(S1311-T1311,2),0)</f>
        <v>0</v>
      </c>
      <c r="Y1311" s="9">
        <f>ROUND(SUMIFS('Bank Lines'!$E$5:$E$1640,'Bank Lines'!$G$5:$G$1640,A1311,'Bank Lines'!$J$5:$J$1640,1,'Bank Lines'!$C$5:$C$1640,"&lt;="&amp;Cover!$C$15),2)</f>
        <v>0</v>
      </c>
      <c r="Z1311" s="9">
        <f>ROUND(SUMIFS('Odoo Items'!$G$5:$G$4331,'Odoo Items'!$J$5:$J$4331,A1311,'Odoo Items'!$C$5:$C$4331,"&lt;="&amp;Cover!$C$15),2)</f>
        <v>110</v>
      </c>
      <c r="AA1311">
        <f>COUNTIFS('Bank Lines'!$G$5:$G$1640,A1311,'Bank Lines'!$J$5:$J$1640,1,'Bank Lines'!$C$5:$C$1640,"&lt;="&amp;Cover!$C$15)</f>
        <v>0</v>
      </c>
      <c r="AB1311">
        <f>COUNTIFS('Odoo Items'!$J$5:$J$4331,A1311,'Odoo Items'!$C$5:$C$4331,"&lt;="&amp;Cover!$C$15)</f>
        <v>1</v>
      </c>
      <c r="AC1311" t="str">
        <f>IF(AND(AA1311=0,AB1311=0),"",IF(AA1311=0,"ODOO-ONLY",IF(AB1311=0,"BANK-ONLY","BOTH")))</f>
        <v>ODOO-ONLY</v>
      </c>
      <c r="AD1311" s="9">
        <f>IF(AC1311="BOTH",ROUND(Y1311-Z1311,2),0)</f>
        <v>0</v>
      </c>
    </row>
    <row r="1312">
      <c r="A1312" t="inlineStr">
        <is>
          <t>G01308</t>
        </is>
      </c>
      <c r="B1312" t="inlineStr">
        <is>
          <t>OPS</t>
        </is>
      </c>
      <c r="C1312" t="inlineStr">
        <is>
          <t>R99</t>
        </is>
      </c>
      <c r="D1312" t="inlineStr">
        <is>
          <t>OUT</t>
        </is>
      </c>
      <c r="E1312" t="inlineStr"/>
      <c r="G1312" t="inlineStr">
        <is>
          <t>In Odoo, not yet on the bank statement at 30 Sep</t>
        </is>
      </c>
      <c r="H1312">
        <f>COUNTIFS('Bank Lines'!$G$5:$G$1640,A1312,'Bank Lines'!$J$5:$J$1640,1)</f>
        <v>0</v>
      </c>
      <c r="I1312">
        <f>COUNTIFS('Odoo Items'!$J$5:$J$4331,A1312)</f>
        <v>1</v>
      </c>
      <c r="J1312" s="9">
        <f>ROUND(SUMIFS('Bank Lines'!$E$5:$E$1640,'Bank Lines'!$G$5:$G$1640,A1312,'Bank Lines'!$J$5:$J$1640,1),2)</f>
        <v>0</v>
      </c>
      <c r="K1312" s="9">
        <f>ROUND(SUMIFS('Odoo Items'!$G$5:$G$4331,'Odoo Items'!$J$5:$J$4331,A1312),2)</f>
        <v>180</v>
      </c>
      <c r="L1312" s="9">
        <f>ROUND(J1312-K1312,2)</f>
        <v>-180</v>
      </c>
      <c r="M1312" s="9">
        <f>ROUND(SUMIFS('Bank Lines'!$E$5:$E$1640,'Bank Lines'!$G$5:$G$1640,A1312,'Bank Lines'!$J$5:$J$1640,1,'Bank Lines'!$C$5:$C$1640,"&lt;="&amp;Cover!$C$13),2)</f>
        <v>0</v>
      </c>
      <c r="N1312" s="9">
        <f>ROUND(SUMIFS('Odoo Items'!$G$5:$G$4331,'Odoo Items'!$J$5:$J$4331,A1312,'Odoo Items'!$C$5:$C$4331,"&lt;="&amp;Cover!$C$13),2)</f>
        <v>0</v>
      </c>
      <c r="O1312">
        <f>COUNTIFS('Bank Lines'!$G$5:$G$1640,A1312,'Bank Lines'!$J$5:$J$1640,1,'Bank Lines'!$C$5:$C$1640,"&lt;="&amp;Cover!$C$13)</f>
        <v>0</v>
      </c>
      <c r="P1312">
        <f>COUNTIFS('Odoo Items'!$J$5:$J$4331,A1312,'Odoo Items'!$C$5:$C$4331,"&lt;="&amp;Cover!$C$13)</f>
        <v>0</v>
      </c>
      <c r="Q1312">
        <f>IF(AND(O1312=0,P1312=0),"",IF(O1312=0,"ODOO-ONLY",IF(P1312=0,"BANK-ONLY","BOTH")))</f>
      </c>
      <c r="R1312" s="9">
        <f>IF(Q1312="BOTH",ROUND(M1312-N1312,2),0)</f>
        <v>0</v>
      </c>
      <c r="S1312" s="9">
        <f>ROUND(SUMIFS('Bank Lines'!$E$5:$E$1640,'Bank Lines'!$G$5:$G$1640,A1312,'Bank Lines'!$J$5:$J$1640,1,'Bank Lines'!$C$5:$C$1640,"&lt;="&amp;Cover!$C$14),2)</f>
        <v>0</v>
      </c>
      <c r="T1312" s="9">
        <f>ROUND(SUMIFS('Odoo Items'!$G$5:$G$4331,'Odoo Items'!$J$5:$J$4331,A1312,'Odoo Items'!$C$5:$C$4331,"&lt;="&amp;Cover!$C$14),2)</f>
        <v>0</v>
      </c>
      <c r="U1312">
        <f>COUNTIFS('Bank Lines'!$G$5:$G$1640,A1312,'Bank Lines'!$J$5:$J$1640,1,'Bank Lines'!$C$5:$C$1640,"&lt;="&amp;Cover!$C$14)</f>
        <v>0</v>
      </c>
      <c r="V1312">
        <f>COUNTIFS('Odoo Items'!$J$5:$J$4331,A1312,'Odoo Items'!$C$5:$C$4331,"&lt;="&amp;Cover!$C$14)</f>
        <v>0</v>
      </c>
      <c r="W1312">
        <f>IF(AND(U1312=0,V1312=0),"",IF(U1312=0,"ODOO-ONLY",IF(V1312=0,"BANK-ONLY","BOTH")))</f>
      </c>
      <c r="X1312" s="9">
        <f>IF(W1312="BOTH",ROUND(S1312-T1312,2),0)</f>
        <v>0</v>
      </c>
      <c r="Y1312" s="9">
        <f>ROUND(SUMIFS('Bank Lines'!$E$5:$E$1640,'Bank Lines'!$G$5:$G$1640,A1312,'Bank Lines'!$J$5:$J$1640,1,'Bank Lines'!$C$5:$C$1640,"&lt;="&amp;Cover!$C$15),2)</f>
        <v>0</v>
      </c>
      <c r="Z1312" s="9">
        <f>ROUND(SUMIFS('Odoo Items'!$G$5:$G$4331,'Odoo Items'!$J$5:$J$4331,A1312,'Odoo Items'!$C$5:$C$4331,"&lt;="&amp;Cover!$C$15),2)</f>
        <v>180</v>
      </c>
      <c r="AA1312">
        <f>COUNTIFS('Bank Lines'!$G$5:$G$1640,A1312,'Bank Lines'!$J$5:$J$1640,1,'Bank Lines'!$C$5:$C$1640,"&lt;="&amp;Cover!$C$15)</f>
        <v>0</v>
      </c>
      <c r="AB1312">
        <f>COUNTIFS('Odoo Items'!$J$5:$J$4331,A1312,'Odoo Items'!$C$5:$C$4331,"&lt;="&amp;Cover!$C$15)</f>
        <v>1</v>
      </c>
      <c r="AC1312" t="str">
        <f>IF(AND(AA1312=0,AB1312=0),"",IF(AA1312=0,"ODOO-ONLY",IF(AB1312=0,"BANK-ONLY","BOTH")))</f>
        <v>ODOO-ONLY</v>
      </c>
      <c r="AD1312" s="9">
        <f>IF(AC1312="BOTH",ROUND(Y1312-Z1312,2),0)</f>
        <v>0</v>
      </c>
    </row>
    <row r="1313">
      <c r="A1313" t="inlineStr">
        <is>
          <t>G01309</t>
        </is>
      </c>
      <c r="B1313" t="inlineStr">
        <is>
          <t>OPS</t>
        </is>
      </c>
      <c r="C1313" t="inlineStr">
        <is>
          <t>R99</t>
        </is>
      </c>
      <c r="D1313" t="inlineStr">
        <is>
          <t>OUT</t>
        </is>
      </c>
      <c r="E1313" t="inlineStr"/>
      <c r="G1313" t="inlineStr">
        <is>
          <t>In Odoo, not yet on the bank statement at 30 Sep</t>
        </is>
      </c>
      <c r="H1313">
        <f>COUNTIFS('Bank Lines'!$G$5:$G$1640,A1313,'Bank Lines'!$J$5:$J$1640,1)</f>
        <v>0</v>
      </c>
      <c r="I1313">
        <f>COUNTIFS('Odoo Items'!$J$5:$J$4331,A1313)</f>
        <v>1</v>
      </c>
      <c r="J1313" s="9">
        <f>ROUND(SUMIFS('Bank Lines'!$E$5:$E$1640,'Bank Lines'!$G$5:$G$1640,A1313,'Bank Lines'!$J$5:$J$1640,1),2)</f>
        <v>0</v>
      </c>
      <c r="K1313" s="9">
        <f>ROUND(SUMIFS('Odoo Items'!$G$5:$G$4331,'Odoo Items'!$J$5:$J$4331,A1313),2)</f>
        <v>180</v>
      </c>
      <c r="L1313" s="9">
        <f>ROUND(J1313-K1313,2)</f>
        <v>-180</v>
      </c>
      <c r="M1313" s="9">
        <f>ROUND(SUMIFS('Bank Lines'!$E$5:$E$1640,'Bank Lines'!$G$5:$G$1640,A1313,'Bank Lines'!$J$5:$J$1640,1,'Bank Lines'!$C$5:$C$1640,"&lt;="&amp;Cover!$C$13),2)</f>
        <v>0</v>
      </c>
      <c r="N1313" s="9">
        <f>ROUND(SUMIFS('Odoo Items'!$G$5:$G$4331,'Odoo Items'!$J$5:$J$4331,A1313,'Odoo Items'!$C$5:$C$4331,"&lt;="&amp;Cover!$C$13),2)</f>
        <v>0</v>
      </c>
      <c r="O1313">
        <f>COUNTIFS('Bank Lines'!$G$5:$G$1640,A1313,'Bank Lines'!$J$5:$J$1640,1,'Bank Lines'!$C$5:$C$1640,"&lt;="&amp;Cover!$C$13)</f>
        <v>0</v>
      </c>
      <c r="P1313">
        <f>COUNTIFS('Odoo Items'!$J$5:$J$4331,A1313,'Odoo Items'!$C$5:$C$4331,"&lt;="&amp;Cover!$C$13)</f>
        <v>0</v>
      </c>
      <c r="Q1313">
        <f>IF(AND(O1313=0,P1313=0),"",IF(O1313=0,"ODOO-ONLY",IF(P1313=0,"BANK-ONLY","BOTH")))</f>
      </c>
      <c r="R1313" s="9">
        <f>IF(Q1313="BOTH",ROUND(M1313-N1313,2),0)</f>
        <v>0</v>
      </c>
      <c r="S1313" s="9">
        <f>ROUND(SUMIFS('Bank Lines'!$E$5:$E$1640,'Bank Lines'!$G$5:$G$1640,A1313,'Bank Lines'!$J$5:$J$1640,1,'Bank Lines'!$C$5:$C$1640,"&lt;="&amp;Cover!$C$14),2)</f>
        <v>0</v>
      </c>
      <c r="T1313" s="9">
        <f>ROUND(SUMIFS('Odoo Items'!$G$5:$G$4331,'Odoo Items'!$J$5:$J$4331,A1313,'Odoo Items'!$C$5:$C$4331,"&lt;="&amp;Cover!$C$14),2)</f>
        <v>0</v>
      </c>
      <c r="U1313">
        <f>COUNTIFS('Bank Lines'!$G$5:$G$1640,A1313,'Bank Lines'!$J$5:$J$1640,1,'Bank Lines'!$C$5:$C$1640,"&lt;="&amp;Cover!$C$14)</f>
        <v>0</v>
      </c>
      <c r="V1313">
        <f>COUNTIFS('Odoo Items'!$J$5:$J$4331,A1313,'Odoo Items'!$C$5:$C$4331,"&lt;="&amp;Cover!$C$14)</f>
        <v>0</v>
      </c>
      <c r="W1313">
        <f>IF(AND(U1313=0,V1313=0),"",IF(U1313=0,"ODOO-ONLY",IF(V1313=0,"BANK-ONLY","BOTH")))</f>
      </c>
      <c r="X1313" s="9">
        <f>IF(W1313="BOTH",ROUND(S1313-T1313,2),0)</f>
        <v>0</v>
      </c>
      <c r="Y1313" s="9">
        <f>ROUND(SUMIFS('Bank Lines'!$E$5:$E$1640,'Bank Lines'!$G$5:$G$1640,A1313,'Bank Lines'!$J$5:$J$1640,1,'Bank Lines'!$C$5:$C$1640,"&lt;="&amp;Cover!$C$15),2)</f>
        <v>0</v>
      </c>
      <c r="Z1313" s="9">
        <f>ROUND(SUMIFS('Odoo Items'!$G$5:$G$4331,'Odoo Items'!$J$5:$J$4331,A1313,'Odoo Items'!$C$5:$C$4331,"&lt;="&amp;Cover!$C$15),2)</f>
        <v>180</v>
      </c>
      <c r="AA1313">
        <f>COUNTIFS('Bank Lines'!$G$5:$G$1640,A1313,'Bank Lines'!$J$5:$J$1640,1,'Bank Lines'!$C$5:$C$1640,"&lt;="&amp;Cover!$C$15)</f>
        <v>0</v>
      </c>
      <c r="AB1313">
        <f>COUNTIFS('Odoo Items'!$J$5:$J$4331,A1313,'Odoo Items'!$C$5:$C$4331,"&lt;="&amp;Cover!$C$15)</f>
        <v>1</v>
      </c>
      <c r="AC1313" t="str">
        <f>IF(AND(AA1313=0,AB1313=0),"",IF(AA1313=0,"ODOO-ONLY",IF(AB1313=0,"BANK-ONLY","BOTH")))</f>
        <v>ODOO-ONLY</v>
      </c>
      <c r="AD1313" s="9">
        <f>IF(AC1313="BOTH",ROUND(Y1313-Z1313,2),0)</f>
        <v>0</v>
      </c>
    </row>
    <row r="1314">
      <c r="A1314" t="inlineStr">
        <is>
          <t>G01310</t>
        </is>
      </c>
      <c r="B1314" t="inlineStr">
        <is>
          <t>OPS</t>
        </is>
      </c>
      <c r="C1314" t="inlineStr">
        <is>
          <t>R99</t>
        </is>
      </c>
      <c r="D1314" t="inlineStr">
        <is>
          <t>OUT</t>
        </is>
      </c>
      <c r="E1314" t="inlineStr"/>
      <c r="G1314" t="inlineStr">
        <is>
          <t>In Odoo, not yet on the bank statement at 30 Sep</t>
        </is>
      </c>
      <c r="H1314">
        <f>COUNTIFS('Bank Lines'!$G$5:$G$1640,A1314,'Bank Lines'!$J$5:$J$1640,1)</f>
        <v>0</v>
      </c>
      <c r="I1314">
        <f>COUNTIFS('Odoo Items'!$J$5:$J$4331,A1314)</f>
        <v>1</v>
      </c>
      <c r="J1314" s="9">
        <f>ROUND(SUMIFS('Bank Lines'!$E$5:$E$1640,'Bank Lines'!$G$5:$G$1640,A1314,'Bank Lines'!$J$5:$J$1640,1),2)</f>
        <v>0</v>
      </c>
      <c r="K1314" s="9">
        <f>ROUND(SUMIFS('Odoo Items'!$G$5:$G$4331,'Odoo Items'!$J$5:$J$4331,A1314),2)</f>
        <v>180</v>
      </c>
      <c r="L1314" s="9">
        <f>ROUND(J1314-K1314,2)</f>
        <v>-180</v>
      </c>
      <c r="M1314" s="9">
        <f>ROUND(SUMIFS('Bank Lines'!$E$5:$E$1640,'Bank Lines'!$G$5:$G$1640,A1314,'Bank Lines'!$J$5:$J$1640,1,'Bank Lines'!$C$5:$C$1640,"&lt;="&amp;Cover!$C$13),2)</f>
        <v>0</v>
      </c>
      <c r="N1314" s="9">
        <f>ROUND(SUMIFS('Odoo Items'!$G$5:$G$4331,'Odoo Items'!$J$5:$J$4331,A1314,'Odoo Items'!$C$5:$C$4331,"&lt;="&amp;Cover!$C$13),2)</f>
        <v>0</v>
      </c>
      <c r="O1314">
        <f>COUNTIFS('Bank Lines'!$G$5:$G$1640,A1314,'Bank Lines'!$J$5:$J$1640,1,'Bank Lines'!$C$5:$C$1640,"&lt;="&amp;Cover!$C$13)</f>
        <v>0</v>
      </c>
      <c r="P1314">
        <f>COUNTIFS('Odoo Items'!$J$5:$J$4331,A1314,'Odoo Items'!$C$5:$C$4331,"&lt;="&amp;Cover!$C$13)</f>
        <v>0</v>
      </c>
      <c r="Q1314">
        <f>IF(AND(O1314=0,P1314=0),"",IF(O1314=0,"ODOO-ONLY",IF(P1314=0,"BANK-ONLY","BOTH")))</f>
      </c>
      <c r="R1314" s="9">
        <f>IF(Q1314="BOTH",ROUND(M1314-N1314,2),0)</f>
        <v>0</v>
      </c>
      <c r="S1314" s="9">
        <f>ROUND(SUMIFS('Bank Lines'!$E$5:$E$1640,'Bank Lines'!$G$5:$G$1640,A1314,'Bank Lines'!$J$5:$J$1640,1,'Bank Lines'!$C$5:$C$1640,"&lt;="&amp;Cover!$C$14),2)</f>
        <v>0</v>
      </c>
      <c r="T1314" s="9">
        <f>ROUND(SUMIFS('Odoo Items'!$G$5:$G$4331,'Odoo Items'!$J$5:$J$4331,A1314,'Odoo Items'!$C$5:$C$4331,"&lt;="&amp;Cover!$C$14),2)</f>
        <v>0</v>
      </c>
      <c r="U1314">
        <f>COUNTIFS('Bank Lines'!$G$5:$G$1640,A1314,'Bank Lines'!$J$5:$J$1640,1,'Bank Lines'!$C$5:$C$1640,"&lt;="&amp;Cover!$C$14)</f>
        <v>0</v>
      </c>
      <c r="V1314">
        <f>COUNTIFS('Odoo Items'!$J$5:$J$4331,A1314,'Odoo Items'!$C$5:$C$4331,"&lt;="&amp;Cover!$C$14)</f>
        <v>0</v>
      </c>
      <c r="W1314">
        <f>IF(AND(U1314=0,V1314=0),"",IF(U1314=0,"ODOO-ONLY",IF(V1314=0,"BANK-ONLY","BOTH")))</f>
      </c>
      <c r="X1314" s="9">
        <f>IF(W1314="BOTH",ROUND(S1314-T1314,2),0)</f>
        <v>0</v>
      </c>
      <c r="Y1314" s="9">
        <f>ROUND(SUMIFS('Bank Lines'!$E$5:$E$1640,'Bank Lines'!$G$5:$G$1640,A1314,'Bank Lines'!$J$5:$J$1640,1,'Bank Lines'!$C$5:$C$1640,"&lt;="&amp;Cover!$C$15),2)</f>
        <v>0</v>
      </c>
      <c r="Z1314" s="9">
        <f>ROUND(SUMIFS('Odoo Items'!$G$5:$G$4331,'Odoo Items'!$J$5:$J$4331,A1314,'Odoo Items'!$C$5:$C$4331,"&lt;="&amp;Cover!$C$15),2)</f>
        <v>180</v>
      </c>
      <c r="AA1314">
        <f>COUNTIFS('Bank Lines'!$G$5:$G$1640,A1314,'Bank Lines'!$J$5:$J$1640,1,'Bank Lines'!$C$5:$C$1640,"&lt;="&amp;Cover!$C$15)</f>
        <v>0</v>
      </c>
      <c r="AB1314">
        <f>COUNTIFS('Odoo Items'!$J$5:$J$4331,A1314,'Odoo Items'!$C$5:$C$4331,"&lt;="&amp;Cover!$C$15)</f>
        <v>1</v>
      </c>
      <c r="AC1314" t="str">
        <f>IF(AND(AA1314=0,AB1314=0),"",IF(AA1314=0,"ODOO-ONLY",IF(AB1314=0,"BANK-ONLY","BOTH")))</f>
        <v>ODOO-ONLY</v>
      </c>
      <c r="AD1314" s="9">
        <f>IF(AC1314="BOTH",ROUND(Y1314-Z1314,2),0)</f>
        <v>0</v>
      </c>
    </row>
    <row r="1315">
      <c r="A1315" t="inlineStr">
        <is>
          <t>G01311</t>
        </is>
      </c>
      <c r="B1315" t="inlineStr">
        <is>
          <t>OPS</t>
        </is>
      </c>
      <c r="C1315" t="inlineStr">
        <is>
          <t>R99</t>
        </is>
      </c>
      <c r="D1315" t="inlineStr">
        <is>
          <t>OUT</t>
        </is>
      </c>
      <c r="E1315" t="inlineStr"/>
      <c r="G1315" t="inlineStr">
        <is>
          <t>In Odoo, not yet on the bank statement at 30 Sep</t>
        </is>
      </c>
      <c r="H1315">
        <f>COUNTIFS('Bank Lines'!$G$5:$G$1640,A1315,'Bank Lines'!$J$5:$J$1640,1)</f>
        <v>0</v>
      </c>
      <c r="I1315">
        <f>COUNTIFS('Odoo Items'!$J$5:$J$4331,A1315)</f>
        <v>1</v>
      </c>
      <c r="J1315" s="9">
        <f>ROUND(SUMIFS('Bank Lines'!$E$5:$E$1640,'Bank Lines'!$G$5:$G$1640,A1315,'Bank Lines'!$J$5:$J$1640,1),2)</f>
        <v>0</v>
      </c>
      <c r="K1315" s="9">
        <f>ROUND(SUMIFS('Odoo Items'!$G$5:$G$4331,'Odoo Items'!$J$5:$J$4331,A1315),2)</f>
        <v>85</v>
      </c>
      <c r="L1315" s="9">
        <f>ROUND(J1315-K1315,2)</f>
        <v>-85</v>
      </c>
      <c r="M1315" s="9">
        <f>ROUND(SUMIFS('Bank Lines'!$E$5:$E$1640,'Bank Lines'!$G$5:$G$1640,A1315,'Bank Lines'!$J$5:$J$1640,1,'Bank Lines'!$C$5:$C$1640,"&lt;="&amp;Cover!$C$13),2)</f>
        <v>0</v>
      </c>
      <c r="N1315" s="9">
        <f>ROUND(SUMIFS('Odoo Items'!$G$5:$G$4331,'Odoo Items'!$J$5:$J$4331,A1315,'Odoo Items'!$C$5:$C$4331,"&lt;="&amp;Cover!$C$13),2)</f>
        <v>0</v>
      </c>
      <c r="O1315">
        <f>COUNTIFS('Bank Lines'!$G$5:$G$1640,A1315,'Bank Lines'!$J$5:$J$1640,1,'Bank Lines'!$C$5:$C$1640,"&lt;="&amp;Cover!$C$13)</f>
        <v>0</v>
      </c>
      <c r="P1315">
        <f>COUNTIFS('Odoo Items'!$J$5:$J$4331,A1315,'Odoo Items'!$C$5:$C$4331,"&lt;="&amp;Cover!$C$13)</f>
        <v>0</v>
      </c>
      <c r="Q1315">
        <f>IF(AND(O1315=0,P1315=0),"",IF(O1315=0,"ODOO-ONLY",IF(P1315=0,"BANK-ONLY","BOTH")))</f>
      </c>
      <c r="R1315" s="9">
        <f>IF(Q1315="BOTH",ROUND(M1315-N1315,2),0)</f>
        <v>0</v>
      </c>
      <c r="S1315" s="9">
        <f>ROUND(SUMIFS('Bank Lines'!$E$5:$E$1640,'Bank Lines'!$G$5:$G$1640,A1315,'Bank Lines'!$J$5:$J$1640,1,'Bank Lines'!$C$5:$C$1640,"&lt;="&amp;Cover!$C$14),2)</f>
        <v>0</v>
      </c>
      <c r="T1315" s="9">
        <f>ROUND(SUMIFS('Odoo Items'!$G$5:$G$4331,'Odoo Items'!$J$5:$J$4331,A1315,'Odoo Items'!$C$5:$C$4331,"&lt;="&amp;Cover!$C$14),2)</f>
        <v>0</v>
      </c>
      <c r="U1315">
        <f>COUNTIFS('Bank Lines'!$G$5:$G$1640,A1315,'Bank Lines'!$J$5:$J$1640,1,'Bank Lines'!$C$5:$C$1640,"&lt;="&amp;Cover!$C$14)</f>
        <v>0</v>
      </c>
      <c r="V1315">
        <f>COUNTIFS('Odoo Items'!$J$5:$J$4331,A1315,'Odoo Items'!$C$5:$C$4331,"&lt;="&amp;Cover!$C$14)</f>
        <v>0</v>
      </c>
      <c r="W1315">
        <f>IF(AND(U1315=0,V1315=0),"",IF(U1315=0,"ODOO-ONLY",IF(V1315=0,"BANK-ONLY","BOTH")))</f>
      </c>
      <c r="X1315" s="9">
        <f>IF(W1315="BOTH",ROUND(S1315-T1315,2),0)</f>
        <v>0</v>
      </c>
      <c r="Y1315" s="9">
        <f>ROUND(SUMIFS('Bank Lines'!$E$5:$E$1640,'Bank Lines'!$G$5:$G$1640,A1315,'Bank Lines'!$J$5:$J$1640,1,'Bank Lines'!$C$5:$C$1640,"&lt;="&amp;Cover!$C$15),2)</f>
        <v>0</v>
      </c>
      <c r="Z1315" s="9">
        <f>ROUND(SUMIFS('Odoo Items'!$G$5:$G$4331,'Odoo Items'!$J$5:$J$4331,A1315,'Odoo Items'!$C$5:$C$4331,"&lt;="&amp;Cover!$C$15),2)</f>
        <v>85</v>
      </c>
      <c r="AA1315">
        <f>COUNTIFS('Bank Lines'!$G$5:$G$1640,A1315,'Bank Lines'!$J$5:$J$1640,1,'Bank Lines'!$C$5:$C$1640,"&lt;="&amp;Cover!$C$15)</f>
        <v>0</v>
      </c>
      <c r="AB1315">
        <f>COUNTIFS('Odoo Items'!$J$5:$J$4331,A1315,'Odoo Items'!$C$5:$C$4331,"&lt;="&amp;Cover!$C$15)</f>
        <v>1</v>
      </c>
      <c r="AC1315" t="str">
        <f>IF(AND(AA1315=0,AB1315=0),"",IF(AA1315=0,"ODOO-ONLY",IF(AB1315=0,"BANK-ONLY","BOTH")))</f>
        <v>ODOO-ONLY</v>
      </c>
      <c r="AD1315" s="9">
        <f>IF(AC1315="BOTH",ROUND(Y1315-Z1315,2),0)</f>
        <v>0</v>
      </c>
    </row>
    <row r="1316">
      <c r="A1316" t="inlineStr">
        <is>
          <t>G01312</t>
        </is>
      </c>
      <c r="B1316" t="inlineStr">
        <is>
          <t>OPS</t>
        </is>
      </c>
      <c r="C1316" t="inlineStr">
        <is>
          <t>R99</t>
        </is>
      </c>
      <c r="D1316" t="inlineStr">
        <is>
          <t>OUT</t>
        </is>
      </c>
      <c r="E1316" t="inlineStr"/>
      <c r="G1316" t="inlineStr">
        <is>
          <t>In Odoo, not yet on the bank statement at 30 Sep</t>
        </is>
      </c>
      <c r="H1316">
        <f>COUNTIFS('Bank Lines'!$G$5:$G$1640,A1316,'Bank Lines'!$J$5:$J$1640,1)</f>
        <v>0</v>
      </c>
      <c r="I1316">
        <f>COUNTIFS('Odoo Items'!$J$5:$J$4331,A1316)</f>
        <v>1</v>
      </c>
      <c r="J1316" s="9">
        <f>ROUND(SUMIFS('Bank Lines'!$E$5:$E$1640,'Bank Lines'!$G$5:$G$1640,A1316,'Bank Lines'!$J$5:$J$1640,1),2)</f>
        <v>0</v>
      </c>
      <c r="K1316" s="9">
        <f>ROUND(SUMIFS('Odoo Items'!$G$5:$G$4331,'Odoo Items'!$J$5:$J$4331,A1316),2)</f>
        <v>85</v>
      </c>
      <c r="L1316" s="9">
        <f>ROUND(J1316-K1316,2)</f>
        <v>-85</v>
      </c>
      <c r="M1316" s="9">
        <f>ROUND(SUMIFS('Bank Lines'!$E$5:$E$1640,'Bank Lines'!$G$5:$G$1640,A1316,'Bank Lines'!$J$5:$J$1640,1,'Bank Lines'!$C$5:$C$1640,"&lt;="&amp;Cover!$C$13),2)</f>
        <v>0</v>
      </c>
      <c r="N1316" s="9">
        <f>ROUND(SUMIFS('Odoo Items'!$G$5:$G$4331,'Odoo Items'!$J$5:$J$4331,A1316,'Odoo Items'!$C$5:$C$4331,"&lt;="&amp;Cover!$C$13),2)</f>
        <v>0</v>
      </c>
      <c r="O1316">
        <f>COUNTIFS('Bank Lines'!$G$5:$G$1640,A1316,'Bank Lines'!$J$5:$J$1640,1,'Bank Lines'!$C$5:$C$1640,"&lt;="&amp;Cover!$C$13)</f>
        <v>0</v>
      </c>
      <c r="P1316">
        <f>COUNTIFS('Odoo Items'!$J$5:$J$4331,A1316,'Odoo Items'!$C$5:$C$4331,"&lt;="&amp;Cover!$C$13)</f>
        <v>0</v>
      </c>
      <c r="Q1316">
        <f>IF(AND(O1316=0,P1316=0),"",IF(O1316=0,"ODOO-ONLY",IF(P1316=0,"BANK-ONLY","BOTH")))</f>
      </c>
      <c r="R1316" s="9">
        <f>IF(Q1316="BOTH",ROUND(M1316-N1316,2),0)</f>
        <v>0</v>
      </c>
      <c r="S1316" s="9">
        <f>ROUND(SUMIFS('Bank Lines'!$E$5:$E$1640,'Bank Lines'!$G$5:$G$1640,A1316,'Bank Lines'!$J$5:$J$1640,1,'Bank Lines'!$C$5:$C$1640,"&lt;="&amp;Cover!$C$14),2)</f>
        <v>0</v>
      </c>
      <c r="T1316" s="9">
        <f>ROUND(SUMIFS('Odoo Items'!$G$5:$G$4331,'Odoo Items'!$J$5:$J$4331,A1316,'Odoo Items'!$C$5:$C$4331,"&lt;="&amp;Cover!$C$14),2)</f>
        <v>0</v>
      </c>
      <c r="U1316">
        <f>COUNTIFS('Bank Lines'!$G$5:$G$1640,A1316,'Bank Lines'!$J$5:$J$1640,1,'Bank Lines'!$C$5:$C$1640,"&lt;="&amp;Cover!$C$14)</f>
        <v>0</v>
      </c>
      <c r="V1316">
        <f>COUNTIFS('Odoo Items'!$J$5:$J$4331,A1316,'Odoo Items'!$C$5:$C$4331,"&lt;="&amp;Cover!$C$14)</f>
        <v>0</v>
      </c>
      <c r="W1316">
        <f>IF(AND(U1316=0,V1316=0),"",IF(U1316=0,"ODOO-ONLY",IF(V1316=0,"BANK-ONLY","BOTH")))</f>
      </c>
      <c r="X1316" s="9">
        <f>IF(W1316="BOTH",ROUND(S1316-T1316,2),0)</f>
        <v>0</v>
      </c>
      <c r="Y1316" s="9">
        <f>ROUND(SUMIFS('Bank Lines'!$E$5:$E$1640,'Bank Lines'!$G$5:$G$1640,A1316,'Bank Lines'!$J$5:$J$1640,1,'Bank Lines'!$C$5:$C$1640,"&lt;="&amp;Cover!$C$15),2)</f>
        <v>0</v>
      </c>
      <c r="Z1316" s="9">
        <f>ROUND(SUMIFS('Odoo Items'!$G$5:$G$4331,'Odoo Items'!$J$5:$J$4331,A1316,'Odoo Items'!$C$5:$C$4331,"&lt;="&amp;Cover!$C$15),2)</f>
        <v>85</v>
      </c>
      <c r="AA1316">
        <f>COUNTIFS('Bank Lines'!$G$5:$G$1640,A1316,'Bank Lines'!$J$5:$J$1640,1,'Bank Lines'!$C$5:$C$1640,"&lt;="&amp;Cover!$C$15)</f>
        <v>0</v>
      </c>
      <c r="AB1316">
        <f>COUNTIFS('Odoo Items'!$J$5:$J$4331,A1316,'Odoo Items'!$C$5:$C$4331,"&lt;="&amp;Cover!$C$15)</f>
        <v>1</v>
      </c>
      <c r="AC1316" t="str">
        <f>IF(AND(AA1316=0,AB1316=0),"",IF(AA1316=0,"ODOO-ONLY",IF(AB1316=0,"BANK-ONLY","BOTH")))</f>
        <v>ODOO-ONLY</v>
      </c>
      <c r="AD1316" s="9">
        <f>IF(AC1316="BOTH",ROUND(Y1316-Z1316,2),0)</f>
        <v>0</v>
      </c>
    </row>
    <row r="1317">
      <c r="A1317" t="inlineStr">
        <is>
          <t>G01313</t>
        </is>
      </c>
      <c r="B1317" t="inlineStr">
        <is>
          <t>OPS</t>
        </is>
      </c>
      <c r="C1317" t="inlineStr">
        <is>
          <t>R99</t>
        </is>
      </c>
      <c r="D1317" t="inlineStr">
        <is>
          <t>OUT</t>
        </is>
      </c>
      <c r="E1317" t="inlineStr"/>
      <c r="G1317" t="inlineStr">
        <is>
          <t>In Odoo, not yet on the bank statement at 30 Sep</t>
        </is>
      </c>
      <c r="H1317">
        <f>COUNTIFS('Bank Lines'!$G$5:$G$1640,A1317,'Bank Lines'!$J$5:$J$1640,1)</f>
        <v>0</v>
      </c>
      <c r="I1317">
        <f>COUNTIFS('Odoo Items'!$J$5:$J$4331,A1317)</f>
        <v>1</v>
      </c>
      <c r="J1317" s="9">
        <f>ROUND(SUMIFS('Bank Lines'!$E$5:$E$1640,'Bank Lines'!$G$5:$G$1640,A1317,'Bank Lines'!$J$5:$J$1640,1),2)</f>
        <v>0</v>
      </c>
      <c r="K1317" s="9">
        <f>ROUND(SUMIFS('Odoo Items'!$G$5:$G$4331,'Odoo Items'!$J$5:$J$4331,A1317),2)</f>
        <v>65</v>
      </c>
      <c r="L1317" s="9">
        <f>ROUND(J1317-K1317,2)</f>
        <v>-65</v>
      </c>
      <c r="M1317" s="9">
        <f>ROUND(SUMIFS('Bank Lines'!$E$5:$E$1640,'Bank Lines'!$G$5:$G$1640,A1317,'Bank Lines'!$J$5:$J$1640,1,'Bank Lines'!$C$5:$C$1640,"&lt;="&amp;Cover!$C$13),2)</f>
        <v>0</v>
      </c>
      <c r="N1317" s="9">
        <f>ROUND(SUMIFS('Odoo Items'!$G$5:$G$4331,'Odoo Items'!$J$5:$J$4331,A1317,'Odoo Items'!$C$5:$C$4331,"&lt;="&amp;Cover!$C$13),2)</f>
        <v>0</v>
      </c>
      <c r="O1317">
        <f>COUNTIFS('Bank Lines'!$G$5:$G$1640,A1317,'Bank Lines'!$J$5:$J$1640,1,'Bank Lines'!$C$5:$C$1640,"&lt;="&amp;Cover!$C$13)</f>
        <v>0</v>
      </c>
      <c r="P1317">
        <f>COUNTIFS('Odoo Items'!$J$5:$J$4331,A1317,'Odoo Items'!$C$5:$C$4331,"&lt;="&amp;Cover!$C$13)</f>
        <v>0</v>
      </c>
      <c r="Q1317">
        <f>IF(AND(O1317=0,P1317=0),"",IF(O1317=0,"ODOO-ONLY",IF(P1317=0,"BANK-ONLY","BOTH")))</f>
      </c>
      <c r="R1317" s="9">
        <f>IF(Q1317="BOTH",ROUND(M1317-N1317,2),0)</f>
        <v>0</v>
      </c>
      <c r="S1317" s="9">
        <f>ROUND(SUMIFS('Bank Lines'!$E$5:$E$1640,'Bank Lines'!$G$5:$G$1640,A1317,'Bank Lines'!$J$5:$J$1640,1,'Bank Lines'!$C$5:$C$1640,"&lt;="&amp;Cover!$C$14),2)</f>
        <v>0</v>
      </c>
      <c r="T1317" s="9">
        <f>ROUND(SUMIFS('Odoo Items'!$G$5:$G$4331,'Odoo Items'!$J$5:$J$4331,A1317,'Odoo Items'!$C$5:$C$4331,"&lt;="&amp;Cover!$C$14),2)</f>
        <v>0</v>
      </c>
      <c r="U1317">
        <f>COUNTIFS('Bank Lines'!$G$5:$G$1640,A1317,'Bank Lines'!$J$5:$J$1640,1,'Bank Lines'!$C$5:$C$1640,"&lt;="&amp;Cover!$C$14)</f>
        <v>0</v>
      </c>
      <c r="V1317">
        <f>COUNTIFS('Odoo Items'!$J$5:$J$4331,A1317,'Odoo Items'!$C$5:$C$4331,"&lt;="&amp;Cover!$C$14)</f>
        <v>0</v>
      </c>
      <c r="W1317">
        <f>IF(AND(U1317=0,V1317=0),"",IF(U1317=0,"ODOO-ONLY",IF(V1317=0,"BANK-ONLY","BOTH")))</f>
      </c>
      <c r="X1317" s="9">
        <f>IF(W1317="BOTH",ROUND(S1317-T1317,2),0)</f>
        <v>0</v>
      </c>
      <c r="Y1317" s="9">
        <f>ROUND(SUMIFS('Bank Lines'!$E$5:$E$1640,'Bank Lines'!$G$5:$G$1640,A1317,'Bank Lines'!$J$5:$J$1640,1,'Bank Lines'!$C$5:$C$1640,"&lt;="&amp;Cover!$C$15),2)</f>
        <v>0</v>
      </c>
      <c r="Z1317" s="9">
        <f>ROUND(SUMIFS('Odoo Items'!$G$5:$G$4331,'Odoo Items'!$J$5:$J$4331,A1317,'Odoo Items'!$C$5:$C$4331,"&lt;="&amp;Cover!$C$15),2)</f>
        <v>65</v>
      </c>
      <c r="AA1317">
        <f>COUNTIFS('Bank Lines'!$G$5:$G$1640,A1317,'Bank Lines'!$J$5:$J$1640,1,'Bank Lines'!$C$5:$C$1640,"&lt;="&amp;Cover!$C$15)</f>
        <v>0</v>
      </c>
      <c r="AB1317">
        <f>COUNTIFS('Odoo Items'!$J$5:$J$4331,A1317,'Odoo Items'!$C$5:$C$4331,"&lt;="&amp;Cover!$C$15)</f>
        <v>1</v>
      </c>
      <c r="AC1317" t="str">
        <f>IF(AND(AA1317=0,AB1317=0),"",IF(AA1317=0,"ODOO-ONLY",IF(AB1317=0,"BANK-ONLY","BOTH")))</f>
        <v>ODOO-ONLY</v>
      </c>
      <c r="AD1317" s="9">
        <f>IF(AC1317="BOTH",ROUND(Y1317-Z1317,2),0)</f>
        <v>0</v>
      </c>
    </row>
    <row r="1318">
      <c r="A1318" t="inlineStr">
        <is>
          <t>G01314</t>
        </is>
      </c>
      <c r="B1318" t="inlineStr">
        <is>
          <t>OPS</t>
        </is>
      </c>
      <c r="C1318" t="inlineStr">
        <is>
          <t>R99</t>
        </is>
      </c>
      <c r="D1318" t="inlineStr">
        <is>
          <t>OUT</t>
        </is>
      </c>
      <c r="E1318" t="inlineStr"/>
      <c r="G1318" t="inlineStr">
        <is>
          <t>In Odoo, not yet on the bank statement at 30 Sep</t>
        </is>
      </c>
      <c r="H1318">
        <f>COUNTIFS('Bank Lines'!$G$5:$G$1640,A1318,'Bank Lines'!$J$5:$J$1640,1)</f>
        <v>0</v>
      </c>
      <c r="I1318">
        <f>COUNTIFS('Odoo Items'!$J$5:$J$4331,A1318)</f>
        <v>1</v>
      </c>
      <c r="J1318" s="9">
        <f>ROUND(SUMIFS('Bank Lines'!$E$5:$E$1640,'Bank Lines'!$G$5:$G$1640,A1318,'Bank Lines'!$J$5:$J$1640,1),2)</f>
        <v>0</v>
      </c>
      <c r="K1318" s="9">
        <f>ROUND(SUMIFS('Odoo Items'!$G$5:$G$4331,'Odoo Items'!$J$5:$J$4331,A1318),2)</f>
        <v>120</v>
      </c>
      <c r="L1318" s="9">
        <f>ROUND(J1318-K1318,2)</f>
        <v>-120</v>
      </c>
      <c r="M1318" s="9">
        <f>ROUND(SUMIFS('Bank Lines'!$E$5:$E$1640,'Bank Lines'!$G$5:$G$1640,A1318,'Bank Lines'!$J$5:$J$1640,1,'Bank Lines'!$C$5:$C$1640,"&lt;="&amp;Cover!$C$13),2)</f>
        <v>0</v>
      </c>
      <c r="N1318" s="9">
        <f>ROUND(SUMIFS('Odoo Items'!$G$5:$G$4331,'Odoo Items'!$J$5:$J$4331,A1318,'Odoo Items'!$C$5:$C$4331,"&lt;="&amp;Cover!$C$13),2)</f>
        <v>0</v>
      </c>
      <c r="O1318">
        <f>COUNTIFS('Bank Lines'!$G$5:$G$1640,A1318,'Bank Lines'!$J$5:$J$1640,1,'Bank Lines'!$C$5:$C$1640,"&lt;="&amp;Cover!$C$13)</f>
        <v>0</v>
      </c>
      <c r="P1318">
        <f>COUNTIFS('Odoo Items'!$J$5:$J$4331,A1318,'Odoo Items'!$C$5:$C$4331,"&lt;="&amp;Cover!$C$13)</f>
        <v>0</v>
      </c>
      <c r="Q1318">
        <f>IF(AND(O1318=0,P1318=0),"",IF(O1318=0,"ODOO-ONLY",IF(P1318=0,"BANK-ONLY","BOTH")))</f>
      </c>
      <c r="R1318" s="9">
        <f>IF(Q1318="BOTH",ROUND(M1318-N1318,2),0)</f>
        <v>0</v>
      </c>
      <c r="S1318" s="9">
        <f>ROUND(SUMIFS('Bank Lines'!$E$5:$E$1640,'Bank Lines'!$G$5:$G$1640,A1318,'Bank Lines'!$J$5:$J$1640,1,'Bank Lines'!$C$5:$C$1640,"&lt;="&amp;Cover!$C$14),2)</f>
        <v>0</v>
      </c>
      <c r="T1318" s="9">
        <f>ROUND(SUMIFS('Odoo Items'!$G$5:$G$4331,'Odoo Items'!$J$5:$J$4331,A1318,'Odoo Items'!$C$5:$C$4331,"&lt;="&amp;Cover!$C$14),2)</f>
        <v>0</v>
      </c>
      <c r="U1318">
        <f>COUNTIFS('Bank Lines'!$G$5:$G$1640,A1318,'Bank Lines'!$J$5:$J$1640,1,'Bank Lines'!$C$5:$C$1640,"&lt;="&amp;Cover!$C$14)</f>
        <v>0</v>
      </c>
      <c r="V1318">
        <f>COUNTIFS('Odoo Items'!$J$5:$J$4331,A1318,'Odoo Items'!$C$5:$C$4331,"&lt;="&amp;Cover!$C$14)</f>
        <v>0</v>
      </c>
      <c r="W1318">
        <f>IF(AND(U1318=0,V1318=0),"",IF(U1318=0,"ODOO-ONLY",IF(V1318=0,"BANK-ONLY","BOTH")))</f>
      </c>
      <c r="X1318" s="9">
        <f>IF(W1318="BOTH",ROUND(S1318-T1318,2),0)</f>
        <v>0</v>
      </c>
      <c r="Y1318" s="9">
        <f>ROUND(SUMIFS('Bank Lines'!$E$5:$E$1640,'Bank Lines'!$G$5:$G$1640,A1318,'Bank Lines'!$J$5:$J$1640,1,'Bank Lines'!$C$5:$C$1640,"&lt;="&amp;Cover!$C$15),2)</f>
        <v>0</v>
      </c>
      <c r="Z1318" s="9">
        <f>ROUND(SUMIFS('Odoo Items'!$G$5:$G$4331,'Odoo Items'!$J$5:$J$4331,A1318,'Odoo Items'!$C$5:$C$4331,"&lt;="&amp;Cover!$C$15),2)</f>
        <v>120</v>
      </c>
      <c r="AA1318">
        <f>COUNTIFS('Bank Lines'!$G$5:$G$1640,A1318,'Bank Lines'!$J$5:$J$1640,1,'Bank Lines'!$C$5:$C$1640,"&lt;="&amp;Cover!$C$15)</f>
        <v>0</v>
      </c>
      <c r="AB1318">
        <f>COUNTIFS('Odoo Items'!$J$5:$J$4331,A1318,'Odoo Items'!$C$5:$C$4331,"&lt;="&amp;Cover!$C$15)</f>
        <v>1</v>
      </c>
      <c r="AC1318" t="str">
        <f>IF(AND(AA1318=0,AB1318=0),"",IF(AA1318=0,"ODOO-ONLY",IF(AB1318=0,"BANK-ONLY","BOTH")))</f>
        <v>ODOO-ONLY</v>
      </c>
      <c r="AD1318" s="9">
        <f>IF(AC1318="BOTH",ROUND(Y1318-Z1318,2),0)</f>
        <v>0</v>
      </c>
    </row>
    <row r="1319">
      <c r="A1319" t="inlineStr">
        <is>
          <t>G01315</t>
        </is>
      </c>
      <c r="B1319" t="inlineStr">
        <is>
          <t>PAY</t>
        </is>
      </c>
      <c r="C1319" t="inlineStr">
        <is>
          <t>R99</t>
        </is>
      </c>
      <c r="D1319" t="inlineStr">
        <is>
          <t>OUT</t>
        </is>
      </c>
      <c r="E1319" t="inlineStr"/>
      <c r="G1319" t="inlineStr">
        <is>
          <t>In Odoo, not yet on the bank statement at 30 Sep</t>
        </is>
      </c>
      <c r="H1319">
        <f>COUNTIFS('Bank Lines'!$G$5:$G$1640,A1319,'Bank Lines'!$J$5:$J$1640,1)</f>
        <v>0</v>
      </c>
      <c r="I1319">
        <f>COUNTIFS('Odoo Items'!$J$5:$J$4331,A1319)</f>
        <v>1</v>
      </c>
      <c r="J1319" s="9">
        <f>ROUND(SUMIFS('Bank Lines'!$E$5:$E$1640,'Bank Lines'!$G$5:$G$1640,A1319,'Bank Lines'!$J$5:$J$1640,1),2)</f>
        <v>0</v>
      </c>
      <c r="K1319" s="9">
        <f>ROUND(SUMIFS('Odoo Items'!$G$5:$G$4331,'Odoo Items'!$J$5:$J$4331,A1319),2)</f>
        <v>-20541.3</v>
      </c>
      <c r="L1319" s="9">
        <f>ROUND(J1319-K1319,2)</f>
        <v>20541.3</v>
      </c>
      <c r="M1319" s="9">
        <f>ROUND(SUMIFS('Bank Lines'!$E$5:$E$1640,'Bank Lines'!$G$5:$G$1640,A1319,'Bank Lines'!$J$5:$J$1640,1,'Bank Lines'!$C$5:$C$1640,"&lt;="&amp;Cover!$C$13),2)</f>
        <v>0</v>
      </c>
      <c r="N1319" s="9">
        <f>ROUND(SUMIFS('Odoo Items'!$G$5:$G$4331,'Odoo Items'!$J$5:$J$4331,A1319,'Odoo Items'!$C$5:$C$4331,"&lt;="&amp;Cover!$C$13),2)</f>
        <v>0</v>
      </c>
      <c r="O1319">
        <f>COUNTIFS('Bank Lines'!$G$5:$G$1640,A1319,'Bank Lines'!$J$5:$J$1640,1,'Bank Lines'!$C$5:$C$1640,"&lt;="&amp;Cover!$C$13)</f>
        <v>0</v>
      </c>
      <c r="P1319">
        <f>COUNTIFS('Odoo Items'!$J$5:$J$4331,A1319,'Odoo Items'!$C$5:$C$4331,"&lt;="&amp;Cover!$C$13)</f>
        <v>0</v>
      </c>
      <c r="Q1319">
        <f>IF(AND(O1319=0,P1319=0),"",IF(O1319=0,"ODOO-ONLY",IF(P1319=0,"BANK-ONLY","BOTH")))</f>
      </c>
      <c r="R1319" s="9">
        <f>IF(Q1319="BOTH",ROUND(M1319-N1319,2),0)</f>
        <v>0</v>
      </c>
      <c r="S1319" s="9">
        <f>ROUND(SUMIFS('Bank Lines'!$E$5:$E$1640,'Bank Lines'!$G$5:$G$1640,A1319,'Bank Lines'!$J$5:$J$1640,1,'Bank Lines'!$C$5:$C$1640,"&lt;="&amp;Cover!$C$14),2)</f>
        <v>0</v>
      </c>
      <c r="T1319" s="9">
        <f>ROUND(SUMIFS('Odoo Items'!$G$5:$G$4331,'Odoo Items'!$J$5:$J$4331,A1319,'Odoo Items'!$C$5:$C$4331,"&lt;="&amp;Cover!$C$14),2)</f>
        <v>0</v>
      </c>
      <c r="U1319">
        <f>COUNTIFS('Bank Lines'!$G$5:$G$1640,A1319,'Bank Lines'!$J$5:$J$1640,1,'Bank Lines'!$C$5:$C$1640,"&lt;="&amp;Cover!$C$14)</f>
        <v>0</v>
      </c>
      <c r="V1319">
        <f>COUNTIFS('Odoo Items'!$J$5:$J$4331,A1319,'Odoo Items'!$C$5:$C$4331,"&lt;="&amp;Cover!$C$14)</f>
        <v>0</v>
      </c>
      <c r="W1319">
        <f>IF(AND(U1319=0,V1319=0),"",IF(U1319=0,"ODOO-ONLY",IF(V1319=0,"BANK-ONLY","BOTH")))</f>
      </c>
      <c r="X1319" s="9">
        <f>IF(W1319="BOTH",ROUND(S1319-T1319,2),0)</f>
        <v>0</v>
      </c>
      <c r="Y1319" s="9">
        <f>ROUND(SUMIFS('Bank Lines'!$E$5:$E$1640,'Bank Lines'!$G$5:$G$1640,A1319,'Bank Lines'!$J$5:$J$1640,1,'Bank Lines'!$C$5:$C$1640,"&lt;="&amp;Cover!$C$15),2)</f>
        <v>0</v>
      </c>
      <c r="Z1319" s="9">
        <f>ROUND(SUMIFS('Odoo Items'!$G$5:$G$4331,'Odoo Items'!$J$5:$J$4331,A1319,'Odoo Items'!$C$5:$C$4331,"&lt;="&amp;Cover!$C$15),2)</f>
        <v>-20541.3</v>
      </c>
      <c r="AA1319">
        <f>COUNTIFS('Bank Lines'!$G$5:$G$1640,A1319,'Bank Lines'!$J$5:$J$1640,1,'Bank Lines'!$C$5:$C$1640,"&lt;="&amp;Cover!$C$15)</f>
        <v>0</v>
      </c>
      <c r="AB1319">
        <f>COUNTIFS('Odoo Items'!$J$5:$J$4331,A1319,'Odoo Items'!$C$5:$C$4331,"&lt;="&amp;Cover!$C$15)</f>
        <v>1</v>
      </c>
      <c r="AC1319" t="str">
        <f>IF(AND(AA1319=0,AB1319=0),"",IF(AA1319=0,"ODOO-ONLY",IF(AB1319=0,"BANK-ONLY","BOTH")))</f>
        <v>ODOO-ONLY</v>
      </c>
      <c r="AD1319" s="9">
        <f>IF(AC1319="BOTH",ROUND(Y1319-Z1319,2),0)</f>
        <v>0</v>
      </c>
    </row>
    <row r="1320">
      <c r="A1320" t="inlineStr">
        <is>
          <t>G01316</t>
        </is>
      </c>
      <c r="B1320" t="inlineStr">
        <is>
          <t>MER</t>
        </is>
      </c>
      <c r="C1320" t="inlineStr">
        <is>
          <t>R99</t>
        </is>
      </c>
      <c r="D1320" t="inlineStr">
        <is>
          <t>UNEXP</t>
        </is>
      </c>
      <c r="E1320" t="inlineStr"/>
      <c r="G1320" t="inlineStr">
        <is>
          <t>No Odoo item, open invoice or known pattern. Escalated.</t>
        </is>
      </c>
      <c r="H1320">
        <f>COUNTIFS('Bank Lines'!$G$5:$G$1640,A1320,'Bank Lines'!$J$5:$J$1640,1)</f>
        <v>1</v>
      </c>
      <c r="I1320">
        <f>COUNTIFS('Odoo Items'!$J$5:$J$4331,A1320)</f>
        <v>0</v>
      </c>
      <c r="J1320" s="9">
        <f>ROUND(SUMIFS('Bank Lines'!$E$5:$E$1640,'Bank Lines'!$G$5:$G$1640,A1320,'Bank Lines'!$J$5:$J$1640,1),2)</f>
        <v>64.9</v>
      </c>
      <c r="K1320" s="9">
        <f>ROUND(SUMIFS('Odoo Items'!$G$5:$G$4331,'Odoo Items'!$J$5:$J$4331,A1320),2)</f>
        <v>0</v>
      </c>
      <c r="L1320" s="9">
        <f>ROUND(J1320-K1320,2)</f>
        <v>64.9</v>
      </c>
      <c r="M1320" s="9">
        <f>ROUND(SUMIFS('Bank Lines'!$E$5:$E$1640,'Bank Lines'!$G$5:$G$1640,A1320,'Bank Lines'!$J$5:$J$1640,1,'Bank Lines'!$C$5:$C$1640,"&lt;="&amp;Cover!$C$13),2)</f>
        <v>0</v>
      </c>
      <c r="N1320" s="9">
        <f>ROUND(SUMIFS('Odoo Items'!$G$5:$G$4331,'Odoo Items'!$J$5:$J$4331,A1320,'Odoo Items'!$C$5:$C$4331,"&lt;="&amp;Cover!$C$13),2)</f>
        <v>0</v>
      </c>
      <c r="O1320">
        <f>COUNTIFS('Bank Lines'!$G$5:$G$1640,A1320,'Bank Lines'!$J$5:$J$1640,1,'Bank Lines'!$C$5:$C$1640,"&lt;="&amp;Cover!$C$13)</f>
        <v>0</v>
      </c>
      <c r="P1320">
        <f>COUNTIFS('Odoo Items'!$J$5:$J$4331,A1320,'Odoo Items'!$C$5:$C$4331,"&lt;="&amp;Cover!$C$13)</f>
        <v>0</v>
      </c>
      <c r="Q1320">
        <f>IF(AND(O1320=0,P1320=0),"",IF(O1320=0,"ODOO-ONLY",IF(P1320=0,"BANK-ONLY","BOTH")))</f>
      </c>
      <c r="R1320" s="9">
        <f>IF(Q1320="BOTH",ROUND(M1320-N1320,2),0)</f>
        <v>0</v>
      </c>
      <c r="S1320" s="9">
        <f>ROUND(SUMIFS('Bank Lines'!$E$5:$E$1640,'Bank Lines'!$G$5:$G$1640,A1320,'Bank Lines'!$J$5:$J$1640,1,'Bank Lines'!$C$5:$C$1640,"&lt;="&amp;Cover!$C$14),2)</f>
        <v>0</v>
      </c>
      <c r="T1320" s="9">
        <f>ROUND(SUMIFS('Odoo Items'!$G$5:$G$4331,'Odoo Items'!$J$5:$J$4331,A1320,'Odoo Items'!$C$5:$C$4331,"&lt;="&amp;Cover!$C$14),2)</f>
        <v>0</v>
      </c>
      <c r="U1320">
        <f>COUNTIFS('Bank Lines'!$G$5:$G$1640,A1320,'Bank Lines'!$J$5:$J$1640,1,'Bank Lines'!$C$5:$C$1640,"&lt;="&amp;Cover!$C$14)</f>
        <v>0</v>
      </c>
      <c r="V1320">
        <f>COUNTIFS('Odoo Items'!$J$5:$J$4331,A1320,'Odoo Items'!$C$5:$C$4331,"&lt;="&amp;Cover!$C$14)</f>
        <v>0</v>
      </c>
      <c r="W1320">
        <f>IF(AND(U1320=0,V1320=0),"",IF(U1320=0,"ODOO-ONLY",IF(V1320=0,"BANK-ONLY","BOTH")))</f>
      </c>
      <c r="X1320" s="9">
        <f>IF(W1320="BOTH",ROUND(S1320-T1320,2),0)</f>
        <v>0</v>
      </c>
      <c r="Y1320" s="9">
        <f>ROUND(SUMIFS('Bank Lines'!$E$5:$E$1640,'Bank Lines'!$G$5:$G$1640,A1320,'Bank Lines'!$J$5:$J$1640,1,'Bank Lines'!$C$5:$C$1640,"&lt;="&amp;Cover!$C$15),2)</f>
        <v>64.9</v>
      </c>
      <c r="Z1320" s="9">
        <f>ROUND(SUMIFS('Odoo Items'!$G$5:$G$4331,'Odoo Items'!$J$5:$J$4331,A1320,'Odoo Items'!$C$5:$C$4331,"&lt;="&amp;Cover!$C$15),2)</f>
        <v>0</v>
      </c>
      <c r="AA1320">
        <f>COUNTIFS('Bank Lines'!$G$5:$G$1640,A1320,'Bank Lines'!$J$5:$J$1640,1,'Bank Lines'!$C$5:$C$1640,"&lt;="&amp;Cover!$C$15)</f>
        <v>1</v>
      </c>
      <c r="AB1320">
        <f>COUNTIFS('Odoo Items'!$J$5:$J$4331,A1320,'Odoo Items'!$C$5:$C$4331,"&lt;="&amp;Cover!$C$15)</f>
        <v>0</v>
      </c>
      <c r="AC1320" t="str">
        <f>IF(AND(AA1320=0,AB1320=0),"",IF(AA1320=0,"ODOO-ONLY",IF(AB1320=0,"BANK-ONLY","BOTH")))</f>
        <v>BANK-ONLY</v>
      </c>
      <c r="AD1320" s="9">
        <f>IF(AC1320="BOTH",ROUND(Y1320-Z1320,2),0)</f>
        <v>0</v>
      </c>
    </row>
    <row r="1321">
      <c r="A1321" t="inlineStr">
        <is>
          <t>G01317</t>
        </is>
      </c>
      <c r="B1321" t="inlineStr">
        <is>
          <t>MER</t>
        </is>
      </c>
      <c r="C1321" t="inlineStr">
        <is>
          <t>R99</t>
        </is>
      </c>
      <c r="D1321" t="inlineStr">
        <is>
          <t>OUT</t>
        </is>
      </c>
      <c r="E1321" t="inlineStr"/>
      <c r="G1321" t="inlineStr">
        <is>
          <t>In Odoo, not yet on the bank statement at 30 Sep</t>
        </is>
      </c>
      <c r="H1321">
        <f>COUNTIFS('Bank Lines'!$G$5:$G$1640,A1321,'Bank Lines'!$J$5:$J$1640,1)</f>
        <v>0</v>
      </c>
      <c r="I1321">
        <f>COUNTIFS('Odoo Items'!$J$5:$J$4331,A1321)</f>
        <v>1</v>
      </c>
      <c r="J1321" s="9">
        <f>ROUND(SUMIFS('Bank Lines'!$E$5:$E$1640,'Bank Lines'!$G$5:$G$1640,A1321,'Bank Lines'!$J$5:$J$1640,1),2)</f>
        <v>0</v>
      </c>
      <c r="K1321" s="9">
        <f>ROUND(SUMIFS('Odoo Items'!$G$5:$G$4331,'Odoo Items'!$J$5:$J$4331,A1321),2)</f>
        <v>2364.19</v>
      </c>
      <c r="L1321" s="9">
        <f>ROUND(J1321-K1321,2)</f>
        <v>-2364.19</v>
      </c>
      <c r="M1321" s="9">
        <f>ROUND(SUMIFS('Bank Lines'!$E$5:$E$1640,'Bank Lines'!$G$5:$G$1640,A1321,'Bank Lines'!$J$5:$J$1640,1,'Bank Lines'!$C$5:$C$1640,"&lt;="&amp;Cover!$C$13),2)</f>
        <v>0</v>
      </c>
      <c r="N1321" s="9">
        <f>ROUND(SUMIFS('Odoo Items'!$G$5:$G$4331,'Odoo Items'!$J$5:$J$4331,A1321,'Odoo Items'!$C$5:$C$4331,"&lt;="&amp;Cover!$C$13),2)</f>
        <v>0</v>
      </c>
      <c r="O1321">
        <f>COUNTIFS('Bank Lines'!$G$5:$G$1640,A1321,'Bank Lines'!$J$5:$J$1640,1,'Bank Lines'!$C$5:$C$1640,"&lt;="&amp;Cover!$C$13)</f>
        <v>0</v>
      </c>
      <c r="P1321">
        <f>COUNTIFS('Odoo Items'!$J$5:$J$4331,A1321,'Odoo Items'!$C$5:$C$4331,"&lt;="&amp;Cover!$C$13)</f>
        <v>0</v>
      </c>
      <c r="Q1321">
        <f>IF(AND(O1321=0,P1321=0),"",IF(O1321=0,"ODOO-ONLY",IF(P1321=0,"BANK-ONLY","BOTH")))</f>
      </c>
      <c r="R1321" s="9">
        <f>IF(Q1321="BOTH",ROUND(M1321-N1321,2),0)</f>
        <v>0</v>
      </c>
      <c r="S1321" s="9">
        <f>ROUND(SUMIFS('Bank Lines'!$E$5:$E$1640,'Bank Lines'!$G$5:$G$1640,A1321,'Bank Lines'!$J$5:$J$1640,1,'Bank Lines'!$C$5:$C$1640,"&lt;="&amp;Cover!$C$14),2)</f>
        <v>0</v>
      </c>
      <c r="T1321" s="9">
        <f>ROUND(SUMIFS('Odoo Items'!$G$5:$G$4331,'Odoo Items'!$J$5:$J$4331,A1321,'Odoo Items'!$C$5:$C$4331,"&lt;="&amp;Cover!$C$14),2)</f>
        <v>0</v>
      </c>
      <c r="U1321">
        <f>COUNTIFS('Bank Lines'!$G$5:$G$1640,A1321,'Bank Lines'!$J$5:$J$1640,1,'Bank Lines'!$C$5:$C$1640,"&lt;="&amp;Cover!$C$14)</f>
        <v>0</v>
      </c>
      <c r="V1321">
        <f>COUNTIFS('Odoo Items'!$J$5:$J$4331,A1321,'Odoo Items'!$C$5:$C$4331,"&lt;="&amp;Cover!$C$14)</f>
        <v>0</v>
      </c>
      <c r="W1321">
        <f>IF(AND(U1321=0,V1321=0),"",IF(U1321=0,"ODOO-ONLY",IF(V1321=0,"BANK-ONLY","BOTH")))</f>
      </c>
      <c r="X1321" s="9">
        <f>IF(W1321="BOTH",ROUND(S1321-T1321,2),0)</f>
        <v>0</v>
      </c>
      <c r="Y1321" s="9">
        <f>ROUND(SUMIFS('Bank Lines'!$E$5:$E$1640,'Bank Lines'!$G$5:$G$1640,A1321,'Bank Lines'!$J$5:$J$1640,1,'Bank Lines'!$C$5:$C$1640,"&lt;="&amp;Cover!$C$15),2)</f>
        <v>0</v>
      </c>
      <c r="Z1321" s="9">
        <f>ROUND(SUMIFS('Odoo Items'!$G$5:$G$4331,'Odoo Items'!$J$5:$J$4331,A1321,'Odoo Items'!$C$5:$C$4331,"&lt;="&amp;Cover!$C$15),2)</f>
        <v>2364.19</v>
      </c>
      <c r="AA1321">
        <f>COUNTIFS('Bank Lines'!$G$5:$G$1640,A1321,'Bank Lines'!$J$5:$J$1640,1,'Bank Lines'!$C$5:$C$1640,"&lt;="&amp;Cover!$C$15)</f>
        <v>0</v>
      </c>
      <c r="AB1321">
        <f>COUNTIFS('Odoo Items'!$J$5:$J$4331,A1321,'Odoo Items'!$C$5:$C$4331,"&lt;="&amp;Cover!$C$15)</f>
        <v>1</v>
      </c>
      <c r="AC1321" t="str">
        <f>IF(AND(AA1321=0,AB1321=0),"",IF(AA1321=0,"ODOO-ONLY",IF(AB1321=0,"BANK-ONLY","BOTH")))</f>
        <v>ODOO-ONLY</v>
      </c>
      <c r="AD1321" s="9">
        <f>IF(AC1321="BOTH",ROUND(Y1321-Z1321,2),0)</f>
        <v>0</v>
      </c>
    </row>
    <row r="1322">
      <c r="A1322" t="inlineStr">
        <is>
          <t>G01318</t>
        </is>
      </c>
      <c r="B1322" t="inlineStr">
        <is>
          <t>MER</t>
        </is>
      </c>
      <c r="C1322" t="inlineStr">
        <is>
          <t>R99</t>
        </is>
      </c>
      <c r="D1322" t="inlineStr">
        <is>
          <t>OUT</t>
        </is>
      </c>
      <c r="E1322" t="inlineStr"/>
      <c r="G1322" t="inlineStr">
        <is>
          <t>In Odoo, not yet on the bank statement at 30 Sep</t>
        </is>
      </c>
      <c r="H1322">
        <f>COUNTIFS('Bank Lines'!$G$5:$G$1640,A1322,'Bank Lines'!$J$5:$J$1640,1)</f>
        <v>0</v>
      </c>
      <c r="I1322">
        <f>COUNTIFS('Odoo Items'!$J$5:$J$4331,A1322)</f>
        <v>1</v>
      </c>
      <c r="J1322" s="9">
        <f>ROUND(SUMIFS('Bank Lines'!$E$5:$E$1640,'Bank Lines'!$G$5:$G$1640,A1322,'Bank Lines'!$J$5:$J$1640,1),2)</f>
        <v>0</v>
      </c>
      <c r="K1322" s="9">
        <f>ROUND(SUMIFS('Odoo Items'!$G$5:$G$4331,'Odoo Items'!$J$5:$J$4331,A1322),2)</f>
        <v>2807.69</v>
      </c>
      <c r="L1322" s="9">
        <f>ROUND(J1322-K1322,2)</f>
        <v>-2807.69</v>
      </c>
      <c r="M1322" s="9">
        <f>ROUND(SUMIFS('Bank Lines'!$E$5:$E$1640,'Bank Lines'!$G$5:$G$1640,A1322,'Bank Lines'!$J$5:$J$1640,1,'Bank Lines'!$C$5:$C$1640,"&lt;="&amp;Cover!$C$13),2)</f>
        <v>0</v>
      </c>
      <c r="N1322" s="9">
        <f>ROUND(SUMIFS('Odoo Items'!$G$5:$G$4331,'Odoo Items'!$J$5:$J$4331,A1322,'Odoo Items'!$C$5:$C$4331,"&lt;="&amp;Cover!$C$13),2)</f>
        <v>0</v>
      </c>
      <c r="O1322">
        <f>COUNTIFS('Bank Lines'!$G$5:$G$1640,A1322,'Bank Lines'!$J$5:$J$1640,1,'Bank Lines'!$C$5:$C$1640,"&lt;="&amp;Cover!$C$13)</f>
        <v>0</v>
      </c>
      <c r="P1322">
        <f>COUNTIFS('Odoo Items'!$J$5:$J$4331,A1322,'Odoo Items'!$C$5:$C$4331,"&lt;="&amp;Cover!$C$13)</f>
        <v>0</v>
      </c>
      <c r="Q1322">
        <f>IF(AND(O1322=0,P1322=0),"",IF(O1322=0,"ODOO-ONLY",IF(P1322=0,"BANK-ONLY","BOTH")))</f>
      </c>
      <c r="R1322" s="9">
        <f>IF(Q1322="BOTH",ROUND(M1322-N1322,2),0)</f>
        <v>0</v>
      </c>
      <c r="S1322" s="9">
        <f>ROUND(SUMIFS('Bank Lines'!$E$5:$E$1640,'Bank Lines'!$G$5:$G$1640,A1322,'Bank Lines'!$J$5:$J$1640,1,'Bank Lines'!$C$5:$C$1640,"&lt;="&amp;Cover!$C$14),2)</f>
        <v>0</v>
      </c>
      <c r="T1322" s="9">
        <f>ROUND(SUMIFS('Odoo Items'!$G$5:$G$4331,'Odoo Items'!$J$5:$J$4331,A1322,'Odoo Items'!$C$5:$C$4331,"&lt;="&amp;Cover!$C$14),2)</f>
        <v>0</v>
      </c>
      <c r="U1322">
        <f>COUNTIFS('Bank Lines'!$G$5:$G$1640,A1322,'Bank Lines'!$J$5:$J$1640,1,'Bank Lines'!$C$5:$C$1640,"&lt;="&amp;Cover!$C$14)</f>
        <v>0</v>
      </c>
      <c r="V1322">
        <f>COUNTIFS('Odoo Items'!$J$5:$J$4331,A1322,'Odoo Items'!$C$5:$C$4331,"&lt;="&amp;Cover!$C$14)</f>
        <v>0</v>
      </c>
      <c r="W1322">
        <f>IF(AND(U1322=0,V1322=0),"",IF(U1322=0,"ODOO-ONLY",IF(V1322=0,"BANK-ONLY","BOTH")))</f>
      </c>
      <c r="X1322" s="9">
        <f>IF(W1322="BOTH",ROUND(S1322-T1322,2),0)</f>
        <v>0</v>
      </c>
      <c r="Y1322" s="9">
        <f>ROUND(SUMIFS('Bank Lines'!$E$5:$E$1640,'Bank Lines'!$G$5:$G$1640,A1322,'Bank Lines'!$J$5:$J$1640,1,'Bank Lines'!$C$5:$C$1640,"&lt;="&amp;Cover!$C$15),2)</f>
        <v>0</v>
      </c>
      <c r="Z1322" s="9">
        <f>ROUND(SUMIFS('Odoo Items'!$G$5:$G$4331,'Odoo Items'!$J$5:$J$4331,A1322,'Odoo Items'!$C$5:$C$4331,"&lt;="&amp;Cover!$C$15),2)</f>
        <v>2807.69</v>
      </c>
      <c r="AA1322">
        <f>COUNTIFS('Bank Lines'!$G$5:$G$1640,A1322,'Bank Lines'!$J$5:$J$1640,1,'Bank Lines'!$C$5:$C$1640,"&lt;="&amp;Cover!$C$15)</f>
        <v>0</v>
      </c>
      <c r="AB1322">
        <f>COUNTIFS('Odoo Items'!$J$5:$J$4331,A1322,'Odoo Items'!$C$5:$C$4331,"&lt;="&amp;Cover!$C$15)</f>
        <v>1</v>
      </c>
      <c r="AC1322" t="str">
        <f>IF(AND(AA1322=0,AB1322=0),"",IF(AA1322=0,"ODOO-ONLY",IF(AB1322=0,"BANK-ONLY","BOTH")))</f>
        <v>ODOO-ONLY</v>
      </c>
      <c r="AD1322" s="9">
        <f>IF(AC1322="BOTH",ROUND(Y1322-Z1322,2),0)</f>
        <v>0</v>
      </c>
    </row>
    <row r="1323">
      <c r="A1323" t="inlineStr">
        <is>
          <t>G01319</t>
        </is>
      </c>
      <c r="B1323" t="inlineStr">
        <is>
          <t>MER</t>
        </is>
      </c>
      <c r="C1323" t="inlineStr">
        <is>
          <t>R99</t>
        </is>
      </c>
      <c r="D1323" t="inlineStr">
        <is>
          <t>OUT</t>
        </is>
      </c>
      <c r="E1323" t="inlineStr"/>
      <c r="G1323" t="inlineStr">
        <is>
          <t>In Odoo, not yet on the bank statement at 30 Sep</t>
        </is>
      </c>
      <c r="H1323">
        <f>COUNTIFS('Bank Lines'!$G$5:$G$1640,A1323,'Bank Lines'!$J$5:$J$1640,1)</f>
        <v>0</v>
      </c>
      <c r="I1323">
        <f>COUNTIFS('Odoo Items'!$J$5:$J$4331,A1323)</f>
        <v>1</v>
      </c>
      <c r="J1323" s="9">
        <f>ROUND(SUMIFS('Bank Lines'!$E$5:$E$1640,'Bank Lines'!$G$5:$G$1640,A1323,'Bank Lines'!$J$5:$J$1640,1),2)</f>
        <v>0</v>
      </c>
      <c r="K1323" s="9">
        <f>ROUND(SUMIFS('Odoo Items'!$G$5:$G$4331,'Odoo Items'!$J$5:$J$4331,A1323),2)</f>
        <v>1549.31</v>
      </c>
      <c r="L1323" s="9">
        <f>ROUND(J1323-K1323,2)</f>
        <v>-1549.31</v>
      </c>
      <c r="M1323" s="9">
        <f>ROUND(SUMIFS('Bank Lines'!$E$5:$E$1640,'Bank Lines'!$G$5:$G$1640,A1323,'Bank Lines'!$J$5:$J$1640,1,'Bank Lines'!$C$5:$C$1640,"&lt;="&amp;Cover!$C$13),2)</f>
        <v>0</v>
      </c>
      <c r="N1323" s="9">
        <f>ROUND(SUMIFS('Odoo Items'!$G$5:$G$4331,'Odoo Items'!$J$5:$J$4331,A1323,'Odoo Items'!$C$5:$C$4331,"&lt;="&amp;Cover!$C$13),2)</f>
        <v>0</v>
      </c>
      <c r="O1323">
        <f>COUNTIFS('Bank Lines'!$G$5:$G$1640,A1323,'Bank Lines'!$J$5:$J$1640,1,'Bank Lines'!$C$5:$C$1640,"&lt;="&amp;Cover!$C$13)</f>
        <v>0</v>
      </c>
      <c r="P1323">
        <f>COUNTIFS('Odoo Items'!$J$5:$J$4331,A1323,'Odoo Items'!$C$5:$C$4331,"&lt;="&amp;Cover!$C$13)</f>
        <v>0</v>
      </c>
      <c r="Q1323">
        <f>IF(AND(O1323=0,P1323=0),"",IF(O1323=0,"ODOO-ONLY",IF(P1323=0,"BANK-ONLY","BOTH")))</f>
      </c>
      <c r="R1323" s="9">
        <f>IF(Q1323="BOTH",ROUND(M1323-N1323,2),0)</f>
        <v>0</v>
      </c>
      <c r="S1323" s="9">
        <f>ROUND(SUMIFS('Bank Lines'!$E$5:$E$1640,'Bank Lines'!$G$5:$G$1640,A1323,'Bank Lines'!$J$5:$J$1640,1,'Bank Lines'!$C$5:$C$1640,"&lt;="&amp;Cover!$C$14),2)</f>
        <v>0</v>
      </c>
      <c r="T1323" s="9">
        <f>ROUND(SUMIFS('Odoo Items'!$G$5:$G$4331,'Odoo Items'!$J$5:$J$4331,A1323,'Odoo Items'!$C$5:$C$4331,"&lt;="&amp;Cover!$C$14),2)</f>
        <v>0</v>
      </c>
      <c r="U1323">
        <f>COUNTIFS('Bank Lines'!$G$5:$G$1640,A1323,'Bank Lines'!$J$5:$J$1640,1,'Bank Lines'!$C$5:$C$1640,"&lt;="&amp;Cover!$C$14)</f>
        <v>0</v>
      </c>
      <c r="V1323">
        <f>COUNTIFS('Odoo Items'!$J$5:$J$4331,A1323,'Odoo Items'!$C$5:$C$4331,"&lt;="&amp;Cover!$C$14)</f>
        <v>0</v>
      </c>
      <c r="W1323">
        <f>IF(AND(U1323=0,V1323=0),"",IF(U1323=0,"ODOO-ONLY",IF(V1323=0,"BANK-ONLY","BOTH")))</f>
      </c>
      <c r="X1323" s="9">
        <f>IF(W1323="BOTH",ROUND(S1323-T1323,2),0)</f>
        <v>0</v>
      </c>
      <c r="Y1323" s="9">
        <f>ROUND(SUMIFS('Bank Lines'!$E$5:$E$1640,'Bank Lines'!$G$5:$G$1640,A1323,'Bank Lines'!$J$5:$J$1640,1,'Bank Lines'!$C$5:$C$1640,"&lt;="&amp;Cover!$C$15),2)</f>
        <v>0</v>
      </c>
      <c r="Z1323" s="9">
        <f>ROUND(SUMIFS('Odoo Items'!$G$5:$G$4331,'Odoo Items'!$J$5:$J$4331,A1323,'Odoo Items'!$C$5:$C$4331,"&lt;="&amp;Cover!$C$15),2)</f>
        <v>1549.31</v>
      </c>
      <c r="AA1323">
        <f>COUNTIFS('Bank Lines'!$G$5:$G$1640,A1323,'Bank Lines'!$J$5:$J$1640,1,'Bank Lines'!$C$5:$C$1640,"&lt;="&amp;Cover!$C$15)</f>
        <v>0</v>
      </c>
      <c r="AB1323">
        <f>COUNTIFS('Odoo Items'!$J$5:$J$4331,A1323,'Odoo Items'!$C$5:$C$4331,"&lt;="&amp;Cover!$C$15)</f>
        <v>1</v>
      </c>
      <c r="AC1323" t="str">
        <f>IF(AND(AA1323=0,AB1323=0),"",IF(AA1323=0,"ODOO-ONLY",IF(AB1323=0,"BANK-ONLY","BOTH")))</f>
        <v>ODOO-ONLY</v>
      </c>
      <c r="AD1323" s="9">
        <f>IF(AC1323="BOTH",ROUND(Y1323-Z1323,2),0)</f>
        <v>0</v>
      </c>
    </row>
    <row r="1324">
      <c r="A1324" t="inlineStr">
        <is>
          <t>G01320</t>
        </is>
      </c>
      <c r="B1324" t="inlineStr">
        <is>
          <t>MER</t>
        </is>
      </c>
      <c r="C1324" t="inlineStr">
        <is>
          <t>R99</t>
        </is>
      </c>
      <c r="D1324" t="inlineStr">
        <is>
          <t>OUT</t>
        </is>
      </c>
      <c r="E1324" t="inlineStr"/>
      <c r="G1324" t="inlineStr">
        <is>
          <t>In Odoo, not yet on the bank statement at 30 Sep</t>
        </is>
      </c>
      <c r="H1324">
        <f>COUNTIFS('Bank Lines'!$G$5:$G$1640,A1324,'Bank Lines'!$J$5:$J$1640,1)</f>
        <v>0</v>
      </c>
      <c r="I1324">
        <f>COUNTIFS('Odoo Items'!$J$5:$J$4331,A1324)</f>
        <v>1</v>
      </c>
      <c r="J1324" s="9">
        <f>ROUND(SUMIFS('Bank Lines'!$E$5:$E$1640,'Bank Lines'!$G$5:$G$1640,A1324,'Bank Lines'!$J$5:$J$1640,1),2)</f>
        <v>0</v>
      </c>
      <c r="K1324" s="9">
        <f>ROUND(SUMIFS('Odoo Items'!$G$5:$G$4331,'Odoo Items'!$J$5:$J$4331,A1324),2)</f>
        <v>2452.36</v>
      </c>
      <c r="L1324" s="9">
        <f>ROUND(J1324-K1324,2)</f>
        <v>-2452.36</v>
      </c>
      <c r="M1324" s="9">
        <f>ROUND(SUMIFS('Bank Lines'!$E$5:$E$1640,'Bank Lines'!$G$5:$G$1640,A1324,'Bank Lines'!$J$5:$J$1640,1,'Bank Lines'!$C$5:$C$1640,"&lt;="&amp;Cover!$C$13),2)</f>
        <v>0</v>
      </c>
      <c r="N1324" s="9">
        <f>ROUND(SUMIFS('Odoo Items'!$G$5:$G$4331,'Odoo Items'!$J$5:$J$4331,A1324,'Odoo Items'!$C$5:$C$4331,"&lt;="&amp;Cover!$C$13),2)</f>
        <v>0</v>
      </c>
      <c r="O1324">
        <f>COUNTIFS('Bank Lines'!$G$5:$G$1640,A1324,'Bank Lines'!$J$5:$J$1640,1,'Bank Lines'!$C$5:$C$1640,"&lt;="&amp;Cover!$C$13)</f>
        <v>0</v>
      </c>
      <c r="P1324">
        <f>COUNTIFS('Odoo Items'!$J$5:$J$4331,A1324,'Odoo Items'!$C$5:$C$4331,"&lt;="&amp;Cover!$C$13)</f>
        <v>0</v>
      </c>
      <c r="Q1324">
        <f>IF(AND(O1324=0,P1324=0),"",IF(O1324=0,"ODOO-ONLY",IF(P1324=0,"BANK-ONLY","BOTH")))</f>
      </c>
      <c r="R1324" s="9">
        <f>IF(Q1324="BOTH",ROUND(M1324-N1324,2),0)</f>
        <v>0</v>
      </c>
      <c r="S1324" s="9">
        <f>ROUND(SUMIFS('Bank Lines'!$E$5:$E$1640,'Bank Lines'!$G$5:$G$1640,A1324,'Bank Lines'!$J$5:$J$1640,1,'Bank Lines'!$C$5:$C$1640,"&lt;="&amp;Cover!$C$14),2)</f>
        <v>0</v>
      </c>
      <c r="T1324" s="9">
        <f>ROUND(SUMIFS('Odoo Items'!$G$5:$G$4331,'Odoo Items'!$J$5:$J$4331,A1324,'Odoo Items'!$C$5:$C$4331,"&lt;="&amp;Cover!$C$14),2)</f>
        <v>0</v>
      </c>
      <c r="U1324">
        <f>COUNTIFS('Bank Lines'!$G$5:$G$1640,A1324,'Bank Lines'!$J$5:$J$1640,1,'Bank Lines'!$C$5:$C$1640,"&lt;="&amp;Cover!$C$14)</f>
        <v>0</v>
      </c>
      <c r="V1324">
        <f>COUNTIFS('Odoo Items'!$J$5:$J$4331,A1324,'Odoo Items'!$C$5:$C$4331,"&lt;="&amp;Cover!$C$14)</f>
        <v>0</v>
      </c>
      <c r="W1324">
        <f>IF(AND(U1324=0,V1324=0),"",IF(U1324=0,"ODOO-ONLY",IF(V1324=0,"BANK-ONLY","BOTH")))</f>
      </c>
      <c r="X1324" s="9">
        <f>IF(W1324="BOTH",ROUND(S1324-T1324,2),0)</f>
        <v>0</v>
      </c>
      <c r="Y1324" s="9">
        <f>ROUND(SUMIFS('Bank Lines'!$E$5:$E$1640,'Bank Lines'!$G$5:$G$1640,A1324,'Bank Lines'!$J$5:$J$1640,1,'Bank Lines'!$C$5:$C$1640,"&lt;="&amp;Cover!$C$15),2)</f>
        <v>0</v>
      </c>
      <c r="Z1324" s="9">
        <f>ROUND(SUMIFS('Odoo Items'!$G$5:$G$4331,'Odoo Items'!$J$5:$J$4331,A1324,'Odoo Items'!$C$5:$C$4331,"&lt;="&amp;Cover!$C$15),2)</f>
        <v>2452.36</v>
      </c>
      <c r="AA1324">
        <f>COUNTIFS('Bank Lines'!$G$5:$G$1640,A1324,'Bank Lines'!$J$5:$J$1640,1,'Bank Lines'!$C$5:$C$1640,"&lt;="&amp;Cover!$C$15)</f>
        <v>0</v>
      </c>
      <c r="AB1324">
        <f>COUNTIFS('Odoo Items'!$J$5:$J$4331,A1324,'Odoo Items'!$C$5:$C$4331,"&lt;="&amp;Cover!$C$15)</f>
        <v>1</v>
      </c>
      <c r="AC1324" t="str">
        <f>IF(AND(AA1324=0,AB1324=0),"",IF(AA1324=0,"ODOO-ONLY",IF(AB1324=0,"BANK-ONLY","BOTH")))</f>
        <v>ODOO-ONLY</v>
      </c>
      <c r="AD1324" s="9">
        <f>IF(AC1324="BOTH",ROUND(Y1324-Z1324,2),0)</f>
        <v>0</v>
      </c>
    </row>
    <row r="1325">
      <c r="A1325" t="inlineStr">
        <is>
          <t>G01321</t>
        </is>
      </c>
      <c r="B1325" t="inlineStr">
        <is>
          <t>USD</t>
        </is>
      </c>
      <c r="C1325" t="inlineStr">
        <is>
          <t>R99</t>
        </is>
      </c>
      <c r="D1325" t="inlineStr">
        <is>
          <t>UNEXP</t>
        </is>
      </c>
      <c r="E1325" t="inlineStr"/>
      <c r="G1325" t="inlineStr">
        <is>
          <t>No Odoo item, open invoice or known pattern. Escalated.</t>
        </is>
      </c>
      <c r="H1325">
        <f>COUNTIFS('Bank Lines'!$G$5:$G$1640,A1325,'Bank Lines'!$J$5:$J$1640,1)</f>
        <v>1</v>
      </c>
      <c r="I1325">
        <f>COUNTIFS('Odoo Items'!$J$5:$J$4331,A1325)</f>
        <v>0</v>
      </c>
      <c r="J1325" s="9">
        <f>ROUND(SUMIFS('Bank Lines'!$E$5:$E$1640,'Bank Lines'!$G$5:$G$1640,A1325,'Bank Lines'!$J$5:$J$1640,1),2)</f>
        <v>1200</v>
      </c>
      <c r="K1325" s="9">
        <f>ROUND(SUMIFS('Odoo Items'!$G$5:$G$4331,'Odoo Items'!$J$5:$J$4331,A1325),2)</f>
        <v>0</v>
      </c>
      <c r="L1325" s="9">
        <f>ROUND(J1325-K1325,2)</f>
        <v>1200</v>
      </c>
      <c r="M1325" s="9">
        <f>ROUND(SUMIFS('Bank Lines'!$E$5:$E$1640,'Bank Lines'!$G$5:$G$1640,A1325,'Bank Lines'!$J$5:$J$1640,1,'Bank Lines'!$C$5:$C$1640,"&lt;="&amp;Cover!$C$13),2)</f>
        <v>0</v>
      </c>
      <c r="N1325" s="9">
        <f>ROUND(SUMIFS('Odoo Items'!$G$5:$G$4331,'Odoo Items'!$J$5:$J$4331,A1325,'Odoo Items'!$C$5:$C$4331,"&lt;="&amp;Cover!$C$13),2)</f>
        <v>0</v>
      </c>
      <c r="O1325">
        <f>COUNTIFS('Bank Lines'!$G$5:$G$1640,A1325,'Bank Lines'!$J$5:$J$1640,1,'Bank Lines'!$C$5:$C$1640,"&lt;="&amp;Cover!$C$13)</f>
        <v>0</v>
      </c>
      <c r="P1325">
        <f>COUNTIFS('Odoo Items'!$J$5:$J$4331,A1325,'Odoo Items'!$C$5:$C$4331,"&lt;="&amp;Cover!$C$13)</f>
        <v>0</v>
      </c>
      <c r="Q1325">
        <f>IF(AND(O1325=0,P1325=0),"",IF(O1325=0,"ODOO-ONLY",IF(P1325=0,"BANK-ONLY","BOTH")))</f>
      </c>
      <c r="R1325" s="9">
        <f>IF(Q1325="BOTH",ROUND(M1325-N1325,2),0)</f>
        <v>0</v>
      </c>
      <c r="S1325" s="9">
        <f>ROUND(SUMIFS('Bank Lines'!$E$5:$E$1640,'Bank Lines'!$G$5:$G$1640,A1325,'Bank Lines'!$J$5:$J$1640,1,'Bank Lines'!$C$5:$C$1640,"&lt;="&amp;Cover!$C$14),2)</f>
        <v>0</v>
      </c>
      <c r="T1325" s="9">
        <f>ROUND(SUMIFS('Odoo Items'!$G$5:$G$4331,'Odoo Items'!$J$5:$J$4331,A1325,'Odoo Items'!$C$5:$C$4331,"&lt;="&amp;Cover!$C$14),2)</f>
        <v>0</v>
      </c>
      <c r="U1325">
        <f>COUNTIFS('Bank Lines'!$G$5:$G$1640,A1325,'Bank Lines'!$J$5:$J$1640,1,'Bank Lines'!$C$5:$C$1640,"&lt;="&amp;Cover!$C$14)</f>
        <v>0</v>
      </c>
      <c r="V1325">
        <f>COUNTIFS('Odoo Items'!$J$5:$J$4331,A1325,'Odoo Items'!$C$5:$C$4331,"&lt;="&amp;Cover!$C$14)</f>
        <v>0</v>
      </c>
      <c r="W1325">
        <f>IF(AND(U1325=0,V1325=0),"",IF(U1325=0,"ODOO-ONLY",IF(V1325=0,"BANK-ONLY","BOTH")))</f>
      </c>
      <c r="X1325" s="9">
        <f>IF(W1325="BOTH",ROUND(S1325-T1325,2),0)</f>
        <v>0</v>
      </c>
      <c r="Y1325" s="9">
        <f>ROUND(SUMIFS('Bank Lines'!$E$5:$E$1640,'Bank Lines'!$G$5:$G$1640,A1325,'Bank Lines'!$J$5:$J$1640,1,'Bank Lines'!$C$5:$C$1640,"&lt;="&amp;Cover!$C$15),2)</f>
        <v>1200</v>
      </c>
      <c r="Z1325" s="9">
        <f>ROUND(SUMIFS('Odoo Items'!$G$5:$G$4331,'Odoo Items'!$J$5:$J$4331,A1325,'Odoo Items'!$C$5:$C$4331,"&lt;="&amp;Cover!$C$15),2)</f>
        <v>0</v>
      </c>
      <c r="AA1325">
        <f>COUNTIFS('Bank Lines'!$G$5:$G$1640,A1325,'Bank Lines'!$J$5:$J$1640,1,'Bank Lines'!$C$5:$C$1640,"&lt;="&amp;Cover!$C$15)</f>
        <v>1</v>
      </c>
      <c r="AB1325">
        <f>COUNTIFS('Odoo Items'!$J$5:$J$4331,A1325,'Odoo Items'!$C$5:$C$4331,"&lt;="&amp;Cover!$C$15)</f>
        <v>0</v>
      </c>
      <c r="AC1325" t="str">
        <f>IF(AND(AA1325=0,AB1325=0),"",IF(AA1325=0,"ODOO-ONLY",IF(AB1325=0,"BANK-ONLY","BOTH")))</f>
        <v>BANK-ONLY</v>
      </c>
      <c r="AD1325" s="9">
        <f>IF(AC1325="BOTH",ROUND(Y1325-Z1325,2),0)</f>
        <v>0</v>
      </c>
    </row>
    <row r="1326">
      <c r="A1326" t="inlineStr">
        <is>
          <t>G01322</t>
        </is>
      </c>
      <c r="B1326" t="inlineStr">
        <is>
          <t>USD</t>
        </is>
      </c>
      <c r="C1326" t="inlineStr">
        <is>
          <t>R99</t>
        </is>
      </c>
      <c r="D1326" t="inlineStr">
        <is>
          <t>OUT</t>
        </is>
      </c>
      <c r="E1326" t="inlineStr"/>
      <c r="G1326" t="inlineStr">
        <is>
          <t>In Odoo, not yet on the bank statement at 30 Sep</t>
        </is>
      </c>
      <c r="H1326">
        <f>COUNTIFS('Bank Lines'!$G$5:$G$1640,A1326,'Bank Lines'!$J$5:$J$1640,1)</f>
        <v>0</v>
      </c>
      <c r="I1326">
        <f>COUNTIFS('Odoo Items'!$J$5:$J$4331,A1326)</f>
        <v>1</v>
      </c>
      <c r="J1326" s="9">
        <f>ROUND(SUMIFS('Bank Lines'!$E$5:$E$1640,'Bank Lines'!$G$5:$G$1640,A1326,'Bank Lines'!$J$5:$J$1640,1),2)</f>
        <v>0</v>
      </c>
      <c r="K1326" s="9">
        <f>ROUND(SUMIFS('Odoo Items'!$G$5:$G$4331,'Odoo Items'!$J$5:$J$4331,A1326),2)</f>
        <v>5000</v>
      </c>
      <c r="L1326" s="9">
        <f>ROUND(J1326-K1326,2)</f>
        <v>-5000</v>
      </c>
      <c r="M1326" s="9">
        <f>ROUND(SUMIFS('Bank Lines'!$E$5:$E$1640,'Bank Lines'!$G$5:$G$1640,A1326,'Bank Lines'!$J$5:$J$1640,1,'Bank Lines'!$C$5:$C$1640,"&lt;="&amp;Cover!$C$13),2)</f>
        <v>0</v>
      </c>
      <c r="N1326" s="9">
        <f>ROUND(SUMIFS('Odoo Items'!$G$5:$G$4331,'Odoo Items'!$J$5:$J$4331,A1326,'Odoo Items'!$C$5:$C$4331,"&lt;="&amp;Cover!$C$13),2)</f>
        <v>0</v>
      </c>
      <c r="O1326">
        <f>COUNTIFS('Bank Lines'!$G$5:$G$1640,A1326,'Bank Lines'!$J$5:$J$1640,1,'Bank Lines'!$C$5:$C$1640,"&lt;="&amp;Cover!$C$13)</f>
        <v>0</v>
      </c>
      <c r="P1326">
        <f>COUNTIFS('Odoo Items'!$J$5:$J$4331,A1326,'Odoo Items'!$C$5:$C$4331,"&lt;="&amp;Cover!$C$13)</f>
        <v>0</v>
      </c>
      <c r="Q1326">
        <f>IF(AND(O1326=0,P1326=0),"",IF(O1326=0,"ODOO-ONLY",IF(P1326=0,"BANK-ONLY","BOTH")))</f>
      </c>
      <c r="R1326" s="9">
        <f>IF(Q1326="BOTH",ROUND(M1326-N1326,2),0)</f>
        <v>0</v>
      </c>
      <c r="S1326" s="9">
        <f>ROUND(SUMIFS('Bank Lines'!$E$5:$E$1640,'Bank Lines'!$G$5:$G$1640,A1326,'Bank Lines'!$J$5:$J$1640,1,'Bank Lines'!$C$5:$C$1640,"&lt;="&amp;Cover!$C$14),2)</f>
        <v>0</v>
      </c>
      <c r="T1326" s="9">
        <f>ROUND(SUMIFS('Odoo Items'!$G$5:$G$4331,'Odoo Items'!$J$5:$J$4331,A1326,'Odoo Items'!$C$5:$C$4331,"&lt;="&amp;Cover!$C$14),2)</f>
        <v>0</v>
      </c>
      <c r="U1326">
        <f>COUNTIFS('Bank Lines'!$G$5:$G$1640,A1326,'Bank Lines'!$J$5:$J$1640,1,'Bank Lines'!$C$5:$C$1640,"&lt;="&amp;Cover!$C$14)</f>
        <v>0</v>
      </c>
      <c r="V1326">
        <f>COUNTIFS('Odoo Items'!$J$5:$J$4331,A1326,'Odoo Items'!$C$5:$C$4331,"&lt;="&amp;Cover!$C$14)</f>
        <v>0</v>
      </c>
      <c r="W1326">
        <f>IF(AND(U1326=0,V1326=0),"",IF(U1326=0,"ODOO-ONLY",IF(V1326=0,"BANK-ONLY","BOTH")))</f>
      </c>
      <c r="X1326" s="9">
        <f>IF(W1326="BOTH",ROUND(S1326-T1326,2),0)</f>
        <v>0</v>
      </c>
      <c r="Y1326" s="9">
        <f>ROUND(SUMIFS('Bank Lines'!$E$5:$E$1640,'Bank Lines'!$G$5:$G$1640,A1326,'Bank Lines'!$J$5:$J$1640,1,'Bank Lines'!$C$5:$C$1640,"&lt;="&amp;Cover!$C$15),2)</f>
        <v>0</v>
      </c>
      <c r="Z1326" s="9">
        <f>ROUND(SUMIFS('Odoo Items'!$G$5:$G$4331,'Odoo Items'!$J$5:$J$4331,A1326,'Odoo Items'!$C$5:$C$4331,"&lt;="&amp;Cover!$C$15),2)</f>
        <v>5000</v>
      </c>
      <c r="AA1326">
        <f>COUNTIFS('Bank Lines'!$G$5:$G$1640,A1326,'Bank Lines'!$J$5:$J$1640,1,'Bank Lines'!$C$5:$C$1640,"&lt;="&amp;Cover!$C$15)</f>
        <v>0</v>
      </c>
      <c r="AB1326">
        <f>COUNTIFS('Odoo Items'!$J$5:$J$4331,A1326,'Odoo Items'!$C$5:$C$4331,"&lt;="&amp;Cover!$C$15)</f>
        <v>1</v>
      </c>
      <c r="AC1326" t="str">
        <f>IF(AND(AA1326=0,AB1326=0),"",IF(AA1326=0,"ODOO-ONLY",IF(AB1326=0,"BANK-ONLY","BOTH")))</f>
        <v>ODOO-ONLY</v>
      </c>
      <c r="AD1326" s="9">
        <f>IF(AC1326="BOTH",ROUND(Y1326-Z1326,2),0)</f>
        <v>0</v>
      </c>
    </row>
  </sheetData>
  <autoFilter ref="A4:AD1326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6" customWidth="1" min="8" max="8"/>
    <col width="12" customWidth="1" min="9" max="9"/>
  </cols>
  <sheetData>
    <row r="1">
      <c r="A1" s="7" t="inlineStr">
        <is>
          <t>Bank statement balances (from the bank's statements) rolled forward from the lines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Sample build: realistic data, built to show how I'd handle this work. Not client data.</t>
        </is>
      </c>
    </row>
    <row r="4">
      <c r="A4" s="8" t="inlineStr">
        <is>
          <t>Account</t>
        </is>
      </c>
      <c r="B4" s="8" t="inlineStr">
        <is>
          <t>Currency</t>
        </is>
      </c>
      <c r="C4" s="8" t="inlineStr">
        <is>
          <t>Period start</t>
        </is>
      </c>
      <c r="D4" s="8" t="inlineStr">
        <is>
          <t>Period end</t>
        </is>
      </c>
      <c r="E4" s="8" t="inlineStr">
        <is>
          <t>Opening (statement)</t>
        </is>
      </c>
      <c r="F4" s="8" t="inlineStr">
        <is>
          <t>Closing (statement)</t>
        </is>
      </c>
      <c r="G4" s="8" t="inlineStr">
        <is>
          <t>Lines in period (counted)</t>
        </is>
      </c>
      <c r="H4" s="8" t="inlineStr">
        <is>
          <t>Opening + lines</t>
        </is>
      </c>
      <c r="I4" s="8" t="inlineStr">
        <is>
          <t>Difference</t>
        </is>
      </c>
    </row>
    <row r="5">
      <c r="A5" t="inlineStr">
        <is>
          <t>OPS</t>
        </is>
      </c>
      <c r="B5" t="inlineStr">
        <is>
          <t>AUD</t>
        </is>
      </c>
      <c r="C5" s="5" t="n">
        <v>46204</v>
      </c>
      <c r="D5" s="5" t="n">
        <v>46234</v>
      </c>
      <c r="E5" s="9" t="n">
        <v>404540.18</v>
      </c>
      <c r="F5" s="9" t="n">
        <v>359787.03</v>
      </c>
      <c r="G5" s="9">
        <f>ROUND(SUMIFS('Bank Lines'!$E$5:$E$1640,'Bank Lines'!$B$5:$B$1640,A5,'Bank Lines'!$C$5:$C$1640,"&gt;="&amp;C5,'Bank Lines'!$C$5:$C$1640,"&lt;="&amp;D5,'Bank Lines'!$J$5:$J$1640,1),2)</f>
        <v>-44753.15</v>
      </c>
      <c r="H5" s="9">
        <f>ROUND(E5+G5,2)</f>
        <v>359787.03</v>
      </c>
      <c r="I5" s="9">
        <f>ROUND(H5-F5,2)</f>
        <v>0</v>
      </c>
    </row>
    <row r="6">
      <c r="A6" t="inlineStr">
        <is>
          <t>OPS</t>
        </is>
      </c>
      <c r="B6" t="inlineStr">
        <is>
          <t>AUD</t>
        </is>
      </c>
      <c r="C6" s="5" t="n">
        <v>46235</v>
      </c>
      <c r="D6" s="5" t="n">
        <v>46265</v>
      </c>
      <c r="E6" s="9" t="n">
        <v>359787.03</v>
      </c>
      <c r="F6" s="9" t="n">
        <v>481407.98</v>
      </c>
      <c r="G6" s="9">
        <f>ROUND(SUMIFS('Bank Lines'!$E$5:$E$1640,'Bank Lines'!$B$5:$B$1640,A6,'Bank Lines'!$C$5:$C$1640,"&gt;="&amp;C6,'Bank Lines'!$C$5:$C$1640,"&lt;="&amp;D6,'Bank Lines'!$J$5:$J$1640,1),2)</f>
        <v>121620.95</v>
      </c>
      <c r="H6" s="9">
        <f>ROUND(E6+G6,2)</f>
        <v>481407.98</v>
      </c>
      <c r="I6" s="9">
        <f>ROUND(H6-F6,2)</f>
        <v>0</v>
      </c>
    </row>
    <row r="7">
      <c r="A7" t="inlineStr">
        <is>
          <t>OPS</t>
        </is>
      </c>
      <c r="B7" t="inlineStr">
        <is>
          <t>AUD</t>
        </is>
      </c>
      <c r="C7" s="5" t="n">
        <v>46266</v>
      </c>
      <c r="D7" s="5" t="n">
        <v>46295</v>
      </c>
      <c r="E7" s="9" t="n">
        <v>481407.98</v>
      </c>
      <c r="F7" s="9" t="n">
        <v>549048.87</v>
      </c>
      <c r="G7" s="9">
        <f>ROUND(SUMIFS('Bank Lines'!$E$5:$E$1640,'Bank Lines'!$B$5:$B$1640,A7,'Bank Lines'!$C$5:$C$1640,"&gt;="&amp;C7,'Bank Lines'!$C$5:$C$1640,"&lt;="&amp;D7,'Bank Lines'!$J$5:$J$1640,1),2)</f>
        <v>67640.89</v>
      </c>
      <c r="H7" s="9">
        <f>ROUND(E7+G7,2)</f>
        <v>549048.87</v>
      </c>
      <c r="I7" s="9">
        <f>ROUND(H7-F7,2)</f>
        <v>0</v>
      </c>
    </row>
    <row r="8">
      <c r="A8" t="inlineStr">
        <is>
          <t>PAY</t>
        </is>
      </c>
      <c r="B8" t="inlineStr">
        <is>
          <t>AUD</t>
        </is>
      </c>
      <c r="C8" s="5" t="n">
        <v>46204</v>
      </c>
      <c r="D8" s="5" t="n">
        <v>46234</v>
      </c>
      <c r="E8" s="9" t="n">
        <v>25000</v>
      </c>
      <c r="F8" s="9" t="n">
        <v>45418.23</v>
      </c>
      <c r="G8" s="9">
        <f>ROUND(SUMIFS('Bank Lines'!$E$5:$E$1640,'Bank Lines'!$B$5:$B$1640,A8,'Bank Lines'!$C$5:$C$1640,"&gt;="&amp;C8,'Bank Lines'!$C$5:$C$1640,"&lt;="&amp;D8,'Bank Lines'!$J$5:$J$1640,1),2)</f>
        <v>20418.23</v>
      </c>
      <c r="H8" s="9">
        <f>ROUND(E8+G8,2)</f>
        <v>45418.23</v>
      </c>
      <c r="I8" s="9">
        <f>ROUND(H8-F8,2)</f>
        <v>0</v>
      </c>
    </row>
    <row r="9">
      <c r="A9" t="inlineStr">
        <is>
          <t>PAY</t>
        </is>
      </c>
      <c r="B9" t="inlineStr">
        <is>
          <t>AUD</t>
        </is>
      </c>
      <c r="C9" s="5" t="n">
        <v>46235</v>
      </c>
      <c r="D9" s="5" t="n">
        <v>46265</v>
      </c>
      <c r="E9" s="9" t="n">
        <v>45418.23</v>
      </c>
      <c r="F9" s="9" t="n">
        <v>24980</v>
      </c>
      <c r="G9" s="9">
        <f>ROUND(SUMIFS('Bank Lines'!$E$5:$E$1640,'Bank Lines'!$B$5:$B$1640,A9,'Bank Lines'!$C$5:$C$1640,"&gt;="&amp;C9,'Bank Lines'!$C$5:$C$1640,"&lt;="&amp;D9,'Bank Lines'!$J$5:$J$1640,1),2)</f>
        <v>-20438.23</v>
      </c>
      <c r="H9" s="9">
        <f>ROUND(E9+G9,2)</f>
        <v>24980</v>
      </c>
      <c r="I9" s="9">
        <f>ROUND(H9-F9,2)</f>
        <v>0</v>
      </c>
    </row>
    <row r="10">
      <c r="A10" t="inlineStr">
        <is>
          <t>PAY</t>
        </is>
      </c>
      <c r="B10" t="inlineStr">
        <is>
          <t>AUD</t>
        </is>
      </c>
      <c r="C10" s="5" t="n">
        <v>46266</v>
      </c>
      <c r="D10" s="5" t="n">
        <v>46295</v>
      </c>
      <c r="E10" s="9" t="n">
        <v>24980</v>
      </c>
      <c r="F10" s="9" t="n">
        <v>45511.3</v>
      </c>
      <c r="G10" s="9">
        <f>ROUND(SUMIFS('Bank Lines'!$E$5:$E$1640,'Bank Lines'!$B$5:$B$1640,A10,'Bank Lines'!$C$5:$C$1640,"&gt;="&amp;C10,'Bank Lines'!$C$5:$C$1640,"&lt;="&amp;D10,'Bank Lines'!$J$5:$J$1640,1),2)</f>
        <v>20531.3</v>
      </c>
      <c r="H10" s="9">
        <f>ROUND(E10+G10,2)</f>
        <v>45511.3</v>
      </c>
      <c r="I10" s="9">
        <f>ROUND(H10-F10,2)</f>
        <v>0</v>
      </c>
    </row>
    <row r="11">
      <c r="A11" t="inlineStr">
        <is>
          <t>MER</t>
        </is>
      </c>
      <c r="B11" t="inlineStr">
        <is>
          <t>AUD</t>
        </is>
      </c>
      <c r="C11" s="5" t="n">
        <v>46204</v>
      </c>
      <c r="D11" s="5" t="n">
        <v>46234</v>
      </c>
      <c r="E11" s="9" t="n">
        <v>11182.74</v>
      </c>
      <c r="F11" s="9" t="n">
        <v>122987.04</v>
      </c>
      <c r="G11" s="9">
        <f>ROUND(SUMIFS('Bank Lines'!$E$5:$E$1640,'Bank Lines'!$B$5:$B$1640,A11,'Bank Lines'!$C$5:$C$1640,"&gt;="&amp;C11,'Bank Lines'!$C$5:$C$1640,"&lt;="&amp;D11,'Bank Lines'!$J$5:$J$1640,1),2)</f>
        <v>111804.3</v>
      </c>
      <c r="H11" s="9">
        <f>ROUND(E11+G11,2)</f>
        <v>122987.04</v>
      </c>
      <c r="I11" s="9">
        <f>ROUND(H11-F11,2)</f>
        <v>0</v>
      </c>
    </row>
    <row r="12">
      <c r="A12" t="inlineStr">
        <is>
          <t>MER</t>
        </is>
      </c>
      <c r="B12" t="inlineStr">
        <is>
          <t>AUD</t>
        </is>
      </c>
      <c r="C12" s="5" t="n">
        <v>46235</v>
      </c>
      <c r="D12" s="5" t="n">
        <v>46265</v>
      </c>
      <c r="E12" s="9" t="n">
        <v>122987.04</v>
      </c>
      <c r="F12" s="9" t="n">
        <v>189278.63</v>
      </c>
      <c r="G12" s="9">
        <f>ROUND(SUMIFS('Bank Lines'!$E$5:$E$1640,'Bank Lines'!$B$5:$B$1640,A12,'Bank Lines'!$C$5:$C$1640,"&gt;="&amp;C12,'Bank Lines'!$C$5:$C$1640,"&lt;="&amp;D12,'Bank Lines'!$J$5:$J$1640,1),2)</f>
        <v>66291.59</v>
      </c>
      <c r="H12" s="9">
        <f>ROUND(E12+G12,2)</f>
        <v>189278.63</v>
      </c>
      <c r="I12" s="9">
        <f>ROUND(H12-F12,2)</f>
        <v>0</v>
      </c>
    </row>
    <row r="13">
      <c r="A13" t="inlineStr">
        <is>
          <t>MER</t>
        </is>
      </c>
      <c r="B13" t="inlineStr">
        <is>
          <t>AUD</t>
        </is>
      </c>
      <c r="C13" s="5" t="n">
        <v>46266</v>
      </c>
      <c r="D13" s="5" t="n">
        <v>46295</v>
      </c>
      <c r="E13" s="9" t="n">
        <v>189278.63</v>
      </c>
      <c r="F13" s="9" t="n">
        <v>319969.33</v>
      </c>
      <c r="G13" s="9">
        <f>ROUND(SUMIFS('Bank Lines'!$E$5:$E$1640,'Bank Lines'!$B$5:$B$1640,A13,'Bank Lines'!$C$5:$C$1640,"&gt;="&amp;C13,'Bank Lines'!$C$5:$C$1640,"&lt;="&amp;D13,'Bank Lines'!$J$5:$J$1640,1),2)</f>
        <v>130690.7</v>
      </c>
      <c r="H13" s="9">
        <f>ROUND(E13+G13,2)</f>
        <v>319969.33</v>
      </c>
      <c r="I13" s="9">
        <f>ROUND(H13-F13,2)</f>
        <v>0</v>
      </c>
    </row>
    <row r="14">
      <c r="A14" t="inlineStr">
        <is>
          <t>USD</t>
        </is>
      </c>
      <c r="B14" t="inlineStr">
        <is>
          <t>USD</t>
        </is>
      </c>
      <c r="C14" s="5" t="n">
        <v>46204</v>
      </c>
      <c r="D14" s="5" t="n">
        <v>46234</v>
      </c>
      <c r="E14" s="9" t="n">
        <v>42180</v>
      </c>
      <c r="F14" s="9" t="n">
        <v>52722</v>
      </c>
      <c r="G14" s="9">
        <f>ROUND(SUMIFS('Bank Lines'!$E$5:$E$1640,'Bank Lines'!$B$5:$B$1640,A14,'Bank Lines'!$C$5:$C$1640,"&gt;="&amp;C14,'Bank Lines'!$C$5:$C$1640,"&lt;="&amp;D14,'Bank Lines'!$J$5:$J$1640,1),2)</f>
        <v>10542</v>
      </c>
      <c r="H14" s="9">
        <f>ROUND(E14+G14,2)</f>
        <v>52722</v>
      </c>
      <c r="I14" s="9">
        <f>ROUND(H14-F14,2)</f>
        <v>0</v>
      </c>
    </row>
    <row r="15">
      <c r="A15" t="inlineStr">
        <is>
          <t>USD</t>
        </is>
      </c>
      <c r="B15" t="inlineStr">
        <is>
          <t>USD</t>
        </is>
      </c>
      <c r="C15" s="5" t="n">
        <v>46235</v>
      </c>
      <c r="D15" s="5" t="n">
        <v>46265</v>
      </c>
      <c r="E15" s="9" t="n">
        <v>52722</v>
      </c>
      <c r="F15" s="9" t="n">
        <v>63264</v>
      </c>
      <c r="G15" s="9">
        <f>ROUND(SUMIFS('Bank Lines'!$E$5:$E$1640,'Bank Lines'!$B$5:$B$1640,A15,'Bank Lines'!$C$5:$C$1640,"&gt;="&amp;C15,'Bank Lines'!$C$5:$C$1640,"&lt;="&amp;D15,'Bank Lines'!$J$5:$J$1640,1),2)</f>
        <v>10542</v>
      </c>
      <c r="H15" s="9">
        <f>ROUND(E15+G15,2)</f>
        <v>63264</v>
      </c>
      <c r="I15" s="9">
        <f>ROUND(H15-F15,2)</f>
        <v>0</v>
      </c>
    </row>
    <row r="16">
      <c r="A16" t="inlineStr">
        <is>
          <t>USD</t>
        </is>
      </c>
      <c r="B16" t="inlineStr">
        <is>
          <t>USD</t>
        </is>
      </c>
      <c r="C16" s="5" t="n">
        <v>46266</v>
      </c>
      <c r="D16" s="5" t="n">
        <v>46295</v>
      </c>
      <c r="E16" s="9" t="n">
        <v>63264</v>
      </c>
      <c r="F16" s="9" t="n">
        <v>75006</v>
      </c>
      <c r="G16" s="9">
        <f>ROUND(SUMIFS('Bank Lines'!$E$5:$E$1640,'Bank Lines'!$B$5:$B$1640,A16,'Bank Lines'!$C$5:$C$1640,"&gt;="&amp;C16,'Bank Lines'!$C$5:$C$1640,"&lt;="&amp;D16,'Bank Lines'!$J$5:$J$1640,1),2)</f>
        <v>11742</v>
      </c>
      <c r="H16" s="9">
        <f>ROUND(E16+G16,2)</f>
        <v>75006</v>
      </c>
      <c r="I16" s="9">
        <f>ROUND(H16-F16,2)</f>
        <v>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30" customWidth="1" min="2" max="2"/>
    <col width="12" customWidth="1" min="3" max="3"/>
    <col width="16" customWidth="1" min="4" max="4"/>
    <col width="16" customWidth="1" min="5" max="5"/>
    <col width="18" customWidth="1" min="6" max="6"/>
    <col width="16" customWidth="1" min="7" max="7"/>
    <col width="12" customWidth="1" min="8" max="8"/>
  </cols>
  <sheetData>
    <row r="1">
      <c r="A1" s="7" t="inlineStr">
        <is>
          <t>Odoo trial balance, bank accounts (export) rolled forward from the journal items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8" t="inlineStr">
        <is>
          <t>Journal</t>
        </is>
      </c>
      <c r="B4" s="8" t="inlineStr">
        <is>
          <t>GL account</t>
        </is>
      </c>
      <c r="C4" s="8" t="inlineStr">
        <is>
          <t>Date</t>
        </is>
      </c>
      <c r="D4" s="8" t="inlineStr">
        <is>
          <t>Balance (TB export)</t>
        </is>
      </c>
      <c r="E4" s="8" t="inlineStr">
        <is>
          <t>Opening TB (30 Jun)</t>
        </is>
      </c>
      <c r="F4" s="8" t="inlineStr">
        <is>
          <t>Items after 30 Jun to date</t>
        </is>
      </c>
      <c r="G4" s="8" t="inlineStr">
        <is>
          <t>Opening + items</t>
        </is>
      </c>
      <c r="H4" s="8" t="inlineStr">
        <is>
          <t>Difference</t>
        </is>
      </c>
    </row>
    <row r="5">
      <c r="A5" t="inlineStr">
        <is>
          <t>OPS</t>
        </is>
      </c>
      <c r="B5" t="inlineStr">
        <is>
          <t>1110 Bank - Operating</t>
        </is>
      </c>
      <c r="C5" s="5" t="n">
        <v>46203</v>
      </c>
      <c r="D5" s="9" t="n">
        <v>412640.18</v>
      </c>
      <c r="E5" s="9">
        <f>SUMIFS($D$5:$D$20,$A$5:$A$20,A5,$C$5:$C$20,DATE(2026,6,30))</f>
        <v>412640.18</v>
      </c>
      <c r="F5" s="9">
        <f>ROUND(SUMIFS('Odoo Items'!$G$5:$G$4331,'Odoo Items'!$B$5:$B$4331,A5,'Odoo Items'!$C$5:$C$4331,"&gt;"&amp;DATE(2026,6,30),'Odoo Items'!$C$5:$C$4331,"&lt;="&amp;C5),2)</f>
        <v>0</v>
      </c>
      <c r="G5" s="9">
        <f>ROUND(E5+F5,2)</f>
        <v>412640.18</v>
      </c>
      <c r="H5" s="9">
        <f>ROUND(G5-D5,2)</f>
        <v>0</v>
      </c>
    </row>
    <row r="6">
      <c r="A6" t="inlineStr">
        <is>
          <t>OPS</t>
        </is>
      </c>
      <c r="B6" t="inlineStr">
        <is>
          <t>1110 Bank - Operating</t>
        </is>
      </c>
      <c r="C6" s="5" t="n">
        <v>46234</v>
      </c>
      <c r="D6" s="9" t="n">
        <v>328436.34</v>
      </c>
      <c r="E6" s="9">
        <f>SUMIFS($D$5:$D$20,$A$5:$A$20,A6,$C$5:$C$20,DATE(2026,6,30))</f>
        <v>412640.18</v>
      </c>
      <c r="F6" s="9">
        <f>ROUND(SUMIFS('Odoo Items'!$G$5:$G$4331,'Odoo Items'!$B$5:$B$4331,A6,'Odoo Items'!$C$5:$C$4331,"&gt;"&amp;DATE(2026,6,30),'Odoo Items'!$C$5:$C$4331,"&lt;="&amp;C6),2)</f>
        <v>-84203.84</v>
      </c>
      <c r="G6" s="9">
        <f>ROUND(E6+F6,2)</f>
        <v>328436.34</v>
      </c>
      <c r="H6" s="9">
        <f>ROUND(G6-D6,2)</f>
        <v>0</v>
      </c>
    </row>
    <row r="7">
      <c r="A7" t="inlineStr">
        <is>
          <t>OPS</t>
        </is>
      </c>
      <c r="B7" t="inlineStr">
        <is>
          <t>1110 Bank - Operating</t>
        </is>
      </c>
      <c r="C7" s="5" t="n">
        <v>46265</v>
      </c>
      <c r="D7" s="9" t="n">
        <v>355360.07</v>
      </c>
      <c r="E7" s="9">
        <f>SUMIFS($D$5:$D$20,$A$5:$A$20,A7,$C$5:$C$20,DATE(2026,6,30))</f>
        <v>412640.18</v>
      </c>
      <c r="F7" s="9">
        <f>ROUND(SUMIFS('Odoo Items'!$G$5:$G$4331,'Odoo Items'!$B$5:$B$4331,A7,'Odoo Items'!$C$5:$C$4331,"&gt;"&amp;DATE(2026,6,30),'Odoo Items'!$C$5:$C$4331,"&lt;="&amp;C7),2)</f>
        <v>-57280.11</v>
      </c>
      <c r="G7" s="9">
        <f>ROUND(E7+F7,2)</f>
        <v>355360.07</v>
      </c>
      <c r="H7" s="9">
        <f>ROUND(G7-D7,2)</f>
        <v>0</v>
      </c>
    </row>
    <row r="8">
      <c r="A8" t="inlineStr">
        <is>
          <t>OPS</t>
        </is>
      </c>
      <c r="B8" t="inlineStr">
        <is>
          <t>1110 Bank - Operating</t>
        </is>
      </c>
      <c r="C8" s="5" t="n">
        <v>46295</v>
      </c>
      <c r="D8" s="9" t="n">
        <v>465755.94</v>
      </c>
      <c r="E8" s="9">
        <f>SUMIFS($D$5:$D$20,$A$5:$A$20,A8,$C$5:$C$20,DATE(2026,6,30))</f>
        <v>412640.18</v>
      </c>
      <c r="F8" s="9">
        <f>ROUND(SUMIFS('Odoo Items'!$G$5:$G$4331,'Odoo Items'!$B$5:$B$4331,A8,'Odoo Items'!$C$5:$C$4331,"&gt;"&amp;DATE(2026,6,30),'Odoo Items'!$C$5:$C$4331,"&lt;="&amp;C8),2)</f>
        <v>53115.76</v>
      </c>
      <c r="G8" s="9">
        <f>ROUND(E8+F8,2)</f>
        <v>465755.94</v>
      </c>
      <c r="H8" s="9">
        <f>ROUND(G8-D8,2)</f>
        <v>0</v>
      </c>
    </row>
    <row r="9">
      <c r="A9" t="inlineStr">
        <is>
          <t>PAY</t>
        </is>
      </c>
      <c r="B9" t="inlineStr">
        <is>
          <t>1120 Bank - Payroll clearing</t>
        </is>
      </c>
      <c r="C9" s="5" t="n">
        <v>46203</v>
      </c>
      <c r="D9" s="9" t="n">
        <v>25000</v>
      </c>
      <c r="E9" s="9">
        <f>SUMIFS($D$5:$D$20,$A$5:$A$20,A9,$C$5:$C$20,DATE(2026,6,30))</f>
        <v>25000</v>
      </c>
      <c r="F9" s="9">
        <f>ROUND(SUMIFS('Odoo Items'!$G$5:$G$4331,'Odoo Items'!$B$5:$B$4331,A9,'Odoo Items'!$C$5:$C$4331,"&gt;"&amp;DATE(2026,6,30),'Odoo Items'!$C$5:$C$4331,"&lt;="&amp;C9),2)</f>
        <v>0</v>
      </c>
      <c r="G9" s="9">
        <f>ROUND(E9+F9,2)</f>
        <v>25000</v>
      </c>
      <c r="H9" s="9">
        <f>ROUND(G9-D9,2)</f>
        <v>0</v>
      </c>
    </row>
    <row r="10">
      <c r="A10" t="inlineStr">
        <is>
          <t>PAY</t>
        </is>
      </c>
      <c r="B10" t="inlineStr">
        <is>
          <t>1120 Bank - Payroll clearing</t>
        </is>
      </c>
      <c r="C10" s="5" t="n">
        <v>46234</v>
      </c>
      <c r="D10" s="9" t="n">
        <v>45428.23</v>
      </c>
      <c r="E10" s="9">
        <f>SUMIFS($D$5:$D$20,$A$5:$A$20,A10,$C$5:$C$20,DATE(2026,6,30))</f>
        <v>25000</v>
      </c>
      <c r="F10" s="9">
        <f>ROUND(SUMIFS('Odoo Items'!$G$5:$G$4331,'Odoo Items'!$B$5:$B$4331,A10,'Odoo Items'!$C$5:$C$4331,"&gt;"&amp;DATE(2026,6,30),'Odoo Items'!$C$5:$C$4331,"&lt;="&amp;C10),2)</f>
        <v>20428.23</v>
      </c>
      <c r="G10" s="9">
        <f>ROUND(E10+F10,2)</f>
        <v>45428.23</v>
      </c>
      <c r="H10" s="9">
        <f>ROUND(G10-D10,2)</f>
        <v>0</v>
      </c>
    </row>
    <row r="11">
      <c r="A11" t="inlineStr">
        <is>
          <t>PAY</t>
        </is>
      </c>
      <c r="B11" t="inlineStr">
        <is>
          <t>1120 Bank - Payroll clearing</t>
        </is>
      </c>
      <c r="C11" s="5" t="n">
        <v>46265</v>
      </c>
      <c r="D11" s="9" t="n">
        <v>25000</v>
      </c>
      <c r="E11" s="9">
        <f>SUMIFS($D$5:$D$20,$A$5:$A$20,A11,$C$5:$C$20,DATE(2026,6,30))</f>
        <v>25000</v>
      </c>
      <c r="F11" s="9">
        <f>ROUND(SUMIFS('Odoo Items'!$G$5:$G$4331,'Odoo Items'!$B$5:$B$4331,A11,'Odoo Items'!$C$5:$C$4331,"&gt;"&amp;DATE(2026,6,30),'Odoo Items'!$C$5:$C$4331,"&lt;="&amp;C11),2)</f>
        <v>0</v>
      </c>
      <c r="G11" s="9">
        <f>ROUND(E11+F11,2)</f>
        <v>25000</v>
      </c>
      <c r="H11" s="9">
        <f>ROUND(G11-D11,2)</f>
        <v>0</v>
      </c>
    </row>
    <row r="12">
      <c r="A12" t="inlineStr">
        <is>
          <t>PAY</t>
        </is>
      </c>
      <c r="B12" t="inlineStr">
        <is>
          <t>1120 Bank - Payroll clearing</t>
        </is>
      </c>
      <c r="C12" s="5" t="n">
        <v>46295</v>
      </c>
      <c r="D12" s="9" t="n">
        <v>25000</v>
      </c>
      <c r="E12" s="9">
        <f>SUMIFS($D$5:$D$20,$A$5:$A$20,A12,$C$5:$C$20,DATE(2026,6,30))</f>
        <v>25000</v>
      </c>
      <c r="F12" s="9">
        <f>ROUND(SUMIFS('Odoo Items'!$G$5:$G$4331,'Odoo Items'!$B$5:$B$4331,A12,'Odoo Items'!$C$5:$C$4331,"&gt;"&amp;DATE(2026,6,30),'Odoo Items'!$C$5:$C$4331,"&lt;="&amp;C12),2)</f>
        <v>0</v>
      </c>
      <c r="G12" s="9">
        <f>ROUND(E12+F12,2)</f>
        <v>25000</v>
      </c>
      <c r="H12" s="9">
        <f>ROUND(G12-D12,2)</f>
        <v>0</v>
      </c>
    </row>
    <row r="13">
      <c r="A13" t="inlineStr">
        <is>
          <t>MER</t>
        </is>
      </c>
      <c r="B13" t="inlineStr">
        <is>
          <t>1130 Bank - Merchant settlement</t>
        </is>
      </c>
      <c r="C13" s="5" t="n">
        <v>46203</v>
      </c>
      <c r="D13" s="9" t="n">
        <v>18300.55</v>
      </c>
      <c r="E13" s="9">
        <f>SUMIFS($D$5:$D$20,$A$5:$A$20,A13,$C$5:$C$20,DATE(2026,6,30))</f>
        <v>18300.55</v>
      </c>
      <c r="F13" s="9">
        <f>ROUND(SUMIFS('Odoo Items'!$G$5:$G$4331,'Odoo Items'!$B$5:$B$4331,A13,'Odoo Items'!$C$5:$C$4331,"&gt;"&amp;DATE(2026,6,30),'Odoo Items'!$C$5:$C$4331,"&lt;="&amp;C13),2)</f>
        <v>0</v>
      </c>
      <c r="G13" s="9">
        <f>ROUND(E13+F13,2)</f>
        <v>18300.55</v>
      </c>
      <c r="H13" s="9">
        <f>ROUND(G13-D13,2)</f>
        <v>0</v>
      </c>
    </row>
    <row r="14">
      <c r="A14" t="inlineStr">
        <is>
          <t>MER</t>
        </is>
      </c>
      <c r="B14" t="inlineStr">
        <is>
          <t>1130 Bank - Merchant settlement</t>
        </is>
      </c>
      <c r="C14" s="5" t="n">
        <v>46234</v>
      </c>
      <c r="D14" s="9" t="n">
        <v>131100.4</v>
      </c>
      <c r="E14" s="9">
        <f>SUMIFS($D$5:$D$20,$A$5:$A$20,A14,$C$5:$C$20,DATE(2026,6,30))</f>
        <v>18300.55</v>
      </c>
      <c r="F14" s="9">
        <f>ROUND(SUMIFS('Odoo Items'!$G$5:$G$4331,'Odoo Items'!$B$5:$B$4331,A14,'Odoo Items'!$C$5:$C$4331,"&gt;"&amp;DATE(2026,6,30),'Odoo Items'!$C$5:$C$4331,"&lt;="&amp;C14),2)</f>
        <v>112799.85</v>
      </c>
      <c r="G14" s="9">
        <f>ROUND(E14+F14,2)</f>
        <v>131100.4</v>
      </c>
      <c r="H14" s="9">
        <f>ROUND(G14-D14,2)</f>
        <v>0</v>
      </c>
    </row>
    <row r="15">
      <c r="A15" t="inlineStr">
        <is>
          <t>MER</t>
        </is>
      </c>
      <c r="B15" t="inlineStr">
        <is>
          <t>1130 Bank - Merchant settlement</t>
        </is>
      </c>
      <c r="C15" s="5" t="n">
        <v>46265</v>
      </c>
      <c r="D15" s="9" t="n">
        <v>202048</v>
      </c>
      <c r="E15" s="9">
        <f>SUMIFS($D$5:$D$20,$A$5:$A$20,A15,$C$5:$C$20,DATE(2026,6,30))</f>
        <v>18300.55</v>
      </c>
      <c r="F15" s="9">
        <f>ROUND(SUMIFS('Odoo Items'!$G$5:$G$4331,'Odoo Items'!$B$5:$B$4331,A15,'Odoo Items'!$C$5:$C$4331,"&gt;"&amp;DATE(2026,6,30),'Odoo Items'!$C$5:$C$4331,"&lt;="&amp;C15),2)</f>
        <v>183747.45</v>
      </c>
      <c r="G15" s="9">
        <f>ROUND(E15+F15,2)</f>
        <v>202048</v>
      </c>
      <c r="H15" s="9">
        <f>ROUND(G15-D15,2)</f>
        <v>0</v>
      </c>
    </row>
    <row r="16">
      <c r="A16" t="inlineStr">
        <is>
          <t>MER</t>
        </is>
      </c>
      <c r="B16" t="inlineStr">
        <is>
          <t>1130 Bank - Merchant settlement</t>
        </is>
      </c>
      <c r="C16" s="5" t="n">
        <v>46295</v>
      </c>
      <c r="D16" s="9" t="n">
        <v>336243.02</v>
      </c>
      <c r="E16" s="9">
        <f>SUMIFS($D$5:$D$20,$A$5:$A$20,A16,$C$5:$C$20,DATE(2026,6,30))</f>
        <v>18300.55</v>
      </c>
      <c r="F16" s="9">
        <f>ROUND(SUMIFS('Odoo Items'!$G$5:$G$4331,'Odoo Items'!$B$5:$B$4331,A16,'Odoo Items'!$C$5:$C$4331,"&gt;"&amp;DATE(2026,6,30),'Odoo Items'!$C$5:$C$4331,"&lt;="&amp;C16),2)</f>
        <v>317942.47</v>
      </c>
      <c r="G16" s="9">
        <f>ROUND(E16+F16,2)</f>
        <v>336243.02</v>
      </c>
      <c r="H16" s="9">
        <f>ROUND(G16-D16,2)</f>
        <v>0</v>
      </c>
    </row>
    <row r="17">
      <c r="A17" t="inlineStr">
        <is>
          <t>USD</t>
        </is>
      </c>
      <c r="B17" t="inlineStr">
        <is>
          <t>1140 Bank - USD</t>
        </is>
      </c>
      <c r="C17" s="5" t="n">
        <v>46203</v>
      </c>
      <c r="D17" s="9" t="n">
        <v>42180</v>
      </c>
      <c r="E17" s="9">
        <f>SUMIFS($D$5:$D$20,$A$5:$A$20,A17,$C$5:$C$20,DATE(2026,6,30))</f>
        <v>42180</v>
      </c>
      <c r="F17" s="9">
        <f>ROUND(SUMIFS('Odoo Items'!$G$5:$G$4331,'Odoo Items'!$B$5:$B$4331,A17,'Odoo Items'!$C$5:$C$4331,"&gt;"&amp;DATE(2026,6,30),'Odoo Items'!$C$5:$C$4331,"&lt;="&amp;C17),2)</f>
        <v>0</v>
      </c>
      <c r="G17" s="9">
        <f>ROUND(E17+F17,2)</f>
        <v>42180</v>
      </c>
      <c r="H17" s="9">
        <f>ROUND(G17-D17,2)</f>
        <v>0</v>
      </c>
    </row>
    <row r="18">
      <c r="A18" t="inlineStr">
        <is>
          <t>USD</t>
        </is>
      </c>
      <c r="B18" t="inlineStr">
        <is>
          <t>1140 Bank - USD</t>
        </is>
      </c>
      <c r="C18" s="5" t="n">
        <v>46234</v>
      </c>
      <c r="D18" s="9" t="n">
        <v>52800</v>
      </c>
      <c r="E18" s="9">
        <f>SUMIFS($D$5:$D$20,$A$5:$A$20,A18,$C$5:$C$20,DATE(2026,6,30))</f>
        <v>42180</v>
      </c>
      <c r="F18" s="9">
        <f>ROUND(SUMIFS('Odoo Items'!$G$5:$G$4331,'Odoo Items'!$B$5:$B$4331,A18,'Odoo Items'!$C$5:$C$4331,"&gt;"&amp;DATE(2026,6,30),'Odoo Items'!$C$5:$C$4331,"&lt;="&amp;C18),2)</f>
        <v>10620</v>
      </c>
      <c r="G18" s="9">
        <f>ROUND(E18+F18,2)</f>
        <v>52800</v>
      </c>
      <c r="H18" s="9">
        <f>ROUND(G18-D18,2)</f>
        <v>0</v>
      </c>
    </row>
    <row r="19">
      <c r="A19" t="inlineStr">
        <is>
          <t>USD</t>
        </is>
      </c>
      <c r="B19" t="inlineStr">
        <is>
          <t>1140 Bank - USD</t>
        </is>
      </c>
      <c r="C19" s="5" t="n">
        <v>46265</v>
      </c>
      <c r="D19" s="9" t="n">
        <v>63420</v>
      </c>
      <c r="E19" s="9">
        <f>SUMIFS($D$5:$D$20,$A$5:$A$20,A19,$C$5:$C$20,DATE(2026,6,30))</f>
        <v>42180</v>
      </c>
      <c r="F19" s="9">
        <f>ROUND(SUMIFS('Odoo Items'!$G$5:$G$4331,'Odoo Items'!$B$5:$B$4331,A19,'Odoo Items'!$C$5:$C$4331,"&gt;"&amp;DATE(2026,6,30),'Odoo Items'!$C$5:$C$4331,"&lt;="&amp;C19),2)</f>
        <v>21240</v>
      </c>
      <c r="G19" s="9">
        <f>ROUND(E19+F19,2)</f>
        <v>63420</v>
      </c>
      <c r="H19" s="9">
        <f>ROUND(G19-D19,2)</f>
        <v>0</v>
      </c>
    </row>
    <row r="20">
      <c r="A20" t="inlineStr">
        <is>
          <t>USD</t>
        </is>
      </c>
      <c r="B20" t="inlineStr">
        <is>
          <t>1140 Bank - USD</t>
        </is>
      </c>
      <c r="C20" s="5" t="n">
        <v>46295</v>
      </c>
      <c r="D20" s="9" t="n">
        <v>79040</v>
      </c>
      <c r="E20" s="9">
        <f>SUMIFS($D$5:$D$20,$A$5:$A$20,A20,$C$5:$C$20,DATE(2026,6,30))</f>
        <v>42180</v>
      </c>
      <c r="F20" s="9">
        <f>ROUND(SUMIFS('Odoo Items'!$G$5:$G$4331,'Odoo Items'!$B$5:$B$4331,A20,'Odoo Items'!$C$5:$C$4331,"&gt;"&amp;DATE(2026,6,30),'Odoo Items'!$C$5:$C$4331,"&lt;="&amp;C20),2)</f>
        <v>36860</v>
      </c>
      <c r="G20" s="9">
        <f>ROUND(E20+F20,2)</f>
        <v>79040</v>
      </c>
      <c r="H20" s="9">
        <f>ROUND(G20-D20,2)</f>
        <v>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2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5" customWidth="1" min="3" max="3"/>
    <col width="9" customWidth="1" min="4" max="4"/>
    <col width="10" customWidth="1" min="5" max="5"/>
  </cols>
  <sheetData>
    <row r="1">
      <c r="A1" s="7" t="inlineStr">
        <is>
          <t>Allocations of bank lines not yet in Odoo to open invoices and bills (match.py, R03 and R11)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8" t="inlineStr">
        <is>
          <t>Group</t>
        </is>
      </c>
      <c r="B4" s="8" t="inlineStr">
        <is>
          <t>Invoice / bill</t>
        </is>
      </c>
      <c r="C4" s="8" t="inlineStr">
        <is>
          <t>Amount allocated</t>
        </is>
      </c>
      <c r="D4" s="8" t="inlineStr">
        <is>
          <t>Account</t>
        </is>
      </c>
      <c r="E4" s="8" t="inlineStr">
        <is>
          <t>Reason</t>
        </is>
      </c>
    </row>
    <row r="5">
      <c r="A5" t="inlineStr">
        <is>
          <t>G00084</t>
        </is>
      </c>
      <c r="B5" t="inlineStr">
        <is>
          <t>INV/2026/01417</t>
        </is>
      </c>
      <c r="C5" s="9" t="n">
        <v>145.49</v>
      </c>
      <c r="D5" t="str">
        <f>INDEX('Match Groups'!$B$5:$B$1326,MATCH(A5,'Match Groups'!$A$5:$A$1326,0))</f>
        <v>OPS</v>
      </c>
      <c r="E5" t="str">
        <f>INDEX('Match Groups'!$D$5:$D$1326,MATCH(A5,'Match Groups'!$A$5:$A$1326,0))</f>
        <v>REG</v>
      </c>
    </row>
    <row r="6">
      <c r="A6" t="inlineStr">
        <is>
          <t>G00084</t>
        </is>
      </c>
      <c r="B6" t="inlineStr">
        <is>
          <t>INV/2026/01418</t>
        </is>
      </c>
      <c r="C6" s="9" t="n">
        <v>193.99</v>
      </c>
      <c r="D6" t="str">
        <f>INDEX('Match Groups'!$B$5:$B$1326,MATCH(A6,'Match Groups'!$A$5:$A$1326,0))</f>
        <v>OPS</v>
      </c>
      <c r="E6" t="str">
        <f>INDEX('Match Groups'!$D$5:$D$1326,MATCH(A6,'Match Groups'!$A$5:$A$1326,0))</f>
        <v>REG</v>
      </c>
    </row>
    <row r="7">
      <c r="A7" t="inlineStr">
        <is>
          <t>G00084</t>
        </is>
      </c>
      <c r="B7" t="inlineStr">
        <is>
          <t>INV/2026/01441</t>
        </is>
      </c>
      <c r="C7" s="9" t="n">
        <v>145.49</v>
      </c>
      <c r="D7" t="str">
        <f>INDEX('Match Groups'!$B$5:$B$1326,MATCH(A7,'Match Groups'!$A$5:$A$1326,0))</f>
        <v>OPS</v>
      </c>
      <c r="E7" t="str">
        <f>INDEX('Match Groups'!$D$5:$D$1326,MATCH(A7,'Match Groups'!$A$5:$A$1326,0))</f>
        <v>REG</v>
      </c>
    </row>
    <row r="8">
      <c r="A8" t="inlineStr">
        <is>
          <t>G00084</t>
        </is>
      </c>
      <c r="B8" t="inlineStr">
        <is>
          <t>INV/2026/01442</t>
        </is>
      </c>
      <c r="C8" s="9" t="n">
        <v>96.98999999999999</v>
      </c>
      <c r="D8" t="str">
        <f>INDEX('Match Groups'!$B$5:$B$1326,MATCH(A8,'Match Groups'!$A$5:$A$1326,0))</f>
        <v>OPS</v>
      </c>
      <c r="E8" t="str">
        <f>INDEX('Match Groups'!$D$5:$D$1326,MATCH(A8,'Match Groups'!$A$5:$A$1326,0))</f>
        <v>REG</v>
      </c>
    </row>
    <row r="9">
      <c r="A9" t="inlineStr">
        <is>
          <t>G00084</t>
        </is>
      </c>
      <c r="B9" t="inlineStr">
        <is>
          <t>INV/2026/01443</t>
        </is>
      </c>
      <c r="C9" s="9" t="n">
        <v>96.98999999999999</v>
      </c>
      <c r="D9" t="str">
        <f>INDEX('Match Groups'!$B$5:$B$1326,MATCH(A9,'Match Groups'!$A$5:$A$1326,0))</f>
        <v>OPS</v>
      </c>
      <c r="E9" t="str">
        <f>INDEX('Match Groups'!$D$5:$D$1326,MATCH(A9,'Match Groups'!$A$5:$A$1326,0))</f>
        <v>REG</v>
      </c>
    </row>
    <row r="10">
      <c r="A10" t="inlineStr">
        <is>
          <t>G00084</t>
        </is>
      </c>
      <c r="B10" t="inlineStr">
        <is>
          <t>INV/2026/01491</t>
        </is>
      </c>
      <c r="C10" s="9" t="n">
        <v>290.98</v>
      </c>
      <c r="D10" t="str">
        <f>INDEX('Match Groups'!$B$5:$B$1326,MATCH(A10,'Match Groups'!$A$5:$A$1326,0))</f>
        <v>OPS</v>
      </c>
      <c r="E10" t="str">
        <f>INDEX('Match Groups'!$D$5:$D$1326,MATCH(A10,'Match Groups'!$A$5:$A$1326,0))</f>
        <v>REG</v>
      </c>
    </row>
    <row r="11">
      <c r="A11" t="inlineStr">
        <is>
          <t>G00088</t>
        </is>
      </c>
      <c r="B11" t="inlineStr">
        <is>
          <t>INV/2026/01519</t>
        </is>
      </c>
      <c r="C11" s="9" t="n">
        <v>193.99</v>
      </c>
      <c r="D11" t="str">
        <f>INDEX('Match Groups'!$B$5:$B$1326,MATCH(A11,'Match Groups'!$A$5:$A$1326,0))</f>
        <v>OPS</v>
      </c>
      <c r="E11" t="str">
        <f>INDEX('Match Groups'!$D$5:$D$1326,MATCH(A11,'Match Groups'!$A$5:$A$1326,0))</f>
        <v>REG</v>
      </c>
    </row>
    <row r="12">
      <c r="A12" t="inlineStr">
        <is>
          <t>G00088</t>
        </is>
      </c>
      <c r="B12" t="inlineStr">
        <is>
          <t>INV/2026/01520</t>
        </is>
      </c>
      <c r="C12" s="9" t="n">
        <v>96.98999999999999</v>
      </c>
      <c r="D12" t="str">
        <f>INDEX('Match Groups'!$B$5:$B$1326,MATCH(A12,'Match Groups'!$A$5:$A$1326,0))</f>
        <v>OPS</v>
      </c>
      <c r="E12" t="str">
        <f>INDEX('Match Groups'!$D$5:$D$1326,MATCH(A12,'Match Groups'!$A$5:$A$1326,0))</f>
        <v>REG</v>
      </c>
    </row>
    <row r="13">
      <c r="A13" t="inlineStr">
        <is>
          <t>G00089</t>
        </is>
      </c>
      <c r="B13" t="inlineStr">
        <is>
          <t>INV/2026/01414</t>
        </is>
      </c>
      <c r="C13" s="9" t="n">
        <v>96.98999999999999</v>
      </c>
      <c r="D13" t="str">
        <f>INDEX('Match Groups'!$B$5:$B$1326,MATCH(A13,'Match Groups'!$A$5:$A$1326,0))</f>
        <v>OPS</v>
      </c>
      <c r="E13" t="str">
        <f>INDEX('Match Groups'!$D$5:$D$1326,MATCH(A13,'Match Groups'!$A$5:$A$1326,0))</f>
        <v>REG</v>
      </c>
    </row>
    <row r="14">
      <c r="A14" t="inlineStr">
        <is>
          <t>G00089</t>
        </is>
      </c>
      <c r="B14" t="inlineStr">
        <is>
          <t>INV/2026/01415</t>
        </is>
      </c>
      <c r="C14" s="9" t="n">
        <v>96.98999999999999</v>
      </c>
      <c r="D14" t="str">
        <f>INDEX('Match Groups'!$B$5:$B$1326,MATCH(A14,'Match Groups'!$A$5:$A$1326,0))</f>
        <v>OPS</v>
      </c>
      <c r="E14" t="str">
        <f>INDEX('Match Groups'!$D$5:$D$1326,MATCH(A14,'Match Groups'!$A$5:$A$1326,0))</f>
        <v>REG</v>
      </c>
    </row>
    <row r="15">
      <c r="A15" t="inlineStr">
        <is>
          <t>G00095</t>
        </is>
      </c>
      <c r="B15" t="inlineStr">
        <is>
          <t>INV/2026/01517</t>
        </is>
      </c>
      <c r="C15" s="9" t="n">
        <v>96.98999999999999</v>
      </c>
      <c r="D15" t="str">
        <f>INDEX('Match Groups'!$B$5:$B$1326,MATCH(A15,'Match Groups'!$A$5:$A$1326,0))</f>
        <v>OPS</v>
      </c>
      <c r="E15" t="str">
        <f>INDEX('Match Groups'!$D$5:$D$1326,MATCH(A15,'Match Groups'!$A$5:$A$1326,0))</f>
        <v>REG</v>
      </c>
    </row>
    <row r="16">
      <c r="A16" t="inlineStr">
        <is>
          <t>G00095</t>
        </is>
      </c>
      <c r="B16" t="inlineStr">
        <is>
          <t>INV/2026/01518</t>
        </is>
      </c>
      <c r="C16" s="9" t="n">
        <v>242.49</v>
      </c>
      <c r="D16" t="str">
        <f>INDEX('Match Groups'!$B$5:$B$1326,MATCH(A16,'Match Groups'!$A$5:$A$1326,0))</f>
        <v>OPS</v>
      </c>
      <c r="E16" t="str">
        <f>INDEX('Match Groups'!$D$5:$D$1326,MATCH(A16,'Match Groups'!$A$5:$A$1326,0))</f>
        <v>REG</v>
      </c>
    </row>
    <row r="17">
      <c r="A17" t="inlineStr">
        <is>
          <t>G00095</t>
        </is>
      </c>
      <c r="B17" t="inlineStr">
        <is>
          <t>INV/2026/01537</t>
        </is>
      </c>
      <c r="C17" s="9" t="n">
        <v>155.19</v>
      </c>
      <c r="D17" t="str">
        <f>INDEX('Match Groups'!$B$5:$B$1326,MATCH(A17,'Match Groups'!$A$5:$A$1326,0))</f>
        <v>OPS</v>
      </c>
      <c r="E17" t="str">
        <f>INDEX('Match Groups'!$D$5:$D$1326,MATCH(A17,'Match Groups'!$A$5:$A$1326,0))</f>
        <v>REG</v>
      </c>
    </row>
    <row r="18">
      <c r="A18" t="inlineStr">
        <is>
          <t>G00107</t>
        </is>
      </c>
      <c r="B18" t="inlineStr">
        <is>
          <t>INV/2026/01607</t>
        </is>
      </c>
      <c r="C18" s="9" t="n">
        <v>193.99</v>
      </c>
      <c r="D18" t="str">
        <f>INDEX('Match Groups'!$B$5:$B$1326,MATCH(A18,'Match Groups'!$A$5:$A$1326,0))</f>
        <v>OPS</v>
      </c>
      <c r="E18" t="str">
        <f>INDEX('Match Groups'!$D$5:$D$1326,MATCH(A18,'Match Groups'!$A$5:$A$1326,0))</f>
        <v>REG</v>
      </c>
    </row>
    <row r="19">
      <c r="A19" t="inlineStr">
        <is>
          <t>G00107</t>
        </is>
      </c>
      <c r="B19" t="inlineStr">
        <is>
          <t>INV/2026/01628</t>
        </is>
      </c>
      <c r="C19" s="9" t="n">
        <v>417.98</v>
      </c>
      <c r="D19" t="str">
        <f>INDEX('Match Groups'!$B$5:$B$1326,MATCH(A19,'Match Groups'!$A$5:$A$1326,0))</f>
        <v>OPS</v>
      </c>
      <c r="E19" t="str">
        <f>INDEX('Match Groups'!$D$5:$D$1326,MATCH(A19,'Match Groups'!$A$5:$A$1326,0))</f>
        <v>REG</v>
      </c>
    </row>
    <row r="20">
      <c r="A20" t="inlineStr">
        <is>
          <t>G00107</t>
        </is>
      </c>
      <c r="B20" t="inlineStr">
        <is>
          <t>INV/2026/01629</t>
        </is>
      </c>
      <c r="C20" s="9" t="n">
        <v>387.98</v>
      </c>
      <c r="D20" t="str">
        <f>INDEX('Match Groups'!$B$5:$B$1326,MATCH(A20,'Match Groups'!$A$5:$A$1326,0))</f>
        <v>OPS</v>
      </c>
      <c r="E20" t="str">
        <f>INDEX('Match Groups'!$D$5:$D$1326,MATCH(A20,'Match Groups'!$A$5:$A$1326,0))</f>
        <v>REG</v>
      </c>
    </row>
    <row r="21">
      <c r="A21" t="inlineStr">
        <is>
          <t>G00107</t>
        </is>
      </c>
      <c r="B21" t="inlineStr">
        <is>
          <t>INV/2026/01630</t>
        </is>
      </c>
      <c r="C21" s="9" t="n">
        <v>193.99</v>
      </c>
      <c r="D21" t="str">
        <f>INDEX('Match Groups'!$B$5:$B$1326,MATCH(A21,'Match Groups'!$A$5:$A$1326,0))</f>
        <v>OPS</v>
      </c>
      <c r="E21" t="str">
        <f>INDEX('Match Groups'!$D$5:$D$1326,MATCH(A21,'Match Groups'!$A$5:$A$1326,0))</f>
        <v>REG</v>
      </c>
    </row>
    <row r="22">
      <c r="A22" t="inlineStr">
        <is>
          <t>G00110</t>
        </is>
      </c>
      <c r="B22" t="inlineStr">
        <is>
          <t>INV/2026/01591</t>
        </is>
      </c>
      <c r="C22" s="9" t="n">
        <v>96.98999999999999</v>
      </c>
      <c r="D22" t="str">
        <f>INDEX('Match Groups'!$B$5:$B$1326,MATCH(A22,'Match Groups'!$A$5:$A$1326,0))</f>
        <v>OPS</v>
      </c>
      <c r="E22" t="str">
        <f>INDEX('Match Groups'!$D$5:$D$1326,MATCH(A22,'Match Groups'!$A$5:$A$1326,0))</f>
        <v>REG</v>
      </c>
    </row>
    <row r="23">
      <c r="A23" t="inlineStr">
        <is>
          <t>G00110</t>
        </is>
      </c>
      <c r="B23" t="inlineStr">
        <is>
          <t>INV/2026/01618</t>
        </is>
      </c>
      <c r="C23" s="9" t="n">
        <v>417.98</v>
      </c>
      <c r="D23" t="str">
        <f>INDEX('Match Groups'!$B$5:$B$1326,MATCH(A23,'Match Groups'!$A$5:$A$1326,0))</f>
        <v>OPS</v>
      </c>
      <c r="E23" t="str">
        <f>INDEX('Match Groups'!$D$5:$D$1326,MATCH(A23,'Match Groups'!$A$5:$A$1326,0))</f>
        <v>REG</v>
      </c>
    </row>
    <row r="24">
      <c r="A24" t="inlineStr">
        <is>
          <t>G00110</t>
        </is>
      </c>
      <c r="B24" t="inlineStr">
        <is>
          <t>INV/2026/01619</t>
        </is>
      </c>
      <c r="C24" s="9" t="n">
        <v>96.98999999999999</v>
      </c>
      <c r="D24" t="str">
        <f>INDEX('Match Groups'!$B$5:$B$1326,MATCH(A24,'Match Groups'!$A$5:$A$1326,0))</f>
        <v>OPS</v>
      </c>
      <c r="E24" t="str">
        <f>INDEX('Match Groups'!$D$5:$D$1326,MATCH(A24,'Match Groups'!$A$5:$A$1326,0))</f>
        <v>REG</v>
      </c>
    </row>
    <row r="25">
      <c r="A25" t="inlineStr">
        <is>
          <t>G00110</t>
        </is>
      </c>
      <c r="B25" t="inlineStr">
        <is>
          <t>INV/2026/01667</t>
        </is>
      </c>
      <c r="C25" s="9" t="n">
        <v>272.49</v>
      </c>
      <c r="D25" t="str">
        <f>INDEX('Match Groups'!$B$5:$B$1326,MATCH(A25,'Match Groups'!$A$5:$A$1326,0))</f>
        <v>OPS</v>
      </c>
      <c r="E25" t="str">
        <f>INDEX('Match Groups'!$D$5:$D$1326,MATCH(A25,'Match Groups'!$A$5:$A$1326,0))</f>
        <v>REG</v>
      </c>
    </row>
    <row r="26">
      <c r="A26" t="inlineStr">
        <is>
          <t>G00128</t>
        </is>
      </c>
      <c r="B26" t="inlineStr">
        <is>
          <t>INV/2026/01515</t>
        </is>
      </c>
      <c r="C26" s="9" t="n">
        <v>387.98</v>
      </c>
      <c r="D26" t="str">
        <f>INDEX('Match Groups'!$B$5:$B$1326,MATCH(A26,'Match Groups'!$A$5:$A$1326,0))</f>
        <v>OPS</v>
      </c>
      <c r="E26" t="str">
        <f>INDEX('Match Groups'!$D$5:$D$1326,MATCH(A26,'Match Groups'!$A$5:$A$1326,0))</f>
        <v>REG</v>
      </c>
    </row>
    <row r="27">
      <c r="A27" t="inlineStr">
        <is>
          <t>G00128</t>
        </is>
      </c>
      <c r="B27" t="inlineStr">
        <is>
          <t>INV/2026/01534</t>
        </is>
      </c>
      <c r="C27" s="9" t="n">
        <v>193.99</v>
      </c>
      <c r="D27" t="str">
        <f>INDEX('Match Groups'!$B$5:$B$1326,MATCH(A27,'Match Groups'!$A$5:$A$1326,0))</f>
        <v>OPS</v>
      </c>
      <c r="E27" t="str">
        <f>INDEX('Match Groups'!$D$5:$D$1326,MATCH(A27,'Match Groups'!$A$5:$A$1326,0))</f>
        <v>REG</v>
      </c>
    </row>
    <row r="28">
      <c r="A28" t="inlineStr">
        <is>
          <t>G00137</t>
        </is>
      </c>
      <c r="B28" t="inlineStr">
        <is>
          <t>INV/2026/01567</t>
        </is>
      </c>
      <c r="C28" s="9" t="n">
        <v>96.98999999999999</v>
      </c>
      <c r="D28" t="str">
        <f>INDEX('Match Groups'!$B$5:$B$1326,MATCH(A28,'Match Groups'!$A$5:$A$1326,0))</f>
        <v>OPS</v>
      </c>
      <c r="E28" t="str">
        <f>INDEX('Match Groups'!$D$5:$D$1326,MATCH(A28,'Match Groups'!$A$5:$A$1326,0))</f>
        <v>REG</v>
      </c>
    </row>
    <row r="29">
      <c r="A29" t="inlineStr">
        <is>
          <t>G00137</t>
        </is>
      </c>
      <c r="B29" t="inlineStr">
        <is>
          <t>INV/2026/01568</t>
        </is>
      </c>
      <c r="C29" s="9" t="n">
        <v>96.98999999999999</v>
      </c>
      <c r="D29" t="str">
        <f>INDEX('Match Groups'!$B$5:$B$1326,MATCH(A29,'Match Groups'!$A$5:$A$1326,0))</f>
        <v>OPS</v>
      </c>
      <c r="E29" t="str">
        <f>INDEX('Match Groups'!$D$5:$D$1326,MATCH(A29,'Match Groups'!$A$5:$A$1326,0))</f>
        <v>REG</v>
      </c>
    </row>
    <row r="30">
      <c r="A30" t="inlineStr">
        <is>
          <t>G00137</t>
        </is>
      </c>
      <c r="B30" t="inlineStr">
        <is>
          <t>INV/2026/01594</t>
        </is>
      </c>
      <c r="C30" s="9" t="n">
        <v>320.98</v>
      </c>
      <c r="D30" t="str">
        <f>INDEX('Match Groups'!$B$5:$B$1326,MATCH(A30,'Match Groups'!$A$5:$A$1326,0))</f>
        <v>OPS</v>
      </c>
      <c r="E30" t="str">
        <f>INDEX('Match Groups'!$D$5:$D$1326,MATCH(A30,'Match Groups'!$A$5:$A$1326,0))</f>
        <v>REG</v>
      </c>
    </row>
    <row r="31">
      <c r="A31" t="inlineStr">
        <is>
          <t>G00137</t>
        </is>
      </c>
      <c r="B31" t="inlineStr">
        <is>
          <t>INV/2026/01595</t>
        </is>
      </c>
      <c r="C31" s="9" t="n">
        <v>203.69</v>
      </c>
      <c r="D31" t="str">
        <f>INDEX('Match Groups'!$B$5:$B$1326,MATCH(A31,'Match Groups'!$A$5:$A$1326,0))</f>
        <v>OPS</v>
      </c>
      <c r="E31" t="str">
        <f>INDEX('Match Groups'!$D$5:$D$1326,MATCH(A31,'Match Groups'!$A$5:$A$1326,0))</f>
        <v>REG</v>
      </c>
    </row>
    <row r="32">
      <c r="A32" t="inlineStr">
        <is>
          <t>G00137</t>
        </is>
      </c>
      <c r="B32" t="inlineStr">
        <is>
          <t>INV/2026/01596</t>
        </is>
      </c>
      <c r="C32" s="9" t="n">
        <v>145.49</v>
      </c>
      <c r="D32" t="str">
        <f>INDEX('Match Groups'!$B$5:$B$1326,MATCH(A32,'Match Groups'!$A$5:$A$1326,0))</f>
        <v>OPS</v>
      </c>
      <c r="E32" t="str">
        <f>INDEX('Match Groups'!$D$5:$D$1326,MATCH(A32,'Match Groups'!$A$5:$A$1326,0))</f>
        <v>REG</v>
      </c>
    </row>
    <row r="33">
      <c r="A33" t="inlineStr">
        <is>
          <t>G00137</t>
        </is>
      </c>
      <c r="B33" t="inlineStr">
        <is>
          <t>INV/2026/01620</t>
        </is>
      </c>
      <c r="C33" s="9" t="n">
        <v>193.99</v>
      </c>
      <c r="D33" t="str">
        <f>INDEX('Match Groups'!$B$5:$B$1326,MATCH(A33,'Match Groups'!$A$5:$A$1326,0))</f>
        <v>OPS</v>
      </c>
      <c r="E33" t="str">
        <f>INDEX('Match Groups'!$D$5:$D$1326,MATCH(A33,'Match Groups'!$A$5:$A$1326,0))</f>
        <v>REG</v>
      </c>
    </row>
    <row r="34">
      <c r="A34" t="inlineStr">
        <is>
          <t>G00138</t>
        </is>
      </c>
      <c r="B34" t="inlineStr">
        <is>
          <t>INV/2026/01598</t>
        </is>
      </c>
      <c r="C34" s="9" t="n">
        <v>155.19</v>
      </c>
      <c r="D34" t="str">
        <f>INDEX('Match Groups'!$B$5:$B$1326,MATCH(A34,'Match Groups'!$A$5:$A$1326,0))</f>
        <v>OPS</v>
      </c>
      <c r="E34" t="str">
        <f>INDEX('Match Groups'!$D$5:$D$1326,MATCH(A34,'Match Groups'!$A$5:$A$1326,0))</f>
        <v>REG</v>
      </c>
    </row>
    <row r="35">
      <c r="A35" t="inlineStr">
        <is>
          <t>G00138</t>
        </is>
      </c>
      <c r="B35" t="inlineStr">
        <is>
          <t>INV/2026/01621</t>
        </is>
      </c>
      <c r="C35" s="9" t="n">
        <v>320.98</v>
      </c>
      <c r="D35" t="str">
        <f>INDEX('Match Groups'!$B$5:$B$1326,MATCH(A35,'Match Groups'!$A$5:$A$1326,0))</f>
        <v>OPS</v>
      </c>
      <c r="E35" t="str">
        <f>INDEX('Match Groups'!$D$5:$D$1326,MATCH(A35,'Match Groups'!$A$5:$A$1326,0))</f>
        <v>REG</v>
      </c>
    </row>
    <row r="36">
      <c r="A36" t="inlineStr">
        <is>
          <t>G00138</t>
        </is>
      </c>
      <c r="B36" t="inlineStr">
        <is>
          <t>INV/2026/01649</t>
        </is>
      </c>
      <c r="C36" s="9" t="n">
        <v>145.49</v>
      </c>
      <c r="D36" t="str">
        <f>INDEX('Match Groups'!$B$5:$B$1326,MATCH(A36,'Match Groups'!$A$5:$A$1326,0))</f>
        <v>OPS</v>
      </c>
      <c r="E36" t="str">
        <f>INDEX('Match Groups'!$D$5:$D$1326,MATCH(A36,'Match Groups'!$A$5:$A$1326,0))</f>
        <v>REG</v>
      </c>
    </row>
    <row r="37">
      <c r="A37" t="inlineStr">
        <is>
          <t>G00138</t>
        </is>
      </c>
      <c r="B37" t="inlineStr">
        <is>
          <t>INV/2026/01650</t>
        </is>
      </c>
      <c r="C37" s="9" t="n">
        <v>193.99</v>
      </c>
      <c r="D37" t="str">
        <f>INDEX('Match Groups'!$B$5:$B$1326,MATCH(A37,'Match Groups'!$A$5:$A$1326,0))</f>
        <v>OPS</v>
      </c>
      <c r="E37" t="str">
        <f>INDEX('Match Groups'!$D$5:$D$1326,MATCH(A37,'Match Groups'!$A$5:$A$1326,0))</f>
        <v>REG</v>
      </c>
    </row>
    <row r="38">
      <c r="A38" t="inlineStr">
        <is>
          <t>G00159</t>
        </is>
      </c>
      <c r="B38" t="inlineStr">
        <is>
          <t>INV/2026/01895</t>
        </is>
      </c>
      <c r="C38" s="9" t="n">
        <v>193.99</v>
      </c>
      <c r="D38" t="str">
        <f>INDEX('Match Groups'!$B$5:$B$1326,MATCH(A38,'Match Groups'!$A$5:$A$1326,0))</f>
        <v>OPS</v>
      </c>
      <c r="E38" t="str">
        <f>INDEX('Match Groups'!$D$5:$D$1326,MATCH(A38,'Match Groups'!$A$5:$A$1326,0))</f>
        <v>REG</v>
      </c>
    </row>
    <row r="39">
      <c r="A39" t="inlineStr">
        <is>
          <t>G00159</t>
        </is>
      </c>
      <c r="B39" t="inlineStr">
        <is>
          <t>INV/2026/01917</t>
        </is>
      </c>
      <c r="C39" s="9" t="n">
        <v>417.98</v>
      </c>
      <c r="D39" t="str">
        <f>INDEX('Match Groups'!$B$5:$B$1326,MATCH(A39,'Match Groups'!$A$5:$A$1326,0))</f>
        <v>OPS</v>
      </c>
      <c r="E39" t="str">
        <f>INDEX('Match Groups'!$D$5:$D$1326,MATCH(A39,'Match Groups'!$A$5:$A$1326,0))</f>
        <v>REG</v>
      </c>
    </row>
    <row r="40">
      <c r="A40" t="inlineStr">
        <is>
          <t>G00159</t>
        </is>
      </c>
      <c r="B40" t="inlineStr">
        <is>
          <t>INV/2026/01944</t>
        </is>
      </c>
      <c r="C40" s="9" t="n">
        <v>252.19</v>
      </c>
      <c r="D40" t="str">
        <f>INDEX('Match Groups'!$B$5:$B$1326,MATCH(A40,'Match Groups'!$A$5:$A$1326,0))</f>
        <v>OPS</v>
      </c>
      <c r="E40" t="str">
        <f>INDEX('Match Groups'!$D$5:$D$1326,MATCH(A40,'Match Groups'!$A$5:$A$1326,0))</f>
        <v>REG</v>
      </c>
    </row>
    <row r="41">
      <c r="A41" t="inlineStr">
        <is>
          <t>G00159</t>
        </is>
      </c>
      <c r="B41" t="inlineStr">
        <is>
          <t>INV/2026/01970</t>
        </is>
      </c>
      <c r="C41" s="9" t="n">
        <v>290.98</v>
      </c>
      <c r="D41" t="str">
        <f>INDEX('Match Groups'!$B$5:$B$1326,MATCH(A41,'Match Groups'!$A$5:$A$1326,0))</f>
        <v>OPS</v>
      </c>
      <c r="E41" t="str">
        <f>INDEX('Match Groups'!$D$5:$D$1326,MATCH(A41,'Match Groups'!$A$5:$A$1326,0))</f>
        <v>REG</v>
      </c>
    </row>
    <row r="42">
      <c r="A42" t="inlineStr">
        <is>
          <t>G00159</t>
        </is>
      </c>
      <c r="B42" t="inlineStr">
        <is>
          <t>INV/2026/01971</t>
        </is>
      </c>
      <c r="C42" s="9" t="n">
        <v>223.99</v>
      </c>
      <c r="D42" t="str">
        <f>INDEX('Match Groups'!$B$5:$B$1326,MATCH(A42,'Match Groups'!$A$5:$A$1326,0))</f>
        <v>OPS</v>
      </c>
      <c r="E42" t="str">
        <f>INDEX('Match Groups'!$D$5:$D$1326,MATCH(A42,'Match Groups'!$A$5:$A$1326,0))</f>
        <v>REG</v>
      </c>
    </row>
    <row r="43">
      <c r="A43" t="inlineStr">
        <is>
          <t>G00159</t>
        </is>
      </c>
      <c r="B43" t="inlineStr">
        <is>
          <t>INV/2026/01972</t>
        </is>
      </c>
      <c r="C43" s="9" t="n">
        <v>145.49</v>
      </c>
      <c r="D43" t="str">
        <f>INDEX('Match Groups'!$B$5:$B$1326,MATCH(A43,'Match Groups'!$A$5:$A$1326,0))</f>
        <v>OPS</v>
      </c>
      <c r="E43" t="str">
        <f>INDEX('Match Groups'!$D$5:$D$1326,MATCH(A43,'Match Groups'!$A$5:$A$1326,0))</f>
        <v>REG</v>
      </c>
    </row>
    <row r="44">
      <c r="A44" t="inlineStr">
        <is>
          <t>G00159</t>
        </is>
      </c>
      <c r="B44" t="inlineStr">
        <is>
          <t>INV/2026/01994</t>
        </is>
      </c>
      <c r="C44" s="9" t="n">
        <v>300.69</v>
      </c>
      <c r="D44" t="str">
        <f>INDEX('Match Groups'!$B$5:$B$1326,MATCH(A44,'Match Groups'!$A$5:$A$1326,0))</f>
        <v>OPS</v>
      </c>
      <c r="E44" t="str">
        <f>INDEX('Match Groups'!$D$5:$D$1326,MATCH(A44,'Match Groups'!$A$5:$A$1326,0))</f>
        <v>REG</v>
      </c>
    </row>
    <row r="45">
      <c r="A45" t="inlineStr">
        <is>
          <t>G00159</t>
        </is>
      </c>
      <c r="B45" t="inlineStr">
        <is>
          <t>INV/2026/02020</t>
        </is>
      </c>
      <c r="C45" s="9" t="n">
        <v>300.69</v>
      </c>
      <c r="D45" t="str">
        <f>INDEX('Match Groups'!$B$5:$B$1326,MATCH(A45,'Match Groups'!$A$5:$A$1326,0))</f>
        <v>OPS</v>
      </c>
      <c r="E45" t="str">
        <f>INDEX('Match Groups'!$D$5:$D$1326,MATCH(A45,'Match Groups'!$A$5:$A$1326,0))</f>
        <v>REG</v>
      </c>
    </row>
    <row r="46">
      <c r="A46" t="inlineStr">
        <is>
          <t>G00159</t>
        </is>
      </c>
      <c r="B46" t="inlineStr">
        <is>
          <t>INV/2026/02038</t>
        </is>
      </c>
      <c r="C46" s="9" t="n">
        <v>349.18</v>
      </c>
      <c r="D46" t="str">
        <f>INDEX('Match Groups'!$B$5:$B$1326,MATCH(A46,'Match Groups'!$A$5:$A$1326,0))</f>
        <v>OPS</v>
      </c>
      <c r="E46" t="str">
        <f>INDEX('Match Groups'!$D$5:$D$1326,MATCH(A46,'Match Groups'!$A$5:$A$1326,0))</f>
        <v>REG</v>
      </c>
    </row>
    <row r="47">
      <c r="A47" t="inlineStr">
        <is>
          <t>G00159</t>
        </is>
      </c>
      <c r="B47" t="inlineStr">
        <is>
          <t>INV/2026/02039</t>
        </is>
      </c>
      <c r="C47" s="9" t="n">
        <v>272.49</v>
      </c>
      <c r="D47" t="str">
        <f>INDEX('Match Groups'!$B$5:$B$1326,MATCH(A47,'Match Groups'!$A$5:$A$1326,0))</f>
        <v>OPS</v>
      </c>
      <c r="E47" t="str">
        <f>INDEX('Match Groups'!$D$5:$D$1326,MATCH(A47,'Match Groups'!$A$5:$A$1326,0))</f>
        <v>REG</v>
      </c>
    </row>
    <row r="48">
      <c r="A48" t="inlineStr">
        <is>
          <t>G00159</t>
        </is>
      </c>
      <c r="B48" t="inlineStr">
        <is>
          <t>INV/2026/02069</t>
        </is>
      </c>
      <c r="C48" s="9" t="n">
        <v>446.18</v>
      </c>
      <c r="D48" t="str">
        <f>INDEX('Match Groups'!$B$5:$B$1326,MATCH(A48,'Match Groups'!$A$5:$A$1326,0))</f>
        <v>OPS</v>
      </c>
      <c r="E48" t="str">
        <f>INDEX('Match Groups'!$D$5:$D$1326,MATCH(A48,'Match Groups'!$A$5:$A$1326,0))</f>
        <v>REG</v>
      </c>
    </row>
    <row r="49">
      <c r="A49" t="inlineStr">
        <is>
          <t>G00159</t>
        </is>
      </c>
      <c r="B49" t="inlineStr">
        <is>
          <t>INV/2026/02090</t>
        </is>
      </c>
      <c r="C49" s="9" t="n">
        <v>145.49</v>
      </c>
      <c r="D49" t="str">
        <f>INDEX('Match Groups'!$B$5:$B$1326,MATCH(A49,'Match Groups'!$A$5:$A$1326,0))</f>
        <v>OPS</v>
      </c>
      <c r="E49" t="str">
        <f>INDEX('Match Groups'!$D$5:$D$1326,MATCH(A49,'Match Groups'!$A$5:$A$1326,0))</f>
        <v>REG</v>
      </c>
    </row>
    <row r="50">
      <c r="A50" t="inlineStr">
        <is>
          <t>G00161</t>
        </is>
      </c>
      <c r="B50" t="inlineStr">
        <is>
          <t>INV/2026/01999</t>
        </is>
      </c>
      <c r="C50" s="9" t="n">
        <v>417.98</v>
      </c>
      <c r="D50" t="str">
        <f>INDEX('Match Groups'!$B$5:$B$1326,MATCH(A50,'Match Groups'!$A$5:$A$1326,0))</f>
        <v>OPS</v>
      </c>
      <c r="E50" t="str">
        <f>INDEX('Match Groups'!$D$5:$D$1326,MATCH(A50,'Match Groups'!$A$5:$A$1326,0))</f>
        <v>REG</v>
      </c>
    </row>
    <row r="51">
      <c r="A51" t="inlineStr">
        <is>
          <t>G00161</t>
        </is>
      </c>
      <c r="B51" t="inlineStr">
        <is>
          <t>INV/2026/02023</t>
        </is>
      </c>
      <c r="C51" s="9" t="n">
        <v>193.99</v>
      </c>
      <c r="D51" t="str">
        <f>INDEX('Match Groups'!$B$5:$B$1326,MATCH(A51,'Match Groups'!$A$5:$A$1326,0))</f>
        <v>OPS</v>
      </c>
      <c r="E51" t="str">
        <f>INDEX('Match Groups'!$D$5:$D$1326,MATCH(A51,'Match Groups'!$A$5:$A$1326,0))</f>
        <v>REG</v>
      </c>
    </row>
    <row r="52">
      <c r="A52" t="inlineStr">
        <is>
          <t>G00161</t>
        </is>
      </c>
      <c r="B52" t="inlineStr">
        <is>
          <t>INV/2026/02045</t>
        </is>
      </c>
      <c r="C52" s="9" t="n">
        <v>446.18</v>
      </c>
      <c r="D52" t="str">
        <f>INDEX('Match Groups'!$B$5:$B$1326,MATCH(A52,'Match Groups'!$A$5:$A$1326,0))</f>
        <v>OPS</v>
      </c>
      <c r="E52" t="str">
        <f>INDEX('Match Groups'!$D$5:$D$1326,MATCH(A52,'Match Groups'!$A$5:$A$1326,0))</f>
        <v>REG</v>
      </c>
    </row>
    <row r="53">
      <c r="A53" t="inlineStr">
        <is>
          <t>G00161</t>
        </is>
      </c>
      <c r="B53" t="inlineStr">
        <is>
          <t>INV/2026/02046</t>
        </is>
      </c>
      <c r="C53" s="9" t="n">
        <v>96.98999999999999</v>
      </c>
      <c r="D53" t="str">
        <f>INDEX('Match Groups'!$B$5:$B$1326,MATCH(A53,'Match Groups'!$A$5:$A$1326,0))</f>
        <v>OPS</v>
      </c>
      <c r="E53" t="str">
        <f>INDEX('Match Groups'!$D$5:$D$1326,MATCH(A53,'Match Groups'!$A$5:$A$1326,0))</f>
        <v>REG</v>
      </c>
    </row>
    <row r="54">
      <c r="A54" t="inlineStr">
        <is>
          <t>G00161</t>
        </is>
      </c>
      <c r="B54" t="inlineStr">
        <is>
          <t>INV/2026/02094</t>
        </is>
      </c>
      <c r="C54" s="9" t="n">
        <v>145.49</v>
      </c>
      <c r="D54" t="str">
        <f>INDEX('Match Groups'!$B$5:$B$1326,MATCH(A54,'Match Groups'!$A$5:$A$1326,0))</f>
        <v>OPS</v>
      </c>
      <c r="E54" t="str">
        <f>INDEX('Match Groups'!$D$5:$D$1326,MATCH(A54,'Match Groups'!$A$5:$A$1326,0))</f>
        <v>REG</v>
      </c>
    </row>
    <row r="55">
      <c r="A55" t="inlineStr">
        <is>
          <t>G00161</t>
        </is>
      </c>
      <c r="B55" t="inlineStr">
        <is>
          <t>INV/2026/02095</t>
        </is>
      </c>
      <c r="C55" s="9" t="n">
        <v>417.98</v>
      </c>
      <c r="D55" t="str">
        <f>INDEX('Match Groups'!$B$5:$B$1326,MATCH(A55,'Match Groups'!$A$5:$A$1326,0))</f>
        <v>OPS</v>
      </c>
      <c r="E55" t="str">
        <f>INDEX('Match Groups'!$D$5:$D$1326,MATCH(A55,'Match Groups'!$A$5:$A$1326,0))</f>
        <v>REG</v>
      </c>
    </row>
    <row r="56">
      <c r="A56" t="inlineStr">
        <is>
          <t>G00184</t>
        </is>
      </c>
      <c r="B56" t="inlineStr">
        <is>
          <t>INV/2026/01902</t>
        </is>
      </c>
      <c r="C56" s="9" t="n">
        <v>223.99</v>
      </c>
      <c r="D56" t="str">
        <f>INDEX('Match Groups'!$B$5:$B$1326,MATCH(A56,'Match Groups'!$A$5:$A$1326,0))</f>
        <v>OPS</v>
      </c>
      <c r="E56" t="str">
        <f>INDEX('Match Groups'!$D$5:$D$1326,MATCH(A56,'Match Groups'!$A$5:$A$1326,0))</f>
        <v>REG</v>
      </c>
    </row>
    <row r="57">
      <c r="A57" t="inlineStr">
        <is>
          <t>G00184</t>
        </is>
      </c>
      <c r="B57" t="inlineStr">
        <is>
          <t>INV/2026/01903</t>
        </is>
      </c>
      <c r="C57" s="9" t="n">
        <v>193.99</v>
      </c>
      <c r="D57" t="str">
        <f>INDEX('Match Groups'!$B$5:$B$1326,MATCH(A57,'Match Groups'!$A$5:$A$1326,0))</f>
        <v>OPS</v>
      </c>
      <c r="E57" t="str">
        <f>INDEX('Match Groups'!$D$5:$D$1326,MATCH(A57,'Match Groups'!$A$5:$A$1326,0))</f>
        <v>REG</v>
      </c>
    </row>
    <row r="58">
      <c r="A58" t="inlineStr">
        <is>
          <t>G00184</t>
        </is>
      </c>
      <c r="B58" t="inlineStr">
        <is>
          <t>INV/2026/01924</t>
        </is>
      </c>
      <c r="C58" s="9" t="n">
        <v>349.18</v>
      </c>
      <c r="D58" t="str">
        <f>INDEX('Match Groups'!$B$5:$B$1326,MATCH(A58,'Match Groups'!$A$5:$A$1326,0))</f>
        <v>OPS</v>
      </c>
      <c r="E58" t="str">
        <f>INDEX('Match Groups'!$D$5:$D$1326,MATCH(A58,'Match Groups'!$A$5:$A$1326,0))</f>
        <v>REG</v>
      </c>
    </row>
    <row r="59">
      <c r="A59" t="inlineStr">
        <is>
          <t>G00184</t>
        </is>
      </c>
      <c r="B59" t="inlineStr">
        <is>
          <t>INV/2026/01925</t>
        </is>
      </c>
      <c r="C59" s="9" t="n">
        <v>175.49</v>
      </c>
      <c r="D59" t="str">
        <f>INDEX('Match Groups'!$B$5:$B$1326,MATCH(A59,'Match Groups'!$A$5:$A$1326,0))</f>
        <v>OPS</v>
      </c>
      <c r="E59" t="str">
        <f>INDEX('Match Groups'!$D$5:$D$1326,MATCH(A59,'Match Groups'!$A$5:$A$1326,0))</f>
        <v>REG</v>
      </c>
    </row>
    <row r="60">
      <c r="A60" t="inlineStr">
        <is>
          <t>G00184</t>
        </is>
      </c>
      <c r="B60" t="inlineStr">
        <is>
          <t>INV/2026/01926</t>
        </is>
      </c>
      <c r="C60" s="9" t="n">
        <v>242.49</v>
      </c>
      <c r="D60" t="str">
        <f>INDEX('Match Groups'!$B$5:$B$1326,MATCH(A60,'Match Groups'!$A$5:$A$1326,0))</f>
        <v>OPS</v>
      </c>
      <c r="E60" t="str">
        <f>INDEX('Match Groups'!$D$5:$D$1326,MATCH(A60,'Match Groups'!$A$5:$A$1326,0))</f>
        <v>REG</v>
      </c>
    </row>
    <row r="61">
      <c r="A61" t="inlineStr">
        <is>
          <t>G00184</t>
        </is>
      </c>
      <c r="B61" t="inlineStr">
        <is>
          <t>INV/2026/01952</t>
        </is>
      </c>
      <c r="C61" s="9" t="n">
        <v>223.99</v>
      </c>
      <c r="D61" t="str">
        <f>INDEX('Match Groups'!$B$5:$B$1326,MATCH(A61,'Match Groups'!$A$5:$A$1326,0))</f>
        <v>OPS</v>
      </c>
      <c r="E61" t="str">
        <f>INDEX('Match Groups'!$D$5:$D$1326,MATCH(A61,'Match Groups'!$A$5:$A$1326,0))</f>
        <v>REG</v>
      </c>
    </row>
    <row r="62">
      <c r="A62" t="inlineStr">
        <is>
          <t>G00184</t>
        </is>
      </c>
      <c r="B62" t="inlineStr">
        <is>
          <t>INV/2026/01981</t>
        </is>
      </c>
      <c r="C62" s="9" t="n">
        <v>155.19</v>
      </c>
      <c r="D62" t="str">
        <f>INDEX('Match Groups'!$B$5:$B$1326,MATCH(A62,'Match Groups'!$A$5:$A$1326,0))</f>
        <v>OPS</v>
      </c>
      <c r="E62" t="str">
        <f>INDEX('Match Groups'!$D$5:$D$1326,MATCH(A62,'Match Groups'!$A$5:$A$1326,0))</f>
        <v>REG</v>
      </c>
    </row>
    <row r="63">
      <c r="A63" t="inlineStr">
        <is>
          <t>G00184</t>
        </is>
      </c>
      <c r="B63" t="inlineStr">
        <is>
          <t>INV/2026/02049</t>
        </is>
      </c>
      <c r="C63" s="9" t="n">
        <v>417.98</v>
      </c>
      <c r="D63" t="str">
        <f>INDEX('Match Groups'!$B$5:$B$1326,MATCH(A63,'Match Groups'!$A$5:$A$1326,0))</f>
        <v>OPS</v>
      </c>
      <c r="E63" t="str">
        <f>INDEX('Match Groups'!$D$5:$D$1326,MATCH(A63,'Match Groups'!$A$5:$A$1326,0))</f>
        <v>REG</v>
      </c>
    </row>
    <row r="64">
      <c r="A64" t="inlineStr">
        <is>
          <t>G00202</t>
        </is>
      </c>
      <c r="B64" t="inlineStr">
        <is>
          <t>INV/2026/02015</t>
        </is>
      </c>
      <c r="C64" s="9" t="n">
        <v>175.49</v>
      </c>
      <c r="D64" t="str">
        <f>INDEX('Match Groups'!$B$5:$B$1326,MATCH(A64,'Match Groups'!$A$5:$A$1326,0))</f>
        <v>OPS</v>
      </c>
      <c r="E64" t="str">
        <f>INDEX('Match Groups'!$D$5:$D$1326,MATCH(A64,'Match Groups'!$A$5:$A$1326,0))</f>
        <v>REG</v>
      </c>
    </row>
    <row r="65">
      <c r="A65" t="inlineStr">
        <is>
          <t>G00202</t>
        </is>
      </c>
      <c r="B65" t="inlineStr">
        <is>
          <t>INV/2026/02033</t>
        </is>
      </c>
      <c r="C65" s="9" t="n">
        <v>175.49</v>
      </c>
      <c r="D65" t="str">
        <f>INDEX('Match Groups'!$B$5:$B$1326,MATCH(A65,'Match Groups'!$A$5:$A$1326,0))</f>
        <v>OPS</v>
      </c>
      <c r="E65" t="str">
        <f>INDEX('Match Groups'!$D$5:$D$1326,MATCH(A65,'Match Groups'!$A$5:$A$1326,0))</f>
        <v>REG</v>
      </c>
    </row>
    <row r="66">
      <c r="A66" t="inlineStr">
        <is>
          <t>G00202</t>
        </is>
      </c>
      <c r="B66" t="inlineStr">
        <is>
          <t>INV/2026/02060</t>
        </is>
      </c>
      <c r="C66" s="9" t="n">
        <v>96.98999999999999</v>
      </c>
      <c r="D66" t="str">
        <f>INDEX('Match Groups'!$B$5:$B$1326,MATCH(A66,'Match Groups'!$A$5:$A$1326,0))</f>
        <v>OPS</v>
      </c>
      <c r="E66" t="str">
        <f>INDEX('Match Groups'!$D$5:$D$1326,MATCH(A66,'Match Groups'!$A$5:$A$1326,0))</f>
        <v>REG</v>
      </c>
    </row>
    <row r="67">
      <c r="A67" t="inlineStr">
        <is>
          <t>G00202</t>
        </is>
      </c>
      <c r="B67" t="inlineStr">
        <is>
          <t>INV/2026/02061</t>
        </is>
      </c>
      <c r="C67" s="9" t="n">
        <v>252.19</v>
      </c>
      <c r="D67" t="str">
        <f>INDEX('Match Groups'!$B$5:$B$1326,MATCH(A67,'Match Groups'!$A$5:$A$1326,0))</f>
        <v>OPS</v>
      </c>
      <c r="E67" t="str">
        <f>INDEX('Match Groups'!$D$5:$D$1326,MATCH(A67,'Match Groups'!$A$5:$A$1326,0))</f>
        <v>REG</v>
      </c>
    </row>
    <row r="68">
      <c r="A68" t="inlineStr">
        <is>
          <t>G00202</t>
        </is>
      </c>
      <c r="B68" t="inlineStr">
        <is>
          <t>INV/2026/02083</t>
        </is>
      </c>
      <c r="C68" s="9" t="n">
        <v>272.49</v>
      </c>
      <c r="D68" t="str">
        <f>INDEX('Match Groups'!$B$5:$B$1326,MATCH(A68,'Match Groups'!$A$5:$A$1326,0))</f>
        <v>OPS</v>
      </c>
      <c r="E68" t="str">
        <f>INDEX('Match Groups'!$D$5:$D$1326,MATCH(A68,'Match Groups'!$A$5:$A$1326,0))</f>
        <v>REG</v>
      </c>
    </row>
    <row r="69">
      <c r="A69" t="inlineStr">
        <is>
          <t>G00202</t>
        </is>
      </c>
      <c r="B69" t="inlineStr">
        <is>
          <t>INV/2026/02101</t>
        </is>
      </c>
      <c r="C69" s="9" t="n">
        <v>203.69</v>
      </c>
      <c r="D69" t="str">
        <f>INDEX('Match Groups'!$B$5:$B$1326,MATCH(A69,'Match Groups'!$A$5:$A$1326,0))</f>
        <v>OPS</v>
      </c>
      <c r="E69" t="str">
        <f>INDEX('Match Groups'!$D$5:$D$1326,MATCH(A69,'Match Groups'!$A$5:$A$1326,0))</f>
        <v>REG</v>
      </c>
    </row>
    <row r="70">
      <c r="A70" t="inlineStr">
        <is>
          <t>G00202</t>
        </is>
      </c>
      <c r="B70" t="inlineStr">
        <is>
          <t>INV/2026/02127</t>
        </is>
      </c>
      <c r="C70" s="9" t="n">
        <v>242.49</v>
      </c>
      <c r="D70" t="str">
        <f>INDEX('Match Groups'!$B$5:$B$1326,MATCH(A70,'Match Groups'!$A$5:$A$1326,0))</f>
        <v>OPS</v>
      </c>
      <c r="E70" t="str">
        <f>INDEX('Match Groups'!$D$5:$D$1326,MATCH(A70,'Match Groups'!$A$5:$A$1326,0))</f>
        <v>REG</v>
      </c>
    </row>
    <row r="71">
      <c r="A71" t="inlineStr">
        <is>
          <t>G00202</t>
        </is>
      </c>
      <c r="B71" t="inlineStr">
        <is>
          <t>INV/2026/02150</t>
        </is>
      </c>
      <c r="C71" s="9" t="n">
        <v>145.49</v>
      </c>
      <c r="D71" t="str">
        <f>INDEX('Match Groups'!$B$5:$B$1326,MATCH(A71,'Match Groups'!$A$5:$A$1326,0))</f>
        <v>OPS</v>
      </c>
      <c r="E71" t="str">
        <f>INDEX('Match Groups'!$D$5:$D$1326,MATCH(A71,'Match Groups'!$A$5:$A$1326,0))</f>
        <v>REG</v>
      </c>
    </row>
    <row r="72">
      <c r="A72" t="inlineStr">
        <is>
          <t>G00244</t>
        </is>
      </c>
      <c r="B72" t="inlineStr">
        <is>
          <t>INV/2026/02303</t>
        </is>
      </c>
      <c r="C72" s="9" t="n">
        <v>242.49</v>
      </c>
      <c r="D72" t="str">
        <f>INDEX('Match Groups'!$B$5:$B$1326,MATCH(A72,'Match Groups'!$A$5:$A$1326,0))</f>
        <v>OPS</v>
      </c>
      <c r="E72" t="str">
        <f>INDEX('Match Groups'!$D$5:$D$1326,MATCH(A72,'Match Groups'!$A$5:$A$1326,0))</f>
        <v>REG</v>
      </c>
    </row>
    <row r="73">
      <c r="A73" t="inlineStr">
        <is>
          <t>G00244</t>
        </is>
      </c>
      <c r="B73" t="inlineStr">
        <is>
          <t>INV/2026/02352</t>
        </is>
      </c>
      <c r="C73" s="9" t="n">
        <v>203.69</v>
      </c>
      <c r="D73" t="str">
        <f>INDEX('Match Groups'!$B$5:$B$1326,MATCH(A73,'Match Groups'!$A$5:$A$1326,0))</f>
        <v>OPS</v>
      </c>
      <c r="E73" t="str">
        <f>INDEX('Match Groups'!$D$5:$D$1326,MATCH(A73,'Match Groups'!$A$5:$A$1326,0))</f>
        <v>REG</v>
      </c>
    </row>
    <row r="74">
      <c r="A74" t="inlineStr">
        <is>
          <t>G00244</t>
        </is>
      </c>
      <c r="B74" t="inlineStr">
        <is>
          <t>INV/2026/02396</t>
        </is>
      </c>
      <c r="C74" s="9" t="n">
        <v>96.98999999999999</v>
      </c>
      <c r="D74" t="str">
        <f>INDEX('Match Groups'!$B$5:$B$1326,MATCH(A74,'Match Groups'!$A$5:$A$1326,0))</f>
        <v>OPS</v>
      </c>
      <c r="E74" t="str">
        <f>INDEX('Match Groups'!$D$5:$D$1326,MATCH(A74,'Match Groups'!$A$5:$A$1326,0))</f>
        <v>REG</v>
      </c>
    </row>
    <row r="75">
      <c r="A75" t="inlineStr">
        <is>
          <t>G00244</t>
        </is>
      </c>
      <c r="B75" t="inlineStr">
        <is>
          <t>INV/2026/02422</t>
        </is>
      </c>
      <c r="C75" s="9" t="n">
        <v>203.69</v>
      </c>
      <c r="D75" t="str">
        <f>INDEX('Match Groups'!$B$5:$B$1326,MATCH(A75,'Match Groups'!$A$5:$A$1326,0))</f>
        <v>OPS</v>
      </c>
      <c r="E75" t="str">
        <f>INDEX('Match Groups'!$D$5:$D$1326,MATCH(A75,'Match Groups'!$A$5:$A$1326,0))</f>
        <v>REG</v>
      </c>
    </row>
    <row r="76">
      <c r="A76" t="inlineStr">
        <is>
          <t>G00244</t>
        </is>
      </c>
      <c r="B76" t="inlineStr">
        <is>
          <t>INV/2026/02423</t>
        </is>
      </c>
      <c r="C76" s="9" t="n">
        <v>242.49</v>
      </c>
      <c r="D76" t="str">
        <f>INDEX('Match Groups'!$B$5:$B$1326,MATCH(A76,'Match Groups'!$A$5:$A$1326,0))</f>
        <v>OPS</v>
      </c>
      <c r="E76" t="str">
        <f>INDEX('Match Groups'!$D$5:$D$1326,MATCH(A76,'Match Groups'!$A$5:$A$1326,0))</f>
        <v>REG</v>
      </c>
    </row>
    <row r="77">
      <c r="A77" t="inlineStr">
        <is>
          <t>G00247</t>
        </is>
      </c>
      <c r="B77" t="inlineStr">
        <is>
          <t>INV/2026/02329</t>
        </is>
      </c>
      <c r="C77" s="9" t="n">
        <v>155.19</v>
      </c>
      <c r="D77" t="str">
        <f>INDEX('Match Groups'!$B$5:$B$1326,MATCH(A77,'Match Groups'!$A$5:$A$1326,0))</f>
        <v>OPS</v>
      </c>
      <c r="E77" t="str">
        <f>INDEX('Match Groups'!$D$5:$D$1326,MATCH(A77,'Match Groups'!$A$5:$A$1326,0))</f>
        <v>REG</v>
      </c>
    </row>
    <row r="78">
      <c r="A78" t="inlineStr">
        <is>
          <t>G00247</t>
        </is>
      </c>
      <c r="B78" t="inlineStr">
        <is>
          <t>INV/2026/02405</t>
        </is>
      </c>
      <c r="C78" s="9" t="n">
        <v>242.49</v>
      </c>
      <c r="D78" t="str">
        <f>INDEX('Match Groups'!$B$5:$B$1326,MATCH(A78,'Match Groups'!$A$5:$A$1326,0))</f>
        <v>OPS</v>
      </c>
      <c r="E78" t="str">
        <f>INDEX('Match Groups'!$D$5:$D$1326,MATCH(A78,'Match Groups'!$A$5:$A$1326,0))</f>
        <v>REG</v>
      </c>
    </row>
    <row r="79">
      <c r="A79" t="inlineStr">
        <is>
          <t>G00247</t>
        </is>
      </c>
      <c r="B79" t="inlineStr">
        <is>
          <t>INV/2026/02431</t>
        </is>
      </c>
      <c r="C79" s="9" t="n">
        <v>387.98</v>
      </c>
      <c r="D79" t="str">
        <f>INDEX('Match Groups'!$B$5:$B$1326,MATCH(A79,'Match Groups'!$A$5:$A$1326,0))</f>
        <v>OPS</v>
      </c>
      <c r="E79" t="str">
        <f>INDEX('Match Groups'!$D$5:$D$1326,MATCH(A79,'Match Groups'!$A$5:$A$1326,0))</f>
        <v>REG</v>
      </c>
    </row>
    <row r="80">
      <c r="A80" t="inlineStr">
        <is>
          <t>G00276</t>
        </is>
      </c>
      <c r="B80" t="inlineStr">
        <is>
          <t>INV/2026/02494</t>
        </is>
      </c>
      <c r="C80" s="9" t="n">
        <v>272.49</v>
      </c>
      <c r="D80" t="str">
        <f>INDEX('Match Groups'!$B$5:$B$1326,MATCH(A80,'Match Groups'!$A$5:$A$1326,0))</f>
        <v>OPS</v>
      </c>
      <c r="E80" t="str">
        <f>INDEX('Match Groups'!$D$5:$D$1326,MATCH(A80,'Match Groups'!$A$5:$A$1326,0))</f>
        <v>REG</v>
      </c>
    </row>
    <row r="81">
      <c r="A81" t="inlineStr">
        <is>
          <t>G00276</t>
        </is>
      </c>
      <c r="B81" t="inlineStr">
        <is>
          <t>INV/2026/02517</t>
        </is>
      </c>
      <c r="C81" s="9" t="n">
        <v>252.19</v>
      </c>
      <c r="D81" t="str">
        <f>INDEX('Match Groups'!$B$5:$B$1326,MATCH(A81,'Match Groups'!$A$5:$A$1326,0))</f>
        <v>OPS</v>
      </c>
      <c r="E81" t="str">
        <f>INDEX('Match Groups'!$D$5:$D$1326,MATCH(A81,'Match Groups'!$A$5:$A$1326,0))</f>
        <v>REG</v>
      </c>
    </row>
    <row r="82">
      <c r="A82" t="inlineStr">
        <is>
          <t>G00276</t>
        </is>
      </c>
      <c r="B82" t="inlineStr">
        <is>
          <t>INV/2026/02518</t>
        </is>
      </c>
      <c r="C82" s="9" t="n">
        <v>387.98</v>
      </c>
      <c r="D82" t="str">
        <f>INDEX('Match Groups'!$B$5:$B$1326,MATCH(A82,'Match Groups'!$A$5:$A$1326,0))</f>
        <v>OPS</v>
      </c>
      <c r="E82" t="str">
        <f>INDEX('Match Groups'!$D$5:$D$1326,MATCH(A82,'Match Groups'!$A$5:$A$1326,0))</f>
        <v>REG</v>
      </c>
    </row>
    <row r="83">
      <c r="A83" t="inlineStr">
        <is>
          <t>G00285</t>
        </is>
      </c>
      <c r="B83" t="inlineStr">
        <is>
          <t>INV/2026/02524</t>
        </is>
      </c>
      <c r="C83" s="9" t="n">
        <v>349.18</v>
      </c>
      <c r="D83" t="str">
        <f>INDEX('Match Groups'!$B$5:$B$1326,MATCH(A83,'Match Groups'!$A$5:$A$1326,0))</f>
        <v>OPS</v>
      </c>
      <c r="E83" t="str">
        <f>INDEX('Match Groups'!$D$5:$D$1326,MATCH(A83,'Match Groups'!$A$5:$A$1326,0))</f>
        <v>REG</v>
      </c>
    </row>
    <row r="84">
      <c r="A84" t="inlineStr">
        <is>
          <t>G00285</t>
        </is>
      </c>
      <c r="B84" t="inlineStr">
        <is>
          <t>INV/2026/02553</t>
        </is>
      </c>
      <c r="C84" s="9" t="n">
        <v>193.99</v>
      </c>
      <c r="D84" t="str">
        <f>INDEX('Match Groups'!$B$5:$B$1326,MATCH(A84,'Match Groups'!$A$5:$A$1326,0))</f>
        <v>OPS</v>
      </c>
      <c r="E84" t="str">
        <f>INDEX('Match Groups'!$D$5:$D$1326,MATCH(A84,'Match Groups'!$A$5:$A$1326,0))</f>
        <v>REG</v>
      </c>
    </row>
    <row r="85">
      <c r="A85" t="inlineStr">
        <is>
          <t>G00298</t>
        </is>
      </c>
      <c r="B85" t="inlineStr">
        <is>
          <t>INV/2026/02535</t>
        </is>
      </c>
      <c r="C85" s="9" t="n">
        <v>417.98</v>
      </c>
      <c r="D85" t="str">
        <f>INDEX('Match Groups'!$B$5:$B$1326,MATCH(A85,'Match Groups'!$A$5:$A$1326,0))</f>
        <v>OPS</v>
      </c>
      <c r="E85" t="str">
        <f>INDEX('Match Groups'!$D$5:$D$1326,MATCH(A85,'Match Groups'!$A$5:$A$1326,0))</f>
        <v>REG</v>
      </c>
    </row>
    <row r="86">
      <c r="A86" t="inlineStr">
        <is>
          <t>G00298</t>
        </is>
      </c>
      <c r="B86" t="inlineStr">
        <is>
          <t>INV/2026/02536</t>
        </is>
      </c>
      <c r="C86" s="9" t="n">
        <v>145.49</v>
      </c>
      <c r="D86" t="str">
        <f>INDEX('Match Groups'!$B$5:$B$1326,MATCH(A86,'Match Groups'!$A$5:$A$1326,0))</f>
        <v>OPS</v>
      </c>
      <c r="E86" t="str">
        <f>INDEX('Match Groups'!$D$5:$D$1326,MATCH(A86,'Match Groups'!$A$5:$A$1326,0))</f>
        <v>REG</v>
      </c>
    </row>
    <row r="87">
      <c r="A87" t="inlineStr">
        <is>
          <t>G00303</t>
        </is>
      </c>
      <c r="B87" t="inlineStr">
        <is>
          <t>INV/2026/02571</t>
        </is>
      </c>
      <c r="C87" s="9" t="n">
        <v>96.98999999999999</v>
      </c>
      <c r="D87" t="str">
        <f>INDEX('Match Groups'!$B$5:$B$1326,MATCH(A87,'Match Groups'!$A$5:$A$1326,0))</f>
        <v>OPS</v>
      </c>
      <c r="E87" t="str">
        <f>INDEX('Match Groups'!$D$5:$D$1326,MATCH(A87,'Match Groups'!$A$5:$A$1326,0))</f>
        <v>REG</v>
      </c>
    </row>
    <row r="88">
      <c r="A88" t="inlineStr">
        <is>
          <t>G00303</t>
        </is>
      </c>
      <c r="B88" t="inlineStr">
        <is>
          <t>INV/2026/02572</t>
        </is>
      </c>
      <c r="C88" s="9" t="n">
        <v>223.99</v>
      </c>
      <c r="D88" t="str">
        <f>INDEX('Match Groups'!$B$5:$B$1326,MATCH(A88,'Match Groups'!$A$5:$A$1326,0))</f>
        <v>OPS</v>
      </c>
      <c r="E88" t="str">
        <f>INDEX('Match Groups'!$D$5:$D$1326,MATCH(A88,'Match Groups'!$A$5:$A$1326,0))</f>
        <v>REG</v>
      </c>
    </row>
    <row r="89">
      <c r="A89" t="inlineStr">
        <is>
          <t>G00306</t>
        </is>
      </c>
      <c r="B89" t="inlineStr">
        <is>
          <t>INV/2026/02449</t>
        </is>
      </c>
      <c r="C89" s="9" t="n">
        <v>417.98</v>
      </c>
      <c r="D89" t="str">
        <f>INDEX('Match Groups'!$B$5:$B$1326,MATCH(A89,'Match Groups'!$A$5:$A$1326,0))</f>
        <v>OPS</v>
      </c>
      <c r="E89" t="str">
        <f>INDEX('Match Groups'!$D$5:$D$1326,MATCH(A89,'Match Groups'!$A$5:$A$1326,0))</f>
        <v>REG</v>
      </c>
    </row>
    <row r="90">
      <c r="A90" t="inlineStr">
        <is>
          <t>G00306</t>
        </is>
      </c>
      <c r="B90" t="inlineStr">
        <is>
          <t>INV/2026/02450</t>
        </is>
      </c>
      <c r="C90" s="9" t="n">
        <v>193.99</v>
      </c>
      <c r="D90" t="str">
        <f>INDEX('Match Groups'!$B$5:$B$1326,MATCH(A90,'Match Groups'!$A$5:$A$1326,0))</f>
        <v>OPS</v>
      </c>
      <c r="E90" t="str">
        <f>INDEX('Match Groups'!$D$5:$D$1326,MATCH(A90,'Match Groups'!$A$5:$A$1326,0))</f>
        <v>REG</v>
      </c>
    </row>
    <row r="91">
      <c r="A91" t="inlineStr">
        <is>
          <t>G00306</t>
        </is>
      </c>
      <c r="B91" t="inlineStr">
        <is>
          <t>INV/2026/02471</t>
        </is>
      </c>
      <c r="C91" s="9" t="n">
        <v>203.69</v>
      </c>
      <c r="D91" t="str">
        <f>INDEX('Match Groups'!$B$5:$B$1326,MATCH(A91,'Match Groups'!$A$5:$A$1326,0))</f>
        <v>OPS</v>
      </c>
      <c r="E91" t="str">
        <f>INDEX('Match Groups'!$D$5:$D$1326,MATCH(A91,'Match Groups'!$A$5:$A$1326,0))</f>
        <v>REG</v>
      </c>
    </row>
    <row r="92">
      <c r="A92" t="inlineStr">
        <is>
          <t>G00306</t>
        </is>
      </c>
      <c r="B92" t="inlineStr">
        <is>
          <t>INV/2026/02472</t>
        </is>
      </c>
      <c r="C92" s="9" t="n">
        <v>349.18</v>
      </c>
      <c r="D92" t="str">
        <f>INDEX('Match Groups'!$B$5:$B$1326,MATCH(A92,'Match Groups'!$A$5:$A$1326,0))</f>
        <v>OPS</v>
      </c>
      <c r="E92" t="str">
        <f>INDEX('Match Groups'!$D$5:$D$1326,MATCH(A92,'Match Groups'!$A$5:$A$1326,0))</f>
        <v>REG</v>
      </c>
    </row>
    <row r="93">
      <c r="A93" t="inlineStr">
        <is>
          <t>G00306</t>
        </is>
      </c>
      <c r="B93" t="inlineStr">
        <is>
          <t>INV/2026/02496</t>
        </is>
      </c>
      <c r="C93" s="9" t="n">
        <v>387.98</v>
      </c>
      <c r="D93" t="str">
        <f>INDEX('Match Groups'!$B$5:$B$1326,MATCH(A93,'Match Groups'!$A$5:$A$1326,0))</f>
        <v>OPS</v>
      </c>
      <c r="E93" t="str">
        <f>INDEX('Match Groups'!$D$5:$D$1326,MATCH(A93,'Match Groups'!$A$5:$A$1326,0))</f>
        <v>REG</v>
      </c>
    </row>
    <row r="94">
      <c r="A94" t="inlineStr">
        <is>
          <t>G00306</t>
        </is>
      </c>
      <c r="B94" t="inlineStr">
        <is>
          <t>INV/2026/02497</t>
        </is>
      </c>
      <c r="C94" s="9" t="n">
        <v>193.99</v>
      </c>
      <c r="D94" t="str">
        <f>INDEX('Match Groups'!$B$5:$B$1326,MATCH(A94,'Match Groups'!$A$5:$A$1326,0))</f>
        <v>OPS</v>
      </c>
      <c r="E94" t="str">
        <f>INDEX('Match Groups'!$D$5:$D$1326,MATCH(A94,'Match Groups'!$A$5:$A$1326,0))</f>
        <v>REG</v>
      </c>
    </row>
    <row r="95">
      <c r="A95" t="inlineStr">
        <is>
          <t>G00312</t>
        </is>
      </c>
      <c r="B95" t="inlineStr">
        <is>
          <t>INV/2026/02523</t>
        </is>
      </c>
      <c r="C95" s="9" t="n">
        <v>290.98</v>
      </c>
      <c r="D95" t="str">
        <f>INDEX('Match Groups'!$B$5:$B$1326,MATCH(A95,'Match Groups'!$A$5:$A$1326,0))</f>
        <v>OPS</v>
      </c>
      <c r="E95" t="str">
        <f>INDEX('Match Groups'!$D$5:$D$1326,MATCH(A95,'Match Groups'!$A$5:$A$1326,0))</f>
        <v>REG</v>
      </c>
    </row>
    <row r="96">
      <c r="A96" t="inlineStr">
        <is>
          <t>G00312</t>
        </is>
      </c>
      <c r="B96" t="inlineStr">
        <is>
          <t>INV/2026/02551</t>
        </is>
      </c>
      <c r="C96" s="9" t="n">
        <v>145.49</v>
      </c>
      <c r="D96" t="str">
        <f>INDEX('Match Groups'!$B$5:$B$1326,MATCH(A96,'Match Groups'!$A$5:$A$1326,0))</f>
        <v>OPS</v>
      </c>
      <c r="E96" t="str">
        <f>INDEX('Match Groups'!$D$5:$D$1326,MATCH(A96,'Match Groups'!$A$5:$A$1326,0))</f>
        <v>REG</v>
      </c>
    </row>
    <row r="97">
      <c r="A97" t="inlineStr">
        <is>
          <t>G00312</t>
        </is>
      </c>
      <c r="B97" t="inlineStr">
        <is>
          <t>INV/2026/02552</t>
        </is>
      </c>
      <c r="C97" s="9" t="n">
        <v>387.98</v>
      </c>
      <c r="D97" t="str">
        <f>INDEX('Match Groups'!$B$5:$B$1326,MATCH(A97,'Match Groups'!$A$5:$A$1326,0))</f>
        <v>OPS</v>
      </c>
      <c r="E97" t="str">
        <f>INDEX('Match Groups'!$D$5:$D$1326,MATCH(A97,'Match Groups'!$A$5:$A$1326,0))</f>
        <v>REG</v>
      </c>
    </row>
    <row r="98">
      <c r="A98" t="inlineStr">
        <is>
          <t>G00312</t>
        </is>
      </c>
      <c r="B98" t="inlineStr">
        <is>
          <t>INV/2026/02569</t>
        </is>
      </c>
      <c r="C98" s="9" t="n">
        <v>300.69</v>
      </c>
      <c r="D98" t="str">
        <f>INDEX('Match Groups'!$B$5:$B$1326,MATCH(A98,'Match Groups'!$A$5:$A$1326,0))</f>
        <v>OPS</v>
      </c>
      <c r="E98" t="str">
        <f>INDEX('Match Groups'!$D$5:$D$1326,MATCH(A98,'Match Groups'!$A$5:$A$1326,0))</f>
        <v>REG</v>
      </c>
    </row>
    <row r="99">
      <c r="A99" t="inlineStr">
        <is>
          <t>G00331</t>
        </is>
      </c>
      <c r="B99" t="inlineStr">
        <is>
          <t>INV/2026/02693</t>
        </is>
      </c>
      <c r="C99" s="9" t="n">
        <v>126.99</v>
      </c>
      <c r="D99" t="str">
        <f>INDEX('Match Groups'!$B$5:$B$1326,MATCH(A99,'Match Groups'!$A$5:$A$1326,0))</f>
        <v>OPS</v>
      </c>
      <c r="E99" t="str">
        <f>INDEX('Match Groups'!$D$5:$D$1326,MATCH(A99,'Match Groups'!$A$5:$A$1326,0))</f>
        <v>REG</v>
      </c>
    </row>
    <row r="100">
      <c r="A100" t="inlineStr">
        <is>
          <t>G00346</t>
        </is>
      </c>
      <c r="B100" t="inlineStr">
        <is>
          <t>INV/2026/02685</t>
        </is>
      </c>
      <c r="C100" s="9" t="n">
        <v>126.99</v>
      </c>
      <c r="D100" t="str">
        <f>INDEX('Match Groups'!$B$5:$B$1326,MATCH(A100,'Match Groups'!$A$5:$A$1326,0))</f>
        <v>OPS</v>
      </c>
      <c r="E100" t="str">
        <f>INDEX('Match Groups'!$D$5:$D$1326,MATCH(A100,'Match Groups'!$A$5:$A$1326,0))</f>
        <v>REG</v>
      </c>
    </row>
    <row r="101">
      <c r="A101" t="inlineStr">
        <is>
          <t>G00346</t>
        </is>
      </c>
      <c r="B101" t="inlineStr">
        <is>
          <t>INV/2026/02686</t>
        </is>
      </c>
      <c r="C101" s="9" t="n">
        <v>417.98</v>
      </c>
      <c r="D101" t="str">
        <f>INDEX('Match Groups'!$B$5:$B$1326,MATCH(A101,'Match Groups'!$A$5:$A$1326,0))</f>
        <v>OPS</v>
      </c>
      <c r="E101" t="str">
        <f>INDEX('Match Groups'!$D$5:$D$1326,MATCH(A101,'Match Groups'!$A$5:$A$1326,0))</f>
        <v>REG</v>
      </c>
    </row>
    <row r="102">
      <c r="A102" t="inlineStr">
        <is>
          <t>G00346</t>
        </is>
      </c>
      <c r="B102" t="inlineStr">
        <is>
          <t>INV/2026/02687</t>
        </is>
      </c>
      <c r="C102" s="9" t="n">
        <v>193.99</v>
      </c>
      <c r="D102" t="str">
        <f>INDEX('Match Groups'!$B$5:$B$1326,MATCH(A102,'Match Groups'!$A$5:$A$1326,0))</f>
        <v>OPS</v>
      </c>
      <c r="E102" t="str">
        <f>INDEX('Match Groups'!$D$5:$D$1326,MATCH(A102,'Match Groups'!$A$5:$A$1326,0))</f>
        <v>REG</v>
      </c>
    </row>
    <row r="103">
      <c r="A103" t="inlineStr">
        <is>
          <t>G00346</t>
        </is>
      </c>
      <c r="B103" t="inlineStr">
        <is>
          <t>INV/2026/02710</t>
        </is>
      </c>
      <c r="C103" s="9" t="n">
        <v>290.98</v>
      </c>
      <c r="D103" t="str">
        <f>INDEX('Match Groups'!$B$5:$B$1326,MATCH(A103,'Match Groups'!$A$5:$A$1326,0))</f>
        <v>OPS</v>
      </c>
      <c r="E103" t="str">
        <f>INDEX('Match Groups'!$D$5:$D$1326,MATCH(A103,'Match Groups'!$A$5:$A$1326,0))</f>
        <v>REG</v>
      </c>
    </row>
    <row r="104">
      <c r="A104" t="inlineStr">
        <is>
          <t>G00346</t>
        </is>
      </c>
      <c r="B104" t="inlineStr">
        <is>
          <t>INV/2026/02711</t>
        </is>
      </c>
      <c r="C104" s="9" t="n">
        <v>145.49</v>
      </c>
      <c r="D104" t="str">
        <f>INDEX('Match Groups'!$B$5:$B$1326,MATCH(A104,'Match Groups'!$A$5:$A$1326,0))</f>
        <v>OPS</v>
      </c>
      <c r="E104" t="str">
        <f>INDEX('Match Groups'!$D$5:$D$1326,MATCH(A104,'Match Groups'!$A$5:$A$1326,0))</f>
        <v>REG</v>
      </c>
    </row>
    <row r="105">
      <c r="A105" t="inlineStr">
        <is>
          <t>G00346</t>
        </is>
      </c>
      <c r="B105" t="inlineStr">
        <is>
          <t>INV/2026/02712</t>
        </is>
      </c>
      <c r="C105" s="9" t="n">
        <v>290.98</v>
      </c>
      <c r="D105" t="str">
        <f>INDEX('Match Groups'!$B$5:$B$1326,MATCH(A105,'Match Groups'!$A$5:$A$1326,0))</f>
        <v>OPS</v>
      </c>
      <c r="E105" t="str">
        <f>INDEX('Match Groups'!$D$5:$D$1326,MATCH(A105,'Match Groups'!$A$5:$A$1326,0))</f>
        <v>REG</v>
      </c>
    </row>
    <row r="106">
      <c r="A106" t="inlineStr">
        <is>
          <t>G00346</t>
        </is>
      </c>
      <c r="B106" t="inlineStr">
        <is>
          <t>INV/2026/02737</t>
        </is>
      </c>
      <c r="C106" s="9" t="n">
        <v>252.19</v>
      </c>
      <c r="D106" t="str">
        <f>INDEX('Match Groups'!$B$5:$B$1326,MATCH(A106,'Match Groups'!$A$5:$A$1326,0))</f>
        <v>OPS</v>
      </c>
      <c r="E106" t="str">
        <f>INDEX('Match Groups'!$D$5:$D$1326,MATCH(A106,'Match Groups'!$A$5:$A$1326,0))</f>
        <v>REG</v>
      </c>
    </row>
    <row r="107">
      <c r="A107" t="inlineStr">
        <is>
          <t>G00346</t>
        </is>
      </c>
      <c r="B107" t="inlineStr">
        <is>
          <t>INV/2026/02738</t>
        </is>
      </c>
      <c r="C107" s="9" t="n">
        <v>290.98</v>
      </c>
      <c r="D107" t="str">
        <f>INDEX('Match Groups'!$B$5:$B$1326,MATCH(A107,'Match Groups'!$A$5:$A$1326,0))</f>
        <v>OPS</v>
      </c>
      <c r="E107" t="str">
        <f>INDEX('Match Groups'!$D$5:$D$1326,MATCH(A107,'Match Groups'!$A$5:$A$1326,0))</f>
        <v>REG</v>
      </c>
    </row>
    <row r="108">
      <c r="A108" t="inlineStr">
        <is>
          <t>G00346</t>
        </is>
      </c>
      <c r="B108" t="inlineStr">
        <is>
          <t>INV/2026/02754</t>
        </is>
      </c>
      <c r="C108" s="9" t="n">
        <v>193.99</v>
      </c>
      <c r="D108" t="str">
        <f>INDEX('Match Groups'!$B$5:$B$1326,MATCH(A108,'Match Groups'!$A$5:$A$1326,0))</f>
        <v>OPS</v>
      </c>
      <c r="E108" t="str">
        <f>INDEX('Match Groups'!$D$5:$D$1326,MATCH(A108,'Match Groups'!$A$5:$A$1326,0))</f>
        <v>REG</v>
      </c>
    </row>
    <row r="109">
      <c r="A109" t="inlineStr">
        <is>
          <t>G00346</t>
        </is>
      </c>
      <c r="B109" t="inlineStr">
        <is>
          <t>INV/2026/02778</t>
        </is>
      </c>
      <c r="C109" s="9" t="n">
        <v>272.49</v>
      </c>
      <c r="D109" t="str">
        <f>INDEX('Match Groups'!$B$5:$B$1326,MATCH(A109,'Match Groups'!$A$5:$A$1326,0))</f>
        <v>OPS</v>
      </c>
      <c r="E109" t="str">
        <f>INDEX('Match Groups'!$D$5:$D$1326,MATCH(A109,'Match Groups'!$A$5:$A$1326,0))</f>
        <v>REG</v>
      </c>
    </row>
    <row r="110">
      <c r="A110" t="inlineStr">
        <is>
          <t>G00387</t>
        </is>
      </c>
      <c r="B110" t="inlineStr">
        <is>
          <t>INV/2026/02857</t>
        </is>
      </c>
      <c r="C110" s="9" t="n">
        <v>155.19</v>
      </c>
      <c r="D110" t="str">
        <f>INDEX('Match Groups'!$B$5:$B$1326,MATCH(A110,'Match Groups'!$A$5:$A$1326,0))</f>
        <v>OPS</v>
      </c>
      <c r="E110" t="str">
        <f>INDEX('Match Groups'!$D$5:$D$1326,MATCH(A110,'Match Groups'!$A$5:$A$1326,0))</f>
        <v>REG</v>
      </c>
    </row>
    <row r="111">
      <c r="A111" t="inlineStr">
        <is>
          <t>G00387</t>
        </is>
      </c>
      <c r="B111" t="inlineStr">
        <is>
          <t>INV/2026/02858</t>
        </is>
      </c>
      <c r="C111" s="9" t="n">
        <v>96.98999999999999</v>
      </c>
      <c r="D111" t="str">
        <f>INDEX('Match Groups'!$B$5:$B$1326,MATCH(A111,'Match Groups'!$A$5:$A$1326,0))</f>
        <v>OPS</v>
      </c>
      <c r="E111" t="str">
        <f>INDEX('Match Groups'!$D$5:$D$1326,MATCH(A111,'Match Groups'!$A$5:$A$1326,0))</f>
        <v>REG</v>
      </c>
    </row>
    <row r="112">
      <c r="A112" t="inlineStr">
        <is>
          <t>G00387</t>
        </is>
      </c>
      <c r="B112" t="inlineStr">
        <is>
          <t>INV/2026/02921</t>
        </is>
      </c>
      <c r="C112" s="9" t="n">
        <v>223.99</v>
      </c>
      <c r="D112" t="str">
        <f>INDEX('Match Groups'!$B$5:$B$1326,MATCH(A112,'Match Groups'!$A$5:$A$1326,0))</f>
        <v>OPS</v>
      </c>
      <c r="E112" t="str">
        <f>INDEX('Match Groups'!$D$5:$D$1326,MATCH(A112,'Match Groups'!$A$5:$A$1326,0))</f>
        <v>REG</v>
      </c>
    </row>
    <row r="113">
      <c r="A113" t="inlineStr">
        <is>
          <t>G00403</t>
        </is>
      </c>
      <c r="B113" t="inlineStr">
        <is>
          <t>INV/2026/03005</t>
        </is>
      </c>
      <c r="C113" s="9" t="n">
        <v>145.49</v>
      </c>
      <c r="D113" t="str">
        <f>INDEX('Match Groups'!$B$5:$B$1326,MATCH(A113,'Match Groups'!$A$5:$A$1326,0))</f>
        <v>OPS</v>
      </c>
      <c r="E113" t="str">
        <f>INDEX('Match Groups'!$D$5:$D$1326,MATCH(A113,'Match Groups'!$A$5:$A$1326,0))</f>
        <v>REG</v>
      </c>
    </row>
    <row r="114">
      <c r="A114" t="inlineStr">
        <is>
          <t>G00403</t>
        </is>
      </c>
      <c r="B114" t="inlineStr">
        <is>
          <t>INV/2026/03007</t>
        </is>
      </c>
      <c r="C114" s="9" t="n">
        <v>155.19</v>
      </c>
      <c r="D114" t="str">
        <f>INDEX('Match Groups'!$B$5:$B$1326,MATCH(A114,'Match Groups'!$A$5:$A$1326,0))</f>
        <v>OPS</v>
      </c>
      <c r="E114" t="str">
        <f>INDEX('Match Groups'!$D$5:$D$1326,MATCH(A114,'Match Groups'!$A$5:$A$1326,0))</f>
        <v>REG</v>
      </c>
    </row>
    <row r="115">
      <c r="A115" t="inlineStr">
        <is>
          <t>G00406</t>
        </is>
      </c>
      <c r="B115" t="inlineStr">
        <is>
          <t>INV/2026/02911</t>
        </is>
      </c>
      <c r="C115" s="9" t="n">
        <v>387.98</v>
      </c>
      <c r="D115" t="str">
        <f>INDEX('Match Groups'!$B$5:$B$1326,MATCH(A115,'Match Groups'!$A$5:$A$1326,0))</f>
        <v>OPS</v>
      </c>
      <c r="E115" t="str">
        <f>INDEX('Match Groups'!$D$5:$D$1326,MATCH(A115,'Match Groups'!$A$5:$A$1326,0))</f>
        <v>REG</v>
      </c>
    </row>
    <row r="116">
      <c r="A116" t="inlineStr">
        <is>
          <t>G00406</t>
        </is>
      </c>
      <c r="B116" t="inlineStr">
        <is>
          <t>INV/2026/02912</t>
        </is>
      </c>
      <c r="C116" s="9" t="n">
        <v>175.49</v>
      </c>
      <c r="D116" t="str">
        <f>INDEX('Match Groups'!$B$5:$B$1326,MATCH(A116,'Match Groups'!$A$5:$A$1326,0))</f>
        <v>OPS</v>
      </c>
      <c r="E116" t="str">
        <f>INDEX('Match Groups'!$D$5:$D$1326,MATCH(A116,'Match Groups'!$A$5:$A$1326,0))</f>
        <v>REG</v>
      </c>
    </row>
    <row r="117">
      <c r="A117" t="inlineStr">
        <is>
          <t>G00406</t>
        </is>
      </c>
      <c r="B117" t="inlineStr">
        <is>
          <t>INV/2026/02940</t>
        </is>
      </c>
      <c r="C117" s="9" t="n">
        <v>446.18</v>
      </c>
      <c r="D117" t="str">
        <f>INDEX('Match Groups'!$B$5:$B$1326,MATCH(A117,'Match Groups'!$A$5:$A$1326,0))</f>
        <v>OPS</v>
      </c>
      <c r="E117" t="str">
        <f>INDEX('Match Groups'!$D$5:$D$1326,MATCH(A117,'Match Groups'!$A$5:$A$1326,0))</f>
        <v>REG</v>
      </c>
    </row>
    <row r="118">
      <c r="A118" t="inlineStr">
        <is>
          <t>G00410</t>
        </is>
      </c>
      <c r="B118" t="inlineStr">
        <is>
          <t>INV/2026/02909</t>
        </is>
      </c>
      <c r="C118" s="9" t="n">
        <v>387.98</v>
      </c>
      <c r="D118" t="str">
        <f>INDEX('Match Groups'!$B$5:$B$1326,MATCH(A118,'Match Groups'!$A$5:$A$1326,0))</f>
        <v>OPS</v>
      </c>
      <c r="E118" t="str">
        <f>INDEX('Match Groups'!$D$5:$D$1326,MATCH(A118,'Match Groups'!$A$5:$A$1326,0))</f>
        <v>REG</v>
      </c>
    </row>
    <row r="119">
      <c r="A119" t="inlineStr">
        <is>
          <t>G00410</t>
        </is>
      </c>
      <c r="B119" t="inlineStr">
        <is>
          <t>INV/2026/02935</t>
        </is>
      </c>
      <c r="C119" s="9" t="n">
        <v>300.69</v>
      </c>
      <c r="D119" t="str">
        <f>INDEX('Match Groups'!$B$5:$B$1326,MATCH(A119,'Match Groups'!$A$5:$A$1326,0))</f>
        <v>OPS</v>
      </c>
      <c r="E119" t="str">
        <f>INDEX('Match Groups'!$D$5:$D$1326,MATCH(A119,'Match Groups'!$A$5:$A$1326,0))</f>
        <v>REG</v>
      </c>
    </row>
    <row r="120">
      <c r="A120" t="inlineStr">
        <is>
          <t>G00410</t>
        </is>
      </c>
      <c r="B120" t="inlineStr">
        <is>
          <t>INV/2026/02936</t>
        </is>
      </c>
      <c r="C120" s="9" t="n">
        <v>242.49</v>
      </c>
      <c r="D120" t="str">
        <f>INDEX('Match Groups'!$B$5:$B$1326,MATCH(A120,'Match Groups'!$A$5:$A$1326,0))</f>
        <v>OPS</v>
      </c>
      <c r="E120" t="str">
        <f>INDEX('Match Groups'!$D$5:$D$1326,MATCH(A120,'Match Groups'!$A$5:$A$1326,0))</f>
        <v>REG</v>
      </c>
    </row>
    <row r="121">
      <c r="A121" t="inlineStr">
        <is>
          <t>G00410</t>
        </is>
      </c>
      <c r="B121" t="inlineStr">
        <is>
          <t>INV/2026/02956</t>
        </is>
      </c>
      <c r="C121" s="9" t="n">
        <v>387.98</v>
      </c>
      <c r="D121" t="str">
        <f>INDEX('Match Groups'!$B$5:$B$1326,MATCH(A121,'Match Groups'!$A$5:$A$1326,0))</f>
        <v>OPS</v>
      </c>
      <c r="E121" t="str">
        <f>INDEX('Match Groups'!$D$5:$D$1326,MATCH(A121,'Match Groups'!$A$5:$A$1326,0))</f>
        <v>REG</v>
      </c>
    </row>
    <row r="122">
      <c r="A122" t="inlineStr">
        <is>
          <t>G00410</t>
        </is>
      </c>
      <c r="B122" t="inlineStr">
        <is>
          <t>INV/2026/02973</t>
        </is>
      </c>
      <c r="C122" s="9" t="n">
        <v>300.69</v>
      </c>
      <c r="D122" t="str">
        <f>INDEX('Match Groups'!$B$5:$B$1326,MATCH(A122,'Match Groups'!$A$5:$A$1326,0))</f>
        <v>OPS</v>
      </c>
      <c r="E122" t="str">
        <f>INDEX('Match Groups'!$D$5:$D$1326,MATCH(A122,'Match Groups'!$A$5:$A$1326,0))</f>
        <v>REG</v>
      </c>
    </row>
    <row r="123">
      <c r="A123" t="inlineStr">
        <is>
          <t>G00410</t>
        </is>
      </c>
      <c r="B123" t="inlineStr">
        <is>
          <t>INV/2026/02974</t>
        </is>
      </c>
      <c r="C123" s="9" t="n">
        <v>272.49</v>
      </c>
      <c r="D123" t="str">
        <f>INDEX('Match Groups'!$B$5:$B$1326,MATCH(A123,'Match Groups'!$A$5:$A$1326,0))</f>
        <v>OPS</v>
      </c>
      <c r="E123" t="str">
        <f>INDEX('Match Groups'!$D$5:$D$1326,MATCH(A123,'Match Groups'!$A$5:$A$1326,0))</f>
        <v>REG</v>
      </c>
    </row>
    <row r="124">
      <c r="A124" t="inlineStr">
        <is>
          <t>G00416</t>
        </is>
      </c>
      <c r="B124" t="inlineStr">
        <is>
          <t>INV/2026/02991</t>
        </is>
      </c>
      <c r="C124" s="9" t="n">
        <v>223.99</v>
      </c>
      <c r="D124" t="str">
        <f>INDEX('Match Groups'!$B$5:$B$1326,MATCH(A124,'Match Groups'!$A$5:$A$1326,0))</f>
        <v>OPS</v>
      </c>
      <c r="E124" t="str">
        <f>INDEX('Match Groups'!$D$5:$D$1326,MATCH(A124,'Match Groups'!$A$5:$A$1326,0))</f>
        <v>REG</v>
      </c>
    </row>
    <row r="125">
      <c r="A125" t="inlineStr">
        <is>
          <t>G00416</t>
        </is>
      </c>
      <c r="B125" t="inlineStr">
        <is>
          <t>INV/2026/03019</t>
        </is>
      </c>
      <c r="C125" s="9" t="n">
        <v>446.18</v>
      </c>
      <c r="D125" t="str">
        <f>INDEX('Match Groups'!$B$5:$B$1326,MATCH(A125,'Match Groups'!$A$5:$A$1326,0))</f>
        <v>OPS</v>
      </c>
      <c r="E125" t="str">
        <f>INDEX('Match Groups'!$D$5:$D$1326,MATCH(A125,'Match Groups'!$A$5:$A$1326,0))</f>
        <v>REG</v>
      </c>
    </row>
    <row r="126">
      <c r="A126" t="inlineStr">
        <is>
          <t>G00421</t>
        </is>
      </c>
      <c r="B126" t="inlineStr">
        <is>
          <t>INV/2026/02813</t>
        </is>
      </c>
      <c r="C126" s="9" t="n">
        <v>155.19</v>
      </c>
      <c r="D126" t="str">
        <f>INDEX('Match Groups'!$B$5:$B$1326,MATCH(A126,'Match Groups'!$A$5:$A$1326,0))</f>
        <v>OPS</v>
      </c>
      <c r="E126" t="str">
        <f>INDEX('Match Groups'!$D$5:$D$1326,MATCH(A126,'Match Groups'!$A$5:$A$1326,0))</f>
        <v>REG</v>
      </c>
    </row>
    <row r="127">
      <c r="A127" t="inlineStr">
        <is>
          <t>G00421</t>
        </is>
      </c>
      <c r="B127" t="inlineStr">
        <is>
          <t>INV/2026/02834</t>
        </is>
      </c>
      <c r="C127" s="9" t="n">
        <v>290.98</v>
      </c>
      <c r="D127" t="str">
        <f>INDEX('Match Groups'!$B$5:$B$1326,MATCH(A127,'Match Groups'!$A$5:$A$1326,0))</f>
        <v>OPS</v>
      </c>
      <c r="E127" t="str">
        <f>INDEX('Match Groups'!$D$5:$D$1326,MATCH(A127,'Match Groups'!$A$5:$A$1326,0))</f>
        <v>REG</v>
      </c>
    </row>
    <row r="128">
      <c r="A128" t="inlineStr">
        <is>
          <t>G00421</t>
        </is>
      </c>
      <c r="B128" t="inlineStr">
        <is>
          <t>INV/2026/02853</t>
        </is>
      </c>
      <c r="C128" s="9" t="n">
        <v>126.99</v>
      </c>
      <c r="D128" t="str">
        <f>INDEX('Match Groups'!$B$5:$B$1326,MATCH(A128,'Match Groups'!$A$5:$A$1326,0))</f>
        <v>OPS</v>
      </c>
      <c r="E128" t="str">
        <f>INDEX('Match Groups'!$D$5:$D$1326,MATCH(A128,'Match Groups'!$A$5:$A$1326,0))</f>
        <v>REG</v>
      </c>
    </row>
    <row r="129">
      <c r="A129" t="inlineStr">
        <is>
          <t>G00421</t>
        </is>
      </c>
      <c r="B129" t="inlineStr">
        <is>
          <t>INV/2026/02854</t>
        </is>
      </c>
      <c r="C129" s="9" t="n">
        <v>96.98999999999999</v>
      </c>
      <c r="D129" t="str">
        <f>INDEX('Match Groups'!$B$5:$B$1326,MATCH(A129,'Match Groups'!$A$5:$A$1326,0))</f>
        <v>OPS</v>
      </c>
      <c r="E129" t="str">
        <f>INDEX('Match Groups'!$D$5:$D$1326,MATCH(A129,'Match Groups'!$A$5:$A$1326,0))</f>
        <v>REG</v>
      </c>
    </row>
    <row r="130">
      <c r="A130" t="inlineStr">
        <is>
          <t>G00421</t>
        </is>
      </c>
      <c r="B130" t="inlineStr">
        <is>
          <t>INV/2026/02876</t>
        </is>
      </c>
      <c r="C130" s="9" t="n">
        <v>320.98</v>
      </c>
      <c r="D130" t="str">
        <f>INDEX('Match Groups'!$B$5:$B$1326,MATCH(A130,'Match Groups'!$A$5:$A$1326,0))</f>
        <v>OPS</v>
      </c>
      <c r="E130" t="str">
        <f>INDEX('Match Groups'!$D$5:$D$1326,MATCH(A130,'Match Groups'!$A$5:$A$1326,0))</f>
        <v>REG</v>
      </c>
    </row>
    <row r="131">
      <c r="A131" t="inlineStr">
        <is>
          <t>G00421</t>
        </is>
      </c>
      <c r="B131" t="inlineStr">
        <is>
          <t>INV/2026/02877</t>
        </is>
      </c>
      <c r="C131" s="9" t="n">
        <v>193.99</v>
      </c>
      <c r="D131" t="str">
        <f>INDEX('Match Groups'!$B$5:$B$1326,MATCH(A131,'Match Groups'!$A$5:$A$1326,0))</f>
        <v>OPS</v>
      </c>
      <c r="E131" t="str">
        <f>INDEX('Match Groups'!$D$5:$D$1326,MATCH(A131,'Match Groups'!$A$5:$A$1326,0))</f>
        <v>REG</v>
      </c>
    </row>
    <row r="132">
      <c r="A132" t="inlineStr">
        <is>
          <t>G00421</t>
        </is>
      </c>
      <c r="B132" t="inlineStr">
        <is>
          <t>INV/2026/02878</t>
        </is>
      </c>
      <c r="C132" s="9" t="n">
        <v>242.49</v>
      </c>
      <c r="D132" t="str">
        <f>INDEX('Match Groups'!$B$5:$B$1326,MATCH(A132,'Match Groups'!$A$5:$A$1326,0))</f>
        <v>OPS</v>
      </c>
      <c r="E132" t="str">
        <f>INDEX('Match Groups'!$D$5:$D$1326,MATCH(A132,'Match Groups'!$A$5:$A$1326,0))</f>
        <v>REG</v>
      </c>
    </row>
    <row r="133">
      <c r="A133" t="inlineStr">
        <is>
          <t>G00421</t>
        </is>
      </c>
      <c r="B133" t="inlineStr">
        <is>
          <t>INV/2026/02916</t>
        </is>
      </c>
      <c r="C133" s="9" t="n">
        <v>223.99</v>
      </c>
      <c r="D133" t="str">
        <f>INDEX('Match Groups'!$B$5:$B$1326,MATCH(A133,'Match Groups'!$A$5:$A$1326,0))</f>
        <v>OPS</v>
      </c>
      <c r="E133" t="str">
        <f>INDEX('Match Groups'!$D$5:$D$1326,MATCH(A133,'Match Groups'!$A$5:$A$1326,0))</f>
        <v>REG</v>
      </c>
    </row>
    <row r="134">
      <c r="A134" t="inlineStr">
        <is>
          <t>G00421</t>
        </is>
      </c>
      <c r="B134" t="inlineStr">
        <is>
          <t>INV/2026/02917</t>
        </is>
      </c>
      <c r="C134" s="9" t="n">
        <v>417.98</v>
      </c>
      <c r="D134" t="str">
        <f>INDEX('Match Groups'!$B$5:$B$1326,MATCH(A134,'Match Groups'!$A$5:$A$1326,0))</f>
        <v>OPS</v>
      </c>
      <c r="E134" t="str">
        <f>INDEX('Match Groups'!$D$5:$D$1326,MATCH(A134,'Match Groups'!$A$5:$A$1326,0))</f>
        <v>REG</v>
      </c>
    </row>
    <row r="135">
      <c r="A135" t="inlineStr">
        <is>
          <t>G00421</t>
        </is>
      </c>
      <c r="B135" t="inlineStr">
        <is>
          <t>INV/2026/02918</t>
        </is>
      </c>
      <c r="C135" s="9" t="n">
        <v>193.99</v>
      </c>
      <c r="D135" t="str">
        <f>INDEX('Match Groups'!$B$5:$B$1326,MATCH(A135,'Match Groups'!$A$5:$A$1326,0))</f>
        <v>OPS</v>
      </c>
      <c r="E135" t="str">
        <f>INDEX('Match Groups'!$D$5:$D$1326,MATCH(A135,'Match Groups'!$A$5:$A$1326,0))</f>
        <v>REG</v>
      </c>
    </row>
    <row r="136">
      <c r="A136" t="inlineStr">
        <is>
          <t>G00421</t>
        </is>
      </c>
      <c r="B136" t="inlineStr">
        <is>
          <t>INV/2026/02944</t>
        </is>
      </c>
      <c r="C136" s="9" t="n">
        <v>349.18</v>
      </c>
      <c r="D136" t="str">
        <f>INDEX('Match Groups'!$B$5:$B$1326,MATCH(A136,'Match Groups'!$A$5:$A$1326,0))</f>
        <v>OPS</v>
      </c>
      <c r="E136" t="str">
        <f>INDEX('Match Groups'!$D$5:$D$1326,MATCH(A136,'Match Groups'!$A$5:$A$1326,0))</f>
        <v>REG</v>
      </c>
    </row>
    <row r="137">
      <c r="A137" t="inlineStr">
        <is>
          <t>G00421</t>
        </is>
      </c>
      <c r="B137" t="inlineStr">
        <is>
          <t>INV/2026/02963</t>
        </is>
      </c>
      <c r="C137" s="9" t="n">
        <v>155.19</v>
      </c>
      <c r="D137" t="str">
        <f>INDEX('Match Groups'!$B$5:$B$1326,MATCH(A137,'Match Groups'!$A$5:$A$1326,0))</f>
        <v>OPS</v>
      </c>
      <c r="E137" t="str">
        <f>INDEX('Match Groups'!$D$5:$D$1326,MATCH(A137,'Match Groups'!$A$5:$A$1326,0))</f>
        <v>REG</v>
      </c>
    </row>
    <row r="138">
      <c r="A138" t="inlineStr">
        <is>
          <t>G00429</t>
        </is>
      </c>
      <c r="B138" t="inlineStr">
        <is>
          <t>INV/2026/03012</t>
        </is>
      </c>
      <c r="C138" s="9" t="n">
        <v>387.98</v>
      </c>
      <c r="D138" t="str">
        <f>INDEX('Match Groups'!$B$5:$B$1326,MATCH(A138,'Match Groups'!$A$5:$A$1326,0))</f>
        <v>OPS</v>
      </c>
      <c r="E138" t="str">
        <f>INDEX('Match Groups'!$D$5:$D$1326,MATCH(A138,'Match Groups'!$A$5:$A$1326,0))</f>
        <v>REG</v>
      </c>
    </row>
    <row r="139">
      <c r="A139" t="inlineStr">
        <is>
          <t>G00429</t>
        </is>
      </c>
      <c r="B139" t="inlineStr">
        <is>
          <t>INV/2026/03052</t>
        </is>
      </c>
      <c r="C139" s="9" t="n">
        <v>223.99</v>
      </c>
      <c r="D139" t="str">
        <f>INDEX('Match Groups'!$B$5:$B$1326,MATCH(A139,'Match Groups'!$A$5:$A$1326,0))</f>
        <v>OPS</v>
      </c>
      <c r="E139" t="str">
        <f>INDEX('Match Groups'!$D$5:$D$1326,MATCH(A139,'Match Groups'!$A$5:$A$1326,0))</f>
        <v>REG</v>
      </c>
    </row>
    <row r="140">
      <c r="A140" t="inlineStr">
        <is>
          <t>G00436</t>
        </is>
      </c>
      <c r="B140" t="inlineStr">
        <is>
          <t>INV/2026/03048</t>
        </is>
      </c>
      <c r="C140" s="9" t="n">
        <v>193.99</v>
      </c>
      <c r="D140" t="str">
        <f>INDEX('Match Groups'!$B$5:$B$1326,MATCH(A140,'Match Groups'!$A$5:$A$1326,0))</f>
        <v>OPS</v>
      </c>
      <c r="E140" t="str">
        <f>INDEX('Match Groups'!$D$5:$D$1326,MATCH(A140,'Match Groups'!$A$5:$A$1326,0))</f>
        <v>REG</v>
      </c>
    </row>
    <row r="141">
      <c r="A141" t="inlineStr">
        <is>
          <t>G00436</t>
        </is>
      </c>
      <c r="B141" t="inlineStr">
        <is>
          <t>INV/2026/03070</t>
        </is>
      </c>
      <c r="C141" s="9" t="n">
        <v>193.99</v>
      </c>
      <c r="D141" t="str">
        <f>INDEX('Match Groups'!$B$5:$B$1326,MATCH(A141,'Match Groups'!$A$5:$A$1326,0))</f>
        <v>OPS</v>
      </c>
      <c r="E141" t="str">
        <f>INDEX('Match Groups'!$D$5:$D$1326,MATCH(A141,'Match Groups'!$A$5:$A$1326,0))</f>
        <v>REG</v>
      </c>
    </row>
    <row r="142">
      <c r="A142" t="inlineStr">
        <is>
          <t>G00436</t>
        </is>
      </c>
      <c r="B142" t="inlineStr">
        <is>
          <t>INV/2026/03071</t>
        </is>
      </c>
      <c r="C142" s="9" t="n">
        <v>446.18</v>
      </c>
      <c r="D142" t="str">
        <f>INDEX('Match Groups'!$B$5:$B$1326,MATCH(A142,'Match Groups'!$A$5:$A$1326,0))</f>
        <v>OPS</v>
      </c>
      <c r="E142" t="str">
        <f>INDEX('Match Groups'!$D$5:$D$1326,MATCH(A142,'Match Groups'!$A$5:$A$1326,0))</f>
        <v>REG</v>
      </c>
    </row>
    <row r="143">
      <c r="A143" t="inlineStr">
        <is>
          <t>G00451</t>
        </is>
      </c>
      <c r="B143" t="inlineStr">
        <is>
          <t>INV/2026/03057</t>
        </is>
      </c>
      <c r="C143" s="9" t="n">
        <v>155.19</v>
      </c>
      <c r="D143" t="str">
        <f>INDEX('Match Groups'!$B$5:$B$1326,MATCH(A143,'Match Groups'!$A$5:$A$1326,0))</f>
        <v>OPS</v>
      </c>
      <c r="E143" t="str">
        <f>INDEX('Match Groups'!$D$5:$D$1326,MATCH(A143,'Match Groups'!$A$5:$A$1326,0))</f>
        <v>REG</v>
      </c>
    </row>
    <row r="144">
      <c r="A144" t="inlineStr">
        <is>
          <t>G00451</t>
        </is>
      </c>
      <c r="B144" t="inlineStr">
        <is>
          <t>INV/2026/03076</t>
        </is>
      </c>
      <c r="C144" s="9" t="n">
        <v>126.99</v>
      </c>
      <c r="D144" t="str">
        <f>INDEX('Match Groups'!$B$5:$B$1326,MATCH(A144,'Match Groups'!$A$5:$A$1326,0))</f>
        <v>OPS</v>
      </c>
      <c r="E144" t="str">
        <f>INDEX('Match Groups'!$D$5:$D$1326,MATCH(A144,'Match Groups'!$A$5:$A$1326,0))</f>
        <v>REG</v>
      </c>
    </row>
    <row r="145">
      <c r="A145" t="inlineStr">
        <is>
          <t>G00452</t>
        </is>
      </c>
      <c r="B145" t="inlineStr">
        <is>
          <t>INV/2026/03017</t>
        </is>
      </c>
      <c r="C145" s="9" t="n">
        <v>155.19</v>
      </c>
      <c r="D145" t="str">
        <f>INDEX('Match Groups'!$B$5:$B$1326,MATCH(A145,'Match Groups'!$A$5:$A$1326,0))</f>
        <v>OPS</v>
      </c>
      <c r="E145" t="str">
        <f>INDEX('Match Groups'!$D$5:$D$1326,MATCH(A145,'Match Groups'!$A$5:$A$1326,0))</f>
        <v>REG</v>
      </c>
    </row>
    <row r="146">
      <c r="A146" t="inlineStr">
        <is>
          <t>G00452</t>
        </is>
      </c>
      <c r="B146" t="inlineStr">
        <is>
          <t>INV/2026/03018</t>
        </is>
      </c>
      <c r="C146" s="9" t="n">
        <v>417.98</v>
      </c>
      <c r="D146" t="str">
        <f>INDEX('Match Groups'!$B$5:$B$1326,MATCH(A146,'Match Groups'!$A$5:$A$1326,0))</f>
        <v>OPS</v>
      </c>
      <c r="E146" t="str">
        <f>INDEX('Match Groups'!$D$5:$D$1326,MATCH(A146,'Match Groups'!$A$5:$A$1326,0))</f>
        <v>REG</v>
      </c>
    </row>
    <row r="147">
      <c r="A147" t="inlineStr">
        <is>
          <t>G00452</t>
        </is>
      </c>
      <c r="B147" t="inlineStr">
        <is>
          <t>INV/2026/03077</t>
        </is>
      </c>
      <c r="C147" s="9" t="n">
        <v>290.98</v>
      </c>
      <c r="D147" t="str">
        <f>INDEX('Match Groups'!$B$5:$B$1326,MATCH(A147,'Match Groups'!$A$5:$A$1326,0))</f>
        <v>OPS</v>
      </c>
      <c r="E147" t="str">
        <f>INDEX('Match Groups'!$D$5:$D$1326,MATCH(A147,'Match Groups'!$A$5:$A$1326,0))</f>
        <v>REG</v>
      </c>
    </row>
    <row r="148">
      <c r="A148" t="inlineStr">
        <is>
          <t>G00452</t>
        </is>
      </c>
      <c r="B148" t="inlineStr">
        <is>
          <t>INV/2026/03078</t>
        </is>
      </c>
      <c r="C148" s="9" t="n">
        <v>387.98</v>
      </c>
      <c r="D148" t="str">
        <f>INDEX('Match Groups'!$B$5:$B$1326,MATCH(A148,'Match Groups'!$A$5:$A$1326,0))</f>
        <v>OPS</v>
      </c>
      <c r="E148" t="str">
        <f>INDEX('Match Groups'!$D$5:$D$1326,MATCH(A148,'Match Groups'!$A$5:$A$1326,0))</f>
        <v>REG</v>
      </c>
    </row>
    <row r="149">
      <c r="A149" t="inlineStr">
        <is>
          <t>G00452</t>
        </is>
      </c>
      <c r="B149" t="inlineStr">
        <is>
          <t>INV/2026/03100</t>
        </is>
      </c>
      <c r="C149" s="9" t="n">
        <v>320.98</v>
      </c>
      <c r="D149" t="str">
        <f>INDEX('Match Groups'!$B$5:$B$1326,MATCH(A149,'Match Groups'!$A$5:$A$1326,0))</f>
        <v>OPS</v>
      </c>
      <c r="E149" t="str">
        <f>INDEX('Match Groups'!$D$5:$D$1326,MATCH(A149,'Match Groups'!$A$5:$A$1326,0))</f>
        <v>REG</v>
      </c>
    </row>
    <row r="150">
      <c r="A150" t="inlineStr">
        <is>
          <t>G00452</t>
        </is>
      </c>
      <c r="B150" t="inlineStr">
        <is>
          <t>INV/2026/03127</t>
        </is>
      </c>
      <c r="C150" s="9" t="n">
        <v>155.19</v>
      </c>
      <c r="D150" t="str">
        <f>INDEX('Match Groups'!$B$5:$B$1326,MATCH(A150,'Match Groups'!$A$5:$A$1326,0))</f>
        <v>OPS</v>
      </c>
      <c r="E150" t="str">
        <f>INDEX('Match Groups'!$D$5:$D$1326,MATCH(A150,'Match Groups'!$A$5:$A$1326,0))</f>
        <v>REG</v>
      </c>
    </row>
    <row r="151">
      <c r="A151" t="inlineStr">
        <is>
          <t>G00452</t>
        </is>
      </c>
      <c r="B151" t="inlineStr">
        <is>
          <t>INV/2026/03155</t>
        </is>
      </c>
      <c r="C151" s="9" t="n">
        <v>193.99</v>
      </c>
      <c r="D151" t="str">
        <f>INDEX('Match Groups'!$B$5:$B$1326,MATCH(A151,'Match Groups'!$A$5:$A$1326,0))</f>
        <v>OPS</v>
      </c>
      <c r="E151" t="str">
        <f>INDEX('Match Groups'!$D$5:$D$1326,MATCH(A151,'Match Groups'!$A$5:$A$1326,0))</f>
        <v>REG</v>
      </c>
    </row>
    <row r="152">
      <c r="A152" t="inlineStr">
        <is>
          <t>G00473</t>
        </is>
      </c>
      <c r="B152" t="inlineStr">
        <is>
          <t>INV/2026/03135</t>
        </is>
      </c>
      <c r="C152" s="9" t="n">
        <v>193.99</v>
      </c>
      <c r="D152" t="str">
        <f>INDEX('Match Groups'!$B$5:$B$1326,MATCH(A152,'Match Groups'!$A$5:$A$1326,0))</f>
        <v>OPS</v>
      </c>
      <c r="E152" t="str">
        <f>INDEX('Match Groups'!$D$5:$D$1326,MATCH(A152,'Match Groups'!$A$5:$A$1326,0))</f>
        <v>REG</v>
      </c>
    </row>
    <row r="153">
      <c r="A153" t="inlineStr">
        <is>
          <t>G00473</t>
        </is>
      </c>
      <c r="B153" t="inlineStr">
        <is>
          <t>INV/2026/03136</t>
        </is>
      </c>
      <c r="C153" s="9" t="n">
        <v>145.49</v>
      </c>
      <c r="D153" t="str">
        <f>INDEX('Match Groups'!$B$5:$B$1326,MATCH(A153,'Match Groups'!$A$5:$A$1326,0))</f>
        <v>OPS</v>
      </c>
      <c r="E153" t="str">
        <f>INDEX('Match Groups'!$D$5:$D$1326,MATCH(A153,'Match Groups'!$A$5:$A$1326,0))</f>
        <v>REG</v>
      </c>
    </row>
    <row r="154">
      <c r="A154" t="inlineStr">
        <is>
          <t>G00473</t>
        </is>
      </c>
      <c r="B154" t="inlineStr">
        <is>
          <t>INV/2026/03161</t>
        </is>
      </c>
      <c r="C154" s="9" t="n">
        <v>417.98</v>
      </c>
      <c r="D154" t="str">
        <f>INDEX('Match Groups'!$B$5:$B$1326,MATCH(A154,'Match Groups'!$A$5:$A$1326,0))</f>
        <v>OPS</v>
      </c>
      <c r="E154" t="str">
        <f>INDEX('Match Groups'!$D$5:$D$1326,MATCH(A154,'Match Groups'!$A$5:$A$1326,0))</f>
        <v>REG</v>
      </c>
    </row>
    <row r="155">
      <c r="A155" t="inlineStr">
        <is>
          <t>G00473</t>
        </is>
      </c>
      <c r="B155" t="inlineStr">
        <is>
          <t>INV/2026/03162</t>
        </is>
      </c>
      <c r="C155" s="9" t="n">
        <v>320.98</v>
      </c>
      <c r="D155" t="str">
        <f>INDEX('Match Groups'!$B$5:$B$1326,MATCH(A155,'Match Groups'!$A$5:$A$1326,0))</f>
        <v>OPS</v>
      </c>
      <c r="E155" t="str">
        <f>INDEX('Match Groups'!$D$5:$D$1326,MATCH(A155,'Match Groups'!$A$5:$A$1326,0))</f>
        <v>REG</v>
      </c>
    </row>
    <row r="156">
      <c r="A156" t="inlineStr">
        <is>
          <t>G00473</t>
        </is>
      </c>
      <c r="B156" t="inlineStr">
        <is>
          <t>INV/2026/03163</t>
        </is>
      </c>
      <c r="C156" s="9" t="n">
        <v>126.99</v>
      </c>
      <c r="D156" t="str">
        <f>INDEX('Match Groups'!$B$5:$B$1326,MATCH(A156,'Match Groups'!$A$5:$A$1326,0))</f>
        <v>OPS</v>
      </c>
      <c r="E156" t="str">
        <f>INDEX('Match Groups'!$D$5:$D$1326,MATCH(A156,'Match Groups'!$A$5:$A$1326,0))</f>
        <v>REG</v>
      </c>
    </row>
    <row r="157">
      <c r="A157" t="inlineStr">
        <is>
          <t>G00473</t>
        </is>
      </c>
      <c r="B157" t="inlineStr">
        <is>
          <t>INV/2026/03181</t>
        </is>
      </c>
      <c r="C157" s="9" t="n">
        <v>290.98</v>
      </c>
      <c r="D157" t="str">
        <f>INDEX('Match Groups'!$B$5:$B$1326,MATCH(A157,'Match Groups'!$A$5:$A$1326,0))</f>
        <v>OPS</v>
      </c>
      <c r="E157" t="str">
        <f>INDEX('Match Groups'!$D$5:$D$1326,MATCH(A157,'Match Groups'!$A$5:$A$1326,0))</f>
        <v>REG</v>
      </c>
    </row>
    <row r="158">
      <c r="A158" t="inlineStr">
        <is>
          <t>G00473</t>
        </is>
      </c>
      <c r="B158" t="inlineStr">
        <is>
          <t>INV/2026/03182</t>
        </is>
      </c>
      <c r="C158" s="9" t="n">
        <v>242.49</v>
      </c>
      <c r="D158" t="str">
        <f>INDEX('Match Groups'!$B$5:$B$1326,MATCH(A158,'Match Groups'!$A$5:$A$1326,0))</f>
        <v>OPS</v>
      </c>
      <c r="E158" t="str">
        <f>INDEX('Match Groups'!$D$5:$D$1326,MATCH(A158,'Match Groups'!$A$5:$A$1326,0))</f>
        <v>REG</v>
      </c>
    </row>
    <row r="159">
      <c r="A159" t="inlineStr">
        <is>
          <t>G00473</t>
        </is>
      </c>
      <c r="B159" t="inlineStr">
        <is>
          <t>INV/2026/03203</t>
        </is>
      </c>
      <c r="C159" s="9" t="n">
        <v>96.98999999999999</v>
      </c>
      <c r="D159" t="str">
        <f>INDEX('Match Groups'!$B$5:$B$1326,MATCH(A159,'Match Groups'!$A$5:$A$1326,0))</f>
        <v>OPS</v>
      </c>
      <c r="E159" t="str">
        <f>INDEX('Match Groups'!$D$5:$D$1326,MATCH(A159,'Match Groups'!$A$5:$A$1326,0))</f>
        <v>REG</v>
      </c>
    </row>
    <row r="160">
      <c r="A160" t="inlineStr">
        <is>
          <t>G00473</t>
        </is>
      </c>
      <c r="B160" t="inlineStr">
        <is>
          <t>INV/2026/03225</t>
        </is>
      </c>
      <c r="C160" s="9" t="n">
        <v>300.69</v>
      </c>
      <c r="D160" t="str">
        <f>INDEX('Match Groups'!$B$5:$B$1326,MATCH(A160,'Match Groups'!$A$5:$A$1326,0))</f>
        <v>OPS</v>
      </c>
      <c r="E160" t="str">
        <f>INDEX('Match Groups'!$D$5:$D$1326,MATCH(A160,'Match Groups'!$A$5:$A$1326,0))</f>
        <v>REG</v>
      </c>
    </row>
    <row r="161">
      <c r="A161" t="inlineStr">
        <is>
          <t>G00473</t>
        </is>
      </c>
      <c r="B161" t="inlineStr">
        <is>
          <t>INV/2026/03226</t>
        </is>
      </c>
      <c r="C161" s="9" t="n">
        <v>290.98</v>
      </c>
      <c r="D161" t="str">
        <f>INDEX('Match Groups'!$B$5:$B$1326,MATCH(A161,'Match Groups'!$A$5:$A$1326,0))</f>
        <v>OPS</v>
      </c>
      <c r="E161" t="str">
        <f>INDEX('Match Groups'!$D$5:$D$1326,MATCH(A161,'Match Groups'!$A$5:$A$1326,0))</f>
        <v>REG</v>
      </c>
    </row>
    <row r="162">
      <c r="A162" t="inlineStr">
        <is>
          <t>G00475</t>
        </is>
      </c>
      <c r="B162" t="inlineStr">
        <is>
          <t>INV/2026/03186</t>
        </is>
      </c>
      <c r="C162" s="9" t="n">
        <v>242.49</v>
      </c>
      <c r="D162" t="str">
        <f>INDEX('Match Groups'!$B$5:$B$1326,MATCH(A162,'Match Groups'!$A$5:$A$1326,0))</f>
        <v>OPS</v>
      </c>
      <c r="E162" t="str">
        <f>INDEX('Match Groups'!$D$5:$D$1326,MATCH(A162,'Match Groups'!$A$5:$A$1326,0))</f>
        <v>REG</v>
      </c>
    </row>
    <row r="163">
      <c r="A163" t="inlineStr">
        <is>
          <t>G00475</t>
        </is>
      </c>
      <c r="B163" t="inlineStr">
        <is>
          <t>INV/2026/03230</t>
        </is>
      </c>
      <c r="C163" s="9" t="n">
        <v>320.98</v>
      </c>
      <c r="D163" t="str">
        <f>INDEX('Match Groups'!$B$5:$B$1326,MATCH(A163,'Match Groups'!$A$5:$A$1326,0))</f>
        <v>OPS</v>
      </c>
      <c r="E163" t="str">
        <f>INDEX('Match Groups'!$D$5:$D$1326,MATCH(A163,'Match Groups'!$A$5:$A$1326,0))</f>
        <v>REG</v>
      </c>
    </row>
    <row r="164">
      <c r="A164" t="inlineStr">
        <is>
          <t>G00475</t>
        </is>
      </c>
      <c r="B164" t="inlineStr">
        <is>
          <t>INV/2026/03231</t>
        </is>
      </c>
      <c r="C164" s="9" t="n">
        <v>290.98</v>
      </c>
      <c r="D164" t="str">
        <f>INDEX('Match Groups'!$B$5:$B$1326,MATCH(A164,'Match Groups'!$A$5:$A$1326,0))</f>
        <v>OPS</v>
      </c>
      <c r="E164" t="str">
        <f>INDEX('Match Groups'!$D$5:$D$1326,MATCH(A164,'Match Groups'!$A$5:$A$1326,0))</f>
        <v>REG</v>
      </c>
    </row>
    <row r="165">
      <c r="A165" t="inlineStr">
        <is>
          <t>G00488</t>
        </is>
      </c>
      <c r="B165" t="inlineStr">
        <is>
          <t>INV/2026/03153</t>
        </is>
      </c>
      <c r="C165" s="9" t="n">
        <v>242.49</v>
      </c>
      <c r="D165" t="str">
        <f>INDEX('Match Groups'!$B$5:$B$1326,MATCH(A165,'Match Groups'!$A$5:$A$1326,0))</f>
        <v>OPS</v>
      </c>
      <c r="E165" t="str">
        <f>INDEX('Match Groups'!$D$5:$D$1326,MATCH(A165,'Match Groups'!$A$5:$A$1326,0))</f>
        <v>REG</v>
      </c>
    </row>
    <row r="166">
      <c r="A166" t="inlineStr">
        <is>
          <t>G00488</t>
        </is>
      </c>
      <c r="B166" t="inlineStr">
        <is>
          <t>INV/2026/03176</t>
        </is>
      </c>
      <c r="C166" s="9" t="n">
        <v>193.99</v>
      </c>
      <c r="D166" t="str">
        <f>INDEX('Match Groups'!$B$5:$B$1326,MATCH(A166,'Match Groups'!$A$5:$A$1326,0))</f>
        <v>OPS</v>
      </c>
      <c r="E166" t="str">
        <f>INDEX('Match Groups'!$D$5:$D$1326,MATCH(A166,'Match Groups'!$A$5:$A$1326,0))</f>
        <v>REG</v>
      </c>
    </row>
    <row r="167">
      <c r="A167" t="inlineStr">
        <is>
          <t>G00488</t>
        </is>
      </c>
      <c r="B167" t="inlineStr">
        <is>
          <t>INV/2026/03193</t>
        </is>
      </c>
      <c r="C167" s="9" t="n">
        <v>223.99</v>
      </c>
      <c r="D167" t="str">
        <f>INDEX('Match Groups'!$B$5:$B$1326,MATCH(A167,'Match Groups'!$A$5:$A$1326,0))</f>
        <v>OPS</v>
      </c>
      <c r="E167" t="str">
        <f>INDEX('Match Groups'!$D$5:$D$1326,MATCH(A167,'Match Groups'!$A$5:$A$1326,0))</f>
        <v>REG</v>
      </c>
    </row>
    <row r="168">
      <c r="A168" t="inlineStr">
        <is>
          <t>G00488</t>
        </is>
      </c>
      <c r="B168" t="inlineStr">
        <is>
          <t>INV/2026/03194</t>
        </is>
      </c>
      <c r="C168" s="9" t="n">
        <v>145.49</v>
      </c>
      <c r="D168" t="str">
        <f>INDEX('Match Groups'!$B$5:$B$1326,MATCH(A168,'Match Groups'!$A$5:$A$1326,0))</f>
        <v>OPS</v>
      </c>
      <c r="E168" t="str">
        <f>INDEX('Match Groups'!$D$5:$D$1326,MATCH(A168,'Match Groups'!$A$5:$A$1326,0))</f>
        <v>REG</v>
      </c>
    </row>
    <row r="169">
      <c r="A169" t="inlineStr">
        <is>
          <t>G00488</t>
        </is>
      </c>
      <c r="B169" t="inlineStr">
        <is>
          <t>INV/2026/03195</t>
        </is>
      </c>
      <c r="C169" s="9" t="n">
        <v>145.49</v>
      </c>
      <c r="D169" t="str">
        <f>INDEX('Match Groups'!$B$5:$B$1326,MATCH(A169,'Match Groups'!$A$5:$A$1326,0))</f>
        <v>OPS</v>
      </c>
      <c r="E169" t="str">
        <f>INDEX('Match Groups'!$D$5:$D$1326,MATCH(A169,'Match Groups'!$A$5:$A$1326,0))</f>
        <v>REG</v>
      </c>
    </row>
    <row r="170">
      <c r="A170" t="inlineStr">
        <is>
          <t>G00488</t>
        </is>
      </c>
      <c r="B170" t="inlineStr">
        <is>
          <t>INV/2026/03218</t>
        </is>
      </c>
      <c r="C170" s="9" t="n">
        <v>96.98999999999999</v>
      </c>
      <c r="D170" t="str">
        <f>INDEX('Match Groups'!$B$5:$B$1326,MATCH(A170,'Match Groups'!$A$5:$A$1326,0))</f>
        <v>OPS</v>
      </c>
      <c r="E170" t="str">
        <f>INDEX('Match Groups'!$D$5:$D$1326,MATCH(A170,'Match Groups'!$A$5:$A$1326,0))</f>
        <v>REG</v>
      </c>
    </row>
    <row r="171">
      <c r="A171" t="inlineStr">
        <is>
          <t>G00488</t>
        </is>
      </c>
      <c r="B171" t="inlineStr">
        <is>
          <t>INV/2026/03219</t>
        </is>
      </c>
      <c r="C171" s="9" t="n">
        <v>145.49</v>
      </c>
      <c r="D171" t="str">
        <f>INDEX('Match Groups'!$B$5:$B$1326,MATCH(A171,'Match Groups'!$A$5:$A$1326,0))</f>
        <v>OPS</v>
      </c>
      <c r="E171" t="str">
        <f>INDEX('Match Groups'!$D$5:$D$1326,MATCH(A171,'Match Groups'!$A$5:$A$1326,0))</f>
        <v>REG</v>
      </c>
    </row>
    <row r="172">
      <c r="A172" t="inlineStr">
        <is>
          <t>G00488</t>
        </is>
      </c>
      <c r="B172" t="inlineStr">
        <is>
          <t>INV/2026/03239</t>
        </is>
      </c>
      <c r="C172" s="9" t="n">
        <v>193.99</v>
      </c>
      <c r="D172" t="str">
        <f>INDEX('Match Groups'!$B$5:$B$1326,MATCH(A172,'Match Groups'!$A$5:$A$1326,0))</f>
        <v>OPS</v>
      </c>
      <c r="E172" t="str">
        <f>INDEX('Match Groups'!$D$5:$D$1326,MATCH(A172,'Match Groups'!$A$5:$A$1326,0))</f>
        <v>REG</v>
      </c>
    </row>
    <row r="173">
      <c r="A173" t="inlineStr">
        <is>
          <t>G00488</t>
        </is>
      </c>
      <c r="B173" t="inlineStr">
        <is>
          <t>INV/2026/03256</t>
        </is>
      </c>
      <c r="C173" s="9" t="n">
        <v>175.49</v>
      </c>
      <c r="D173" t="str">
        <f>INDEX('Match Groups'!$B$5:$B$1326,MATCH(A173,'Match Groups'!$A$5:$A$1326,0))</f>
        <v>OPS</v>
      </c>
      <c r="E173" t="str">
        <f>INDEX('Match Groups'!$D$5:$D$1326,MATCH(A173,'Match Groups'!$A$5:$A$1326,0))</f>
        <v>REG</v>
      </c>
    </row>
    <row r="174">
      <c r="A174" t="inlineStr">
        <is>
          <t>G00488</t>
        </is>
      </c>
      <c r="B174" t="inlineStr">
        <is>
          <t>INV/2026/03257</t>
        </is>
      </c>
      <c r="C174" s="9" t="n">
        <v>155.19</v>
      </c>
      <c r="D174" t="str">
        <f>INDEX('Match Groups'!$B$5:$B$1326,MATCH(A174,'Match Groups'!$A$5:$A$1326,0))</f>
        <v>OPS</v>
      </c>
      <c r="E174" t="str">
        <f>INDEX('Match Groups'!$D$5:$D$1326,MATCH(A174,'Match Groups'!$A$5:$A$1326,0))</f>
        <v>REG</v>
      </c>
    </row>
    <row r="175">
      <c r="A175" t="inlineStr">
        <is>
          <t>G00488</t>
        </is>
      </c>
      <c r="B175" t="inlineStr">
        <is>
          <t>INV/2026/03281</t>
        </is>
      </c>
      <c r="C175" s="9" t="n">
        <v>290.98</v>
      </c>
      <c r="D175" t="str">
        <f>INDEX('Match Groups'!$B$5:$B$1326,MATCH(A175,'Match Groups'!$A$5:$A$1326,0))</f>
        <v>OPS</v>
      </c>
      <c r="E175" t="str">
        <f>INDEX('Match Groups'!$D$5:$D$1326,MATCH(A175,'Match Groups'!$A$5:$A$1326,0))</f>
        <v>REG</v>
      </c>
    </row>
    <row r="176">
      <c r="A176" t="inlineStr">
        <is>
          <t>G00488</t>
        </is>
      </c>
      <c r="B176" t="inlineStr">
        <is>
          <t>INV/2026/03298</t>
        </is>
      </c>
      <c r="C176" s="9" t="n">
        <v>252.19</v>
      </c>
      <c r="D176" t="str">
        <f>INDEX('Match Groups'!$B$5:$B$1326,MATCH(A176,'Match Groups'!$A$5:$A$1326,0))</f>
        <v>OPS</v>
      </c>
      <c r="E176" t="str">
        <f>INDEX('Match Groups'!$D$5:$D$1326,MATCH(A176,'Match Groups'!$A$5:$A$1326,0))</f>
        <v>REG</v>
      </c>
    </row>
    <row r="177">
      <c r="A177" t="inlineStr">
        <is>
          <t>G00489</t>
        </is>
      </c>
      <c r="B177" t="inlineStr">
        <is>
          <t>INV/2026/03201</t>
        </is>
      </c>
      <c r="C177" s="9" t="n">
        <v>242.49</v>
      </c>
      <c r="D177" t="str">
        <f>INDEX('Match Groups'!$B$5:$B$1326,MATCH(A177,'Match Groups'!$A$5:$A$1326,0))</f>
        <v>OPS</v>
      </c>
      <c r="E177" t="str">
        <f>INDEX('Match Groups'!$D$5:$D$1326,MATCH(A177,'Match Groups'!$A$5:$A$1326,0))</f>
        <v>REG</v>
      </c>
    </row>
    <row r="178">
      <c r="A178" t="inlineStr">
        <is>
          <t>G00489</t>
        </is>
      </c>
      <c r="B178" t="inlineStr">
        <is>
          <t>INV/2026/03242</t>
        </is>
      </c>
      <c r="C178" s="9" t="n">
        <v>387.98</v>
      </c>
      <c r="D178" t="str">
        <f>INDEX('Match Groups'!$B$5:$B$1326,MATCH(A178,'Match Groups'!$A$5:$A$1326,0))</f>
        <v>OPS</v>
      </c>
      <c r="E178" t="str">
        <f>INDEX('Match Groups'!$D$5:$D$1326,MATCH(A178,'Match Groups'!$A$5:$A$1326,0))</f>
        <v>REG</v>
      </c>
    </row>
    <row r="179">
      <c r="A179" t="inlineStr">
        <is>
          <t>G00489</t>
        </is>
      </c>
      <c r="B179" t="inlineStr">
        <is>
          <t>INV/2026/03261</t>
        </is>
      </c>
      <c r="C179" s="9" t="n">
        <v>96.98999999999999</v>
      </c>
      <c r="D179" t="str">
        <f>INDEX('Match Groups'!$B$5:$B$1326,MATCH(A179,'Match Groups'!$A$5:$A$1326,0))</f>
        <v>OPS</v>
      </c>
      <c r="E179" t="str">
        <f>INDEX('Match Groups'!$D$5:$D$1326,MATCH(A179,'Match Groups'!$A$5:$A$1326,0))</f>
        <v>REG</v>
      </c>
    </row>
    <row r="180">
      <c r="A180" t="inlineStr">
        <is>
          <t>G00489</t>
        </is>
      </c>
      <c r="B180" t="inlineStr">
        <is>
          <t>INV/2026/03262</t>
        </is>
      </c>
      <c r="C180" s="9" t="n">
        <v>145.49</v>
      </c>
      <c r="D180" t="str">
        <f>INDEX('Match Groups'!$B$5:$B$1326,MATCH(A180,'Match Groups'!$A$5:$A$1326,0))</f>
        <v>OPS</v>
      </c>
      <c r="E180" t="str">
        <f>INDEX('Match Groups'!$D$5:$D$1326,MATCH(A180,'Match Groups'!$A$5:$A$1326,0))</f>
        <v>REG</v>
      </c>
    </row>
    <row r="181">
      <c r="A181" t="inlineStr">
        <is>
          <t>G00489</t>
        </is>
      </c>
      <c r="B181" t="inlineStr">
        <is>
          <t>INV/2026/03263</t>
        </is>
      </c>
      <c r="C181" s="9" t="n">
        <v>203.69</v>
      </c>
      <c r="D181" t="str">
        <f>INDEX('Match Groups'!$B$5:$B$1326,MATCH(A181,'Match Groups'!$A$5:$A$1326,0))</f>
        <v>OPS</v>
      </c>
      <c r="E181" t="str">
        <f>INDEX('Match Groups'!$D$5:$D$1326,MATCH(A181,'Match Groups'!$A$5:$A$1326,0))</f>
        <v>REG</v>
      </c>
    </row>
    <row r="182">
      <c r="A182" t="inlineStr">
        <is>
          <t>G00489</t>
        </is>
      </c>
      <c r="B182" t="inlineStr">
        <is>
          <t>INV/2026/03284</t>
        </is>
      </c>
      <c r="C182" s="9" t="n">
        <v>446.18</v>
      </c>
      <c r="D182" t="str">
        <f>INDEX('Match Groups'!$B$5:$B$1326,MATCH(A182,'Match Groups'!$A$5:$A$1326,0))</f>
        <v>OPS</v>
      </c>
      <c r="E182" t="str">
        <f>INDEX('Match Groups'!$D$5:$D$1326,MATCH(A182,'Match Groups'!$A$5:$A$1326,0))</f>
        <v>REG</v>
      </c>
    </row>
    <row r="183">
      <c r="A183" t="inlineStr">
        <is>
          <t>G00489</t>
        </is>
      </c>
      <c r="B183" t="inlineStr">
        <is>
          <t>INV/2026/03303</t>
        </is>
      </c>
      <c r="C183" s="9" t="n">
        <v>272.49</v>
      </c>
      <c r="D183" t="str">
        <f>INDEX('Match Groups'!$B$5:$B$1326,MATCH(A183,'Match Groups'!$A$5:$A$1326,0))</f>
        <v>OPS</v>
      </c>
      <c r="E183" t="str">
        <f>INDEX('Match Groups'!$D$5:$D$1326,MATCH(A183,'Match Groups'!$A$5:$A$1326,0))</f>
        <v>REG</v>
      </c>
    </row>
    <row r="184">
      <c r="A184" t="inlineStr">
        <is>
          <t>G00489</t>
        </is>
      </c>
      <c r="B184" t="inlineStr">
        <is>
          <t>INV/2026/03304</t>
        </is>
      </c>
      <c r="C184" s="9" t="n">
        <v>242.49</v>
      </c>
      <c r="D184" t="str">
        <f>INDEX('Match Groups'!$B$5:$B$1326,MATCH(A184,'Match Groups'!$A$5:$A$1326,0))</f>
        <v>OPS</v>
      </c>
      <c r="E184" t="str">
        <f>INDEX('Match Groups'!$D$5:$D$1326,MATCH(A184,'Match Groups'!$A$5:$A$1326,0))</f>
        <v>REG</v>
      </c>
    </row>
    <row r="185">
      <c r="A185" t="inlineStr">
        <is>
          <t>G01170</t>
        </is>
      </c>
      <c r="B185" t="inlineStr">
        <is>
          <t>INV/2026/03452</t>
        </is>
      </c>
      <c r="C185" s="9" t="n">
        <v>1320</v>
      </c>
      <c r="D185" t="str">
        <f>INDEX('Match Groups'!$B$5:$B$1326,MATCH(A185,'Match Groups'!$A$5:$A$1326,0))</f>
        <v>OPS</v>
      </c>
      <c r="E185" t="str">
        <f>INDEX('Match Groups'!$D$5:$D$1326,MATCH(A185,'Match Groups'!$A$5:$A$1326,0))</f>
        <v>REG</v>
      </c>
    </row>
    <row r="186">
      <c r="A186" t="inlineStr">
        <is>
          <t>G01171</t>
        </is>
      </c>
      <c r="B186" t="inlineStr">
        <is>
          <t>INV/2026/01705</t>
        </is>
      </c>
      <c r="C186" s="9" t="n">
        <v>132</v>
      </c>
      <c r="D186" t="str">
        <f>INDEX('Match Groups'!$B$5:$B$1326,MATCH(A186,'Match Groups'!$A$5:$A$1326,0))</f>
        <v>OPS</v>
      </c>
      <c r="E186" t="str">
        <f>INDEX('Match Groups'!$D$5:$D$1326,MATCH(A186,'Match Groups'!$A$5:$A$1326,0))</f>
        <v>REG</v>
      </c>
    </row>
    <row r="187">
      <c r="A187" t="inlineStr">
        <is>
          <t>G01172</t>
        </is>
      </c>
      <c r="B187" t="inlineStr">
        <is>
          <t>BILL/2026/1005</t>
        </is>
      </c>
      <c r="C187" s="9" t="n">
        <v>-649</v>
      </c>
      <c r="D187" t="str">
        <f>INDEX('Match Groups'!$B$5:$B$1326,MATCH(A187,'Match Groups'!$A$5:$A$1326,0))</f>
        <v>OPS</v>
      </c>
      <c r="E187" t="str">
        <f>INDEX('Match Groups'!$D$5:$D$1326,MATCH(A187,'Match Groups'!$A$5:$A$1326,0))</f>
        <v>REGBILL</v>
      </c>
    </row>
    <row r="188">
      <c r="A188" t="inlineStr">
        <is>
          <t>G01173</t>
        </is>
      </c>
      <c r="B188" t="inlineStr">
        <is>
          <t>INV/2026/03431</t>
        </is>
      </c>
      <c r="C188" s="9" t="n">
        <v>10807.5</v>
      </c>
      <c r="D188" t="str">
        <f>INDEX('Match Groups'!$B$5:$B$1326,MATCH(A188,'Match Groups'!$A$5:$A$1326,0))</f>
        <v>OPS</v>
      </c>
      <c r="E188" t="str">
        <f>INDEX('Match Groups'!$D$5:$D$1326,MATCH(A188,'Match Groups'!$A$5:$A$1326,0))</f>
        <v>REG</v>
      </c>
    </row>
    <row r="189">
      <c r="A189" t="inlineStr">
        <is>
          <t>G01174</t>
        </is>
      </c>
      <c r="B189" t="inlineStr">
        <is>
          <t>INV/2026/01990</t>
        </is>
      </c>
      <c r="C189" s="9" t="n">
        <v>88</v>
      </c>
      <c r="D189" t="str">
        <f>INDEX('Match Groups'!$B$5:$B$1326,MATCH(A189,'Match Groups'!$A$5:$A$1326,0))</f>
        <v>OPS</v>
      </c>
      <c r="E189" t="str">
        <f>INDEX('Match Groups'!$D$5:$D$1326,MATCH(A189,'Match Groups'!$A$5:$A$1326,0))</f>
        <v>REG</v>
      </c>
    </row>
    <row r="190">
      <c r="A190" t="inlineStr">
        <is>
          <t>G01175</t>
        </is>
      </c>
      <c r="B190" t="inlineStr">
        <is>
          <t>BILL/2026/1003</t>
        </is>
      </c>
      <c r="C190" s="9" t="n">
        <v>-2215.4</v>
      </c>
      <c r="D190" t="str">
        <f>INDEX('Match Groups'!$B$5:$B$1326,MATCH(A190,'Match Groups'!$A$5:$A$1326,0))</f>
        <v>OPS</v>
      </c>
      <c r="E190" t="str">
        <f>INDEX('Match Groups'!$D$5:$D$1326,MATCH(A190,'Match Groups'!$A$5:$A$1326,0))</f>
        <v>REGBILL</v>
      </c>
    </row>
    <row r="191">
      <c r="A191" t="inlineStr">
        <is>
          <t>G01176</t>
        </is>
      </c>
      <c r="B191" t="inlineStr">
        <is>
          <t>INV/2026/02104</t>
        </is>
      </c>
      <c r="C191" s="9" t="n">
        <v>412.5</v>
      </c>
      <c r="D191" t="str">
        <f>INDEX('Match Groups'!$B$5:$B$1326,MATCH(A191,'Match Groups'!$A$5:$A$1326,0))</f>
        <v>OPS</v>
      </c>
      <c r="E191" t="str">
        <f>INDEX('Match Groups'!$D$5:$D$1326,MATCH(A191,'Match Groups'!$A$5:$A$1326,0))</f>
        <v>REG</v>
      </c>
    </row>
    <row r="192">
      <c r="A192" t="inlineStr">
        <is>
          <t>G01177</t>
        </is>
      </c>
      <c r="B192" t="inlineStr">
        <is>
          <t>INV/2026/02130</t>
        </is>
      </c>
      <c r="C192" s="9" t="n">
        <v>412.5</v>
      </c>
      <c r="D192" t="str">
        <f>INDEX('Match Groups'!$B$5:$B$1326,MATCH(A192,'Match Groups'!$A$5:$A$1326,0))</f>
        <v>OPS</v>
      </c>
      <c r="E192" t="str">
        <f>INDEX('Match Groups'!$D$5:$D$1326,MATCH(A192,'Match Groups'!$A$5:$A$1326,0))</f>
        <v>REG</v>
      </c>
    </row>
    <row r="193">
      <c r="A193" t="inlineStr">
        <is>
          <t>G01178</t>
        </is>
      </c>
      <c r="B193" t="inlineStr">
        <is>
          <t>BILL/2026/1018</t>
        </is>
      </c>
      <c r="C193" s="9" t="n">
        <v>-1870</v>
      </c>
      <c r="D193" t="str">
        <f>INDEX('Match Groups'!$B$5:$B$1326,MATCH(A193,'Match Groups'!$A$5:$A$1326,0))</f>
        <v>OPS</v>
      </c>
      <c r="E193" t="str">
        <f>INDEX('Match Groups'!$D$5:$D$1326,MATCH(A193,'Match Groups'!$A$5:$A$1326,0))</f>
        <v>REGBILL</v>
      </c>
    </row>
    <row r="194">
      <c r="A194" t="inlineStr">
        <is>
          <t>G01179</t>
        </is>
      </c>
      <c r="B194" t="inlineStr">
        <is>
          <t>INV/2026/03442</t>
        </is>
      </c>
      <c r="C194" s="9" t="n">
        <v>2791.25</v>
      </c>
      <c r="D194" t="str">
        <f>INDEX('Match Groups'!$B$5:$B$1326,MATCH(A194,'Match Groups'!$A$5:$A$1326,0))</f>
        <v>OPS</v>
      </c>
      <c r="E194" t="str">
        <f>INDEX('Match Groups'!$D$5:$D$1326,MATCH(A194,'Match Groups'!$A$5:$A$1326,0))</f>
        <v>REG</v>
      </c>
    </row>
    <row r="195">
      <c r="A195" t="inlineStr">
        <is>
          <t>G01179</t>
        </is>
      </c>
      <c r="B195" t="inlineStr">
        <is>
          <t>INV/2026/03494</t>
        </is>
      </c>
      <c r="C195" s="9" t="n">
        <v>3616.25</v>
      </c>
      <c r="D195" t="str">
        <f>INDEX('Match Groups'!$B$5:$B$1326,MATCH(A195,'Match Groups'!$A$5:$A$1326,0))</f>
        <v>OPS</v>
      </c>
      <c r="E195" t="str">
        <f>INDEX('Match Groups'!$D$5:$D$1326,MATCH(A195,'Match Groups'!$A$5:$A$1326,0))</f>
        <v>REG</v>
      </c>
    </row>
    <row r="196">
      <c r="A196" t="inlineStr">
        <is>
          <t>G01180</t>
        </is>
      </c>
      <c r="B196" t="inlineStr">
        <is>
          <t>INV/2026/02368</t>
        </is>
      </c>
      <c r="C196" s="9" t="n">
        <v>88</v>
      </c>
      <c r="D196" t="str">
        <f>INDEX('Match Groups'!$B$5:$B$1326,MATCH(A196,'Match Groups'!$A$5:$A$1326,0))</f>
        <v>OPS</v>
      </c>
      <c r="E196" t="str">
        <f>INDEX('Match Groups'!$D$5:$D$1326,MATCH(A196,'Match Groups'!$A$5:$A$1326,0))</f>
        <v>REG</v>
      </c>
    </row>
    <row r="197">
      <c r="A197" t="inlineStr">
        <is>
          <t>G01182</t>
        </is>
      </c>
      <c r="B197" t="inlineStr">
        <is>
          <t>INV/2026/03510</t>
        </is>
      </c>
      <c r="C197" s="9" t="n">
        <v>2035</v>
      </c>
      <c r="D197" t="str">
        <f>INDEX('Match Groups'!$B$5:$B$1326,MATCH(A197,'Match Groups'!$A$5:$A$1326,0))</f>
        <v>OPS</v>
      </c>
      <c r="E197" t="str">
        <f>INDEX('Match Groups'!$D$5:$D$1326,MATCH(A197,'Match Groups'!$A$5:$A$1326,0))</f>
        <v>REG</v>
      </c>
    </row>
    <row r="198">
      <c r="A198" t="inlineStr">
        <is>
          <t>G01183</t>
        </is>
      </c>
      <c r="B198" t="inlineStr">
        <is>
          <t>INV/2026/03483</t>
        </is>
      </c>
      <c r="C198" s="9" t="n">
        <v>1471.25</v>
      </c>
      <c r="D198" t="str">
        <f>INDEX('Match Groups'!$B$5:$B$1326,MATCH(A198,'Match Groups'!$A$5:$A$1326,0))</f>
        <v>OPS</v>
      </c>
      <c r="E198" t="str">
        <f>INDEX('Match Groups'!$D$5:$D$1326,MATCH(A198,'Match Groups'!$A$5:$A$1326,0))</f>
        <v>REG</v>
      </c>
    </row>
    <row r="199">
      <c r="A199" t="inlineStr">
        <is>
          <t>G01184</t>
        </is>
      </c>
      <c r="B199" t="inlineStr">
        <is>
          <t>INV/2026/02388</t>
        </is>
      </c>
      <c r="C199" s="9" t="n">
        <v>88</v>
      </c>
      <c r="D199" t="str">
        <f>INDEX('Match Groups'!$B$5:$B$1326,MATCH(A199,'Match Groups'!$A$5:$A$1326,0))</f>
        <v>OPS</v>
      </c>
      <c r="E199" t="str">
        <f>INDEX('Match Groups'!$D$5:$D$1326,MATCH(A199,'Match Groups'!$A$5:$A$1326,0))</f>
        <v>REG</v>
      </c>
    </row>
    <row r="200">
      <c r="A200" t="inlineStr">
        <is>
          <t>G01185</t>
        </is>
      </c>
      <c r="B200" t="inlineStr">
        <is>
          <t>INV/2026/02417</t>
        </is>
      </c>
      <c r="C200" s="9" t="n">
        <v>176</v>
      </c>
      <c r="D200" t="str">
        <f>INDEX('Match Groups'!$B$5:$B$1326,MATCH(A200,'Match Groups'!$A$5:$A$1326,0))</f>
        <v>OPS</v>
      </c>
      <c r="E200" t="str">
        <f>INDEX('Match Groups'!$D$5:$D$1326,MATCH(A200,'Match Groups'!$A$5:$A$1326,0))</f>
        <v>REG</v>
      </c>
    </row>
    <row r="201">
      <c r="A201" t="inlineStr">
        <is>
          <t>G01186</t>
        </is>
      </c>
      <c r="B201" t="inlineStr">
        <is>
          <t>INV/2026/02490</t>
        </is>
      </c>
      <c r="C201" s="9" t="n">
        <v>990</v>
      </c>
      <c r="D201" t="str">
        <f>INDEX('Match Groups'!$B$5:$B$1326,MATCH(A201,'Match Groups'!$A$5:$A$1326,0))</f>
        <v>OPS</v>
      </c>
      <c r="E201" t="str">
        <f>INDEX('Match Groups'!$D$5:$D$1326,MATCH(A201,'Match Groups'!$A$5:$A$1326,0))</f>
        <v>REG</v>
      </c>
    </row>
    <row r="202">
      <c r="A202" t="inlineStr">
        <is>
          <t>G01187</t>
        </is>
      </c>
      <c r="B202" t="inlineStr">
        <is>
          <t>INV/2026/02488</t>
        </is>
      </c>
      <c r="C202" s="9" t="n">
        <v>88</v>
      </c>
      <c r="D202" t="str">
        <f>INDEX('Match Groups'!$B$5:$B$1326,MATCH(A202,'Match Groups'!$A$5:$A$1326,0))</f>
        <v>OPS</v>
      </c>
      <c r="E202" t="str">
        <f>INDEX('Match Groups'!$D$5:$D$1326,MATCH(A202,'Match Groups'!$A$5:$A$1326,0))</f>
        <v>REG</v>
      </c>
    </row>
    <row r="203">
      <c r="A203" t="inlineStr">
        <is>
          <t>G01188</t>
        </is>
      </c>
      <c r="B203" t="inlineStr">
        <is>
          <t>INV/2026/02489</t>
        </is>
      </c>
      <c r="C203" s="9" t="n">
        <v>176</v>
      </c>
      <c r="D203" t="str">
        <f>INDEX('Match Groups'!$B$5:$B$1326,MATCH(A203,'Match Groups'!$A$5:$A$1326,0))</f>
        <v>OPS</v>
      </c>
      <c r="E203" t="str">
        <f>INDEX('Match Groups'!$D$5:$D$1326,MATCH(A203,'Match Groups'!$A$5:$A$1326,0))</f>
        <v>REG</v>
      </c>
    </row>
    <row r="204">
      <c r="A204" t="inlineStr">
        <is>
          <t>G01189</t>
        </is>
      </c>
      <c r="B204" t="inlineStr">
        <is>
          <t>INV/2026/02656</t>
        </is>
      </c>
      <c r="C204" s="9" t="n">
        <v>412.5</v>
      </c>
      <c r="D204" t="str">
        <f>INDEX('Match Groups'!$B$5:$B$1326,MATCH(A204,'Match Groups'!$A$5:$A$1326,0))</f>
        <v>OPS</v>
      </c>
      <c r="E204" t="str">
        <f>INDEX('Match Groups'!$D$5:$D$1326,MATCH(A204,'Match Groups'!$A$5:$A$1326,0))</f>
        <v>REG</v>
      </c>
    </row>
    <row r="205">
      <c r="A205" t="inlineStr">
        <is>
          <t>G01190</t>
        </is>
      </c>
      <c r="B205" t="inlineStr">
        <is>
          <t>INV/2026/03474</t>
        </is>
      </c>
      <c r="C205" s="9" t="n">
        <v>6820</v>
      </c>
      <c r="D205" t="str">
        <f>INDEX('Match Groups'!$B$5:$B$1326,MATCH(A205,'Match Groups'!$A$5:$A$1326,0))</f>
        <v>OPS</v>
      </c>
      <c r="E205" t="str">
        <f>INDEX('Match Groups'!$D$5:$D$1326,MATCH(A205,'Match Groups'!$A$5:$A$1326,0))</f>
        <v>REG</v>
      </c>
    </row>
    <row r="206">
      <c r="A206" t="inlineStr">
        <is>
          <t>G01191</t>
        </is>
      </c>
      <c r="B206" t="inlineStr">
        <is>
          <t>INV/2026/03488</t>
        </is>
      </c>
      <c r="C206" s="9" t="n">
        <v>2186.25</v>
      </c>
      <c r="D206" t="str">
        <f>INDEX('Match Groups'!$B$5:$B$1326,MATCH(A206,'Match Groups'!$A$5:$A$1326,0))</f>
        <v>OPS</v>
      </c>
      <c r="E206" t="str">
        <f>INDEX('Match Groups'!$D$5:$D$1326,MATCH(A206,'Match Groups'!$A$5:$A$1326,0))</f>
        <v>REG</v>
      </c>
    </row>
    <row r="207">
      <c r="A207" t="inlineStr">
        <is>
          <t>G01192</t>
        </is>
      </c>
      <c r="B207" t="inlineStr">
        <is>
          <t>INV/2026/03490</t>
        </is>
      </c>
      <c r="C207" s="9" t="n">
        <v>10876.25</v>
      </c>
      <c r="D207" t="str">
        <f>INDEX('Match Groups'!$B$5:$B$1326,MATCH(A207,'Match Groups'!$A$5:$A$1326,0))</f>
        <v>OPS</v>
      </c>
      <c r="E207" t="str">
        <f>INDEX('Match Groups'!$D$5:$D$1326,MATCH(A207,'Match Groups'!$A$5:$A$1326,0))</f>
        <v>REG</v>
      </c>
    </row>
    <row r="208">
      <c r="A208" t="inlineStr">
        <is>
          <t>G01193</t>
        </is>
      </c>
      <c r="B208" t="inlineStr">
        <is>
          <t>BILL/2026/1022</t>
        </is>
      </c>
      <c r="C208" s="9" t="n">
        <v>-9680</v>
      </c>
      <c r="D208" t="str">
        <f>INDEX('Match Groups'!$B$5:$B$1326,MATCH(A208,'Match Groups'!$A$5:$A$1326,0))</f>
        <v>OPS</v>
      </c>
      <c r="E208" t="str">
        <f>INDEX('Match Groups'!$D$5:$D$1326,MATCH(A208,'Match Groups'!$A$5:$A$1326,0))</f>
        <v>REGBILL</v>
      </c>
    </row>
    <row r="209">
      <c r="A209" t="inlineStr">
        <is>
          <t>G01194</t>
        </is>
      </c>
      <c r="B209" t="inlineStr">
        <is>
          <t>BILL/2026/1024</t>
        </is>
      </c>
      <c r="C209" s="9" t="n">
        <v>-7425</v>
      </c>
      <c r="D209" t="str">
        <f>INDEX('Match Groups'!$B$5:$B$1326,MATCH(A209,'Match Groups'!$A$5:$A$1326,0))</f>
        <v>OPS</v>
      </c>
      <c r="E209" t="str">
        <f>INDEX('Match Groups'!$D$5:$D$1326,MATCH(A209,'Match Groups'!$A$5:$A$1326,0))</f>
        <v>REGBILL</v>
      </c>
    </row>
    <row r="210">
      <c r="A210" t="inlineStr">
        <is>
          <t>G01195</t>
        </is>
      </c>
      <c r="B210" t="inlineStr">
        <is>
          <t>INV/2026/03536</t>
        </is>
      </c>
      <c r="C210" s="9" t="n">
        <v>3547.5</v>
      </c>
      <c r="D210" t="str">
        <f>INDEX('Match Groups'!$B$5:$B$1326,MATCH(A210,'Match Groups'!$A$5:$A$1326,0))</f>
        <v>OPS</v>
      </c>
      <c r="E210" t="str">
        <f>INDEX('Match Groups'!$D$5:$D$1326,MATCH(A210,'Match Groups'!$A$5:$A$1326,0))</f>
        <v>REG</v>
      </c>
    </row>
    <row r="211">
      <c r="A211" t="inlineStr">
        <is>
          <t>G01197</t>
        </is>
      </c>
      <c r="B211" t="inlineStr">
        <is>
          <t>INV/2026/02735</t>
        </is>
      </c>
      <c r="C211" s="9" t="n">
        <v>412.5</v>
      </c>
      <c r="D211" t="str">
        <f>INDEX('Match Groups'!$B$5:$B$1326,MATCH(A211,'Match Groups'!$A$5:$A$1326,0))</f>
        <v>OPS</v>
      </c>
      <c r="E211" t="str">
        <f>INDEX('Match Groups'!$D$5:$D$1326,MATCH(A211,'Match Groups'!$A$5:$A$1326,0))</f>
        <v>REG</v>
      </c>
    </row>
    <row r="212">
      <c r="A212" t="inlineStr">
        <is>
          <t>G01198</t>
        </is>
      </c>
      <c r="B212" t="inlineStr">
        <is>
          <t>BILL/2026/1028</t>
        </is>
      </c>
      <c r="C212" s="9" t="n">
        <v>-649</v>
      </c>
      <c r="D212" t="str">
        <f>INDEX('Match Groups'!$B$5:$B$1326,MATCH(A212,'Match Groups'!$A$5:$A$1326,0))</f>
        <v>OPS</v>
      </c>
      <c r="E212" t="str">
        <f>INDEX('Match Groups'!$D$5:$D$1326,MATCH(A212,'Match Groups'!$A$5:$A$1326,0))</f>
        <v>REGBILL</v>
      </c>
    </row>
    <row r="213">
      <c r="A213" t="inlineStr">
        <is>
          <t>G01199</t>
        </is>
      </c>
      <c r="B213" t="inlineStr">
        <is>
          <t>INV/2026/02796</t>
        </is>
      </c>
      <c r="C213" s="9" t="n">
        <v>990</v>
      </c>
      <c r="D213" t="str">
        <f>INDEX('Match Groups'!$B$5:$B$1326,MATCH(A213,'Match Groups'!$A$5:$A$1326,0))</f>
        <v>OPS</v>
      </c>
      <c r="E213" t="str">
        <f>INDEX('Match Groups'!$D$5:$D$1326,MATCH(A213,'Match Groups'!$A$5:$A$1326,0))</f>
        <v>REG</v>
      </c>
    </row>
    <row r="214">
      <c r="A214" t="inlineStr">
        <is>
          <t>G01200</t>
        </is>
      </c>
      <c r="B214" t="inlineStr">
        <is>
          <t>INV/2026/02951</t>
        </is>
      </c>
      <c r="C214" s="9" t="n">
        <v>176</v>
      </c>
      <c r="D214" t="str">
        <f>INDEX('Match Groups'!$B$5:$B$1326,MATCH(A214,'Match Groups'!$A$5:$A$1326,0))</f>
        <v>OPS</v>
      </c>
      <c r="E214" t="str">
        <f>INDEX('Match Groups'!$D$5:$D$1326,MATCH(A214,'Match Groups'!$A$5:$A$1326,0))</f>
        <v>REG</v>
      </c>
    </row>
    <row r="215">
      <c r="A215" t="inlineStr">
        <is>
          <t>G01201</t>
        </is>
      </c>
      <c r="B215" t="inlineStr">
        <is>
          <t>BILL/2026/1025</t>
        </is>
      </c>
      <c r="C215" s="9" t="n">
        <v>-3184.62</v>
      </c>
      <c r="D215" t="str">
        <f>INDEX('Match Groups'!$B$5:$B$1326,MATCH(A215,'Match Groups'!$A$5:$A$1326,0))</f>
        <v>OPS</v>
      </c>
      <c r="E215" t="str">
        <f>INDEX('Match Groups'!$D$5:$D$1326,MATCH(A215,'Match Groups'!$A$5:$A$1326,0))</f>
        <v>REGBILL</v>
      </c>
    </row>
    <row r="216">
      <c r="A216" t="inlineStr">
        <is>
          <t>G01202</t>
        </is>
      </c>
      <c r="B216" t="inlineStr">
        <is>
          <t>INV/2026/02926</t>
        </is>
      </c>
      <c r="C216" s="9" t="n">
        <v>176</v>
      </c>
      <c r="D216" t="str">
        <f>INDEX('Match Groups'!$B$5:$B$1326,MATCH(A216,'Match Groups'!$A$5:$A$1326,0))</f>
        <v>OPS</v>
      </c>
      <c r="E216" t="str">
        <f>INDEX('Match Groups'!$D$5:$D$1326,MATCH(A216,'Match Groups'!$A$5:$A$1326,0))</f>
        <v>REG</v>
      </c>
    </row>
    <row r="217">
      <c r="A217" t="inlineStr">
        <is>
          <t>G01203</t>
        </is>
      </c>
      <c r="B217" t="inlineStr">
        <is>
          <t>INV/2026/03120</t>
        </is>
      </c>
      <c r="C217" s="9" t="n">
        <v>176</v>
      </c>
      <c r="D217" t="str">
        <f>INDEX('Match Groups'!$B$5:$B$1326,MATCH(A217,'Match Groups'!$A$5:$A$1326,0))</f>
        <v>OPS</v>
      </c>
      <c r="E217" t="str">
        <f>INDEX('Match Groups'!$D$5:$D$1326,MATCH(A217,'Match Groups'!$A$5:$A$1326,0))</f>
        <v>REG</v>
      </c>
    </row>
    <row r="218">
      <c r="A218" t="inlineStr">
        <is>
          <t>G01204</t>
        </is>
      </c>
      <c r="B218" t="inlineStr">
        <is>
          <t>INV/2026/03149</t>
        </is>
      </c>
      <c r="C218" s="9" t="n">
        <v>264</v>
      </c>
      <c r="D218" t="str">
        <f>INDEX('Match Groups'!$B$5:$B$1326,MATCH(A218,'Match Groups'!$A$5:$A$1326,0))</f>
        <v>OPS</v>
      </c>
      <c r="E218" t="str">
        <f>INDEX('Match Groups'!$D$5:$D$1326,MATCH(A218,'Match Groups'!$A$5:$A$1326,0))</f>
        <v>REG</v>
      </c>
    </row>
    <row r="219">
      <c r="A219" t="inlineStr">
        <is>
          <t>G01205</t>
        </is>
      </c>
      <c r="B219" t="inlineStr">
        <is>
          <t>INV/2026/03189</t>
        </is>
      </c>
      <c r="C219" s="9" t="n">
        <v>264</v>
      </c>
      <c r="D219" t="str">
        <f>INDEX('Match Groups'!$B$5:$B$1326,MATCH(A219,'Match Groups'!$A$5:$A$1326,0))</f>
        <v>OPS</v>
      </c>
      <c r="E219" t="str">
        <f>INDEX('Match Groups'!$D$5:$D$1326,MATCH(A219,'Match Groups'!$A$5:$A$1326,0))</f>
        <v>REG</v>
      </c>
    </row>
    <row r="220">
      <c r="A220" t="inlineStr">
        <is>
          <t>G01206</t>
        </is>
      </c>
      <c r="B220" t="inlineStr">
        <is>
          <t>INV/2026/03535</t>
        </is>
      </c>
      <c r="C220" s="9" t="n">
        <v>16101.25</v>
      </c>
      <c r="D220" t="str">
        <f>INDEX('Match Groups'!$B$5:$B$1326,MATCH(A220,'Match Groups'!$A$5:$A$1326,0))</f>
        <v>OPS</v>
      </c>
      <c r="E220" t="str">
        <f>INDEX('Match Groups'!$D$5:$D$1326,MATCH(A220,'Match Groups'!$A$5:$A$1326,0))</f>
        <v>REG</v>
      </c>
    </row>
    <row r="221">
      <c r="A221" t="inlineStr">
        <is>
          <t>G01207</t>
        </is>
      </c>
      <c r="B221" t="inlineStr">
        <is>
          <t>INV/2026/03560</t>
        </is>
      </c>
      <c r="C221" s="9" t="n">
        <v>2722.5</v>
      </c>
      <c r="D221" t="str">
        <f>INDEX('Match Groups'!$B$5:$B$1326,MATCH(A221,'Match Groups'!$A$5:$A$1326,0))</f>
        <v>OPS</v>
      </c>
      <c r="E221" t="str">
        <f>INDEX('Match Groups'!$D$5:$D$1326,MATCH(A221,'Match Groups'!$A$5:$A$1326,0))</f>
        <v>REG</v>
      </c>
    </row>
    <row r="222">
      <c r="A222" t="inlineStr">
        <is>
          <t>G01208</t>
        </is>
      </c>
      <c r="B222" t="inlineStr">
        <is>
          <t>INV/2026/03547</t>
        </is>
      </c>
      <c r="C222" s="9" t="n">
        <v>2722.5</v>
      </c>
      <c r="D222" t="str">
        <f>INDEX('Match Groups'!$B$5:$B$1326,MATCH(A222,'Match Groups'!$A$5:$A$1326,0))</f>
        <v>OPS</v>
      </c>
      <c r="E222" t="str">
        <f>INDEX('Match Groups'!$D$5:$D$1326,MATCH(A222,'Match Groups'!$A$5:$A$1326,0))</f>
        <v>REG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48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30" customWidth="1" min="3" max="3"/>
    <col width="11" customWidth="1" min="4" max="4"/>
    <col width="11" customWidth="1" min="5" max="5"/>
    <col width="8" customWidth="1" min="6" max="6"/>
    <col width="13" customWidth="1" min="7" max="7"/>
    <col width="11" customWidth="1" min="8" max="8"/>
    <col width="14" customWidth="1" min="9" max="9"/>
    <col width="13" customWidth="1" min="10" max="10"/>
    <col width="13" customWidth="1" min="11" max="11"/>
    <col width="10" customWidth="1" min="12" max="12"/>
    <col width="26" customWidth="1" min="13" max="13"/>
  </cols>
  <sheetData>
    <row r="1">
      <c r="A1" s="7" t="inlineStr">
        <is>
          <t>Odoo open invoices and bills at 30 Sep 2026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Sample build: realistic data, built to show how I'd handle this work. Not client data.</t>
        </is>
      </c>
    </row>
    <row r="4">
      <c r="A4" s="8" t="inlineStr">
        <is>
          <t>Number</t>
        </is>
      </c>
      <c r="B4" s="8" t="inlineStr">
        <is>
          <t>Type</t>
        </is>
      </c>
      <c r="C4" s="8" t="inlineStr">
        <is>
          <t>Partner</t>
        </is>
      </c>
      <c r="D4" s="8" t="inlineStr">
        <is>
          <t>Date</t>
        </is>
      </c>
      <c r="E4" s="8" t="inlineStr">
        <is>
          <t>Due</t>
        </is>
      </c>
      <c r="F4" s="8" t="inlineStr">
        <is>
          <t>Currency</t>
        </is>
      </c>
      <c r="G4" s="8" t="inlineStr">
        <is>
          <t>Total</t>
        </is>
      </c>
      <c r="H4" s="8" t="inlineStr">
        <is>
          <t>GST</t>
        </is>
      </c>
      <c r="I4" s="8" t="inlineStr">
        <is>
          <t>Residual (export)</t>
        </is>
      </c>
      <c r="J4" s="8" t="inlineStr">
        <is>
          <t>Allocated here</t>
        </is>
      </c>
      <c r="K4" s="8" t="inlineStr">
        <is>
          <t>Residual after</t>
        </is>
      </c>
      <c r="L4" s="8" t="inlineStr">
        <is>
          <t>Days overdue at 30 Sep</t>
        </is>
      </c>
      <c r="M4" s="8" t="inlineStr">
        <is>
          <t>Flag</t>
        </is>
      </c>
    </row>
    <row r="5">
      <c r="A5" t="inlineStr">
        <is>
          <t>INV/2026/01414</t>
        </is>
      </c>
      <c r="B5" t="inlineStr">
        <is>
          <t>Invoice</t>
        </is>
      </c>
      <c r="C5" t="inlineStr">
        <is>
          <t>Lyrebird Plan Management</t>
        </is>
      </c>
      <c r="D5" s="5" t="n">
        <v>46174</v>
      </c>
      <c r="E5" s="5" t="n">
        <v>46188</v>
      </c>
      <c r="F5" t="inlineStr">
        <is>
          <t>AUD</t>
        </is>
      </c>
      <c r="G5" s="9" t="n">
        <v>96.98999999999999</v>
      </c>
      <c r="H5" s="9" t="n">
        <v>0</v>
      </c>
      <c r="I5" s="9" t="n">
        <v>96.98999999999999</v>
      </c>
      <c r="J5" s="9">
        <f>ROUND(1*SUMIFS('Allocations'!$C$5:$C$222,'Allocations'!$B$5:$B$222,A5),2)</f>
        <v>96.99</v>
      </c>
      <c r="K5" s="9">
        <f>ROUND(I5-J5,2)</f>
        <v>0</v>
      </c>
      <c r="L5">
        <f>MAX(0,DATE(2026,9,30)-E5)</f>
        <v>107</v>
      </c>
      <c r="M5">
        <f>IF(K5&lt;-0.005,"Credit balance: check for double payment",IF(AND(K5&gt;0.005,L5&gt;60),"Over 60 days overdue",""))</f>
      </c>
    </row>
    <row r="6">
      <c r="A6" t="inlineStr">
        <is>
          <t>INV/2026/01415</t>
        </is>
      </c>
      <c r="B6" t="inlineStr">
        <is>
          <t>Invoice</t>
        </is>
      </c>
      <c r="C6" t="inlineStr">
        <is>
          <t>Lyrebird Plan Management</t>
        </is>
      </c>
      <c r="D6" s="5" t="n">
        <v>46174</v>
      </c>
      <c r="E6" s="5" t="n">
        <v>46188</v>
      </c>
      <c r="F6" t="inlineStr">
        <is>
          <t>AUD</t>
        </is>
      </c>
      <c r="G6" s="9" t="n">
        <v>96.98999999999999</v>
      </c>
      <c r="H6" s="9" t="n">
        <v>0</v>
      </c>
      <c r="I6" s="9" t="n">
        <v>96.98999999999999</v>
      </c>
      <c r="J6" s="9">
        <f>ROUND(1*SUMIFS('Allocations'!$C$5:$C$222,'Allocations'!$B$5:$B$222,A6),2)</f>
        <v>96.99</v>
      </c>
      <c r="K6" s="9">
        <f>ROUND(I6-J6,2)</f>
        <v>0</v>
      </c>
      <c r="L6">
        <f>MAX(0,DATE(2026,9,30)-E6)</f>
        <v>107</v>
      </c>
      <c r="M6">
        <f>IF(K6&lt;-0.005,"Credit balance: check for double payment",IF(AND(K6&gt;0.005,L6&gt;60),"Over 60 days overdue",""))</f>
      </c>
    </row>
    <row r="7">
      <c r="A7" t="inlineStr">
        <is>
          <t>INV/2026/01417</t>
        </is>
      </c>
      <c r="B7" t="inlineStr">
        <is>
          <t>Invoice</t>
        </is>
      </c>
      <c r="C7" t="inlineStr">
        <is>
          <t>Acacia Plan Partners</t>
        </is>
      </c>
      <c r="D7" s="5" t="n">
        <v>46174</v>
      </c>
      <c r="E7" s="5" t="n">
        <v>46188</v>
      </c>
      <c r="F7" t="inlineStr">
        <is>
          <t>AUD</t>
        </is>
      </c>
      <c r="G7" s="9" t="n">
        <v>145.49</v>
      </c>
      <c r="H7" s="9" t="n">
        <v>0</v>
      </c>
      <c r="I7" s="9" t="n">
        <v>145.49</v>
      </c>
      <c r="J7" s="9">
        <f>ROUND(1*SUMIFS('Allocations'!$C$5:$C$222,'Allocations'!$B$5:$B$222,A7),2)</f>
        <v>145.49</v>
      </c>
      <c r="K7" s="9">
        <f>ROUND(I7-J7,2)</f>
        <v>0</v>
      </c>
      <c r="L7">
        <f>MAX(0,DATE(2026,9,30)-E7)</f>
        <v>107</v>
      </c>
      <c r="M7">
        <f>IF(K7&lt;-0.005,"Credit balance: check for double payment",IF(AND(K7&gt;0.005,L7&gt;60),"Over 60 days overdue",""))</f>
      </c>
    </row>
    <row r="8">
      <c r="A8" t="inlineStr">
        <is>
          <t>INV/2026/01418</t>
        </is>
      </c>
      <c r="B8" t="inlineStr">
        <is>
          <t>Invoice</t>
        </is>
      </c>
      <c r="C8" t="inlineStr">
        <is>
          <t>Acacia Plan Partners</t>
        </is>
      </c>
      <c r="D8" s="5" t="n">
        <v>46174</v>
      </c>
      <c r="E8" s="5" t="n">
        <v>46188</v>
      </c>
      <c r="F8" t="inlineStr">
        <is>
          <t>AUD</t>
        </is>
      </c>
      <c r="G8" s="9" t="n">
        <v>193.99</v>
      </c>
      <c r="H8" s="9" t="n">
        <v>0</v>
      </c>
      <c r="I8" s="9" t="n">
        <v>193.99</v>
      </c>
      <c r="J8" s="9">
        <f>ROUND(1*SUMIFS('Allocations'!$C$5:$C$222,'Allocations'!$B$5:$B$222,A8),2)</f>
        <v>193.99</v>
      </c>
      <c r="K8" s="9">
        <f>ROUND(I8-J8,2)</f>
        <v>0</v>
      </c>
      <c r="L8">
        <f>MAX(0,DATE(2026,9,30)-E8)</f>
        <v>107</v>
      </c>
      <c r="M8">
        <f>IF(K8&lt;-0.005,"Credit balance: check for double payment",IF(AND(K8&gt;0.005,L8&gt;60),"Over 60 days overdue",""))</f>
      </c>
    </row>
    <row r="9">
      <c r="A9" t="inlineStr">
        <is>
          <t>INV/2026/01421</t>
        </is>
      </c>
      <c r="B9" t="inlineStr">
        <is>
          <t>Invoice</t>
        </is>
      </c>
      <c r="C9" t="inlineStr">
        <is>
          <t>Coastline Health Fund</t>
        </is>
      </c>
      <c r="D9" s="5" t="n">
        <v>46174</v>
      </c>
      <c r="E9" s="5" t="n">
        <v>46188</v>
      </c>
      <c r="F9" t="inlineStr">
        <is>
          <t>AUD</t>
        </is>
      </c>
      <c r="G9" s="9" t="n">
        <v>412.5</v>
      </c>
      <c r="H9" s="9" t="n">
        <v>0</v>
      </c>
      <c r="I9" s="9" t="n">
        <v>412.5</v>
      </c>
      <c r="J9" s="9">
        <f>ROUND(1*SUMIFS('Allocations'!$C$5:$C$222,'Allocations'!$B$5:$B$222,A9),2)</f>
        <v>0</v>
      </c>
      <c r="K9" s="9">
        <f>ROUND(I9-J9,2)</f>
        <v>412.5</v>
      </c>
      <c r="L9">
        <f>MAX(0,DATE(2026,9,30)-E9)</f>
        <v>107</v>
      </c>
      <c r="M9" t="str">
        <f>IF(K9&lt;-0.005,"Credit balance: check for double payment",IF(AND(K9&gt;0.005,L9&gt;60),"Over 60 days overdue",""))</f>
        <v>Over 60 days overdue</v>
      </c>
    </row>
    <row r="10">
      <c r="A10" t="inlineStr">
        <is>
          <t>INV/2026/01422</t>
        </is>
      </c>
      <c r="B10" t="inlineStr">
        <is>
          <t>Invoice</t>
        </is>
      </c>
      <c r="C10" t="inlineStr">
        <is>
          <t>Northline Injury Claims</t>
        </is>
      </c>
      <c r="D10" s="5" t="n">
        <v>46174</v>
      </c>
      <c r="E10" s="5" t="n">
        <v>46188</v>
      </c>
      <c r="F10" t="inlineStr">
        <is>
          <t>AUD</t>
        </is>
      </c>
      <c r="G10" s="9" t="n">
        <v>990</v>
      </c>
      <c r="H10" s="9" t="n">
        <v>0</v>
      </c>
      <c r="I10" s="9" t="n">
        <v>990</v>
      </c>
      <c r="J10" s="9">
        <f>ROUND(1*SUMIFS('Allocations'!$C$5:$C$222,'Allocations'!$B$5:$B$222,A10),2)</f>
        <v>0</v>
      </c>
      <c r="K10" s="9">
        <f>ROUND(I10-J10,2)</f>
        <v>990</v>
      </c>
      <c r="L10">
        <f>MAX(0,DATE(2026,9,30)-E10)</f>
        <v>107</v>
      </c>
      <c r="M10" t="str">
        <f>IF(K10&lt;-0.005,"Credit balance: check for double payment",IF(AND(K10&gt;0.005,L10&gt;60),"Over 60 days overdue",""))</f>
        <v>Over 60 days overdue</v>
      </c>
    </row>
    <row r="11">
      <c r="A11" t="inlineStr">
        <is>
          <t>INV/2026/01441</t>
        </is>
      </c>
      <c r="B11" t="inlineStr">
        <is>
          <t>Invoice</t>
        </is>
      </c>
      <c r="C11" t="inlineStr">
        <is>
          <t>Acacia Plan Partners</t>
        </is>
      </c>
      <c r="D11" s="5" t="n">
        <v>46175</v>
      </c>
      <c r="E11" s="5" t="n">
        <v>46189</v>
      </c>
      <c r="F11" t="inlineStr">
        <is>
          <t>AUD</t>
        </is>
      </c>
      <c r="G11" s="9" t="n">
        <v>145.49</v>
      </c>
      <c r="H11" s="9" t="n">
        <v>0</v>
      </c>
      <c r="I11" s="9" t="n">
        <v>145.49</v>
      </c>
      <c r="J11" s="9">
        <f>ROUND(1*SUMIFS('Allocations'!$C$5:$C$222,'Allocations'!$B$5:$B$222,A11),2)</f>
        <v>145.49</v>
      </c>
      <c r="K11" s="9">
        <f>ROUND(I11-J11,2)</f>
        <v>0</v>
      </c>
      <c r="L11">
        <f>MAX(0,DATE(2026,9,30)-E11)</f>
        <v>106</v>
      </c>
      <c r="M11">
        <f>IF(K11&lt;-0.005,"Credit balance: check for double payment",IF(AND(K11&gt;0.005,L11&gt;60),"Over 60 days overdue",""))</f>
      </c>
    </row>
    <row r="12">
      <c r="A12" t="inlineStr">
        <is>
          <t>INV/2026/01442</t>
        </is>
      </c>
      <c r="B12" t="inlineStr">
        <is>
          <t>Invoice</t>
        </is>
      </c>
      <c r="C12" t="inlineStr">
        <is>
          <t>Acacia Plan Partners</t>
        </is>
      </c>
      <c r="D12" s="5" t="n">
        <v>46175</v>
      </c>
      <c r="E12" s="5" t="n">
        <v>46189</v>
      </c>
      <c r="F12" t="inlineStr">
        <is>
          <t>AUD</t>
        </is>
      </c>
      <c r="G12" s="9" t="n">
        <v>96.98999999999999</v>
      </c>
      <c r="H12" s="9" t="n">
        <v>0</v>
      </c>
      <c r="I12" s="9" t="n">
        <v>96.98999999999999</v>
      </c>
      <c r="J12" s="9">
        <f>ROUND(1*SUMIFS('Allocations'!$C$5:$C$222,'Allocations'!$B$5:$B$222,A12),2)</f>
        <v>96.99</v>
      </c>
      <c r="K12" s="9">
        <f>ROUND(I12-J12,2)</f>
        <v>0</v>
      </c>
      <c r="L12">
        <f>MAX(0,DATE(2026,9,30)-E12)</f>
        <v>106</v>
      </c>
      <c r="M12">
        <f>IF(K12&lt;-0.005,"Credit balance: check for double payment",IF(AND(K12&gt;0.005,L12&gt;60),"Over 60 days overdue",""))</f>
      </c>
    </row>
    <row r="13">
      <c r="A13" t="inlineStr">
        <is>
          <t>INV/2026/01443</t>
        </is>
      </c>
      <c r="B13" t="inlineStr">
        <is>
          <t>Invoice</t>
        </is>
      </c>
      <c r="C13" t="inlineStr">
        <is>
          <t>Acacia Plan Partners</t>
        </is>
      </c>
      <c r="D13" s="5" t="n">
        <v>46175</v>
      </c>
      <c r="E13" s="5" t="n">
        <v>46189</v>
      </c>
      <c r="F13" t="inlineStr">
        <is>
          <t>AUD</t>
        </is>
      </c>
      <c r="G13" s="9" t="n">
        <v>96.98999999999999</v>
      </c>
      <c r="H13" s="9" t="n">
        <v>0</v>
      </c>
      <c r="I13" s="9" t="n">
        <v>96.98999999999999</v>
      </c>
      <c r="J13" s="9">
        <f>ROUND(1*SUMIFS('Allocations'!$C$5:$C$222,'Allocations'!$B$5:$B$222,A13),2)</f>
        <v>96.99</v>
      </c>
      <c r="K13" s="9">
        <f>ROUND(I13-J13,2)</f>
        <v>0</v>
      </c>
      <c r="L13">
        <f>MAX(0,DATE(2026,9,30)-E13)</f>
        <v>106</v>
      </c>
      <c r="M13">
        <f>IF(K13&lt;-0.005,"Credit balance: check for double payment",IF(AND(K13&gt;0.005,L13&gt;60),"Over 60 days overdue",""))</f>
      </c>
    </row>
    <row r="14">
      <c r="A14" t="inlineStr">
        <is>
          <t>INV/2026/01445</t>
        </is>
      </c>
      <c r="B14" t="inlineStr">
        <is>
          <t>Invoice</t>
        </is>
      </c>
      <c r="C14" t="inlineStr">
        <is>
          <t>Harbour Mutual Health</t>
        </is>
      </c>
      <c r="D14" s="5" t="n">
        <v>46175</v>
      </c>
      <c r="E14" s="5" t="n">
        <v>46189</v>
      </c>
      <c r="F14" t="inlineStr">
        <is>
          <t>AUD</t>
        </is>
      </c>
      <c r="G14" s="9" t="n">
        <v>132</v>
      </c>
      <c r="H14" s="9" t="n">
        <v>0</v>
      </c>
      <c r="I14" s="9" t="n">
        <v>132</v>
      </c>
      <c r="J14" s="9">
        <f>ROUND(1*SUMIFS('Allocations'!$C$5:$C$222,'Allocations'!$B$5:$B$222,A14),2)</f>
        <v>0</v>
      </c>
      <c r="K14" s="9">
        <f>ROUND(I14-J14,2)</f>
        <v>132</v>
      </c>
      <c r="L14">
        <f>MAX(0,DATE(2026,9,30)-E14)</f>
        <v>106</v>
      </c>
      <c r="M14" t="str">
        <f>IF(K14&lt;-0.005,"Credit balance: check for double payment",IF(AND(K14&gt;0.005,L14&gt;60),"Over 60 days overdue",""))</f>
        <v>Over 60 days overdue</v>
      </c>
    </row>
    <row r="15">
      <c r="A15" t="inlineStr">
        <is>
          <t>INV/2026/01446</t>
        </is>
      </c>
      <c r="B15" t="inlineStr">
        <is>
          <t>Invoice</t>
        </is>
      </c>
      <c r="C15" t="inlineStr">
        <is>
          <t>Pinnacle Claims Services</t>
        </is>
      </c>
      <c r="D15" s="5" t="n">
        <v>46175</v>
      </c>
      <c r="E15" s="5" t="n">
        <v>46189</v>
      </c>
      <c r="F15" t="inlineStr">
        <is>
          <t>AUD</t>
        </is>
      </c>
      <c r="G15" s="9" t="n">
        <v>264</v>
      </c>
      <c r="H15" s="9" t="n">
        <v>0</v>
      </c>
      <c r="I15" s="9" t="n">
        <v>264</v>
      </c>
      <c r="J15" s="9">
        <f>ROUND(1*SUMIFS('Allocations'!$C$5:$C$222,'Allocations'!$B$5:$B$222,A15),2)</f>
        <v>0</v>
      </c>
      <c r="K15" s="9">
        <f>ROUND(I15-J15,2)</f>
        <v>264</v>
      </c>
      <c r="L15">
        <f>MAX(0,DATE(2026,9,30)-E15)</f>
        <v>106</v>
      </c>
      <c r="M15" t="str">
        <f>IF(K15&lt;-0.005,"Credit balance: check for double payment",IF(AND(K15&gt;0.005,L15&gt;60),"Over 60 days overdue",""))</f>
        <v>Over 60 days overdue</v>
      </c>
    </row>
    <row r="16">
      <c r="A16" t="inlineStr">
        <is>
          <t>INV/2026/01476</t>
        </is>
      </c>
      <c r="B16" t="inlineStr">
        <is>
          <t>Invoice</t>
        </is>
      </c>
      <c r="C16" t="inlineStr">
        <is>
          <t>Northline Injury Claims</t>
        </is>
      </c>
      <c r="D16" s="5" t="n">
        <v>46176</v>
      </c>
      <c r="E16" s="5" t="n">
        <v>46190</v>
      </c>
      <c r="F16" t="inlineStr">
        <is>
          <t>AUD</t>
        </is>
      </c>
      <c r="G16" s="9" t="n">
        <v>264</v>
      </c>
      <c r="H16" s="9" t="n">
        <v>0</v>
      </c>
      <c r="I16" s="9" t="n">
        <v>264</v>
      </c>
      <c r="J16" s="9">
        <f>ROUND(1*SUMIFS('Allocations'!$C$5:$C$222,'Allocations'!$B$5:$B$222,A16),2)</f>
        <v>0</v>
      </c>
      <c r="K16" s="9">
        <f>ROUND(I16-J16,2)</f>
        <v>264</v>
      </c>
      <c r="L16">
        <f>MAX(0,DATE(2026,9,30)-E16)</f>
        <v>105</v>
      </c>
      <c r="M16" t="str">
        <f>IF(K16&lt;-0.005,"Credit balance: check for double payment",IF(AND(K16&gt;0.005,L16&gt;60),"Over 60 days overdue",""))</f>
        <v>Over 60 days overdue</v>
      </c>
    </row>
    <row r="17">
      <c r="A17" t="inlineStr">
        <is>
          <t>INV/2026/01491</t>
        </is>
      </c>
      <c r="B17" t="inlineStr">
        <is>
          <t>Invoice</t>
        </is>
      </c>
      <c r="C17" t="inlineStr">
        <is>
          <t>Acacia Plan Partners</t>
        </is>
      </c>
      <c r="D17" s="5" t="n">
        <v>46177</v>
      </c>
      <c r="E17" s="5" t="n">
        <v>46191</v>
      </c>
      <c r="F17" t="inlineStr">
        <is>
          <t>AUD</t>
        </is>
      </c>
      <c r="G17" s="9" t="n">
        <v>290.98</v>
      </c>
      <c r="H17" s="9" t="n">
        <v>0</v>
      </c>
      <c r="I17" s="9" t="n">
        <v>290.98</v>
      </c>
      <c r="J17" s="9">
        <f>ROUND(1*SUMIFS('Allocations'!$C$5:$C$222,'Allocations'!$B$5:$B$222,A17),2)</f>
        <v>290.98</v>
      </c>
      <c r="K17" s="9">
        <f>ROUND(I17-J17,2)</f>
        <v>0</v>
      </c>
      <c r="L17">
        <f>MAX(0,DATE(2026,9,30)-E17)</f>
        <v>104</v>
      </c>
      <c r="M17">
        <f>IF(K17&lt;-0.005,"Credit balance: check for double payment",IF(AND(K17&gt;0.005,L17&gt;60),"Over 60 days overdue",""))</f>
      </c>
    </row>
    <row r="18">
      <c r="A18" t="inlineStr">
        <is>
          <t>INV/2026/01495</t>
        </is>
      </c>
      <c r="B18" t="inlineStr">
        <is>
          <t>Invoice</t>
        </is>
      </c>
      <c r="C18" t="inlineStr">
        <is>
          <t>Coastline Health Fund</t>
        </is>
      </c>
      <c r="D18" s="5" t="n">
        <v>46177</v>
      </c>
      <c r="E18" s="5" t="n">
        <v>46191</v>
      </c>
      <c r="F18" t="inlineStr">
        <is>
          <t>AUD</t>
        </is>
      </c>
      <c r="G18" s="9" t="n">
        <v>88</v>
      </c>
      <c r="H18" s="9" t="n">
        <v>0</v>
      </c>
      <c r="I18" s="9" t="n">
        <v>88</v>
      </c>
      <c r="J18" s="9">
        <f>ROUND(1*SUMIFS('Allocations'!$C$5:$C$222,'Allocations'!$B$5:$B$222,A18),2)</f>
        <v>0</v>
      </c>
      <c r="K18" s="9">
        <f>ROUND(I18-J18,2)</f>
        <v>88</v>
      </c>
      <c r="L18">
        <f>MAX(0,DATE(2026,9,30)-E18)</f>
        <v>104</v>
      </c>
      <c r="M18" t="str">
        <f>IF(K18&lt;-0.005,"Credit balance: check for double payment",IF(AND(K18&gt;0.005,L18&gt;60),"Over 60 days overdue",""))</f>
        <v>Over 60 days overdue</v>
      </c>
    </row>
    <row r="19">
      <c r="A19" t="inlineStr">
        <is>
          <t>INV/2026/01496</t>
        </is>
      </c>
      <c r="B19" t="inlineStr">
        <is>
          <t>Invoice</t>
        </is>
      </c>
      <c r="C19" t="inlineStr">
        <is>
          <t>Pinnacle Claims Services</t>
        </is>
      </c>
      <c r="D19" s="5" t="n">
        <v>46177</v>
      </c>
      <c r="E19" s="5" t="n">
        <v>46191</v>
      </c>
      <c r="F19" t="inlineStr">
        <is>
          <t>AUD</t>
        </is>
      </c>
      <c r="G19" s="9" t="n">
        <v>412.5</v>
      </c>
      <c r="H19" s="9" t="n">
        <v>0</v>
      </c>
      <c r="I19" s="9" t="n">
        <v>412.5</v>
      </c>
      <c r="J19" s="9">
        <f>ROUND(1*SUMIFS('Allocations'!$C$5:$C$222,'Allocations'!$B$5:$B$222,A19),2)</f>
        <v>0</v>
      </c>
      <c r="K19" s="9">
        <f>ROUND(I19-J19,2)</f>
        <v>412.5</v>
      </c>
      <c r="L19">
        <f>MAX(0,DATE(2026,9,30)-E19)</f>
        <v>104</v>
      </c>
      <c r="M19" t="str">
        <f>IF(K19&lt;-0.005,"Credit balance: check for double payment",IF(AND(K19&gt;0.005,L19&gt;60),"Over 60 days overdue",""))</f>
        <v>Over 60 days overdue</v>
      </c>
    </row>
    <row r="20">
      <c r="A20" t="inlineStr">
        <is>
          <t>INV/2026/01497</t>
        </is>
      </c>
      <c r="B20" t="inlineStr">
        <is>
          <t>Invoice</t>
        </is>
      </c>
      <c r="C20" t="inlineStr">
        <is>
          <t>Northline Injury Claims</t>
        </is>
      </c>
      <c r="D20" s="5" t="n">
        <v>46177</v>
      </c>
      <c r="E20" s="5" t="n">
        <v>46191</v>
      </c>
      <c r="F20" t="inlineStr">
        <is>
          <t>AUD</t>
        </is>
      </c>
      <c r="G20" s="9" t="n">
        <v>88</v>
      </c>
      <c r="H20" s="9" t="n">
        <v>0</v>
      </c>
      <c r="I20" s="9" t="n">
        <v>88</v>
      </c>
      <c r="J20" s="9">
        <f>ROUND(1*SUMIFS('Allocations'!$C$5:$C$222,'Allocations'!$B$5:$B$222,A20),2)</f>
        <v>0</v>
      </c>
      <c r="K20" s="9">
        <f>ROUND(I20-J20,2)</f>
        <v>88</v>
      </c>
      <c r="L20">
        <f>MAX(0,DATE(2026,9,30)-E20)</f>
        <v>104</v>
      </c>
      <c r="M20" t="str">
        <f>IF(K20&lt;-0.005,"Credit balance: check for double payment",IF(AND(K20&gt;0.005,L20&gt;60),"Over 60 days overdue",""))</f>
        <v>Over 60 days overdue</v>
      </c>
    </row>
    <row r="21">
      <c r="A21" t="inlineStr">
        <is>
          <t>INV/2026/01514</t>
        </is>
      </c>
      <c r="B21" t="inlineStr">
        <is>
          <t>Invoice</t>
        </is>
      </c>
      <c r="C21" t="inlineStr">
        <is>
          <t>Pinnacle Claims Services</t>
        </is>
      </c>
      <c r="D21" s="5" t="n">
        <v>46178</v>
      </c>
      <c r="E21" s="5" t="n">
        <v>46192</v>
      </c>
      <c r="F21" t="inlineStr">
        <is>
          <t>AUD</t>
        </is>
      </c>
      <c r="G21" s="9" t="n">
        <v>176</v>
      </c>
      <c r="H21" s="9" t="n">
        <v>0</v>
      </c>
      <c r="I21" s="9" t="n">
        <v>176</v>
      </c>
      <c r="J21" s="9">
        <f>ROUND(1*SUMIFS('Allocations'!$C$5:$C$222,'Allocations'!$B$5:$B$222,A21),2)</f>
        <v>0</v>
      </c>
      <c r="K21" s="9">
        <f>ROUND(I21-J21,2)</f>
        <v>176</v>
      </c>
      <c r="L21">
        <f>MAX(0,DATE(2026,9,30)-E21)</f>
        <v>103</v>
      </c>
      <c r="M21" t="str">
        <f>IF(K21&lt;-0.005,"Credit balance: check for double payment",IF(AND(K21&gt;0.005,L21&gt;60),"Over 60 days overdue",""))</f>
        <v>Over 60 days overdue</v>
      </c>
    </row>
    <row r="22">
      <c r="A22" t="inlineStr">
        <is>
          <t>INV/2026/01515</t>
        </is>
      </c>
      <c r="B22" t="inlineStr">
        <is>
          <t>Invoice</t>
        </is>
      </c>
      <c r="C22" t="inlineStr">
        <is>
          <t>Bluegum Plan Management</t>
        </is>
      </c>
      <c r="D22" s="5" t="n">
        <v>46181</v>
      </c>
      <c r="E22" s="5" t="n">
        <v>46195</v>
      </c>
      <c r="F22" t="inlineStr">
        <is>
          <t>AUD</t>
        </is>
      </c>
      <c r="G22" s="9" t="n">
        <v>387.98</v>
      </c>
      <c r="H22" s="9" t="n">
        <v>0</v>
      </c>
      <c r="I22" s="9" t="n">
        <v>387.98</v>
      </c>
      <c r="J22" s="9">
        <f>ROUND(1*SUMIFS('Allocations'!$C$5:$C$222,'Allocations'!$B$5:$B$222,A22),2)</f>
        <v>387.98</v>
      </c>
      <c r="K22" s="9">
        <f>ROUND(I22-J22,2)</f>
        <v>0</v>
      </c>
      <c r="L22">
        <f>MAX(0,DATE(2026,9,30)-E22)</f>
        <v>100</v>
      </c>
      <c r="M22">
        <f>IF(K22&lt;-0.005,"Credit balance: check for double payment",IF(AND(K22&gt;0.005,L22&gt;60),"Over 60 days overdue",""))</f>
      </c>
    </row>
    <row r="23">
      <c r="A23" t="inlineStr">
        <is>
          <t>INV/2026/01517</t>
        </is>
      </c>
      <c r="B23" t="inlineStr">
        <is>
          <t>Invoice</t>
        </is>
      </c>
      <c r="C23" t="inlineStr">
        <is>
          <t>Wattle Plan Services</t>
        </is>
      </c>
      <c r="D23" s="5" t="n">
        <v>46181</v>
      </c>
      <c r="E23" s="5" t="n">
        <v>46195</v>
      </c>
      <c r="F23" t="inlineStr">
        <is>
          <t>AUD</t>
        </is>
      </c>
      <c r="G23" s="9" t="n">
        <v>96.98999999999999</v>
      </c>
      <c r="H23" s="9" t="n">
        <v>0</v>
      </c>
      <c r="I23" s="9" t="n">
        <v>96.98999999999999</v>
      </c>
      <c r="J23" s="9">
        <f>ROUND(1*SUMIFS('Allocations'!$C$5:$C$222,'Allocations'!$B$5:$B$222,A23),2)</f>
        <v>96.99</v>
      </c>
      <c r="K23" s="9">
        <f>ROUND(I23-J23,2)</f>
        <v>0</v>
      </c>
      <c r="L23">
        <f>MAX(0,DATE(2026,9,30)-E23)</f>
        <v>100</v>
      </c>
      <c r="M23">
        <f>IF(K23&lt;-0.005,"Credit balance: check for double payment",IF(AND(K23&gt;0.005,L23&gt;60),"Over 60 days overdue",""))</f>
      </c>
    </row>
    <row r="24">
      <c r="A24" t="inlineStr">
        <is>
          <t>INV/2026/01518</t>
        </is>
      </c>
      <c r="B24" t="inlineStr">
        <is>
          <t>Invoice</t>
        </is>
      </c>
      <c r="C24" t="inlineStr">
        <is>
          <t>Wattle Plan Services</t>
        </is>
      </c>
      <c r="D24" s="5" t="n">
        <v>46181</v>
      </c>
      <c r="E24" s="5" t="n">
        <v>46195</v>
      </c>
      <c r="F24" t="inlineStr">
        <is>
          <t>AUD</t>
        </is>
      </c>
      <c r="G24" s="9" t="n">
        <v>242.49</v>
      </c>
      <c r="H24" s="9" t="n">
        <v>0</v>
      </c>
      <c r="I24" s="9" t="n">
        <v>242.49</v>
      </c>
      <c r="J24" s="9">
        <f>ROUND(1*SUMIFS('Allocations'!$C$5:$C$222,'Allocations'!$B$5:$B$222,A24),2)</f>
        <v>242.49</v>
      </c>
      <c r="K24" s="9">
        <f>ROUND(I24-J24,2)</f>
        <v>0</v>
      </c>
      <c r="L24">
        <f>MAX(0,DATE(2026,9,30)-E24)</f>
        <v>100</v>
      </c>
      <c r="M24">
        <f>IF(K24&lt;-0.005,"Credit balance: check for double payment",IF(AND(K24&gt;0.005,L24&gt;60),"Over 60 days overdue",""))</f>
      </c>
    </row>
    <row r="25">
      <c r="A25" t="inlineStr">
        <is>
          <t>INV/2026/01519</t>
        </is>
      </c>
      <c r="B25" t="inlineStr">
        <is>
          <t>Invoice</t>
        </is>
      </c>
      <c r="C25" t="inlineStr">
        <is>
          <t>Banksia Plan Co</t>
        </is>
      </c>
      <c r="D25" s="5" t="n">
        <v>46181</v>
      </c>
      <c r="E25" s="5" t="n">
        <v>46195</v>
      </c>
      <c r="F25" t="inlineStr">
        <is>
          <t>AUD</t>
        </is>
      </c>
      <c r="G25" s="9" t="n">
        <v>193.99</v>
      </c>
      <c r="H25" s="9" t="n">
        <v>0</v>
      </c>
      <c r="I25" s="9" t="n">
        <v>193.99</v>
      </c>
      <c r="J25" s="9">
        <f>ROUND(1*SUMIFS('Allocations'!$C$5:$C$222,'Allocations'!$B$5:$B$222,A25),2)</f>
        <v>193.99</v>
      </c>
      <c r="K25" s="9">
        <f>ROUND(I25-J25,2)</f>
        <v>0</v>
      </c>
      <c r="L25">
        <f>MAX(0,DATE(2026,9,30)-E25)</f>
        <v>100</v>
      </c>
      <c r="M25">
        <f>IF(K25&lt;-0.005,"Credit balance: check for double payment",IF(AND(K25&gt;0.005,L25&gt;60),"Over 60 days overdue",""))</f>
      </c>
    </row>
    <row r="26">
      <c r="A26" t="inlineStr">
        <is>
          <t>INV/2026/01520</t>
        </is>
      </c>
      <c r="B26" t="inlineStr">
        <is>
          <t>Invoice</t>
        </is>
      </c>
      <c r="C26" t="inlineStr">
        <is>
          <t>Banksia Plan Co</t>
        </is>
      </c>
      <c r="D26" s="5" t="n">
        <v>46181</v>
      </c>
      <c r="E26" s="5" t="n">
        <v>46195</v>
      </c>
      <c r="F26" t="inlineStr">
        <is>
          <t>AUD</t>
        </is>
      </c>
      <c r="G26" s="9" t="n">
        <v>96.98999999999999</v>
      </c>
      <c r="H26" s="9" t="n">
        <v>0</v>
      </c>
      <c r="I26" s="9" t="n">
        <v>96.98999999999999</v>
      </c>
      <c r="J26" s="9">
        <f>ROUND(1*SUMIFS('Allocations'!$C$5:$C$222,'Allocations'!$B$5:$B$222,A26),2)</f>
        <v>96.99</v>
      </c>
      <c r="K26" s="9">
        <f>ROUND(I26-J26,2)</f>
        <v>0</v>
      </c>
      <c r="L26">
        <f>MAX(0,DATE(2026,9,30)-E26)</f>
        <v>100</v>
      </c>
      <c r="M26">
        <f>IF(K26&lt;-0.005,"Credit balance: check for double payment",IF(AND(K26&gt;0.005,L26&gt;60),"Over 60 days overdue",""))</f>
      </c>
    </row>
    <row r="27">
      <c r="A27" t="inlineStr">
        <is>
          <t>INV/2026/01533</t>
        </is>
      </c>
      <c r="B27" t="inlineStr">
        <is>
          <t>Invoice</t>
        </is>
      </c>
      <c r="C27" t="inlineStr">
        <is>
          <t>Unity Workcover Agents</t>
        </is>
      </c>
      <c r="D27" s="5" t="n">
        <v>46181</v>
      </c>
      <c r="E27" s="5" t="n">
        <v>46195</v>
      </c>
      <c r="F27" t="inlineStr">
        <is>
          <t>AUD</t>
        </is>
      </c>
      <c r="G27" s="9" t="n">
        <v>412.5</v>
      </c>
      <c r="H27" s="9" t="n">
        <v>0</v>
      </c>
      <c r="I27" s="9" t="n">
        <v>412.5</v>
      </c>
      <c r="J27" s="9">
        <f>ROUND(1*SUMIFS('Allocations'!$C$5:$C$222,'Allocations'!$B$5:$B$222,A27),2)</f>
        <v>0</v>
      </c>
      <c r="K27" s="9">
        <f>ROUND(I27-J27,2)</f>
        <v>412.5</v>
      </c>
      <c r="L27">
        <f>MAX(0,DATE(2026,9,30)-E27)</f>
        <v>100</v>
      </c>
      <c r="M27" t="str">
        <f>IF(K27&lt;-0.005,"Credit balance: check for double payment",IF(AND(K27&gt;0.005,L27&gt;60),"Over 60 days overdue",""))</f>
        <v>Over 60 days overdue</v>
      </c>
    </row>
    <row r="28">
      <c r="A28" t="inlineStr">
        <is>
          <t>INV/2026/01534</t>
        </is>
      </c>
      <c r="B28" t="inlineStr">
        <is>
          <t>Invoice</t>
        </is>
      </c>
      <c r="C28" t="inlineStr">
        <is>
          <t>Bluegum Plan Management</t>
        </is>
      </c>
      <c r="D28" s="5" t="n">
        <v>46182</v>
      </c>
      <c r="E28" s="5" t="n">
        <v>46196</v>
      </c>
      <c r="F28" t="inlineStr">
        <is>
          <t>AUD</t>
        </is>
      </c>
      <c r="G28" s="9" t="n">
        <v>193.99</v>
      </c>
      <c r="H28" s="9" t="n">
        <v>0</v>
      </c>
      <c r="I28" s="9" t="n">
        <v>193.99</v>
      </c>
      <c r="J28" s="9">
        <f>ROUND(1*SUMIFS('Allocations'!$C$5:$C$222,'Allocations'!$B$5:$B$222,A28),2)</f>
        <v>193.99</v>
      </c>
      <c r="K28" s="9">
        <f>ROUND(I28-J28,2)</f>
        <v>0</v>
      </c>
      <c r="L28">
        <f>MAX(0,DATE(2026,9,30)-E28)</f>
        <v>99</v>
      </c>
      <c r="M28">
        <f>IF(K28&lt;-0.005,"Credit balance: check for double payment",IF(AND(K28&gt;0.005,L28&gt;60),"Over 60 days overdue",""))</f>
      </c>
    </row>
    <row r="29">
      <c r="A29" t="inlineStr">
        <is>
          <t>INV/2026/01537</t>
        </is>
      </c>
      <c r="B29" t="inlineStr">
        <is>
          <t>Invoice</t>
        </is>
      </c>
      <c r="C29" t="inlineStr">
        <is>
          <t>Wattle Plan Services</t>
        </is>
      </c>
      <c r="D29" s="5" t="n">
        <v>46182</v>
      </c>
      <c r="E29" s="5" t="n">
        <v>46196</v>
      </c>
      <c r="F29" t="inlineStr">
        <is>
          <t>AUD</t>
        </is>
      </c>
      <c r="G29" s="9" t="n">
        <v>155.19</v>
      </c>
      <c r="H29" s="9" t="n">
        <v>0</v>
      </c>
      <c r="I29" s="9" t="n">
        <v>155.19</v>
      </c>
      <c r="J29" s="9">
        <f>ROUND(1*SUMIFS('Allocations'!$C$5:$C$222,'Allocations'!$B$5:$B$222,A29),2)</f>
        <v>155.19</v>
      </c>
      <c r="K29" s="9">
        <f>ROUND(I29-J29,2)</f>
        <v>0</v>
      </c>
      <c r="L29">
        <f>MAX(0,DATE(2026,9,30)-E29)</f>
        <v>99</v>
      </c>
      <c r="M29">
        <f>IF(K29&lt;-0.005,"Credit balance: check for double payment",IF(AND(K29&gt;0.005,L29&gt;60),"Over 60 days overdue",""))</f>
      </c>
    </row>
    <row r="30">
      <c r="A30" t="inlineStr">
        <is>
          <t>INV/2026/01554</t>
        </is>
      </c>
      <c r="B30" t="inlineStr">
        <is>
          <t>Invoice</t>
        </is>
      </c>
      <c r="C30" t="inlineStr">
        <is>
          <t>Coastline Health Fund</t>
        </is>
      </c>
      <c r="D30" s="5" t="n">
        <v>46182</v>
      </c>
      <c r="E30" s="5" t="n">
        <v>46196</v>
      </c>
      <c r="F30" t="inlineStr">
        <is>
          <t>AUD</t>
        </is>
      </c>
      <c r="G30" s="9" t="n">
        <v>132</v>
      </c>
      <c r="H30" s="9" t="n">
        <v>0</v>
      </c>
      <c r="I30" s="9" t="n">
        <v>132</v>
      </c>
      <c r="J30" s="9">
        <f>ROUND(1*SUMIFS('Allocations'!$C$5:$C$222,'Allocations'!$B$5:$B$222,A30),2)</f>
        <v>0</v>
      </c>
      <c r="K30" s="9">
        <f>ROUND(I30-J30,2)</f>
        <v>132</v>
      </c>
      <c r="L30">
        <f>MAX(0,DATE(2026,9,30)-E30)</f>
        <v>99</v>
      </c>
      <c r="M30" t="str">
        <f>IF(K30&lt;-0.005,"Credit balance: check for double payment",IF(AND(K30&gt;0.005,L30&gt;60),"Over 60 days overdue",""))</f>
        <v>Over 60 days overdue</v>
      </c>
    </row>
    <row r="31">
      <c r="A31" t="inlineStr">
        <is>
          <t>INV/2026/01555</t>
        </is>
      </c>
      <c r="B31" t="inlineStr">
        <is>
          <t>Invoice</t>
        </is>
      </c>
      <c r="C31" t="inlineStr">
        <is>
          <t>Northline Injury Claims</t>
        </is>
      </c>
      <c r="D31" s="5" t="n">
        <v>46182</v>
      </c>
      <c r="E31" s="5" t="n">
        <v>46196</v>
      </c>
      <c r="F31" t="inlineStr">
        <is>
          <t>AUD</t>
        </is>
      </c>
      <c r="G31" s="9" t="n">
        <v>176</v>
      </c>
      <c r="H31" s="9" t="n">
        <v>0</v>
      </c>
      <c r="I31" s="9" t="n">
        <v>176</v>
      </c>
      <c r="J31" s="9">
        <f>ROUND(1*SUMIFS('Allocations'!$C$5:$C$222,'Allocations'!$B$5:$B$222,A31),2)</f>
        <v>0</v>
      </c>
      <c r="K31" s="9">
        <f>ROUND(I31-J31,2)</f>
        <v>176</v>
      </c>
      <c r="L31">
        <f>MAX(0,DATE(2026,9,30)-E31)</f>
        <v>99</v>
      </c>
      <c r="M31" t="str">
        <f>IF(K31&lt;-0.005,"Credit balance: check for double payment",IF(AND(K31&gt;0.005,L31&gt;60),"Over 60 days overdue",""))</f>
        <v>Over 60 days overdue</v>
      </c>
    </row>
    <row r="32">
      <c r="A32" t="inlineStr">
        <is>
          <t>INV/2026/01567</t>
        </is>
      </c>
      <c r="B32" t="inlineStr">
        <is>
          <t>Invoice</t>
        </is>
      </c>
      <c r="C32" t="inlineStr">
        <is>
          <t>Kookaburra Plan Support</t>
        </is>
      </c>
      <c r="D32" s="5" t="n">
        <v>46183</v>
      </c>
      <c r="E32" s="5" t="n">
        <v>46197</v>
      </c>
      <c r="F32" t="inlineStr">
        <is>
          <t>AUD</t>
        </is>
      </c>
      <c r="G32" s="9" t="n">
        <v>96.98999999999999</v>
      </c>
      <c r="H32" s="9" t="n">
        <v>0</v>
      </c>
      <c r="I32" s="9" t="n">
        <v>96.98999999999999</v>
      </c>
      <c r="J32" s="9">
        <f>ROUND(1*SUMIFS('Allocations'!$C$5:$C$222,'Allocations'!$B$5:$B$222,A32),2)</f>
        <v>96.99</v>
      </c>
      <c r="K32" s="9">
        <f>ROUND(I32-J32,2)</f>
        <v>0</v>
      </c>
      <c r="L32">
        <f>MAX(0,DATE(2026,9,30)-E32)</f>
        <v>98</v>
      </c>
      <c r="M32">
        <f>IF(K32&lt;-0.005,"Credit balance: check for double payment",IF(AND(K32&gt;0.005,L32&gt;60),"Over 60 days overdue",""))</f>
      </c>
    </row>
    <row r="33">
      <c r="A33" t="inlineStr">
        <is>
          <t>INV/2026/01568</t>
        </is>
      </c>
      <c r="B33" t="inlineStr">
        <is>
          <t>Invoice</t>
        </is>
      </c>
      <c r="C33" t="inlineStr">
        <is>
          <t>Kookaburra Plan Support</t>
        </is>
      </c>
      <c r="D33" s="5" t="n">
        <v>46183</v>
      </c>
      <c r="E33" s="5" t="n">
        <v>46197</v>
      </c>
      <c r="F33" t="inlineStr">
        <is>
          <t>AUD</t>
        </is>
      </c>
      <c r="G33" s="9" t="n">
        <v>96.98999999999999</v>
      </c>
      <c r="H33" s="9" t="n">
        <v>0</v>
      </c>
      <c r="I33" s="9" t="n">
        <v>96.98999999999999</v>
      </c>
      <c r="J33" s="9">
        <f>ROUND(1*SUMIFS('Allocations'!$C$5:$C$222,'Allocations'!$B$5:$B$222,A33),2)</f>
        <v>96.99</v>
      </c>
      <c r="K33" s="9">
        <f>ROUND(I33-J33,2)</f>
        <v>0</v>
      </c>
      <c r="L33">
        <f>MAX(0,DATE(2026,9,30)-E33)</f>
        <v>98</v>
      </c>
      <c r="M33">
        <f>IF(K33&lt;-0.005,"Credit balance: check for double payment",IF(AND(K33&gt;0.005,L33&gt;60),"Over 60 days overdue",""))</f>
      </c>
    </row>
    <row r="34">
      <c r="A34" t="inlineStr">
        <is>
          <t>INV/2026/01579</t>
        </is>
      </c>
      <c r="B34" t="inlineStr">
        <is>
          <t>Invoice</t>
        </is>
      </c>
      <c r="C34" t="inlineStr">
        <is>
          <t>Unity Workcover Agents</t>
        </is>
      </c>
      <c r="D34" s="5" t="n">
        <v>46183</v>
      </c>
      <c r="E34" s="5" t="n">
        <v>46197</v>
      </c>
      <c r="F34" t="inlineStr">
        <is>
          <t>AUD</t>
        </is>
      </c>
      <c r="G34" s="9" t="n">
        <v>990</v>
      </c>
      <c r="H34" s="9" t="n">
        <v>0</v>
      </c>
      <c r="I34" s="9" t="n">
        <v>990</v>
      </c>
      <c r="J34" s="9">
        <f>ROUND(1*SUMIFS('Allocations'!$C$5:$C$222,'Allocations'!$B$5:$B$222,A34),2)</f>
        <v>0</v>
      </c>
      <c r="K34" s="9">
        <f>ROUND(I34-J34,2)</f>
        <v>990</v>
      </c>
      <c r="L34">
        <f>MAX(0,DATE(2026,9,30)-E34)</f>
        <v>98</v>
      </c>
      <c r="M34" t="str">
        <f>IF(K34&lt;-0.005,"Credit balance: check for double payment",IF(AND(K34&gt;0.005,L34&gt;60),"Over 60 days overdue",""))</f>
        <v>Over 60 days overdue</v>
      </c>
    </row>
    <row r="35">
      <c r="A35" t="inlineStr">
        <is>
          <t>INV/2026/01580</t>
        </is>
      </c>
      <c r="B35" t="inlineStr">
        <is>
          <t>Invoice</t>
        </is>
      </c>
      <c r="C35" t="inlineStr">
        <is>
          <t>Pinnacle Claims Services</t>
        </is>
      </c>
      <c r="D35" s="5" t="n">
        <v>46183</v>
      </c>
      <c r="E35" s="5" t="n">
        <v>46197</v>
      </c>
      <c r="F35" t="inlineStr">
        <is>
          <t>AUD</t>
        </is>
      </c>
      <c r="G35" s="9" t="n">
        <v>990</v>
      </c>
      <c r="H35" s="9" t="n">
        <v>0</v>
      </c>
      <c r="I35" s="9" t="n">
        <v>990</v>
      </c>
      <c r="J35" s="9">
        <f>ROUND(1*SUMIFS('Allocations'!$C$5:$C$222,'Allocations'!$B$5:$B$222,A35),2)</f>
        <v>0</v>
      </c>
      <c r="K35" s="9">
        <f>ROUND(I35-J35,2)</f>
        <v>990</v>
      </c>
      <c r="L35">
        <f>MAX(0,DATE(2026,9,30)-E35)</f>
        <v>98</v>
      </c>
      <c r="M35" t="str">
        <f>IF(K35&lt;-0.005,"Credit balance: check for double payment",IF(AND(K35&gt;0.005,L35&gt;60),"Over 60 days overdue",""))</f>
        <v>Over 60 days overdue</v>
      </c>
    </row>
    <row r="36">
      <c r="A36" t="inlineStr">
        <is>
          <t>INV/2026/01582</t>
        </is>
      </c>
      <c r="B36" t="inlineStr">
        <is>
          <t>Invoice</t>
        </is>
      </c>
      <c r="C36" t="inlineStr">
        <is>
          <t>Northline Injury Claims</t>
        </is>
      </c>
      <c r="D36" s="5" t="n">
        <v>46183</v>
      </c>
      <c r="E36" s="5" t="n">
        <v>46197</v>
      </c>
      <c r="F36" t="inlineStr">
        <is>
          <t>AUD</t>
        </is>
      </c>
      <c r="G36" s="9" t="n">
        <v>990</v>
      </c>
      <c r="H36" s="9" t="n">
        <v>0</v>
      </c>
      <c r="I36" s="9" t="n">
        <v>990</v>
      </c>
      <c r="J36" s="9">
        <f>ROUND(1*SUMIFS('Allocations'!$C$5:$C$222,'Allocations'!$B$5:$B$222,A36),2)</f>
        <v>0</v>
      </c>
      <c r="K36" s="9">
        <f>ROUND(I36-J36,2)</f>
        <v>990</v>
      </c>
      <c r="L36">
        <f>MAX(0,DATE(2026,9,30)-E36)</f>
        <v>98</v>
      </c>
      <c r="M36" t="str">
        <f>IF(K36&lt;-0.005,"Credit balance: check for double payment",IF(AND(K36&gt;0.005,L36&gt;60),"Over 60 days overdue",""))</f>
        <v>Over 60 days overdue</v>
      </c>
    </row>
    <row r="37">
      <c r="A37" t="inlineStr">
        <is>
          <t>INV/2026/01591</t>
        </is>
      </c>
      <c r="B37" t="inlineStr">
        <is>
          <t>Invoice</t>
        </is>
      </c>
      <c r="C37" t="inlineStr">
        <is>
          <t>Wattle Plan Services</t>
        </is>
      </c>
      <c r="D37" s="5" t="n">
        <v>46184</v>
      </c>
      <c r="E37" s="5" t="n">
        <v>46198</v>
      </c>
      <c r="F37" t="inlineStr">
        <is>
          <t>AUD</t>
        </is>
      </c>
      <c r="G37" s="9" t="n">
        <v>96.98999999999999</v>
      </c>
      <c r="H37" s="9" t="n">
        <v>0</v>
      </c>
      <c r="I37" s="9" t="n">
        <v>96.98999999999999</v>
      </c>
      <c r="J37" s="9">
        <f>ROUND(1*SUMIFS('Allocations'!$C$5:$C$222,'Allocations'!$B$5:$B$222,A37),2)</f>
        <v>96.99</v>
      </c>
      <c r="K37" s="9">
        <f>ROUND(I37-J37,2)</f>
        <v>0</v>
      </c>
      <c r="L37">
        <f>MAX(0,DATE(2026,9,30)-E37)</f>
        <v>97</v>
      </c>
      <c r="M37">
        <f>IF(K37&lt;-0.005,"Credit balance: check for double payment",IF(AND(K37&gt;0.005,L37&gt;60),"Over 60 days overdue",""))</f>
      </c>
    </row>
    <row r="38">
      <c r="A38" t="inlineStr">
        <is>
          <t>INV/2026/01594</t>
        </is>
      </c>
      <c r="B38" t="inlineStr">
        <is>
          <t>Invoice</t>
        </is>
      </c>
      <c r="C38" t="inlineStr">
        <is>
          <t>Kookaburra Plan Support</t>
        </is>
      </c>
      <c r="D38" s="5" t="n">
        <v>46184</v>
      </c>
      <c r="E38" s="5" t="n">
        <v>46198</v>
      </c>
      <c r="F38" t="inlineStr">
        <is>
          <t>AUD</t>
        </is>
      </c>
      <c r="G38" s="9" t="n">
        <v>320.98</v>
      </c>
      <c r="H38" s="9" t="n">
        <v>0</v>
      </c>
      <c r="I38" s="9" t="n">
        <v>320.98</v>
      </c>
      <c r="J38" s="9">
        <f>ROUND(1*SUMIFS('Allocations'!$C$5:$C$222,'Allocations'!$B$5:$B$222,A38),2)</f>
        <v>320.98</v>
      </c>
      <c r="K38" s="9">
        <f>ROUND(I38-J38,2)</f>
        <v>0</v>
      </c>
      <c r="L38">
        <f>MAX(0,DATE(2026,9,30)-E38)</f>
        <v>97</v>
      </c>
      <c r="M38">
        <f>IF(K38&lt;-0.005,"Credit balance: check for double payment",IF(AND(K38&gt;0.005,L38&gt;60),"Over 60 days overdue",""))</f>
      </c>
    </row>
    <row r="39">
      <c r="A39" t="inlineStr">
        <is>
          <t>INV/2026/01595</t>
        </is>
      </c>
      <c r="B39" t="inlineStr">
        <is>
          <t>Invoice</t>
        </is>
      </c>
      <c r="C39" t="inlineStr">
        <is>
          <t>Kookaburra Plan Support</t>
        </is>
      </c>
      <c r="D39" s="5" t="n">
        <v>46184</v>
      </c>
      <c r="E39" s="5" t="n">
        <v>46198</v>
      </c>
      <c r="F39" t="inlineStr">
        <is>
          <t>AUD</t>
        </is>
      </c>
      <c r="G39" s="9" t="n">
        <v>203.69</v>
      </c>
      <c r="H39" s="9" t="n">
        <v>0</v>
      </c>
      <c r="I39" s="9" t="n">
        <v>203.69</v>
      </c>
      <c r="J39" s="9">
        <f>ROUND(1*SUMIFS('Allocations'!$C$5:$C$222,'Allocations'!$B$5:$B$222,A39),2)</f>
        <v>203.69</v>
      </c>
      <c r="K39" s="9">
        <f>ROUND(I39-J39,2)</f>
        <v>0</v>
      </c>
      <c r="L39">
        <f>MAX(0,DATE(2026,9,30)-E39)</f>
        <v>97</v>
      </c>
      <c r="M39">
        <f>IF(K39&lt;-0.005,"Credit balance: check for double payment",IF(AND(K39&gt;0.005,L39&gt;60),"Over 60 days overdue",""))</f>
      </c>
    </row>
    <row r="40">
      <c r="A40" t="inlineStr">
        <is>
          <t>INV/2026/01596</t>
        </is>
      </c>
      <c r="B40" t="inlineStr">
        <is>
          <t>Invoice</t>
        </is>
      </c>
      <c r="C40" t="inlineStr">
        <is>
          <t>Kookaburra Plan Support</t>
        </is>
      </c>
      <c r="D40" s="5" t="n">
        <v>46184</v>
      </c>
      <c r="E40" s="5" t="n">
        <v>46198</v>
      </c>
      <c r="F40" t="inlineStr">
        <is>
          <t>AUD</t>
        </is>
      </c>
      <c r="G40" s="9" t="n">
        <v>145.49</v>
      </c>
      <c r="H40" s="9" t="n">
        <v>0</v>
      </c>
      <c r="I40" s="9" t="n">
        <v>145.49</v>
      </c>
      <c r="J40" s="9">
        <f>ROUND(1*SUMIFS('Allocations'!$C$5:$C$222,'Allocations'!$B$5:$B$222,A40),2)</f>
        <v>145.49</v>
      </c>
      <c r="K40" s="9">
        <f>ROUND(I40-J40,2)</f>
        <v>0</v>
      </c>
      <c r="L40">
        <f>MAX(0,DATE(2026,9,30)-E40)</f>
        <v>97</v>
      </c>
      <c r="M40">
        <f>IF(K40&lt;-0.005,"Credit balance: check for double payment",IF(AND(K40&gt;0.005,L40&gt;60),"Over 60 days overdue",""))</f>
      </c>
    </row>
    <row r="41">
      <c r="A41" t="inlineStr">
        <is>
          <t>INV/2026/01598</t>
        </is>
      </c>
      <c r="B41" t="inlineStr">
        <is>
          <t>Invoice</t>
        </is>
      </c>
      <c r="C41" t="inlineStr">
        <is>
          <t>Saltbush Plan Managers</t>
        </is>
      </c>
      <c r="D41" s="5" t="n">
        <v>46184</v>
      </c>
      <c r="E41" s="5" t="n">
        <v>46198</v>
      </c>
      <c r="F41" t="inlineStr">
        <is>
          <t>AUD</t>
        </is>
      </c>
      <c r="G41" s="9" t="n">
        <v>155.19</v>
      </c>
      <c r="H41" s="9" t="n">
        <v>0</v>
      </c>
      <c r="I41" s="9" t="n">
        <v>155.19</v>
      </c>
      <c r="J41" s="9">
        <f>ROUND(1*SUMIFS('Allocations'!$C$5:$C$222,'Allocations'!$B$5:$B$222,A41),2)</f>
        <v>155.19</v>
      </c>
      <c r="K41" s="9">
        <f>ROUND(I41-J41,2)</f>
        <v>0</v>
      </c>
      <c r="L41">
        <f>MAX(0,DATE(2026,9,30)-E41)</f>
        <v>97</v>
      </c>
      <c r="M41">
        <f>IF(K41&lt;-0.005,"Credit balance: check for double payment",IF(AND(K41&gt;0.005,L41&gt;60),"Over 60 days overdue",""))</f>
      </c>
    </row>
    <row r="42">
      <c r="A42" t="inlineStr">
        <is>
          <t>INV/2026/01607</t>
        </is>
      </c>
      <c r="B42" t="inlineStr">
        <is>
          <t>Invoice</t>
        </is>
      </c>
      <c r="C42" t="inlineStr">
        <is>
          <t>Acacia Plan Partners</t>
        </is>
      </c>
      <c r="D42" s="5" t="n">
        <v>46184</v>
      </c>
      <c r="E42" s="5" t="n">
        <v>46198</v>
      </c>
      <c r="F42" t="inlineStr">
        <is>
          <t>AUD</t>
        </is>
      </c>
      <c r="G42" s="9" t="n">
        <v>193.99</v>
      </c>
      <c r="H42" s="9" t="n">
        <v>0</v>
      </c>
      <c r="I42" s="9" t="n">
        <v>193.99</v>
      </c>
      <c r="J42" s="9">
        <f>ROUND(1*SUMIFS('Allocations'!$C$5:$C$222,'Allocations'!$B$5:$B$222,A42),2)</f>
        <v>193.99</v>
      </c>
      <c r="K42" s="9">
        <f>ROUND(I42-J42,2)</f>
        <v>0</v>
      </c>
      <c r="L42">
        <f>MAX(0,DATE(2026,9,30)-E42)</f>
        <v>97</v>
      </c>
      <c r="M42">
        <f>IF(K42&lt;-0.005,"Credit balance: check for double payment",IF(AND(K42&gt;0.005,L42&gt;60),"Over 60 days overdue",""))</f>
      </c>
    </row>
    <row r="43">
      <c r="A43" t="inlineStr">
        <is>
          <t>INV/2026/01609</t>
        </is>
      </c>
      <c r="B43" t="inlineStr">
        <is>
          <t>Invoice</t>
        </is>
      </c>
      <c r="C43" t="inlineStr">
        <is>
          <t>Unity Workcover Agents</t>
        </is>
      </c>
      <c r="D43" s="5" t="n">
        <v>46184</v>
      </c>
      <c r="E43" s="5" t="n">
        <v>46198</v>
      </c>
      <c r="F43" t="inlineStr">
        <is>
          <t>AUD</t>
        </is>
      </c>
      <c r="G43" s="9" t="n">
        <v>88</v>
      </c>
      <c r="H43" s="9" t="n">
        <v>0</v>
      </c>
      <c r="I43" s="9" t="n">
        <v>88</v>
      </c>
      <c r="J43" s="9">
        <f>ROUND(1*SUMIFS('Allocations'!$C$5:$C$222,'Allocations'!$B$5:$B$222,A43),2)</f>
        <v>0</v>
      </c>
      <c r="K43" s="9">
        <f>ROUND(I43-J43,2)</f>
        <v>88</v>
      </c>
      <c r="L43">
        <f>MAX(0,DATE(2026,9,30)-E43)</f>
        <v>97</v>
      </c>
      <c r="M43" t="str">
        <f>IF(K43&lt;-0.005,"Credit balance: check for double payment",IF(AND(K43&gt;0.005,L43&gt;60),"Over 60 days overdue",""))</f>
        <v>Over 60 days overdue</v>
      </c>
    </row>
    <row r="44">
      <c r="A44" t="inlineStr">
        <is>
          <t>INV/2026/01610</t>
        </is>
      </c>
      <c r="B44" t="inlineStr">
        <is>
          <t>Invoice</t>
        </is>
      </c>
      <c r="C44" t="inlineStr">
        <is>
          <t>Meridian Health Cover</t>
        </is>
      </c>
      <c r="D44" s="5" t="n">
        <v>46184</v>
      </c>
      <c r="E44" s="5" t="n">
        <v>46198</v>
      </c>
      <c r="F44" t="inlineStr">
        <is>
          <t>AUD</t>
        </is>
      </c>
      <c r="G44" s="9" t="n">
        <v>990</v>
      </c>
      <c r="H44" s="9" t="n">
        <v>0</v>
      </c>
      <c r="I44" s="9" t="n">
        <v>990</v>
      </c>
      <c r="J44" s="9">
        <f>ROUND(1*SUMIFS('Allocations'!$C$5:$C$222,'Allocations'!$B$5:$B$222,A44),2)</f>
        <v>0</v>
      </c>
      <c r="K44" s="9">
        <f>ROUND(I44-J44,2)</f>
        <v>990</v>
      </c>
      <c r="L44">
        <f>MAX(0,DATE(2026,9,30)-E44)</f>
        <v>97</v>
      </c>
      <c r="M44" t="str">
        <f>IF(K44&lt;-0.005,"Credit balance: check for double payment",IF(AND(K44&gt;0.005,L44&gt;60),"Over 60 days overdue",""))</f>
        <v>Over 60 days overdue</v>
      </c>
    </row>
    <row r="45">
      <c r="A45" t="inlineStr">
        <is>
          <t>INV/2026/01611</t>
        </is>
      </c>
      <c r="B45" t="inlineStr">
        <is>
          <t>Invoice</t>
        </is>
      </c>
      <c r="C45" t="inlineStr">
        <is>
          <t>Northline Injury Claims</t>
        </is>
      </c>
      <c r="D45" s="5" t="n">
        <v>46184</v>
      </c>
      <c r="E45" s="5" t="n">
        <v>46198</v>
      </c>
      <c r="F45" t="inlineStr">
        <is>
          <t>AUD</t>
        </is>
      </c>
      <c r="G45" s="9" t="n">
        <v>990</v>
      </c>
      <c r="H45" s="9" t="n">
        <v>0</v>
      </c>
      <c r="I45" s="9" t="n">
        <v>990</v>
      </c>
      <c r="J45" s="9">
        <f>ROUND(1*SUMIFS('Allocations'!$C$5:$C$222,'Allocations'!$B$5:$B$222,A45),2)</f>
        <v>0</v>
      </c>
      <c r="K45" s="9">
        <f>ROUND(I45-J45,2)</f>
        <v>990</v>
      </c>
      <c r="L45">
        <f>MAX(0,DATE(2026,9,30)-E45)</f>
        <v>97</v>
      </c>
      <c r="M45" t="str">
        <f>IF(K45&lt;-0.005,"Credit balance: check for double payment",IF(AND(K45&gt;0.005,L45&gt;60),"Over 60 days overdue",""))</f>
        <v>Over 60 days overdue</v>
      </c>
    </row>
    <row r="46">
      <c r="A46" t="inlineStr">
        <is>
          <t>INV/2026/01618</t>
        </is>
      </c>
      <c r="B46" t="inlineStr">
        <is>
          <t>Invoice</t>
        </is>
      </c>
      <c r="C46" t="inlineStr">
        <is>
          <t>Wattle Plan Services</t>
        </is>
      </c>
      <c r="D46" s="5" t="n">
        <v>46185</v>
      </c>
      <c r="E46" s="5" t="n">
        <v>46199</v>
      </c>
      <c r="F46" t="inlineStr">
        <is>
          <t>AUD</t>
        </is>
      </c>
      <c r="G46" s="9" t="n">
        <v>417.98</v>
      </c>
      <c r="H46" s="9" t="n">
        <v>0</v>
      </c>
      <c r="I46" s="9" t="n">
        <v>417.98</v>
      </c>
      <c r="J46" s="9">
        <f>ROUND(1*SUMIFS('Allocations'!$C$5:$C$222,'Allocations'!$B$5:$B$222,A46),2)</f>
        <v>417.98</v>
      </c>
      <c r="K46" s="9">
        <f>ROUND(I46-J46,2)</f>
        <v>0</v>
      </c>
      <c r="L46">
        <f>MAX(0,DATE(2026,9,30)-E46)</f>
        <v>96</v>
      </c>
      <c r="M46">
        <f>IF(K46&lt;-0.005,"Credit balance: check for double payment",IF(AND(K46&gt;0.005,L46&gt;60),"Over 60 days overdue",""))</f>
      </c>
    </row>
    <row r="47">
      <c r="A47" t="inlineStr">
        <is>
          <t>INV/2026/01619</t>
        </is>
      </c>
      <c r="B47" t="inlineStr">
        <is>
          <t>Invoice</t>
        </is>
      </c>
      <c r="C47" t="inlineStr">
        <is>
          <t>Wattle Plan Services</t>
        </is>
      </c>
      <c r="D47" s="5" t="n">
        <v>46185</v>
      </c>
      <c r="E47" s="5" t="n">
        <v>46199</v>
      </c>
      <c r="F47" t="inlineStr">
        <is>
          <t>AUD</t>
        </is>
      </c>
      <c r="G47" s="9" t="n">
        <v>96.98999999999999</v>
      </c>
      <c r="H47" s="9" t="n">
        <v>0</v>
      </c>
      <c r="I47" s="9" t="n">
        <v>96.98999999999999</v>
      </c>
      <c r="J47" s="9">
        <f>ROUND(1*SUMIFS('Allocations'!$C$5:$C$222,'Allocations'!$B$5:$B$222,A47),2)</f>
        <v>96.99</v>
      </c>
      <c r="K47" s="9">
        <f>ROUND(I47-J47,2)</f>
        <v>0</v>
      </c>
      <c r="L47">
        <f>MAX(0,DATE(2026,9,30)-E47)</f>
        <v>96</v>
      </c>
      <c r="M47">
        <f>IF(K47&lt;-0.005,"Credit balance: check for double payment",IF(AND(K47&gt;0.005,L47&gt;60),"Over 60 days overdue",""))</f>
      </c>
    </row>
    <row r="48">
      <c r="A48" t="inlineStr">
        <is>
          <t>INV/2026/01620</t>
        </is>
      </c>
      <c r="B48" t="inlineStr">
        <is>
          <t>Invoice</t>
        </is>
      </c>
      <c r="C48" t="inlineStr">
        <is>
          <t>Kookaburra Plan Support</t>
        </is>
      </c>
      <c r="D48" s="5" t="n">
        <v>46185</v>
      </c>
      <c r="E48" s="5" t="n">
        <v>46199</v>
      </c>
      <c r="F48" t="inlineStr">
        <is>
          <t>AUD</t>
        </is>
      </c>
      <c r="G48" s="9" t="n">
        <v>193.99</v>
      </c>
      <c r="H48" s="9" t="n">
        <v>0</v>
      </c>
      <c r="I48" s="9" t="n">
        <v>193.99</v>
      </c>
      <c r="J48" s="9">
        <f>ROUND(1*SUMIFS('Allocations'!$C$5:$C$222,'Allocations'!$B$5:$B$222,A48),2)</f>
        <v>193.99</v>
      </c>
      <c r="K48" s="9">
        <f>ROUND(I48-J48,2)</f>
        <v>0</v>
      </c>
      <c r="L48">
        <f>MAX(0,DATE(2026,9,30)-E48)</f>
        <v>96</v>
      </c>
      <c r="M48">
        <f>IF(K48&lt;-0.005,"Credit balance: check for double payment",IF(AND(K48&gt;0.005,L48&gt;60),"Over 60 days overdue",""))</f>
      </c>
    </row>
    <row r="49">
      <c r="A49" t="inlineStr">
        <is>
          <t>INV/2026/01621</t>
        </is>
      </c>
      <c r="B49" t="inlineStr">
        <is>
          <t>Invoice</t>
        </is>
      </c>
      <c r="C49" t="inlineStr">
        <is>
          <t>Saltbush Plan Managers</t>
        </is>
      </c>
      <c r="D49" s="5" t="n">
        <v>46185</v>
      </c>
      <c r="E49" s="5" t="n">
        <v>46199</v>
      </c>
      <c r="F49" t="inlineStr">
        <is>
          <t>AUD</t>
        </is>
      </c>
      <c r="G49" s="9" t="n">
        <v>320.98</v>
      </c>
      <c r="H49" s="9" t="n">
        <v>0</v>
      </c>
      <c r="I49" s="9" t="n">
        <v>320.98</v>
      </c>
      <c r="J49" s="9">
        <f>ROUND(1*SUMIFS('Allocations'!$C$5:$C$222,'Allocations'!$B$5:$B$222,A49),2)</f>
        <v>320.98</v>
      </c>
      <c r="K49" s="9">
        <f>ROUND(I49-J49,2)</f>
        <v>0</v>
      </c>
      <c r="L49">
        <f>MAX(0,DATE(2026,9,30)-E49)</f>
        <v>96</v>
      </c>
      <c r="M49">
        <f>IF(K49&lt;-0.005,"Credit balance: check for double payment",IF(AND(K49&gt;0.005,L49&gt;60),"Over 60 days overdue",""))</f>
      </c>
    </row>
    <row r="50">
      <c r="A50" t="inlineStr">
        <is>
          <t>INV/2026/01628</t>
        </is>
      </c>
      <c r="B50" t="inlineStr">
        <is>
          <t>Invoice</t>
        </is>
      </c>
      <c r="C50" t="inlineStr">
        <is>
          <t>Acacia Plan Partners</t>
        </is>
      </c>
      <c r="D50" s="5" t="n">
        <v>46185</v>
      </c>
      <c r="E50" s="5" t="n">
        <v>46199</v>
      </c>
      <c r="F50" t="inlineStr">
        <is>
          <t>AUD</t>
        </is>
      </c>
      <c r="G50" s="9" t="n">
        <v>417.98</v>
      </c>
      <c r="H50" s="9" t="n">
        <v>0</v>
      </c>
      <c r="I50" s="9" t="n">
        <v>417.98</v>
      </c>
      <c r="J50" s="9">
        <f>ROUND(1*SUMIFS('Allocations'!$C$5:$C$222,'Allocations'!$B$5:$B$222,A50),2)</f>
        <v>417.98</v>
      </c>
      <c r="K50" s="9">
        <f>ROUND(I50-J50,2)</f>
        <v>0</v>
      </c>
      <c r="L50">
        <f>MAX(0,DATE(2026,9,30)-E50)</f>
        <v>96</v>
      </c>
      <c r="M50">
        <f>IF(K50&lt;-0.005,"Credit balance: check for double payment",IF(AND(K50&gt;0.005,L50&gt;60),"Over 60 days overdue",""))</f>
      </c>
    </row>
    <row r="51">
      <c r="A51" t="inlineStr">
        <is>
          <t>INV/2026/01629</t>
        </is>
      </c>
      <c r="B51" t="inlineStr">
        <is>
          <t>Invoice</t>
        </is>
      </c>
      <c r="C51" t="inlineStr">
        <is>
          <t>Acacia Plan Partners</t>
        </is>
      </c>
      <c r="D51" s="5" t="n">
        <v>46185</v>
      </c>
      <c r="E51" s="5" t="n">
        <v>46199</v>
      </c>
      <c r="F51" t="inlineStr">
        <is>
          <t>AUD</t>
        </is>
      </c>
      <c r="G51" s="9" t="n">
        <v>387.98</v>
      </c>
      <c r="H51" s="9" t="n">
        <v>0</v>
      </c>
      <c r="I51" s="9" t="n">
        <v>387.98</v>
      </c>
      <c r="J51" s="9">
        <f>ROUND(1*SUMIFS('Allocations'!$C$5:$C$222,'Allocations'!$B$5:$B$222,A51),2)</f>
        <v>387.98</v>
      </c>
      <c r="K51" s="9">
        <f>ROUND(I51-J51,2)</f>
        <v>0</v>
      </c>
      <c r="L51">
        <f>MAX(0,DATE(2026,9,30)-E51)</f>
        <v>96</v>
      </c>
      <c r="M51">
        <f>IF(K51&lt;-0.005,"Credit balance: check for double payment",IF(AND(K51&gt;0.005,L51&gt;60),"Over 60 days overdue",""))</f>
      </c>
    </row>
    <row r="52">
      <c r="A52" t="inlineStr">
        <is>
          <t>INV/2026/01630</t>
        </is>
      </c>
      <c r="B52" t="inlineStr">
        <is>
          <t>Invoice</t>
        </is>
      </c>
      <c r="C52" t="inlineStr">
        <is>
          <t>Acacia Plan Partners</t>
        </is>
      </c>
      <c r="D52" s="5" t="n">
        <v>46185</v>
      </c>
      <c r="E52" s="5" t="n">
        <v>46199</v>
      </c>
      <c r="F52" t="inlineStr">
        <is>
          <t>AUD</t>
        </is>
      </c>
      <c r="G52" s="9" t="n">
        <v>193.99</v>
      </c>
      <c r="H52" s="9" t="n">
        <v>0</v>
      </c>
      <c r="I52" s="9" t="n">
        <v>193.99</v>
      </c>
      <c r="J52" s="9">
        <f>ROUND(1*SUMIFS('Allocations'!$C$5:$C$222,'Allocations'!$B$5:$B$222,A52),2)</f>
        <v>193.99</v>
      </c>
      <c r="K52" s="9">
        <f>ROUND(I52-J52,2)</f>
        <v>0</v>
      </c>
      <c r="L52">
        <f>MAX(0,DATE(2026,9,30)-E52)</f>
        <v>96</v>
      </c>
      <c r="M52">
        <f>IF(K52&lt;-0.005,"Credit balance: check for double payment",IF(AND(K52&gt;0.005,L52&gt;60),"Over 60 days overdue",""))</f>
      </c>
    </row>
    <row r="53">
      <c r="A53" t="inlineStr">
        <is>
          <t>INV/2026/01633</t>
        </is>
      </c>
      <c r="B53" t="inlineStr">
        <is>
          <t>Invoice</t>
        </is>
      </c>
      <c r="C53" t="inlineStr">
        <is>
          <t>Harbour Mutual Health</t>
        </is>
      </c>
      <c r="D53" s="5" t="n">
        <v>46185</v>
      </c>
      <c r="E53" s="5" t="n">
        <v>46199</v>
      </c>
      <c r="F53" t="inlineStr">
        <is>
          <t>AUD</t>
        </is>
      </c>
      <c r="G53" s="9" t="n">
        <v>264</v>
      </c>
      <c r="H53" s="9" t="n">
        <v>0</v>
      </c>
      <c r="I53" s="9" t="n">
        <v>264</v>
      </c>
      <c r="J53" s="9">
        <f>ROUND(1*SUMIFS('Allocations'!$C$5:$C$222,'Allocations'!$B$5:$B$222,A53),2)</f>
        <v>0</v>
      </c>
      <c r="K53" s="9">
        <f>ROUND(I53-J53,2)</f>
        <v>264</v>
      </c>
      <c r="L53">
        <f>MAX(0,DATE(2026,9,30)-E53)</f>
        <v>96</v>
      </c>
      <c r="M53" t="str">
        <f>IF(K53&lt;-0.005,"Credit balance: check for double payment",IF(AND(K53&gt;0.005,L53&gt;60),"Over 60 days overdue",""))</f>
        <v>Over 60 days overdue</v>
      </c>
    </row>
    <row r="54">
      <c r="A54" t="inlineStr">
        <is>
          <t>INV/2026/01636</t>
        </is>
      </c>
      <c r="B54" t="inlineStr">
        <is>
          <t>Invoice</t>
        </is>
      </c>
      <c r="C54" t="inlineStr">
        <is>
          <t>Pinnacle Claims Services</t>
        </is>
      </c>
      <c r="D54" s="5" t="n">
        <v>46185</v>
      </c>
      <c r="E54" s="5" t="n">
        <v>46199</v>
      </c>
      <c r="F54" t="inlineStr">
        <is>
          <t>AUD</t>
        </is>
      </c>
      <c r="G54" s="9" t="n">
        <v>132</v>
      </c>
      <c r="H54" s="9" t="n">
        <v>0</v>
      </c>
      <c r="I54" s="9" t="n">
        <v>132</v>
      </c>
      <c r="J54" s="9">
        <f>ROUND(1*SUMIFS('Allocations'!$C$5:$C$222,'Allocations'!$B$5:$B$222,A54),2)</f>
        <v>0</v>
      </c>
      <c r="K54" s="9">
        <f>ROUND(I54-J54,2)</f>
        <v>132</v>
      </c>
      <c r="L54">
        <f>MAX(0,DATE(2026,9,30)-E54)</f>
        <v>96</v>
      </c>
      <c r="M54" t="str">
        <f>IF(K54&lt;-0.005,"Credit balance: check for double payment",IF(AND(K54&gt;0.005,L54&gt;60),"Over 60 days overdue",""))</f>
        <v>Over 60 days overdue</v>
      </c>
    </row>
    <row r="55">
      <c r="A55" t="inlineStr">
        <is>
          <t>INV/2026/01649</t>
        </is>
      </c>
      <c r="B55" t="inlineStr">
        <is>
          <t>Invoice</t>
        </is>
      </c>
      <c r="C55" t="inlineStr">
        <is>
          <t>Saltbush Plan Managers</t>
        </is>
      </c>
      <c r="D55" s="5" t="n">
        <v>46188</v>
      </c>
      <c r="E55" s="5" t="n">
        <v>46202</v>
      </c>
      <c r="F55" t="inlineStr">
        <is>
          <t>AUD</t>
        </is>
      </c>
      <c r="G55" s="9" t="n">
        <v>145.49</v>
      </c>
      <c r="H55" s="9" t="n">
        <v>0</v>
      </c>
      <c r="I55" s="9" t="n">
        <v>145.49</v>
      </c>
      <c r="J55" s="9">
        <f>ROUND(1*SUMIFS('Allocations'!$C$5:$C$222,'Allocations'!$B$5:$B$222,A55),2)</f>
        <v>145.49</v>
      </c>
      <c r="K55" s="9">
        <f>ROUND(I55-J55,2)</f>
        <v>0</v>
      </c>
      <c r="L55">
        <f>MAX(0,DATE(2026,9,30)-E55)</f>
        <v>93</v>
      </c>
      <c r="M55">
        <f>IF(K55&lt;-0.005,"Credit balance: check for double payment",IF(AND(K55&gt;0.005,L55&gt;60),"Over 60 days overdue",""))</f>
      </c>
    </row>
    <row r="56">
      <c r="A56" t="inlineStr">
        <is>
          <t>INV/2026/01650</t>
        </is>
      </c>
      <c r="B56" t="inlineStr">
        <is>
          <t>Invoice</t>
        </is>
      </c>
      <c r="C56" t="inlineStr">
        <is>
          <t>Saltbush Plan Managers</t>
        </is>
      </c>
      <c r="D56" s="5" t="n">
        <v>46188</v>
      </c>
      <c r="E56" s="5" t="n">
        <v>46202</v>
      </c>
      <c r="F56" t="inlineStr">
        <is>
          <t>AUD</t>
        </is>
      </c>
      <c r="G56" s="9" t="n">
        <v>193.99</v>
      </c>
      <c r="H56" s="9" t="n">
        <v>0</v>
      </c>
      <c r="I56" s="9" t="n">
        <v>193.99</v>
      </c>
      <c r="J56" s="9">
        <f>ROUND(1*SUMIFS('Allocations'!$C$5:$C$222,'Allocations'!$B$5:$B$222,A56),2)</f>
        <v>193.99</v>
      </c>
      <c r="K56" s="9">
        <f>ROUND(I56-J56,2)</f>
        <v>0</v>
      </c>
      <c r="L56">
        <f>MAX(0,DATE(2026,9,30)-E56)</f>
        <v>93</v>
      </c>
      <c r="M56">
        <f>IF(K56&lt;-0.005,"Credit balance: check for double payment",IF(AND(K56&gt;0.005,L56&gt;60),"Over 60 days overdue",""))</f>
      </c>
    </row>
    <row r="57">
      <c r="A57" t="inlineStr">
        <is>
          <t>INV/2026/01661</t>
        </is>
      </c>
      <c r="B57" t="inlineStr">
        <is>
          <t>Invoice</t>
        </is>
      </c>
      <c r="C57" t="inlineStr">
        <is>
          <t>Northline Injury Claims</t>
        </is>
      </c>
      <c r="D57" s="5" t="n">
        <v>46188</v>
      </c>
      <c r="E57" s="5" t="n">
        <v>46202</v>
      </c>
      <c r="F57" t="inlineStr">
        <is>
          <t>AUD</t>
        </is>
      </c>
      <c r="G57" s="9" t="n">
        <v>176</v>
      </c>
      <c r="H57" s="9" t="n">
        <v>0</v>
      </c>
      <c r="I57" s="9" t="n">
        <v>176</v>
      </c>
      <c r="J57" s="9">
        <f>ROUND(1*SUMIFS('Allocations'!$C$5:$C$222,'Allocations'!$B$5:$B$222,A57),2)</f>
        <v>0</v>
      </c>
      <c r="K57" s="9">
        <f>ROUND(I57-J57,2)</f>
        <v>176</v>
      </c>
      <c r="L57">
        <f>MAX(0,DATE(2026,9,30)-E57)</f>
        <v>93</v>
      </c>
      <c r="M57" t="str">
        <f>IF(K57&lt;-0.005,"Credit balance: check for double payment",IF(AND(K57&gt;0.005,L57&gt;60),"Over 60 days overdue",""))</f>
        <v>Over 60 days overdue</v>
      </c>
    </row>
    <row r="58">
      <c r="A58" t="inlineStr">
        <is>
          <t>INV/2026/01667</t>
        </is>
      </c>
      <c r="B58" t="inlineStr">
        <is>
          <t>Invoice</t>
        </is>
      </c>
      <c r="C58" t="inlineStr">
        <is>
          <t>Wattle Plan Services</t>
        </is>
      </c>
      <c r="D58" s="5" t="n">
        <v>46189</v>
      </c>
      <c r="E58" s="5" t="n">
        <v>46203</v>
      </c>
      <c r="F58" t="inlineStr">
        <is>
          <t>AUD</t>
        </is>
      </c>
      <c r="G58" s="9" t="n">
        <v>272.49</v>
      </c>
      <c r="H58" s="9" t="n">
        <v>0</v>
      </c>
      <c r="I58" s="9" t="n">
        <v>272.49</v>
      </c>
      <c r="J58" s="9">
        <f>ROUND(1*SUMIFS('Allocations'!$C$5:$C$222,'Allocations'!$B$5:$B$222,A58),2)</f>
        <v>272.49</v>
      </c>
      <c r="K58" s="9">
        <f>ROUND(I58-J58,2)</f>
        <v>0</v>
      </c>
      <c r="L58">
        <f>MAX(0,DATE(2026,9,30)-E58)</f>
        <v>92</v>
      </c>
      <c r="M58">
        <f>IF(K58&lt;-0.005,"Credit balance: check for double payment",IF(AND(K58&gt;0.005,L58&gt;60),"Over 60 days overdue",""))</f>
      </c>
    </row>
    <row r="59">
      <c r="A59" t="inlineStr">
        <is>
          <t>INV/2026/01705</t>
        </is>
      </c>
      <c r="B59" t="inlineStr">
        <is>
          <t>Invoice</t>
        </is>
      </c>
      <c r="C59" t="inlineStr">
        <is>
          <t>Northline Injury Claims</t>
        </is>
      </c>
      <c r="D59" s="5" t="n">
        <v>46190</v>
      </c>
      <c r="E59" s="5" t="n">
        <v>46204</v>
      </c>
      <c r="F59" t="inlineStr">
        <is>
          <t>AUD</t>
        </is>
      </c>
      <c r="G59" s="9" t="n">
        <v>132</v>
      </c>
      <c r="H59" s="9" t="n">
        <v>0</v>
      </c>
      <c r="I59" s="9" t="n">
        <v>132</v>
      </c>
      <c r="J59" s="9">
        <f>ROUND(1*SUMIFS('Allocations'!$C$5:$C$222,'Allocations'!$B$5:$B$222,A59),2)</f>
        <v>132</v>
      </c>
      <c r="K59" s="9">
        <f>ROUND(I59-J59,2)</f>
        <v>0</v>
      </c>
      <c r="L59">
        <f>MAX(0,DATE(2026,9,30)-E59)</f>
        <v>91</v>
      </c>
      <c r="M59">
        <f>IF(K59&lt;-0.005,"Credit balance: check for double payment",IF(AND(K59&gt;0.005,L59&gt;60),"Over 60 days overdue",""))</f>
      </c>
    </row>
    <row r="60">
      <c r="A60" t="inlineStr">
        <is>
          <t>INV/2026/01729</t>
        </is>
      </c>
      <c r="B60" t="inlineStr">
        <is>
          <t>Invoice</t>
        </is>
      </c>
      <c r="C60" t="inlineStr">
        <is>
          <t>Pinnacle Claims Services</t>
        </is>
      </c>
      <c r="D60" s="5" t="n">
        <v>46191</v>
      </c>
      <c r="E60" s="5" t="n">
        <v>46205</v>
      </c>
      <c r="F60" t="inlineStr">
        <is>
          <t>AUD</t>
        </is>
      </c>
      <c r="G60" s="9" t="n">
        <v>132</v>
      </c>
      <c r="H60" s="9" t="n">
        <v>0</v>
      </c>
      <c r="I60" s="9" t="n">
        <v>132</v>
      </c>
      <c r="J60" s="9">
        <f>ROUND(1*SUMIFS('Allocations'!$C$5:$C$222,'Allocations'!$B$5:$B$222,A60),2)</f>
        <v>0</v>
      </c>
      <c r="K60" s="9">
        <f>ROUND(I60-J60,2)</f>
        <v>132</v>
      </c>
      <c r="L60">
        <f>MAX(0,DATE(2026,9,30)-E60)</f>
        <v>90</v>
      </c>
      <c r="M60" t="str">
        <f>IF(K60&lt;-0.005,"Credit balance: check for double payment",IF(AND(K60&gt;0.005,L60&gt;60),"Over 60 days overdue",""))</f>
        <v>Over 60 days overdue</v>
      </c>
    </row>
    <row r="61">
      <c r="A61" t="inlineStr">
        <is>
          <t>INV/2026/01737</t>
        </is>
      </c>
      <c r="B61" t="inlineStr">
        <is>
          <t>Invoice</t>
        </is>
      </c>
      <c r="C61" t="inlineStr">
        <is>
          <t>Ironbark Plan Management</t>
        </is>
      </c>
      <c r="D61" s="5" t="n">
        <v>46192</v>
      </c>
      <c r="E61" s="5" t="n">
        <v>46206</v>
      </c>
      <c r="F61" t="inlineStr">
        <is>
          <t>AUD</t>
        </is>
      </c>
      <c r="G61" s="9" t="n">
        <v>96.98999999999999</v>
      </c>
      <c r="H61" s="9" t="n">
        <v>0</v>
      </c>
      <c r="I61" s="9" t="n">
        <v>29.1</v>
      </c>
      <c r="J61" s="9">
        <f>ROUND(1*SUMIFS('Allocations'!$C$5:$C$222,'Allocations'!$B$5:$B$222,A61),2)</f>
        <v>0</v>
      </c>
      <c r="K61" s="9">
        <f>ROUND(I61-J61,2)</f>
        <v>29.1</v>
      </c>
      <c r="L61">
        <f>MAX(0,DATE(2026,9,30)-E61)</f>
        <v>89</v>
      </c>
      <c r="M61" t="str">
        <f>IF(K61&lt;-0.005,"Credit balance: check for double payment",IF(AND(K61&gt;0.005,L61&gt;60),"Over 60 days overdue",""))</f>
        <v>Over 60 days overdue</v>
      </c>
    </row>
    <row r="62">
      <c r="A62" t="inlineStr">
        <is>
          <t>INV/2026/01895</t>
        </is>
      </c>
      <c r="B62" t="inlineStr">
        <is>
          <t>Invoice</t>
        </is>
      </c>
      <c r="C62" t="inlineStr">
        <is>
          <t>Riverbend Plan Partners</t>
        </is>
      </c>
      <c r="D62" s="5" t="n">
        <v>46203</v>
      </c>
      <c r="E62" s="5" t="n">
        <v>46217</v>
      </c>
      <c r="F62" t="inlineStr">
        <is>
          <t>AUD</t>
        </is>
      </c>
      <c r="G62" s="9" t="n">
        <v>193.99</v>
      </c>
      <c r="H62" s="9" t="n">
        <v>0</v>
      </c>
      <c r="I62" s="9" t="n">
        <v>193.99</v>
      </c>
      <c r="J62" s="9">
        <f>ROUND(1*SUMIFS('Allocations'!$C$5:$C$222,'Allocations'!$B$5:$B$222,A62),2)</f>
        <v>193.99</v>
      </c>
      <c r="K62" s="9">
        <f>ROUND(I62-J62,2)</f>
        <v>0</v>
      </c>
      <c r="L62">
        <f>MAX(0,DATE(2026,9,30)-E62)</f>
        <v>78</v>
      </c>
      <c r="M62">
        <f>IF(K62&lt;-0.005,"Credit balance: check for double payment",IF(AND(K62&gt;0.005,L62&gt;60),"Over 60 days overdue",""))</f>
      </c>
    </row>
    <row r="63">
      <c r="A63" t="inlineStr">
        <is>
          <t>INV/2026/01902</t>
        </is>
      </c>
      <c r="B63" t="inlineStr">
        <is>
          <t>Invoice</t>
        </is>
      </c>
      <c r="C63" t="inlineStr">
        <is>
          <t>Kookaburra Plan Support</t>
        </is>
      </c>
      <c r="D63" s="5" t="n">
        <v>46203</v>
      </c>
      <c r="E63" s="5" t="n">
        <v>46217</v>
      </c>
      <c r="F63" t="inlineStr">
        <is>
          <t>AUD</t>
        </is>
      </c>
      <c r="G63" s="9" t="n">
        <v>223.99</v>
      </c>
      <c r="H63" s="9" t="n">
        <v>0</v>
      </c>
      <c r="I63" s="9" t="n">
        <v>223.99</v>
      </c>
      <c r="J63" s="9">
        <f>ROUND(1*SUMIFS('Allocations'!$C$5:$C$222,'Allocations'!$B$5:$B$222,A63),2)</f>
        <v>223.99</v>
      </c>
      <c r="K63" s="9">
        <f>ROUND(I63-J63,2)</f>
        <v>0</v>
      </c>
      <c r="L63">
        <f>MAX(0,DATE(2026,9,30)-E63)</f>
        <v>78</v>
      </c>
      <c r="M63">
        <f>IF(K63&lt;-0.005,"Credit balance: check for double payment",IF(AND(K63&gt;0.005,L63&gt;60),"Over 60 days overdue",""))</f>
      </c>
    </row>
    <row r="64">
      <c r="A64" t="inlineStr">
        <is>
          <t>INV/2026/01903</t>
        </is>
      </c>
      <c r="B64" t="inlineStr">
        <is>
          <t>Invoice</t>
        </is>
      </c>
      <c r="C64" t="inlineStr">
        <is>
          <t>Kookaburra Plan Support</t>
        </is>
      </c>
      <c r="D64" s="5" t="n">
        <v>46203</v>
      </c>
      <c r="E64" s="5" t="n">
        <v>46217</v>
      </c>
      <c r="F64" t="inlineStr">
        <is>
          <t>AUD</t>
        </is>
      </c>
      <c r="G64" s="9" t="n">
        <v>193.99</v>
      </c>
      <c r="H64" s="9" t="n">
        <v>0</v>
      </c>
      <c r="I64" s="9" t="n">
        <v>193.99</v>
      </c>
      <c r="J64" s="9">
        <f>ROUND(1*SUMIFS('Allocations'!$C$5:$C$222,'Allocations'!$B$5:$B$222,A64),2)</f>
        <v>193.99</v>
      </c>
      <c r="K64" s="9">
        <f>ROUND(I64-J64,2)</f>
        <v>0</v>
      </c>
      <c r="L64">
        <f>MAX(0,DATE(2026,9,30)-E64)</f>
        <v>78</v>
      </c>
      <c r="M64">
        <f>IF(K64&lt;-0.005,"Credit balance: check for double payment",IF(AND(K64&gt;0.005,L64&gt;60),"Over 60 days overdue",""))</f>
      </c>
    </row>
    <row r="65">
      <c r="A65" t="inlineStr">
        <is>
          <t>INV/2026/01917</t>
        </is>
      </c>
      <c r="B65" t="inlineStr">
        <is>
          <t>Invoice</t>
        </is>
      </c>
      <c r="C65" t="inlineStr">
        <is>
          <t>Riverbend Plan Partners</t>
        </is>
      </c>
      <c r="D65" s="5" t="n">
        <v>46204</v>
      </c>
      <c r="E65" s="5" t="n">
        <v>46218</v>
      </c>
      <c r="F65" t="inlineStr">
        <is>
          <t>AUD</t>
        </is>
      </c>
      <c r="G65" s="9" t="n">
        <v>417.98</v>
      </c>
      <c r="H65" s="9" t="n">
        <v>0</v>
      </c>
      <c r="I65" s="9" t="n">
        <v>417.98</v>
      </c>
      <c r="J65" s="9">
        <f>ROUND(1*SUMIFS('Allocations'!$C$5:$C$222,'Allocations'!$B$5:$B$222,A65),2)</f>
        <v>417.98</v>
      </c>
      <c r="K65" s="9">
        <f>ROUND(I65-J65,2)</f>
        <v>0</v>
      </c>
      <c r="L65">
        <f>MAX(0,DATE(2026,9,30)-E65)</f>
        <v>77</v>
      </c>
      <c r="M65">
        <f>IF(K65&lt;-0.005,"Credit balance: check for double payment",IF(AND(K65&gt;0.005,L65&gt;60),"Over 60 days overdue",""))</f>
      </c>
    </row>
    <row r="66">
      <c r="A66" t="inlineStr">
        <is>
          <t>INV/2026/01924</t>
        </is>
      </c>
      <c r="B66" t="inlineStr">
        <is>
          <t>Invoice</t>
        </is>
      </c>
      <c r="C66" t="inlineStr">
        <is>
          <t>Kookaburra Plan Support</t>
        </is>
      </c>
      <c r="D66" s="5" t="n">
        <v>46204</v>
      </c>
      <c r="E66" s="5" t="n">
        <v>46218</v>
      </c>
      <c r="F66" t="inlineStr">
        <is>
          <t>AUD</t>
        </is>
      </c>
      <c r="G66" s="9" t="n">
        <v>349.18</v>
      </c>
      <c r="H66" s="9" t="n">
        <v>0</v>
      </c>
      <c r="I66" s="9" t="n">
        <v>349.18</v>
      </c>
      <c r="J66" s="9">
        <f>ROUND(1*SUMIFS('Allocations'!$C$5:$C$222,'Allocations'!$B$5:$B$222,A66),2)</f>
        <v>349.18</v>
      </c>
      <c r="K66" s="9">
        <f>ROUND(I66-J66,2)</f>
        <v>0</v>
      </c>
      <c r="L66">
        <f>MAX(0,DATE(2026,9,30)-E66)</f>
        <v>77</v>
      </c>
      <c r="M66">
        <f>IF(K66&lt;-0.005,"Credit balance: check for double payment",IF(AND(K66&gt;0.005,L66&gt;60),"Over 60 days overdue",""))</f>
      </c>
    </row>
    <row r="67">
      <c r="A67" t="inlineStr">
        <is>
          <t>INV/2026/01925</t>
        </is>
      </c>
      <c r="B67" t="inlineStr">
        <is>
          <t>Invoice</t>
        </is>
      </c>
      <c r="C67" t="inlineStr">
        <is>
          <t>Kookaburra Plan Support</t>
        </is>
      </c>
      <c r="D67" s="5" t="n">
        <v>46204</v>
      </c>
      <c r="E67" s="5" t="n">
        <v>46218</v>
      </c>
      <c r="F67" t="inlineStr">
        <is>
          <t>AUD</t>
        </is>
      </c>
      <c r="G67" s="9" t="n">
        <v>175.49</v>
      </c>
      <c r="H67" s="9" t="n">
        <v>0</v>
      </c>
      <c r="I67" s="9" t="n">
        <v>175.49</v>
      </c>
      <c r="J67" s="9">
        <f>ROUND(1*SUMIFS('Allocations'!$C$5:$C$222,'Allocations'!$B$5:$B$222,A67),2)</f>
        <v>175.49</v>
      </c>
      <c r="K67" s="9">
        <f>ROUND(I67-J67,2)</f>
        <v>0</v>
      </c>
      <c r="L67">
        <f>MAX(0,DATE(2026,9,30)-E67)</f>
        <v>77</v>
      </c>
      <c r="M67">
        <f>IF(K67&lt;-0.005,"Credit balance: check for double payment",IF(AND(K67&gt;0.005,L67&gt;60),"Over 60 days overdue",""))</f>
      </c>
    </row>
    <row r="68">
      <c r="A68" t="inlineStr">
        <is>
          <t>INV/2026/01926</t>
        </is>
      </c>
      <c r="B68" t="inlineStr">
        <is>
          <t>Invoice</t>
        </is>
      </c>
      <c r="C68" t="inlineStr">
        <is>
          <t>Kookaburra Plan Support</t>
        </is>
      </c>
      <c r="D68" s="5" t="n">
        <v>46204</v>
      </c>
      <c r="E68" s="5" t="n">
        <v>46218</v>
      </c>
      <c r="F68" t="inlineStr">
        <is>
          <t>AUD</t>
        </is>
      </c>
      <c r="G68" s="9" t="n">
        <v>242.49</v>
      </c>
      <c r="H68" s="9" t="n">
        <v>0</v>
      </c>
      <c r="I68" s="9" t="n">
        <v>242.49</v>
      </c>
      <c r="J68" s="9">
        <f>ROUND(1*SUMIFS('Allocations'!$C$5:$C$222,'Allocations'!$B$5:$B$222,A68),2)</f>
        <v>242.49</v>
      </c>
      <c r="K68" s="9">
        <f>ROUND(I68-J68,2)</f>
        <v>0</v>
      </c>
      <c r="L68">
        <f>MAX(0,DATE(2026,9,30)-E68)</f>
        <v>77</v>
      </c>
      <c r="M68">
        <f>IF(K68&lt;-0.005,"Credit balance: check for double payment",IF(AND(K68&gt;0.005,L68&gt;60),"Over 60 days overdue",""))</f>
      </c>
    </row>
    <row r="69">
      <c r="A69" t="inlineStr">
        <is>
          <t>INV/2026/01944</t>
        </is>
      </c>
      <c r="B69" t="inlineStr">
        <is>
          <t>Invoice</t>
        </is>
      </c>
      <c r="C69" t="inlineStr">
        <is>
          <t>Riverbend Plan Partners</t>
        </is>
      </c>
      <c r="D69" s="5" t="n">
        <v>46205</v>
      </c>
      <c r="E69" s="5" t="n">
        <v>46219</v>
      </c>
      <c r="F69" t="inlineStr">
        <is>
          <t>AUD</t>
        </is>
      </c>
      <c r="G69" s="9" t="n">
        <v>252.19</v>
      </c>
      <c r="H69" s="9" t="n">
        <v>0</v>
      </c>
      <c r="I69" s="9" t="n">
        <v>252.19</v>
      </c>
      <c r="J69" s="9">
        <f>ROUND(1*SUMIFS('Allocations'!$C$5:$C$222,'Allocations'!$B$5:$B$222,A69),2)</f>
        <v>252.19</v>
      </c>
      <c r="K69" s="9">
        <f>ROUND(I69-J69,2)</f>
        <v>0</v>
      </c>
      <c r="L69">
        <f>MAX(0,DATE(2026,9,30)-E69)</f>
        <v>76</v>
      </c>
      <c r="M69">
        <f>IF(K69&lt;-0.005,"Credit balance: check for double payment",IF(AND(K69&gt;0.005,L69&gt;60),"Over 60 days overdue",""))</f>
      </c>
    </row>
    <row r="70">
      <c r="A70" t="inlineStr">
        <is>
          <t>INV/2026/01952</t>
        </is>
      </c>
      <c r="B70" t="inlineStr">
        <is>
          <t>Invoice</t>
        </is>
      </c>
      <c r="C70" t="inlineStr">
        <is>
          <t>Kookaburra Plan Support</t>
        </is>
      </c>
      <c r="D70" s="5" t="n">
        <v>46205</v>
      </c>
      <c r="E70" s="5" t="n">
        <v>46219</v>
      </c>
      <c r="F70" t="inlineStr">
        <is>
          <t>AUD</t>
        </is>
      </c>
      <c r="G70" s="9" t="n">
        <v>223.99</v>
      </c>
      <c r="H70" s="9" t="n">
        <v>0</v>
      </c>
      <c r="I70" s="9" t="n">
        <v>223.99</v>
      </c>
      <c r="J70" s="9">
        <f>ROUND(1*SUMIFS('Allocations'!$C$5:$C$222,'Allocations'!$B$5:$B$222,A70),2)</f>
        <v>223.99</v>
      </c>
      <c r="K70" s="9">
        <f>ROUND(I70-J70,2)</f>
        <v>0</v>
      </c>
      <c r="L70">
        <f>MAX(0,DATE(2026,9,30)-E70)</f>
        <v>76</v>
      </c>
      <c r="M70">
        <f>IF(K70&lt;-0.005,"Credit balance: check for double payment",IF(AND(K70&gt;0.005,L70&gt;60),"Over 60 days overdue",""))</f>
      </c>
    </row>
    <row r="71">
      <c r="A71" t="inlineStr">
        <is>
          <t>INV/2026/01970</t>
        </is>
      </c>
      <c r="B71" t="inlineStr">
        <is>
          <t>Invoice</t>
        </is>
      </c>
      <c r="C71" t="inlineStr">
        <is>
          <t>Riverbend Plan Partners</t>
        </is>
      </c>
      <c r="D71" s="5" t="n">
        <v>46206</v>
      </c>
      <c r="E71" s="5" t="n">
        <v>46220</v>
      </c>
      <c r="F71" t="inlineStr">
        <is>
          <t>AUD</t>
        </is>
      </c>
      <c r="G71" s="9" t="n">
        <v>290.98</v>
      </c>
      <c r="H71" s="9" t="n">
        <v>0</v>
      </c>
      <c r="I71" s="9" t="n">
        <v>290.98</v>
      </c>
      <c r="J71" s="9">
        <f>ROUND(1*SUMIFS('Allocations'!$C$5:$C$222,'Allocations'!$B$5:$B$222,A71),2)</f>
        <v>290.98</v>
      </c>
      <c r="K71" s="9">
        <f>ROUND(I71-J71,2)</f>
        <v>0</v>
      </c>
      <c r="L71">
        <f>MAX(0,DATE(2026,9,30)-E71)</f>
        <v>75</v>
      </c>
      <c r="M71">
        <f>IF(K71&lt;-0.005,"Credit balance: check for double payment",IF(AND(K71&gt;0.005,L71&gt;60),"Over 60 days overdue",""))</f>
      </c>
    </row>
    <row r="72">
      <c r="A72" t="inlineStr">
        <is>
          <t>INV/2026/01971</t>
        </is>
      </c>
      <c r="B72" t="inlineStr">
        <is>
          <t>Invoice</t>
        </is>
      </c>
      <c r="C72" t="inlineStr">
        <is>
          <t>Riverbend Plan Partners</t>
        </is>
      </c>
      <c r="D72" s="5" t="n">
        <v>46206</v>
      </c>
      <c r="E72" s="5" t="n">
        <v>46220</v>
      </c>
      <c r="F72" t="inlineStr">
        <is>
          <t>AUD</t>
        </is>
      </c>
      <c r="G72" s="9" t="n">
        <v>223.99</v>
      </c>
      <c r="H72" s="9" t="n">
        <v>0</v>
      </c>
      <c r="I72" s="9" t="n">
        <v>223.99</v>
      </c>
      <c r="J72" s="9">
        <f>ROUND(1*SUMIFS('Allocations'!$C$5:$C$222,'Allocations'!$B$5:$B$222,A72),2)</f>
        <v>223.99</v>
      </c>
      <c r="K72" s="9">
        <f>ROUND(I72-J72,2)</f>
        <v>0</v>
      </c>
      <c r="L72">
        <f>MAX(0,DATE(2026,9,30)-E72)</f>
        <v>75</v>
      </c>
      <c r="M72">
        <f>IF(K72&lt;-0.005,"Credit balance: check for double payment",IF(AND(K72&gt;0.005,L72&gt;60),"Over 60 days overdue",""))</f>
      </c>
    </row>
    <row r="73">
      <c r="A73" t="inlineStr">
        <is>
          <t>INV/2026/01972</t>
        </is>
      </c>
      <c r="B73" t="inlineStr">
        <is>
          <t>Invoice</t>
        </is>
      </c>
      <c r="C73" t="inlineStr">
        <is>
          <t>Riverbend Plan Partners</t>
        </is>
      </c>
      <c r="D73" s="5" t="n">
        <v>46206</v>
      </c>
      <c r="E73" s="5" t="n">
        <v>46220</v>
      </c>
      <c r="F73" t="inlineStr">
        <is>
          <t>AUD</t>
        </is>
      </c>
      <c r="G73" s="9" t="n">
        <v>145.49</v>
      </c>
      <c r="H73" s="9" t="n">
        <v>0</v>
      </c>
      <c r="I73" s="9" t="n">
        <v>145.49</v>
      </c>
      <c r="J73" s="9">
        <f>ROUND(1*SUMIFS('Allocations'!$C$5:$C$222,'Allocations'!$B$5:$B$222,A73),2)</f>
        <v>145.49</v>
      </c>
      <c r="K73" s="9">
        <f>ROUND(I73-J73,2)</f>
        <v>0</v>
      </c>
      <c r="L73">
        <f>MAX(0,DATE(2026,9,30)-E73)</f>
        <v>75</v>
      </c>
      <c r="M73">
        <f>IF(K73&lt;-0.005,"Credit balance: check for double payment",IF(AND(K73&gt;0.005,L73&gt;60),"Over 60 days overdue",""))</f>
      </c>
    </row>
    <row r="74">
      <c r="A74" t="inlineStr">
        <is>
          <t>INV/2026/01981</t>
        </is>
      </c>
      <c r="B74" t="inlineStr">
        <is>
          <t>Invoice</t>
        </is>
      </c>
      <c r="C74" t="inlineStr">
        <is>
          <t>Kookaburra Plan Support</t>
        </is>
      </c>
      <c r="D74" s="5" t="n">
        <v>46206</v>
      </c>
      <c r="E74" s="5" t="n">
        <v>46220</v>
      </c>
      <c r="F74" t="inlineStr">
        <is>
          <t>AUD</t>
        </is>
      </c>
      <c r="G74" s="9" t="n">
        <v>155.19</v>
      </c>
      <c r="H74" s="9" t="n">
        <v>0</v>
      </c>
      <c r="I74" s="9" t="n">
        <v>155.19</v>
      </c>
      <c r="J74" s="9">
        <f>ROUND(1*SUMIFS('Allocations'!$C$5:$C$222,'Allocations'!$B$5:$B$222,A74),2)</f>
        <v>155.19</v>
      </c>
      <c r="K74" s="9">
        <f>ROUND(I74-J74,2)</f>
        <v>0</v>
      </c>
      <c r="L74">
        <f>MAX(0,DATE(2026,9,30)-E74)</f>
        <v>75</v>
      </c>
      <c r="M74">
        <f>IF(K74&lt;-0.005,"Credit balance: check for double payment",IF(AND(K74&gt;0.005,L74&gt;60),"Over 60 days overdue",""))</f>
      </c>
    </row>
    <row r="75">
      <c r="A75" t="inlineStr">
        <is>
          <t>INV/2026/01990</t>
        </is>
      </c>
      <c r="B75" t="inlineStr">
        <is>
          <t>Invoice</t>
        </is>
      </c>
      <c r="C75" t="inlineStr">
        <is>
          <t>Unity Workcover Agents</t>
        </is>
      </c>
      <c r="D75" s="5" t="n">
        <v>46206</v>
      </c>
      <c r="E75" s="5" t="n">
        <v>46220</v>
      </c>
      <c r="F75" t="inlineStr">
        <is>
          <t>AUD</t>
        </is>
      </c>
      <c r="G75" s="9" t="n">
        <v>88</v>
      </c>
      <c r="H75" s="9" t="n">
        <v>0</v>
      </c>
      <c r="I75" s="9" t="n">
        <v>88</v>
      </c>
      <c r="J75" s="9">
        <f>ROUND(1*SUMIFS('Allocations'!$C$5:$C$222,'Allocations'!$B$5:$B$222,A75),2)</f>
        <v>88</v>
      </c>
      <c r="K75" s="9">
        <f>ROUND(I75-J75,2)</f>
        <v>0</v>
      </c>
      <c r="L75">
        <f>MAX(0,DATE(2026,9,30)-E75)</f>
        <v>75</v>
      </c>
      <c r="M75">
        <f>IF(K75&lt;-0.005,"Credit balance: check for double payment",IF(AND(K75&gt;0.005,L75&gt;60),"Over 60 days overdue",""))</f>
      </c>
    </row>
    <row r="76">
      <c r="A76" t="inlineStr">
        <is>
          <t>INV/2026/01994</t>
        </is>
      </c>
      <c r="B76" t="inlineStr">
        <is>
          <t>Invoice</t>
        </is>
      </c>
      <c r="C76" t="inlineStr">
        <is>
          <t>Riverbend Plan Partners</t>
        </is>
      </c>
      <c r="D76" s="5" t="n">
        <v>46209</v>
      </c>
      <c r="E76" s="5" t="n">
        <v>46223</v>
      </c>
      <c r="F76" t="inlineStr">
        <is>
          <t>AUD</t>
        </is>
      </c>
      <c r="G76" s="9" t="n">
        <v>300.69</v>
      </c>
      <c r="H76" s="9" t="n">
        <v>0</v>
      </c>
      <c r="I76" s="9" t="n">
        <v>300.69</v>
      </c>
      <c r="J76" s="9">
        <f>ROUND(1*SUMIFS('Allocations'!$C$5:$C$222,'Allocations'!$B$5:$B$222,A76),2)</f>
        <v>300.69</v>
      </c>
      <c r="K76" s="9">
        <f>ROUND(I76-J76,2)</f>
        <v>0</v>
      </c>
      <c r="L76">
        <f>MAX(0,DATE(2026,9,30)-E76)</f>
        <v>72</v>
      </c>
      <c r="M76">
        <f>IF(K76&lt;-0.005,"Credit balance: check for double payment",IF(AND(K76&gt;0.005,L76&gt;60),"Over 60 days overdue",""))</f>
      </c>
    </row>
    <row r="77">
      <c r="A77" t="inlineStr">
        <is>
          <t>INV/2026/01999</t>
        </is>
      </c>
      <c r="B77" t="inlineStr">
        <is>
          <t>Invoice</t>
        </is>
      </c>
      <c r="C77" t="inlineStr">
        <is>
          <t>Banksia Plan Co</t>
        </is>
      </c>
      <c r="D77" s="5" t="n">
        <v>46209</v>
      </c>
      <c r="E77" s="5" t="n">
        <v>46223</v>
      </c>
      <c r="F77" t="inlineStr">
        <is>
          <t>AUD</t>
        </is>
      </c>
      <c r="G77" s="9" t="n">
        <v>417.98</v>
      </c>
      <c r="H77" s="9" t="n">
        <v>0</v>
      </c>
      <c r="I77" s="9" t="n">
        <v>417.98</v>
      </c>
      <c r="J77" s="9">
        <f>ROUND(1*SUMIFS('Allocations'!$C$5:$C$222,'Allocations'!$B$5:$B$222,A77),2)</f>
        <v>417.98</v>
      </c>
      <c r="K77" s="9">
        <f>ROUND(I77-J77,2)</f>
        <v>0</v>
      </c>
      <c r="L77">
        <f>MAX(0,DATE(2026,9,30)-E77)</f>
        <v>72</v>
      </c>
      <c r="M77">
        <f>IF(K77&lt;-0.005,"Credit balance: check for double payment",IF(AND(K77&gt;0.005,L77&gt;60),"Over 60 days overdue",""))</f>
      </c>
    </row>
    <row r="78">
      <c r="A78" t="inlineStr">
        <is>
          <t>INV/2026/02015</t>
        </is>
      </c>
      <c r="B78" t="inlineStr">
        <is>
          <t>Invoice</t>
        </is>
      </c>
      <c r="C78" t="inlineStr">
        <is>
          <t>Acacia Plan Partners</t>
        </is>
      </c>
      <c r="D78" s="5" t="n">
        <v>46209</v>
      </c>
      <c r="E78" s="5" t="n">
        <v>46223</v>
      </c>
      <c r="F78" t="inlineStr">
        <is>
          <t>AUD</t>
        </is>
      </c>
      <c r="G78" s="9" t="n">
        <v>175.49</v>
      </c>
      <c r="H78" s="9" t="n">
        <v>0</v>
      </c>
      <c r="I78" s="9" t="n">
        <v>175.49</v>
      </c>
      <c r="J78" s="9">
        <f>ROUND(1*SUMIFS('Allocations'!$C$5:$C$222,'Allocations'!$B$5:$B$222,A78),2)</f>
        <v>175.49</v>
      </c>
      <c r="K78" s="9">
        <f>ROUND(I78-J78,2)</f>
        <v>0</v>
      </c>
      <c r="L78">
        <f>MAX(0,DATE(2026,9,30)-E78)</f>
        <v>72</v>
      </c>
      <c r="M78">
        <f>IF(K78&lt;-0.005,"Credit balance: check for double payment",IF(AND(K78&gt;0.005,L78&gt;60),"Over 60 days overdue",""))</f>
      </c>
    </row>
    <row r="79">
      <c r="A79" t="inlineStr">
        <is>
          <t>INV/2026/02020</t>
        </is>
      </c>
      <c r="B79" t="inlineStr">
        <is>
          <t>Invoice</t>
        </is>
      </c>
      <c r="C79" t="inlineStr">
        <is>
          <t>Riverbend Plan Partners</t>
        </is>
      </c>
      <c r="D79" s="5" t="n">
        <v>46210</v>
      </c>
      <c r="E79" s="5" t="n">
        <v>46224</v>
      </c>
      <c r="F79" t="inlineStr">
        <is>
          <t>AUD</t>
        </is>
      </c>
      <c r="G79" s="9" t="n">
        <v>300.69</v>
      </c>
      <c r="H79" s="9" t="n">
        <v>0</v>
      </c>
      <c r="I79" s="9" t="n">
        <v>300.69</v>
      </c>
      <c r="J79" s="9">
        <f>ROUND(1*SUMIFS('Allocations'!$C$5:$C$222,'Allocations'!$B$5:$B$222,A79),2)</f>
        <v>300.69</v>
      </c>
      <c r="K79" s="9">
        <f>ROUND(I79-J79,2)</f>
        <v>0</v>
      </c>
      <c r="L79">
        <f>MAX(0,DATE(2026,9,30)-E79)</f>
        <v>71</v>
      </c>
      <c r="M79">
        <f>IF(K79&lt;-0.005,"Credit balance: check for double payment",IF(AND(K79&gt;0.005,L79&gt;60),"Over 60 days overdue",""))</f>
      </c>
    </row>
    <row r="80">
      <c r="A80" t="inlineStr">
        <is>
          <t>INV/2026/02023</t>
        </is>
      </c>
      <c r="B80" t="inlineStr">
        <is>
          <t>Invoice</t>
        </is>
      </c>
      <c r="C80" t="inlineStr">
        <is>
          <t>Banksia Plan Co</t>
        </is>
      </c>
      <c r="D80" s="5" t="n">
        <v>46210</v>
      </c>
      <c r="E80" s="5" t="n">
        <v>46224</v>
      </c>
      <c r="F80" t="inlineStr">
        <is>
          <t>AUD</t>
        </is>
      </c>
      <c r="G80" s="9" t="n">
        <v>193.99</v>
      </c>
      <c r="H80" s="9" t="n">
        <v>0</v>
      </c>
      <c r="I80" s="9" t="n">
        <v>193.99</v>
      </c>
      <c r="J80" s="9">
        <f>ROUND(1*SUMIFS('Allocations'!$C$5:$C$222,'Allocations'!$B$5:$B$222,A80),2)</f>
        <v>193.99</v>
      </c>
      <c r="K80" s="9">
        <f>ROUND(I80-J80,2)</f>
        <v>0</v>
      </c>
      <c r="L80">
        <f>MAX(0,DATE(2026,9,30)-E80)</f>
        <v>71</v>
      </c>
      <c r="M80">
        <f>IF(K80&lt;-0.005,"Credit balance: check for double payment",IF(AND(K80&gt;0.005,L80&gt;60),"Over 60 days overdue",""))</f>
      </c>
    </row>
    <row r="81">
      <c r="A81" t="inlineStr">
        <is>
          <t>INV/2026/02033</t>
        </is>
      </c>
      <c r="B81" t="inlineStr">
        <is>
          <t>Invoice</t>
        </is>
      </c>
      <c r="C81" t="inlineStr">
        <is>
          <t>Acacia Plan Partners</t>
        </is>
      </c>
      <c r="D81" s="5" t="n">
        <v>46210</v>
      </c>
      <c r="E81" s="5" t="n">
        <v>46224</v>
      </c>
      <c r="F81" t="inlineStr">
        <is>
          <t>AUD</t>
        </is>
      </c>
      <c r="G81" s="9" t="n">
        <v>175.49</v>
      </c>
      <c r="H81" s="9" t="n">
        <v>0</v>
      </c>
      <c r="I81" s="9" t="n">
        <v>175.49</v>
      </c>
      <c r="J81" s="9">
        <f>ROUND(1*SUMIFS('Allocations'!$C$5:$C$222,'Allocations'!$B$5:$B$222,A81),2)</f>
        <v>175.49</v>
      </c>
      <c r="K81" s="9">
        <f>ROUND(I81-J81,2)</f>
        <v>0</v>
      </c>
      <c r="L81">
        <f>MAX(0,DATE(2026,9,30)-E81)</f>
        <v>71</v>
      </c>
      <c r="M81">
        <f>IF(K81&lt;-0.005,"Credit balance: check for double payment",IF(AND(K81&gt;0.005,L81&gt;60),"Over 60 days overdue",""))</f>
      </c>
    </row>
    <row r="82">
      <c r="A82" t="inlineStr">
        <is>
          <t>INV/2026/02038</t>
        </is>
      </c>
      <c r="B82" t="inlineStr">
        <is>
          <t>Invoice</t>
        </is>
      </c>
      <c r="C82" t="inlineStr">
        <is>
          <t>Riverbend Plan Partners</t>
        </is>
      </c>
      <c r="D82" s="5" t="n">
        <v>46211</v>
      </c>
      <c r="E82" s="5" t="n">
        <v>46225</v>
      </c>
      <c r="F82" t="inlineStr">
        <is>
          <t>AUD</t>
        </is>
      </c>
      <c r="G82" s="9" t="n">
        <v>349.18</v>
      </c>
      <c r="H82" s="9" t="n">
        <v>0</v>
      </c>
      <c r="I82" s="9" t="n">
        <v>349.18</v>
      </c>
      <c r="J82" s="9">
        <f>ROUND(1*SUMIFS('Allocations'!$C$5:$C$222,'Allocations'!$B$5:$B$222,A82),2)</f>
        <v>349.18</v>
      </c>
      <c r="K82" s="9">
        <f>ROUND(I82-J82,2)</f>
        <v>0</v>
      </c>
      <c r="L82">
        <f>MAX(0,DATE(2026,9,30)-E82)</f>
        <v>70</v>
      </c>
      <c r="M82">
        <f>IF(K82&lt;-0.005,"Credit balance: check for double payment",IF(AND(K82&gt;0.005,L82&gt;60),"Over 60 days overdue",""))</f>
      </c>
    </row>
    <row r="83">
      <c r="A83" t="inlineStr">
        <is>
          <t>INV/2026/02039</t>
        </is>
      </c>
      <c r="B83" t="inlineStr">
        <is>
          <t>Invoice</t>
        </is>
      </c>
      <c r="C83" t="inlineStr">
        <is>
          <t>Riverbend Plan Partners</t>
        </is>
      </c>
      <c r="D83" s="5" t="n">
        <v>46211</v>
      </c>
      <c r="E83" s="5" t="n">
        <v>46225</v>
      </c>
      <c r="F83" t="inlineStr">
        <is>
          <t>AUD</t>
        </is>
      </c>
      <c r="G83" s="9" t="n">
        <v>272.49</v>
      </c>
      <c r="H83" s="9" t="n">
        <v>0</v>
      </c>
      <c r="I83" s="9" t="n">
        <v>272.49</v>
      </c>
      <c r="J83" s="9">
        <f>ROUND(1*SUMIFS('Allocations'!$C$5:$C$222,'Allocations'!$B$5:$B$222,A83),2)</f>
        <v>272.49</v>
      </c>
      <c r="K83" s="9">
        <f>ROUND(I83-J83,2)</f>
        <v>0</v>
      </c>
      <c r="L83">
        <f>MAX(0,DATE(2026,9,30)-E83)</f>
        <v>70</v>
      </c>
      <c r="M83">
        <f>IF(K83&lt;-0.005,"Credit balance: check for double payment",IF(AND(K83&gt;0.005,L83&gt;60),"Over 60 days overdue",""))</f>
      </c>
    </row>
    <row r="84">
      <c r="A84" t="inlineStr">
        <is>
          <t>INV/2026/02045</t>
        </is>
      </c>
      <c r="B84" t="inlineStr">
        <is>
          <t>Invoice</t>
        </is>
      </c>
      <c r="C84" t="inlineStr">
        <is>
          <t>Banksia Plan Co</t>
        </is>
      </c>
      <c r="D84" s="5" t="n">
        <v>46211</v>
      </c>
      <c r="E84" s="5" t="n">
        <v>46225</v>
      </c>
      <c r="F84" t="inlineStr">
        <is>
          <t>AUD</t>
        </is>
      </c>
      <c r="G84" s="9" t="n">
        <v>446.18</v>
      </c>
      <c r="H84" s="9" t="n">
        <v>0</v>
      </c>
      <c r="I84" s="9" t="n">
        <v>446.18</v>
      </c>
      <c r="J84" s="9">
        <f>ROUND(1*SUMIFS('Allocations'!$C$5:$C$222,'Allocations'!$B$5:$B$222,A84),2)</f>
        <v>446.18</v>
      </c>
      <c r="K84" s="9">
        <f>ROUND(I84-J84,2)</f>
        <v>0</v>
      </c>
      <c r="L84">
        <f>MAX(0,DATE(2026,9,30)-E84)</f>
        <v>70</v>
      </c>
      <c r="M84">
        <f>IF(K84&lt;-0.005,"Credit balance: check for double payment",IF(AND(K84&gt;0.005,L84&gt;60),"Over 60 days overdue",""))</f>
      </c>
    </row>
    <row r="85">
      <c r="A85" t="inlineStr">
        <is>
          <t>INV/2026/02046</t>
        </is>
      </c>
      <c r="B85" t="inlineStr">
        <is>
          <t>Invoice</t>
        </is>
      </c>
      <c r="C85" t="inlineStr">
        <is>
          <t>Banksia Plan Co</t>
        </is>
      </c>
      <c r="D85" s="5" t="n">
        <v>46211</v>
      </c>
      <c r="E85" s="5" t="n">
        <v>46225</v>
      </c>
      <c r="F85" t="inlineStr">
        <is>
          <t>AUD</t>
        </is>
      </c>
      <c r="G85" s="9" t="n">
        <v>96.98999999999999</v>
      </c>
      <c r="H85" s="9" t="n">
        <v>0</v>
      </c>
      <c r="I85" s="9" t="n">
        <v>96.98999999999999</v>
      </c>
      <c r="J85" s="9">
        <f>ROUND(1*SUMIFS('Allocations'!$C$5:$C$222,'Allocations'!$B$5:$B$222,A85),2)</f>
        <v>96.99</v>
      </c>
      <c r="K85" s="9">
        <f>ROUND(I85-J85,2)</f>
        <v>0</v>
      </c>
      <c r="L85">
        <f>MAX(0,DATE(2026,9,30)-E85)</f>
        <v>70</v>
      </c>
      <c r="M85">
        <f>IF(K85&lt;-0.005,"Credit balance: check for double payment",IF(AND(K85&gt;0.005,L85&gt;60),"Over 60 days overdue",""))</f>
      </c>
    </row>
    <row r="86">
      <c r="A86" t="inlineStr">
        <is>
          <t>INV/2026/02049</t>
        </is>
      </c>
      <c r="B86" t="inlineStr">
        <is>
          <t>Invoice</t>
        </is>
      </c>
      <c r="C86" t="inlineStr">
        <is>
          <t>Kookaburra Plan Support</t>
        </is>
      </c>
      <c r="D86" s="5" t="n">
        <v>46211</v>
      </c>
      <c r="E86" s="5" t="n">
        <v>46225</v>
      </c>
      <c r="F86" t="inlineStr">
        <is>
          <t>AUD</t>
        </is>
      </c>
      <c r="G86" s="9" t="n">
        <v>417.98</v>
      </c>
      <c r="H86" s="9" t="n">
        <v>0</v>
      </c>
      <c r="I86" s="9" t="n">
        <v>417.98</v>
      </c>
      <c r="J86" s="9">
        <f>ROUND(1*SUMIFS('Allocations'!$C$5:$C$222,'Allocations'!$B$5:$B$222,A86),2)</f>
        <v>417.98</v>
      </c>
      <c r="K86" s="9">
        <f>ROUND(I86-J86,2)</f>
        <v>0</v>
      </c>
      <c r="L86">
        <f>MAX(0,DATE(2026,9,30)-E86)</f>
        <v>70</v>
      </c>
      <c r="M86">
        <f>IF(K86&lt;-0.005,"Credit balance: check for double payment",IF(AND(K86&gt;0.005,L86&gt;60),"Over 60 days overdue",""))</f>
      </c>
    </row>
    <row r="87">
      <c r="A87" t="inlineStr">
        <is>
          <t>INV/2026/02060</t>
        </is>
      </c>
      <c r="B87" t="inlineStr">
        <is>
          <t>Invoice</t>
        </is>
      </c>
      <c r="C87" t="inlineStr">
        <is>
          <t>Acacia Plan Partners</t>
        </is>
      </c>
      <c r="D87" s="5" t="n">
        <v>46211</v>
      </c>
      <c r="E87" s="5" t="n">
        <v>46225</v>
      </c>
      <c r="F87" t="inlineStr">
        <is>
          <t>AUD</t>
        </is>
      </c>
      <c r="G87" s="9" t="n">
        <v>96.98999999999999</v>
      </c>
      <c r="H87" s="9" t="n">
        <v>0</v>
      </c>
      <c r="I87" s="9" t="n">
        <v>96.98999999999999</v>
      </c>
      <c r="J87" s="9">
        <f>ROUND(1*SUMIFS('Allocations'!$C$5:$C$222,'Allocations'!$B$5:$B$222,A87),2)</f>
        <v>96.99</v>
      </c>
      <c r="K87" s="9">
        <f>ROUND(I87-J87,2)</f>
        <v>0</v>
      </c>
      <c r="L87">
        <f>MAX(0,DATE(2026,9,30)-E87)</f>
        <v>70</v>
      </c>
      <c r="M87">
        <f>IF(K87&lt;-0.005,"Credit balance: check for double payment",IF(AND(K87&gt;0.005,L87&gt;60),"Over 60 days overdue",""))</f>
      </c>
    </row>
    <row r="88">
      <c r="A88" t="inlineStr">
        <is>
          <t>INV/2026/02061</t>
        </is>
      </c>
      <c r="B88" t="inlineStr">
        <is>
          <t>Invoice</t>
        </is>
      </c>
      <c r="C88" t="inlineStr">
        <is>
          <t>Acacia Plan Partners</t>
        </is>
      </c>
      <c r="D88" s="5" t="n">
        <v>46211</v>
      </c>
      <c r="E88" s="5" t="n">
        <v>46225</v>
      </c>
      <c r="F88" t="inlineStr">
        <is>
          <t>AUD</t>
        </is>
      </c>
      <c r="G88" s="9" t="n">
        <v>252.19</v>
      </c>
      <c r="H88" s="9" t="n">
        <v>0</v>
      </c>
      <c r="I88" s="9" t="n">
        <v>252.19</v>
      </c>
      <c r="J88" s="9">
        <f>ROUND(1*SUMIFS('Allocations'!$C$5:$C$222,'Allocations'!$B$5:$B$222,A88),2)</f>
        <v>252.19</v>
      </c>
      <c r="K88" s="9">
        <f>ROUND(I88-J88,2)</f>
        <v>0</v>
      </c>
      <c r="L88">
        <f>MAX(0,DATE(2026,9,30)-E88)</f>
        <v>70</v>
      </c>
      <c r="M88">
        <f>IF(K88&lt;-0.005,"Credit balance: check for double payment",IF(AND(K88&gt;0.005,L88&gt;60),"Over 60 days overdue",""))</f>
      </c>
    </row>
    <row r="89">
      <c r="A89" t="inlineStr">
        <is>
          <t>INV/2026/02069</t>
        </is>
      </c>
      <c r="B89" t="inlineStr">
        <is>
          <t>Invoice</t>
        </is>
      </c>
      <c r="C89" t="inlineStr">
        <is>
          <t>Riverbend Plan Partners</t>
        </is>
      </c>
      <c r="D89" s="5" t="n">
        <v>46212</v>
      </c>
      <c r="E89" s="5" t="n">
        <v>46226</v>
      </c>
      <c r="F89" t="inlineStr">
        <is>
          <t>AUD</t>
        </is>
      </c>
      <c r="G89" s="9" t="n">
        <v>446.18</v>
      </c>
      <c r="H89" s="9" t="n">
        <v>0</v>
      </c>
      <c r="I89" s="9" t="n">
        <v>446.18</v>
      </c>
      <c r="J89" s="9">
        <f>ROUND(1*SUMIFS('Allocations'!$C$5:$C$222,'Allocations'!$B$5:$B$222,A89),2)</f>
        <v>446.18</v>
      </c>
      <c r="K89" s="9">
        <f>ROUND(I89-J89,2)</f>
        <v>0</v>
      </c>
      <c r="L89">
        <f>MAX(0,DATE(2026,9,30)-E89)</f>
        <v>69</v>
      </c>
      <c r="M89">
        <f>IF(K89&lt;-0.005,"Credit balance: check for double payment",IF(AND(K89&gt;0.005,L89&gt;60),"Over 60 days overdue",""))</f>
      </c>
    </row>
    <row r="90">
      <c r="A90" t="inlineStr">
        <is>
          <t>INV/2026/02083</t>
        </is>
      </c>
      <c r="B90" t="inlineStr">
        <is>
          <t>Invoice</t>
        </is>
      </c>
      <c r="C90" t="inlineStr">
        <is>
          <t>Acacia Plan Partners</t>
        </is>
      </c>
      <c r="D90" s="5" t="n">
        <v>46212</v>
      </c>
      <c r="E90" s="5" t="n">
        <v>46226</v>
      </c>
      <c r="F90" t="inlineStr">
        <is>
          <t>AUD</t>
        </is>
      </c>
      <c r="G90" s="9" t="n">
        <v>272.49</v>
      </c>
      <c r="H90" s="9" t="n">
        <v>0</v>
      </c>
      <c r="I90" s="9" t="n">
        <v>272.49</v>
      </c>
      <c r="J90" s="9">
        <f>ROUND(1*SUMIFS('Allocations'!$C$5:$C$222,'Allocations'!$B$5:$B$222,A90),2)</f>
        <v>272.49</v>
      </c>
      <c r="K90" s="9">
        <f>ROUND(I90-J90,2)</f>
        <v>0</v>
      </c>
      <c r="L90">
        <f>MAX(0,DATE(2026,9,30)-E90)</f>
        <v>69</v>
      </c>
      <c r="M90">
        <f>IF(K90&lt;-0.005,"Credit balance: check for double payment",IF(AND(K90&gt;0.005,L90&gt;60),"Over 60 days overdue",""))</f>
      </c>
    </row>
    <row r="91">
      <c r="A91" t="inlineStr">
        <is>
          <t>INV/2026/02090</t>
        </is>
      </c>
      <c r="B91" t="inlineStr">
        <is>
          <t>Invoice</t>
        </is>
      </c>
      <c r="C91" t="inlineStr">
        <is>
          <t>Riverbend Plan Partners</t>
        </is>
      </c>
      <c r="D91" s="5" t="n">
        <v>46213</v>
      </c>
      <c r="E91" s="5" t="n">
        <v>46227</v>
      </c>
      <c r="F91" t="inlineStr">
        <is>
          <t>AUD</t>
        </is>
      </c>
      <c r="G91" s="9" t="n">
        <v>145.49</v>
      </c>
      <c r="H91" s="9" t="n">
        <v>0</v>
      </c>
      <c r="I91" s="9" t="n">
        <v>145.49</v>
      </c>
      <c r="J91" s="9">
        <f>ROUND(1*SUMIFS('Allocations'!$C$5:$C$222,'Allocations'!$B$5:$B$222,A91),2)</f>
        <v>145.49</v>
      </c>
      <c r="K91" s="9">
        <f>ROUND(I91-J91,2)</f>
        <v>0</v>
      </c>
      <c r="L91">
        <f>MAX(0,DATE(2026,9,30)-E91)</f>
        <v>68</v>
      </c>
      <c r="M91">
        <f>IF(K91&lt;-0.005,"Credit balance: check for double payment",IF(AND(K91&gt;0.005,L91&gt;60),"Over 60 days overdue",""))</f>
      </c>
    </row>
    <row r="92">
      <c r="A92" t="inlineStr">
        <is>
          <t>INV/2026/02094</t>
        </is>
      </c>
      <c r="B92" t="inlineStr">
        <is>
          <t>Invoice</t>
        </is>
      </c>
      <c r="C92" t="inlineStr">
        <is>
          <t>Banksia Plan Co</t>
        </is>
      </c>
      <c r="D92" s="5" t="n">
        <v>46213</v>
      </c>
      <c r="E92" s="5" t="n">
        <v>46227</v>
      </c>
      <c r="F92" t="inlineStr">
        <is>
          <t>AUD</t>
        </is>
      </c>
      <c r="G92" s="9" t="n">
        <v>145.49</v>
      </c>
      <c r="H92" s="9" t="n">
        <v>0</v>
      </c>
      <c r="I92" s="9" t="n">
        <v>145.49</v>
      </c>
      <c r="J92" s="9">
        <f>ROUND(1*SUMIFS('Allocations'!$C$5:$C$222,'Allocations'!$B$5:$B$222,A92),2)</f>
        <v>145.49</v>
      </c>
      <c r="K92" s="9">
        <f>ROUND(I92-J92,2)</f>
        <v>0</v>
      </c>
      <c r="L92">
        <f>MAX(0,DATE(2026,9,30)-E92)</f>
        <v>68</v>
      </c>
      <c r="M92">
        <f>IF(K92&lt;-0.005,"Credit balance: check for double payment",IF(AND(K92&gt;0.005,L92&gt;60),"Over 60 days overdue",""))</f>
      </c>
    </row>
    <row r="93">
      <c r="A93" t="inlineStr">
        <is>
          <t>INV/2026/02095</t>
        </is>
      </c>
      <c r="B93" t="inlineStr">
        <is>
          <t>Invoice</t>
        </is>
      </c>
      <c r="C93" t="inlineStr">
        <is>
          <t>Banksia Plan Co</t>
        </is>
      </c>
      <c r="D93" s="5" t="n">
        <v>46213</v>
      </c>
      <c r="E93" s="5" t="n">
        <v>46227</v>
      </c>
      <c r="F93" t="inlineStr">
        <is>
          <t>AUD</t>
        </is>
      </c>
      <c r="G93" s="9" t="n">
        <v>417.98</v>
      </c>
      <c r="H93" s="9" t="n">
        <v>0</v>
      </c>
      <c r="I93" s="9" t="n">
        <v>417.98</v>
      </c>
      <c r="J93" s="9">
        <f>ROUND(1*SUMIFS('Allocations'!$C$5:$C$222,'Allocations'!$B$5:$B$222,A93),2)</f>
        <v>417.98</v>
      </c>
      <c r="K93" s="9">
        <f>ROUND(I93-J93,2)</f>
        <v>0</v>
      </c>
      <c r="L93">
        <f>MAX(0,DATE(2026,9,30)-E93)</f>
        <v>68</v>
      </c>
      <c r="M93">
        <f>IF(K93&lt;-0.005,"Credit balance: check for double payment",IF(AND(K93&gt;0.005,L93&gt;60),"Over 60 days overdue",""))</f>
      </c>
    </row>
    <row r="94">
      <c r="A94" t="inlineStr">
        <is>
          <t>INV/2026/02101</t>
        </is>
      </c>
      <c r="B94" t="inlineStr">
        <is>
          <t>Invoice</t>
        </is>
      </c>
      <c r="C94" t="inlineStr">
        <is>
          <t>Acacia Plan Partners</t>
        </is>
      </c>
      <c r="D94" s="5" t="n">
        <v>46213</v>
      </c>
      <c r="E94" s="5" t="n">
        <v>46227</v>
      </c>
      <c r="F94" t="inlineStr">
        <is>
          <t>AUD</t>
        </is>
      </c>
      <c r="G94" s="9" t="n">
        <v>203.69</v>
      </c>
      <c r="H94" s="9" t="n">
        <v>0</v>
      </c>
      <c r="I94" s="9" t="n">
        <v>203.69</v>
      </c>
      <c r="J94" s="9">
        <f>ROUND(1*SUMIFS('Allocations'!$C$5:$C$222,'Allocations'!$B$5:$B$222,A94),2)</f>
        <v>203.69</v>
      </c>
      <c r="K94" s="9">
        <f>ROUND(I94-J94,2)</f>
        <v>0</v>
      </c>
      <c r="L94">
        <f>MAX(0,DATE(2026,9,30)-E94)</f>
        <v>68</v>
      </c>
      <c r="M94">
        <f>IF(K94&lt;-0.005,"Credit balance: check for double payment",IF(AND(K94&gt;0.005,L94&gt;60),"Over 60 days overdue",""))</f>
      </c>
    </row>
    <row r="95">
      <c r="A95" t="inlineStr">
        <is>
          <t>INV/2026/02104</t>
        </is>
      </c>
      <c r="B95" t="inlineStr">
        <is>
          <t>Invoice</t>
        </is>
      </c>
      <c r="C95" t="inlineStr">
        <is>
          <t>Unity Workcover Agents</t>
        </is>
      </c>
      <c r="D95" s="5" t="n">
        <v>46213</v>
      </c>
      <c r="E95" s="5" t="n">
        <v>46227</v>
      </c>
      <c r="F95" t="inlineStr">
        <is>
          <t>AUD</t>
        </is>
      </c>
      <c r="G95" s="9" t="n">
        <v>412.5</v>
      </c>
      <c r="H95" s="9" t="n">
        <v>0</v>
      </c>
      <c r="I95" s="9" t="n">
        <v>412.5</v>
      </c>
      <c r="J95" s="9">
        <f>ROUND(1*SUMIFS('Allocations'!$C$5:$C$222,'Allocations'!$B$5:$B$222,A95),2)</f>
        <v>412.5</v>
      </c>
      <c r="K95" s="9">
        <f>ROUND(I95-J95,2)</f>
        <v>0</v>
      </c>
      <c r="L95">
        <f>MAX(0,DATE(2026,9,30)-E95)</f>
        <v>68</v>
      </c>
      <c r="M95">
        <f>IF(K95&lt;-0.005,"Credit balance: check for double payment",IF(AND(K95&gt;0.005,L95&gt;60),"Over 60 days overdue",""))</f>
      </c>
    </row>
    <row r="96">
      <c r="A96" t="inlineStr">
        <is>
          <t>INV/2026/02127</t>
        </is>
      </c>
      <c r="B96" t="inlineStr">
        <is>
          <t>Invoice</t>
        </is>
      </c>
      <c r="C96" t="inlineStr">
        <is>
          <t>Acacia Plan Partners</t>
        </is>
      </c>
      <c r="D96" s="5" t="n">
        <v>46216</v>
      </c>
      <c r="E96" s="5" t="n">
        <v>46230</v>
      </c>
      <c r="F96" t="inlineStr">
        <is>
          <t>AUD</t>
        </is>
      </c>
      <c r="G96" s="9" t="n">
        <v>242.49</v>
      </c>
      <c r="H96" s="9" t="n">
        <v>0</v>
      </c>
      <c r="I96" s="9" t="n">
        <v>242.49</v>
      </c>
      <c r="J96" s="9">
        <f>ROUND(1*SUMIFS('Allocations'!$C$5:$C$222,'Allocations'!$B$5:$B$222,A96),2)</f>
        <v>242.49</v>
      </c>
      <c r="K96" s="9">
        <f>ROUND(I96-J96,2)</f>
        <v>0</v>
      </c>
      <c r="L96">
        <f>MAX(0,DATE(2026,9,30)-E96)</f>
        <v>65</v>
      </c>
      <c r="M96">
        <f>IF(K96&lt;-0.005,"Credit balance: check for double payment",IF(AND(K96&gt;0.005,L96&gt;60),"Over 60 days overdue",""))</f>
      </c>
    </row>
    <row r="97">
      <c r="A97" t="inlineStr">
        <is>
          <t>INV/2026/02130</t>
        </is>
      </c>
      <c r="B97" t="inlineStr">
        <is>
          <t>Invoice</t>
        </is>
      </c>
      <c r="C97" t="inlineStr">
        <is>
          <t>Northline Injury Claims</t>
        </is>
      </c>
      <c r="D97" s="5" t="n">
        <v>46216</v>
      </c>
      <c r="E97" s="5" t="n">
        <v>46230</v>
      </c>
      <c r="F97" t="inlineStr">
        <is>
          <t>AUD</t>
        </is>
      </c>
      <c r="G97" s="9" t="n">
        <v>412.5</v>
      </c>
      <c r="H97" s="9" t="n">
        <v>0</v>
      </c>
      <c r="I97" s="9" t="n">
        <v>412.5</v>
      </c>
      <c r="J97" s="9">
        <f>ROUND(1*SUMIFS('Allocations'!$C$5:$C$222,'Allocations'!$B$5:$B$222,A97),2)</f>
        <v>412.5</v>
      </c>
      <c r="K97" s="9">
        <f>ROUND(I97-J97,2)</f>
        <v>0</v>
      </c>
      <c r="L97">
        <f>MAX(0,DATE(2026,9,30)-E97)</f>
        <v>65</v>
      </c>
      <c r="M97">
        <f>IF(K97&lt;-0.005,"Credit balance: check for double payment",IF(AND(K97&gt;0.005,L97&gt;60),"Over 60 days overdue",""))</f>
      </c>
    </row>
    <row r="98">
      <c r="A98" t="inlineStr">
        <is>
          <t>INV/2026/02150</t>
        </is>
      </c>
      <c r="B98" t="inlineStr">
        <is>
          <t>Invoice</t>
        </is>
      </c>
      <c r="C98" t="inlineStr">
        <is>
          <t>Acacia Plan Partners</t>
        </is>
      </c>
      <c r="D98" s="5" t="n">
        <v>46217</v>
      </c>
      <c r="E98" s="5" t="n">
        <v>46231</v>
      </c>
      <c r="F98" t="inlineStr">
        <is>
          <t>AUD</t>
        </is>
      </c>
      <c r="G98" s="9" t="n">
        <v>145.49</v>
      </c>
      <c r="H98" s="9" t="n">
        <v>0</v>
      </c>
      <c r="I98" s="9" t="n">
        <v>145.49</v>
      </c>
      <c r="J98" s="9">
        <f>ROUND(1*SUMIFS('Allocations'!$C$5:$C$222,'Allocations'!$B$5:$B$222,A98),2)</f>
        <v>145.49</v>
      </c>
      <c r="K98" s="9">
        <f>ROUND(I98-J98,2)</f>
        <v>0</v>
      </c>
      <c r="L98">
        <f>MAX(0,DATE(2026,9,30)-E98)</f>
        <v>64</v>
      </c>
      <c r="M98">
        <f>IF(K98&lt;-0.005,"Credit balance: check for double payment",IF(AND(K98&gt;0.005,L98&gt;60),"Over 60 days overdue",""))</f>
      </c>
    </row>
    <row r="99">
      <c r="A99" t="inlineStr">
        <is>
          <t>INV/2026/02264</t>
        </is>
      </c>
      <c r="B99" t="inlineStr">
        <is>
          <t>Invoice</t>
        </is>
      </c>
      <c r="C99" t="inlineStr">
        <is>
          <t>Southern Cross Plan Mgmt</t>
        </is>
      </c>
      <c r="D99" s="5" t="n">
        <v>46224</v>
      </c>
      <c r="E99" s="5" t="n">
        <v>46238</v>
      </c>
      <c r="F99" t="inlineStr">
        <is>
          <t>AUD</t>
        </is>
      </c>
      <c r="G99" s="9" t="n">
        <v>145.49</v>
      </c>
      <c r="H99" s="9" t="n">
        <v>0</v>
      </c>
      <c r="I99" s="9" t="n">
        <v>14.55</v>
      </c>
      <c r="J99" s="9">
        <f>ROUND(1*SUMIFS('Allocations'!$C$5:$C$222,'Allocations'!$B$5:$B$222,A99),2)</f>
        <v>0</v>
      </c>
      <c r="K99" s="9">
        <f>ROUND(I99-J99,2)</f>
        <v>14.55</v>
      </c>
      <c r="L99">
        <f>MAX(0,DATE(2026,9,30)-E99)</f>
        <v>57</v>
      </c>
      <c r="M99">
        <f>IF(K99&lt;-0.005,"Credit balance: check for double payment",IF(AND(K99&gt;0.005,L99&gt;60),"Over 60 days overdue",""))</f>
      </c>
    </row>
    <row r="100">
      <c r="A100" t="inlineStr">
        <is>
          <t>INV/2026/02303</t>
        </is>
      </c>
      <c r="B100" t="inlineStr">
        <is>
          <t>Invoice</t>
        </is>
      </c>
      <c r="C100" t="inlineStr">
        <is>
          <t>Wattle Plan Services</t>
        </is>
      </c>
      <c r="D100" s="5" t="n">
        <v>46227</v>
      </c>
      <c r="E100" s="5" t="n">
        <v>46241</v>
      </c>
      <c r="F100" t="inlineStr">
        <is>
          <t>AUD</t>
        </is>
      </c>
      <c r="G100" s="9" t="n">
        <v>242.49</v>
      </c>
      <c r="H100" s="9" t="n">
        <v>0</v>
      </c>
      <c r="I100" s="9" t="n">
        <v>242.49</v>
      </c>
      <c r="J100" s="9">
        <f>ROUND(1*SUMIFS('Allocations'!$C$5:$C$222,'Allocations'!$B$5:$B$222,A100),2)</f>
        <v>242.49</v>
      </c>
      <c r="K100" s="9">
        <f>ROUND(I100-J100,2)</f>
        <v>0</v>
      </c>
      <c r="L100">
        <f>MAX(0,DATE(2026,9,30)-E100)</f>
        <v>54</v>
      </c>
      <c r="M100">
        <f>IF(K100&lt;-0.005,"Credit balance: check for double payment",IF(AND(K100&gt;0.005,L100&gt;60),"Over 60 days overdue",""))</f>
      </c>
    </row>
    <row r="101">
      <c r="A101" t="inlineStr">
        <is>
          <t>INV/2026/02329</t>
        </is>
      </c>
      <c r="B101" t="inlineStr">
        <is>
          <t>Invoice</t>
        </is>
      </c>
      <c r="C101" t="inlineStr">
        <is>
          <t>Redgum Plan Admin</t>
        </is>
      </c>
      <c r="D101" s="5" t="n">
        <v>46230</v>
      </c>
      <c r="E101" s="5" t="n">
        <v>46244</v>
      </c>
      <c r="F101" t="inlineStr">
        <is>
          <t>AUD</t>
        </is>
      </c>
      <c r="G101" s="9" t="n">
        <v>155.19</v>
      </c>
      <c r="H101" s="9" t="n">
        <v>0</v>
      </c>
      <c r="I101" s="9" t="n">
        <v>155.19</v>
      </c>
      <c r="J101" s="9">
        <f>ROUND(1*SUMIFS('Allocations'!$C$5:$C$222,'Allocations'!$B$5:$B$222,A101),2)</f>
        <v>155.19</v>
      </c>
      <c r="K101" s="9">
        <f>ROUND(I101-J101,2)</f>
        <v>0</v>
      </c>
      <c r="L101">
        <f>MAX(0,DATE(2026,9,30)-E101)</f>
        <v>51</v>
      </c>
      <c r="M101">
        <f>IF(K101&lt;-0.005,"Credit balance: check for double payment",IF(AND(K101&gt;0.005,L101&gt;60),"Over 60 days overdue",""))</f>
      </c>
    </row>
    <row r="102">
      <c r="A102" t="inlineStr">
        <is>
          <t>INV/2026/02352</t>
        </is>
      </c>
      <c r="B102" t="inlineStr">
        <is>
          <t>Invoice</t>
        </is>
      </c>
      <c r="C102" t="inlineStr">
        <is>
          <t>Wattle Plan Services</t>
        </is>
      </c>
      <c r="D102" s="5" t="n">
        <v>46231</v>
      </c>
      <c r="E102" s="5" t="n">
        <v>46245</v>
      </c>
      <c r="F102" t="inlineStr">
        <is>
          <t>AUD</t>
        </is>
      </c>
      <c r="G102" s="9" t="n">
        <v>203.69</v>
      </c>
      <c r="H102" s="9" t="n">
        <v>0</v>
      </c>
      <c r="I102" s="9" t="n">
        <v>203.69</v>
      </c>
      <c r="J102" s="9">
        <f>ROUND(1*SUMIFS('Allocations'!$C$5:$C$222,'Allocations'!$B$5:$B$222,A102),2)</f>
        <v>203.69</v>
      </c>
      <c r="K102" s="9">
        <f>ROUND(I102-J102,2)</f>
        <v>0</v>
      </c>
      <c r="L102">
        <f>MAX(0,DATE(2026,9,30)-E102)</f>
        <v>50</v>
      </c>
      <c r="M102">
        <f>IF(K102&lt;-0.005,"Credit balance: check for double payment",IF(AND(K102&gt;0.005,L102&gt;60),"Over 60 days overdue",""))</f>
      </c>
    </row>
    <row r="103">
      <c r="A103" t="inlineStr">
        <is>
          <t>INV/2026/02353</t>
        </is>
      </c>
      <c r="B103" t="inlineStr">
        <is>
          <t>Invoice</t>
        </is>
      </c>
      <c r="C103" t="inlineStr">
        <is>
          <t>Ironbark Plan Management</t>
        </is>
      </c>
      <c r="D103" s="5" t="n">
        <v>46231</v>
      </c>
      <c r="E103" s="5" t="n">
        <v>46245</v>
      </c>
      <c r="F103" t="inlineStr">
        <is>
          <t>AUD</t>
        </is>
      </c>
      <c r="G103" s="9" t="n">
        <v>290.98</v>
      </c>
      <c r="H103" s="9" t="n">
        <v>0</v>
      </c>
      <c r="I103" s="9" t="n">
        <v>29.1</v>
      </c>
      <c r="J103" s="9">
        <f>ROUND(1*SUMIFS('Allocations'!$C$5:$C$222,'Allocations'!$B$5:$B$222,A103),2)</f>
        <v>0</v>
      </c>
      <c r="K103" s="9">
        <f>ROUND(I103-J103,2)</f>
        <v>29.1</v>
      </c>
      <c r="L103">
        <f>MAX(0,DATE(2026,9,30)-E103)</f>
        <v>50</v>
      </c>
      <c r="M103">
        <f>IF(K103&lt;-0.005,"Credit balance: check for double payment",IF(AND(K103&gt;0.005,L103&gt;60),"Over 60 days overdue",""))</f>
      </c>
    </row>
    <row r="104">
      <c r="A104" t="inlineStr">
        <is>
          <t>INV/2026/02368</t>
        </is>
      </c>
      <c r="B104" t="inlineStr">
        <is>
          <t>Invoice</t>
        </is>
      </c>
      <c r="C104" t="inlineStr">
        <is>
          <t>Harbour Mutual Health</t>
        </is>
      </c>
      <c r="D104" s="5" t="n">
        <v>46231</v>
      </c>
      <c r="E104" s="5" t="n">
        <v>46245</v>
      </c>
      <c r="F104" t="inlineStr">
        <is>
          <t>AUD</t>
        </is>
      </c>
      <c r="G104" s="9" t="n">
        <v>88</v>
      </c>
      <c r="H104" s="9" t="n">
        <v>0</v>
      </c>
      <c r="I104" s="9" t="n">
        <v>88</v>
      </c>
      <c r="J104" s="9">
        <f>ROUND(1*SUMIFS('Allocations'!$C$5:$C$222,'Allocations'!$B$5:$B$222,A104),2)</f>
        <v>88</v>
      </c>
      <c r="K104" s="9">
        <f>ROUND(I104-J104,2)</f>
        <v>0</v>
      </c>
      <c r="L104">
        <f>MAX(0,DATE(2026,9,30)-E104)</f>
        <v>50</v>
      </c>
      <c r="M104">
        <f>IF(K104&lt;-0.005,"Credit balance: check for double payment",IF(AND(K104&gt;0.005,L104&gt;60),"Over 60 days overdue",""))</f>
      </c>
    </row>
    <row r="105">
      <c r="A105" t="inlineStr">
        <is>
          <t>INV/2026/02388</t>
        </is>
      </c>
      <c r="B105" t="inlineStr">
        <is>
          <t>Invoice</t>
        </is>
      </c>
      <c r="C105" t="inlineStr">
        <is>
          <t>Northline Injury Claims</t>
        </is>
      </c>
      <c r="D105" s="5" t="n">
        <v>46232</v>
      </c>
      <c r="E105" s="5" t="n">
        <v>46246</v>
      </c>
      <c r="F105" t="inlineStr">
        <is>
          <t>AUD</t>
        </is>
      </c>
      <c r="G105" s="9" t="n">
        <v>88</v>
      </c>
      <c r="H105" s="9" t="n">
        <v>0</v>
      </c>
      <c r="I105" s="9" t="n">
        <v>88</v>
      </c>
      <c r="J105" s="9">
        <f>ROUND(1*SUMIFS('Allocations'!$C$5:$C$222,'Allocations'!$B$5:$B$222,A105),2)</f>
        <v>88</v>
      </c>
      <c r="K105" s="9">
        <f>ROUND(I105-J105,2)</f>
        <v>0</v>
      </c>
      <c r="L105">
        <f>MAX(0,DATE(2026,9,30)-E105)</f>
        <v>49</v>
      </c>
      <c r="M105">
        <f>IF(K105&lt;-0.005,"Credit balance: check for double payment",IF(AND(K105&gt;0.005,L105&gt;60),"Over 60 days overdue",""))</f>
      </c>
    </row>
    <row r="106">
      <c r="A106" t="inlineStr">
        <is>
          <t>INV/2026/02396</t>
        </is>
      </c>
      <c r="B106" t="inlineStr">
        <is>
          <t>Invoice</t>
        </is>
      </c>
      <c r="C106" t="inlineStr">
        <is>
          <t>Wattle Plan Services</t>
        </is>
      </c>
      <c r="D106" s="5" t="n">
        <v>46233</v>
      </c>
      <c r="E106" s="5" t="n">
        <v>46247</v>
      </c>
      <c r="F106" t="inlineStr">
        <is>
          <t>AUD</t>
        </is>
      </c>
      <c r="G106" s="9" t="n">
        <v>96.98999999999999</v>
      </c>
      <c r="H106" s="9" t="n">
        <v>0</v>
      </c>
      <c r="I106" s="9" t="n">
        <v>96.98999999999999</v>
      </c>
      <c r="J106" s="9">
        <f>ROUND(1*SUMIFS('Allocations'!$C$5:$C$222,'Allocations'!$B$5:$B$222,A106),2)</f>
        <v>96.99</v>
      </c>
      <c r="K106" s="9">
        <f>ROUND(I106-J106,2)</f>
        <v>0</v>
      </c>
      <c r="L106">
        <f>MAX(0,DATE(2026,9,30)-E106)</f>
        <v>48</v>
      </c>
      <c r="M106">
        <f>IF(K106&lt;-0.005,"Credit balance: check for double payment",IF(AND(K106&gt;0.005,L106&gt;60),"Over 60 days overdue",""))</f>
      </c>
    </row>
    <row r="107">
      <c r="A107" t="inlineStr">
        <is>
          <t>INV/2026/02405</t>
        </is>
      </c>
      <c r="B107" t="inlineStr">
        <is>
          <t>Invoice</t>
        </is>
      </c>
      <c r="C107" t="inlineStr">
        <is>
          <t>Redgum Plan Admin</t>
        </is>
      </c>
      <c r="D107" s="5" t="n">
        <v>46233</v>
      </c>
      <c r="E107" s="5" t="n">
        <v>46247</v>
      </c>
      <c r="F107" t="inlineStr">
        <is>
          <t>AUD</t>
        </is>
      </c>
      <c r="G107" s="9" t="n">
        <v>242.49</v>
      </c>
      <c r="H107" s="9" t="n">
        <v>0</v>
      </c>
      <c r="I107" s="9" t="n">
        <v>242.49</v>
      </c>
      <c r="J107" s="9">
        <f>ROUND(1*SUMIFS('Allocations'!$C$5:$C$222,'Allocations'!$B$5:$B$222,A107),2)</f>
        <v>242.49</v>
      </c>
      <c r="K107" s="9">
        <f>ROUND(I107-J107,2)</f>
        <v>0</v>
      </c>
      <c r="L107">
        <f>MAX(0,DATE(2026,9,30)-E107)</f>
        <v>48</v>
      </c>
      <c r="M107">
        <f>IF(K107&lt;-0.005,"Credit balance: check for double payment",IF(AND(K107&gt;0.005,L107&gt;60),"Over 60 days overdue",""))</f>
      </c>
    </row>
    <row r="108">
      <c r="A108" t="inlineStr">
        <is>
          <t>INV/2026/02417</t>
        </is>
      </c>
      <c r="B108" t="inlineStr">
        <is>
          <t>Invoice</t>
        </is>
      </c>
      <c r="C108" t="inlineStr">
        <is>
          <t>Meridian Health Cover</t>
        </is>
      </c>
      <c r="D108" s="5" t="n">
        <v>46233</v>
      </c>
      <c r="E108" s="5" t="n">
        <v>46247</v>
      </c>
      <c r="F108" t="inlineStr">
        <is>
          <t>AUD</t>
        </is>
      </c>
      <c r="G108" s="9" t="n">
        <v>176</v>
      </c>
      <c r="H108" s="9" t="n">
        <v>0</v>
      </c>
      <c r="I108" s="9" t="n">
        <v>176</v>
      </c>
      <c r="J108" s="9">
        <f>ROUND(1*SUMIFS('Allocations'!$C$5:$C$222,'Allocations'!$B$5:$B$222,A108),2)</f>
        <v>176</v>
      </c>
      <c r="K108" s="9">
        <f>ROUND(I108-J108,2)</f>
        <v>0</v>
      </c>
      <c r="L108">
        <f>MAX(0,DATE(2026,9,30)-E108)</f>
        <v>48</v>
      </c>
      <c r="M108">
        <f>IF(K108&lt;-0.005,"Credit balance: check for double payment",IF(AND(K108&gt;0.005,L108&gt;60),"Over 60 days overdue",""))</f>
      </c>
    </row>
    <row r="109">
      <c r="A109" t="inlineStr">
        <is>
          <t>INV/2026/02418</t>
        </is>
      </c>
      <c r="B109" t="inlineStr">
        <is>
          <t>Invoice</t>
        </is>
      </c>
      <c r="C109" t="inlineStr">
        <is>
          <t>Bluegum Plan Management</t>
        </is>
      </c>
      <c r="D109" s="5" t="n">
        <v>46234</v>
      </c>
      <c r="E109" s="5" t="n">
        <v>46248</v>
      </c>
      <c r="F109" t="inlineStr">
        <is>
          <t>AUD</t>
        </is>
      </c>
      <c r="G109" s="9" t="n">
        <v>193.99</v>
      </c>
      <c r="H109" s="9" t="n">
        <v>0</v>
      </c>
      <c r="I109" s="9" t="n">
        <v>30</v>
      </c>
      <c r="J109" s="9">
        <f>ROUND(1*SUMIFS('Allocations'!$C$5:$C$222,'Allocations'!$B$5:$B$222,A109),2)</f>
        <v>0</v>
      </c>
      <c r="K109" s="9">
        <f>ROUND(I109-J109,2)</f>
        <v>30</v>
      </c>
      <c r="L109">
        <f>MAX(0,DATE(2026,9,30)-E109)</f>
        <v>47</v>
      </c>
      <c r="M109">
        <f>IF(K109&lt;-0.005,"Credit balance: check for double payment",IF(AND(K109&gt;0.005,L109&gt;60),"Over 60 days overdue",""))</f>
      </c>
    </row>
    <row r="110">
      <c r="A110" t="inlineStr">
        <is>
          <t>INV/2026/02422</t>
        </is>
      </c>
      <c r="B110" t="inlineStr">
        <is>
          <t>Invoice</t>
        </is>
      </c>
      <c r="C110" t="inlineStr">
        <is>
          <t>Wattle Plan Services</t>
        </is>
      </c>
      <c r="D110" s="5" t="n">
        <v>46234</v>
      </c>
      <c r="E110" s="5" t="n">
        <v>46248</v>
      </c>
      <c r="F110" t="inlineStr">
        <is>
          <t>AUD</t>
        </is>
      </c>
      <c r="G110" s="9" t="n">
        <v>203.69</v>
      </c>
      <c r="H110" s="9" t="n">
        <v>0</v>
      </c>
      <c r="I110" s="9" t="n">
        <v>203.69</v>
      </c>
      <c r="J110" s="9">
        <f>ROUND(1*SUMIFS('Allocations'!$C$5:$C$222,'Allocations'!$B$5:$B$222,A110),2)</f>
        <v>203.69</v>
      </c>
      <c r="K110" s="9">
        <f>ROUND(I110-J110,2)</f>
        <v>0</v>
      </c>
      <c r="L110">
        <f>MAX(0,DATE(2026,9,30)-E110)</f>
        <v>47</v>
      </c>
      <c r="M110">
        <f>IF(K110&lt;-0.005,"Credit balance: check for double payment",IF(AND(K110&gt;0.005,L110&gt;60),"Over 60 days overdue",""))</f>
      </c>
    </row>
    <row r="111">
      <c r="A111" t="inlineStr">
        <is>
          <t>INV/2026/02423</t>
        </is>
      </c>
      <c r="B111" t="inlineStr">
        <is>
          <t>Invoice</t>
        </is>
      </c>
      <c r="C111" t="inlineStr">
        <is>
          <t>Wattle Plan Services</t>
        </is>
      </c>
      <c r="D111" s="5" t="n">
        <v>46234</v>
      </c>
      <c r="E111" s="5" t="n">
        <v>46248</v>
      </c>
      <c r="F111" t="inlineStr">
        <is>
          <t>AUD</t>
        </is>
      </c>
      <c r="G111" s="9" t="n">
        <v>242.49</v>
      </c>
      <c r="H111" s="9" t="n">
        <v>0</v>
      </c>
      <c r="I111" s="9" t="n">
        <v>242.49</v>
      </c>
      <c r="J111" s="9">
        <f>ROUND(1*SUMIFS('Allocations'!$C$5:$C$222,'Allocations'!$B$5:$B$222,A111),2)</f>
        <v>242.49</v>
      </c>
      <c r="K111" s="9">
        <f>ROUND(I111-J111,2)</f>
        <v>0</v>
      </c>
      <c r="L111">
        <f>MAX(0,DATE(2026,9,30)-E111)</f>
        <v>47</v>
      </c>
      <c r="M111">
        <f>IF(K111&lt;-0.005,"Credit balance: check for double payment",IF(AND(K111&gt;0.005,L111&gt;60),"Over 60 days overdue",""))</f>
      </c>
    </row>
    <row r="112">
      <c r="A112" t="inlineStr">
        <is>
          <t>INV/2026/02428</t>
        </is>
      </c>
      <c r="B112" t="inlineStr">
        <is>
          <t>Invoice</t>
        </is>
      </c>
      <c r="C112" t="inlineStr">
        <is>
          <t>Kookaburra Plan Support</t>
        </is>
      </c>
      <c r="D112" s="5" t="n">
        <v>46234</v>
      </c>
      <c r="E112" s="5" t="n">
        <v>46248</v>
      </c>
      <c r="F112" t="inlineStr">
        <is>
          <t>AUD</t>
        </is>
      </c>
      <c r="G112" s="9" t="n">
        <v>320.98</v>
      </c>
      <c r="H112" s="9" t="n">
        <v>0</v>
      </c>
      <c r="I112" s="9" t="n">
        <v>-320.98</v>
      </c>
      <c r="J112" s="9">
        <f>ROUND(1*SUMIFS('Allocations'!$C$5:$C$222,'Allocations'!$B$5:$B$222,A112),2)</f>
        <v>0</v>
      </c>
      <c r="K112" s="9">
        <f>ROUND(I112-J112,2)</f>
        <v>-320.98</v>
      </c>
      <c r="L112">
        <f>MAX(0,DATE(2026,9,30)-E112)</f>
        <v>47</v>
      </c>
      <c r="M112" t="str">
        <f>IF(K112&lt;-0.005,"Credit balance: check for double payment",IF(AND(K112&gt;0.005,L112&gt;60),"Over 60 days overdue",""))</f>
        <v>Credit balance: check for double payment</v>
      </c>
    </row>
    <row r="113">
      <c r="A113" t="inlineStr">
        <is>
          <t>INV/2026/02431</t>
        </is>
      </c>
      <c r="B113" t="inlineStr">
        <is>
          <t>Invoice</t>
        </is>
      </c>
      <c r="C113" t="inlineStr">
        <is>
          <t>Redgum Plan Admin</t>
        </is>
      </c>
      <c r="D113" s="5" t="n">
        <v>46234</v>
      </c>
      <c r="E113" s="5" t="n">
        <v>46248</v>
      </c>
      <c r="F113" t="inlineStr">
        <is>
          <t>AUD</t>
        </is>
      </c>
      <c r="G113" s="9" t="n">
        <v>387.98</v>
      </c>
      <c r="H113" s="9" t="n">
        <v>0</v>
      </c>
      <c r="I113" s="9" t="n">
        <v>387.98</v>
      </c>
      <c r="J113" s="9">
        <f>ROUND(1*SUMIFS('Allocations'!$C$5:$C$222,'Allocations'!$B$5:$B$222,A113),2)</f>
        <v>387.98</v>
      </c>
      <c r="K113" s="9">
        <f>ROUND(I113-J113,2)</f>
        <v>0</v>
      </c>
      <c r="L113">
        <f>MAX(0,DATE(2026,9,30)-E113)</f>
        <v>47</v>
      </c>
      <c r="M113">
        <f>IF(K113&lt;-0.005,"Credit balance: check for double payment",IF(AND(K113&gt;0.005,L113&gt;60),"Over 60 days overdue",""))</f>
      </c>
    </row>
    <row r="114">
      <c r="A114" t="inlineStr">
        <is>
          <t>INV/2026/02449</t>
        </is>
      </c>
      <c r="B114" t="inlineStr">
        <is>
          <t>Invoice</t>
        </is>
      </c>
      <c r="C114" t="inlineStr">
        <is>
          <t>Ironbark Plan Management</t>
        </is>
      </c>
      <c r="D114" s="5" t="n">
        <v>46237</v>
      </c>
      <c r="E114" s="5" t="n">
        <v>46251</v>
      </c>
      <c r="F114" t="inlineStr">
        <is>
          <t>AUD</t>
        </is>
      </c>
      <c r="G114" s="9" t="n">
        <v>417.98</v>
      </c>
      <c r="H114" s="9" t="n">
        <v>0</v>
      </c>
      <c r="I114" s="9" t="n">
        <v>417.98</v>
      </c>
      <c r="J114" s="9">
        <f>ROUND(1*SUMIFS('Allocations'!$C$5:$C$222,'Allocations'!$B$5:$B$222,A114),2)</f>
        <v>417.98</v>
      </c>
      <c r="K114" s="9">
        <f>ROUND(I114-J114,2)</f>
        <v>0</v>
      </c>
      <c r="L114">
        <f>MAX(0,DATE(2026,9,30)-E114)</f>
        <v>44</v>
      </c>
      <c r="M114">
        <f>IF(K114&lt;-0.005,"Credit balance: check for double payment",IF(AND(K114&gt;0.005,L114&gt;60),"Over 60 days overdue",""))</f>
      </c>
    </row>
    <row r="115">
      <c r="A115" t="inlineStr">
        <is>
          <t>INV/2026/02450</t>
        </is>
      </c>
      <c r="B115" t="inlineStr">
        <is>
          <t>Invoice</t>
        </is>
      </c>
      <c r="C115" t="inlineStr">
        <is>
          <t>Ironbark Plan Management</t>
        </is>
      </c>
      <c r="D115" s="5" t="n">
        <v>46237</v>
      </c>
      <c r="E115" s="5" t="n">
        <v>46251</v>
      </c>
      <c r="F115" t="inlineStr">
        <is>
          <t>AUD</t>
        </is>
      </c>
      <c r="G115" s="9" t="n">
        <v>193.99</v>
      </c>
      <c r="H115" s="9" t="n">
        <v>0</v>
      </c>
      <c r="I115" s="9" t="n">
        <v>193.99</v>
      </c>
      <c r="J115" s="9">
        <f>ROUND(1*SUMIFS('Allocations'!$C$5:$C$222,'Allocations'!$B$5:$B$222,A115),2)</f>
        <v>193.99</v>
      </c>
      <c r="K115" s="9">
        <f>ROUND(I115-J115,2)</f>
        <v>0</v>
      </c>
      <c r="L115">
        <f>MAX(0,DATE(2026,9,30)-E115)</f>
        <v>44</v>
      </c>
      <c r="M115">
        <f>IF(K115&lt;-0.005,"Credit balance: check for double payment",IF(AND(K115&gt;0.005,L115&gt;60),"Over 60 days overdue",""))</f>
      </c>
    </row>
    <row r="116">
      <c r="A116" t="inlineStr">
        <is>
          <t>INV/2026/02471</t>
        </is>
      </c>
      <c r="B116" t="inlineStr">
        <is>
          <t>Invoice</t>
        </is>
      </c>
      <c r="C116" t="inlineStr">
        <is>
          <t>Ironbark Plan Management</t>
        </is>
      </c>
      <c r="D116" s="5" t="n">
        <v>46238</v>
      </c>
      <c r="E116" s="5" t="n">
        <v>46252</v>
      </c>
      <c r="F116" t="inlineStr">
        <is>
          <t>AUD</t>
        </is>
      </c>
      <c r="G116" s="9" t="n">
        <v>203.69</v>
      </c>
      <c r="H116" s="9" t="n">
        <v>0</v>
      </c>
      <c r="I116" s="9" t="n">
        <v>203.69</v>
      </c>
      <c r="J116" s="9">
        <f>ROUND(1*SUMIFS('Allocations'!$C$5:$C$222,'Allocations'!$B$5:$B$222,A116),2)</f>
        <v>203.69</v>
      </c>
      <c r="K116" s="9">
        <f>ROUND(I116-J116,2)</f>
        <v>0</v>
      </c>
      <c r="L116">
        <f>MAX(0,DATE(2026,9,30)-E116)</f>
        <v>43</v>
      </c>
      <c r="M116">
        <f>IF(K116&lt;-0.005,"Credit balance: check for double payment",IF(AND(K116&gt;0.005,L116&gt;60),"Over 60 days overdue",""))</f>
      </c>
    </row>
    <row r="117">
      <c r="A117" t="inlineStr">
        <is>
          <t>INV/2026/02472</t>
        </is>
      </c>
      <c r="B117" t="inlineStr">
        <is>
          <t>Invoice</t>
        </is>
      </c>
      <c r="C117" t="inlineStr">
        <is>
          <t>Ironbark Plan Management</t>
        </is>
      </c>
      <c r="D117" s="5" t="n">
        <v>46238</v>
      </c>
      <c r="E117" s="5" t="n">
        <v>46252</v>
      </c>
      <c r="F117" t="inlineStr">
        <is>
          <t>AUD</t>
        </is>
      </c>
      <c r="G117" s="9" t="n">
        <v>349.18</v>
      </c>
      <c r="H117" s="9" t="n">
        <v>0</v>
      </c>
      <c r="I117" s="9" t="n">
        <v>349.18</v>
      </c>
      <c r="J117" s="9">
        <f>ROUND(1*SUMIFS('Allocations'!$C$5:$C$222,'Allocations'!$B$5:$B$222,A117),2)</f>
        <v>349.18</v>
      </c>
      <c r="K117" s="9">
        <f>ROUND(I117-J117,2)</f>
        <v>0</v>
      </c>
      <c r="L117">
        <f>MAX(0,DATE(2026,9,30)-E117)</f>
        <v>43</v>
      </c>
      <c r="M117">
        <f>IF(K117&lt;-0.005,"Credit balance: check for double payment",IF(AND(K117&gt;0.005,L117&gt;60),"Over 60 days overdue",""))</f>
      </c>
    </row>
    <row r="118">
      <c r="A118" t="inlineStr">
        <is>
          <t>INV/2026/02488</t>
        </is>
      </c>
      <c r="B118" t="inlineStr">
        <is>
          <t>Invoice</t>
        </is>
      </c>
      <c r="C118" t="inlineStr">
        <is>
          <t>Harbour Mutual Health</t>
        </is>
      </c>
      <c r="D118" s="5" t="n">
        <v>46238</v>
      </c>
      <c r="E118" s="5" t="n">
        <v>46252</v>
      </c>
      <c r="F118" t="inlineStr">
        <is>
          <t>AUD</t>
        </is>
      </c>
      <c r="G118" s="9" t="n">
        <v>88</v>
      </c>
      <c r="H118" s="9" t="n">
        <v>0</v>
      </c>
      <c r="I118" s="9" t="n">
        <v>88</v>
      </c>
      <c r="J118" s="9">
        <f>ROUND(1*SUMIFS('Allocations'!$C$5:$C$222,'Allocations'!$B$5:$B$222,A118),2)</f>
        <v>88</v>
      </c>
      <c r="K118" s="9">
        <f>ROUND(I118-J118,2)</f>
        <v>0</v>
      </c>
      <c r="L118">
        <f>MAX(0,DATE(2026,9,30)-E118)</f>
        <v>43</v>
      </c>
      <c r="M118">
        <f>IF(K118&lt;-0.005,"Credit balance: check for double payment",IF(AND(K118&gt;0.005,L118&gt;60),"Over 60 days overdue",""))</f>
      </c>
    </row>
    <row r="119">
      <c r="A119" t="inlineStr">
        <is>
          <t>INV/2026/02489</t>
        </is>
      </c>
      <c r="B119" t="inlineStr">
        <is>
          <t>Invoice</t>
        </is>
      </c>
      <c r="C119" t="inlineStr">
        <is>
          <t>Coastline Health Fund</t>
        </is>
      </c>
      <c r="D119" s="5" t="n">
        <v>46238</v>
      </c>
      <c r="E119" s="5" t="n">
        <v>46252</v>
      </c>
      <c r="F119" t="inlineStr">
        <is>
          <t>AUD</t>
        </is>
      </c>
      <c r="G119" s="9" t="n">
        <v>176</v>
      </c>
      <c r="H119" s="9" t="n">
        <v>0</v>
      </c>
      <c r="I119" s="9" t="n">
        <v>176</v>
      </c>
      <c r="J119" s="9">
        <f>ROUND(1*SUMIFS('Allocations'!$C$5:$C$222,'Allocations'!$B$5:$B$222,A119),2)</f>
        <v>176</v>
      </c>
      <c r="K119" s="9">
        <f>ROUND(I119-J119,2)</f>
        <v>0</v>
      </c>
      <c r="L119">
        <f>MAX(0,DATE(2026,9,30)-E119)</f>
        <v>43</v>
      </c>
      <c r="M119">
        <f>IF(K119&lt;-0.005,"Credit balance: check for double payment",IF(AND(K119&gt;0.005,L119&gt;60),"Over 60 days overdue",""))</f>
      </c>
    </row>
    <row r="120">
      <c r="A120" t="inlineStr">
        <is>
          <t>INV/2026/02490</t>
        </is>
      </c>
      <c r="B120" t="inlineStr">
        <is>
          <t>Invoice</t>
        </is>
      </c>
      <c r="C120" t="inlineStr">
        <is>
          <t>Pinnacle Claims Services</t>
        </is>
      </c>
      <c r="D120" s="5" t="n">
        <v>46238</v>
      </c>
      <c r="E120" s="5" t="n">
        <v>46252</v>
      </c>
      <c r="F120" t="inlineStr">
        <is>
          <t>AUD</t>
        </is>
      </c>
      <c r="G120" s="9" t="n">
        <v>990</v>
      </c>
      <c r="H120" s="9" t="n">
        <v>0</v>
      </c>
      <c r="I120" s="9" t="n">
        <v>990</v>
      </c>
      <c r="J120" s="9">
        <f>ROUND(1*SUMIFS('Allocations'!$C$5:$C$222,'Allocations'!$B$5:$B$222,A120),2)</f>
        <v>990</v>
      </c>
      <c r="K120" s="9">
        <f>ROUND(I120-J120,2)</f>
        <v>0</v>
      </c>
      <c r="L120">
        <f>MAX(0,DATE(2026,9,30)-E120)</f>
        <v>43</v>
      </c>
      <c r="M120">
        <f>IF(K120&lt;-0.005,"Credit balance: check for double payment",IF(AND(K120&gt;0.005,L120&gt;60),"Over 60 days overdue",""))</f>
      </c>
    </row>
    <row r="121">
      <c r="A121" t="inlineStr">
        <is>
          <t>INV/2026/02494</t>
        </is>
      </c>
      <c r="B121" t="inlineStr">
        <is>
          <t>Invoice</t>
        </is>
      </c>
      <c r="C121" t="inlineStr">
        <is>
          <t>Wattle Plan Services</t>
        </is>
      </c>
      <c r="D121" s="5" t="n">
        <v>46239</v>
      </c>
      <c r="E121" s="5" t="n">
        <v>46253</v>
      </c>
      <c r="F121" t="inlineStr">
        <is>
          <t>AUD</t>
        </is>
      </c>
      <c r="G121" s="9" t="n">
        <v>272.49</v>
      </c>
      <c r="H121" s="9" t="n">
        <v>0</v>
      </c>
      <c r="I121" s="9" t="n">
        <v>272.49</v>
      </c>
      <c r="J121" s="9">
        <f>ROUND(1*SUMIFS('Allocations'!$C$5:$C$222,'Allocations'!$B$5:$B$222,A121),2)</f>
        <v>272.49</v>
      </c>
      <c r="K121" s="9">
        <f>ROUND(I121-J121,2)</f>
        <v>0</v>
      </c>
      <c r="L121">
        <f>MAX(0,DATE(2026,9,30)-E121)</f>
        <v>42</v>
      </c>
      <c r="M121">
        <f>IF(K121&lt;-0.005,"Credit balance: check for double payment",IF(AND(K121&gt;0.005,L121&gt;60),"Over 60 days overdue",""))</f>
      </c>
    </row>
    <row r="122">
      <c r="A122" t="inlineStr">
        <is>
          <t>INV/2026/02496</t>
        </is>
      </c>
      <c r="B122" t="inlineStr">
        <is>
          <t>Invoice</t>
        </is>
      </c>
      <c r="C122" t="inlineStr">
        <is>
          <t>Ironbark Plan Management</t>
        </is>
      </c>
      <c r="D122" s="5" t="n">
        <v>46239</v>
      </c>
      <c r="E122" s="5" t="n">
        <v>46253</v>
      </c>
      <c r="F122" t="inlineStr">
        <is>
          <t>AUD</t>
        </is>
      </c>
      <c r="G122" s="9" t="n">
        <v>387.98</v>
      </c>
      <c r="H122" s="9" t="n">
        <v>0</v>
      </c>
      <c r="I122" s="9" t="n">
        <v>387.98</v>
      </c>
      <c r="J122" s="9">
        <f>ROUND(1*SUMIFS('Allocations'!$C$5:$C$222,'Allocations'!$B$5:$B$222,A122),2)</f>
        <v>387.98</v>
      </c>
      <c r="K122" s="9">
        <f>ROUND(I122-J122,2)</f>
        <v>0</v>
      </c>
      <c r="L122">
        <f>MAX(0,DATE(2026,9,30)-E122)</f>
        <v>42</v>
      </c>
      <c r="M122">
        <f>IF(K122&lt;-0.005,"Credit balance: check for double payment",IF(AND(K122&gt;0.005,L122&gt;60),"Over 60 days overdue",""))</f>
      </c>
    </row>
    <row r="123">
      <c r="A123" t="inlineStr">
        <is>
          <t>INV/2026/02497</t>
        </is>
      </c>
      <c r="B123" t="inlineStr">
        <is>
          <t>Invoice</t>
        </is>
      </c>
      <c r="C123" t="inlineStr">
        <is>
          <t>Ironbark Plan Management</t>
        </is>
      </c>
      <c r="D123" s="5" t="n">
        <v>46239</v>
      </c>
      <c r="E123" s="5" t="n">
        <v>46253</v>
      </c>
      <c r="F123" t="inlineStr">
        <is>
          <t>AUD</t>
        </is>
      </c>
      <c r="G123" s="9" t="n">
        <v>193.99</v>
      </c>
      <c r="H123" s="9" t="n">
        <v>0</v>
      </c>
      <c r="I123" s="9" t="n">
        <v>193.99</v>
      </c>
      <c r="J123" s="9">
        <f>ROUND(1*SUMIFS('Allocations'!$C$5:$C$222,'Allocations'!$B$5:$B$222,A123),2)</f>
        <v>193.99</v>
      </c>
      <c r="K123" s="9">
        <f>ROUND(I123-J123,2)</f>
        <v>0</v>
      </c>
      <c r="L123">
        <f>MAX(0,DATE(2026,9,30)-E123)</f>
        <v>42</v>
      </c>
      <c r="M123">
        <f>IF(K123&lt;-0.005,"Credit balance: check for double payment",IF(AND(K123&gt;0.005,L123&gt;60),"Over 60 days overdue",""))</f>
      </c>
    </row>
    <row r="124">
      <c r="A124" t="inlineStr">
        <is>
          <t>INV/2026/02517</t>
        </is>
      </c>
      <c r="B124" t="inlineStr">
        <is>
          <t>Invoice</t>
        </is>
      </c>
      <c r="C124" t="inlineStr">
        <is>
          <t>Wattle Plan Services</t>
        </is>
      </c>
      <c r="D124" s="5" t="n">
        <v>46240</v>
      </c>
      <c r="E124" s="5" t="n">
        <v>46254</v>
      </c>
      <c r="F124" t="inlineStr">
        <is>
          <t>AUD</t>
        </is>
      </c>
      <c r="G124" s="9" t="n">
        <v>252.19</v>
      </c>
      <c r="H124" s="9" t="n">
        <v>0</v>
      </c>
      <c r="I124" s="9" t="n">
        <v>252.19</v>
      </c>
      <c r="J124" s="9">
        <f>ROUND(1*SUMIFS('Allocations'!$C$5:$C$222,'Allocations'!$B$5:$B$222,A124),2)</f>
        <v>252.19</v>
      </c>
      <c r="K124" s="9">
        <f>ROUND(I124-J124,2)</f>
        <v>0</v>
      </c>
      <c r="L124">
        <f>MAX(0,DATE(2026,9,30)-E124)</f>
        <v>41</v>
      </c>
      <c r="M124">
        <f>IF(K124&lt;-0.005,"Credit balance: check for double payment",IF(AND(K124&gt;0.005,L124&gt;60),"Over 60 days overdue",""))</f>
      </c>
    </row>
    <row r="125">
      <c r="A125" t="inlineStr">
        <is>
          <t>INV/2026/02518</t>
        </is>
      </c>
      <c r="B125" t="inlineStr">
        <is>
          <t>Invoice</t>
        </is>
      </c>
      <c r="C125" t="inlineStr">
        <is>
          <t>Wattle Plan Services</t>
        </is>
      </c>
      <c r="D125" s="5" t="n">
        <v>46240</v>
      </c>
      <c r="E125" s="5" t="n">
        <v>46254</v>
      </c>
      <c r="F125" t="inlineStr">
        <is>
          <t>AUD</t>
        </is>
      </c>
      <c r="G125" s="9" t="n">
        <v>387.98</v>
      </c>
      <c r="H125" s="9" t="n">
        <v>0</v>
      </c>
      <c r="I125" s="9" t="n">
        <v>387.98</v>
      </c>
      <c r="J125" s="9">
        <f>ROUND(1*SUMIFS('Allocations'!$C$5:$C$222,'Allocations'!$B$5:$B$222,A125),2)</f>
        <v>387.98</v>
      </c>
      <c r="K125" s="9">
        <f>ROUND(I125-J125,2)</f>
        <v>0</v>
      </c>
      <c r="L125">
        <f>MAX(0,DATE(2026,9,30)-E125)</f>
        <v>41</v>
      </c>
      <c r="M125">
        <f>IF(K125&lt;-0.005,"Credit balance: check for double payment",IF(AND(K125&gt;0.005,L125&gt;60),"Over 60 days overdue",""))</f>
      </c>
    </row>
    <row r="126">
      <c r="A126" t="inlineStr">
        <is>
          <t>INV/2026/02523</t>
        </is>
      </c>
      <c r="B126" t="inlineStr">
        <is>
          <t>Invoice</t>
        </is>
      </c>
      <c r="C126" t="inlineStr">
        <is>
          <t>Redgum Plan Admin</t>
        </is>
      </c>
      <c r="D126" s="5" t="n">
        <v>46240</v>
      </c>
      <c r="E126" s="5" t="n">
        <v>46254</v>
      </c>
      <c r="F126" t="inlineStr">
        <is>
          <t>AUD</t>
        </is>
      </c>
      <c r="G126" s="9" t="n">
        <v>290.98</v>
      </c>
      <c r="H126" s="9" t="n">
        <v>0</v>
      </c>
      <c r="I126" s="9" t="n">
        <v>290.98</v>
      </c>
      <c r="J126" s="9">
        <f>ROUND(1*SUMIFS('Allocations'!$C$5:$C$222,'Allocations'!$B$5:$B$222,A126),2)</f>
        <v>290.98</v>
      </c>
      <c r="K126" s="9">
        <f>ROUND(I126-J126,2)</f>
        <v>0</v>
      </c>
      <c r="L126">
        <f>MAX(0,DATE(2026,9,30)-E126)</f>
        <v>41</v>
      </c>
      <c r="M126">
        <f>IF(K126&lt;-0.005,"Credit balance: check for double payment",IF(AND(K126&gt;0.005,L126&gt;60),"Over 60 days overdue",""))</f>
      </c>
    </row>
    <row r="127">
      <c r="A127" t="inlineStr">
        <is>
          <t>INV/2026/02524</t>
        </is>
      </c>
      <c r="B127" t="inlineStr">
        <is>
          <t>Invoice</t>
        </is>
      </c>
      <c r="C127" t="inlineStr">
        <is>
          <t>Redgum Plan Admin</t>
        </is>
      </c>
      <c r="D127" s="5" t="n">
        <v>46240</v>
      </c>
      <c r="E127" s="5" t="n">
        <v>46254</v>
      </c>
      <c r="F127" t="inlineStr">
        <is>
          <t>AUD</t>
        </is>
      </c>
      <c r="G127" s="9" t="n">
        <v>349.18</v>
      </c>
      <c r="H127" s="9" t="n">
        <v>0</v>
      </c>
      <c r="I127" s="9" t="n">
        <v>349.18</v>
      </c>
      <c r="J127" s="9">
        <f>ROUND(1*SUMIFS('Allocations'!$C$5:$C$222,'Allocations'!$B$5:$B$222,A127),2)</f>
        <v>349.18</v>
      </c>
      <c r="K127" s="9">
        <f>ROUND(I127-J127,2)</f>
        <v>0</v>
      </c>
      <c r="L127">
        <f>MAX(0,DATE(2026,9,30)-E127)</f>
        <v>41</v>
      </c>
      <c r="M127">
        <f>IF(K127&lt;-0.005,"Credit balance: check for double payment",IF(AND(K127&gt;0.005,L127&gt;60),"Over 60 days overdue",""))</f>
      </c>
    </row>
    <row r="128">
      <c r="A128" t="inlineStr">
        <is>
          <t>INV/2026/02535</t>
        </is>
      </c>
      <c r="B128" t="inlineStr">
        <is>
          <t>Invoice</t>
        </is>
      </c>
      <c r="C128" t="inlineStr">
        <is>
          <t>Bluegum Plan Management</t>
        </is>
      </c>
      <c r="D128" s="5" t="n">
        <v>46241</v>
      </c>
      <c r="E128" s="5" t="n">
        <v>46255</v>
      </c>
      <c r="F128" t="inlineStr">
        <is>
          <t>AUD</t>
        </is>
      </c>
      <c r="G128" s="9" t="n">
        <v>417.98</v>
      </c>
      <c r="H128" s="9" t="n">
        <v>0</v>
      </c>
      <c r="I128" s="9" t="n">
        <v>417.98</v>
      </c>
      <c r="J128" s="9">
        <f>ROUND(1*SUMIFS('Allocations'!$C$5:$C$222,'Allocations'!$B$5:$B$222,A128),2)</f>
        <v>417.98</v>
      </c>
      <c r="K128" s="9">
        <f>ROUND(I128-J128,2)</f>
        <v>0</v>
      </c>
      <c r="L128">
        <f>MAX(0,DATE(2026,9,30)-E128)</f>
        <v>40</v>
      </c>
      <c r="M128">
        <f>IF(K128&lt;-0.005,"Credit balance: check for double payment",IF(AND(K128&gt;0.005,L128&gt;60),"Over 60 days overdue",""))</f>
      </c>
    </row>
    <row r="129">
      <c r="A129" t="inlineStr">
        <is>
          <t>INV/2026/02536</t>
        </is>
      </c>
      <c r="B129" t="inlineStr">
        <is>
          <t>Invoice</t>
        </is>
      </c>
      <c r="C129" t="inlineStr">
        <is>
          <t>Bluegum Plan Management</t>
        </is>
      </c>
      <c r="D129" s="5" t="n">
        <v>46241</v>
      </c>
      <c r="E129" s="5" t="n">
        <v>46255</v>
      </c>
      <c r="F129" t="inlineStr">
        <is>
          <t>AUD</t>
        </is>
      </c>
      <c r="G129" s="9" t="n">
        <v>145.49</v>
      </c>
      <c r="H129" s="9" t="n">
        <v>0</v>
      </c>
      <c r="I129" s="9" t="n">
        <v>145.49</v>
      </c>
      <c r="J129" s="9">
        <f>ROUND(1*SUMIFS('Allocations'!$C$5:$C$222,'Allocations'!$B$5:$B$222,A129),2)</f>
        <v>145.49</v>
      </c>
      <c r="K129" s="9">
        <f>ROUND(I129-J129,2)</f>
        <v>0</v>
      </c>
      <c r="L129">
        <f>MAX(0,DATE(2026,9,30)-E129)</f>
        <v>40</v>
      </c>
      <c r="M129">
        <f>IF(K129&lt;-0.005,"Credit balance: check for double payment",IF(AND(K129&gt;0.005,L129&gt;60),"Over 60 days overdue",""))</f>
      </c>
    </row>
    <row r="130">
      <c r="A130" t="inlineStr">
        <is>
          <t>INV/2026/02551</t>
        </is>
      </c>
      <c r="B130" t="inlineStr">
        <is>
          <t>Invoice</t>
        </is>
      </c>
      <c r="C130" t="inlineStr">
        <is>
          <t>Redgum Plan Admin</t>
        </is>
      </c>
      <c r="D130" s="5" t="n">
        <v>46241</v>
      </c>
      <c r="E130" s="5" t="n">
        <v>46255</v>
      </c>
      <c r="F130" t="inlineStr">
        <is>
          <t>AUD</t>
        </is>
      </c>
      <c r="G130" s="9" t="n">
        <v>145.49</v>
      </c>
      <c r="H130" s="9" t="n">
        <v>0</v>
      </c>
      <c r="I130" s="9" t="n">
        <v>145.49</v>
      </c>
      <c r="J130" s="9">
        <f>ROUND(1*SUMIFS('Allocations'!$C$5:$C$222,'Allocations'!$B$5:$B$222,A130),2)</f>
        <v>145.49</v>
      </c>
      <c r="K130" s="9">
        <f>ROUND(I130-J130,2)</f>
        <v>0</v>
      </c>
      <c r="L130">
        <f>MAX(0,DATE(2026,9,30)-E130)</f>
        <v>40</v>
      </c>
      <c r="M130">
        <f>IF(K130&lt;-0.005,"Credit balance: check for double payment",IF(AND(K130&gt;0.005,L130&gt;60),"Over 60 days overdue",""))</f>
      </c>
    </row>
    <row r="131">
      <c r="A131" t="inlineStr">
        <is>
          <t>INV/2026/02552</t>
        </is>
      </c>
      <c r="B131" t="inlineStr">
        <is>
          <t>Invoice</t>
        </is>
      </c>
      <c r="C131" t="inlineStr">
        <is>
          <t>Redgum Plan Admin</t>
        </is>
      </c>
      <c r="D131" s="5" t="n">
        <v>46241</v>
      </c>
      <c r="E131" s="5" t="n">
        <v>46255</v>
      </c>
      <c r="F131" t="inlineStr">
        <is>
          <t>AUD</t>
        </is>
      </c>
      <c r="G131" s="9" t="n">
        <v>387.98</v>
      </c>
      <c r="H131" s="9" t="n">
        <v>0</v>
      </c>
      <c r="I131" s="9" t="n">
        <v>387.98</v>
      </c>
      <c r="J131" s="9">
        <f>ROUND(1*SUMIFS('Allocations'!$C$5:$C$222,'Allocations'!$B$5:$B$222,A131),2)</f>
        <v>387.98</v>
      </c>
      <c r="K131" s="9">
        <f>ROUND(I131-J131,2)</f>
        <v>0</v>
      </c>
      <c r="L131">
        <f>MAX(0,DATE(2026,9,30)-E131)</f>
        <v>40</v>
      </c>
      <c r="M131">
        <f>IF(K131&lt;-0.005,"Credit balance: check for double payment",IF(AND(K131&gt;0.005,L131&gt;60),"Over 60 days overdue",""))</f>
      </c>
    </row>
    <row r="132">
      <c r="A132" t="inlineStr">
        <is>
          <t>INV/2026/02553</t>
        </is>
      </c>
      <c r="B132" t="inlineStr">
        <is>
          <t>Invoice</t>
        </is>
      </c>
      <c r="C132" t="inlineStr">
        <is>
          <t>Redgum Plan Admin</t>
        </is>
      </c>
      <c r="D132" s="5" t="n">
        <v>46241</v>
      </c>
      <c r="E132" s="5" t="n">
        <v>46255</v>
      </c>
      <c r="F132" t="inlineStr">
        <is>
          <t>AUD</t>
        </is>
      </c>
      <c r="G132" s="9" t="n">
        <v>193.99</v>
      </c>
      <c r="H132" s="9" t="n">
        <v>0</v>
      </c>
      <c r="I132" s="9" t="n">
        <v>193.99</v>
      </c>
      <c r="J132" s="9">
        <f>ROUND(1*SUMIFS('Allocations'!$C$5:$C$222,'Allocations'!$B$5:$B$222,A132),2)</f>
        <v>193.99</v>
      </c>
      <c r="K132" s="9">
        <f>ROUND(I132-J132,2)</f>
        <v>0</v>
      </c>
      <c r="L132">
        <f>MAX(0,DATE(2026,9,30)-E132)</f>
        <v>40</v>
      </c>
      <c r="M132">
        <f>IF(K132&lt;-0.005,"Credit balance: check for double payment",IF(AND(K132&gt;0.005,L132&gt;60),"Over 60 days overdue",""))</f>
      </c>
    </row>
    <row r="133">
      <c r="A133" t="inlineStr">
        <is>
          <t>INV/2026/02569</t>
        </is>
      </c>
      <c r="B133" t="inlineStr">
        <is>
          <t>Invoice</t>
        </is>
      </c>
      <c r="C133" t="inlineStr">
        <is>
          <t>Redgum Plan Admin</t>
        </is>
      </c>
      <c r="D133" s="5" t="n">
        <v>46244</v>
      </c>
      <c r="E133" s="5" t="n">
        <v>46258</v>
      </c>
      <c r="F133" t="inlineStr">
        <is>
          <t>AUD</t>
        </is>
      </c>
      <c r="G133" s="9" t="n">
        <v>300.69</v>
      </c>
      <c r="H133" s="9" t="n">
        <v>0</v>
      </c>
      <c r="I133" s="9" t="n">
        <v>300.69</v>
      </c>
      <c r="J133" s="9">
        <f>ROUND(1*SUMIFS('Allocations'!$C$5:$C$222,'Allocations'!$B$5:$B$222,A133),2)</f>
        <v>300.69</v>
      </c>
      <c r="K133" s="9">
        <f>ROUND(I133-J133,2)</f>
        <v>0</v>
      </c>
      <c r="L133">
        <f>MAX(0,DATE(2026,9,30)-E133)</f>
        <v>37</v>
      </c>
      <c r="M133">
        <f>IF(K133&lt;-0.005,"Credit balance: check for double payment",IF(AND(K133&gt;0.005,L133&gt;60),"Over 60 days overdue",""))</f>
      </c>
    </row>
    <row r="134">
      <c r="A134" t="inlineStr">
        <is>
          <t>INV/2026/02571</t>
        </is>
      </c>
      <c r="B134" t="inlineStr">
        <is>
          <t>Invoice</t>
        </is>
      </c>
      <c r="C134" t="inlineStr">
        <is>
          <t>Lyrebird Plan Management</t>
        </is>
      </c>
      <c r="D134" s="5" t="n">
        <v>46244</v>
      </c>
      <c r="E134" s="5" t="n">
        <v>46258</v>
      </c>
      <c r="F134" t="inlineStr">
        <is>
          <t>AUD</t>
        </is>
      </c>
      <c r="G134" s="9" t="n">
        <v>96.98999999999999</v>
      </c>
      <c r="H134" s="9" t="n">
        <v>0</v>
      </c>
      <c r="I134" s="9" t="n">
        <v>96.98999999999999</v>
      </c>
      <c r="J134" s="9">
        <f>ROUND(1*SUMIFS('Allocations'!$C$5:$C$222,'Allocations'!$B$5:$B$222,A134),2)</f>
        <v>96.99</v>
      </c>
      <c r="K134" s="9">
        <f>ROUND(I134-J134,2)</f>
        <v>0</v>
      </c>
      <c r="L134">
        <f>MAX(0,DATE(2026,9,30)-E134)</f>
        <v>37</v>
      </c>
      <c r="M134">
        <f>IF(K134&lt;-0.005,"Credit balance: check for double payment",IF(AND(K134&gt;0.005,L134&gt;60),"Over 60 days overdue",""))</f>
      </c>
    </row>
    <row r="135">
      <c r="A135" t="inlineStr">
        <is>
          <t>INV/2026/02572</t>
        </is>
      </c>
      <c r="B135" t="inlineStr">
        <is>
          <t>Invoice</t>
        </is>
      </c>
      <c r="C135" t="inlineStr">
        <is>
          <t>Lyrebird Plan Management</t>
        </is>
      </c>
      <c r="D135" s="5" t="n">
        <v>46244</v>
      </c>
      <c r="E135" s="5" t="n">
        <v>46258</v>
      </c>
      <c r="F135" t="inlineStr">
        <is>
          <t>AUD</t>
        </is>
      </c>
      <c r="G135" s="9" t="n">
        <v>223.99</v>
      </c>
      <c r="H135" s="9" t="n">
        <v>0</v>
      </c>
      <c r="I135" s="9" t="n">
        <v>223.99</v>
      </c>
      <c r="J135" s="9">
        <f>ROUND(1*SUMIFS('Allocations'!$C$5:$C$222,'Allocations'!$B$5:$B$222,A135),2)</f>
        <v>223.99</v>
      </c>
      <c r="K135" s="9">
        <f>ROUND(I135-J135,2)</f>
        <v>0</v>
      </c>
      <c r="L135">
        <f>MAX(0,DATE(2026,9,30)-E135)</f>
        <v>37</v>
      </c>
      <c r="M135">
        <f>IF(K135&lt;-0.005,"Credit balance: check for double payment",IF(AND(K135&gt;0.005,L135&gt;60),"Over 60 days overdue",""))</f>
      </c>
    </row>
    <row r="136">
      <c r="A136" t="inlineStr">
        <is>
          <t>INV/2026/02656</t>
        </is>
      </c>
      <c r="B136" t="inlineStr">
        <is>
          <t>Invoice</t>
        </is>
      </c>
      <c r="C136" t="inlineStr">
        <is>
          <t>Pinnacle Claims Services</t>
        </is>
      </c>
      <c r="D136" s="5" t="n">
        <v>46247</v>
      </c>
      <c r="E136" s="5" t="n">
        <v>46261</v>
      </c>
      <c r="F136" t="inlineStr">
        <is>
          <t>AUD</t>
        </is>
      </c>
      <c r="G136" s="9" t="n">
        <v>412.5</v>
      </c>
      <c r="H136" s="9" t="n">
        <v>0</v>
      </c>
      <c r="I136" s="9" t="n">
        <v>412.5</v>
      </c>
      <c r="J136" s="9">
        <f>ROUND(1*SUMIFS('Allocations'!$C$5:$C$222,'Allocations'!$B$5:$B$222,A136),2)</f>
        <v>412.5</v>
      </c>
      <c r="K136" s="9">
        <f>ROUND(I136-J136,2)</f>
        <v>0</v>
      </c>
      <c r="L136">
        <f>MAX(0,DATE(2026,9,30)-E136)</f>
        <v>34</v>
      </c>
      <c r="M136">
        <f>IF(K136&lt;-0.005,"Credit balance: check for double payment",IF(AND(K136&gt;0.005,L136&gt;60),"Over 60 days overdue",""))</f>
      </c>
    </row>
    <row r="137">
      <c r="A137" t="inlineStr">
        <is>
          <t>INV/2026/02685</t>
        </is>
      </c>
      <c r="B137" t="inlineStr">
        <is>
          <t>Invoice</t>
        </is>
      </c>
      <c r="C137" t="inlineStr">
        <is>
          <t>Bluegum Plan Management</t>
        </is>
      </c>
      <c r="D137" s="5" t="n">
        <v>46251</v>
      </c>
      <c r="E137" s="5" t="n">
        <v>46265</v>
      </c>
      <c r="F137" t="inlineStr">
        <is>
          <t>AUD</t>
        </is>
      </c>
      <c r="G137" s="9" t="n">
        <v>126.99</v>
      </c>
      <c r="H137" s="9" t="n">
        <v>0</v>
      </c>
      <c r="I137" s="9" t="n">
        <v>126.99</v>
      </c>
      <c r="J137" s="9">
        <f>ROUND(1*SUMIFS('Allocations'!$C$5:$C$222,'Allocations'!$B$5:$B$222,A137),2)</f>
        <v>126.99</v>
      </c>
      <c r="K137" s="9">
        <f>ROUND(I137-J137,2)</f>
        <v>0</v>
      </c>
      <c r="L137">
        <f>MAX(0,DATE(2026,9,30)-E137)</f>
        <v>30</v>
      </c>
      <c r="M137">
        <f>IF(K137&lt;-0.005,"Credit balance: check for double payment",IF(AND(K137&gt;0.005,L137&gt;60),"Over 60 days overdue",""))</f>
      </c>
    </row>
    <row r="138">
      <c r="A138" t="inlineStr">
        <is>
          <t>INV/2026/02686</t>
        </is>
      </c>
      <c r="B138" t="inlineStr">
        <is>
          <t>Invoice</t>
        </is>
      </c>
      <c r="C138" t="inlineStr">
        <is>
          <t>Bluegum Plan Management</t>
        </is>
      </c>
      <c r="D138" s="5" t="n">
        <v>46251</v>
      </c>
      <c r="E138" s="5" t="n">
        <v>46265</v>
      </c>
      <c r="F138" t="inlineStr">
        <is>
          <t>AUD</t>
        </is>
      </c>
      <c r="G138" s="9" t="n">
        <v>417.98</v>
      </c>
      <c r="H138" s="9" t="n">
        <v>0</v>
      </c>
      <c r="I138" s="9" t="n">
        <v>417.98</v>
      </c>
      <c r="J138" s="9">
        <f>ROUND(1*SUMIFS('Allocations'!$C$5:$C$222,'Allocations'!$B$5:$B$222,A138),2)</f>
        <v>417.98</v>
      </c>
      <c r="K138" s="9">
        <f>ROUND(I138-J138,2)</f>
        <v>0</v>
      </c>
      <c r="L138">
        <f>MAX(0,DATE(2026,9,30)-E138)</f>
        <v>30</v>
      </c>
      <c r="M138">
        <f>IF(K138&lt;-0.005,"Credit balance: check for double payment",IF(AND(K138&gt;0.005,L138&gt;60),"Over 60 days overdue",""))</f>
      </c>
    </row>
    <row r="139">
      <c r="A139" t="inlineStr">
        <is>
          <t>INV/2026/02687</t>
        </is>
      </c>
      <c r="B139" t="inlineStr">
        <is>
          <t>Invoice</t>
        </is>
      </c>
      <c r="C139" t="inlineStr">
        <is>
          <t>Bluegum Plan Management</t>
        </is>
      </c>
      <c r="D139" s="5" t="n">
        <v>46251</v>
      </c>
      <c r="E139" s="5" t="n">
        <v>46265</v>
      </c>
      <c r="F139" t="inlineStr">
        <is>
          <t>AUD</t>
        </is>
      </c>
      <c r="G139" s="9" t="n">
        <v>193.99</v>
      </c>
      <c r="H139" s="9" t="n">
        <v>0</v>
      </c>
      <c r="I139" s="9" t="n">
        <v>193.99</v>
      </c>
      <c r="J139" s="9">
        <f>ROUND(1*SUMIFS('Allocations'!$C$5:$C$222,'Allocations'!$B$5:$B$222,A139),2)</f>
        <v>193.99</v>
      </c>
      <c r="K139" s="9">
        <f>ROUND(I139-J139,2)</f>
        <v>0</v>
      </c>
      <c r="L139">
        <f>MAX(0,DATE(2026,9,30)-E139)</f>
        <v>30</v>
      </c>
      <c r="M139">
        <f>IF(K139&lt;-0.005,"Credit balance: check for double payment",IF(AND(K139&gt;0.005,L139&gt;60),"Over 60 days overdue",""))</f>
      </c>
    </row>
    <row r="140">
      <c r="A140" t="inlineStr">
        <is>
          <t>INV/2026/02693</t>
        </is>
      </c>
      <c r="B140" t="inlineStr">
        <is>
          <t>Invoice</t>
        </is>
      </c>
      <c r="C140" t="inlineStr">
        <is>
          <t>Banksia Plan Co</t>
        </is>
      </c>
      <c r="D140" s="5" t="n">
        <v>46251</v>
      </c>
      <c r="E140" s="5" t="n">
        <v>46265</v>
      </c>
      <c r="F140" t="inlineStr">
        <is>
          <t>AUD</t>
        </is>
      </c>
      <c r="G140" s="9" t="n">
        <v>126.99</v>
      </c>
      <c r="H140" s="9" t="n">
        <v>0</v>
      </c>
      <c r="I140" s="9" t="n">
        <v>126.99</v>
      </c>
      <c r="J140" s="9">
        <f>ROUND(1*SUMIFS('Allocations'!$C$5:$C$222,'Allocations'!$B$5:$B$222,A140),2)</f>
        <v>126.99</v>
      </c>
      <c r="K140" s="9">
        <f>ROUND(I140-J140,2)</f>
        <v>0</v>
      </c>
      <c r="L140">
        <f>MAX(0,DATE(2026,9,30)-E140)</f>
        <v>30</v>
      </c>
      <c r="M140">
        <f>IF(K140&lt;-0.005,"Credit balance: check for double payment",IF(AND(K140&gt;0.005,L140&gt;60),"Over 60 days overdue",""))</f>
      </c>
    </row>
    <row r="141">
      <c r="A141" t="inlineStr">
        <is>
          <t>INV/2026/02710</t>
        </is>
      </c>
      <c r="B141" t="inlineStr">
        <is>
          <t>Invoice</t>
        </is>
      </c>
      <c r="C141" t="inlineStr">
        <is>
          <t>Bluegum Plan Management</t>
        </is>
      </c>
      <c r="D141" s="5" t="n">
        <v>46252</v>
      </c>
      <c r="E141" s="5" t="n">
        <v>46266</v>
      </c>
      <c r="F141" t="inlineStr">
        <is>
          <t>AUD</t>
        </is>
      </c>
      <c r="G141" s="9" t="n">
        <v>290.98</v>
      </c>
      <c r="H141" s="9" t="n">
        <v>0</v>
      </c>
      <c r="I141" s="9" t="n">
        <v>290.98</v>
      </c>
      <c r="J141" s="9">
        <f>ROUND(1*SUMIFS('Allocations'!$C$5:$C$222,'Allocations'!$B$5:$B$222,A141),2)</f>
        <v>290.98</v>
      </c>
      <c r="K141" s="9">
        <f>ROUND(I141-J141,2)</f>
        <v>0</v>
      </c>
      <c r="L141">
        <f>MAX(0,DATE(2026,9,30)-E141)</f>
        <v>29</v>
      </c>
      <c r="M141">
        <f>IF(K141&lt;-0.005,"Credit balance: check for double payment",IF(AND(K141&gt;0.005,L141&gt;60),"Over 60 days overdue",""))</f>
      </c>
    </row>
    <row r="142">
      <c r="A142" t="inlineStr">
        <is>
          <t>INV/2026/02711</t>
        </is>
      </c>
      <c r="B142" t="inlineStr">
        <is>
          <t>Invoice</t>
        </is>
      </c>
      <c r="C142" t="inlineStr">
        <is>
          <t>Bluegum Plan Management</t>
        </is>
      </c>
      <c r="D142" s="5" t="n">
        <v>46252</v>
      </c>
      <c r="E142" s="5" t="n">
        <v>46266</v>
      </c>
      <c r="F142" t="inlineStr">
        <is>
          <t>AUD</t>
        </is>
      </c>
      <c r="G142" s="9" t="n">
        <v>145.49</v>
      </c>
      <c r="H142" s="9" t="n">
        <v>0</v>
      </c>
      <c r="I142" s="9" t="n">
        <v>145.49</v>
      </c>
      <c r="J142" s="9">
        <f>ROUND(1*SUMIFS('Allocations'!$C$5:$C$222,'Allocations'!$B$5:$B$222,A142),2)</f>
        <v>145.49</v>
      </c>
      <c r="K142" s="9">
        <f>ROUND(I142-J142,2)</f>
        <v>0</v>
      </c>
      <c r="L142">
        <f>MAX(0,DATE(2026,9,30)-E142)</f>
        <v>29</v>
      </c>
      <c r="M142">
        <f>IF(K142&lt;-0.005,"Credit balance: check for double payment",IF(AND(K142&gt;0.005,L142&gt;60),"Over 60 days overdue",""))</f>
      </c>
    </row>
    <row r="143">
      <c r="A143" t="inlineStr">
        <is>
          <t>INV/2026/02712</t>
        </is>
      </c>
      <c r="B143" t="inlineStr">
        <is>
          <t>Invoice</t>
        </is>
      </c>
      <c r="C143" t="inlineStr">
        <is>
          <t>Bluegum Plan Management</t>
        </is>
      </c>
      <c r="D143" s="5" t="n">
        <v>46252</v>
      </c>
      <c r="E143" s="5" t="n">
        <v>46266</v>
      </c>
      <c r="F143" t="inlineStr">
        <is>
          <t>AUD</t>
        </is>
      </c>
      <c r="G143" s="9" t="n">
        <v>290.98</v>
      </c>
      <c r="H143" s="9" t="n">
        <v>0</v>
      </c>
      <c r="I143" s="9" t="n">
        <v>290.98</v>
      </c>
      <c r="J143" s="9">
        <f>ROUND(1*SUMIFS('Allocations'!$C$5:$C$222,'Allocations'!$B$5:$B$222,A143),2)</f>
        <v>290.98</v>
      </c>
      <c r="K143" s="9">
        <f>ROUND(I143-J143,2)</f>
        <v>0</v>
      </c>
      <c r="L143">
        <f>MAX(0,DATE(2026,9,30)-E143)</f>
        <v>29</v>
      </c>
      <c r="M143">
        <f>IF(K143&lt;-0.005,"Credit balance: check for double payment",IF(AND(K143&gt;0.005,L143&gt;60),"Over 60 days overdue",""))</f>
      </c>
    </row>
    <row r="144">
      <c r="A144" t="inlineStr">
        <is>
          <t>INV/2026/02735</t>
        </is>
      </c>
      <c r="B144" t="inlineStr">
        <is>
          <t>Invoice</t>
        </is>
      </c>
      <c r="C144" t="inlineStr">
        <is>
          <t>Unity Workcover Agents</t>
        </is>
      </c>
      <c r="D144" s="5" t="n">
        <v>46252</v>
      </c>
      <c r="E144" s="5" t="n">
        <v>46266</v>
      </c>
      <c r="F144" t="inlineStr">
        <is>
          <t>AUD</t>
        </is>
      </c>
      <c r="G144" s="9" t="n">
        <v>412.5</v>
      </c>
      <c r="H144" s="9" t="n">
        <v>0</v>
      </c>
      <c r="I144" s="9" t="n">
        <v>412.5</v>
      </c>
      <c r="J144" s="9">
        <f>ROUND(1*SUMIFS('Allocations'!$C$5:$C$222,'Allocations'!$B$5:$B$222,A144),2)</f>
        <v>412.5</v>
      </c>
      <c r="K144" s="9">
        <f>ROUND(I144-J144,2)</f>
        <v>0</v>
      </c>
      <c r="L144">
        <f>MAX(0,DATE(2026,9,30)-E144)</f>
        <v>29</v>
      </c>
      <c r="M144">
        <f>IF(K144&lt;-0.005,"Credit balance: check for double payment",IF(AND(K144&gt;0.005,L144&gt;60),"Over 60 days overdue",""))</f>
      </c>
    </row>
    <row r="145">
      <c r="A145" t="inlineStr">
        <is>
          <t>INV/2026/02737</t>
        </is>
      </c>
      <c r="B145" t="inlineStr">
        <is>
          <t>Invoice</t>
        </is>
      </c>
      <c r="C145" t="inlineStr">
        <is>
          <t>Bluegum Plan Management</t>
        </is>
      </c>
      <c r="D145" s="5" t="n">
        <v>46253</v>
      </c>
      <c r="E145" s="5" t="n">
        <v>46267</v>
      </c>
      <c r="F145" t="inlineStr">
        <is>
          <t>AUD</t>
        </is>
      </c>
      <c r="G145" s="9" t="n">
        <v>252.19</v>
      </c>
      <c r="H145" s="9" t="n">
        <v>0</v>
      </c>
      <c r="I145" s="9" t="n">
        <v>252.19</v>
      </c>
      <c r="J145" s="9">
        <f>ROUND(1*SUMIFS('Allocations'!$C$5:$C$222,'Allocations'!$B$5:$B$222,A145),2)</f>
        <v>252.19</v>
      </c>
      <c r="K145" s="9">
        <f>ROUND(I145-J145,2)</f>
        <v>0</v>
      </c>
      <c r="L145">
        <f>MAX(0,DATE(2026,9,30)-E145)</f>
        <v>28</v>
      </c>
      <c r="M145">
        <f>IF(K145&lt;-0.005,"Credit balance: check for double payment",IF(AND(K145&gt;0.005,L145&gt;60),"Over 60 days overdue",""))</f>
      </c>
    </row>
    <row r="146">
      <c r="A146" t="inlineStr">
        <is>
          <t>INV/2026/02738</t>
        </is>
      </c>
      <c r="B146" t="inlineStr">
        <is>
          <t>Invoice</t>
        </is>
      </c>
      <c r="C146" t="inlineStr">
        <is>
          <t>Bluegum Plan Management</t>
        </is>
      </c>
      <c r="D146" s="5" t="n">
        <v>46253</v>
      </c>
      <c r="E146" s="5" t="n">
        <v>46267</v>
      </c>
      <c r="F146" t="inlineStr">
        <is>
          <t>AUD</t>
        </is>
      </c>
      <c r="G146" s="9" t="n">
        <v>290.98</v>
      </c>
      <c r="H146" s="9" t="n">
        <v>0</v>
      </c>
      <c r="I146" s="9" t="n">
        <v>290.98</v>
      </c>
      <c r="J146" s="9">
        <f>ROUND(1*SUMIFS('Allocations'!$C$5:$C$222,'Allocations'!$B$5:$B$222,A146),2)</f>
        <v>290.98</v>
      </c>
      <c r="K146" s="9">
        <f>ROUND(I146-J146,2)</f>
        <v>0</v>
      </c>
      <c r="L146">
        <f>MAX(0,DATE(2026,9,30)-E146)</f>
        <v>28</v>
      </c>
      <c r="M146">
        <f>IF(K146&lt;-0.005,"Credit balance: check for double payment",IF(AND(K146&gt;0.005,L146&gt;60),"Over 60 days overdue",""))</f>
      </c>
    </row>
    <row r="147">
      <c r="A147" t="inlineStr">
        <is>
          <t>INV/2026/02754</t>
        </is>
      </c>
      <c r="B147" t="inlineStr">
        <is>
          <t>Invoice</t>
        </is>
      </c>
      <c r="C147" t="inlineStr">
        <is>
          <t>Bluegum Plan Management</t>
        </is>
      </c>
      <c r="D147" s="5" t="n">
        <v>46254</v>
      </c>
      <c r="E147" s="5" t="n">
        <v>46268</v>
      </c>
      <c r="F147" t="inlineStr">
        <is>
          <t>AUD</t>
        </is>
      </c>
      <c r="G147" s="9" t="n">
        <v>193.99</v>
      </c>
      <c r="H147" s="9" t="n">
        <v>0</v>
      </c>
      <c r="I147" s="9" t="n">
        <v>193.99</v>
      </c>
      <c r="J147" s="9">
        <f>ROUND(1*SUMIFS('Allocations'!$C$5:$C$222,'Allocations'!$B$5:$B$222,A147),2)</f>
        <v>193.99</v>
      </c>
      <c r="K147" s="9">
        <f>ROUND(I147-J147,2)</f>
        <v>0</v>
      </c>
      <c r="L147">
        <f>MAX(0,DATE(2026,9,30)-E147)</f>
        <v>27</v>
      </c>
      <c r="M147">
        <f>IF(K147&lt;-0.005,"Credit balance: check for double payment",IF(AND(K147&gt;0.005,L147&gt;60),"Over 60 days overdue",""))</f>
      </c>
    </row>
    <row r="148">
      <c r="A148" t="inlineStr">
        <is>
          <t>INV/2026/02778</t>
        </is>
      </c>
      <c r="B148" t="inlineStr">
        <is>
          <t>Invoice</t>
        </is>
      </c>
      <c r="C148" t="inlineStr">
        <is>
          <t>Bluegum Plan Management</t>
        </is>
      </c>
      <c r="D148" s="5" t="n">
        <v>46255</v>
      </c>
      <c r="E148" s="5" t="n">
        <v>46269</v>
      </c>
      <c r="F148" t="inlineStr">
        <is>
          <t>AUD</t>
        </is>
      </c>
      <c r="G148" s="9" t="n">
        <v>272.49</v>
      </c>
      <c r="H148" s="9" t="n">
        <v>0</v>
      </c>
      <c r="I148" s="9" t="n">
        <v>272.49</v>
      </c>
      <c r="J148" s="9">
        <f>ROUND(1*SUMIFS('Allocations'!$C$5:$C$222,'Allocations'!$B$5:$B$222,A148),2)</f>
        <v>272.49</v>
      </c>
      <c r="K148" s="9">
        <f>ROUND(I148-J148,2)</f>
        <v>0</v>
      </c>
      <c r="L148">
        <f>MAX(0,DATE(2026,9,30)-E148)</f>
        <v>26</v>
      </c>
      <c r="M148">
        <f>IF(K148&lt;-0.005,"Credit balance: check for double payment",IF(AND(K148&gt;0.005,L148&gt;60),"Over 60 days overdue",""))</f>
      </c>
    </row>
    <row r="149">
      <c r="A149" t="inlineStr">
        <is>
          <t>INV/2026/02796</t>
        </is>
      </c>
      <c r="B149" t="inlineStr">
        <is>
          <t>Invoice</t>
        </is>
      </c>
      <c r="C149" t="inlineStr">
        <is>
          <t>Harbour Mutual Health</t>
        </is>
      </c>
      <c r="D149" s="5" t="n">
        <v>46255</v>
      </c>
      <c r="E149" s="5" t="n">
        <v>46269</v>
      </c>
      <c r="F149" t="inlineStr">
        <is>
          <t>AUD</t>
        </is>
      </c>
      <c r="G149" s="9" t="n">
        <v>990</v>
      </c>
      <c r="H149" s="9" t="n">
        <v>0</v>
      </c>
      <c r="I149" s="9" t="n">
        <v>990</v>
      </c>
      <c r="J149" s="9">
        <f>ROUND(1*SUMIFS('Allocations'!$C$5:$C$222,'Allocations'!$B$5:$B$222,A149),2)</f>
        <v>990</v>
      </c>
      <c r="K149" s="9">
        <f>ROUND(I149-J149,2)</f>
        <v>0</v>
      </c>
      <c r="L149">
        <f>MAX(0,DATE(2026,9,30)-E149)</f>
        <v>26</v>
      </c>
      <c r="M149">
        <f>IF(K149&lt;-0.005,"Credit balance: check for double payment",IF(AND(K149&gt;0.005,L149&gt;60),"Over 60 days overdue",""))</f>
      </c>
    </row>
    <row r="150">
      <c r="A150" t="inlineStr">
        <is>
          <t>INV/2026/02813</t>
        </is>
      </c>
      <c r="B150" t="inlineStr">
        <is>
          <t>Invoice</t>
        </is>
      </c>
      <c r="C150" t="inlineStr">
        <is>
          <t>Southern Cross Plan Mgmt</t>
        </is>
      </c>
      <c r="D150" s="5" t="n">
        <v>46258</v>
      </c>
      <c r="E150" s="5" t="n">
        <v>46272</v>
      </c>
      <c r="F150" t="inlineStr">
        <is>
          <t>AUD</t>
        </is>
      </c>
      <c r="G150" s="9" t="n">
        <v>155.19</v>
      </c>
      <c r="H150" s="9" t="n">
        <v>0</v>
      </c>
      <c r="I150" s="9" t="n">
        <v>155.19</v>
      </c>
      <c r="J150" s="9">
        <f>ROUND(1*SUMIFS('Allocations'!$C$5:$C$222,'Allocations'!$B$5:$B$222,A150),2)</f>
        <v>155.19</v>
      </c>
      <c r="K150" s="9">
        <f>ROUND(I150-J150,2)</f>
        <v>0</v>
      </c>
      <c r="L150">
        <f>MAX(0,DATE(2026,9,30)-E150)</f>
        <v>23</v>
      </c>
      <c r="M150">
        <f>IF(K150&lt;-0.005,"Credit balance: check for double payment",IF(AND(K150&gt;0.005,L150&gt;60),"Over 60 days overdue",""))</f>
      </c>
    </row>
    <row r="151">
      <c r="A151" t="inlineStr">
        <is>
          <t>INV/2026/02834</t>
        </is>
      </c>
      <c r="B151" t="inlineStr">
        <is>
          <t>Invoice</t>
        </is>
      </c>
      <c r="C151" t="inlineStr">
        <is>
          <t>Southern Cross Plan Mgmt</t>
        </is>
      </c>
      <c r="D151" s="5" t="n">
        <v>46259</v>
      </c>
      <c r="E151" s="5" t="n">
        <v>46273</v>
      </c>
      <c r="F151" t="inlineStr">
        <is>
          <t>AUD</t>
        </is>
      </c>
      <c r="G151" s="9" t="n">
        <v>290.98</v>
      </c>
      <c r="H151" s="9" t="n">
        <v>0</v>
      </c>
      <c r="I151" s="9" t="n">
        <v>290.98</v>
      </c>
      <c r="J151" s="9">
        <f>ROUND(1*SUMIFS('Allocations'!$C$5:$C$222,'Allocations'!$B$5:$B$222,A151),2)</f>
        <v>290.98</v>
      </c>
      <c r="K151" s="9">
        <f>ROUND(I151-J151,2)</f>
        <v>0</v>
      </c>
      <c r="L151">
        <f>MAX(0,DATE(2026,9,30)-E151)</f>
        <v>22</v>
      </c>
      <c r="M151">
        <f>IF(K151&lt;-0.005,"Credit balance: check for double payment",IF(AND(K151&gt;0.005,L151&gt;60),"Over 60 days overdue",""))</f>
      </c>
    </row>
    <row r="152">
      <c r="A152" t="inlineStr">
        <is>
          <t>INV/2026/02853</t>
        </is>
      </c>
      <c r="B152" t="inlineStr">
        <is>
          <t>Invoice</t>
        </is>
      </c>
      <c r="C152" t="inlineStr">
        <is>
          <t>Southern Cross Plan Mgmt</t>
        </is>
      </c>
      <c r="D152" s="5" t="n">
        <v>46260</v>
      </c>
      <c r="E152" s="5" t="n">
        <v>46274</v>
      </c>
      <c r="F152" t="inlineStr">
        <is>
          <t>AUD</t>
        </is>
      </c>
      <c r="G152" s="9" t="n">
        <v>126.99</v>
      </c>
      <c r="H152" s="9" t="n">
        <v>0</v>
      </c>
      <c r="I152" s="9" t="n">
        <v>126.99</v>
      </c>
      <c r="J152" s="9">
        <f>ROUND(1*SUMIFS('Allocations'!$C$5:$C$222,'Allocations'!$B$5:$B$222,A152),2)</f>
        <v>126.99</v>
      </c>
      <c r="K152" s="9">
        <f>ROUND(I152-J152,2)</f>
        <v>0</v>
      </c>
      <c r="L152">
        <f>MAX(0,DATE(2026,9,30)-E152)</f>
        <v>21</v>
      </c>
      <c r="M152">
        <f>IF(K152&lt;-0.005,"Credit balance: check for double payment",IF(AND(K152&gt;0.005,L152&gt;60),"Over 60 days overdue",""))</f>
      </c>
    </row>
    <row r="153">
      <c r="A153" t="inlineStr">
        <is>
          <t>INV/2026/02854</t>
        </is>
      </c>
      <c r="B153" t="inlineStr">
        <is>
          <t>Invoice</t>
        </is>
      </c>
      <c r="C153" t="inlineStr">
        <is>
          <t>Southern Cross Plan Mgmt</t>
        </is>
      </c>
      <c r="D153" s="5" t="n">
        <v>46260</v>
      </c>
      <c r="E153" s="5" t="n">
        <v>46274</v>
      </c>
      <c r="F153" t="inlineStr">
        <is>
          <t>AUD</t>
        </is>
      </c>
      <c r="G153" s="9" t="n">
        <v>96.98999999999999</v>
      </c>
      <c r="H153" s="9" t="n">
        <v>0</v>
      </c>
      <c r="I153" s="9" t="n">
        <v>96.98999999999999</v>
      </c>
      <c r="J153" s="9">
        <f>ROUND(1*SUMIFS('Allocations'!$C$5:$C$222,'Allocations'!$B$5:$B$222,A153),2)</f>
        <v>96.99</v>
      </c>
      <c r="K153" s="9">
        <f>ROUND(I153-J153,2)</f>
        <v>0</v>
      </c>
      <c r="L153">
        <f>MAX(0,DATE(2026,9,30)-E153)</f>
        <v>21</v>
      </c>
      <c r="M153">
        <f>IF(K153&lt;-0.005,"Credit balance: check for double payment",IF(AND(K153&gt;0.005,L153&gt;60),"Over 60 days overdue",""))</f>
      </c>
    </row>
    <row r="154">
      <c r="A154" t="inlineStr">
        <is>
          <t>INV/2026/02857</t>
        </is>
      </c>
      <c r="B154" t="inlineStr">
        <is>
          <t>Invoice</t>
        </is>
      </c>
      <c r="C154" t="inlineStr">
        <is>
          <t>Tallowwood Plans</t>
        </is>
      </c>
      <c r="D154" s="5" t="n">
        <v>46260</v>
      </c>
      <c r="E154" s="5" t="n">
        <v>46274</v>
      </c>
      <c r="F154" t="inlineStr">
        <is>
          <t>AUD</t>
        </is>
      </c>
      <c r="G154" s="9" t="n">
        <v>155.19</v>
      </c>
      <c r="H154" s="9" t="n">
        <v>0</v>
      </c>
      <c r="I154" s="9" t="n">
        <v>155.19</v>
      </c>
      <c r="J154" s="9">
        <f>ROUND(1*SUMIFS('Allocations'!$C$5:$C$222,'Allocations'!$B$5:$B$222,A154),2)</f>
        <v>155.19</v>
      </c>
      <c r="K154" s="9">
        <f>ROUND(I154-J154,2)</f>
        <v>0</v>
      </c>
      <c r="L154">
        <f>MAX(0,DATE(2026,9,30)-E154)</f>
        <v>21</v>
      </c>
      <c r="M154">
        <f>IF(K154&lt;-0.005,"Credit balance: check for double payment",IF(AND(K154&gt;0.005,L154&gt;60),"Over 60 days overdue",""))</f>
      </c>
    </row>
    <row r="155">
      <c r="A155" t="inlineStr">
        <is>
          <t>INV/2026/02858</t>
        </is>
      </c>
      <c r="B155" t="inlineStr">
        <is>
          <t>Invoice</t>
        </is>
      </c>
      <c r="C155" t="inlineStr">
        <is>
          <t>Tallowwood Plans</t>
        </is>
      </c>
      <c r="D155" s="5" t="n">
        <v>46260</v>
      </c>
      <c r="E155" s="5" t="n">
        <v>46274</v>
      </c>
      <c r="F155" t="inlineStr">
        <is>
          <t>AUD</t>
        </is>
      </c>
      <c r="G155" s="9" t="n">
        <v>96.98999999999999</v>
      </c>
      <c r="H155" s="9" t="n">
        <v>0</v>
      </c>
      <c r="I155" s="9" t="n">
        <v>96.98999999999999</v>
      </c>
      <c r="J155" s="9">
        <f>ROUND(1*SUMIFS('Allocations'!$C$5:$C$222,'Allocations'!$B$5:$B$222,A155),2)</f>
        <v>96.99</v>
      </c>
      <c r="K155" s="9">
        <f>ROUND(I155-J155,2)</f>
        <v>0</v>
      </c>
      <c r="L155">
        <f>MAX(0,DATE(2026,9,30)-E155)</f>
        <v>21</v>
      </c>
      <c r="M155">
        <f>IF(K155&lt;-0.005,"Credit balance: check for double payment",IF(AND(K155&gt;0.005,L155&gt;60),"Over 60 days overdue",""))</f>
      </c>
    </row>
    <row r="156">
      <c r="A156" t="inlineStr">
        <is>
          <t>INV/2026/02876</t>
        </is>
      </c>
      <c r="B156" t="inlineStr">
        <is>
          <t>Invoice</t>
        </is>
      </c>
      <c r="C156" t="inlineStr">
        <is>
          <t>Southern Cross Plan Mgmt</t>
        </is>
      </c>
      <c r="D156" s="5" t="n">
        <v>46261</v>
      </c>
      <c r="E156" s="5" t="n">
        <v>46275</v>
      </c>
      <c r="F156" t="inlineStr">
        <is>
          <t>AUD</t>
        </is>
      </c>
      <c r="G156" s="9" t="n">
        <v>320.98</v>
      </c>
      <c r="H156" s="9" t="n">
        <v>0</v>
      </c>
      <c r="I156" s="9" t="n">
        <v>320.98</v>
      </c>
      <c r="J156" s="9">
        <f>ROUND(1*SUMIFS('Allocations'!$C$5:$C$222,'Allocations'!$B$5:$B$222,A156),2)</f>
        <v>320.98</v>
      </c>
      <c r="K156" s="9">
        <f>ROUND(I156-J156,2)</f>
        <v>0</v>
      </c>
      <c r="L156">
        <f>MAX(0,DATE(2026,9,30)-E156)</f>
        <v>20</v>
      </c>
      <c r="M156">
        <f>IF(K156&lt;-0.005,"Credit balance: check for double payment",IF(AND(K156&gt;0.005,L156&gt;60),"Over 60 days overdue",""))</f>
      </c>
    </row>
    <row r="157">
      <c r="A157" t="inlineStr">
        <is>
          <t>INV/2026/02877</t>
        </is>
      </c>
      <c r="B157" t="inlineStr">
        <is>
          <t>Invoice</t>
        </is>
      </c>
      <c r="C157" t="inlineStr">
        <is>
          <t>Southern Cross Plan Mgmt</t>
        </is>
      </c>
      <c r="D157" s="5" t="n">
        <v>46261</v>
      </c>
      <c r="E157" s="5" t="n">
        <v>46275</v>
      </c>
      <c r="F157" t="inlineStr">
        <is>
          <t>AUD</t>
        </is>
      </c>
      <c r="G157" s="9" t="n">
        <v>193.99</v>
      </c>
      <c r="H157" s="9" t="n">
        <v>0</v>
      </c>
      <c r="I157" s="9" t="n">
        <v>193.99</v>
      </c>
      <c r="J157" s="9">
        <f>ROUND(1*SUMIFS('Allocations'!$C$5:$C$222,'Allocations'!$B$5:$B$222,A157),2)</f>
        <v>193.99</v>
      </c>
      <c r="K157" s="9">
        <f>ROUND(I157-J157,2)</f>
        <v>0</v>
      </c>
      <c r="L157">
        <f>MAX(0,DATE(2026,9,30)-E157)</f>
        <v>20</v>
      </c>
      <c r="M157">
        <f>IF(K157&lt;-0.005,"Credit balance: check for double payment",IF(AND(K157&gt;0.005,L157&gt;60),"Over 60 days overdue",""))</f>
      </c>
    </row>
    <row r="158">
      <c r="A158" t="inlineStr">
        <is>
          <t>INV/2026/02878</t>
        </is>
      </c>
      <c r="B158" t="inlineStr">
        <is>
          <t>Invoice</t>
        </is>
      </c>
      <c r="C158" t="inlineStr">
        <is>
          <t>Southern Cross Plan Mgmt</t>
        </is>
      </c>
      <c r="D158" s="5" t="n">
        <v>46261</v>
      </c>
      <c r="E158" s="5" t="n">
        <v>46275</v>
      </c>
      <c r="F158" t="inlineStr">
        <is>
          <t>AUD</t>
        </is>
      </c>
      <c r="G158" s="9" t="n">
        <v>242.49</v>
      </c>
      <c r="H158" s="9" t="n">
        <v>0</v>
      </c>
      <c r="I158" s="9" t="n">
        <v>242.49</v>
      </c>
      <c r="J158" s="9">
        <f>ROUND(1*SUMIFS('Allocations'!$C$5:$C$222,'Allocations'!$B$5:$B$222,A158),2)</f>
        <v>242.49</v>
      </c>
      <c r="K158" s="9">
        <f>ROUND(I158-J158,2)</f>
        <v>0</v>
      </c>
      <c r="L158">
        <f>MAX(0,DATE(2026,9,30)-E158)</f>
        <v>20</v>
      </c>
      <c r="M158">
        <f>IF(K158&lt;-0.005,"Credit balance: check for double payment",IF(AND(K158&gt;0.005,L158&gt;60),"Over 60 days overdue",""))</f>
      </c>
    </row>
    <row r="159">
      <c r="A159" t="inlineStr">
        <is>
          <t>INV/2026/02903</t>
        </is>
      </c>
      <c r="B159" t="inlineStr">
        <is>
          <t>Invoice</t>
        </is>
      </c>
      <c r="C159" t="inlineStr">
        <is>
          <t>Bluegum Plan Management</t>
        </is>
      </c>
      <c r="D159" s="5" t="n">
        <v>46265</v>
      </c>
      <c r="E159" s="5" t="n">
        <v>46279</v>
      </c>
      <c r="F159" t="inlineStr">
        <is>
          <t>AUD</t>
        </is>
      </c>
      <c r="G159" s="9" t="n">
        <v>242.49</v>
      </c>
      <c r="H159" s="9" t="n">
        <v>0</v>
      </c>
      <c r="I159" s="9" t="n">
        <v>14.55</v>
      </c>
      <c r="J159" s="9">
        <f>ROUND(1*SUMIFS('Allocations'!$C$5:$C$222,'Allocations'!$B$5:$B$222,A159),2)</f>
        <v>0</v>
      </c>
      <c r="K159" s="9">
        <f>ROUND(I159-J159,2)</f>
        <v>14.55</v>
      </c>
      <c r="L159">
        <f>MAX(0,DATE(2026,9,30)-E159)</f>
        <v>16</v>
      </c>
      <c r="M159">
        <f>IF(K159&lt;-0.005,"Credit balance: check for double payment",IF(AND(K159&gt;0.005,L159&gt;60),"Over 60 days overdue",""))</f>
      </c>
    </row>
    <row r="160">
      <c r="A160" t="inlineStr">
        <is>
          <t>INV/2026/02909</t>
        </is>
      </c>
      <c r="B160" t="inlineStr">
        <is>
          <t>Invoice</t>
        </is>
      </c>
      <c r="C160" t="inlineStr">
        <is>
          <t>Banksia Plan Co</t>
        </is>
      </c>
      <c r="D160" s="5" t="n">
        <v>46265</v>
      </c>
      <c r="E160" s="5" t="n">
        <v>46279</v>
      </c>
      <c r="F160" t="inlineStr">
        <is>
          <t>AUD</t>
        </is>
      </c>
      <c r="G160" s="9" t="n">
        <v>387.98</v>
      </c>
      <c r="H160" s="9" t="n">
        <v>0</v>
      </c>
      <c r="I160" s="9" t="n">
        <v>387.98</v>
      </c>
      <c r="J160" s="9">
        <f>ROUND(1*SUMIFS('Allocations'!$C$5:$C$222,'Allocations'!$B$5:$B$222,A160),2)</f>
        <v>387.98</v>
      </c>
      <c r="K160" s="9">
        <f>ROUND(I160-J160,2)</f>
        <v>0</v>
      </c>
      <c r="L160">
        <f>MAX(0,DATE(2026,9,30)-E160)</f>
        <v>16</v>
      </c>
      <c r="M160">
        <f>IF(K160&lt;-0.005,"Credit balance: check for double payment",IF(AND(K160&gt;0.005,L160&gt;60),"Over 60 days overdue",""))</f>
      </c>
    </row>
    <row r="161">
      <c r="A161" t="inlineStr">
        <is>
          <t>INV/2026/02911</t>
        </is>
      </c>
      <c r="B161" t="inlineStr">
        <is>
          <t>Invoice</t>
        </is>
      </c>
      <c r="C161" t="inlineStr">
        <is>
          <t>Kookaburra Plan Support</t>
        </is>
      </c>
      <c r="D161" s="5" t="n">
        <v>46265</v>
      </c>
      <c r="E161" s="5" t="n">
        <v>46279</v>
      </c>
      <c r="F161" t="inlineStr">
        <is>
          <t>AUD</t>
        </is>
      </c>
      <c r="G161" s="9" t="n">
        <v>387.98</v>
      </c>
      <c r="H161" s="9" t="n">
        <v>0</v>
      </c>
      <c r="I161" s="9" t="n">
        <v>387.98</v>
      </c>
      <c r="J161" s="9">
        <f>ROUND(1*SUMIFS('Allocations'!$C$5:$C$222,'Allocations'!$B$5:$B$222,A161),2)</f>
        <v>387.98</v>
      </c>
      <c r="K161" s="9">
        <f>ROUND(I161-J161,2)</f>
        <v>0</v>
      </c>
      <c r="L161">
        <f>MAX(0,DATE(2026,9,30)-E161)</f>
        <v>16</v>
      </c>
      <c r="M161">
        <f>IF(K161&lt;-0.005,"Credit balance: check for double payment",IF(AND(K161&gt;0.005,L161&gt;60),"Over 60 days overdue",""))</f>
      </c>
    </row>
    <row r="162">
      <c r="A162" t="inlineStr">
        <is>
          <t>INV/2026/02912</t>
        </is>
      </c>
      <c r="B162" t="inlineStr">
        <is>
          <t>Invoice</t>
        </is>
      </c>
      <c r="C162" t="inlineStr">
        <is>
          <t>Kookaburra Plan Support</t>
        </is>
      </c>
      <c r="D162" s="5" t="n">
        <v>46265</v>
      </c>
      <c r="E162" s="5" t="n">
        <v>46279</v>
      </c>
      <c r="F162" t="inlineStr">
        <is>
          <t>AUD</t>
        </is>
      </c>
      <c r="G162" s="9" t="n">
        <v>175.49</v>
      </c>
      <c r="H162" s="9" t="n">
        <v>0</v>
      </c>
      <c r="I162" s="9" t="n">
        <v>175.49</v>
      </c>
      <c r="J162" s="9">
        <f>ROUND(1*SUMIFS('Allocations'!$C$5:$C$222,'Allocations'!$B$5:$B$222,A162),2)</f>
        <v>175.49</v>
      </c>
      <c r="K162" s="9">
        <f>ROUND(I162-J162,2)</f>
        <v>0</v>
      </c>
      <c r="L162">
        <f>MAX(0,DATE(2026,9,30)-E162)</f>
        <v>16</v>
      </c>
      <c r="M162">
        <f>IF(K162&lt;-0.005,"Credit balance: check for double payment",IF(AND(K162&gt;0.005,L162&gt;60),"Over 60 days overdue",""))</f>
      </c>
    </row>
    <row r="163">
      <c r="A163" t="inlineStr">
        <is>
          <t>INV/2026/02916</t>
        </is>
      </c>
      <c r="B163" t="inlineStr">
        <is>
          <t>Invoice</t>
        </is>
      </c>
      <c r="C163" t="inlineStr">
        <is>
          <t>Southern Cross Plan Mgmt</t>
        </is>
      </c>
      <c r="D163" s="5" t="n">
        <v>46265</v>
      </c>
      <c r="E163" s="5" t="n">
        <v>46279</v>
      </c>
      <c r="F163" t="inlineStr">
        <is>
          <t>AUD</t>
        </is>
      </c>
      <c r="G163" s="9" t="n">
        <v>223.99</v>
      </c>
      <c r="H163" s="9" t="n">
        <v>0</v>
      </c>
      <c r="I163" s="9" t="n">
        <v>223.99</v>
      </c>
      <c r="J163" s="9">
        <f>ROUND(1*SUMIFS('Allocations'!$C$5:$C$222,'Allocations'!$B$5:$B$222,A163),2)</f>
        <v>223.99</v>
      </c>
      <c r="K163" s="9">
        <f>ROUND(I163-J163,2)</f>
        <v>0</v>
      </c>
      <c r="L163">
        <f>MAX(0,DATE(2026,9,30)-E163)</f>
        <v>16</v>
      </c>
      <c r="M163">
        <f>IF(K163&lt;-0.005,"Credit balance: check for double payment",IF(AND(K163&gt;0.005,L163&gt;60),"Over 60 days overdue",""))</f>
      </c>
    </row>
    <row r="164">
      <c r="A164" t="inlineStr">
        <is>
          <t>INV/2026/02917</t>
        </is>
      </c>
      <c r="B164" t="inlineStr">
        <is>
          <t>Invoice</t>
        </is>
      </c>
      <c r="C164" t="inlineStr">
        <is>
          <t>Southern Cross Plan Mgmt</t>
        </is>
      </c>
      <c r="D164" s="5" t="n">
        <v>46265</v>
      </c>
      <c r="E164" s="5" t="n">
        <v>46279</v>
      </c>
      <c r="F164" t="inlineStr">
        <is>
          <t>AUD</t>
        </is>
      </c>
      <c r="G164" s="9" t="n">
        <v>417.98</v>
      </c>
      <c r="H164" s="9" t="n">
        <v>0</v>
      </c>
      <c r="I164" s="9" t="n">
        <v>417.98</v>
      </c>
      <c r="J164" s="9">
        <f>ROUND(1*SUMIFS('Allocations'!$C$5:$C$222,'Allocations'!$B$5:$B$222,A164),2)</f>
        <v>417.98</v>
      </c>
      <c r="K164" s="9">
        <f>ROUND(I164-J164,2)</f>
        <v>0</v>
      </c>
      <c r="L164">
        <f>MAX(0,DATE(2026,9,30)-E164)</f>
        <v>16</v>
      </c>
      <c r="M164">
        <f>IF(K164&lt;-0.005,"Credit balance: check for double payment",IF(AND(K164&gt;0.005,L164&gt;60),"Over 60 days overdue",""))</f>
      </c>
    </row>
    <row r="165">
      <c r="A165" t="inlineStr">
        <is>
          <t>INV/2026/02918</t>
        </is>
      </c>
      <c r="B165" t="inlineStr">
        <is>
          <t>Invoice</t>
        </is>
      </c>
      <c r="C165" t="inlineStr">
        <is>
          <t>Southern Cross Plan Mgmt</t>
        </is>
      </c>
      <c r="D165" s="5" t="n">
        <v>46265</v>
      </c>
      <c r="E165" s="5" t="n">
        <v>46279</v>
      </c>
      <c r="F165" t="inlineStr">
        <is>
          <t>AUD</t>
        </is>
      </c>
      <c r="G165" s="9" t="n">
        <v>193.99</v>
      </c>
      <c r="H165" s="9" t="n">
        <v>0</v>
      </c>
      <c r="I165" s="9" t="n">
        <v>193.99</v>
      </c>
      <c r="J165" s="9">
        <f>ROUND(1*SUMIFS('Allocations'!$C$5:$C$222,'Allocations'!$B$5:$B$222,A165),2)</f>
        <v>193.99</v>
      </c>
      <c r="K165" s="9">
        <f>ROUND(I165-J165,2)</f>
        <v>0</v>
      </c>
      <c r="L165">
        <f>MAX(0,DATE(2026,9,30)-E165)</f>
        <v>16</v>
      </c>
      <c r="M165">
        <f>IF(K165&lt;-0.005,"Credit balance: check for double payment",IF(AND(K165&gt;0.005,L165&gt;60),"Over 60 days overdue",""))</f>
      </c>
    </row>
    <row r="166">
      <c r="A166" t="inlineStr">
        <is>
          <t>INV/2026/02921</t>
        </is>
      </c>
      <c r="B166" t="inlineStr">
        <is>
          <t>Invoice</t>
        </is>
      </c>
      <c r="C166" t="inlineStr">
        <is>
          <t>Tallowwood Plans</t>
        </is>
      </c>
      <c r="D166" s="5" t="n">
        <v>46265</v>
      </c>
      <c r="E166" s="5" t="n">
        <v>46279</v>
      </c>
      <c r="F166" t="inlineStr">
        <is>
          <t>AUD</t>
        </is>
      </c>
      <c r="G166" s="9" t="n">
        <v>223.99</v>
      </c>
      <c r="H166" s="9" t="n">
        <v>0</v>
      </c>
      <c r="I166" s="9" t="n">
        <v>223.99</v>
      </c>
      <c r="J166" s="9">
        <f>ROUND(1*SUMIFS('Allocations'!$C$5:$C$222,'Allocations'!$B$5:$B$222,A166),2)</f>
        <v>223.99</v>
      </c>
      <c r="K166" s="9">
        <f>ROUND(I166-J166,2)</f>
        <v>0</v>
      </c>
      <c r="L166">
        <f>MAX(0,DATE(2026,9,30)-E166)</f>
        <v>16</v>
      </c>
      <c r="M166">
        <f>IF(K166&lt;-0.005,"Credit balance: check for double payment",IF(AND(K166&gt;0.005,L166&gt;60),"Over 60 days overdue",""))</f>
      </c>
    </row>
    <row r="167">
      <c r="A167" t="inlineStr">
        <is>
          <t>INV/2026/02926</t>
        </is>
      </c>
      <c r="B167" t="inlineStr">
        <is>
          <t>Invoice</t>
        </is>
      </c>
      <c r="C167" t="inlineStr">
        <is>
          <t>Coastline Health Fund</t>
        </is>
      </c>
      <c r="D167" s="5" t="n">
        <v>46265</v>
      </c>
      <c r="E167" s="5" t="n">
        <v>46279</v>
      </c>
      <c r="F167" t="inlineStr">
        <is>
          <t>AUD</t>
        </is>
      </c>
      <c r="G167" s="9" t="n">
        <v>176</v>
      </c>
      <c r="H167" s="9" t="n">
        <v>0</v>
      </c>
      <c r="I167" s="9" t="n">
        <v>176</v>
      </c>
      <c r="J167" s="9">
        <f>ROUND(1*SUMIFS('Allocations'!$C$5:$C$222,'Allocations'!$B$5:$B$222,A167),2)</f>
        <v>176</v>
      </c>
      <c r="K167" s="9">
        <f>ROUND(I167-J167,2)</f>
        <v>0</v>
      </c>
      <c r="L167">
        <f>MAX(0,DATE(2026,9,30)-E167)</f>
        <v>16</v>
      </c>
      <c r="M167">
        <f>IF(K167&lt;-0.005,"Credit balance: check for double payment",IF(AND(K167&gt;0.005,L167&gt;60),"Over 60 days overdue",""))</f>
      </c>
    </row>
    <row r="168">
      <c r="A168" t="inlineStr">
        <is>
          <t>INV/2026/02935</t>
        </is>
      </c>
      <c r="B168" t="inlineStr">
        <is>
          <t>Invoice</t>
        </is>
      </c>
      <c r="C168" t="inlineStr">
        <is>
          <t>Banksia Plan Co</t>
        </is>
      </c>
      <c r="D168" s="5" t="n">
        <v>46266</v>
      </c>
      <c r="E168" s="5" t="n">
        <v>46280</v>
      </c>
      <c r="F168" t="inlineStr">
        <is>
          <t>AUD</t>
        </is>
      </c>
      <c r="G168" s="9" t="n">
        <v>300.69</v>
      </c>
      <c r="H168" s="9" t="n">
        <v>0</v>
      </c>
      <c r="I168" s="9" t="n">
        <v>300.69</v>
      </c>
      <c r="J168" s="9">
        <f>ROUND(1*SUMIFS('Allocations'!$C$5:$C$222,'Allocations'!$B$5:$B$222,A168),2)</f>
        <v>300.69</v>
      </c>
      <c r="K168" s="9">
        <f>ROUND(I168-J168,2)</f>
        <v>0</v>
      </c>
      <c r="L168">
        <f>MAX(0,DATE(2026,9,30)-E168)</f>
        <v>15</v>
      </c>
      <c r="M168">
        <f>IF(K168&lt;-0.005,"Credit balance: check for double payment",IF(AND(K168&gt;0.005,L168&gt;60),"Over 60 days overdue",""))</f>
      </c>
    </row>
    <row r="169">
      <c r="A169" t="inlineStr">
        <is>
          <t>INV/2026/02936</t>
        </is>
      </c>
      <c r="B169" t="inlineStr">
        <is>
          <t>Invoice</t>
        </is>
      </c>
      <c r="C169" t="inlineStr">
        <is>
          <t>Banksia Plan Co</t>
        </is>
      </c>
      <c r="D169" s="5" t="n">
        <v>46266</v>
      </c>
      <c r="E169" s="5" t="n">
        <v>46280</v>
      </c>
      <c r="F169" t="inlineStr">
        <is>
          <t>AUD</t>
        </is>
      </c>
      <c r="G169" s="9" t="n">
        <v>242.49</v>
      </c>
      <c r="H169" s="9" t="n">
        <v>0</v>
      </c>
      <c r="I169" s="9" t="n">
        <v>242.49</v>
      </c>
      <c r="J169" s="9">
        <f>ROUND(1*SUMIFS('Allocations'!$C$5:$C$222,'Allocations'!$B$5:$B$222,A169),2)</f>
        <v>242.49</v>
      </c>
      <c r="K169" s="9">
        <f>ROUND(I169-J169,2)</f>
        <v>0</v>
      </c>
      <c r="L169">
        <f>MAX(0,DATE(2026,9,30)-E169)</f>
        <v>15</v>
      </c>
      <c r="M169">
        <f>IF(K169&lt;-0.005,"Credit balance: check for double payment",IF(AND(K169&gt;0.005,L169&gt;60),"Over 60 days overdue",""))</f>
      </c>
    </row>
    <row r="170">
      <c r="A170" t="inlineStr">
        <is>
          <t>INV/2026/02940</t>
        </is>
      </c>
      <c r="B170" t="inlineStr">
        <is>
          <t>Invoice</t>
        </is>
      </c>
      <c r="C170" t="inlineStr">
        <is>
          <t>Kookaburra Plan Support</t>
        </is>
      </c>
      <c r="D170" s="5" t="n">
        <v>46266</v>
      </c>
      <c r="E170" s="5" t="n">
        <v>46280</v>
      </c>
      <c r="F170" t="inlineStr">
        <is>
          <t>AUD</t>
        </is>
      </c>
      <c r="G170" s="9" t="n">
        <v>446.18</v>
      </c>
      <c r="H170" s="9" t="n">
        <v>0</v>
      </c>
      <c r="I170" s="9" t="n">
        <v>446.18</v>
      </c>
      <c r="J170" s="9">
        <f>ROUND(1*SUMIFS('Allocations'!$C$5:$C$222,'Allocations'!$B$5:$B$222,A170),2)</f>
        <v>446.18</v>
      </c>
      <c r="K170" s="9">
        <f>ROUND(I170-J170,2)</f>
        <v>0</v>
      </c>
      <c r="L170">
        <f>MAX(0,DATE(2026,9,30)-E170)</f>
        <v>15</v>
      </c>
      <c r="M170">
        <f>IF(K170&lt;-0.005,"Credit balance: check for double payment",IF(AND(K170&gt;0.005,L170&gt;60),"Over 60 days overdue",""))</f>
      </c>
    </row>
    <row r="171">
      <c r="A171" t="inlineStr">
        <is>
          <t>INV/2026/02944</t>
        </is>
      </c>
      <c r="B171" t="inlineStr">
        <is>
          <t>Invoice</t>
        </is>
      </c>
      <c r="C171" t="inlineStr">
        <is>
          <t>Southern Cross Plan Mgmt</t>
        </is>
      </c>
      <c r="D171" s="5" t="n">
        <v>46266</v>
      </c>
      <c r="E171" s="5" t="n">
        <v>46280</v>
      </c>
      <c r="F171" t="inlineStr">
        <is>
          <t>AUD</t>
        </is>
      </c>
      <c r="G171" s="9" t="n">
        <v>349.18</v>
      </c>
      <c r="H171" s="9" t="n">
        <v>0</v>
      </c>
      <c r="I171" s="9" t="n">
        <v>349.18</v>
      </c>
      <c r="J171" s="9">
        <f>ROUND(1*SUMIFS('Allocations'!$C$5:$C$222,'Allocations'!$B$5:$B$222,A171),2)</f>
        <v>349.18</v>
      </c>
      <c r="K171" s="9">
        <f>ROUND(I171-J171,2)</f>
        <v>0</v>
      </c>
      <c r="L171">
        <f>MAX(0,DATE(2026,9,30)-E171)</f>
        <v>15</v>
      </c>
      <c r="M171">
        <f>IF(K171&lt;-0.005,"Credit balance: check for double payment",IF(AND(K171&gt;0.005,L171&gt;60),"Over 60 days overdue",""))</f>
      </c>
    </row>
    <row r="172">
      <c r="A172" t="inlineStr">
        <is>
          <t>INV/2026/02951</t>
        </is>
      </c>
      <c r="B172" t="inlineStr">
        <is>
          <t>Invoice</t>
        </is>
      </c>
      <c r="C172" t="inlineStr">
        <is>
          <t>Northline Injury Claims</t>
        </is>
      </c>
      <c r="D172" s="5" t="n">
        <v>46266</v>
      </c>
      <c r="E172" s="5" t="n">
        <v>46280</v>
      </c>
      <c r="F172" t="inlineStr">
        <is>
          <t>AUD</t>
        </is>
      </c>
      <c r="G172" s="9" t="n">
        <v>176</v>
      </c>
      <c r="H172" s="9" t="n">
        <v>0</v>
      </c>
      <c r="I172" s="9" t="n">
        <v>176</v>
      </c>
      <c r="J172" s="9">
        <f>ROUND(1*SUMIFS('Allocations'!$C$5:$C$222,'Allocations'!$B$5:$B$222,A172),2)</f>
        <v>176</v>
      </c>
      <c r="K172" s="9">
        <f>ROUND(I172-J172,2)</f>
        <v>0</v>
      </c>
      <c r="L172">
        <f>MAX(0,DATE(2026,9,30)-E172)</f>
        <v>15</v>
      </c>
      <c r="M172">
        <f>IF(K172&lt;-0.005,"Credit balance: check for double payment",IF(AND(K172&gt;0.005,L172&gt;60),"Over 60 days overdue",""))</f>
      </c>
    </row>
    <row r="173">
      <c r="A173" t="inlineStr">
        <is>
          <t>INV/2026/02956</t>
        </is>
      </c>
      <c r="B173" t="inlineStr">
        <is>
          <t>Invoice</t>
        </is>
      </c>
      <c r="C173" t="inlineStr">
        <is>
          <t>Banksia Plan Co</t>
        </is>
      </c>
      <c r="D173" s="5" t="n">
        <v>46267</v>
      </c>
      <c r="E173" s="5" t="n">
        <v>46281</v>
      </c>
      <c r="F173" t="inlineStr">
        <is>
          <t>AUD</t>
        </is>
      </c>
      <c r="G173" s="9" t="n">
        <v>387.98</v>
      </c>
      <c r="H173" s="9" t="n">
        <v>0</v>
      </c>
      <c r="I173" s="9" t="n">
        <v>387.98</v>
      </c>
      <c r="J173" s="9">
        <f>ROUND(1*SUMIFS('Allocations'!$C$5:$C$222,'Allocations'!$B$5:$B$222,A173),2)</f>
        <v>387.98</v>
      </c>
      <c r="K173" s="9">
        <f>ROUND(I173-J173,2)</f>
        <v>0</v>
      </c>
      <c r="L173">
        <f>MAX(0,DATE(2026,9,30)-E173)</f>
        <v>14</v>
      </c>
      <c r="M173">
        <f>IF(K173&lt;-0.005,"Credit balance: check for double payment",IF(AND(K173&gt;0.005,L173&gt;60),"Over 60 days overdue",""))</f>
      </c>
    </row>
    <row r="174">
      <c r="A174" t="inlineStr">
        <is>
          <t>INV/2026/02963</t>
        </is>
      </c>
      <c r="B174" t="inlineStr">
        <is>
          <t>Invoice</t>
        </is>
      </c>
      <c r="C174" t="inlineStr">
        <is>
          <t>Southern Cross Plan Mgmt</t>
        </is>
      </c>
      <c r="D174" s="5" t="n">
        <v>46267</v>
      </c>
      <c r="E174" s="5" t="n">
        <v>46281</v>
      </c>
      <c r="F174" t="inlineStr">
        <is>
          <t>AUD</t>
        </is>
      </c>
      <c r="G174" s="9" t="n">
        <v>155.19</v>
      </c>
      <c r="H174" s="9" t="n">
        <v>0</v>
      </c>
      <c r="I174" s="9" t="n">
        <v>155.19</v>
      </c>
      <c r="J174" s="9">
        <f>ROUND(1*SUMIFS('Allocations'!$C$5:$C$222,'Allocations'!$B$5:$B$222,A174),2)</f>
        <v>155.19</v>
      </c>
      <c r="K174" s="9">
        <f>ROUND(I174-J174,2)</f>
        <v>0</v>
      </c>
      <c r="L174">
        <f>MAX(0,DATE(2026,9,30)-E174)</f>
        <v>14</v>
      </c>
      <c r="M174">
        <f>IF(K174&lt;-0.005,"Credit balance: check for double payment",IF(AND(K174&gt;0.005,L174&gt;60),"Over 60 days overdue",""))</f>
      </c>
    </row>
    <row r="175">
      <c r="A175" t="inlineStr">
        <is>
          <t>INV/2026/02973</t>
        </is>
      </c>
      <c r="B175" t="inlineStr">
        <is>
          <t>Invoice</t>
        </is>
      </c>
      <c r="C175" t="inlineStr">
        <is>
          <t>Banksia Plan Co</t>
        </is>
      </c>
      <c r="D175" s="5" t="n">
        <v>46268</v>
      </c>
      <c r="E175" s="5" t="n">
        <v>46282</v>
      </c>
      <c r="F175" t="inlineStr">
        <is>
          <t>AUD</t>
        </is>
      </c>
      <c r="G175" s="9" t="n">
        <v>300.69</v>
      </c>
      <c r="H175" s="9" t="n">
        <v>0</v>
      </c>
      <c r="I175" s="9" t="n">
        <v>300.69</v>
      </c>
      <c r="J175" s="9">
        <f>ROUND(1*SUMIFS('Allocations'!$C$5:$C$222,'Allocations'!$B$5:$B$222,A175),2)</f>
        <v>300.69</v>
      </c>
      <c r="K175" s="9">
        <f>ROUND(I175-J175,2)</f>
        <v>0</v>
      </c>
      <c r="L175">
        <f>MAX(0,DATE(2026,9,30)-E175)</f>
        <v>13</v>
      </c>
      <c r="M175">
        <f>IF(K175&lt;-0.005,"Credit balance: check for double payment",IF(AND(K175&gt;0.005,L175&gt;60),"Over 60 days overdue",""))</f>
      </c>
    </row>
    <row r="176">
      <c r="A176" t="inlineStr">
        <is>
          <t>INV/2026/02974</t>
        </is>
      </c>
      <c r="B176" t="inlineStr">
        <is>
          <t>Invoice</t>
        </is>
      </c>
      <c r="C176" t="inlineStr">
        <is>
          <t>Banksia Plan Co</t>
        </is>
      </c>
      <c r="D176" s="5" t="n">
        <v>46268</v>
      </c>
      <c r="E176" s="5" t="n">
        <v>46282</v>
      </c>
      <c r="F176" t="inlineStr">
        <is>
          <t>AUD</t>
        </is>
      </c>
      <c r="G176" s="9" t="n">
        <v>272.49</v>
      </c>
      <c r="H176" s="9" t="n">
        <v>0</v>
      </c>
      <c r="I176" s="9" t="n">
        <v>272.49</v>
      </c>
      <c r="J176" s="9">
        <f>ROUND(1*SUMIFS('Allocations'!$C$5:$C$222,'Allocations'!$B$5:$B$222,A176),2)</f>
        <v>272.49</v>
      </c>
      <c r="K176" s="9">
        <f>ROUND(I176-J176,2)</f>
        <v>0</v>
      </c>
      <c r="L176">
        <f>MAX(0,DATE(2026,9,30)-E176)</f>
        <v>13</v>
      </c>
      <c r="M176">
        <f>IF(K176&lt;-0.005,"Credit balance: check for double payment",IF(AND(K176&gt;0.005,L176&gt;60),"Over 60 days overdue",""))</f>
      </c>
    </row>
    <row r="177">
      <c r="A177" t="inlineStr">
        <is>
          <t>INV/2026/02991</t>
        </is>
      </c>
      <c r="B177" t="inlineStr">
        <is>
          <t>Invoice</t>
        </is>
      </c>
      <c r="C177" t="inlineStr">
        <is>
          <t>Banksia Plan Co</t>
        </is>
      </c>
      <c r="D177" s="5" t="n">
        <v>46269</v>
      </c>
      <c r="E177" s="5" t="n">
        <v>46283</v>
      </c>
      <c r="F177" t="inlineStr">
        <is>
          <t>AUD</t>
        </is>
      </c>
      <c r="G177" s="9" t="n">
        <v>223.99</v>
      </c>
      <c r="H177" s="9" t="n">
        <v>0</v>
      </c>
      <c r="I177" s="9" t="n">
        <v>223.99</v>
      </c>
      <c r="J177" s="9">
        <f>ROUND(1*SUMIFS('Allocations'!$C$5:$C$222,'Allocations'!$B$5:$B$222,A177),2)</f>
        <v>223.99</v>
      </c>
      <c r="K177" s="9">
        <f>ROUND(I177-J177,2)</f>
        <v>0</v>
      </c>
      <c r="L177">
        <f>MAX(0,DATE(2026,9,30)-E177)</f>
        <v>12</v>
      </c>
      <c r="M177">
        <f>IF(K177&lt;-0.005,"Credit balance: check for double payment",IF(AND(K177&gt;0.005,L177&gt;60),"Over 60 days overdue",""))</f>
      </c>
    </row>
    <row r="178">
      <c r="A178" t="inlineStr">
        <is>
          <t>INV/2026/03005</t>
        </is>
      </c>
      <c r="B178" t="inlineStr">
        <is>
          <t>Invoice</t>
        </is>
      </c>
      <c r="C178" t="inlineStr">
        <is>
          <t>Mallee Plan Services</t>
        </is>
      </c>
      <c r="D178" s="5" t="n">
        <v>46269</v>
      </c>
      <c r="E178" s="5" t="n">
        <v>46283</v>
      </c>
      <c r="F178" t="inlineStr">
        <is>
          <t>AUD</t>
        </is>
      </c>
      <c r="G178" s="9" t="n">
        <v>145.49</v>
      </c>
      <c r="H178" s="9" t="n">
        <v>0</v>
      </c>
      <c r="I178" s="9" t="n">
        <v>145.49</v>
      </c>
      <c r="J178" s="9">
        <f>ROUND(1*SUMIFS('Allocations'!$C$5:$C$222,'Allocations'!$B$5:$B$222,A178),2)</f>
        <v>145.49</v>
      </c>
      <c r="K178" s="9">
        <f>ROUND(I178-J178,2)</f>
        <v>0</v>
      </c>
      <c r="L178">
        <f>MAX(0,DATE(2026,9,30)-E178)</f>
        <v>12</v>
      </c>
      <c r="M178">
        <f>IF(K178&lt;-0.005,"Credit balance: check for double payment",IF(AND(K178&gt;0.005,L178&gt;60),"Over 60 days overdue",""))</f>
      </c>
    </row>
    <row r="179">
      <c r="A179" t="inlineStr">
        <is>
          <t>INV/2026/03007</t>
        </is>
      </c>
      <c r="B179" t="inlineStr">
        <is>
          <t>Invoice</t>
        </is>
      </c>
      <c r="C179" t="inlineStr">
        <is>
          <t>Mallee Plan Services</t>
        </is>
      </c>
      <c r="D179" s="5" t="n">
        <v>46269</v>
      </c>
      <c r="E179" s="5" t="n">
        <v>46283</v>
      </c>
      <c r="F179" t="inlineStr">
        <is>
          <t>AUD</t>
        </is>
      </c>
      <c r="G179" s="9" t="n">
        <v>155.19</v>
      </c>
      <c r="H179" s="9" t="n">
        <v>0</v>
      </c>
      <c r="I179" s="9" t="n">
        <v>155.19</v>
      </c>
      <c r="J179" s="9">
        <f>ROUND(1*SUMIFS('Allocations'!$C$5:$C$222,'Allocations'!$B$5:$B$222,A179),2)</f>
        <v>155.19</v>
      </c>
      <c r="K179" s="9">
        <f>ROUND(I179-J179,2)</f>
        <v>0</v>
      </c>
      <c r="L179">
        <f>MAX(0,DATE(2026,9,30)-E179)</f>
        <v>12</v>
      </c>
      <c r="M179">
        <f>IF(K179&lt;-0.005,"Credit balance: check for double payment",IF(AND(K179&gt;0.005,L179&gt;60),"Over 60 days overdue",""))</f>
      </c>
    </row>
    <row r="180">
      <c r="A180" t="inlineStr">
        <is>
          <t>INV/2026/03012</t>
        </is>
      </c>
      <c r="B180" t="inlineStr">
        <is>
          <t>Invoice</t>
        </is>
      </c>
      <c r="C180" t="inlineStr">
        <is>
          <t>Bluegum Plan Management</t>
        </is>
      </c>
      <c r="D180" s="5" t="n">
        <v>46272</v>
      </c>
      <c r="E180" s="5" t="n">
        <v>46286</v>
      </c>
      <c r="F180" t="inlineStr">
        <is>
          <t>AUD</t>
        </is>
      </c>
      <c r="G180" s="9" t="n">
        <v>387.98</v>
      </c>
      <c r="H180" s="9" t="n">
        <v>0</v>
      </c>
      <c r="I180" s="9" t="n">
        <v>387.98</v>
      </c>
      <c r="J180" s="9">
        <f>ROUND(1*SUMIFS('Allocations'!$C$5:$C$222,'Allocations'!$B$5:$B$222,A180),2)</f>
        <v>387.98</v>
      </c>
      <c r="K180" s="9">
        <f>ROUND(I180-J180,2)</f>
        <v>0</v>
      </c>
      <c r="L180">
        <f>MAX(0,DATE(2026,9,30)-E180)</f>
        <v>9</v>
      </c>
      <c r="M180">
        <f>IF(K180&lt;-0.005,"Credit balance: check for double payment",IF(AND(K180&gt;0.005,L180&gt;60),"Over 60 days overdue",""))</f>
      </c>
    </row>
    <row r="181">
      <c r="A181" t="inlineStr">
        <is>
          <t>INV/2026/03017</t>
        </is>
      </c>
      <c r="B181" t="inlineStr">
        <is>
          <t>Invoice</t>
        </is>
      </c>
      <c r="C181" t="inlineStr">
        <is>
          <t>Wattle Plan Services</t>
        </is>
      </c>
      <c r="D181" s="5" t="n">
        <v>46272</v>
      </c>
      <c r="E181" s="5" t="n">
        <v>46286</v>
      </c>
      <c r="F181" t="inlineStr">
        <is>
          <t>AUD</t>
        </is>
      </c>
      <c r="G181" s="9" t="n">
        <v>155.19</v>
      </c>
      <c r="H181" s="9" t="n">
        <v>0</v>
      </c>
      <c r="I181" s="9" t="n">
        <v>155.19</v>
      </c>
      <c r="J181" s="9">
        <f>ROUND(1*SUMIFS('Allocations'!$C$5:$C$222,'Allocations'!$B$5:$B$222,A181),2)</f>
        <v>155.19</v>
      </c>
      <c r="K181" s="9">
        <f>ROUND(I181-J181,2)</f>
        <v>0</v>
      </c>
      <c r="L181">
        <f>MAX(0,DATE(2026,9,30)-E181)</f>
        <v>9</v>
      </c>
      <c r="M181">
        <f>IF(K181&lt;-0.005,"Credit balance: check for double payment",IF(AND(K181&gt;0.005,L181&gt;60),"Over 60 days overdue",""))</f>
      </c>
    </row>
    <row r="182">
      <c r="A182" t="inlineStr">
        <is>
          <t>INV/2026/03018</t>
        </is>
      </c>
      <c r="B182" t="inlineStr">
        <is>
          <t>Invoice</t>
        </is>
      </c>
      <c r="C182" t="inlineStr">
        <is>
          <t>Wattle Plan Services</t>
        </is>
      </c>
      <c r="D182" s="5" t="n">
        <v>46272</v>
      </c>
      <c r="E182" s="5" t="n">
        <v>46286</v>
      </c>
      <c r="F182" t="inlineStr">
        <is>
          <t>AUD</t>
        </is>
      </c>
      <c r="G182" s="9" t="n">
        <v>417.98</v>
      </c>
      <c r="H182" s="9" t="n">
        <v>0</v>
      </c>
      <c r="I182" s="9" t="n">
        <v>417.98</v>
      </c>
      <c r="J182" s="9">
        <f>ROUND(1*SUMIFS('Allocations'!$C$5:$C$222,'Allocations'!$B$5:$B$222,A182),2)</f>
        <v>417.98</v>
      </c>
      <c r="K182" s="9">
        <f>ROUND(I182-J182,2)</f>
        <v>0</v>
      </c>
      <c r="L182">
        <f>MAX(0,DATE(2026,9,30)-E182)</f>
        <v>9</v>
      </c>
      <c r="M182">
        <f>IF(K182&lt;-0.005,"Credit balance: check for double payment",IF(AND(K182&gt;0.005,L182&gt;60),"Over 60 days overdue",""))</f>
      </c>
    </row>
    <row r="183">
      <c r="A183" t="inlineStr">
        <is>
          <t>INV/2026/03019</t>
        </is>
      </c>
      <c r="B183" t="inlineStr">
        <is>
          <t>Invoice</t>
        </is>
      </c>
      <c r="C183" t="inlineStr">
        <is>
          <t>Banksia Plan Co</t>
        </is>
      </c>
      <c r="D183" s="5" t="n">
        <v>46272</v>
      </c>
      <c r="E183" s="5" t="n">
        <v>46286</v>
      </c>
      <c r="F183" t="inlineStr">
        <is>
          <t>AUD</t>
        </is>
      </c>
      <c r="G183" s="9" t="n">
        <v>446.18</v>
      </c>
      <c r="H183" s="9" t="n">
        <v>0</v>
      </c>
      <c r="I183" s="9" t="n">
        <v>446.18</v>
      </c>
      <c r="J183" s="9">
        <f>ROUND(1*SUMIFS('Allocations'!$C$5:$C$222,'Allocations'!$B$5:$B$222,A183),2)</f>
        <v>446.18</v>
      </c>
      <c r="K183" s="9">
        <f>ROUND(I183-J183,2)</f>
        <v>0</v>
      </c>
      <c r="L183">
        <f>MAX(0,DATE(2026,9,30)-E183)</f>
        <v>9</v>
      </c>
      <c r="M183">
        <f>IF(K183&lt;-0.005,"Credit balance: check for double payment",IF(AND(K183&gt;0.005,L183&gt;60),"Over 60 days overdue",""))</f>
      </c>
    </row>
    <row r="184">
      <c r="A184" t="inlineStr">
        <is>
          <t>INV/2026/03048</t>
        </is>
      </c>
      <c r="B184" t="inlineStr">
        <is>
          <t>Invoice</t>
        </is>
      </c>
      <c r="C184" t="inlineStr">
        <is>
          <t>Tallowwood Plans</t>
        </is>
      </c>
      <c r="D184" s="5" t="n">
        <v>46273</v>
      </c>
      <c r="E184" s="5" t="n">
        <v>46287</v>
      </c>
      <c r="F184" t="inlineStr">
        <is>
          <t>AUD</t>
        </is>
      </c>
      <c r="G184" s="9" t="n">
        <v>193.99</v>
      </c>
      <c r="H184" s="9" t="n">
        <v>0</v>
      </c>
      <c r="I184" s="9" t="n">
        <v>193.99</v>
      </c>
      <c r="J184" s="9">
        <f>ROUND(1*SUMIFS('Allocations'!$C$5:$C$222,'Allocations'!$B$5:$B$222,A184),2)</f>
        <v>193.99</v>
      </c>
      <c r="K184" s="9">
        <f>ROUND(I184-J184,2)</f>
        <v>0</v>
      </c>
      <c r="L184">
        <f>MAX(0,DATE(2026,9,30)-E184)</f>
        <v>8</v>
      </c>
      <c r="M184">
        <f>IF(K184&lt;-0.005,"Credit balance: check for double payment",IF(AND(K184&gt;0.005,L184&gt;60),"Over 60 days overdue",""))</f>
      </c>
    </row>
    <row r="185">
      <c r="A185" t="inlineStr">
        <is>
          <t>INV/2026/03052</t>
        </is>
      </c>
      <c r="B185" t="inlineStr">
        <is>
          <t>Invoice</t>
        </is>
      </c>
      <c r="C185" t="inlineStr">
        <is>
          <t>Bluegum Plan Management</t>
        </is>
      </c>
      <c r="D185" s="5" t="n">
        <v>46274</v>
      </c>
      <c r="E185" s="5" t="n">
        <v>46288</v>
      </c>
      <c r="F185" t="inlineStr">
        <is>
          <t>AUD</t>
        </is>
      </c>
      <c r="G185" s="9" t="n">
        <v>223.99</v>
      </c>
      <c r="H185" s="9" t="n">
        <v>0</v>
      </c>
      <c r="I185" s="9" t="n">
        <v>223.99</v>
      </c>
      <c r="J185" s="9">
        <f>ROUND(1*SUMIFS('Allocations'!$C$5:$C$222,'Allocations'!$B$5:$B$222,A185),2)</f>
        <v>223.99</v>
      </c>
      <c r="K185" s="9">
        <f>ROUND(I185-J185,2)</f>
        <v>0</v>
      </c>
      <c r="L185">
        <f>MAX(0,DATE(2026,9,30)-E185)</f>
        <v>7</v>
      </c>
      <c r="M185">
        <f>IF(K185&lt;-0.005,"Credit balance: check for double payment",IF(AND(K185&gt;0.005,L185&gt;60),"Over 60 days overdue",""))</f>
      </c>
    </row>
    <row r="186">
      <c r="A186" t="inlineStr">
        <is>
          <t>INV/2026/03057</t>
        </is>
      </c>
      <c r="B186" t="inlineStr">
        <is>
          <t>Invoice</t>
        </is>
      </c>
      <c r="C186" t="inlineStr">
        <is>
          <t>Clearpath NDIS Plans</t>
        </is>
      </c>
      <c r="D186" s="5" t="n">
        <v>46274</v>
      </c>
      <c r="E186" s="5" t="n">
        <v>46288</v>
      </c>
      <c r="F186" t="inlineStr">
        <is>
          <t>AUD</t>
        </is>
      </c>
      <c r="G186" s="9" t="n">
        <v>155.19</v>
      </c>
      <c r="H186" s="9" t="n">
        <v>0</v>
      </c>
      <c r="I186" s="9" t="n">
        <v>155.19</v>
      </c>
      <c r="J186" s="9">
        <f>ROUND(1*SUMIFS('Allocations'!$C$5:$C$222,'Allocations'!$B$5:$B$222,A186),2)</f>
        <v>155.19</v>
      </c>
      <c r="K186" s="9">
        <f>ROUND(I186-J186,2)</f>
        <v>0</v>
      </c>
      <c r="L186">
        <f>MAX(0,DATE(2026,9,30)-E186)</f>
        <v>7</v>
      </c>
      <c r="M186">
        <f>IF(K186&lt;-0.005,"Credit balance: check for double payment",IF(AND(K186&gt;0.005,L186&gt;60),"Over 60 days overdue",""))</f>
      </c>
    </row>
    <row r="187">
      <c r="A187" t="inlineStr">
        <is>
          <t>INV/2026/03070</t>
        </is>
      </c>
      <c r="B187" t="inlineStr">
        <is>
          <t>Invoice</t>
        </is>
      </c>
      <c r="C187" t="inlineStr">
        <is>
          <t>Tallowwood Plans</t>
        </is>
      </c>
      <c r="D187" s="5" t="n">
        <v>46274</v>
      </c>
      <c r="E187" s="5" t="n">
        <v>46288</v>
      </c>
      <c r="F187" t="inlineStr">
        <is>
          <t>AUD</t>
        </is>
      </c>
      <c r="G187" s="9" t="n">
        <v>193.99</v>
      </c>
      <c r="H187" s="9" t="n">
        <v>0</v>
      </c>
      <c r="I187" s="9" t="n">
        <v>193.99</v>
      </c>
      <c r="J187" s="9">
        <f>ROUND(1*SUMIFS('Allocations'!$C$5:$C$222,'Allocations'!$B$5:$B$222,A187),2)</f>
        <v>193.99</v>
      </c>
      <c r="K187" s="9">
        <f>ROUND(I187-J187,2)</f>
        <v>0</v>
      </c>
      <c r="L187">
        <f>MAX(0,DATE(2026,9,30)-E187)</f>
        <v>7</v>
      </c>
      <c r="M187">
        <f>IF(K187&lt;-0.005,"Credit balance: check for double payment",IF(AND(K187&gt;0.005,L187&gt;60),"Over 60 days overdue",""))</f>
      </c>
    </row>
    <row r="188">
      <c r="A188" t="inlineStr">
        <is>
          <t>INV/2026/03071</t>
        </is>
      </c>
      <c r="B188" t="inlineStr">
        <is>
          <t>Invoice</t>
        </is>
      </c>
      <c r="C188" t="inlineStr">
        <is>
          <t>Tallowwood Plans</t>
        </is>
      </c>
      <c r="D188" s="5" t="n">
        <v>46274</v>
      </c>
      <c r="E188" s="5" t="n">
        <v>46288</v>
      </c>
      <c r="F188" t="inlineStr">
        <is>
          <t>AUD</t>
        </is>
      </c>
      <c r="G188" s="9" t="n">
        <v>446.18</v>
      </c>
      <c r="H188" s="9" t="n">
        <v>0</v>
      </c>
      <c r="I188" s="9" t="n">
        <v>446.18</v>
      </c>
      <c r="J188" s="9">
        <f>ROUND(1*SUMIFS('Allocations'!$C$5:$C$222,'Allocations'!$B$5:$B$222,A188),2)</f>
        <v>446.18</v>
      </c>
      <c r="K188" s="9">
        <f>ROUND(I188-J188,2)</f>
        <v>0</v>
      </c>
      <c r="L188">
        <f>MAX(0,DATE(2026,9,30)-E188)</f>
        <v>7</v>
      </c>
      <c r="M188">
        <f>IF(K188&lt;-0.005,"Credit balance: check for double payment",IF(AND(K188&gt;0.005,L188&gt;60),"Over 60 days overdue",""))</f>
      </c>
    </row>
    <row r="189">
      <c r="A189" t="inlineStr">
        <is>
          <t>INV/2026/03076</t>
        </is>
      </c>
      <c r="B189" t="inlineStr">
        <is>
          <t>Invoice</t>
        </is>
      </c>
      <c r="C189" t="inlineStr">
        <is>
          <t>Clearpath NDIS Plans</t>
        </is>
      </c>
      <c r="D189" s="5" t="n">
        <v>46275</v>
      </c>
      <c r="E189" s="5" t="n">
        <v>46289</v>
      </c>
      <c r="F189" t="inlineStr">
        <is>
          <t>AUD</t>
        </is>
      </c>
      <c r="G189" s="9" t="n">
        <v>126.99</v>
      </c>
      <c r="H189" s="9" t="n">
        <v>0</v>
      </c>
      <c r="I189" s="9" t="n">
        <v>126.99</v>
      </c>
      <c r="J189" s="9">
        <f>ROUND(1*SUMIFS('Allocations'!$C$5:$C$222,'Allocations'!$B$5:$B$222,A189),2)</f>
        <v>126.99</v>
      </c>
      <c r="K189" s="9">
        <f>ROUND(I189-J189,2)</f>
        <v>0</v>
      </c>
      <c r="L189">
        <f>MAX(0,DATE(2026,9,30)-E189)</f>
        <v>6</v>
      </c>
      <c r="M189">
        <f>IF(K189&lt;-0.005,"Credit balance: check for double payment",IF(AND(K189&gt;0.005,L189&gt;60),"Over 60 days overdue",""))</f>
      </c>
    </row>
    <row r="190">
      <c r="A190" t="inlineStr">
        <is>
          <t>INV/2026/03077</t>
        </is>
      </c>
      <c r="B190" t="inlineStr">
        <is>
          <t>Invoice</t>
        </is>
      </c>
      <c r="C190" t="inlineStr">
        <is>
          <t>Wattle Plan Services</t>
        </is>
      </c>
      <c r="D190" s="5" t="n">
        <v>46275</v>
      </c>
      <c r="E190" s="5" t="n">
        <v>46289</v>
      </c>
      <c r="F190" t="inlineStr">
        <is>
          <t>AUD</t>
        </is>
      </c>
      <c r="G190" s="9" t="n">
        <v>290.98</v>
      </c>
      <c r="H190" s="9" t="n">
        <v>0</v>
      </c>
      <c r="I190" s="9" t="n">
        <v>290.98</v>
      </c>
      <c r="J190" s="9">
        <f>ROUND(1*SUMIFS('Allocations'!$C$5:$C$222,'Allocations'!$B$5:$B$222,A190),2)</f>
        <v>290.98</v>
      </c>
      <c r="K190" s="9">
        <f>ROUND(I190-J190,2)</f>
        <v>0</v>
      </c>
      <c r="L190">
        <f>MAX(0,DATE(2026,9,30)-E190)</f>
        <v>6</v>
      </c>
      <c r="M190">
        <f>IF(K190&lt;-0.005,"Credit balance: check for double payment",IF(AND(K190&gt;0.005,L190&gt;60),"Over 60 days overdue",""))</f>
      </c>
    </row>
    <row r="191">
      <c r="A191" t="inlineStr">
        <is>
          <t>INV/2026/03078</t>
        </is>
      </c>
      <c r="B191" t="inlineStr">
        <is>
          <t>Invoice</t>
        </is>
      </c>
      <c r="C191" t="inlineStr">
        <is>
          <t>Wattle Plan Services</t>
        </is>
      </c>
      <c r="D191" s="5" t="n">
        <v>46275</v>
      </c>
      <c r="E191" s="5" t="n">
        <v>46289</v>
      </c>
      <c r="F191" t="inlineStr">
        <is>
          <t>AUD</t>
        </is>
      </c>
      <c r="G191" s="9" t="n">
        <v>387.98</v>
      </c>
      <c r="H191" s="9" t="n">
        <v>0</v>
      </c>
      <c r="I191" s="9" t="n">
        <v>387.98</v>
      </c>
      <c r="J191" s="9">
        <f>ROUND(1*SUMIFS('Allocations'!$C$5:$C$222,'Allocations'!$B$5:$B$222,A191),2)</f>
        <v>387.98</v>
      </c>
      <c r="K191" s="9">
        <f>ROUND(I191-J191,2)</f>
        <v>0</v>
      </c>
      <c r="L191">
        <f>MAX(0,DATE(2026,9,30)-E191)</f>
        <v>6</v>
      </c>
      <c r="M191">
        <f>IF(K191&lt;-0.005,"Credit balance: check for double payment",IF(AND(K191&gt;0.005,L191&gt;60),"Over 60 days overdue",""))</f>
      </c>
    </row>
    <row r="192">
      <c r="A192" t="inlineStr">
        <is>
          <t>INV/2026/03100</t>
        </is>
      </c>
      <c r="B192" t="inlineStr">
        <is>
          <t>Invoice</t>
        </is>
      </c>
      <c r="C192" t="inlineStr">
        <is>
          <t>Wattle Plan Services</t>
        </is>
      </c>
      <c r="D192" s="5" t="n">
        <v>46276</v>
      </c>
      <c r="E192" s="5" t="n">
        <v>46290</v>
      </c>
      <c r="F192" t="inlineStr">
        <is>
          <t>AUD</t>
        </is>
      </c>
      <c r="G192" s="9" t="n">
        <v>320.98</v>
      </c>
      <c r="H192" s="9" t="n">
        <v>0</v>
      </c>
      <c r="I192" s="9" t="n">
        <v>320.98</v>
      </c>
      <c r="J192" s="9">
        <f>ROUND(1*SUMIFS('Allocations'!$C$5:$C$222,'Allocations'!$B$5:$B$222,A192),2)</f>
        <v>320.98</v>
      </c>
      <c r="K192" s="9">
        <f>ROUND(I192-J192,2)</f>
        <v>0</v>
      </c>
      <c r="L192">
        <f>MAX(0,DATE(2026,9,30)-E192)</f>
        <v>5</v>
      </c>
      <c r="M192">
        <f>IF(K192&lt;-0.005,"Credit balance: check for double payment",IF(AND(K192&gt;0.005,L192&gt;60),"Over 60 days overdue",""))</f>
      </c>
    </row>
    <row r="193">
      <c r="A193" t="inlineStr">
        <is>
          <t>INV/2026/03103</t>
        </is>
      </c>
      <c r="B193" t="inlineStr">
        <is>
          <t>Invoice</t>
        </is>
      </c>
      <c r="C193" t="inlineStr">
        <is>
          <t>Ironbark Plan Management</t>
        </is>
      </c>
      <c r="D193" s="5" t="n">
        <v>46276</v>
      </c>
      <c r="E193" s="5" t="n">
        <v>46290</v>
      </c>
      <c r="F193" t="inlineStr">
        <is>
          <t>AUD</t>
        </is>
      </c>
      <c r="G193" s="9" t="n">
        <v>155.19</v>
      </c>
      <c r="H193" s="9" t="n">
        <v>0</v>
      </c>
      <c r="I193" s="9" t="n">
        <v>155.19</v>
      </c>
      <c r="J193" s="9">
        <f>ROUND(1*SUMIFS('Allocations'!$C$5:$C$222,'Allocations'!$B$5:$B$222,A193),2)</f>
        <v>0</v>
      </c>
      <c r="K193" s="9">
        <f>ROUND(I193-J193,2)</f>
        <v>155.19</v>
      </c>
      <c r="L193">
        <f>MAX(0,DATE(2026,9,30)-E193)</f>
        <v>5</v>
      </c>
      <c r="M193">
        <f>IF(K193&lt;-0.005,"Credit balance: check for double payment",IF(AND(K193&gt;0.005,L193&gt;60),"Over 60 days overdue",""))</f>
      </c>
    </row>
    <row r="194">
      <c r="A194" t="inlineStr">
        <is>
          <t>INV/2026/03104</t>
        </is>
      </c>
      <c r="B194" t="inlineStr">
        <is>
          <t>Invoice</t>
        </is>
      </c>
      <c r="C194" t="inlineStr">
        <is>
          <t>Ironbark Plan Management</t>
        </is>
      </c>
      <c r="D194" s="5" t="n">
        <v>46276</v>
      </c>
      <c r="E194" s="5" t="n">
        <v>46290</v>
      </c>
      <c r="F194" t="inlineStr">
        <is>
          <t>AUD</t>
        </is>
      </c>
      <c r="G194" s="9" t="n">
        <v>387.98</v>
      </c>
      <c r="H194" s="9" t="n">
        <v>0</v>
      </c>
      <c r="I194" s="9" t="n">
        <v>387.98</v>
      </c>
      <c r="J194" s="9">
        <f>ROUND(1*SUMIFS('Allocations'!$C$5:$C$222,'Allocations'!$B$5:$B$222,A194),2)</f>
        <v>0</v>
      </c>
      <c r="K194" s="9">
        <f>ROUND(I194-J194,2)</f>
        <v>387.98</v>
      </c>
      <c r="L194">
        <f>MAX(0,DATE(2026,9,30)-E194)</f>
        <v>5</v>
      </c>
      <c r="M194">
        <f>IF(K194&lt;-0.005,"Credit balance: check for double payment",IF(AND(K194&gt;0.005,L194&gt;60),"Over 60 days overdue",""))</f>
      </c>
    </row>
    <row r="195">
      <c r="A195" t="inlineStr">
        <is>
          <t>INV/2026/03118</t>
        </is>
      </c>
      <c r="B195" t="inlineStr">
        <is>
          <t>Invoice</t>
        </is>
      </c>
      <c r="C195" t="inlineStr">
        <is>
          <t>Mallee Plan Services</t>
        </is>
      </c>
      <c r="D195" s="5" t="n">
        <v>46276</v>
      </c>
      <c r="E195" s="5" t="n">
        <v>46290</v>
      </c>
      <c r="F195" t="inlineStr">
        <is>
          <t>AUD</t>
        </is>
      </c>
      <c r="G195" s="9" t="n">
        <v>155.19</v>
      </c>
      <c r="H195" s="9" t="n">
        <v>0</v>
      </c>
      <c r="I195" s="9" t="n">
        <v>-155.19</v>
      </c>
      <c r="J195" s="9">
        <f>ROUND(1*SUMIFS('Allocations'!$C$5:$C$222,'Allocations'!$B$5:$B$222,A195),2)</f>
        <v>0</v>
      </c>
      <c r="K195" s="9">
        <f>ROUND(I195-J195,2)</f>
        <v>-155.19</v>
      </c>
      <c r="L195">
        <f>MAX(0,DATE(2026,9,30)-E195)</f>
        <v>5</v>
      </c>
      <c r="M195" t="str">
        <f>IF(K195&lt;-0.005,"Credit balance: check for double payment",IF(AND(K195&gt;0.005,L195&gt;60),"Over 60 days overdue",""))</f>
        <v>Credit balance: check for double payment</v>
      </c>
    </row>
    <row r="196">
      <c r="A196" t="inlineStr">
        <is>
          <t>INV/2026/03119</t>
        </is>
      </c>
      <c r="B196" t="inlineStr">
        <is>
          <t>Invoice</t>
        </is>
      </c>
      <c r="C196" t="inlineStr">
        <is>
          <t>Coastline Health Fund</t>
        </is>
      </c>
      <c r="D196" s="5" t="n">
        <v>46276</v>
      </c>
      <c r="E196" s="5" t="n">
        <v>46290</v>
      </c>
      <c r="F196" t="inlineStr">
        <is>
          <t>AUD</t>
        </is>
      </c>
      <c r="G196" s="9" t="n">
        <v>132</v>
      </c>
      <c r="H196" s="9" t="n">
        <v>0</v>
      </c>
      <c r="I196" s="9" t="n">
        <v>132</v>
      </c>
      <c r="J196" s="9">
        <f>ROUND(1*SUMIFS('Allocations'!$C$5:$C$222,'Allocations'!$B$5:$B$222,A196),2)</f>
        <v>0</v>
      </c>
      <c r="K196" s="9">
        <f>ROUND(I196-J196,2)</f>
        <v>132</v>
      </c>
      <c r="L196">
        <f>MAX(0,DATE(2026,9,30)-E196)</f>
        <v>5</v>
      </c>
      <c r="M196">
        <f>IF(K196&lt;-0.005,"Credit balance: check for double payment",IF(AND(K196&gt;0.005,L196&gt;60),"Over 60 days overdue",""))</f>
      </c>
    </row>
    <row r="197">
      <c r="A197" t="inlineStr">
        <is>
          <t>INV/2026/03120</t>
        </is>
      </c>
      <c r="B197" t="inlineStr">
        <is>
          <t>Invoice</t>
        </is>
      </c>
      <c r="C197" t="inlineStr">
        <is>
          <t>Unity Workcover Agents</t>
        </is>
      </c>
      <c r="D197" s="5" t="n">
        <v>46276</v>
      </c>
      <c r="E197" s="5" t="n">
        <v>46290</v>
      </c>
      <c r="F197" t="inlineStr">
        <is>
          <t>AUD</t>
        </is>
      </c>
      <c r="G197" s="9" t="n">
        <v>176</v>
      </c>
      <c r="H197" s="9" t="n">
        <v>0</v>
      </c>
      <c r="I197" s="9" t="n">
        <v>176</v>
      </c>
      <c r="J197" s="9">
        <f>ROUND(1*SUMIFS('Allocations'!$C$5:$C$222,'Allocations'!$B$5:$B$222,A197),2)</f>
        <v>176</v>
      </c>
      <c r="K197" s="9">
        <f>ROUND(I197-J197,2)</f>
        <v>0</v>
      </c>
      <c r="L197">
        <f>MAX(0,DATE(2026,9,30)-E197)</f>
        <v>5</v>
      </c>
      <c r="M197">
        <f>IF(K197&lt;-0.005,"Credit balance: check for double payment",IF(AND(K197&gt;0.005,L197&gt;60),"Over 60 days overdue",""))</f>
      </c>
    </row>
    <row r="198">
      <c r="A198" t="inlineStr">
        <is>
          <t>INV/2026/03122</t>
        </is>
      </c>
      <c r="B198" t="inlineStr">
        <is>
          <t>Invoice</t>
        </is>
      </c>
      <c r="C198" t="inlineStr">
        <is>
          <t>Bluegum Plan Management</t>
        </is>
      </c>
      <c r="D198" s="5" t="n">
        <v>46279</v>
      </c>
      <c r="E198" s="5" t="n">
        <v>46293</v>
      </c>
      <c r="F198" t="inlineStr">
        <is>
          <t>AUD</t>
        </is>
      </c>
      <c r="G198" s="9" t="n">
        <v>96.98999999999999</v>
      </c>
      <c r="H198" s="9" t="n">
        <v>0</v>
      </c>
      <c r="I198" s="9" t="n">
        <v>29.1</v>
      </c>
      <c r="J198" s="9">
        <f>ROUND(1*SUMIFS('Allocations'!$C$5:$C$222,'Allocations'!$B$5:$B$222,A198),2)</f>
        <v>0</v>
      </c>
      <c r="K198" s="9">
        <f>ROUND(I198-J198,2)</f>
        <v>29.1</v>
      </c>
      <c r="L198">
        <f>MAX(0,DATE(2026,9,30)-E198)</f>
        <v>2</v>
      </c>
      <c r="M198">
        <f>IF(K198&lt;-0.005,"Credit balance: check for double payment",IF(AND(K198&gt;0.005,L198&gt;60),"Over 60 days overdue",""))</f>
      </c>
    </row>
    <row r="199">
      <c r="A199" t="inlineStr">
        <is>
          <t>INV/2026/03127</t>
        </is>
      </c>
      <c r="B199" t="inlineStr">
        <is>
          <t>Invoice</t>
        </is>
      </c>
      <c r="C199" t="inlineStr">
        <is>
          <t>Wattle Plan Services</t>
        </is>
      </c>
      <c r="D199" s="5" t="n">
        <v>46279</v>
      </c>
      <c r="E199" s="5" t="n">
        <v>46293</v>
      </c>
      <c r="F199" t="inlineStr">
        <is>
          <t>AUD</t>
        </is>
      </c>
      <c r="G199" s="9" t="n">
        <v>155.19</v>
      </c>
      <c r="H199" s="9" t="n">
        <v>0</v>
      </c>
      <c r="I199" s="9" t="n">
        <v>155.19</v>
      </c>
      <c r="J199" s="9">
        <f>ROUND(1*SUMIFS('Allocations'!$C$5:$C$222,'Allocations'!$B$5:$B$222,A199),2)</f>
        <v>155.19</v>
      </c>
      <c r="K199" s="9">
        <f>ROUND(I199-J199,2)</f>
        <v>0</v>
      </c>
      <c r="L199">
        <f>MAX(0,DATE(2026,9,30)-E199)</f>
        <v>2</v>
      </c>
      <c r="M199">
        <f>IF(K199&lt;-0.005,"Credit balance: check for double payment",IF(AND(K199&gt;0.005,L199&gt;60),"Over 60 days overdue",""))</f>
      </c>
    </row>
    <row r="200">
      <c r="A200" t="inlineStr">
        <is>
          <t>INV/2026/03133</t>
        </is>
      </c>
      <c r="B200" t="inlineStr">
        <is>
          <t>Invoice</t>
        </is>
      </c>
      <c r="C200" t="inlineStr">
        <is>
          <t>Ironbark Plan Management</t>
        </is>
      </c>
      <c r="D200" s="5" t="n">
        <v>46279</v>
      </c>
      <c r="E200" s="5" t="n">
        <v>46293</v>
      </c>
      <c r="F200" t="inlineStr">
        <is>
          <t>AUD</t>
        </is>
      </c>
      <c r="G200" s="9" t="n">
        <v>290.98</v>
      </c>
      <c r="H200" s="9" t="n">
        <v>0</v>
      </c>
      <c r="I200" s="9" t="n">
        <v>290.98</v>
      </c>
      <c r="J200" s="9">
        <f>ROUND(1*SUMIFS('Allocations'!$C$5:$C$222,'Allocations'!$B$5:$B$222,A200),2)</f>
        <v>0</v>
      </c>
      <c r="K200" s="9">
        <f>ROUND(I200-J200,2)</f>
        <v>290.98</v>
      </c>
      <c r="L200">
        <f>MAX(0,DATE(2026,9,30)-E200)</f>
        <v>2</v>
      </c>
      <c r="M200">
        <f>IF(K200&lt;-0.005,"Credit balance: check for double payment",IF(AND(K200&gt;0.005,L200&gt;60),"Over 60 days overdue",""))</f>
      </c>
    </row>
    <row r="201">
      <c r="A201" t="inlineStr">
        <is>
          <t>INV/2026/03135</t>
        </is>
      </c>
      <c r="B201" t="inlineStr">
        <is>
          <t>Invoice</t>
        </is>
      </c>
      <c r="C201" t="inlineStr">
        <is>
          <t>Kookaburra Plan Support</t>
        </is>
      </c>
      <c r="D201" s="5" t="n">
        <v>46279</v>
      </c>
      <c r="E201" s="5" t="n">
        <v>46293</v>
      </c>
      <c r="F201" t="inlineStr">
        <is>
          <t>AUD</t>
        </is>
      </c>
      <c r="G201" s="9" t="n">
        <v>193.99</v>
      </c>
      <c r="H201" s="9" t="n">
        <v>0</v>
      </c>
      <c r="I201" s="9" t="n">
        <v>193.99</v>
      </c>
      <c r="J201" s="9">
        <f>ROUND(1*SUMIFS('Allocations'!$C$5:$C$222,'Allocations'!$B$5:$B$222,A201),2)</f>
        <v>193.99</v>
      </c>
      <c r="K201" s="9">
        <f>ROUND(I201-J201,2)</f>
        <v>0</v>
      </c>
      <c r="L201">
        <f>MAX(0,DATE(2026,9,30)-E201)</f>
        <v>2</v>
      </c>
      <c r="M201">
        <f>IF(K201&lt;-0.005,"Credit balance: check for double payment",IF(AND(K201&gt;0.005,L201&gt;60),"Over 60 days overdue",""))</f>
      </c>
    </row>
    <row r="202">
      <c r="A202" t="inlineStr">
        <is>
          <t>INV/2026/03136</t>
        </is>
      </c>
      <c r="B202" t="inlineStr">
        <is>
          <t>Invoice</t>
        </is>
      </c>
      <c r="C202" t="inlineStr">
        <is>
          <t>Kookaburra Plan Support</t>
        </is>
      </c>
      <c r="D202" s="5" t="n">
        <v>46279</v>
      </c>
      <c r="E202" s="5" t="n">
        <v>46293</v>
      </c>
      <c r="F202" t="inlineStr">
        <is>
          <t>AUD</t>
        </is>
      </c>
      <c r="G202" s="9" t="n">
        <v>145.49</v>
      </c>
      <c r="H202" s="9" t="n">
        <v>0</v>
      </c>
      <c r="I202" s="9" t="n">
        <v>145.49</v>
      </c>
      <c r="J202" s="9">
        <f>ROUND(1*SUMIFS('Allocations'!$C$5:$C$222,'Allocations'!$B$5:$B$222,A202),2)</f>
        <v>145.49</v>
      </c>
      <c r="K202" s="9">
        <f>ROUND(I202-J202,2)</f>
        <v>0</v>
      </c>
      <c r="L202">
        <f>MAX(0,DATE(2026,9,30)-E202)</f>
        <v>2</v>
      </c>
      <c r="M202">
        <f>IF(K202&lt;-0.005,"Credit balance: check for double payment",IF(AND(K202&gt;0.005,L202&gt;60),"Over 60 days overdue",""))</f>
      </c>
    </row>
    <row r="203">
      <c r="A203" t="inlineStr">
        <is>
          <t>INV/2026/03149</t>
        </is>
      </c>
      <c r="B203" t="inlineStr">
        <is>
          <t>Invoice</t>
        </is>
      </c>
      <c r="C203" t="inlineStr">
        <is>
          <t>Unity Workcover Agents</t>
        </is>
      </c>
      <c r="D203" s="5" t="n">
        <v>46279</v>
      </c>
      <c r="E203" s="5" t="n">
        <v>46293</v>
      </c>
      <c r="F203" t="inlineStr">
        <is>
          <t>AUD</t>
        </is>
      </c>
      <c r="G203" s="9" t="n">
        <v>264</v>
      </c>
      <c r="H203" s="9" t="n">
        <v>0</v>
      </c>
      <c r="I203" s="9" t="n">
        <v>264</v>
      </c>
      <c r="J203" s="9">
        <f>ROUND(1*SUMIFS('Allocations'!$C$5:$C$222,'Allocations'!$B$5:$B$222,A203),2)</f>
        <v>264</v>
      </c>
      <c r="K203" s="9">
        <f>ROUND(I203-J203,2)</f>
        <v>0</v>
      </c>
      <c r="L203">
        <f>MAX(0,DATE(2026,9,30)-E203)</f>
        <v>2</v>
      </c>
      <c r="M203">
        <f>IF(K203&lt;-0.005,"Credit balance: check for double payment",IF(AND(K203&gt;0.005,L203&gt;60),"Over 60 days overdue",""))</f>
      </c>
    </row>
    <row r="204">
      <c r="A204" t="inlineStr">
        <is>
          <t>INV/2026/03150</t>
        </is>
      </c>
      <c r="B204" t="inlineStr">
        <is>
          <t>Invoice</t>
        </is>
      </c>
      <c r="C204" t="inlineStr">
        <is>
          <t>Meridian Health Cover</t>
        </is>
      </c>
      <c r="D204" s="5" t="n">
        <v>46279</v>
      </c>
      <c r="E204" s="5" t="n">
        <v>46293</v>
      </c>
      <c r="F204" t="inlineStr">
        <is>
          <t>AUD</t>
        </is>
      </c>
      <c r="G204" s="9" t="n">
        <v>412.5</v>
      </c>
      <c r="H204" s="9" t="n">
        <v>0</v>
      </c>
      <c r="I204" s="9" t="n">
        <v>412.5</v>
      </c>
      <c r="J204" s="9">
        <f>ROUND(1*SUMIFS('Allocations'!$C$5:$C$222,'Allocations'!$B$5:$B$222,A204),2)</f>
        <v>0</v>
      </c>
      <c r="K204" s="9">
        <f>ROUND(I204-J204,2)</f>
        <v>412.5</v>
      </c>
      <c r="L204">
        <f>MAX(0,DATE(2026,9,30)-E204)</f>
        <v>2</v>
      </c>
      <c r="M204">
        <f>IF(K204&lt;-0.005,"Credit balance: check for double payment",IF(AND(K204&gt;0.005,L204&gt;60),"Over 60 days overdue",""))</f>
      </c>
    </row>
    <row r="205">
      <c r="A205" t="inlineStr">
        <is>
          <t>INV/2026/03153</t>
        </is>
      </c>
      <c r="B205" t="inlineStr">
        <is>
          <t>Invoice</t>
        </is>
      </c>
      <c r="C205" t="inlineStr">
        <is>
          <t>Riverbend Plan Partners</t>
        </is>
      </c>
      <c r="D205" s="5" t="n">
        <v>46280</v>
      </c>
      <c r="E205" s="5" t="n">
        <v>46294</v>
      </c>
      <c r="F205" t="inlineStr">
        <is>
          <t>AUD</t>
        </is>
      </c>
      <c r="G205" s="9" t="n">
        <v>242.49</v>
      </c>
      <c r="H205" s="9" t="n">
        <v>0</v>
      </c>
      <c r="I205" s="9" t="n">
        <v>242.49</v>
      </c>
      <c r="J205" s="9">
        <f>ROUND(1*SUMIFS('Allocations'!$C$5:$C$222,'Allocations'!$B$5:$B$222,A205),2)</f>
        <v>242.49</v>
      </c>
      <c r="K205" s="9">
        <f>ROUND(I205-J205,2)</f>
        <v>0</v>
      </c>
      <c r="L205">
        <f>MAX(0,DATE(2026,9,30)-E205)</f>
        <v>1</v>
      </c>
      <c r="M205">
        <f>IF(K205&lt;-0.005,"Credit balance: check for double payment",IF(AND(K205&gt;0.005,L205&gt;60),"Over 60 days overdue",""))</f>
      </c>
    </row>
    <row r="206">
      <c r="A206" t="inlineStr">
        <is>
          <t>INV/2026/03155</t>
        </is>
      </c>
      <c r="B206" t="inlineStr">
        <is>
          <t>Invoice</t>
        </is>
      </c>
      <c r="C206" t="inlineStr">
        <is>
          <t>Wattle Plan Services</t>
        </is>
      </c>
      <c r="D206" s="5" t="n">
        <v>46280</v>
      </c>
      <c r="E206" s="5" t="n">
        <v>46294</v>
      </c>
      <c r="F206" t="inlineStr">
        <is>
          <t>AUD</t>
        </is>
      </c>
      <c r="G206" s="9" t="n">
        <v>193.99</v>
      </c>
      <c r="H206" s="9" t="n">
        <v>0</v>
      </c>
      <c r="I206" s="9" t="n">
        <v>193.99</v>
      </c>
      <c r="J206" s="9">
        <f>ROUND(1*SUMIFS('Allocations'!$C$5:$C$222,'Allocations'!$B$5:$B$222,A206),2)</f>
        <v>193.99</v>
      </c>
      <c r="K206" s="9">
        <f>ROUND(I206-J206,2)</f>
        <v>0</v>
      </c>
      <c r="L206">
        <f>MAX(0,DATE(2026,9,30)-E206)</f>
        <v>1</v>
      </c>
      <c r="M206">
        <f>IF(K206&lt;-0.005,"Credit balance: check for double payment",IF(AND(K206&gt;0.005,L206&gt;60),"Over 60 days overdue",""))</f>
      </c>
    </row>
    <row r="207">
      <c r="A207" t="inlineStr">
        <is>
          <t>INV/2026/03159</t>
        </is>
      </c>
      <c r="B207" t="inlineStr">
        <is>
          <t>Invoice</t>
        </is>
      </c>
      <c r="C207" t="inlineStr">
        <is>
          <t>Ironbark Plan Management</t>
        </is>
      </c>
      <c r="D207" s="5" t="n">
        <v>46280</v>
      </c>
      <c r="E207" s="5" t="n">
        <v>46294</v>
      </c>
      <c r="F207" t="inlineStr">
        <is>
          <t>AUD</t>
        </is>
      </c>
      <c r="G207" s="9" t="n">
        <v>145.49</v>
      </c>
      <c r="H207" s="9" t="n">
        <v>0</v>
      </c>
      <c r="I207" s="9" t="n">
        <v>145.49</v>
      </c>
      <c r="J207" s="9">
        <f>ROUND(1*SUMIFS('Allocations'!$C$5:$C$222,'Allocations'!$B$5:$B$222,A207),2)</f>
        <v>0</v>
      </c>
      <c r="K207" s="9">
        <f>ROUND(I207-J207,2)</f>
        <v>145.49</v>
      </c>
      <c r="L207">
        <f>MAX(0,DATE(2026,9,30)-E207)</f>
        <v>1</v>
      </c>
      <c r="M207">
        <f>IF(K207&lt;-0.005,"Credit balance: check for double payment",IF(AND(K207&gt;0.005,L207&gt;60),"Over 60 days overdue",""))</f>
      </c>
    </row>
    <row r="208">
      <c r="A208" t="inlineStr">
        <is>
          <t>INV/2026/03160</t>
        </is>
      </c>
      <c r="B208" t="inlineStr">
        <is>
          <t>Invoice</t>
        </is>
      </c>
      <c r="C208" t="inlineStr">
        <is>
          <t>Ironbark Plan Management</t>
        </is>
      </c>
      <c r="D208" s="5" t="n">
        <v>46280</v>
      </c>
      <c r="E208" s="5" t="n">
        <v>46294</v>
      </c>
      <c r="F208" t="inlineStr">
        <is>
          <t>AUD</t>
        </is>
      </c>
      <c r="G208" s="9" t="n">
        <v>145.49</v>
      </c>
      <c r="H208" s="9" t="n">
        <v>0</v>
      </c>
      <c r="I208" s="9" t="n">
        <v>145.49</v>
      </c>
      <c r="J208" s="9">
        <f>ROUND(1*SUMIFS('Allocations'!$C$5:$C$222,'Allocations'!$B$5:$B$222,A208),2)</f>
        <v>0</v>
      </c>
      <c r="K208" s="9">
        <f>ROUND(I208-J208,2)</f>
        <v>145.49</v>
      </c>
      <c r="L208">
        <f>MAX(0,DATE(2026,9,30)-E208)</f>
        <v>1</v>
      </c>
      <c r="M208">
        <f>IF(K208&lt;-0.005,"Credit balance: check for double payment",IF(AND(K208&gt;0.005,L208&gt;60),"Over 60 days overdue",""))</f>
      </c>
    </row>
    <row r="209">
      <c r="A209" t="inlineStr">
        <is>
          <t>INV/2026/03161</t>
        </is>
      </c>
      <c r="B209" t="inlineStr">
        <is>
          <t>Invoice</t>
        </is>
      </c>
      <c r="C209" t="inlineStr">
        <is>
          <t>Kookaburra Plan Support</t>
        </is>
      </c>
      <c r="D209" s="5" t="n">
        <v>46280</v>
      </c>
      <c r="E209" s="5" t="n">
        <v>46294</v>
      </c>
      <c r="F209" t="inlineStr">
        <is>
          <t>AUD</t>
        </is>
      </c>
      <c r="G209" s="9" t="n">
        <v>417.98</v>
      </c>
      <c r="H209" s="9" t="n">
        <v>0</v>
      </c>
      <c r="I209" s="9" t="n">
        <v>417.98</v>
      </c>
      <c r="J209" s="9">
        <f>ROUND(1*SUMIFS('Allocations'!$C$5:$C$222,'Allocations'!$B$5:$B$222,A209),2)</f>
        <v>417.98</v>
      </c>
      <c r="K209" s="9">
        <f>ROUND(I209-J209,2)</f>
        <v>0</v>
      </c>
      <c r="L209">
        <f>MAX(0,DATE(2026,9,30)-E209)</f>
        <v>1</v>
      </c>
      <c r="M209">
        <f>IF(K209&lt;-0.005,"Credit balance: check for double payment",IF(AND(K209&gt;0.005,L209&gt;60),"Over 60 days overdue",""))</f>
      </c>
    </row>
    <row r="210">
      <c r="A210" t="inlineStr">
        <is>
          <t>INV/2026/03162</t>
        </is>
      </c>
      <c r="B210" t="inlineStr">
        <is>
          <t>Invoice</t>
        </is>
      </c>
      <c r="C210" t="inlineStr">
        <is>
          <t>Kookaburra Plan Support</t>
        </is>
      </c>
      <c r="D210" s="5" t="n">
        <v>46280</v>
      </c>
      <c r="E210" s="5" t="n">
        <v>46294</v>
      </c>
      <c r="F210" t="inlineStr">
        <is>
          <t>AUD</t>
        </is>
      </c>
      <c r="G210" s="9" t="n">
        <v>320.98</v>
      </c>
      <c r="H210" s="9" t="n">
        <v>0</v>
      </c>
      <c r="I210" s="9" t="n">
        <v>320.98</v>
      </c>
      <c r="J210" s="9">
        <f>ROUND(1*SUMIFS('Allocations'!$C$5:$C$222,'Allocations'!$B$5:$B$222,A210),2)</f>
        <v>320.98</v>
      </c>
      <c r="K210" s="9">
        <f>ROUND(I210-J210,2)</f>
        <v>0</v>
      </c>
      <c r="L210">
        <f>MAX(0,DATE(2026,9,30)-E210)</f>
        <v>1</v>
      </c>
      <c r="M210">
        <f>IF(K210&lt;-0.005,"Credit balance: check for double payment",IF(AND(K210&gt;0.005,L210&gt;60),"Over 60 days overdue",""))</f>
      </c>
    </row>
    <row r="211">
      <c r="A211" t="inlineStr">
        <is>
          <t>INV/2026/03163</t>
        </is>
      </c>
      <c r="B211" t="inlineStr">
        <is>
          <t>Invoice</t>
        </is>
      </c>
      <c r="C211" t="inlineStr">
        <is>
          <t>Kookaburra Plan Support</t>
        </is>
      </c>
      <c r="D211" s="5" t="n">
        <v>46280</v>
      </c>
      <c r="E211" s="5" t="n">
        <v>46294</v>
      </c>
      <c r="F211" t="inlineStr">
        <is>
          <t>AUD</t>
        </is>
      </c>
      <c r="G211" s="9" t="n">
        <v>126.99</v>
      </c>
      <c r="H211" s="9" t="n">
        <v>0</v>
      </c>
      <c r="I211" s="9" t="n">
        <v>126.99</v>
      </c>
      <c r="J211" s="9">
        <f>ROUND(1*SUMIFS('Allocations'!$C$5:$C$222,'Allocations'!$B$5:$B$222,A211),2)</f>
        <v>126.99</v>
      </c>
      <c r="K211" s="9">
        <f>ROUND(I211-J211,2)</f>
        <v>0</v>
      </c>
      <c r="L211">
        <f>MAX(0,DATE(2026,9,30)-E211)</f>
        <v>1</v>
      </c>
      <c r="M211">
        <f>IF(K211&lt;-0.005,"Credit balance: check for double payment",IF(AND(K211&gt;0.005,L211&gt;60),"Over 60 days overdue",""))</f>
      </c>
    </row>
    <row r="212">
      <c r="A212" t="inlineStr">
        <is>
          <t>INV/2026/03166</t>
        </is>
      </c>
      <c r="B212" t="inlineStr">
        <is>
          <t>Invoice</t>
        </is>
      </c>
      <c r="C212" t="inlineStr">
        <is>
          <t>Saltbush Plan Managers</t>
        </is>
      </c>
      <c r="D212" s="5" t="n">
        <v>46280</v>
      </c>
      <c r="E212" s="5" t="n">
        <v>46294</v>
      </c>
      <c r="F212" t="inlineStr">
        <is>
          <t>AUD</t>
        </is>
      </c>
      <c r="G212" s="9" t="n">
        <v>387.98</v>
      </c>
      <c r="H212" s="9" t="n">
        <v>0</v>
      </c>
      <c r="I212" s="9" t="n">
        <v>387.98</v>
      </c>
      <c r="J212" s="9">
        <f>ROUND(1*SUMIFS('Allocations'!$C$5:$C$222,'Allocations'!$B$5:$B$222,A212),2)</f>
        <v>0</v>
      </c>
      <c r="K212" s="9">
        <f>ROUND(I212-J212,2)</f>
        <v>387.98</v>
      </c>
      <c r="L212">
        <f>MAX(0,DATE(2026,9,30)-E212)</f>
        <v>1</v>
      </c>
      <c r="M212">
        <f>IF(K212&lt;-0.005,"Credit balance: check for double payment",IF(AND(K212&gt;0.005,L212&gt;60),"Over 60 days overdue",""))</f>
      </c>
    </row>
    <row r="213">
      <c r="A213" t="inlineStr">
        <is>
          <t>INV/2026/03176</t>
        </is>
      </c>
      <c r="B213" t="inlineStr">
        <is>
          <t>Invoice</t>
        </is>
      </c>
      <c r="C213" t="inlineStr">
        <is>
          <t>Riverbend Plan Partners</t>
        </is>
      </c>
      <c r="D213" s="5" t="n">
        <v>46281</v>
      </c>
      <c r="E213" s="5" t="n">
        <v>46295</v>
      </c>
      <c r="F213" t="inlineStr">
        <is>
          <t>AUD</t>
        </is>
      </c>
      <c r="G213" s="9" t="n">
        <v>193.99</v>
      </c>
      <c r="H213" s="9" t="n">
        <v>0</v>
      </c>
      <c r="I213" s="9" t="n">
        <v>193.99</v>
      </c>
      <c r="J213" s="9">
        <f>ROUND(1*SUMIFS('Allocations'!$C$5:$C$222,'Allocations'!$B$5:$B$222,A213),2)</f>
        <v>193.99</v>
      </c>
      <c r="K213" s="9">
        <f>ROUND(I213-J213,2)</f>
        <v>0</v>
      </c>
      <c r="L213">
        <f>MAX(0,DATE(2026,9,30)-E213)</f>
        <v>0</v>
      </c>
      <c r="M213">
        <f>IF(K213&lt;-0.005,"Credit balance: check for double payment",IF(AND(K213&gt;0.005,L213&gt;60),"Over 60 days overdue",""))</f>
      </c>
    </row>
    <row r="214">
      <c r="A214" t="inlineStr">
        <is>
          <t>INV/2026/03178</t>
        </is>
      </c>
      <c r="B214" t="inlineStr">
        <is>
          <t>Invoice</t>
        </is>
      </c>
      <c r="C214" t="inlineStr">
        <is>
          <t>Clearpath NDIS Plans</t>
        </is>
      </c>
      <c r="D214" s="5" t="n">
        <v>46281</v>
      </c>
      <c r="E214" s="5" t="n">
        <v>46295</v>
      </c>
      <c r="F214" t="inlineStr">
        <is>
          <t>AUD</t>
        </is>
      </c>
      <c r="G214" s="9" t="n">
        <v>242.49</v>
      </c>
      <c r="H214" s="9" t="n">
        <v>0</v>
      </c>
      <c r="I214" s="9" t="n">
        <v>242.49</v>
      </c>
      <c r="J214" s="9">
        <f>ROUND(1*SUMIFS('Allocations'!$C$5:$C$222,'Allocations'!$B$5:$B$222,A214),2)</f>
        <v>0</v>
      </c>
      <c r="K214" s="9">
        <f>ROUND(I214-J214,2)</f>
        <v>242.49</v>
      </c>
      <c r="L214">
        <f>MAX(0,DATE(2026,9,30)-E214)</f>
        <v>0</v>
      </c>
      <c r="M214">
        <f>IF(K214&lt;-0.005,"Credit balance: check for double payment",IF(AND(K214&gt;0.005,L214&gt;60),"Over 60 days overdue",""))</f>
      </c>
    </row>
    <row r="215">
      <c r="A215" t="inlineStr">
        <is>
          <t>INV/2026/03179</t>
        </is>
      </c>
      <c r="B215" t="inlineStr">
        <is>
          <t>Invoice</t>
        </is>
      </c>
      <c r="C215" t="inlineStr">
        <is>
          <t>Clearpath NDIS Plans</t>
        </is>
      </c>
      <c r="D215" s="5" t="n">
        <v>46281</v>
      </c>
      <c r="E215" s="5" t="n">
        <v>46295</v>
      </c>
      <c r="F215" t="inlineStr">
        <is>
          <t>AUD</t>
        </is>
      </c>
      <c r="G215" s="9" t="n">
        <v>242.49</v>
      </c>
      <c r="H215" s="9" t="n">
        <v>0</v>
      </c>
      <c r="I215" s="9" t="n">
        <v>242.49</v>
      </c>
      <c r="J215" s="9">
        <f>ROUND(1*SUMIFS('Allocations'!$C$5:$C$222,'Allocations'!$B$5:$B$222,A215),2)</f>
        <v>0</v>
      </c>
      <c r="K215" s="9">
        <f>ROUND(I215-J215,2)</f>
        <v>242.49</v>
      </c>
      <c r="L215">
        <f>MAX(0,DATE(2026,9,30)-E215)</f>
        <v>0</v>
      </c>
      <c r="M215">
        <f>IF(K215&lt;-0.005,"Credit balance: check for double payment",IF(AND(K215&gt;0.005,L215&gt;60),"Over 60 days overdue",""))</f>
      </c>
    </row>
    <row r="216">
      <c r="A216" t="inlineStr">
        <is>
          <t>INV/2026/03181</t>
        </is>
      </c>
      <c r="B216" t="inlineStr">
        <is>
          <t>Invoice</t>
        </is>
      </c>
      <c r="C216" t="inlineStr">
        <is>
          <t>Kookaburra Plan Support</t>
        </is>
      </c>
      <c r="D216" s="5" t="n">
        <v>46281</v>
      </c>
      <c r="E216" s="5" t="n">
        <v>46295</v>
      </c>
      <c r="F216" t="inlineStr">
        <is>
          <t>AUD</t>
        </is>
      </c>
      <c r="G216" s="9" t="n">
        <v>290.98</v>
      </c>
      <c r="H216" s="9" t="n">
        <v>0</v>
      </c>
      <c r="I216" s="9" t="n">
        <v>290.98</v>
      </c>
      <c r="J216" s="9">
        <f>ROUND(1*SUMIFS('Allocations'!$C$5:$C$222,'Allocations'!$B$5:$B$222,A216),2)</f>
        <v>290.98</v>
      </c>
      <c r="K216" s="9">
        <f>ROUND(I216-J216,2)</f>
        <v>0</v>
      </c>
      <c r="L216">
        <f>MAX(0,DATE(2026,9,30)-E216)</f>
        <v>0</v>
      </c>
      <c r="M216">
        <f>IF(K216&lt;-0.005,"Credit balance: check for double payment",IF(AND(K216&gt;0.005,L216&gt;60),"Over 60 days overdue",""))</f>
      </c>
    </row>
    <row r="217">
      <c r="A217" t="inlineStr">
        <is>
          <t>INV/2026/03182</t>
        </is>
      </c>
      <c r="B217" t="inlineStr">
        <is>
          <t>Invoice</t>
        </is>
      </c>
      <c r="C217" t="inlineStr">
        <is>
          <t>Kookaburra Plan Support</t>
        </is>
      </c>
      <c r="D217" s="5" t="n">
        <v>46281</v>
      </c>
      <c r="E217" s="5" t="n">
        <v>46295</v>
      </c>
      <c r="F217" t="inlineStr">
        <is>
          <t>AUD</t>
        </is>
      </c>
      <c r="G217" s="9" t="n">
        <v>242.49</v>
      </c>
      <c r="H217" s="9" t="n">
        <v>0</v>
      </c>
      <c r="I217" s="9" t="n">
        <v>242.49</v>
      </c>
      <c r="J217" s="9">
        <f>ROUND(1*SUMIFS('Allocations'!$C$5:$C$222,'Allocations'!$B$5:$B$222,A217),2)</f>
        <v>242.49</v>
      </c>
      <c r="K217" s="9">
        <f>ROUND(I217-J217,2)</f>
        <v>0</v>
      </c>
      <c r="L217">
        <f>MAX(0,DATE(2026,9,30)-E217)</f>
        <v>0</v>
      </c>
      <c r="M217">
        <f>IF(K217&lt;-0.005,"Credit balance: check for double payment",IF(AND(K217&gt;0.005,L217&gt;60),"Over 60 days overdue",""))</f>
      </c>
    </row>
    <row r="218">
      <c r="A218" t="inlineStr">
        <is>
          <t>INV/2026/03183</t>
        </is>
      </c>
      <c r="B218" t="inlineStr">
        <is>
          <t>Invoice</t>
        </is>
      </c>
      <c r="C218" t="inlineStr">
        <is>
          <t>Saltbush Plan Managers</t>
        </is>
      </c>
      <c r="D218" s="5" t="n">
        <v>46281</v>
      </c>
      <c r="E218" s="5" t="n">
        <v>46295</v>
      </c>
      <c r="F218" t="inlineStr">
        <is>
          <t>AUD</t>
        </is>
      </c>
      <c r="G218" s="9" t="n">
        <v>175.49</v>
      </c>
      <c r="H218" s="9" t="n">
        <v>0</v>
      </c>
      <c r="I218" s="9" t="n">
        <v>175.49</v>
      </c>
      <c r="J218" s="9">
        <f>ROUND(1*SUMIFS('Allocations'!$C$5:$C$222,'Allocations'!$B$5:$B$222,A218),2)</f>
        <v>0</v>
      </c>
      <c r="K218" s="9">
        <f>ROUND(I218-J218,2)</f>
        <v>175.49</v>
      </c>
      <c r="L218">
        <f>MAX(0,DATE(2026,9,30)-E218)</f>
        <v>0</v>
      </c>
      <c r="M218">
        <f>IF(K218&lt;-0.005,"Credit balance: check for double payment",IF(AND(K218&gt;0.005,L218&gt;60),"Over 60 days overdue",""))</f>
      </c>
    </row>
    <row r="219">
      <c r="A219" t="inlineStr">
        <is>
          <t>INV/2026/03186</t>
        </is>
      </c>
      <c r="B219" t="inlineStr">
        <is>
          <t>Invoice</t>
        </is>
      </c>
      <c r="C219" t="inlineStr">
        <is>
          <t>Tallowwood Plans</t>
        </is>
      </c>
      <c r="D219" s="5" t="n">
        <v>46281</v>
      </c>
      <c r="E219" s="5" t="n">
        <v>46295</v>
      </c>
      <c r="F219" t="inlineStr">
        <is>
          <t>AUD</t>
        </is>
      </c>
      <c r="G219" s="9" t="n">
        <v>242.49</v>
      </c>
      <c r="H219" s="9" t="n">
        <v>0</v>
      </c>
      <c r="I219" s="9" t="n">
        <v>242.49</v>
      </c>
      <c r="J219" s="9">
        <f>ROUND(1*SUMIFS('Allocations'!$C$5:$C$222,'Allocations'!$B$5:$B$222,A219),2)</f>
        <v>242.49</v>
      </c>
      <c r="K219" s="9">
        <f>ROUND(I219-J219,2)</f>
        <v>0</v>
      </c>
      <c r="L219">
        <f>MAX(0,DATE(2026,9,30)-E219)</f>
        <v>0</v>
      </c>
      <c r="M219">
        <f>IF(K219&lt;-0.005,"Credit balance: check for double payment",IF(AND(K219&gt;0.005,L219&gt;60),"Over 60 days overdue",""))</f>
      </c>
    </row>
    <row r="220">
      <c r="A220" t="inlineStr">
        <is>
          <t>INV/2026/03189</t>
        </is>
      </c>
      <c r="B220" t="inlineStr">
        <is>
          <t>Invoice</t>
        </is>
      </c>
      <c r="C220" t="inlineStr">
        <is>
          <t>Coastline Health Fund</t>
        </is>
      </c>
      <c r="D220" s="5" t="n">
        <v>46281</v>
      </c>
      <c r="E220" s="5" t="n">
        <v>46295</v>
      </c>
      <c r="F220" t="inlineStr">
        <is>
          <t>AUD</t>
        </is>
      </c>
      <c r="G220" s="9" t="n">
        <v>264</v>
      </c>
      <c r="H220" s="9" t="n">
        <v>0</v>
      </c>
      <c r="I220" s="9" t="n">
        <v>264</v>
      </c>
      <c r="J220" s="9">
        <f>ROUND(1*SUMIFS('Allocations'!$C$5:$C$222,'Allocations'!$B$5:$B$222,A220),2)</f>
        <v>264</v>
      </c>
      <c r="K220" s="9">
        <f>ROUND(I220-J220,2)</f>
        <v>0</v>
      </c>
      <c r="L220">
        <f>MAX(0,DATE(2026,9,30)-E220)</f>
        <v>0</v>
      </c>
      <c r="M220">
        <f>IF(K220&lt;-0.005,"Credit balance: check for double payment",IF(AND(K220&gt;0.005,L220&gt;60),"Over 60 days overdue",""))</f>
      </c>
    </row>
    <row r="221">
      <c r="A221" t="inlineStr">
        <is>
          <t>INV/2026/03191</t>
        </is>
      </c>
      <c r="B221" t="inlineStr">
        <is>
          <t>Invoice</t>
        </is>
      </c>
      <c r="C221" t="inlineStr">
        <is>
          <t>Northline Injury Claims</t>
        </is>
      </c>
      <c r="D221" s="5" t="n">
        <v>46281</v>
      </c>
      <c r="E221" s="5" t="n">
        <v>46295</v>
      </c>
      <c r="F221" t="inlineStr">
        <is>
          <t>AUD</t>
        </is>
      </c>
      <c r="G221" s="9" t="n">
        <v>88</v>
      </c>
      <c r="H221" s="9" t="n">
        <v>0</v>
      </c>
      <c r="I221" s="9" t="n">
        <v>88</v>
      </c>
      <c r="J221" s="9">
        <f>ROUND(1*SUMIFS('Allocations'!$C$5:$C$222,'Allocations'!$B$5:$B$222,A221),2)</f>
        <v>0</v>
      </c>
      <c r="K221" s="9">
        <f>ROUND(I221-J221,2)</f>
        <v>88</v>
      </c>
      <c r="L221">
        <f>MAX(0,DATE(2026,9,30)-E221)</f>
        <v>0</v>
      </c>
      <c r="M221">
        <f>IF(K221&lt;-0.005,"Credit balance: check for double payment",IF(AND(K221&gt;0.005,L221&gt;60),"Over 60 days overdue",""))</f>
      </c>
    </row>
    <row r="222">
      <c r="A222" t="inlineStr">
        <is>
          <t>INV/2026/03193</t>
        </is>
      </c>
      <c r="B222" t="inlineStr">
        <is>
          <t>Invoice</t>
        </is>
      </c>
      <c r="C222" t="inlineStr">
        <is>
          <t>Riverbend Plan Partners</t>
        </is>
      </c>
      <c r="D222" s="5" t="n">
        <v>46282</v>
      </c>
      <c r="E222" s="5" t="n">
        <v>46296</v>
      </c>
      <c r="F222" t="inlineStr">
        <is>
          <t>AUD</t>
        </is>
      </c>
      <c r="G222" s="9" t="n">
        <v>223.99</v>
      </c>
      <c r="H222" s="9" t="n">
        <v>0</v>
      </c>
      <c r="I222" s="9" t="n">
        <v>223.99</v>
      </c>
      <c r="J222" s="9">
        <f>ROUND(1*SUMIFS('Allocations'!$C$5:$C$222,'Allocations'!$B$5:$B$222,A222),2)</f>
        <v>223.99</v>
      </c>
      <c r="K222" s="9">
        <f>ROUND(I222-J222,2)</f>
        <v>0</v>
      </c>
      <c r="L222">
        <f>MAX(0,DATE(2026,9,30)-E222)</f>
        <v>0</v>
      </c>
      <c r="M222">
        <f>IF(K222&lt;-0.005,"Credit balance: check for double payment",IF(AND(K222&gt;0.005,L222&gt;60),"Over 60 days overdue",""))</f>
      </c>
    </row>
    <row r="223">
      <c r="A223" t="inlineStr">
        <is>
          <t>INV/2026/03194</t>
        </is>
      </c>
      <c r="B223" t="inlineStr">
        <is>
          <t>Invoice</t>
        </is>
      </c>
      <c r="C223" t="inlineStr">
        <is>
          <t>Riverbend Plan Partners</t>
        </is>
      </c>
      <c r="D223" s="5" t="n">
        <v>46282</v>
      </c>
      <c r="E223" s="5" t="n">
        <v>46296</v>
      </c>
      <c r="F223" t="inlineStr">
        <is>
          <t>AUD</t>
        </is>
      </c>
      <c r="G223" s="9" t="n">
        <v>145.49</v>
      </c>
      <c r="H223" s="9" t="n">
        <v>0</v>
      </c>
      <c r="I223" s="9" t="n">
        <v>145.49</v>
      </c>
      <c r="J223" s="9">
        <f>ROUND(1*SUMIFS('Allocations'!$C$5:$C$222,'Allocations'!$B$5:$B$222,A223),2)</f>
        <v>145.49</v>
      </c>
      <c r="K223" s="9">
        <f>ROUND(I223-J223,2)</f>
        <v>0</v>
      </c>
      <c r="L223">
        <f>MAX(0,DATE(2026,9,30)-E223)</f>
        <v>0</v>
      </c>
      <c r="M223">
        <f>IF(K223&lt;-0.005,"Credit balance: check for double payment",IF(AND(K223&gt;0.005,L223&gt;60),"Over 60 days overdue",""))</f>
      </c>
    </row>
    <row r="224">
      <c r="A224" t="inlineStr">
        <is>
          <t>INV/2026/03195</t>
        </is>
      </c>
      <c r="B224" t="inlineStr">
        <is>
          <t>Invoice</t>
        </is>
      </c>
      <c r="C224" t="inlineStr">
        <is>
          <t>Riverbend Plan Partners</t>
        </is>
      </c>
      <c r="D224" s="5" t="n">
        <v>46282</v>
      </c>
      <c r="E224" s="5" t="n">
        <v>46296</v>
      </c>
      <c r="F224" t="inlineStr">
        <is>
          <t>AUD</t>
        </is>
      </c>
      <c r="G224" s="9" t="n">
        <v>145.49</v>
      </c>
      <c r="H224" s="9" t="n">
        <v>0</v>
      </c>
      <c r="I224" s="9" t="n">
        <v>145.49</v>
      </c>
      <c r="J224" s="9">
        <f>ROUND(1*SUMIFS('Allocations'!$C$5:$C$222,'Allocations'!$B$5:$B$222,A224),2)</f>
        <v>145.49</v>
      </c>
      <c r="K224" s="9">
        <f>ROUND(I224-J224,2)</f>
        <v>0</v>
      </c>
      <c r="L224">
        <f>MAX(0,DATE(2026,9,30)-E224)</f>
        <v>0</v>
      </c>
      <c r="M224">
        <f>IF(K224&lt;-0.005,"Credit balance: check for double payment",IF(AND(K224&gt;0.005,L224&gt;60),"Over 60 days overdue",""))</f>
      </c>
    </row>
    <row r="225">
      <c r="A225" t="inlineStr">
        <is>
          <t>INV/2026/03196</t>
        </is>
      </c>
      <c r="B225" t="inlineStr">
        <is>
          <t>Invoice</t>
        </is>
      </c>
      <c r="C225" t="inlineStr">
        <is>
          <t>Clearpath NDIS Plans</t>
        </is>
      </c>
      <c r="D225" s="5" t="n">
        <v>46282</v>
      </c>
      <c r="E225" s="5" t="n">
        <v>46296</v>
      </c>
      <c r="F225" t="inlineStr">
        <is>
          <t>AUD</t>
        </is>
      </c>
      <c r="G225" s="9" t="n">
        <v>96.98999999999999</v>
      </c>
      <c r="H225" s="9" t="n">
        <v>0</v>
      </c>
      <c r="I225" s="9" t="n">
        <v>96.98999999999999</v>
      </c>
      <c r="J225" s="9">
        <f>ROUND(1*SUMIFS('Allocations'!$C$5:$C$222,'Allocations'!$B$5:$B$222,A225),2)</f>
        <v>0</v>
      </c>
      <c r="K225" s="9">
        <f>ROUND(I225-J225,2)</f>
        <v>96.99</v>
      </c>
      <c r="L225">
        <f>MAX(0,DATE(2026,9,30)-E225)</f>
        <v>0</v>
      </c>
      <c r="M225">
        <f>IF(K225&lt;-0.005,"Credit balance: check for double payment",IF(AND(K225&gt;0.005,L225&gt;60),"Over 60 days overdue",""))</f>
      </c>
    </row>
    <row r="226">
      <c r="A226" t="inlineStr">
        <is>
          <t>INV/2026/03197</t>
        </is>
      </c>
      <c r="B226" t="inlineStr">
        <is>
          <t>Invoice</t>
        </is>
      </c>
      <c r="C226" t="inlineStr">
        <is>
          <t>Clearpath NDIS Plans</t>
        </is>
      </c>
      <c r="D226" s="5" t="n">
        <v>46282</v>
      </c>
      <c r="E226" s="5" t="n">
        <v>46296</v>
      </c>
      <c r="F226" t="inlineStr">
        <is>
          <t>AUD</t>
        </is>
      </c>
      <c r="G226" s="9" t="n">
        <v>349.18</v>
      </c>
      <c r="H226" s="9" t="n">
        <v>0</v>
      </c>
      <c r="I226" s="9" t="n">
        <v>349.18</v>
      </c>
      <c r="J226" s="9">
        <f>ROUND(1*SUMIFS('Allocations'!$C$5:$C$222,'Allocations'!$B$5:$B$222,A226),2)</f>
        <v>0</v>
      </c>
      <c r="K226" s="9">
        <f>ROUND(I226-J226,2)</f>
        <v>349.18</v>
      </c>
      <c r="L226">
        <f>MAX(0,DATE(2026,9,30)-E226)</f>
        <v>0</v>
      </c>
      <c r="M226">
        <f>IF(K226&lt;-0.005,"Credit balance: check for double payment",IF(AND(K226&gt;0.005,L226&gt;60),"Over 60 days overdue",""))</f>
      </c>
    </row>
    <row r="227">
      <c r="A227" t="inlineStr">
        <is>
          <t>INV/2026/03198</t>
        </is>
      </c>
      <c r="B227" t="inlineStr">
        <is>
          <t>Invoice</t>
        </is>
      </c>
      <c r="C227" t="inlineStr">
        <is>
          <t>Clearpath NDIS Plans</t>
        </is>
      </c>
      <c r="D227" s="5" t="n">
        <v>46282</v>
      </c>
      <c r="E227" s="5" t="n">
        <v>46296</v>
      </c>
      <c r="F227" t="inlineStr">
        <is>
          <t>AUD</t>
        </is>
      </c>
      <c r="G227" s="9" t="n">
        <v>145.49</v>
      </c>
      <c r="H227" s="9" t="n">
        <v>0</v>
      </c>
      <c r="I227" s="9" t="n">
        <v>145.49</v>
      </c>
      <c r="J227" s="9">
        <f>ROUND(1*SUMIFS('Allocations'!$C$5:$C$222,'Allocations'!$B$5:$B$222,A227),2)</f>
        <v>0</v>
      </c>
      <c r="K227" s="9">
        <f>ROUND(I227-J227,2)</f>
        <v>145.49</v>
      </c>
      <c r="L227">
        <f>MAX(0,DATE(2026,9,30)-E227)</f>
        <v>0</v>
      </c>
      <c r="M227">
        <f>IF(K227&lt;-0.005,"Credit balance: check for double payment",IF(AND(K227&gt;0.005,L227&gt;60),"Over 60 days overdue",""))</f>
      </c>
    </row>
    <row r="228">
      <c r="A228" t="inlineStr">
        <is>
          <t>INV/2026/03201</t>
        </is>
      </c>
      <c r="B228" t="inlineStr">
        <is>
          <t>Invoice</t>
        </is>
      </c>
      <c r="C228" t="inlineStr">
        <is>
          <t>Banksia Plan Co</t>
        </is>
      </c>
      <c r="D228" s="5" t="n">
        <v>46282</v>
      </c>
      <c r="E228" s="5" t="n">
        <v>46296</v>
      </c>
      <c r="F228" t="inlineStr">
        <is>
          <t>AUD</t>
        </is>
      </c>
      <c r="G228" s="9" t="n">
        <v>242.49</v>
      </c>
      <c r="H228" s="9" t="n">
        <v>0</v>
      </c>
      <c r="I228" s="9" t="n">
        <v>242.49</v>
      </c>
      <c r="J228" s="9">
        <f>ROUND(1*SUMIFS('Allocations'!$C$5:$C$222,'Allocations'!$B$5:$B$222,A228),2)</f>
        <v>242.49</v>
      </c>
      <c r="K228" s="9">
        <f>ROUND(I228-J228,2)</f>
        <v>0</v>
      </c>
      <c r="L228">
        <f>MAX(0,DATE(2026,9,30)-E228)</f>
        <v>0</v>
      </c>
      <c r="M228">
        <f>IF(K228&lt;-0.005,"Credit balance: check for double payment",IF(AND(K228&gt;0.005,L228&gt;60),"Over 60 days overdue",""))</f>
      </c>
    </row>
    <row r="229">
      <c r="A229" t="inlineStr">
        <is>
          <t>INV/2026/03203</t>
        </is>
      </c>
      <c r="B229" t="inlineStr">
        <is>
          <t>Invoice</t>
        </is>
      </c>
      <c r="C229" t="inlineStr">
        <is>
          <t>Kookaburra Plan Support</t>
        </is>
      </c>
      <c r="D229" s="5" t="n">
        <v>46282</v>
      </c>
      <c r="E229" s="5" t="n">
        <v>46296</v>
      </c>
      <c r="F229" t="inlineStr">
        <is>
          <t>AUD</t>
        </is>
      </c>
      <c r="G229" s="9" t="n">
        <v>96.98999999999999</v>
      </c>
      <c r="H229" s="9" t="n">
        <v>0</v>
      </c>
      <c r="I229" s="9" t="n">
        <v>96.98999999999999</v>
      </c>
      <c r="J229" s="9">
        <f>ROUND(1*SUMIFS('Allocations'!$C$5:$C$222,'Allocations'!$B$5:$B$222,A229),2)</f>
        <v>96.99</v>
      </c>
      <c r="K229" s="9">
        <f>ROUND(I229-J229,2)</f>
        <v>0</v>
      </c>
      <c r="L229">
        <f>MAX(0,DATE(2026,9,30)-E229)</f>
        <v>0</v>
      </c>
      <c r="M229">
        <f>IF(K229&lt;-0.005,"Credit balance: check for double payment",IF(AND(K229&gt;0.005,L229&gt;60),"Over 60 days overdue",""))</f>
      </c>
    </row>
    <row r="230">
      <c r="A230" t="inlineStr">
        <is>
          <t>INV/2026/03213</t>
        </is>
      </c>
      <c r="B230" t="inlineStr">
        <is>
          <t>Invoice</t>
        </is>
      </c>
      <c r="C230" t="inlineStr">
        <is>
          <t>Mallee Plan Services</t>
        </is>
      </c>
      <c r="D230" s="5" t="n">
        <v>46282</v>
      </c>
      <c r="E230" s="5" t="n">
        <v>46296</v>
      </c>
      <c r="F230" t="inlineStr">
        <is>
          <t>AUD</t>
        </is>
      </c>
      <c r="G230" s="9" t="n">
        <v>417.98</v>
      </c>
      <c r="H230" s="9" t="n">
        <v>0</v>
      </c>
      <c r="I230" s="9" t="n">
        <v>417.98</v>
      </c>
      <c r="J230" s="9">
        <f>ROUND(1*SUMIFS('Allocations'!$C$5:$C$222,'Allocations'!$B$5:$B$222,A230),2)</f>
        <v>0</v>
      </c>
      <c r="K230" s="9">
        <f>ROUND(I230-J230,2)</f>
        <v>417.98</v>
      </c>
      <c r="L230">
        <f>MAX(0,DATE(2026,9,30)-E230)</f>
        <v>0</v>
      </c>
      <c r="M230">
        <f>IF(K230&lt;-0.005,"Credit balance: check for double payment",IF(AND(K230&gt;0.005,L230&gt;60),"Over 60 days overdue",""))</f>
      </c>
    </row>
    <row r="231">
      <c r="A231" t="inlineStr">
        <is>
          <t>INV/2026/03215</t>
        </is>
      </c>
      <c r="B231" t="inlineStr">
        <is>
          <t>Invoice</t>
        </is>
      </c>
      <c r="C231" t="inlineStr">
        <is>
          <t>Pinnacle Claims Services</t>
        </is>
      </c>
      <c r="D231" s="5" t="n">
        <v>46282</v>
      </c>
      <c r="E231" s="5" t="n">
        <v>46296</v>
      </c>
      <c r="F231" t="inlineStr">
        <is>
          <t>AUD</t>
        </is>
      </c>
      <c r="G231" s="9" t="n">
        <v>412.5</v>
      </c>
      <c r="H231" s="9" t="n">
        <v>0</v>
      </c>
      <c r="I231" s="9" t="n">
        <v>412.5</v>
      </c>
      <c r="J231" s="9">
        <f>ROUND(1*SUMIFS('Allocations'!$C$5:$C$222,'Allocations'!$B$5:$B$222,A231),2)</f>
        <v>0</v>
      </c>
      <c r="K231" s="9">
        <f>ROUND(I231-J231,2)</f>
        <v>412.5</v>
      </c>
      <c r="L231">
        <f>MAX(0,DATE(2026,9,30)-E231)</f>
        <v>0</v>
      </c>
      <c r="M231">
        <f>IF(K231&lt;-0.005,"Credit balance: check for double payment",IF(AND(K231&gt;0.005,L231&gt;60),"Over 60 days overdue",""))</f>
      </c>
    </row>
    <row r="232">
      <c r="A232" t="inlineStr">
        <is>
          <t>INV/2026/03216</t>
        </is>
      </c>
      <c r="B232" t="inlineStr">
        <is>
          <t>Invoice</t>
        </is>
      </c>
      <c r="C232" t="inlineStr">
        <is>
          <t>Northline Injury Claims</t>
        </is>
      </c>
      <c r="D232" s="5" t="n">
        <v>46282</v>
      </c>
      <c r="E232" s="5" t="n">
        <v>46296</v>
      </c>
      <c r="F232" t="inlineStr">
        <is>
          <t>AUD</t>
        </is>
      </c>
      <c r="G232" s="9" t="n">
        <v>132</v>
      </c>
      <c r="H232" s="9" t="n">
        <v>0</v>
      </c>
      <c r="I232" s="9" t="n">
        <v>132</v>
      </c>
      <c r="J232" s="9">
        <f>ROUND(1*SUMIFS('Allocations'!$C$5:$C$222,'Allocations'!$B$5:$B$222,A232),2)</f>
        <v>0</v>
      </c>
      <c r="K232" s="9">
        <f>ROUND(I232-J232,2)</f>
        <v>132</v>
      </c>
      <c r="L232">
        <f>MAX(0,DATE(2026,9,30)-E232)</f>
        <v>0</v>
      </c>
      <c r="M232">
        <f>IF(K232&lt;-0.005,"Credit balance: check for double payment",IF(AND(K232&gt;0.005,L232&gt;60),"Over 60 days overdue",""))</f>
      </c>
    </row>
    <row r="233">
      <c r="A233" t="inlineStr">
        <is>
          <t>INV/2026/03218</t>
        </is>
      </c>
      <c r="B233" t="inlineStr">
        <is>
          <t>Invoice</t>
        </is>
      </c>
      <c r="C233" t="inlineStr">
        <is>
          <t>Riverbend Plan Partners</t>
        </is>
      </c>
      <c r="D233" s="5" t="n">
        <v>46283</v>
      </c>
      <c r="E233" s="5" t="n">
        <v>46297</v>
      </c>
      <c r="F233" t="inlineStr">
        <is>
          <t>AUD</t>
        </is>
      </c>
      <c r="G233" s="9" t="n">
        <v>96.98999999999999</v>
      </c>
      <c r="H233" s="9" t="n">
        <v>0</v>
      </c>
      <c r="I233" s="9" t="n">
        <v>96.98999999999999</v>
      </c>
      <c r="J233" s="9">
        <f>ROUND(1*SUMIFS('Allocations'!$C$5:$C$222,'Allocations'!$B$5:$B$222,A233),2)</f>
        <v>96.99</v>
      </c>
      <c r="K233" s="9">
        <f>ROUND(I233-J233,2)</f>
        <v>0</v>
      </c>
      <c r="L233">
        <f>MAX(0,DATE(2026,9,30)-E233)</f>
        <v>0</v>
      </c>
      <c r="M233">
        <f>IF(K233&lt;-0.005,"Credit balance: check for double payment",IF(AND(K233&gt;0.005,L233&gt;60),"Over 60 days overdue",""))</f>
      </c>
    </row>
    <row r="234">
      <c r="A234" t="inlineStr">
        <is>
          <t>INV/2026/03219</t>
        </is>
      </c>
      <c r="B234" t="inlineStr">
        <is>
          <t>Invoice</t>
        </is>
      </c>
      <c r="C234" t="inlineStr">
        <is>
          <t>Riverbend Plan Partners</t>
        </is>
      </c>
      <c r="D234" s="5" t="n">
        <v>46283</v>
      </c>
      <c r="E234" s="5" t="n">
        <v>46297</v>
      </c>
      <c r="F234" t="inlineStr">
        <is>
          <t>AUD</t>
        </is>
      </c>
      <c r="G234" s="9" t="n">
        <v>145.49</v>
      </c>
      <c r="H234" s="9" t="n">
        <v>0</v>
      </c>
      <c r="I234" s="9" t="n">
        <v>145.49</v>
      </c>
      <c r="J234" s="9">
        <f>ROUND(1*SUMIFS('Allocations'!$C$5:$C$222,'Allocations'!$B$5:$B$222,A234),2)</f>
        <v>145.49</v>
      </c>
      <c r="K234" s="9">
        <f>ROUND(I234-J234,2)</f>
        <v>0</v>
      </c>
      <c r="L234">
        <f>MAX(0,DATE(2026,9,30)-E234)</f>
        <v>0</v>
      </c>
      <c r="M234">
        <f>IF(K234&lt;-0.005,"Credit balance: check for double payment",IF(AND(K234&gt;0.005,L234&gt;60),"Over 60 days overdue",""))</f>
      </c>
    </row>
    <row r="235">
      <c r="A235" t="inlineStr">
        <is>
          <t>INV/2026/03220</t>
        </is>
      </c>
      <c r="B235" t="inlineStr">
        <is>
          <t>Invoice</t>
        </is>
      </c>
      <c r="C235" t="inlineStr">
        <is>
          <t>Clearpath NDIS Plans</t>
        </is>
      </c>
      <c r="D235" s="5" t="n">
        <v>46283</v>
      </c>
      <c r="E235" s="5" t="n">
        <v>46297</v>
      </c>
      <c r="F235" t="inlineStr">
        <is>
          <t>AUD</t>
        </is>
      </c>
      <c r="G235" s="9" t="n">
        <v>252.19</v>
      </c>
      <c r="H235" s="9" t="n">
        <v>0</v>
      </c>
      <c r="I235" s="9" t="n">
        <v>252.19</v>
      </c>
      <c r="J235" s="9">
        <f>ROUND(1*SUMIFS('Allocations'!$C$5:$C$222,'Allocations'!$B$5:$B$222,A235),2)</f>
        <v>0</v>
      </c>
      <c r="K235" s="9">
        <f>ROUND(I235-J235,2)</f>
        <v>252.19</v>
      </c>
      <c r="L235">
        <f>MAX(0,DATE(2026,9,30)-E235)</f>
        <v>0</v>
      </c>
      <c r="M235">
        <f>IF(K235&lt;-0.005,"Credit balance: check for double payment",IF(AND(K235&gt;0.005,L235&gt;60),"Over 60 days overdue",""))</f>
      </c>
    </row>
    <row r="236">
      <c r="A236" t="inlineStr">
        <is>
          <t>INV/2026/03223</t>
        </is>
      </c>
      <c r="B236" t="inlineStr">
        <is>
          <t>Invoice</t>
        </is>
      </c>
      <c r="C236" t="inlineStr">
        <is>
          <t>Ironbark Plan Management</t>
        </is>
      </c>
      <c r="D236" s="5" t="n">
        <v>46283</v>
      </c>
      <c r="E236" s="5" t="n">
        <v>46297</v>
      </c>
      <c r="F236" t="inlineStr">
        <is>
          <t>AUD</t>
        </is>
      </c>
      <c r="G236" s="9" t="n">
        <v>193.99</v>
      </c>
      <c r="H236" s="9" t="n">
        <v>0</v>
      </c>
      <c r="I236" s="9" t="n">
        <v>193.99</v>
      </c>
      <c r="J236" s="9">
        <f>ROUND(1*SUMIFS('Allocations'!$C$5:$C$222,'Allocations'!$B$5:$B$222,A236),2)</f>
        <v>0</v>
      </c>
      <c r="K236" s="9">
        <f>ROUND(I236-J236,2)</f>
        <v>193.99</v>
      </c>
      <c r="L236">
        <f>MAX(0,DATE(2026,9,30)-E236)</f>
        <v>0</v>
      </c>
      <c r="M236">
        <f>IF(K236&lt;-0.005,"Credit balance: check for double payment",IF(AND(K236&gt;0.005,L236&gt;60),"Over 60 days overdue",""))</f>
      </c>
    </row>
    <row r="237">
      <c r="A237" t="inlineStr">
        <is>
          <t>INV/2026/03224</t>
        </is>
      </c>
      <c r="B237" t="inlineStr">
        <is>
          <t>Invoice</t>
        </is>
      </c>
      <c r="C237" t="inlineStr">
        <is>
          <t>Ironbark Plan Management</t>
        </is>
      </c>
      <c r="D237" s="5" t="n">
        <v>46283</v>
      </c>
      <c r="E237" s="5" t="n">
        <v>46297</v>
      </c>
      <c r="F237" t="inlineStr">
        <is>
          <t>AUD</t>
        </is>
      </c>
      <c r="G237" s="9" t="n">
        <v>155.19</v>
      </c>
      <c r="H237" s="9" t="n">
        <v>0</v>
      </c>
      <c r="I237" s="9" t="n">
        <v>155.19</v>
      </c>
      <c r="J237" s="9">
        <f>ROUND(1*SUMIFS('Allocations'!$C$5:$C$222,'Allocations'!$B$5:$B$222,A237),2)</f>
        <v>0</v>
      </c>
      <c r="K237" s="9">
        <f>ROUND(I237-J237,2)</f>
        <v>155.19</v>
      </c>
      <c r="L237">
        <f>MAX(0,DATE(2026,9,30)-E237)</f>
        <v>0</v>
      </c>
      <c r="M237">
        <f>IF(K237&lt;-0.005,"Credit balance: check for double payment",IF(AND(K237&gt;0.005,L237&gt;60),"Over 60 days overdue",""))</f>
      </c>
    </row>
    <row r="238">
      <c r="A238" t="inlineStr">
        <is>
          <t>INV/2026/03225</t>
        </is>
      </c>
      <c r="B238" t="inlineStr">
        <is>
          <t>Invoice</t>
        </is>
      </c>
      <c r="C238" t="inlineStr">
        <is>
          <t>Kookaburra Plan Support</t>
        </is>
      </c>
      <c r="D238" s="5" t="n">
        <v>46283</v>
      </c>
      <c r="E238" s="5" t="n">
        <v>46297</v>
      </c>
      <c r="F238" t="inlineStr">
        <is>
          <t>AUD</t>
        </is>
      </c>
      <c r="G238" s="9" t="n">
        <v>300.69</v>
      </c>
      <c r="H238" s="9" t="n">
        <v>0</v>
      </c>
      <c r="I238" s="9" t="n">
        <v>300.69</v>
      </c>
      <c r="J238" s="9">
        <f>ROUND(1*SUMIFS('Allocations'!$C$5:$C$222,'Allocations'!$B$5:$B$222,A238),2)</f>
        <v>300.69</v>
      </c>
      <c r="K238" s="9">
        <f>ROUND(I238-J238,2)</f>
        <v>0</v>
      </c>
      <c r="L238">
        <f>MAX(0,DATE(2026,9,30)-E238)</f>
        <v>0</v>
      </c>
      <c r="M238">
        <f>IF(K238&lt;-0.005,"Credit balance: check for double payment",IF(AND(K238&gt;0.005,L238&gt;60),"Over 60 days overdue",""))</f>
      </c>
    </row>
    <row r="239">
      <c r="A239" t="inlineStr">
        <is>
          <t>INV/2026/03226</t>
        </is>
      </c>
      <c r="B239" t="inlineStr">
        <is>
          <t>Invoice</t>
        </is>
      </c>
      <c r="C239" t="inlineStr">
        <is>
          <t>Kookaburra Plan Support</t>
        </is>
      </c>
      <c r="D239" s="5" t="n">
        <v>46283</v>
      </c>
      <c r="E239" s="5" t="n">
        <v>46297</v>
      </c>
      <c r="F239" t="inlineStr">
        <is>
          <t>AUD</t>
        </is>
      </c>
      <c r="G239" s="9" t="n">
        <v>290.98</v>
      </c>
      <c r="H239" s="9" t="n">
        <v>0</v>
      </c>
      <c r="I239" s="9" t="n">
        <v>290.98</v>
      </c>
      <c r="J239" s="9">
        <f>ROUND(1*SUMIFS('Allocations'!$C$5:$C$222,'Allocations'!$B$5:$B$222,A239),2)</f>
        <v>290.98</v>
      </c>
      <c r="K239" s="9">
        <f>ROUND(I239-J239,2)</f>
        <v>0</v>
      </c>
      <c r="L239">
        <f>MAX(0,DATE(2026,9,30)-E239)</f>
        <v>0</v>
      </c>
      <c r="M239">
        <f>IF(K239&lt;-0.005,"Credit balance: check for double payment",IF(AND(K239&gt;0.005,L239&gt;60),"Over 60 days overdue",""))</f>
      </c>
    </row>
    <row r="240">
      <c r="A240" t="inlineStr">
        <is>
          <t>INV/2026/03227</t>
        </is>
      </c>
      <c r="B240" t="inlineStr">
        <is>
          <t>Invoice</t>
        </is>
      </c>
      <c r="C240" t="inlineStr">
        <is>
          <t>Saltbush Plan Managers</t>
        </is>
      </c>
      <c r="D240" s="5" t="n">
        <v>46283</v>
      </c>
      <c r="E240" s="5" t="n">
        <v>46297</v>
      </c>
      <c r="F240" t="inlineStr">
        <is>
          <t>AUD</t>
        </is>
      </c>
      <c r="G240" s="9" t="n">
        <v>446.18</v>
      </c>
      <c r="H240" s="9" t="n">
        <v>0</v>
      </c>
      <c r="I240" s="9" t="n">
        <v>446.18</v>
      </c>
      <c r="J240" s="9">
        <f>ROUND(1*SUMIFS('Allocations'!$C$5:$C$222,'Allocations'!$B$5:$B$222,A240),2)</f>
        <v>0</v>
      </c>
      <c r="K240" s="9">
        <f>ROUND(I240-J240,2)</f>
        <v>446.18</v>
      </c>
      <c r="L240">
        <f>MAX(0,DATE(2026,9,30)-E240)</f>
        <v>0</v>
      </c>
      <c r="M240">
        <f>IF(K240&lt;-0.005,"Credit balance: check for double payment",IF(AND(K240&gt;0.005,L240&gt;60),"Over 60 days overdue",""))</f>
      </c>
    </row>
    <row r="241">
      <c r="A241" t="inlineStr">
        <is>
          <t>INV/2026/03228</t>
        </is>
      </c>
      <c r="B241" t="inlineStr">
        <is>
          <t>Invoice</t>
        </is>
      </c>
      <c r="C241" t="inlineStr">
        <is>
          <t>Saltbush Plan Managers</t>
        </is>
      </c>
      <c r="D241" s="5" t="n">
        <v>46283</v>
      </c>
      <c r="E241" s="5" t="n">
        <v>46297</v>
      </c>
      <c r="F241" t="inlineStr">
        <is>
          <t>AUD</t>
        </is>
      </c>
      <c r="G241" s="9" t="n">
        <v>193.99</v>
      </c>
      <c r="H241" s="9" t="n">
        <v>0</v>
      </c>
      <c r="I241" s="9" t="n">
        <v>193.99</v>
      </c>
      <c r="J241" s="9">
        <f>ROUND(1*SUMIFS('Allocations'!$C$5:$C$222,'Allocations'!$B$5:$B$222,A241),2)</f>
        <v>0</v>
      </c>
      <c r="K241" s="9">
        <f>ROUND(I241-J241,2)</f>
        <v>193.99</v>
      </c>
      <c r="L241">
        <f>MAX(0,DATE(2026,9,30)-E241)</f>
        <v>0</v>
      </c>
      <c r="M241">
        <f>IF(K241&lt;-0.005,"Credit balance: check for double payment",IF(AND(K241&gt;0.005,L241&gt;60),"Over 60 days overdue",""))</f>
      </c>
    </row>
    <row r="242">
      <c r="A242" t="inlineStr">
        <is>
          <t>INV/2026/03230</t>
        </is>
      </c>
      <c r="B242" t="inlineStr">
        <is>
          <t>Invoice</t>
        </is>
      </c>
      <c r="C242" t="inlineStr">
        <is>
          <t>Tallowwood Plans</t>
        </is>
      </c>
      <c r="D242" s="5" t="n">
        <v>46283</v>
      </c>
      <c r="E242" s="5" t="n">
        <v>46297</v>
      </c>
      <c r="F242" t="inlineStr">
        <is>
          <t>AUD</t>
        </is>
      </c>
      <c r="G242" s="9" t="n">
        <v>320.98</v>
      </c>
      <c r="H242" s="9" t="n">
        <v>0</v>
      </c>
      <c r="I242" s="9" t="n">
        <v>320.98</v>
      </c>
      <c r="J242" s="9">
        <f>ROUND(1*SUMIFS('Allocations'!$C$5:$C$222,'Allocations'!$B$5:$B$222,A242),2)</f>
        <v>320.98</v>
      </c>
      <c r="K242" s="9">
        <f>ROUND(I242-J242,2)</f>
        <v>0</v>
      </c>
      <c r="L242">
        <f>MAX(0,DATE(2026,9,30)-E242)</f>
        <v>0</v>
      </c>
      <c r="M242">
        <f>IF(K242&lt;-0.005,"Credit balance: check for double payment",IF(AND(K242&gt;0.005,L242&gt;60),"Over 60 days overdue",""))</f>
      </c>
    </row>
    <row r="243">
      <c r="A243" t="inlineStr">
        <is>
          <t>INV/2026/03231</t>
        </is>
      </c>
      <c r="B243" t="inlineStr">
        <is>
          <t>Invoice</t>
        </is>
      </c>
      <c r="C243" t="inlineStr">
        <is>
          <t>Tallowwood Plans</t>
        </is>
      </c>
      <c r="D243" s="5" t="n">
        <v>46283</v>
      </c>
      <c r="E243" s="5" t="n">
        <v>46297</v>
      </c>
      <c r="F243" t="inlineStr">
        <is>
          <t>AUD</t>
        </is>
      </c>
      <c r="G243" s="9" t="n">
        <v>290.98</v>
      </c>
      <c r="H243" s="9" t="n">
        <v>0</v>
      </c>
      <c r="I243" s="9" t="n">
        <v>290.98</v>
      </c>
      <c r="J243" s="9">
        <f>ROUND(1*SUMIFS('Allocations'!$C$5:$C$222,'Allocations'!$B$5:$B$222,A243),2)</f>
        <v>290.98</v>
      </c>
      <c r="K243" s="9">
        <f>ROUND(I243-J243,2)</f>
        <v>0</v>
      </c>
      <c r="L243">
        <f>MAX(0,DATE(2026,9,30)-E243)</f>
        <v>0</v>
      </c>
      <c r="M243">
        <f>IF(K243&lt;-0.005,"Credit balance: check for double payment",IF(AND(K243&gt;0.005,L243&gt;60),"Over 60 days overdue",""))</f>
      </c>
    </row>
    <row r="244">
      <c r="A244" t="inlineStr">
        <is>
          <t>INV/2026/03233</t>
        </is>
      </c>
      <c r="B244" t="inlineStr">
        <is>
          <t>Invoice</t>
        </is>
      </c>
      <c r="C244" t="inlineStr">
        <is>
          <t>Mallee Plan Services</t>
        </is>
      </c>
      <c r="D244" s="5" t="n">
        <v>46283</v>
      </c>
      <c r="E244" s="5" t="n">
        <v>46297</v>
      </c>
      <c r="F244" t="inlineStr">
        <is>
          <t>AUD</t>
        </is>
      </c>
      <c r="G244" s="9" t="n">
        <v>290.98</v>
      </c>
      <c r="H244" s="9" t="n">
        <v>0</v>
      </c>
      <c r="I244" s="9" t="n">
        <v>290.98</v>
      </c>
      <c r="J244" s="9">
        <f>ROUND(1*SUMIFS('Allocations'!$C$5:$C$222,'Allocations'!$B$5:$B$222,A244),2)</f>
        <v>0</v>
      </c>
      <c r="K244" s="9">
        <f>ROUND(I244-J244,2)</f>
        <v>290.98</v>
      </c>
      <c r="L244">
        <f>MAX(0,DATE(2026,9,30)-E244)</f>
        <v>0</v>
      </c>
      <c r="M244">
        <f>IF(K244&lt;-0.005,"Credit balance: check for double payment",IF(AND(K244&gt;0.005,L244&gt;60),"Over 60 days overdue",""))</f>
      </c>
    </row>
    <row r="245">
      <c r="A245" t="inlineStr">
        <is>
          <t>INV/2026/03234</t>
        </is>
      </c>
      <c r="B245" t="inlineStr">
        <is>
          <t>Invoice</t>
        </is>
      </c>
      <c r="C245" t="inlineStr">
        <is>
          <t>Pinnacle Claims Services</t>
        </is>
      </c>
      <c r="D245" s="5" t="n">
        <v>46283</v>
      </c>
      <c r="E245" s="5" t="n">
        <v>46297</v>
      </c>
      <c r="F245" t="inlineStr">
        <is>
          <t>AUD</t>
        </is>
      </c>
      <c r="G245" s="9" t="n">
        <v>132</v>
      </c>
      <c r="H245" s="9" t="n">
        <v>0</v>
      </c>
      <c r="I245" s="9" t="n">
        <v>132</v>
      </c>
      <c r="J245" s="9">
        <f>ROUND(1*SUMIFS('Allocations'!$C$5:$C$222,'Allocations'!$B$5:$B$222,A245),2)</f>
        <v>0</v>
      </c>
      <c r="K245" s="9">
        <f>ROUND(I245-J245,2)</f>
        <v>132</v>
      </c>
      <c r="L245">
        <f>MAX(0,DATE(2026,9,30)-E245)</f>
        <v>0</v>
      </c>
      <c r="M245">
        <f>IF(K245&lt;-0.005,"Credit balance: check for double payment",IF(AND(K245&gt;0.005,L245&gt;60),"Over 60 days overdue",""))</f>
      </c>
    </row>
    <row r="246">
      <c r="A246" t="inlineStr">
        <is>
          <t>INV/2026/03235</t>
        </is>
      </c>
      <c r="B246" t="inlineStr">
        <is>
          <t>Invoice</t>
        </is>
      </c>
      <c r="C246" t="inlineStr">
        <is>
          <t>Northline Injury Claims</t>
        </is>
      </c>
      <c r="D246" s="5" t="n">
        <v>46283</v>
      </c>
      <c r="E246" s="5" t="n">
        <v>46297</v>
      </c>
      <c r="F246" t="inlineStr">
        <is>
          <t>AUD</t>
        </is>
      </c>
      <c r="G246" s="9" t="n">
        <v>412.5</v>
      </c>
      <c r="H246" s="9" t="n">
        <v>0</v>
      </c>
      <c r="I246" s="9" t="n">
        <v>412.5</v>
      </c>
      <c r="J246" s="9">
        <f>ROUND(1*SUMIFS('Allocations'!$C$5:$C$222,'Allocations'!$B$5:$B$222,A246),2)</f>
        <v>0</v>
      </c>
      <c r="K246" s="9">
        <f>ROUND(I246-J246,2)</f>
        <v>412.5</v>
      </c>
      <c r="L246">
        <f>MAX(0,DATE(2026,9,30)-E246)</f>
        <v>0</v>
      </c>
      <c r="M246">
        <f>IF(K246&lt;-0.005,"Credit balance: check for double payment",IF(AND(K246&gt;0.005,L246&gt;60),"Over 60 days overdue",""))</f>
      </c>
    </row>
    <row r="247">
      <c r="A247" t="inlineStr">
        <is>
          <t>INV/2026/03239</t>
        </is>
      </c>
      <c r="B247" t="inlineStr">
        <is>
          <t>Invoice</t>
        </is>
      </c>
      <c r="C247" t="inlineStr">
        <is>
          <t>Riverbend Plan Partners</t>
        </is>
      </c>
      <c r="D247" s="5" t="n">
        <v>46286</v>
      </c>
      <c r="E247" s="5" t="n">
        <v>46300</v>
      </c>
      <c r="F247" t="inlineStr">
        <is>
          <t>AUD</t>
        </is>
      </c>
      <c r="G247" s="9" t="n">
        <v>193.99</v>
      </c>
      <c r="H247" s="9" t="n">
        <v>0</v>
      </c>
      <c r="I247" s="9" t="n">
        <v>193.99</v>
      </c>
      <c r="J247" s="9">
        <f>ROUND(1*SUMIFS('Allocations'!$C$5:$C$222,'Allocations'!$B$5:$B$222,A247),2)</f>
        <v>193.99</v>
      </c>
      <c r="K247" s="9">
        <f>ROUND(I247-J247,2)</f>
        <v>0</v>
      </c>
      <c r="L247">
        <f>MAX(0,DATE(2026,9,30)-E247)</f>
        <v>0</v>
      </c>
      <c r="M247">
        <f>IF(K247&lt;-0.005,"Credit balance: check for double payment",IF(AND(K247&gt;0.005,L247&gt;60),"Over 60 days overdue",""))</f>
      </c>
    </row>
    <row r="248">
      <c r="A248" t="inlineStr">
        <is>
          <t>INV/2026/03241</t>
        </is>
      </c>
      <c r="B248" t="inlineStr">
        <is>
          <t>Invoice</t>
        </is>
      </c>
      <c r="C248" t="inlineStr">
        <is>
          <t>Clearpath NDIS Plans</t>
        </is>
      </c>
      <c r="D248" s="5" t="n">
        <v>46286</v>
      </c>
      <c r="E248" s="5" t="n">
        <v>46300</v>
      </c>
      <c r="F248" t="inlineStr">
        <is>
          <t>AUD</t>
        </is>
      </c>
      <c r="G248" s="9" t="n">
        <v>193.99</v>
      </c>
      <c r="H248" s="9" t="n">
        <v>0</v>
      </c>
      <c r="I248" s="9" t="n">
        <v>193.99</v>
      </c>
      <c r="J248" s="9">
        <f>ROUND(1*SUMIFS('Allocations'!$C$5:$C$222,'Allocations'!$B$5:$B$222,A248),2)</f>
        <v>0</v>
      </c>
      <c r="K248" s="9">
        <f>ROUND(I248-J248,2)</f>
        <v>193.99</v>
      </c>
      <c r="L248">
        <f>MAX(0,DATE(2026,9,30)-E248)</f>
        <v>0</v>
      </c>
      <c r="M248">
        <f>IF(K248&lt;-0.005,"Credit balance: check for double payment",IF(AND(K248&gt;0.005,L248&gt;60),"Over 60 days overdue",""))</f>
      </c>
    </row>
    <row r="249">
      <c r="A249" t="inlineStr">
        <is>
          <t>INV/2026/03242</t>
        </is>
      </c>
      <c r="B249" t="inlineStr">
        <is>
          <t>Invoice</t>
        </is>
      </c>
      <c r="C249" t="inlineStr">
        <is>
          <t>Banksia Plan Co</t>
        </is>
      </c>
      <c r="D249" s="5" t="n">
        <v>46286</v>
      </c>
      <c r="E249" s="5" t="n">
        <v>46300</v>
      </c>
      <c r="F249" t="inlineStr">
        <is>
          <t>AUD</t>
        </is>
      </c>
      <c r="G249" s="9" t="n">
        <v>387.98</v>
      </c>
      <c r="H249" s="9" t="n">
        <v>0</v>
      </c>
      <c r="I249" s="9" t="n">
        <v>387.98</v>
      </c>
      <c r="J249" s="9">
        <f>ROUND(1*SUMIFS('Allocations'!$C$5:$C$222,'Allocations'!$B$5:$B$222,A249),2)</f>
        <v>387.98</v>
      </c>
      <c r="K249" s="9">
        <f>ROUND(I249-J249,2)</f>
        <v>0</v>
      </c>
      <c r="L249">
        <f>MAX(0,DATE(2026,9,30)-E249)</f>
        <v>0</v>
      </c>
      <c r="M249">
        <f>IF(K249&lt;-0.005,"Credit balance: check for double payment",IF(AND(K249&gt;0.005,L249&gt;60),"Over 60 days overdue",""))</f>
      </c>
    </row>
    <row r="250">
      <c r="A250" t="inlineStr">
        <is>
          <t>INV/2026/03244</t>
        </is>
      </c>
      <c r="B250" t="inlineStr">
        <is>
          <t>Invoice</t>
        </is>
      </c>
      <c r="C250" t="inlineStr">
        <is>
          <t>Ironbark Plan Management</t>
        </is>
      </c>
      <c r="D250" s="5" t="n">
        <v>46286</v>
      </c>
      <c r="E250" s="5" t="n">
        <v>46300</v>
      </c>
      <c r="F250" t="inlineStr">
        <is>
          <t>AUD</t>
        </is>
      </c>
      <c r="G250" s="9" t="n">
        <v>193.99</v>
      </c>
      <c r="H250" s="9" t="n">
        <v>0</v>
      </c>
      <c r="I250" s="9" t="n">
        <v>193.99</v>
      </c>
      <c r="J250" s="9">
        <f>ROUND(1*SUMIFS('Allocations'!$C$5:$C$222,'Allocations'!$B$5:$B$222,A250),2)</f>
        <v>0</v>
      </c>
      <c r="K250" s="9">
        <f>ROUND(I250-J250,2)</f>
        <v>193.99</v>
      </c>
      <c r="L250">
        <f>MAX(0,DATE(2026,9,30)-E250)</f>
        <v>0</v>
      </c>
      <c r="M250">
        <f>IF(K250&lt;-0.005,"Credit balance: check for double payment",IF(AND(K250&gt;0.005,L250&gt;60),"Over 60 days overdue",""))</f>
      </c>
    </row>
    <row r="251">
      <c r="A251" t="inlineStr">
        <is>
          <t>INV/2026/03246</t>
        </is>
      </c>
      <c r="B251" t="inlineStr">
        <is>
          <t>Invoice</t>
        </is>
      </c>
      <c r="C251" t="inlineStr">
        <is>
          <t>Saltbush Plan Managers</t>
        </is>
      </c>
      <c r="D251" s="5" t="n">
        <v>46286</v>
      </c>
      <c r="E251" s="5" t="n">
        <v>46300</v>
      </c>
      <c r="F251" t="inlineStr">
        <is>
          <t>AUD</t>
        </is>
      </c>
      <c r="G251" s="9" t="n">
        <v>193.99</v>
      </c>
      <c r="H251" s="9" t="n">
        <v>0</v>
      </c>
      <c r="I251" s="9" t="n">
        <v>193.99</v>
      </c>
      <c r="J251" s="9">
        <f>ROUND(1*SUMIFS('Allocations'!$C$5:$C$222,'Allocations'!$B$5:$B$222,A251),2)</f>
        <v>0</v>
      </c>
      <c r="K251" s="9">
        <f>ROUND(I251-J251,2)</f>
        <v>193.99</v>
      </c>
      <c r="L251">
        <f>MAX(0,DATE(2026,9,30)-E251)</f>
        <v>0</v>
      </c>
      <c r="M251">
        <f>IF(K251&lt;-0.005,"Credit balance: check for double payment",IF(AND(K251&gt;0.005,L251&gt;60),"Over 60 days overdue",""))</f>
      </c>
    </row>
    <row r="252">
      <c r="A252" t="inlineStr">
        <is>
          <t>INV/2026/03251</t>
        </is>
      </c>
      <c r="B252" t="inlineStr">
        <is>
          <t>Invoice</t>
        </is>
      </c>
      <c r="C252" t="inlineStr">
        <is>
          <t>Mallee Plan Services</t>
        </is>
      </c>
      <c r="D252" s="5" t="n">
        <v>46286</v>
      </c>
      <c r="E252" s="5" t="n">
        <v>46300</v>
      </c>
      <c r="F252" t="inlineStr">
        <is>
          <t>AUD</t>
        </is>
      </c>
      <c r="G252" s="9" t="n">
        <v>96.98999999999999</v>
      </c>
      <c r="H252" s="9" t="n">
        <v>0</v>
      </c>
      <c r="I252" s="9" t="n">
        <v>96.98999999999999</v>
      </c>
      <c r="J252" s="9">
        <f>ROUND(1*SUMIFS('Allocations'!$C$5:$C$222,'Allocations'!$B$5:$B$222,A252),2)</f>
        <v>0</v>
      </c>
      <c r="K252" s="9">
        <f>ROUND(I252-J252,2)</f>
        <v>96.99</v>
      </c>
      <c r="L252">
        <f>MAX(0,DATE(2026,9,30)-E252)</f>
        <v>0</v>
      </c>
      <c r="M252">
        <f>IF(K252&lt;-0.005,"Credit balance: check for double payment",IF(AND(K252&gt;0.005,L252&gt;60),"Over 60 days overdue",""))</f>
      </c>
    </row>
    <row r="253">
      <c r="A253" t="inlineStr">
        <is>
          <t>INV/2026/03252</t>
        </is>
      </c>
      <c r="B253" t="inlineStr">
        <is>
          <t>Invoice</t>
        </is>
      </c>
      <c r="C253" t="inlineStr">
        <is>
          <t>Unity Workcover Agents</t>
        </is>
      </c>
      <c r="D253" s="5" t="n">
        <v>46286</v>
      </c>
      <c r="E253" s="5" t="n">
        <v>46300</v>
      </c>
      <c r="F253" t="inlineStr">
        <is>
          <t>AUD</t>
        </is>
      </c>
      <c r="G253" s="9" t="n">
        <v>264</v>
      </c>
      <c r="H253" s="9" t="n">
        <v>0</v>
      </c>
      <c r="I253" s="9" t="n">
        <v>264</v>
      </c>
      <c r="J253" s="9">
        <f>ROUND(1*SUMIFS('Allocations'!$C$5:$C$222,'Allocations'!$B$5:$B$222,A253),2)</f>
        <v>0</v>
      </c>
      <c r="K253" s="9">
        <f>ROUND(I253-J253,2)</f>
        <v>264</v>
      </c>
      <c r="L253">
        <f>MAX(0,DATE(2026,9,30)-E253)</f>
        <v>0</v>
      </c>
      <c r="M253">
        <f>IF(K253&lt;-0.005,"Credit balance: check for double payment",IF(AND(K253&gt;0.005,L253&gt;60),"Over 60 days overdue",""))</f>
      </c>
    </row>
    <row r="254">
      <c r="A254" t="inlineStr">
        <is>
          <t>INV/2026/03253</t>
        </is>
      </c>
      <c r="B254" t="inlineStr">
        <is>
          <t>Invoice</t>
        </is>
      </c>
      <c r="C254" t="inlineStr">
        <is>
          <t>Pinnacle Claims Services</t>
        </is>
      </c>
      <c r="D254" s="5" t="n">
        <v>46286</v>
      </c>
      <c r="E254" s="5" t="n">
        <v>46300</v>
      </c>
      <c r="F254" t="inlineStr">
        <is>
          <t>AUD</t>
        </is>
      </c>
      <c r="G254" s="9" t="n">
        <v>264</v>
      </c>
      <c r="H254" s="9" t="n">
        <v>0</v>
      </c>
      <c r="I254" s="9" t="n">
        <v>264</v>
      </c>
      <c r="J254" s="9">
        <f>ROUND(1*SUMIFS('Allocations'!$C$5:$C$222,'Allocations'!$B$5:$B$222,A254),2)</f>
        <v>0</v>
      </c>
      <c r="K254" s="9">
        <f>ROUND(I254-J254,2)</f>
        <v>264</v>
      </c>
      <c r="L254">
        <f>MAX(0,DATE(2026,9,30)-E254)</f>
        <v>0</v>
      </c>
      <c r="M254">
        <f>IF(K254&lt;-0.005,"Credit balance: check for double payment",IF(AND(K254&gt;0.005,L254&gt;60),"Over 60 days overdue",""))</f>
      </c>
    </row>
    <row r="255">
      <c r="A255" t="inlineStr">
        <is>
          <t>INV/2026/03255</t>
        </is>
      </c>
      <c r="B255" t="inlineStr">
        <is>
          <t>Invoice</t>
        </is>
      </c>
      <c r="C255" t="inlineStr">
        <is>
          <t>Bluegum Plan Management</t>
        </is>
      </c>
      <c r="D255" s="5" t="n">
        <v>46287</v>
      </c>
      <c r="E255" s="5" t="n">
        <v>46301</v>
      </c>
      <c r="F255" t="inlineStr">
        <is>
          <t>AUD</t>
        </is>
      </c>
      <c r="G255" s="9" t="n">
        <v>145.49</v>
      </c>
      <c r="H255" s="9" t="n">
        <v>0</v>
      </c>
      <c r="I255" s="9" t="n">
        <v>145.49</v>
      </c>
      <c r="J255" s="9">
        <f>ROUND(1*SUMIFS('Allocations'!$C$5:$C$222,'Allocations'!$B$5:$B$222,A255),2)</f>
        <v>0</v>
      </c>
      <c r="K255" s="9">
        <f>ROUND(I255-J255,2)</f>
        <v>145.49</v>
      </c>
      <c r="L255">
        <f>MAX(0,DATE(2026,9,30)-E255)</f>
        <v>0</v>
      </c>
      <c r="M255">
        <f>IF(K255&lt;-0.005,"Credit balance: check for double payment",IF(AND(K255&gt;0.005,L255&gt;60),"Over 60 days overdue",""))</f>
      </c>
    </row>
    <row r="256">
      <c r="A256" t="inlineStr">
        <is>
          <t>INV/2026/03256</t>
        </is>
      </c>
      <c r="B256" t="inlineStr">
        <is>
          <t>Invoice</t>
        </is>
      </c>
      <c r="C256" t="inlineStr">
        <is>
          <t>Riverbend Plan Partners</t>
        </is>
      </c>
      <c r="D256" s="5" t="n">
        <v>46287</v>
      </c>
      <c r="E256" s="5" t="n">
        <v>46301</v>
      </c>
      <c r="F256" t="inlineStr">
        <is>
          <t>AUD</t>
        </is>
      </c>
      <c r="G256" s="9" t="n">
        <v>175.49</v>
      </c>
      <c r="H256" s="9" t="n">
        <v>0</v>
      </c>
      <c r="I256" s="9" t="n">
        <v>175.49</v>
      </c>
      <c r="J256" s="9">
        <f>ROUND(1*SUMIFS('Allocations'!$C$5:$C$222,'Allocations'!$B$5:$B$222,A256),2)</f>
        <v>175.49</v>
      </c>
      <c r="K256" s="9">
        <f>ROUND(I256-J256,2)</f>
        <v>0</v>
      </c>
      <c r="L256">
        <f>MAX(0,DATE(2026,9,30)-E256)</f>
        <v>0</v>
      </c>
      <c r="M256">
        <f>IF(K256&lt;-0.005,"Credit balance: check for double payment",IF(AND(K256&gt;0.005,L256&gt;60),"Over 60 days overdue",""))</f>
      </c>
    </row>
    <row r="257">
      <c r="A257" t="inlineStr">
        <is>
          <t>INV/2026/03257</t>
        </is>
      </c>
      <c r="B257" t="inlineStr">
        <is>
          <t>Invoice</t>
        </is>
      </c>
      <c r="C257" t="inlineStr">
        <is>
          <t>Riverbend Plan Partners</t>
        </is>
      </c>
      <c r="D257" s="5" t="n">
        <v>46287</v>
      </c>
      <c r="E257" s="5" t="n">
        <v>46301</v>
      </c>
      <c r="F257" t="inlineStr">
        <is>
          <t>AUD</t>
        </is>
      </c>
      <c r="G257" s="9" t="n">
        <v>155.19</v>
      </c>
      <c r="H257" s="9" t="n">
        <v>0</v>
      </c>
      <c r="I257" s="9" t="n">
        <v>155.19</v>
      </c>
      <c r="J257" s="9">
        <f>ROUND(1*SUMIFS('Allocations'!$C$5:$C$222,'Allocations'!$B$5:$B$222,A257),2)</f>
        <v>155.19</v>
      </c>
      <c r="K257" s="9">
        <f>ROUND(I257-J257,2)</f>
        <v>0</v>
      </c>
      <c r="L257">
        <f>MAX(0,DATE(2026,9,30)-E257)</f>
        <v>0</v>
      </c>
      <c r="M257">
        <f>IF(K257&lt;-0.005,"Credit balance: check for double payment",IF(AND(K257&gt;0.005,L257&gt;60),"Over 60 days overdue",""))</f>
      </c>
    </row>
    <row r="258">
      <c r="A258" t="inlineStr">
        <is>
          <t>INV/2026/03261</t>
        </is>
      </c>
      <c r="B258" t="inlineStr">
        <is>
          <t>Invoice</t>
        </is>
      </c>
      <c r="C258" t="inlineStr">
        <is>
          <t>Banksia Plan Co</t>
        </is>
      </c>
      <c r="D258" s="5" t="n">
        <v>46287</v>
      </c>
      <c r="E258" s="5" t="n">
        <v>46301</v>
      </c>
      <c r="F258" t="inlineStr">
        <is>
          <t>AUD</t>
        </is>
      </c>
      <c r="G258" s="9" t="n">
        <v>96.98999999999999</v>
      </c>
      <c r="H258" s="9" t="n">
        <v>0</v>
      </c>
      <c r="I258" s="9" t="n">
        <v>96.98999999999999</v>
      </c>
      <c r="J258" s="9">
        <f>ROUND(1*SUMIFS('Allocations'!$C$5:$C$222,'Allocations'!$B$5:$B$222,A258),2)</f>
        <v>96.99</v>
      </c>
      <c r="K258" s="9">
        <f>ROUND(I258-J258,2)</f>
        <v>0</v>
      </c>
      <c r="L258">
        <f>MAX(0,DATE(2026,9,30)-E258)</f>
        <v>0</v>
      </c>
      <c r="M258">
        <f>IF(K258&lt;-0.005,"Credit balance: check for double payment",IF(AND(K258&gt;0.005,L258&gt;60),"Over 60 days overdue",""))</f>
      </c>
    </row>
    <row r="259">
      <c r="A259" t="inlineStr">
        <is>
          <t>INV/2026/03262</t>
        </is>
      </c>
      <c r="B259" t="inlineStr">
        <is>
          <t>Invoice</t>
        </is>
      </c>
      <c r="C259" t="inlineStr">
        <is>
          <t>Banksia Plan Co</t>
        </is>
      </c>
      <c r="D259" s="5" t="n">
        <v>46287</v>
      </c>
      <c r="E259" s="5" t="n">
        <v>46301</v>
      </c>
      <c r="F259" t="inlineStr">
        <is>
          <t>AUD</t>
        </is>
      </c>
      <c r="G259" s="9" t="n">
        <v>145.49</v>
      </c>
      <c r="H259" s="9" t="n">
        <v>0</v>
      </c>
      <c r="I259" s="9" t="n">
        <v>145.49</v>
      </c>
      <c r="J259" s="9">
        <f>ROUND(1*SUMIFS('Allocations'!$C$5:$C$222,'Allocations'!$B$5:$B$222,A259),2)</f>
        <v>145.49</v>
      </c>
      <c r="K259" s="9">
        <f>ROUND(I259-J259,2)</f>
        <v>0</v>
      </c>
      <c r="L259">
        <f>MAX(0,DATE(2026,9,30)-E259)</f>
        <v>0</v>
      </c>
      <c r="M259">
        <f>IF(K259&lt;-0.005,"Credit balance: check for double payment",IF(AND(K259&gt;0.005,L259&gt;60),"Over 60 days overdue",""))</f>
      </c>
    </row>
    <row r="260">
      <c r="A260" t="inlineStr">
        <is>
          <t>INV/2026/03263</t>
        </is>
      </c>
      <c r="B260" t="inlineStr">
        <is>
          <t>Invoice</t>
        </is>
      </c>
      <c r="C260" t="inlineStr">
        <is>
          <t>Banksia Plan Co</t>
        </is>
      </c>
      <c r="D260" s="5" t="n">
        <v>46287</v>
      </c>
      <c r="E260" s="5" t="n">
        <v>46301</v>
      </c>
      <c r="F260" t="inlineStr">
        <is>
          <t>AUD</t>
        </is>
      </c>
      <c r="G260" s="9" t="n">
        <v>203.69</v>
      </c>
      <c r="H260" s="9" t="n">
        <v>0</v>
      </c>
      <c r="I260" s="9" t="n">
        <v>203.69</v>
      </c>
      <c r="J260" s="9">
        <f>ROUND(1*SUMIFS('Allocations'!$C$5:$C$222,'Allocations'!$B$5:$B$222,A260),2)</f>
        <v>203.69</v>
      </c>
      <c r="K260" s="9">
        <f>ROUND(I260-J260,2)</f>
        <v>0</v>
      </c>
      <c r="L260">
        <f>MAX(0,DATE(2026,9,30)-E260)</f>
        <v>0</v>
      </c>
      <c r="M260">
        <f>IF(K260&lt;-0.005,"Credit balance: check for double payment",IF(AND(K260&gt;0.005,L260&gt;60),"Over 60 days overdue",""))</f>
      </c>
    </row>
    <row r="261">
      <c r="A261" t="inlineStr">
        <is>
          <t>INV/2026/03264</t>
        </is>
      </c>
      <c r="B261" t="inlineStr">
        <is>
          <t>Invoice</t>
        </is>
      </c>
      <c r="C261" t="inlineStr">
        <is>
          <t>Kookaburra Plan Support</t>
        </is>
      </c>
      <c r="D261" s="5" t="n">
        <v>46287</v>
      </c>
      <c r="E261" s="5" t="n">
        <v>46301</v>
      </c>
      <c r="F261" t="inlineStr">
        <is>
          <t>AUD</t>
        </is>
      </c>
      <c r="G261" s="9" t="n">
        <v>290.98</v>
      </c>
      <c r="H261" s="9" t="n">
        <v>0</v>
      </c>
      <c r="I261" s="9" t="n">
        <v>290.98</v>
      </c>
      <c r="J261" s="9">
        <f>ROUND(1*SUMIFS('Allocations'!$C$5:$C$222,'Allocations'!$B$5:$B$222,A261),2)</f>
        <v>0</v>
      </c>
      <c r="K261" s="9">
        <f>ROUND(I261-J261,2)</f>
        <v>290.98</v>
      </c>
      <c r="L261">
        <f>MAX(0,DATE(2026,9,30)-E261)</f>
        <v>0</v>
      </c>
      <c r="M261">
        <f>IF(K261&lt;-0.005,"Credit balance: check for double payment",IF(AND(K261&gt;0.005,L261&gt;60),"Over 60 days overdue",""))</f>
      </c>
    </row>
    <row r="262">
      <c r="A262" t="inlineStr">
        <is>
          <t>INV/2026/03266</t>
        </is>
      </c>
      <c r="B262" t="inlineStr">
        <is>
          <t>Invoice</t>
        </is>
      </c>
      <c r="C262" t="inlineStr">
        <is>
          <t>Saltbush Plan Managers</t>
        </is>
      </c>
      <c r="D262" s="5" t="n">
        <v>46287</v>
      </c>
      <c r="E262" s="5" t="n">
        <v>46301</v>
      </c>
      <c r="F262" t="inlineStr">
        <is>
          <t>AUD</t>
        </is>
      </c>
      <c r="G262" s="9" t="n">
        <v>145.49</v>
      </c>
      <c r="H262" s="9" t="n">
        <v>0</v>
      </c>
      <c r="I262" s="9" t="n">
        <v>145.49</v>
      </c>
      <c r="J262" s="9">
        <f>ROUND(1*SUMIFS('Allocations'!$C$5:$C$222,'Allocations'!$B$5:$B$222,A262),2)</f>
        <v>0</v>
      </c>
      <c r="K262" s="9">
        <f>ROUND(I262-J262,2)</f>
        <v>145.49</v>
      </c>
      <c r="L262">
        <f>MAX(0,DATE(2026,9,30)-E262)</f>
        <v>0</v>
      </c>
      <c r="M262">
        <f>IF(K262&lt;-0.005,"Credit balance: check for double payment",IF(AND(K262&gt;0.005,L262&gt;60),"Over 60 days overdue",""))</f>
      </c>
    </row>
    <row r="263">
      <c r="A263" t="inlineStr">
        <is>
          <t>INV/2026/03267</t>
        </is>
      </c>
      <c r="B263" t="inlineStr">
        <is>
          <t>Invoice</t>
        </is>
      </c>
      <c r="C263" t="inlineStr">
        <is>
          <t>Saltbush Plan Managers</t>
        </is>
      </c>
      <c r="D263" s="5" t="n">
        <v>46287</v>
      </c>
      <c r="E263" s="5" t="n">
        <v>46301</v>
      </c>
      <c r="F263" t="inlineStr">
        <is>
          <t>AUD</t>
        </is>
      </c>
      <c r="G263" s="9" t="n">
        <v>96.98999999999999</v>
      </c>
      <c r="H263" s="9" t="n">
        <v>0</v>
      </c>
      <c r="I263" s="9" t="n">
        <v>96.98999999999999</v>
      </c>
      <c r="J263" s="9">
        <f>ROUND(1*SUMIFS('Allocations'!$C$5:$C$222,'Allocations'!$B$5:$B$222,A263),2)</f>
        <v>0</v>
      </c>
      <c r="K263" s="9">
        <f>ROUND(I263-J263,2)</f>
        <v>96.99</v>
      </c>
      <c r="L263">
        <f>MAX(0,DATE(2026,9,30)-E263)</f>
        <v>0</v>
      </c>
      <c r="M263">
        <f>IF(K263&lt;-0.005,"Credit balance: check for double payment",IF(AND(K263&gt;0.005,L263&gt;60),"Over 60 days overdue",""))</f>
      </c>
    </row>
    <row r="264">
      <c r="A264" t="inlineStr">
        <is>
          <t>INV/2026/03276</t>
        </is>
      </c>
      <c r="B264" t="inlineStr">
        <is>
          <t>Invoice</t>
        </is>
      </c>
      <c r="C264" t="inlineStr">
        <is>
          <t>Mallee Plan Services</t>
        </is>
      </c>
      <c r="D264" s="5" t="n">
        <v>46287</v>
      </c>
      <c r="E264" s="5" t="n">
        <v>46301</v>
      </c>
      <c r="F264" t="inlineStr">
        <is>
          <t>AUD</t>
        </is>
      </c>
      <c r="G264" s="9" t="n">
        <v>272.49</v>
      </c>
      <c r="H264" s="9" t="n">
        <v>0</v>
      </c>
      <c r="I264" s="9" t="n">
        <v>272.49</v>
      </c>
      <c r="J264" s="9">
        <f>ROUND(1*SUMIFS('Allocations'!$C$5:$C$222,'Allocations'!$B$5:$B$222,A264),2)</f>
        <v>0</v>
      </c>
      <c r="K264" s="9">
        <f>ROUND(I264-J264,2)</f>
        <v>272.49</v>
      </c>
      <c r="L264">
        <f>MAX(0,DATE(2026,9,30)-E264)</f>
        <v>0</v>
      </c>
      <c r="M264">
        <f>IF(K264&lt;-0.005,"Credit balance: check for double payment",IF(AND(K264&gt;0.005,L264&gt;60),"Over 60 days overdue",""))</f>
      </c>
    </row>
    <row r="265">
      <c r="A265" t="inlineStr">
        <is>
          <t>INV/2026/03277</t>
        </is>
      </c>
      <c r="B265" t="inlineStr">
        <is>
          <t>Invoice</t>
        </is>
      </c>
      <c r="C265" t="inlineStr">
        <is>
          <t>Pinnacle Claims Services</t>
        </is>
      </c>
      <c r="D265" s="5" t="n">
        <v>46287</v>
      </c>
      <c r="E265" s="5" t="n">
        <v>46301</v>
      </c>
      <c r="F265" t="inlineStr">
        <is>
          <t>AUD</t>
        </is>
      </c>
      <c r="G265" s="9" t="n">
        <v>132</v>
      </c>
      <c r="H265" s="9" t="n">
        <v>0</v>
      </c>
      <c r="I265" s="9" t="n">
        <v>132</v>
      </c>
      <c r="J265" s="9">
        <f>ROUND(1*SUMIFS('Allocations'!$C$5:$C$222,'Allocations'!$B$5:$B$222,A265),2)</f>
        <v>0</v>
      </c>
      <c r="K265" s="9">
        <f>ROUND(I265-J265,2)</f>
        <v>132</v>
      </c>
      <c r="L265">
        <f>MAX(0,DATE(2026,9,30)-E265)</f>
        <v>0</v>
      </c>
      <c r="M265">
        <f>IF(K265&lt;-0.005,"Credit balance: check for double payment",IF(AND(K265&gt;0.005,L265&gt;60),"Over 60 days overdue",""))</f>
      </c>
    </row>
    <row r="266">
      <c r="A266" t="inlineStr">
        <is>
          <t>INV/2026/03278</t>
        </is>
      </c>
      <c r="B266" t="inlineStr">
        <is>
          <t>Invoice</t>
        </is>
      </c>
      <c r="C266" t="inlineStr">
        <is>
          <t>Meridian Health Cover</t>
        </is>
      </c>
      <c r="D266" s="5" t="n">
        <v>46287</v>
      </c>
      <c r="E266" s="5" t="n">
        <v>46301</v>
      </c>
      <c r="F266" t="inlineStr">
        <is>
          <t>AUD</t>
        </is>
      </c>
      <c r="G266" s="9" t="n">
        <v>88</v>
      </c>
      <c r="H266" s="9" t="n">
        <v>0</v>
      </c>
      <c r="I266" s="9" t="n">
        <v>88</v>
      </c>
      <c r="J266" s="9">
        <f>ROUND(1*SUMIFS('Allocations'!$C$5:$C$222,'Allocations'!$B$5:$B$222,A266),2)</f>
        <v>0</v>
      </c>
      <c r="K266" s="9">
        <f>ROUND(I266-J266,2)</f>
        <v>88</v>
      </c>
      <c r="L266">
        <f>MAX(0,DATE(2026,9,30)-E266)</f>
        <v>0</v>
      </c>
      <c r="M266">
        <f>IF(K266&lt;-0.005,"Credit balance: check for double payment",IF(AND(K266&gt;0.005,L266&gt;60),"Over 60 days overdue",""))</f>
      </c>
    </row>
    <row r="267">
      <c r="A267" t="inlineStr">
        <is>
          <t>INV/2026/03279</t>
        </is>
      </c>
      <c r="B267" t="inlineStr">
        <is>
          <t>Invoice</t>
        </is>
      </c>
      <c r="C267" t="inlineStr">
        <is>
          <t>Northline Injury Claims</t>
        </is>
      </c>
      <c r="D267" s="5" t="n">
        <v>46287</v>
      </c>
      <c r="E267" s="5" t="n">
        <v>46301</v>
      </c>
      <c r="F267" t="inlineStr">
        <is>
          <t>AUD</t>
        </is>
      </c>
      <c r="G267" s="9" t="n">
        <v>412.5</v>
      </c>
      <c r="H267" s="9" t="n">
        <v>0</v>
      </c>
      <c r="I267" s="9" t="n">
        <v>412.5</v>
      </c>
      <c r="J267" s="9">
        <f>ROUND(1*SUMIFS('Allocations'!$C$5:$C$222,'Allocations'!$B$5:$B$222,A267),2)</f>
        <v>0</v>
      </c>
      <c r="K267" s="9">
        <f>ROUND(I267-J267,2)</f>
        <v>412.5</v>
      </c>
      <c r="L267">
        <f>MAX(0,DATE(2026,9,30)-E267)</f>
        <v>0</v>
      </c>
      <c r="M267">
        <f>IF(K267&lt;-0.005,"Credit balance: check for double payment",IF(AND(K267&gt;0.005,L267&gt;60),"Over 60 days overdue",""))</f>
      </c>
    </row>
    <row r="268">
      <c r="A268" t="inlineStr">
        <is>
          <t>INV/2026/03280</t>
        </is>
      </c>
      <c r="B268" t="inlineStr">
        <is>
          <t>Invoice</t>
        </is>
      </c>
      <c r="C268" t="inlineStr">
        <is>
          <t>Bluegum Plan Management</t>
        </is>
      </c>
      <c r="D268" s="5" t="n">
        <v>46288</v>
      </c>
      <c r="E268" s="5" t="n">
        <v>46302</v>
      </c>
      <c r="F268" t="inlineStr">
        <is>
          <t>AUD</t>
        </is>
      </c>
      <c r="G268" s="9" t="n">
        <v>223.99</v>
      </c>
      <c r="H268" s="9" t="n">
        <v>0</v>
      </c>
      <c r="I268" s="9" t="n">
        <v>223.99</v>
      </c>
      <c r="J268" s="9">
        <f>ROUND(1*SUMIFS('Allocations'!$C$5:$C$222,'Allocations'!$B$5:$B$222,A268),2)</f>
        <v>0</v>
      </c>
      <c r="K268" s="9">
        <f>ROUND(I268-J268,2)</f>
        <v>223.99</v>
      </c>
      <c r="L268">
        <f>MAX(0,DATE(2026,9,30)-E268)</f>
        <v>0</v>
      </c>
      <c r="M268">
        <f>IF(K268&lt;-0.005,"Credit balance: check for double payment",IF(AND(K268&gt;0.005,L268&gt;60),"Over 60 days overdue",""))</f>
      </c>
    </row>
    <row r="269">
      <c r="A269" t="inlineStr">
        <is>
          <t>INV/2026/03281</t>
        </is>
      </c>
      <c r="B269" t="inlineStr">
        <is>
          <t>Invoice</t>
        </is>
      </c>
      <c r="C269" t="inlineStr">
        <is>
          <t>Riverbend Plan Partners</t>
        </is>
      </c>
      <c r="D269" s="5" t="n">
        <v>46288</v>
      </c>
      <c r="E269" s="5" t="n">
        <v>46302</v>
      </c>
      <c r="F269" t="inlineStr">
        <is>
          <t>AUD</t>
        </is>
      </c>
      <c r="G269" s="9" t="n">
        <v>290.98</v>
      </c>
      <c r="H269" s="9" t="n">
        <v>0</v>
      </c>
      <c r="I269" s="9" t="n">
        <v>290.98</v>
      </c>
      <c r="J269" s="9">
        <f>ROUND(1*SUMIFS('Allocations'!$C$5:$C$222,'Allocations'!$B$5:$B$222,A269),2)</f>
        <v>290.98</v>
      </c>
      <c r="K269" s="9">
        <f>ROUND(I269-J269,2)</f>
        <v>0</v>
      </c>
      <c r="L269">
        <f>MAX(0,DATE(2026,9,30)-E269)</f>
        <v>0</v>
      </c>
      <c r="M269">
        <f>IF(K269&lt;-0.005,"Credit balance: check for double payment",IF(AND(K269&gt;0.005,L269&gt;60),"Over 60 days overdue",""))</f>
      </c>
    </row>
    <row r="270">
      <c r="A270" t="inlineStr">
        <is>
          <t>INV/2026/03282</t>
        </is>
      </c>
      <c r="B270" t="inlineStr">
        <is>
          <t>Invoice</t>
        </is>
      </c>
      <c r="C270" t="inlineStr">
        <is>
          <t>Clearpath NDIS Plans</t>
        </is>
      </c>
      <c r="D270" s="5" t="n">
        <v>46288</v>
      </c>
      <c r="E270" s="5" t="n">
        <v>46302</v>
      </c>
      <c r="F270" t="inlineStr">
        <is>
          <t>AUD</t>
        </is>
      </c>
      <c r="G270" s="9" t="n">
        <v>387.98</v>
      </c>
      <c r="H270" s="9" t="n">
        <v>0</v>
      </c>
      <c r="I270" s="9" t="n">
        <v>387.98</v>
      </c>
      <c r="J270" s="9">
        <f>ROUND(1*SUMIFS('Allocations'!$C$5:$C$222,'Allocations'!$B$5:$B$222,A270),2)</f>
        <v>0</v>
      </c>
      <c r="K270" s="9">
        <f>ROUND(I270-J270,2)</f>
        <v>387.98</v>
      </c>
      <c r="L270">
        <f>MAX(0,DATE(2026,9,30)-E270)</f>
        <v>0</v>
      </c>
      <c r="M270">
        <f>IF(K270&lt;-0.005,"Credit balance: check for double payment",IF(AND(K270&gt;0.005,L270&gt;60),"Over 60 days overdue",""))</f>
      </c>
    </row>
    <row r="271">
      <c r="A271" t="inlineStr">
        <is>
          <t>INV/2026/03284</t>
        </is>
      </c>
      <c r="B271" t="inlineStr">
        <is>
          <t>Invoice</t>
        </is>
      </c>
      <c r="C271" t="inlineStr">
        <is>
          <t>Banksia Plan Co</t>
        </is>
      </c>
      <c r="D271" s="5" t="n">
        <v>46288</v>
      </c>
      <c r="E271" s="5" t="n">
        <v>46302</v>
      </c>
      <c r="F271" t="inlineStr">
        <is>
          <t>AUD</t>
        </is>
      </c>
      <c r="G271" s="9" t="n">
        <v>446.18</v>
      </c>
      <c r="H271" s="9" t="n">
        <v>0</v>
      </c>
      <c r="I271" s="9" t="n">
        <v>446.18</v>
      </c>
      <c r="J271" s="9">
        <f>ROUND(1*SUMIFS('Allocations'!$C$5:$C$222,'Allocations'!$B$5:$B$222,A271),2)</f>
        <v>446.18</v>
      </c>
      <c r="K271" s="9">
        <f>ROUND(I271-J271,2)</f>
        <v>0</v>
      </c>
      <c r="L271">
        <f>MAX(0,DATE(2026,9,30)-E271)</f>
        <v>0</v>
      </c>
      <c r="M271">
        <f>IF(K271&lt;-0.005,"Credit balance: check for double payment",IF(AND(K271&gt;0.005,L271&gt;60),"Over 60 days overdue",""))</f>
      </c>
    </row>
    <row r="272">
      <c r="A272" t="inlineStr">
        <is>
          <t>INV/2026/03285</t>
        </is>
      </c>
      <c r="B272" t="inlineStr">
        <is>
          <t>Invoice</t>
        </is>
      </c>
      <c r="C272" t="inlineStr">
        <is>
          <t>Ironbark Plan Management</t>
        </is>
      </c>
      <c r="D272" s="5" t="n">
        <v>46288</v>
      </c>
      <c r="E272" s="5" t="n">
        <v>46302</v>
      </c>
      <c r="F272" t="inlineStr">
        <is>
          <t>AUD</t>
        </is>
      </c>
      <c r="G272" s="9" t="n">
        <v>155.19</v>
      </c>
      <c r="H272" s="9" t="n">
        <v>0</v>
      </c>
      <c r="I272" s="9" t="n">
        <v>155.19</v>
      </c>
      <c r="J272" s="9">
        <f>ROUND(1*SUMIFS('Allocations'!$C$5:$C$222,'Allocations'!$B$5:$B$222,A272),2)</f>
        <v>0</v>
      </c>
      <c r="K272" s="9">
        <f>ROUND(I272-J272,2)</f>
        <v>155.19</v>
      </c>
      <c r="L272">
        <f>MAX(0,DATE(2026,9,30)-E272)</f>
        <v>0</v>
      </c>
      <c r="M272">
        <f>IF(K272&lt;-0.005,"Credit balance: check for double payment",IF(AND(K272&gt;0.005,L272&gt;60),"Over 60 days overdue",""))</f>
      </c>
    </row>
    <row r="273">
      <c r="A273" t="inlineStr">
        <is>
          <t>INV/2026/03286</t>
        </is>
      </c>
      <c r="B273" t="inlineStr">
        <is>
          <t>Invoice</t>
        </is>
      </c>
      <c r="C273" t="inlineStr">
        <is>
          <t>Ironbark Plan Management</t>
        </is>
      </c>
      <c r="D273" s="5" t="n">
        <v>46288</v>
      </c>
      <c r="E273" s="5" t="n">
        <v>46302</v>
      </c>
      <c r="F273" t="inlineStr">
        <is>
          <t>AUD</t>
        </is>
      </c>
      <c r="G273" s="9" t="n">
        <v>96.98999999999999</v>
      </c>
      <c r="H273" s="9" t="n">
        <v>0</v>
      </c>
      <c r="I273" s="9" t="n">
        <v>96.98999999999999</v>
      </c>
      <c r="J273" s="9">
        <f>ROUND(1*SUMIFS('Allocations'!$C$5:$C$222,'Allocations'!$B$5:$B$222,A273),2)</f>
        <v>0</v>
      </c>
      <c r="K273" s="9">
        <f>ROUND(I273-J273,2)</f>
        <v>96.99</v>
      </c>
      <c r="L273">
        <f>MAX(0,DATE(2026,9,30)-E273)</f>
        <v>0</v>
      </c>
      <c r="M273">
        <f>IF(K273&lt;-0.005,"Credit balance: check for double payment",IF(AND(K273&gt;0.005,L273&gt;60),"Over 60 days overdue",""))</f>
      </c>
    </row>
    <row r="274">
      <c r="A274" t="inlineStr">
        <is>
          <t>INV/2026/03289</t>
        </is>
      </c>
      <c r="B274" t="inlineStr">
        <is>
          <t>Invoice</t>
        </is>
      </c>
      <c r="C274" t="inlineStr">
        <is>
          <t>Saltbush Plan Managers</t>
        </is>
      </c>
      <c r="D274" s="5" t="n">
        <v>46288</v>
      </c>
      <c r="E274" s="5" t="n">
        <v>46302</v>
      </c>
      <c r="F274" t="inlineStr">
        <is>
          <t>AUD</t>
        </is>
      </c>
      <c r="G274" s="9" t="n">
        <v>446.18</v>
      </c>
      <c r="H274" s="9" t="n">
        <v>0</v>
      </c>
      <c r="I274" s="9" t="n">
        <v>446.18</v>
      </c>
      <c r="J274" s="9">
        <f>ROUND(1*SUMIFS('Allocations'!$C$5:$C$222,'Allocations'!$B$5:$B$222,A274),2)</f>
        <v>0</v>
      </c>
      <c r="K274" s="9">
        <f>ROUND(I274-J274,2)</f>
        <v>446.18</v>
      </c>
      <c r="L274">
        <f>MAX(0,DATE(2026,9,30)-E274)</f>
        <v>0</v>
      </c>
      <c r="M274">
        <f>IF(K274&lt;-0.005,"Credit balance: check for double payment",IF(AND(K274&gt;0.005,L274&gt;60),"Over 60 days overdue",""))</f>
      </c>
    </row>
    <row r="275">
      <c r="A275" t="inlineStr">
        <is>
          <t>INV/2026/03290</t>
        </is>
      </c>
      <c r="B275" t="inlineStr">
        <is>
          <t>Invoice</t>
        </is>
      </c>
      <c r="C275" t="inlineStr">
        <is>
          <t>Redgum Plan Admin</t>
        </is>
      </c>
      <c r="D275" s="5" t="n">
        <v>46288</v>
      </c>
      <c r="E275" s="5" t="n">
        <v>46302</v>
      </c>
      <c r="F275" t="inlineStr">
        <is>
          <t>AUD</t>
        </is>
      </c>
      <c r="G275" s="9" t="n">
        <v>242.49</v>
      </c>
      <c r="H275" s="9" t="n">
        <v>0</v>
      </c>
      <c r="I275" s="9" t="n">
        <v>242.49</v>
      </c>
      <c r="J275" s="9">
        <f>ROUND(1*SUMIFS('Allocations'!$C$5:$C$222,'Allocations'!$B$5:$B$222,A275),2)</f>
        <v>0</v>
      </c>
      <c r="K275" s="9">
        <f>ROUND(I275-J275,2)</f>
        <v>242.49</v>
      </c>
      <c r="L275">
        <f>MAX(0,DATE(2026,9,30)-E275)</f>
        <v>0</v>
      </c>
      <c r="M275">
        <f>IF(K275&lt;-0.005,"Credit balance: check for double payment",IF(AND(K275&gt;0.005,L275&gt;60),"Over 60 days overdue",""))</f>
      </c>
    </row>
    <row r="276">
      <c r="A276" t="inlineStr">
        <is>
          <t>INV/2026/03294</t>
        </is>
      </c>
      <c r="B276" t="inlineStr">
        <is>
          <t>Invoice</t>
        </is>
      </c>
      <c r="C276" t="inlineStr">
        <is>
          <t>Mallee Plan Services</t>
        </is>
      </c>
      <c r="D276" s="5" t="n">
        <v>46288</v>
      </c>
      <c r="E276" s="5" t="n">
        <v>46302</v>
      </c>
      <c r="F276" t="inlineStr">
        <is>
          <t>AUD</t>
        </is>
      </c>
      <c r="G276" s="9" t="n">
        <v>175.49</v>
      </c>
      <c r="H276" s="9" t="n">
        <v>0</v>
      </c>
      <c r="I276" s="9" t="n">
        <v>175.49</v>
      </c>
      <c r="J276" s="9">
        <f>ROUND(1*SUMIFS('Allocations'!$C$5:$C$222,'Allocations'!$B$5:$B$222,A276),2)</f>
        <v>0</v>
      </c>
      <c r="K276" s="9">
        <f>ROUND(I276-J276,2)</f>
        <v>175.49</v>
      </c>
      <c r="L276">
        <f>MAX(0,DATE(2026,9,30)-E276)</f>
        <v>0</v>
      </c>
      <c r="M276">
        <f>IF(K276&lt;-0.005,"Credit balance: check for double payment",IF(AND(K276&gt;0.005,L276&gt;60),"Over 60 days overdue",""))</f>
      </c>
    </row>
    <row r="277">
      <c r="A277" t="inlineStr">
        <is>
          <t>INV/2026/03295</t>
        </is>
      </c>
      <c r="B277" t="inlineStr">
        <is>
          <t>Invoice</t>
        </is>
      </c>
      <c r="C277" t="inlineStr">
        <is>
          <t>Harbour Mutual Health</t>
        </is>
      </c>
      <c r="D277" s="5" t="n">
        <v>46288</v>
      </c>
      <c r="E277" s="5" t="n">
        <v>46302</v>
      </c>
      <c r="F277" t="inlineStr">
        <is>
          <t>AUD</t>
        </is>
      </c>
      <c r="G277" s="9" t="n">
        <v>412.5</v>
      </c>
      <c r="H277" s="9" t="n">
        <v>0</v>
      </c>
      <c r="I277" s="9" t="n">
        <v>412.5</v>
      </c>
      <c r="J277" s="9">
        <f>ROUND(1*SUMIFS('Allocations'!$C$5:$C$222,'Allocations'!$B$5:$B$222,A277),2)</f>
        <v>0</v>
      </c>
      <c r="K277" s="9">
        <f>ROUND(I277-J277,2)</f>
        <v>412.5</v>
      </c>
      <c r="L277">
        <f>MAX(0,DATE(2026,9,30)-E277)</f>
        <v>0</v>
      </c>
      <c r="M277">
        <f>IF(K277&lt;-0.005,"Credit balance: check for double payment",IF(AND(K277&gt;0.005,L277&gt;60),"Over 60 days overdue",""))</f>
      </c>
    </row>
    <row r="278">
      <c r="A278" t="inlineStr">
        <is>
          <t>INV/2026/03296</t>
        </is>
      </c>
      <c r="B278" t="inlineStr">
        <is>
          <t>Invoice</t>
        </is>
      </c>
      <c r="C278" t="inlineStr">
        <is>
          <t>Pinnacle Claims Services</t>
        </is>
      </c>
      <c r="D278" s="5" t="n">
        <v>46288</v>
      </c>
      <c r="E278" s="5" t="n">
        <v>46302</v>
      </c>
      <c r="F278" t="inlineStr">
        <is>
          <t>AUD</t>
        </is>
      </c>
      <c r="G278" s="9" t="n">
        <v>132</v>
      </c>
      <c r="H278" s="9" t="n">
        <v>0</v>
      </c>
      <c r="I278" s="9" t="n">
        <v>132</v>
      </c>
      <c r="J278" s="9">
        <f>ROUND(1*SUMIFS('Allocations'!$C$5:$C$222,'Allocations'!$B$5:$B$222,A278),2)</f>
        <v>0</v>
      </c>
      <c r="K278" s="9">
        <f>ROUND(I278-J278,2)</f>
        <v>132</v>
      </c>
      <c r="L278">
        <f>MAX(0,DATE(2026,9,30)-E278)</f>
        <v>0</v>
      </c>
      <c r="M278">
        <f>IF(K278&lt;-0.005,"Credit balance: check for double payment",IF(AND(K278&gt;0.005,L278&gt;60),"Over 60 days overdue",""))</f>
      </c>
    </row>
    <row r="279">
      <c r="A279" t="inlineStr">
        <is>
          <t>INV/2026/03298</t>
        </is>
      </c>
      <c r="B279" t="inlineStr">
        <is>
          <t>Invoice</t>
        </is>
      </c>
      <c r="C279" t="inlineStr">
        <is>
          <t>Riverbend Plan Partners</t>
        </is>
      </c>
      <c r="D279" s="5" t="n">
        <v>46289</v>
      </c>
      <c r="E279" s="5" t="n">
        <v>46303</v>
      </c>
      <c r="F279" t="inlineStr">
        <is>
          <t>AUD</t>
        </is>
      </c>
      <c r="G279" s="9" t="n">
        <v>252.19</v>
      </c>
      <c r="H279" s="9" t="n">
        <v>0</v>
      </c>
      <c r="I279" s="9" t="n">
        <v>252.19</v>
      </c>
      <c r="J279" s="9">
        <f>ROUND(1*SUMIFS('Allocations'!$C$5:$C$222,'Allocations'!$B$5:$B$222,A279),2)</f>
        <v>252.19</v>
      </c>
      <c r="K279" s="9">
        <f>ROUND(I279-J279,2)</f>
        <v>0</v>
      </c>
      <c r="L279">
        <f>MAX(0,DATE(2026,9,30)-E279)</f>
        <v>0</v>
      </c>
      <c r="M279">
        <f>IF(K279&lt;-0.005,"Credit balance: check for double payment",IF(AND(K279&gt;0.005,L279&gt;60),"Over 60 days overdue",""))</f>
      </c>
    </row>
    <row r="280">
      <c r="A280" t="inlineStr">
        <is>
          <t>INV/2026/03299</t>
        </is>
      </c>
      <c r="B280" t="inlineStr">
        <is>
          <t>Invoice</t>
        </is>
      </c>
      <c r="C280" t="inlineStr">
        <is>
          <t>Clearpath NDIS Plans</t>
        </is>
      </c>
      <c r="D280" s="5" t="n">
        <v>46289</v>
      </c>
      <c r="E280" s="5" t="n">
        <v>46303</v>
      </c>
      <c r="F280" t="inlineStr">
        <is>
          <t>AUD</t>
        </is>
      </c>
      <c r="G280" s="9" t="n">
        <v>242.49</v>
      </c>
      <c r="H280" s="9" t="n">
        <v>0</v>
      </c>
      <c r="I280" s="9" t="n">
        <v>242.49</v>
      </c>
      <c r="J280" s="9">
        <f>ROUND(1*SUMIFS('Allocations'!$C$5:$C$222,'Allocations'!$B$5:$B$222,A280),2)</f>
        <v>0</v>
      </c>
      <c r="K280" s="9">
        <f>ROUND(I280-J280,2)</f>
        <v>242.49</v>
      </c>
      <c r="L280">
        <f>MAX(0,DATE(2026,9,30)-E280)</f>
        <v>0</v>
      </c>
      <c r="M280">
        <f>IF(K280&lt;-0.005,"Credit balance: check for double payment",IF(AND(K280&gt;0.005,L280&gt;60),"Over 60 days overdue",""))</f>
      </c>
    </row>
    <row r="281">
      <c r="A281" t="inlineStr">
        <is>
          <t>INV/2026/03300</t>
        </is>
      </c>
      <c r="B281" t="inlineStr">
        <is>
          <t>Invoice</t>
        </is>
      </c>
      <c r="C281" t="inlineStr">
        <is>
          <t>Clearpath NDIS Plans</t>
        </is>
      </c>
      <c r="D281" s="5" t="n">
        <v>46289</v>
      </c>
      <c r="E281" s="5" t="n">
        <v>46303</v>
      </c>
      <c r="F281" t="inlineStr">
        <is>
          <t>AUD</t>
        </is>
      </c>
      <c r="G281" s="9" t="n">
        <v>193.99</v>
      </c>
      <c r="H281" s="9" t="n">
        <v>0</v>
      </c>
      <c r="I281" s="9" t="n">
        <v>193.99</v>
      </c>
      <c r="J281" s="9">
        <f>ROUND(1*SUMIFS('Allocations'!$C$5:$C$222,'Allocations'!$B$5:$B$222,A281),2)</f>
        <v>0</v>
      </c>
      <c r="K281" s="9">
        <f>ROUND(I281-J281,2)</f>
        <v>193.99</v>
      </c>
      <c r="L281">
        <f>MAX(0,DATE(2026,9,30)-E281)</f>
        <v>0</v>
      </c>
      <c r="M281">
        <f>IF(K281&lt;-0.005,"Credit balance: check for double payment",IF(AND(K281&gt;0.005,L281&gt;60),"Over 60 days overdue",""))</f>
      </c>
    </row>
    <row r="282">
      <c r="A282" t="inlineStr">
        <is>
          <t>INV/2026/03301</t>
        </is>
      </c>
      <c r="B282" t="inlineStr">
        <is>
          <t>Invoice</t>
        </is>
      </c>
      <c r="C282" t="inlineStr">
        <is>
          <t>Clearpath NDIS Plans</t>
        </is>
      </c>
      <c r="D282" s="5" t="n">
        <v>46289</v>
      </c>
      <c r="E282" s="5" t="n">
        <v>46303</v>
      </c>
      <c r="F282" t="inlineStr">
        <is>
          <t>AUD</t>
        </is>
      </c>
      <c r="G282" s="9" t="n">
        <v>96.98999999999999</v>
      </c>
      <c r="H282" s="9" t="n">
        <v>0</v>
      </c>
      <c r="I282" s="9" t="n">
        <v>96.98999999999999</v>
      </c>
      <c r="J282" s="9">
        <f>ROUND(1*SUMIFS('Allocations'!$C$5:$C$222,'Allocations'!$B$5:$B$222,A282),2)</f>
        <v>0</v>
      </c>
      <c r="K282" s="9">
        <f>ROUND(I282-J282,2)</f>
        <v>96.99</v>
      </c>
      <c r="L282">
        <f>MAX(0,DATE(2026,9,30)-E282)</f>
        <v>0</v>
      </c>
      <c r="M282">
        <f>IF(K282&lt;-0.005,"Credit balance: check for double payment",IF(AND(K282&gt;0.005,L282&gt;60),"Over 60 days overdue",""))</f>
      </c>
    </row>
    <row r="283">
      <c r="A283" t="inlineStr">
        <is>
          <t>INV/2026/03303</t>
        </is>
      </c>
      <c r="B283" t="inlineStr">
        <is>
          <t>Invoice</t>
        </is>
      </c>
      <c r="C283" t="inlineStr">
        <is>
          <t>Banksia Plan Co</t>
        </is>
      </c>
      <c r="D283" s="5" t="n">
        <v>46289</v>
      </c>
      <c r="E283" s="5" t="n">
        <v>46303</v>
      </c>
      <c r="F283" t="inlineStr">
        <is>
          <t>AUD</t>
        </is>
      </c>
      <c r="G283" s="9" t="n">
        <v>272.49</v>
      </c>
      <c r="H283" s="9" t="n">
        <v>0</v>
      </c>
      <c r="I283" s="9" t="n">
        <v>272.49</v>
      </c>
      <c r="J283" s="9">
        <f>ROUND(1*SUMIFS('Allocations'!$C$5:$C$222,'Allocations'!$B$5:$B$222,A283),2)</f>
        <v>272.49</v>
      </c>
      <c r="K283" s="9">
        <f>ROUND(I283-J283,2)</f>
        <v>0</v>
      </c>
      <c r="L283">
        <f>MAX(0,DATE(2026,9,30)-E283)</f>
        <v>0</v>
      </c>
      <c r="M283">
        <f>IF(K283&lt;-0.005,"Credit balance: check for double payment",IF(AND(K283&gt;0.005,L283&gt;60),"Over 60 days overdue",""))</f>
      </c>
    </row>
    <row r="284">
      <c r="A284" t="inlineStr">
        <is>
          <t>INV/2026/03304</t>
        </is>
      </c>
      <c r="B284" t="inlineStr">
        <is>
          <t>Invoice</t>
        </is>
      </c>
      <c r="C284" t="inlineStr">
        <is>
          <t>Banksia Plan Co</t>
        </is>
      </c>
      <c r="D284" s="5" t="n">
        <v>46289</v>
      </c>
      <c r="E284" s="5" t="n">
        <v>46303</v>
      </c>
      <c r="F284" t="inlineStr">
        <is>
          <t>AUD</t>
        </is>
      </c>
      <c r="G284" s="9" t="n">
        <v>242.49</v>
      </c>
      <c r="H284" s="9" t="n">
        <v>0</v>
      </c>
      <c r="I284" s="9" t="n">
        <v>242.49</v>
      </c>
      <c r="J284" s="9">
        <f>ROUND(1*SUMIFS('Allocations'!$C$5:$C$222,'Allocations'!$B$5:$B$222,A284),2)</f>
        <v>242.49</v>
      </c>
      <c r="K284" s="9">
        <f>ROUND(I284-J284,2)</f>
        <v>0</v>
      </c>
      <c r="L284">
        <f>MAX(0,DATE(2026,9,30)-E284)</f>
        <v>0</v>
      </c>
      <c r="M284">
        <f>IF(K284&lt;-0.005,"Credit balance: check for double payment",IF(AND(K284&gt;0.005,L284&gt;60),"Over 60 days overdue",""))</f>
      </c>
    </row>
    <row r="285">
      <c r="A285" t="inlineStr">
        <is>
          <t>INV/2026/03305</t>
        </is>
      </c>
      <c r="B285" t="inlineStr">
        <is>
          <t>Invoice</t>
        </is>
      </c>
      <c r="C285" t="inlineStr">
        <is>
          <t>Saltbush Plan Managers</t>
        </is>
      </c>
      <c r="D285" s="5" t="n">
        <v>46289</v>
      </c>
      <c r="E285" s="5" t="n">
        <v>46303</v>
      </c>
      <c r="F285" t="inlineStr">
        <is>
          <t>AUD</t>
        </is>
      </c>
      <c r="G285" s="9" t="n">
        <v>175.49</v>
      </c>
      <c r="H285" s="9" t="n">
        <v>0</v>
      </c>
      <c r="I285" s="9" t="n">
        <v>175.49</v>
      </c>
      <c r="J285" s="9">
        <f>ROUND(1*SUMIFS('Allocations'!$C$5:$C$222,'Allocations'!$B$5:$B$222,A285),2)</f>
        <v>0</v>
      </c>
      <c r="K285" s="9">
        <f>ROUND(I285-J285,2)</f>
        <v>175.49</v>
      </c>
      <c r="L285">
        <f>MAX(0,DATE(2026,9,30)-E285)</f>
        <v>0</v>
      </c>
      <c r="M285">
        <f>IF(K285&lt;-0.005,"Credit balance: check for double payment",IF(AND(K285&gt;0.005,L285&gt;60),"Over 60 days overdue",""))</f>
      </c>
    </row>
    <row r="286">
      <c r="A286" t="inlineStr">
        <is>
          <t>INV/2026/03306</t>
        </is>
      </c>
      <c r="B286" t="inlineStr">
        <is>
          <t>Invoice</t>
        </is>
      </c>
      <c r="C286" t="inlineStr">
        <is>
          <t>Saltbush Plan Managers</t>
        </is>
      </c>
      <c r="D286" s="5" t="n">
        <v>46289</v>
      </c>
      <c r="E286" s="5" t="n">
        <v>46303</v>
      </c>
      <c r="F286" t="inlineStr">
        <is>
          <t>AUD</t>
        </is>
      </c>
      <c r="G286" s="9" t="n">
        <v>145.49</v>
      </c>
      <c r="H286" s="9" t="n">
        <v>0</v>
      </c>
      <c r="I286" s="9" t="n">
        <v>145.49</v>
      </c>
      <c r="J286" s="9">
        <f>ROUND(1*SUMIFS('Allocations'!$C$5:$C$222,'Allocations'!$B$5:$B$222,A286),2)</f>
        <v>0</v>
      </c>
      <c r="K286" s="9">
        <f>ROUND(I286-J286,2)</f>
        <v>145.49</v>
      </c>
      <c r="L286">
        <f>MAX(0,DATE(2026,9,30)-E286)</f>
        <v>0</v>
      </c>
      <c r="M286">
        <f>IF(K286&lt;-0.005,"Credit balance: check for double payment",IF(AND(K286&gt;0.005,L286&gt;60),"Over 60 days overdue",""))</f>
      </c>
    </row>
    <row r="287">
      <c r="A287" t="inlineStr">
        <is>
          <t>INV/2026/03307</t>
        </is>
      </c>
      <c r="B287" t="inlineStr">
        <is>
          <t>Invoice</t>
        </is>
      </c>
      <c r="C287" t="inlineStr">
        <is>
          <t>Redgum Plan Admin</t>
        </is>
      </c>
      <c r="D287" s="5" t="n">
        <v>46289</v>
      </c>
      <c r="E287" s="5" t="n">
        <v>46303</v>
      </c>
      <c r="F287" t="inlineStr">
        <is>
          <t>AUD</t>
        </is>
      </c>
      <c r="G287" s="9" t="n">
        <v>349.18</v>
      </c>
      <c r="H287" s="9" t="n">
        <v>0</v>
      </c>
      <c r="I287" s="9" t="n">
        <v>349.18</v>
      </c>
      <c r="J287" s="9">
        <f>ROUND(1*SUMIFS('Allocations'!$C$5:$C$222,'Allocations'!$B$5:$B$222,A287),2)</f>
        <v>0</v>
      </c>
      <c r="K287" s="9">
        <f>ROUND(I287-J287,2)</f>
        <v>349.18</v>
      </c>
      <c r="L287">
        <f>MAX(0,DATE(2026,9,30)-E287)</f>
        <v>0</v>
      </c>
      <c r="M287">
        <f>IF(K287&lt;-0.005,"Credit balance: check for double payment",IF(AND(K287&gt;0.005,L287&gt;60),"Over 60 days overdue",""))</f>
      </c>
    </row>
    <row r="288">
      <c r="A288" t="inlineStr">
        <is>
          <t>INV/2026/03309</t>
        </is>
      </c>
      <c r="B288" t="inlineStr">
        <is>
          <t>Invoice</t>
        </is>
      </c>
      <c r="C288" t="inlineStr">
        <is>
          <t>Redgum Plan Admin</t>
        </is>
      </c>
      <c r="D288" s="5" t="n">
        <v>46289</v>
      </c>
      <c r="E288" s="5" t="n">
        <v>46303</v>
      </c>
      <c r="F288" t="inlineStr">
        <is>
          <t>AUD</t>
        </is>
      </c>
      <c r="G288" s="9" t="n">
        <v>175.49</v>
      </c>
      <c r="H288" s="9" t="n">
        <v>0</v>
      </c>
      <c r="I288" s="9" t="n">
        <v>175.49</v>
      </c>
      <c r="J288" s="9">
        <f>ROUND(1*SUMIFS('Allocations'!$C$5:$C$222,'Allocations'!$B$5:$B$222,A288),2)</f>
        <v>0</v>
      </c>
      <c r="K288" s="9">
        <f>ROUND(I288-J288,2)</f>
        <v>175.49</v>
      </c>
      <c r="L288">
        <f>MAX(0,DATE(2026,9,30)-E288)</f>
        <v>0</v>
      </c>
      <c r="M288">
        <f>IF(K288&lt;-0.005,"Credit balance: check for double payment",IF(AND(K288&gt;0.005,L288&gt;60),"Over 60 days overdue",""))</f>
      </c>
    </row>
    <row r="289">
      <c r="A289" t="inlineStr">
        <is>
          <t>INV/2026/03310</t>
        </is>
      </c>
      <c r="B289" t="inlineStr">
        <is>
          <t>Invoice</t>
        </is>
      </c>
      <c r="C289" t="inlineStr">
        <is>
          <t>Lyrebird Plan Management</t>
        </is>
      </c>
      <c r="D289" s="5" t="n">
        <v>46289</v>
      </c>
      <c r="E289" s="5" t="n">
        <v>46303</v>
      </c>
      <c r="F289" t="inlineStr">
        <is>
          <t>AUD</t>
        </is>
      </c>
      <c r="G289" s="9" t="n">
        <v>96.98999999999999</v>
      </c>
      <c r="H289" s="9" t="n">
        <v>0</v>
      </c>
      <c r="I289" s="9" t="n">
        <v>96.98999999999999</v>
      </c>
      <c r="J289" s="9">
        <f>ROUND(1*SUMIFS('Allocations'!$C$5:$C$222,'Allocations'!$B$5:$B$222,A289),2)</f>
        <v>0</v>
      </c>
      <c r="K289" s="9">
        <f>ROUND(I289-J289,2)</f>
        <v>96.99</v>
      </c>
      <c r="L289">
        <f>MAX(0,DATE(2026,9,30)-E289)</f>
        <v>0</v>
      </c>
      <c r="M289">
        <f>IF(K289&lt;-0.005,"Credit balance: check for double payment",IF(AND(K289&gt;0.005,L289&gt;60),"Over 60 days overdue",""))</f>
      </c>
    </row>
    <row r="290">
      <c r="A290" t="inlineStr">
        <is>
          <t>INV/2026/03312</t>
        </is>
      </c>
      <c r="B290" t="inlineStr">
        <is>
          <t>Invoice</t>
        </is>
      </c>
      <c r="C290" t="inlineStr">
        <is>
          <t>Acacia Plan Partners</t>
        </is>
      </c>
      <c r="D290" s="5" t="n">
        <v>46289</v>
      </c>
      <c r="E290" s="5" t="n">
        <v>46303</v>
      </c>
      <c r="F290" t="inlineStr">
        <is>
          <t>AUD</t>
        </is>
      </c>
      <c r="G290" s="9" t="n">
        <v>272.49</v>
      </c>
      <c r="H290" s="9" t="n">
        <v>0</v>
      </c>
      <c r="I290" s="9" t="n">
        <v>272.49</v>
      </c>
      <c r="J290" s="9">
        <f>ROUND(1*SUMIFS('Allocations'!$C$5:$C$222,'Allocations'!$B$5:$B$222,A290),2)</f>
        <v>0</v>
      </c>
      <c r="K290" s="9">
        <f>ROUND(I290-J290,2)</f>
        <v>272.49</v>
      </c>
      <c r="L290">
        <f>MAX(0,DATE(2026,9,30)-E290)</f>
        <v>0</v>
      </c>
      <c r="M290">
        <f>IF(K290&lt;-0.005,"Credit balance: check for double payment",IF(AND(K290&gt;0.005,L290&gt;60),"Over 60 days overdue",""))</f>
      </c>
    </row>
    <row r="291">
      <c r="A291" t="inlineStr">
        <is>
          <t>INV/2026/03313</t>
        </is>
      </c>
      <c r="B291" t="inlineStr">
        <is>
          <t>Invoice</t>
        </is>
      </c>
      <c r="C291" t="inlineStr">
        <is>
          <t>Mallee Plan Services</t>
        </is>
      </c>
      <c r="D291" s="5" t="n">
        <v>46289</v>
      </c>
      <c r="E291" s="5" t="n">
        <v>46303</v>
      </c>
      <c r="F291" t="inlineStr">
        <is>
          <t>AUD</t>
        </is>
      </c>
      <c r="G291" s="9" t="n">
        <v>193.99</v>
      </c>
      <c r="H291" s="9" t="n">
        <v>0</v>
      </c>
      <c r="I291" s="9" t="n">
        <v>193.99</v>
      </c>
      <c r="J291" s="9">
        <f>ROUND(1*SUMIFS('Allocations'!$C$5:$C$222,'Allocations'!$B$5:$B$222,A291),2)</f>
        <v>0</v>
      </c>
      <c r="K291" s="9">
        <f>ROUND(I291-J291,2)</f>
        <v>193.99</v>
      </c>
      <c r="L291">
        <f>MAX(0,DATE(2026,9,30)-E291)</f>
        <v>0</v>
      </c>
      <c r="M291">
        <f>IF(K291&lt;-0.005,"Credit balance: check for double payment",IF(AND(K291&gt;0.005,L291&gt;60),"Over 60 days overdue",""))</f>
      </c>
    </row>
    <row r="292">
      <c r="A292" t="inlineStr">
        <is>
          <t>INV/2026/03314</t>
        </is>
      </c>
      <c r="B292" t="inlineStr">
        <is>
          <t>Invoice</t>
        </is>
      </c>
      <c r="C292" t="inlineStr">
        <is>
          <t>Harbour Mutual Health</t>
        </is>
      </c>
      <c r="D292" s="5" t="n">
        <v>46289</v>
      </c>
      <c r="E292" s="5" t="n">
        <v>46303</v>
      </c>
      <c r="F292" t="inlineStr">
        <is>
          <t>AUD</t>
        </is>
      </c>
      <c r="G292" s="9" t="n">
        <v>176</v>
      </c>
      <c r="H292" s="9" t="n">
        <v>0</v>
      </c>
      <c r="I292" s="9" t="n">
        <v>176</v>
      </c>
      <c r="J292" s="9">
        <f>ROUND(1*SUMIFS('Allocations'!$C$5:$C$222,'Allocations'!$B$5:$B$222,A292),2)</f>
        <v>0</v>
      </c>
      <c r="K292" s="9">
        <f>ROUND(I292-J292,2)</f>
        <v>176</v>
      </c>
      <c r="L292">
        <f>MAX(0,DATE(2026,9,30)-E292)</f>
        <v>0</v>
      </c>
      <c r="M292">
        <f>IF(K292&lt;-0.005,"Credit balance: check for double payment",IF(AND(K292&gt;0.005,L292&gt;60),"Over 60 days overdue",""))</f>
      </c>
    </row>
    <row r="293">
      <c r="A293" t="inlineStr">
        <is>
          <t>INV/2026/03315</t>
        </is>
      </c>
      <c r="B293" t="inlineStr">
        <is>
          <t>Invoice</t>
        </is>
      </c>
      <c r="C293" t="inlineStr">
        <is>
          <t>Unity Workcover Agents</t>
        </is>
      </c>
      <c r="D293" s="5" t="n">
        <v>46289</v>
      </c>
      <c r="E293" s="5" t="n">
        <v>46303</v>
      </c>
      <c r="F293" t="inlineStr">
        <is>
          <t>AUD</t>
        </is>
      </c>
      <c r="G293" s="9" t="n">
        <v>990</v>
      </c>
      <c r="H293" s="9" t="n">
        <v>0</v>
      </c>
      <c r="I293" s="9" t="n">
        <v>990</v>
      </c>
      <c r="J293" s="9">
        <f>ROUND(1*SUMIFS('Allocations'!$C$5:$C$222,'Allocations'!$B$5:$B$222,A293),2)</f>
        <v>0</v>
      </c>
      <c r="K293" s="9">
        <f>ROUND(I293-J293,2)</f>
        <v>990</v>
      </c>
      <c r="L293">
        <f>MAX(0,DATE(2026,9,30)-E293)</f>
        <v>0</v>
      </c>
      <c r="M293">
        <f>IF(K293&lt;-0.005,"Credit balance: check for double payment",IF(AND(K293&gt;0.005,L293&gt;60),"Over 60 days overdue",""))</f>
      </c>
    </row>
    <row r="294">
      <c r="A294" t="inlineStr">
        <is>
          <t>INV/2026/03316</t>
        </is>
      </c>
      <c r="B294" t="inlineStr">
        <is>
          <t>Invoice</t>
        </is>
      </c>
      <c r="C294" t="inlineStr">
        <is>
          <t>Pinnacle Claims Services</t>
        </is>
      </c>
      <c r="D294" s="5" t="n">
        <v>46289</v>
      </c>
      <c r="E294" s="5" t="n">
        <v>46303</v>
      </c>
      <c r="F294" t="inlineStr">
        <is>
          <t>AUD</t>
        </is>
      </c>
      <c r="G294" s="9" t="n">
        <v>990</v>
      </c>
      <c r="H294" s="9" t="n">
        <v>0</v>
      </c>
      <c r="I294" s="9" t="n">
        <v>990</v>
      </c>
      <c r="J294" s="9">
        <f>ROUND(1*SUMIFS('Allocations'!$C$5:$C$222,'Allocations'!$B$5:$B$222,A294),2)</f>
        <v>0</v>
      </c>
      <c r="K294" s="9">
        <f>ROUND(I294-J294,2)</f>
        <v>990</v>
      </c>
      <c r="L294">
        <f>MAX(0,DATE(2026,9,30)-E294)</f>
        <v>0</v>
      </c>
      <c r="M294">
        <f>IF(K294&lt;-0.005,"Credit balance: check for double payment",IF(AND(K294&gt;0.005,L294&gt;60),"Over 60 days overdue",""))</f>
      </c>
    </row>
    <row r="295">
      <c r="A295" t="inlineStr">
        <is>
          <t>INV/2026/03317</t>
        </is>
      </c>
      <c r="B295" t="inlineStr">
        <is>
          <t>Invoice</t>
        </is>
      </c>
      <c r="C295" t="inlineStr">
        <is>
          <t>Bluegum Plan Management</t>
        </is>
      </c>
      <c r="D295" s="5" t="n">
        <v>46290</v>
      </c>
      <c r="E295" s="5" t="n">
        <v>46304</v>
      </c>
      <c r="F295" t="inlineStr">
        <is>
          <t>AUD</t>
        </is>
      </c>
      <c r="G295" s="9" t="n">
        <v>290.98</v>
      </c>
      <c r="H295" s="9" t="n">
        <v>0</v>
      </c>
      <c r="I295" s="9" t="n">
        <v>290.98</v>
      </c>
      <c r="J295" s="9">
        <f>ROUND(1*SUMIFS('Allocations'!$C$5:$C$222,'Allocations'!$B$5:$B$222,A295),2)</f>
        <v>0</v>
      </c>
      <c r="K295" s="9">
        <f>ROUND(I295-J295,2)</f>
        <v>290.98</v>
      </c>
      <c r="L295">
        <f>MAX(0,DATE(2026,9,30)-E295)</f>
        <v>0</v>
      </c>
      <c r="M295">
        <f>IF(K295&lt;-0.005,"Credit balance: check for double payment",IF(AND(K295&gt;0.005,L295&gt;60),"Over 60 days overdue",""))</f>
      </c>
    </row>
    <row r="296">
      <c r="A296" t="inlineStr">
        <is>
          <t>INV/2026/03318</t>
        </is>
      </c>
      <c r="B296" t="inlineStr">
        <is>
          <t>Invoice</t>
        </is>
      </c>
      <c r="C296" t="inlineStr">
        <is>
          <t>Bluegum Plan Management</t>
        </is>
      </c>
      <c r="D296" s="5" t="n">
        <v>46290</v>
      </c>
      <c r="E296" s="5" t="n">
        <v>46304</v>
      </c>
      <c r="F296" t="inlineStr">
        <is>
          <t>AUD</t>
        </is>
      </c>
      <c r="G296" s="9" t="n">
        <v>193.99</v>
      </c>
      <c r="H296" s="9" t="n">
        <v>0</v>
      </c>
      <c r="I296" s="9" t="n">
        <v>193.99</v>
      </c>
      <c r="J296" s="9">
        <f>ROUND(1*SUMIFS('Allocations'!$C$5:$C$222,'Allocations'!$B$5:$B$222,A296),2)</f>
        <v>0</v>
      </c>
      <c r="K296" s="9">
        <f>ROUND(I296-J296,2)</f>
        <v>193.99</v>
      </c>
      <c r="L296">
        <f>MAX(0,DATE(2026,9,30)-E296)</f>
        <v>0</v>
      </c>
      <c r="M296">
        <f>IF(K296&lt;-0.005,"Credit balance: check for double payment",IF(AND(K296&gt;0.005,L296&gt;60),"Over 60 days overdue",""))</f>
      </c>
    </row>
    <row r="297">
      <c r="A297" t="inlineStr">
        <is>
          <t>INV/2026/03319</t>
        </is>
      </c>
      <c r="B297" t="inlineStr">
        <is>
          <t>Invoice</t>
        </is>
      </c>
      <c r="C297" t="inlineStr">
        <is>
          <t>Bluegum Plan Management</t>
        </is>
      </c>
      <c r="D297" s="5" t="n">
        <v>46290</v>
      </c>
      <c r="E297" s="5" t="n">
        <v>46304</v>
      </c>
      <c r="F297" t="inlineStr">
        <is>
          <t>AUD</t>
        </is>
      </c>
      <c r="G297" s="9" t="n">
        <v>145.49</v>
      </c>
      <c r="H297" s="9" t="n">
        <v>0</v>
      </c>
      <c r="I297" s="9" t="n">
        <v>145.49</v>
      </c>
      <c r="J297" s="9">
        <f>ROUND(1*SUMIFS('Allocations'!$C$5:$C$222,'Allocations'!$B$5:$B$222,A297),2)</f>
        <v>0</v>
      </c>
      <c r="K297" s="9">
        <f>ROUND(I297-J297,2)</f>
        <v>145.49</v>
      </c>
      <c r="L297">
        <f>MAX(0,DATE(2026,9,30)-E297)</f>
        <v>0</v>
      </c>
      <c r="M297">
        <f>IF(K297&lt;-0.005,"Credit balance: check for double payment",IF(AND(K297&gt;0.005,L297&gt;60),"Over 60 days overdue",""))</f>
      </c>
    </row>
    <row r="298">
      <c r="A298" t="inlineStr">
        <is>
          <t>INV/2026/03321</t>
        </is>
      </c>
      <c r="B298" t="inlineStr">
        <is>
          <t>Invoice</t>
        </is>
      </c>
      <c r="C298" t="inlineStr">
        <is>
          <t>Clearpath NDIS Plans</t>
        </is>
      </c>
      <c r="D298" s="5" t="n">
        <v>46290</v>
      </c>
      <c r="E298" s="5" t="n">
        <v>46304</v>
      </c>
      <c r="F298" t="inlineStr">
        <is>
          <t>AUD</t>
        </is>
      </c>
      <c r="G298" s="9" t="n">
        <v>242.49</v>
      </c>
      <c r="H298" s="9" t="n">
        <v>0</v>
      </c>
      <c r="I298" s="9" t="n">
        <v>242.49</v>
      </c>
      <c r="J298" s="9">
        <f>ROUND(1*SUMIFS('Allocations'!$C$5:$C$222,'Allocations'!$B$5:$B$222,A298),2)</f>
        <v>0</v>
      </c>
      <c r="K298" s="9">
        <f>ROUND(I298-J298,2)</f>
        <v>242.49</v>
      </c>
      <c r="L298">
        <f>MAX(0,DATE(2026,9,30)-E298)</f>
        <v>0</v>
      </c>
      <c r="M298">
        <f>IF(K298&lt;-0.005,"Credit balance: check for double payment",IF(AND(K298&gt;0.005,L298&gt;60),"Over 60 days overdue",""))</f>
      </c>
    </row>
    <row r="299">
      <c r="A299" t="inlineStr">
        <is>
          <t>INV/2026/03322</t>
        </is>
      </c>
      <c r="B299" t="inlineStr">
        <is>
          <t>Invoice</t>
        </is>
      </c>
      <c r="C299" t="inlineStr">
        <is>
          <t>Clearpath NDIS Plans</t>
        </is>
      </c>
      <c r="D299" s="5" t="n">
        <v>46290</v>
      </c>
      <c r="E299" s="5" t="n">
        <v>46304</v>
      </c>
      <c r="F299" t="inlineStr">
        <is>
          <t>AUD</t>
        </is>
      </c>
      <c r="G299" s="9" t="n">
        <v>300.69</v>
      </c>
      <c r="H299" s="9" t="n">
        <v>0</v>
      </c>
      <c r="I299" s="9" t="n">
        <v>300.69</v>
      </c>
      <c r="J299" s="9">
        <f>ROUND(1*SUMIFS('Allocations'!$C$5:$C$222,'Allocations'!$B$5:$B$222,A299),2)</f>
        <v>0</v>
      </c>
      <c r="K299" s="9">
        <f>ROUND(I299-J299,2)</f>
        <v>300.69</v>
      </c>
      <c r="L299">
        <f>MAX(0,DATE(2026,9,30)-E299)</f>
        <v>0</v>
      </c>
      <c r="M299">
        <f>IF(K299&lt;-0.005,"Credit balance: check for double payment",IF(AND(K299&gt;0.005,L299&gt;60),"Over 60 days overdue",""))</f>
      </c>
    </row>
    <row r="300">
      <c r="A300" t="inlineStr">
        <is>
          <t>INV/2026/03323</t>
        </is>
      </c>
      <c r="B300" t="inlineStr">
        <is>
          <t>Invoice</t>
        </is>
      </c>
      <c r="C300" t="inlineStr">
        <is>
          <t>Wattle Plan Services</t>
        </is>
      </c>
      <c r="D300" s="5" t="n">
        <v>46290</v>
      </c>
      <c r="E300" s="5" t="n">
        <v>46304</v>
      </c>
      <c r="F300" t="inlineStr">
        <is>
          <t>AUD</t>
        </is>
      </c>
      <c r="G300" s="9" t="n">
        <v>290.98</v>
      </c>
      <c r="H300" s="9" t="n">
        <v>0</v>
      </c>
      <c r="I300" s="9" t="n">
        <v>290.98</v>
      </c>
      <c r="J300" s="9">
        <f>ROUND(1*SUMIFS('Allocations'!$C$5:$C$222,'Allocations'!$B$5:$B$222,A300),2)</f>
        <v>0</v>
      </c>
      <c r="K300" s="9">
        <f>ROUND(I300-J300,2)</f>
        <v>290.98</v>
      </c>
      <c r="L300">
        <f>MAX(0,DATE(2026,9,30)-E300)</f>
        <v>0</v>
      </c>
      <c r="M300">
        <f>IF(K300&lt;-0.005,"Credit balance: check for double payment",IF(AND(K300&gt;0.005,L300&gt;60),"Over 60 days overdue",""))</f>
      </c>
    </row>
    <row r="301">
      <c r="A301" t="inlineStr">
        <is>
          <t>INV/2026/03324</t>
        </is>
      </c>
      <c r="B301" t="inlineStr">
        <is>
          <t>Invoice</t>
        </is>
      </c>
      <c r="C301" t="inlineStr">
        <is>
          <t>Banksia Plan Co</t>
        </is>
      </c>
      <c r="D301" s="5" t="n">
        <v>46290</v>
      </c>
      <c r="E301" s="5" t="n">
        <v>46304</v>
      </c>
      <c r="F301" t="inlineStr">
        <is>
          <t>AUD</t>
        </is>
      </c>
      <c r="G301" s="9" t="n">
        <v>387.98</v>
      </c>
      <c r="H301" s="9" t="n">
        <v>0</v>
      </c>
      <c r="I301" s="9" t="n">
        <v>387.98</v>
      </c>
      <c r="J301" s="9">
        <f>ROUND(1*SUMIFS('Allocations'!$C$5:$C$222,'Allocations'!$B$5:$B$222,A301),2)</f>
        <v>0</v>
      </c>
      <c r="K301" s="9">
        <f>ROUND(I301-J301,2)</f>
        <v>387.98</v>
      </c>
      <c r="L301">
        <f>MAX(0,DATE(2026,9,30)-E301)</f>
        <v>0</v>
      </c>
      <c r="M301">
        <f>IF(K301&lt;-0.005,"Credit balance: check for double payment",IF(AND(K301&gt;0.005,L301&gt;60),"Over 60 days overdue",""))</f>
      </c>
    </row>
    <row r="302">
      <c r="A302" t="inlineStr">
        <is>
          <t>INV/2026/03325</t>
        </is>
      </c>
      <c r="B302" t="inlineStr">
        <is>
          <t>Invoice</t>
        </is>
      </c>
      <c r="C302" t="inlineStr">
        <is>
          <t>Ironbark Plan Management</t>
        </is>
      </c>
      <c r="D302" s="5" t="n">
        <v>46290</v>
      </c>
      <c r="E302" s="5" t="n">
        <v>46304</v>
      </c>
      <c r="F302" t="inlineStr">
        <is>
          <t>AUD</t>
        </is>
      </c>
      <c r="G302" s="9" t="n">
        <v>145.49</v>
      </c>
      <c r="H302" s="9" t="n">
        <v>0</v>
      </c>
      <c r="I302" s="9" t="n">
        <v>145.49</v>
      </c>
      <c r="J302" s="9">
        <f>ROUND(1*SUMIFS('Allocations'!$C$5:$C$222,'Allocations'!$B$5:$B$222,A302),2)</f>
        <v>0</v>
      </c>
      <c r="K302" s="9">
        <f>ROUND(I302-J302,2)</f>
        <v>145.49</v>
      </c>
      <c r="L302">
        <f>MAX(0,DATE(2026,9,30)-E302)</f>
        <v>0</v>
      </c>
      <c r="M302">
        <f>IF(K302&lt;-0.005,"Credit balance: check for double payment",IF(AND(K302&gt;0.005,L302&gt;60),"Over 60 days overdue",""))</f>
      </c>
    </row>
    <row r="303">
      <c r="A303" t="inlineStr">
        <is>
          <t>INV/2026/03326</t>
        </is>
      </c>
      <c r="B303" t="inlineStr">
        <is>
          <t>Invoice</t>
        </is>
      </c>
      <c r="C303" t="inlineStr">
        <is>
          <t>Ironbark Plan Management</t>
        </is>
      </c>
      <c r="D303" s="5" t="n">
        <v>46290</v>
      </c>
      <c r="E303" s="5" t="n">
        <v>46304</v>
      </c>
      <c r="F303" t="inlineStr">
        <is>
          <t>AUD</t>
        </is>
      </c>
      <c r="G303" s="9" t="n">
        <v>223.99</v>
      </c>
      <c r="H303" s="9" t="n">
        <v>0</v>
      </c>
      <c r="I303" s="9" t="n">
        <v>223.99</v>
      </c>
      <c r="J303" s="9">
        <f>ROUND(1*SUMIFS('Allocations'!$C$5:$C$222,'Allocations'!$B$5:$B$222,A303),2)</f>
        <v>0</v>
      </c>
      <c r="K303" s="9">
        <f>ROUND(I303-J303,2)</f>
        <v>223.99</v>
      </c>
      <c r="L303">
        <f>MAX(0,DATE(2026,9,30)-E303)</f>
        <v>0</v>
      </c>
      <c r="M303">
        <f>IF(K303&lt;-0.005,"Credit balance: check for double payment",IF(AND(K303&gt;0.005,L303&gt;60),"Over 60 days overdue",""))</f>
      </c>
    </row>
    <row r="304">
      <c r="A304" t="inlineStr">
        <is>
          <t>INV/2026/03328</t>
        </is>
      </c>
      <c r="B304" t="inlineStr">
        <is>
          <t>Invoice</t>
        </is>
      </c>
      <c r="C304" t="inlineStr">
        <is>
          <t>Kookaburra Plan Support</t>
        </is>
      </c>
      <c r="D304" s="5" t="n">
        <v>46290</v>
      </c>
      <c r="E304" s="5" t="n">
        <v>46304</v>
      </c>
      <c r="F304" t="inlineStr">
        <is>
          <t>AUD</t>
        </is>
      </c>
      <c r="G304" s="9" t="n">
        <v>387.98</v>
      </c>
      <c r="H304" s="9" t="n">
        <v>0</v>
      </c>
      <c r="I304" s="9" t="n">
        <v>387.98</v>
      </c>
      <c r="J304" s="9">
        <f>ROUND(1*SUMIFS('Allocations'!$C$5:$C$222,'Allocations'!$B$5:$B$222,A304),2)</f>
        <v>0</v>
      </c>
      <c r="K304" s="9">
        <f>ROUND(I304-J304,2)</f>
        <v>387.98</v>
      </c>
      <c r="L304">
        <f>MAX(0,DATE(2026,9,30)-E304)</f>
        <v>0</v>
      </c>
      <c r="M304">
        <f>IF(K304&lt;-0.005,"Credit balance: check for double payment",IF(AND(K304&gt;0.005,L304&gt;60),"Over 60 days overdue",""))</f>
      </c>
    </row>
    <row r="305">
      <c r="A305" t="inlineStr">
        <is>
          <t>INV/2026/03329</t>
        </is>
      </c>
      <c r="B305" t="inlineStr">
        <is>
          <t>Invoice</t>
        </is>
      </c>
      <c r="C305" t="inlineStr">
        <is>
          <t>Saltbush Plan Managers</t>
        </is>
      </c>
      <c r="D305" s="5" t="n">
        <v>46290</v>
      </c>
      <c r="E305" s="5" t="n">
        <v>46304</v>
      </c>
      <c r="F305" t="inlineStr">
        <is>
          <t>AUD</t>
        </is>
      </c>
      <c r="G305" s="9" t="n">
        <v>320.98</v>
      </c>
      <c r="H305" s="9" t="n">
        <v>0</v>
      </c>
      <c r="I305" s="9" t="n">
        <v>320.98</v>
      </c>
      <c r="J305" s="9">
        <f>ROUND(1*SUMIFS('Allocations'!$C$5:$C$222,'Allocations'!$B$5:$B$222,A305),2)</f>
        <v>0</v>
      </c>
      <c r="K305" s="9">
        <f>ROUND(I305-J305,2)</f>
        <v>320.98</v>
      </c>
      <c r="L305">
        <f>MAX(0,DATE(2026,9,30)-E305)</f>
        <v>0</v>
      </c>
      <c r="M305">
        <f>IF(K305&lt;-0.005,"Credit balance: check for double payment",IF(AND(K305&gt;0.005,L305&gt;60),"Over 60 days overdue",""))</f>
      </c>
    </row>
    <row r="306">
      <c r="A306" t="inlineStr">
        <is>
          <t>INV/2026/03330</t>
        </is>
      </c>
      <c r="B306" t="inlineStr">
        <is>
          <t>Invoice</t>
        </is>
      </c>
      <c r="C306" t="inlineStr">
        <is>
          <t>Redgum Plan Admin</t>
        </is>
      </c>
      <c r="D306" s="5" t="n">
        <v>46290</v>
      </c>
      <c r="E306" s="5" t="n">
        <v>46304</v>
      </c>
      <c r="F306" t="inlineStr">
        <is>
          <t>AUD</t>
        </is>
      </c>
      <c r="G306" s="9" t="n">
        <v>290.98</v>
      </c>
      <c r="H306" s="9" t="n">
        <v>0</v>
      </c>
      <c r="I306" s="9" t="n">
        <v>290.98</v>
      </c>
      <c r="J306" s="9">
        <f>ROUND(1*SUMIFS('Allocations'!$C$5:$C$222,'Allocations'!$B$5:$B$222,A306),2)</f>
        <v>0</v>
      </c>
      <c r="K306" s="9">
        <f>ROUND(I306-J306,2)</f>
        <v>290.98</v>
      </c>
      <c r="L306">
        <f>MAX(0,DATE(2026,9,30)-E306)</f>
        <v>0</v>
      </c>
      <c r="M306">
        <f>IF(K306&lt;-0.005,"Credit balance: check for double payment",IF(AND(K306&gt;0.005,L306&gt;60),"Over 60 days overdue",""))</f>
      </c>
    </row>
    <row r="307">
      <c r="A307" t="inlineStr">
        <is>
          <t>INV/2026/03331</t>
        </is>
      </c>
      <c r="B307" t="inlineStr">
        <is>
          <t>Invoice</t>
        </is>
      </c>
      <c r="C307" t="inlineStr">
        <is>
          <t>Redgum Plan Admin</t>
        </is>
      </c>
      <c r="D307" s="5" t="n">
        <v>46290</v>
      </c>
      <c r="E307" s="5" t="n">
        <v>46304</v>
      </c>
      <c r="F307" t="inlineStr">
        <is>
          <t>AUD</t>
        </is>
      </c>
      <c r="G307" s="9" t="n">
        <v>417.98</v>
      </c>
      <c r="H307" s="9" t="n">
        <v>0</v>
      </c>
      <c r="I307" s="9" t="n">
        <v>417.98</v>
      </c>
      <c r="J307" s="9">
        <f>ROUND(1*SUMIFS('Allocations'!$C$5:$C$222,'Allocations'!$B$5:$B$222,A307),2)</f>
        <v>0</v>
      </c>
      <c r="K307" s="9">
        <f>ROUND(I307-J307,2)</f>
        <v>417.98</v>
      </c>
      <c r="L307">
        <f>MAX(0,DATE(2026,9,30)-E307)</f>
        <v>0</v>
      </c>
      <c r="M307">
        <f>IF(K307&lt;-0.005,"Credit balance: check for double payment",IF(AND(K307&gt;0.005,L307&gt;60),"Over 60 days overdue",""))</f>
      </c>
    </row>
    <row r="308">
      <c r="A308" t="inlineStr">
        <is>
          <t>INV/2026/03336</t>
        </is>
      </c>
      <c r="B308" t="inlineStr">
        <is>
          <t>Invoice</t>
        </is>
      </c>
      <c r="C308" t="inlineStr">
        <is>
          <t>Acacia Plan Partners</t>
        </is>
      </c>
      <c r="D308" s="5" t="n">
        <v>46290</v>
      </c>
      <c r="E308" s="5" t="n">
        <v>46304</v>
      </c>
      <c r="F308" t="inlineStr">
        <is>
          <t>AUD</t>
        </is>
      </c>
      <c r="G308" s="9" t="n">
        <v>193.99</v>
      </c>
      <c r="H308" s="9" t="n">
        <v>0</v>
      </c>
      <c r="I308" s="9" t="n">
        <v>193.99</v>
      </c>
      <c r="J308" s="9">
        <f>ROUND(1*SUMIFS('Allocations'!$C$5:$C$222,'Allocations'!$B$5:$B$222,A308),2)</f>
        <v>0</v>
      </c>
      <c r="K308" s="9">
        <f>ROUND(I308-J308,2)</f>
        <v>193.99</v>
      </c>
      <c r="L308">
        <f>MAX(0,DATE(2026,9,30)-E308)</f>
        <v>0</v>
      </c>
      <c r="M308">
        <f>IF(K308&lt;-0.005,"Credit balance: check for double payment",IF(AND(K308&gt;0.005,L308&gt;60),"Over 60 days overdue",""))</f>
      </c>
    </row>
    <row r="309">
      <c r="A309" t="inlineStr">
        <is>
          <t>INV/2026/03338</t>
        </is>
      </c>
      <c r="B309" t="inlineStr">
        <is>
          <t>Invoice</t>
        </is>
      </c>
      <c r="C309" t="inlineStr">
        <is>
          <t>Mallee Plan Services</t>
        </is>
      </c>
      <c r="D309" s="5" t="n">
        <v>46290</v>
      </c>
      <c r="E309" s="5" t="n">
        <v>46304</v>
      </c>
      <c r="F309" t="inlineStr">
        <is>
          <t>AUD</t>
        </is>
      </c>
      <c r="G309" s="9" t="n">
        <v>96.98999999999999</v>
      </c>
      <c r="H309" s="9" t="n">
        <v>0</v>
      </c>
      <c r="I309" s="9" t="n">
        <v>96.98999999999999</v>
      </c>
      <c r="J309" s="9">
        <f>ROUND(1*SUMIFS('Allocations'!$C$5:$C$222,'Allocations'!$B$5:$B$222,A309),2)</f>
        <v>0</v>
      </c>
      <c r="K309" s="9">
        <f>ROUND(I309-J309,2)</f>
        <v>96.99</v>
      </c>
      <c r="L309">
        <f>MAX(0,DATE(2026,9,30)-E309)</f>
        <v>0</v>
      </c>
      <c r="M309">
        <f>IF(K309&lt;-0.005,"Credit balance: check for double payment",IF(AND(K309&gt;0.005,L309&gt;60),"Over 60 days overdue",""))</f>
      </c>
    </row>
    <row r="310">
      <c r="A310" t="inlineStr">
        <is>
          <t>INV/2026/03339</t>
        </is>
      </c>
      <c r="B310" t="inlineStr">
        <is>
          <t>Invoice</t>
        </is>
      </c>
      <c r="C310" t="inlineStr">
        <is>
          <t>Harbour Mutual Health</t>
        </is>
      </c>
      <c r="D310" s="5" t="n">
        <v>46290</v>
      </c>
      <c r="E310" s="5" t="n">
        <v>46304</v>
      </c>
      <c r="F310" t="inlineStr">
        <is>
          <t>AUD</t>
        </is>
      </c>
      <c r="G310" s="9" t="n">
        <v>176</v>
      </c>
      <c r="H310" s="9" t="n">
        <v>0</v>
      </c>
      <c r="I310" s="9" t="n">
        <v>176</v>
      </c>
      <c r="J310" s="9">
        <f>ROUND(1*SUMIFS('Allocations'!$C$5:$C$222,'Allocations'!$B$5:$B$222,A310),2)</f>
        <v>0</v>
      </c>
      <c r="K310" s="9">
        <f>ROUND(I310-J310,2)</f>
        <v>176</v>
      </c>
      <c r="L310">
        <f>MAX(0,DATE(2026,9,30)-E310)</f>
        <v>0</v>
      </c>
      <c r="M310">
        <f>IF(K310&lt;-0.005,"Credit balance: check for double payment",IF(AND(K310&gt;0.005,L310&gt;60),"Over 60 days overdue",""))</f>
      </c>
    </row>
    <row r="311">
      <c r="A311" t="inlineStr">
        <is>
          <t>INV/2026/03340</t>
        </is>
      </c>
      <c r="B311" t="inlineStr">
        <is>
          <t>Invoice</t>
        </is>
      </c>
      <c r="C311" t="inlineStr">
        <is>
          <t>Pinnacle Claims Services</t>
        </is>
      </c>
      <c r="D311" s="5" t="n">
        <v>46290</v>
      </c>
      <c r="E311" s="5" t="n">
        <v>46304</v>
      </c>
      <c r="F311" t="inlineStr">
        <is>
          <t>AUD</t>
        </is>
      </c>
      <c r="G311" s="9" t="n">
        <v>176</v>
      </c>
      <c r="H311" s="9" t="n">
        <v>0</v>
      </c>
      <c r="I311" s="9" t="n">
        <v>176</v>
      </c>
      <c r="J311" s="9">
        <f>ROUND(1*SUMIFS('Allocations'!$C$5:$C$222,'Allocations'!$B$5:$B$222,A311),2)</f>
        <v>0</v>
      </c>
      <c r="K311" s="9">
        <f>ROUND(I311-J311,2)</f>
        <v>176</v>
      </c>
      <c r="L311">
        <f>MAX(0,DATE(2026,9,30)-E311)</f>
        <v>0</v>
      </c>
      <c r="M311">
        <f>IF(K311&lt;-0.005,"Credit balance: check for double payment",IF(AND(K311&gt;0.005,L311&gt;60),"Over 60 days overdue",""))</f>
      </c>
    </row>
    <row r="312">
      <c r="A312" t="inlineStr">
        <is>
          <t>INV/2026/03341</t>
        </is>
      </c>
      <c r="B312" t="inlineStr">
        <is>
          <t>Invoice</t>
        </is>
      </c>
      <c r="C312" t="inlineStr">
        <is>
          <t>Meridian Health Cover</t>
        </is>
      </c>
      <c r="D312" s="5" t="n">
        <v>46290</v>
      </c>
      <c r="E312" s="5" t="n">
        <v>46304</v>
      </c>
      <c r="F312" t="inlineStr">
        <is>
          <t>AUD</t>
        </is>
      </c>
      <c r="G312" s="9" t="n">
        <v>412.5</v>
      </c>
      <c r="H312" s="9" t="n">
        <v>0</v>
      </c>
      <c r="I312" s="9" t="n">
        <v>412.5</v>
      </c>
      <c r="J312" s="9">
        <f>ROUND(1*SUMIFS('Allocations'!$C$5:$C$222,'Allocations'!$B$5:$B$222,A312),2)</f>
        <v>0</v>
      </c>
      <c r="K312" s="9">
        <f>ROUND(I312-J312,2)</f>
        <v>412.5</v>
      </c>
      <c r="L312">
        <f>MAX(0,DATE(2026,9,30)-E312)</f>
        <v>0</v>
      </c>
      <c r="M312">
        <f>IF(K312&lt;-0.005,"Credit balance: check for double payment",IF(AND(K312&gt;0.005,L312&gt;60),"Over 60 days overdue",""))</f>
      </c>
    </row>
    <row r="313">
      <c r="A313" t="inlineStr">
        <is>
          <t>INV/2026/03342</t>
        </is>
      </c>
      <c r="B313" t="inlineStr">
        <is>
          <t>Invoice</t>
        </is>
      </c>
      <c r="C313" t="inlineStr">
        <is>
          <t>Riverbend Plan Partners</t>
        </is>
      </c>
      <c r="D313" s="5" t="n">
        <v>46293</v>
      </c>
      <c r="E313" s="5" t="n">
        <v>46307</v>
      </c>
      <c r="F313" t="inlineStr">
        <is>
          <t>AUD</t>
        </is>
      </c>
      <c r="G313" s="9" t="n">
        <v>193.99</v>
      </c>
      <c r="H313" s="9" t="n">
        <v>0</v>
      </c>
      <c r="I313" s="9" t="n">
        <v>193.99</v>
      </c>
      <c r="J313" s="9">
        <f>ROUND(1*SUMIFS('Allocations'!$C$5:$C$222,'Allocations'!$B$5:$B$222,A313),2)</f>
        <v>0</v>
      </c>
      <c r="K313" s="9">
        <f>ROUND(I313-J313,2)</f>
        <v>193.99</v>
      </c>
      <c r="L313">
        <f>MAX(0,DATE(2026,9,30)-E313)</f>
        <v>0</v>
      </c>
      <c r="M313">
        <f>IF(K313&lt;-0.005,"Credit balance: check for double payment",IF(AND(K313&gt;0.005,L313&gt;60),"Over 60 days overdue",""))</f>
      </c>
    </row>
    <row r="314">
      <c r="A314" t="inlineStr">
        <is>
          <t>INV/2026/03343</t>
        </is>
      </c>
      <c r="B314" t="inlineStr">
        <is>
          <t>Invoice</t>
        </is>
      </c>
      <c r="C314" t="inlineStr">
        <is>
          <t>Riverbend Plan Partners</t>
        </is>
      </c>
      <c r="D314" s="5" t="n">
        <v>46293</v>
      </c>
      <c r="E314" s="5" t="n">
        <v>46307</v>
      </c>
      <c r="F314" t="inlineStr">
        <is>
          <t>AUD</t>
        </is>
      </c>
      <c r="G314" s="9" t="n">
        <v>96.98999999999999</v>
      </c>
      <c r="H314" s="9" t="n">
        <v>0</v>
      </c>
      <c r="I314" s="9" t="n">
        <v>96.98999999999999</v>
      </c>
      <c r="J314" s="9">
        <f>ROUND(1*SUMIFS('Allocations'!$C$5:$C$222,'Allocations'!$B$5:$B$222,A314),2)</f>
        <v>0</v>
      </c>
      <c r="K314" s="9">
        <f>ROUND(I314-J314,2)</f>
        <v>96.99</v>
      </c>
      <c r="L314">
        <f>MAX(0,DATE(2026,9,30)-E314)</f>
        <v>0</v>
      </c>
      <c r="M314">
        <f>IF(K314&lt;-0.005,"Credit balance: check for double payment",IF(AND(K314&gt;0.005,L314&gt;60),"Over 60 days overdue",""))</f>
      </c>
    </row>
    <row r="315">
      <c r="A315" t="inlineStr">
        <is>
          <t>INV/2026/03344</t>
        </is>
      </c>
      <c r="B315" t="inlineStr">
        <is>
          <t>Invoice</t>
        </is>
      </c>
      <c r="C315" t="inlineStr">
        <is>
          <t>Riverbend Plan Partners</t>
        </is>
      </c>
      <c r="D315" s="5" t="n">
        <v>46293</v>
      </c>
      <c r="E315" s="5" t="n">
        <v>46307</v>
      </c>
      <c r="F315" t="inlineStr">
        <is>
          <t>AUD</t>
        </is>
      </c>
      <c r="G315" s="9" t="n">
        <v>145.49</v>
      </c>
      <c r="H315" s="9" t="n">
        <v>0</v>
      </c>
      <c r="I315" s="9" t="n">
        <v>145.49</v>
      </c>
      <c r="J315" s="9">
        <f>ROUND(1*SUMIFS('Allocations'!$C$5:$C$222,'Allocations'!$B$5:$B$222,A315),2)</f>
        <v>0</v>
      </c>
      <c r="K315" s="9">
        <f>ROUND(I315-J315,2)</f>
        <v>145.49</v>
      </c>
      <c r="L315">
        <f>MAX(0,DATE(2026,9,30)-E315)</f>
        <v>0</v>
      </c>
      <c r="M315">
        <f>IF(K315&lt;-0.005,"Credit balance: check for double payment",IF(AND(K315&gt;0.005,L315&gt;60),"Over 60 days overdue",""))</f>
      </c>
    </row>
    <row r="316">
      <c r="A316" t="inlineStr">
        <is>
          <t>INV/2026/03345</t>
        </is>
      </c>
      <c r="B316" t="inlineStr">
        <is>
          <t>Invoice</t>
        </is>
      </c>
      <c r="C316" t="inlineStr">
        <is>
          <t>Clearpath NDIS Plans</t>
        </is>
      </c>
      <c r="D316" s="5" t="n">
        <v>46293</v>
      </c>
      <c r="E316" s="5" t="n">
        <v>46307</v>
      </c>
      <c r="F316" t="inlineStr">
        <is>
          <t>AUD</t>
        </is>
      </c>
      <c r="G316" s="9" t="n">
        <v>145.49</v>
      </c>
      <c r="H316" s="9" t="n">
        <v>0</v>
      </c>
      <c r="I316" s="9" t="n">
        <v>145.49</v>
      </c>
      <c r="J316" s="9">
        <f>ROUND(1*SUMIFS('Allocations'!$C$5:$C$222,'Allocations'!$B$5:$B$222,A316),2)</f>
        <v>0</v>
      </c>
      <c r="K316" s="9">
        <f>ROUND(I316-J316,2)</f>
        <v>145.49</v>
      </c>
      <c r="L316">
        <f>MAX(0,DATE(2026,9,30)-E316)</f>
        <v>0</v>
      </c>
      <c r="M316">
        <f>IF(K316&lt;-0.005,"Credit balance: check for double payment",IF(AND(K316&gt;0.005,L316&gt;60),"Over 60 days overdue",""))</f>
      </c>
    </row>
    <row r="317">
      <c r="A317" t="inlineStr">
        <is>
          <t>INV/2026/03346</t>
        </is>
      </c>
      <c r="B317" t="inlineStr">
        <is>
          <t>Invoice</t>
        </is>
      </c>
      <c r="C317" t="inlineStr">
        <is>
          <t>Clearpath NDIS Plans</t>
        </is>
      </c>
      <c r="D317" s="5" t="n">
        <v>46293</v>
      </c>
      <c r="E317" s="5" t="n">
        <v>46307</v>
      </c>
      <c r="F317" t="inlineStr">
        <is>
          <t>AUD</t>
        </is>
      </c>
      <c r="G317" s="9" t="n">
        <v>272.49</v>
      </c>
      <c r="H317" s="9" t="n">
        <v>0</v>
      </c>
      <c r="I317" s="9" t="n">
        <v>272.49</v>
      </c>
      <c r="J317" s="9">
        <f>ROUND(1*SUMIFS('Allocations'!$C$5:$C$222,'Allocations'!$B$5:$B$222,A317),2)</f>
        <v>0</v>
      </c>
      <c r="K317" s="9">
        <f>ROUND(I317-J317,2)</f>
        <v>272.49</v>
      </c>
      <c r="L317">
        <f>MAX(0,DATE(2026,9,30)-E317)</f>
        <v>0</v>
      </c>
      <c r="M317">
        <f>IF(K317&lt;-0.005,"Credit balance: check for double payment",IF(AND(K317&gt;0.005,L317&gt;60),"Over 60 days overdue",""))</f>
      </c>
    </row>
    <row r="318">
      <c r="A318" t="inlineStr">
        <is>
          <t>INV/2026/03347</t>
        </is>
      </c>
      <c r="B318" t="inlineStr">
        <is>
          <t>Invoice</t>
        </is>
      </c>
      <c r="C318" t="inlineStr">
        <is>
          <t>Clearpath NDIS Plans</t>
        </is>
      </c>
      <c r="D318" s="5" t="n">
        <v>46293</v>
      </c>
      <c r="E318" s="5" t="n">
        <v>46307</v>
      </c>
      <c r="F318" t="inlineStr">
        <is>
          <t>AUD</t>
        </is>
      </c>
      <c r="G318" s="9" t="n">
        <v>446.18</v>
      </c>
      <c r="H318" s="9" t="n">
        <v>0</v>
      </c>
      <c r="I318" s="9" t="n">
        <v>446.18</v>
      </c>
      <c r="J318" s="9">
        <f>ROUND(1*SUMIFS('Allocations'!$C$5:$C$222,'Allocations'!$B$5:$B$222,A318),2)</f>
        <v>0</v>
      </c>
      <c r="K318" s="9">
        <f>ROUND(I318-J318,2)</f>
        <v>446.18</v>
      </c>
      <c r="L318">
        <f>MAX(0,DATE(2026,9,30)-E318)</f>
        <v>0</v>
      </c>
      <c r="M318">
        <f>IF(K318&lt;-0.005,"Credit balance: check for double payment",IF(AND(K318&gt;0.005,L318&gt;60),"Over 60 days overdue",""))</f>
      </c>
    </row>
    <row r="319">
      <c r="A319" t="inlineStr">
        <is>
          <t>INV/2026/03348</t>
        </is>
      </c>
      <c r="B319" t="inlineStr">
        <is>
          <t>Invoice</t>
        </is>
      </c>
      <c r="C319" t="inlineStr">
        <is>
          <t>Wattle Plan Services</t>
        </is>
      </c>
      <c r="D319" s="5" t="n">
        <v>46293</v>
      </c>
      <c r="E319" s="5" t="n">
        <v>46307</v>
      </c>
      <c r="F319" t="inlineStr">
        <is>
          <t>AUD</t>
        </is>
      </c>
      <c r="G319" s="9" t="n">
        <v>387.98</v>
      </c>
      <c r="H319" s="9" t="n">
        <v>0</v>
      </c>
      <c r="I319" s="9" t="n">
        <v>387.98</v>
      </c>
      <c r="J319" s="9">
        <f>ROUND(1*SUMIFS('Allocations'!$C$5:$C$222,'Allocations'!$B$5:$B$222,A319),2)</f>
        <v>0</v>
      </c>
      <c r="K319" s="9">
        <f>ROUND(I319-J319,2)</f>
        <v>387.98</v>
      </c>
      <c r="L319">
        <f>MAX(0,DATE(2026,9,30)-E319)</f>
        <v>0</v>
      </c>
      <c r="M319">
        <f>IF(K319&lt;-0.005,"Credit balance: check for double payment",IF(AND(K319&gt;0.005,L319&gt;60),"Over 60 days overdue",""))</f>
      </c>
    </row>
    <row r="320">
      <c r="A320" t="inlineStr">
        <is>
          <t>INV/2026/03349</t>
        </is>
      </c>
      <c r="B320" t="inlineStr">
        <is>
          <t>Invoice</t>
        </is>
      </c>
      <c r="C320" t="inlineStr">
        <is>
          <t>Wattle Plan Services</t>
        </is>
      </c>
      <c r="D320" s="5" t="n">
        <v>46293</v>
      </c>
      <c r="E320" s="5" t="n">
        <v>46307</v>
      </c>
      <c r="F320" t="inlineStr">
        <is>
          <t>AUD</t>
        </is>
      </c>
      <c r="G320" s="9" t="n">
        <v>446.18</v>
      </c>
      <c r="H320" s="9" t="n">
        <v>0</v>
      </c>
      <c r="I320" s="9" t="n">
        <v>446.18</v>
      </c>
      <c r="J320" s="9">
        <f>ROUND(1*SUMIFS('Allocations'!$C$5:$C$222,'Allocations'!$B$5:$B$222,A320),2)</f>
        <v>0</v>
      </c>
      <c r="K320" s="9">
        <f>ROUND(I320-J320,2)</f>
        <v>446.18</v>
      </c>
      <c r="L320">
        <f>MAX(0,DATE(2026,9,30)-E320)</f>
        <v>0</v>
      </c>
      <c r="M320">
        <f>IF(K320&lt;-0.005,"Credit balance: check for double payment",IF(AND(K320&gt;0.005,L320&gt;60),"Over 60 days overdue",""))</f>
      </c>
    </row>
    <row r="321">
      <c r="A321" t="inlineStr">
        <is>
          <t>INV/2026/03350</t>
        </is>
      </c>
      <c r="B321" t="inlineStr">
        <is>
          <t>Invoice</t>
        </is>
      </c>
      <c r="C321" t="inlineStr">
        <is>
          <t>Wattle Plan Services</t>
        </is>
      </c>
      <c r="D321" s="5" t="n">
        <v>46293</v>
      </c>
      <c r="E321" s="5" t="n">
        <v>46307</v>
      </c>
      <c r="F321" t="inlineStr">
        <is>
          <t>AUD</t>
        </is>
      </c>
      <c r="G321" s="9" t="n">
        <v>252.19</v>
      </c>
      <c r="H321" s="9" t="n">
        <v>0</v>
      </c>
      <c r="I321" s="9" t="n">
        <v>252.19</v>
      </c>
      <c r="J321" s="9">
        <f>ROUND(1*SUMIFS('Allocations'!$C$5:$C$222,'Allocations'!$B$5:$B$222,A321),2)</f>
        <v>0</v>
      </c>
      <c r="K321" s="9">
        <f>ROUND(I321-J321,2)</f>
        <v>252.19</v>
      </c>
      <c r="L321">
        <f>MAX(0,DATE(2026,9,30)-E321)</f>
        <v>0</v>
      </c>
      <c r="M321">
        <f>IF(K321&lt;-0.005,"Credit balance: check for double payment",IF(AND(K321&gt;0.005,L321&gt;60),"Over 60 days overdue",""))</f>
      </c>
    </row>
    <row r="322">
      <c r="A322" t="inlineStr">
        <is>
          <t>INV/2026/03351</t>
        </is>
      </c>
      <c r="B322" t="inlineStr">
        <is>
          <t>Invoice</t>
        </is>
      </c>
      <c r="C322" t="inlineStr">
        <is>
          <t>Banksia Plan Co</t>
        </is>
      </c>
      <c r="D322" s="5" t="n">
        <v>46293</v>
      </c>
      <c r="E322" s="5" t="n">
        <v>46307</v>
      </c>
      <c r="F322" t="inlineStr">
        <is>
          <t>AUD</t>
        </is>
      </c>
      <c r="G322" s="9" t="n">
        <v>203.69</v>
      </c>
      <c r="H322" s="9" t="n">
        <v>0</v>
      </c>
      <c r="I322" s="9" t="n">
        <v>203.69</v>
      </c>
      <c r="J322" s="9">
        <f>ROUND(1*SUMIFS('Allocations'!$C$5:$C$222,'Allocations'!$B$5:$B$222,A322),2)</f>
        <v>0</v>
      </c>
      <c r="K322" s="9">
        <f>ROUND(I322-J322,2)</f>
        <v>203.69</v>
      </c>
      <c r="L322">
        <f>MAX(0,DATE(2026,9,30)-E322)</f>
        <v>0</v>
      </c>
      <c r="M322">
        <f>IF(K322&lt;-0.005,"Credit balance: check for double payment",IF(AND(K322&gt;0.005,L322&gt;60),"Over 60 days overdue",""))</f>
      </c>
    </row>
    <row r="323">
      <c r="A323" t="inlineStr">
        <is>
          <t>INV/2026/03352</t>
        </is>
      </c>
      <c r="B323" t="inlineStr">
        <is>
          <t>Invoice</t>
        </is>
      </c>
      <c r="C323" t="inlineStr">
        <is>
          <t>Banksia Plan Co</t>
        </is>
      </c>
      <c r="D323" s="5" t="n">
        <v>46293</v>
      </c>
      <c r="E323" s="5" t="n">
        <v>46307</v>
      </c>
      <c r="F323" t="inlineStr">
        <is>
          <t>AUD</t>
        </is>
      </c>
      <c r="G323" s="9" t="n">
        <v>145.49</v>
      </c>
      <c r="H323" s="9" t="n">
        <v>0</v>
      </c>
      <c r="I323" s="9" t="n">
        <v>145.49</v>
      </c>
      <c r="J323" s="9">
        <f>ROUND(1*SUMIFS('Allocations'!$C$5:$C$222,'Allocations'!$B$5:$B$222,A323),2)</f>
        <v>0</v>
      </c>
      <c r="K323" s="9">
        <f>ROUND(I323-J323,2)</f>
        <v>145.49</v>
      </c>
      <c r="L323">
        <f>MAX(0,DATE(2026,9,30)-E323)</f>
        <v>0</v>
      </c>
      <c r="M323">
        <f>IF(K323&lt;-0.005,"Credit balance: check for double payment",IF(AND(K323&gt;0.005,L323&gt;60),"Over 60 days overdue",""))</f>
      </c>
    </row>
    <row r="324">
      <c r="A324" t="inlineStr">
        <is>
          <t>INV/2026/03353</t>
        </is>
      </c>
      <c r="B324" t="inlineStr">
        <is>
          <t>Invoice</t>
        </is>
      </c>
      <c r="C324" t="inlineStr">
        <is>
          <t>Ironbark Plan Management</t>
        </is>
      </c>
      <c r="D324" s="5" t="n">
        <v>46293</v>
      </c>
      <c r="E324" s="5" t="n">
        <v>46307</v>
      </c>
      <c r="F324" t="inlineStr">
        <is>
          <t>AUD</t>
        </is>
      </c>
      <c r="G324" s="9" t="n">
        <v>145.49</v>
      </c>
      <c r="H324" s="9" t="n">
        <v>0</v>
      </c>
      <c r="I324" s="9" t="n">
        <v>145.49</v>
      </c>
      <c r="J324" s="9">
        <f>ROUND(1*SUMIFS('Allocations'!$C$5:$C$222,'Allocations'!$B$5:$B$222,A324),2)</f>
        <v>0</v>
      </c>
      <c r="K324" s="9">
        <f>ROUND(I324-J324,2)</f>
        <v>145.49</v>
      </c>
      <c r="L324">
        <f>MAX(0,DATE(2026,9,30)-E324)</f>
        <v>0</v>
      </c>
      <c r="M324">
        <f>IF(K324&lt;-0.005,"Credit balance: check for double payment",IF(AND(K324&gt;0.005,L324&gt;60),"Over 60 days overdue",""))</f>
      </c>
    </row>
    <row r="325">
      <c r="A325" t="inlineStr">
        <is>
          <t>INV/2026/03354</t>
        </is>
      </c>
      <c r="B325" t="inlineStr">
        <is>
          <t>Invoice</t>
        </is>
      </c>
      <c r="C325" t="inlineStr">
        <is>
          <t>Ironbark Plan Management</t>
        </is>
      </c>
      <c r="D325" s="5" t="n">
        <v>46293</v>
      </c>
      <c r="E325" s="5" t="n">
        <v>46307</v>
      </c>
      <c r="F325" t="inlineStr">
        <is>
          <t>AUD</t>
        </is>
      </c>
      <c r="G325" s="9" t="n">
        <v>387.98</v>
      </c>
      <c r="H325" s="9" t="n">
        <v>0</v>
      </c>
      <c r="I325" s="9" t="n">
        <v>387.98</v>
      </c>
      <c r="J325" s="9">
        <f>ROUND(1*SUMIFS('Allocations'!$C$5:$C$222,'Allocations'!$B$5:$B$222,A325),2)</f>
        <v>0</v>
      </c>
      <c r="K325" s="9">
        <f>ROUND(I325-J325,2)</f>
        <v>387.98</v>
      </c>
      <c r="L325">
        <f>MAX(0,DATE(2026,9,30)-E325)</f>
        <v>0</v>
      </c>
      <c r="M325">
        <f>IF(K325&lt;-0.005,"Credit balance: check for double payment",IF(AND(K325&gt;0.005,L325&gt;60),"Over 60 days overdue",""))</f>
      </c>
    </row>
    <row r="326">
      <c r="A326" t="inlineStr">
        <is>
          <t>INV/2026/03355</t>
        </is>
      </c>
      <c r="B326" t="inlineStr">
        <is>
          <t>Invoice</t>
        </is>
      </c>
      <c r="C326" t="inlineStr">
        <is>
          <t>Redgum Plan Admin</t>
        </is>
      </c>
      <c r="D326" s="5" t="n">
        <v>46293</v>
      </c>
      <c r="E326" s="5" t="n">
        <v>46307</v>
      </c>
      <c r="F326" t="inlineStr">
        <is>
          <t>AUD</t>
        </is>
      </c>
      <c r="G326" s="9" t="n">
        <v>349.18</v>
      </c>
      <c r="H326" s="9" t="n">
        <v>0</v>
      </c>
      <c r="I326" s="9" t="n">
        <v>349.18</v>
      </c>
      <c r="J326" s="9">
        <f>ROUND(1*SUMIFS('Allocations'!$C$5:$C$222,'Allocations'!$B$5:$B$222,A326),2)</f>
        <v>0</v>
      </c>
      <c r="K326" s="9">
        <f>ROUND(I326-J326,2)</f>
        <v>349.18</v>
      </c>
      <c r="L326">
        <f>MAX(0,DATE(2026,9,30)-E326)</f>
        <v>0</v>
      </c>
      <c r="M326">
        <f>IF(K326&lt;-0.005,"Credit balance: check for double payment",IF(AND(K326&gt;0.005,L326&gt;60),"Over 60 days overdue",""))</f>
      </c>
    </row>
    <row r="327">
      <c r="A327" t="inlineStr">
        <is>
          <t>INV/2026/03356</t>
        </is>
      </c>
      <c r="B327" t="inlineStr">
        <is>
          <t>Invoice</t>
        </is>
      </c>
      <c r="C327" t="inlineStr">
        <is>
          <t>Redgum Plan Admin</t>
        </is>
      </c>
      <c r="D327" s="5" t="n">
        <v>46293</v>
      </c>
      <c r="E327" s="5" t="n">
        <v>46307</v>
      </c>
      <c r="F327" t="inlineStr">
        <is>
          <t>AUD</t>
        </is>
      </c>
      <c r="G327" s="9" t="n">
        <v>290.98</v>
      </c>
      <c r="H327" s="9" t="n">
        <v>0</v>
      </c>
      <c r="I327" s="9" t="n">
        <v>290.98</v>
      </c>
      <c r="J327" s="9">
        <f>ROUND(1*SUMIFS('Allocations'!$C$5:$C$222,'Allocations'!$B$5:$B$222,A327),2)</f>
        <v>0</v>
      </c>
      <c r="K327" s="9">
        <f>ROUND(I327-J327,2)</f>
        <v>290.98</v>
      </c>
      <c r="L327">
        <f>MAX(0,DATE(2026,9,30)-E327)</f>
        <v>0</v>
      </c>
      <c r="M327">
        <f>IF(K327&lt;-0.005,"Credit balance: check for double payment",IF(AND(K327&gt;0.005,L327&gt;60),"Over 60 days overdue",""))</f>
      </c>
    </row>
    <row r="328">
      <c r="A328" t="inlineStr">
        <is>
          <t>INV/2026/03357</t>
        </is>
      </c>
      <c r="B328" t="inlineStr">
        <is>
          <t>Invoice</t>
        </is>
      </c>
      <c r="C328" t="inlineStr">
        <is>
          <t>Lyrebird Plan Management</t>
        </is>
      </c>
      <c r="D328" s="5" t="n">
        <v>46293</v>
      </c>
      <c r="E328" s="5" t="n">
        <v>46307</v>
      </c>
      <c r="F328" t="inlineStr">
        <is>
          <t>AUD</t>
        </is>
      </c>
      <c r="G328" s="9" t="n">
        <v>155.19</v>
      </c>
      <c r="H328" s="9" t="n">
        <v>0</v>
      </c>
      <c r="I328" s="9" t="n">
        <v>155.19</v>
      </c>
      <c r="J328" s="9">
        <f>ROUND(1*SUMIFS('Allocations'!$C$5:$C$222,'Allocations'!$B$5:$B$222,A328),2)</f>
        <v>0</v>
      </c>
      <c r="K328" s="9">
        <f>ROUND(I328-J328,2)</f>
        <v>155.19</v>
      </c>
      <c r="L328">
        <f>MAX(0,DATE(2026,9,30)-E328)</f>
        <v>0</v>
      </c>
      <c r="M328">
        <f>IF(K328&lt;-0.005,"Credit balance: check for double payment",IF(AND(K328&gt;0.005,L328&gt;60),"Over 60 days overdue",""))</f>
      </c>
    </row>
    <row r="329">
      <c r="A329" t="inlineStr">
        <is>
          <t>INV/2026/03358</t>
        </is>
      </c>
      <c r="B329" t="inlineStr">
        <is>
          <t>Invoice</t>
        </is>
      </c>
      <c r="C329" t="inlineStr">
        <is>
          <t>Lyrebird Plan Management</t>
        </is>
      </c>
      <c r="D329" s="5" t="n">
        <v>46293</v>
      </c>
      <c r="E329" s="5" t="n">
        <v>46307</v>
      </c>
      <c r="F329" t="inlineStr">
        <is>
          <t>AUD</t>
        </is>
      </c>
      <c r="G329" s="9" t="n">
        <v>203.69</v>
      </c>
      <c r="H329" s="9" t="n">
        <v>0</v>
      </c>
      <c r="I329" s="9" t="n">
        <v>203.69</v>
      </c>
      <c r="J329" s="9">
        <f>ROUND(1*SUMIFS('Allocations'!$C$5:$C$222,'Allocations'!$B$5:$B$222,A329),2)</f>
        <v>0</v>
      </c>
      <c r="K329" s="9">
        <f>ROUND(I329-J329,2)</f>
        <v>203.69</v>
      </c>
      <c r="L329">
        <f>MAX(0,DATE(2026,9,30)-E329)</f>
        <v>0</v>
      </c>
      <c r="M329">
        <f>IF(K329&lt;-0.005,"Credit balance: check for double payment",IF(AND(K329&gt;0.005,L329&gt;60),"Over 60 days overdue",""))</f>
      </c>
    </row>
    <row r="330">
      <c r="A330" t="inlineStr">
        <is>
          <t>INV/2026/03359</t>
        </is>
      </c>
      <c r="B330" t="inlineStr">
        <is>
          <t>Invoice</t>
        </is>
      </c>
      <c r="C330" t="inlineStr">
        <is>
          <t>Tallowwood Plans</t>
        </is>
      </c>
      <c r="D330" s="5" t="n">
        <v>46293</v>
      </c>
      <c r="E330" s="5" t="n">
        <v>46307</v>
      </c>
      <c r="F330" t="inlineStr">
        <is>
          <t>AUD</t>
        </is>
      </c>
      <c r="G330" s="9" t="n">
        <v>145.49</v>
      </c>
      <c r="H330" s="9" t="n">
        <v>0</v>
      </c>
      <c r="I330" s="9" t="n">
        <v>145.49</v>
      </c>
      <c r="J330" s="9">
        <f>ROUND(1*SUMIFS('Allocations'!$C$5:$C$222,'Allocations'!$B$5:$B$222,A330),2)</f>
        <v>0</v>
      </c>
      <c r="K330" s="9">
        <f>ROUND(I330-J330,2)</f>
        <v>145.49</v>
      </c>
      <c r="L330">
        <f>MAX(0,DATE(2026,9,30)-E330)</f>
        <v>0</v>
      </c>
      <c r="M330">
        <f>IF(K330&lt;-0.005,"Credit balance: check for double payment",IF(AND(K330&gt;0.005,L330&gt;60),"Over 60 days overdue",""))</f>
      </c>
    </row>
    <row r="331">
      <c r="A331" t="inlineStr">
        <is>
          <t>INV/2026/03360</t>
        </is>
      </c>
      <c r="B331" t="inlineStr">
        <is>
          <t>Invoice</t>
        </is>
      </c>
      <c r="C331" t="inlineStr">
        <is>
          <t>Tallowwood Plans</t>
        </is>
      </c>
      <c r="D331" s="5" t="n">
        <v>46293</v>
      </c>
      <c r="E331" s="5" t="n">
        <v>46307</v>
      </c>
      <c r="F331" t="inlineStr">
        <is>
          <t>AUD</t>
        </is>
      </c>
      <c r="G331" s="9" t="n">
        <v>272.49</v>
      </c>
      <c r="H331" s="9" t="n">
        <v>0</v>
      </c>
      <c r="I331" s="9" t="n">
        <v>272.49</v>
      </c>
      <c r="J331" s="9">
        <f>ROUND(1*SUMIFS('Allocations'!$C$5:$C$222,'Allocations'!$B$5:$B$222,A331),2)</f>
        <v>0</v>
      </c>
      <c r="K331" s="9">
        <f>ROUND(I331-J331,2)</f>
        <v>272.49</v>
      </c>
      <c r="L331">
        <f>MAX(0,DATE(2026,9,30)-E331)</f>
        <v>0</v>
      </c>
      <c r="M331">
        <f>IF(K331&lt;-0.005,"Credit balance: check for double payment",IF(AND(K331&gt;0.005,L331&gt;60),"Over 60 days overdue",""))</f>
      </c>
    </row>
    <row r="332">
      <c r="A332" t="inlineStr">
        <is>
          <t>INV/2026/03361</t>
        </is>
      </c>
      <c r="B332" t="inlineStr">
        <is>
          <t>Invoice</t>
        </is>
      </c>
      <c r="C332" t="inlineStr">
        <is>
          <t>Tallowwood Plans</t>
        </is>
      </c>
      <c r="D332" s="5" t="n">
        <v>46293</v>
      </c>
      <c r="E332" s="5" t="n">
        <v>46307</v>
      </c>
      <c r="F332" t="inlineStr">
        <is>
          <t>AUD</t>
        </is>
      </c>
      <c r="G332" s="9" t="n">
        <v>242.49</v>
      </c>
      <c r="H332" s="9" t="n">
        <v>0</v>
      </c>
      <c r="I332" s="9" t="n">
        <v>242.49</v>
      </c>
      <c r="J332" s="9">
        <f>ROUND(1*SUMIFS('Allocations'!$C$5:$C$222,'Allocations'!$B$5:$B$222,A332),2)</f>
        <v>0</v>
      </c>
      <c r="K332" s="9">
        <f>ROUND(I332-J332,2)</f>
        <v>242.49</v>
      </c>
      <c r="L332">
        <f>MAX(0,DATE(2026,9,30)-E332)</f>
        <v>0</v>
      </c>
      <c r="M332">
        <f>IF(K332&lt;-0.005,"Credit balance: check for double payment",IF(AND(K332&gt;0.005,L332&gt;60),"Over 60 days overdue",""))</f>
      </c>
    </row>
    <row r="333">
      <c r="A333" t="inlineStr">
        <is>
          <t>INV/2026/03362</t>
        </is>
      </c>
      <c r="B333" t="inlineStr">
        <is>
          <t>Invoice</t>
        </is>
      </c>
      <c r="C333" t="inlineStr">
        <is>
          <t>Acacia Plan Partners</t>
        </is>
      </c>
      <c r="D333" s="5" t="n">
        <v>46293</v>
      </c>
      <c r="E333" s="5" t="n">
        <v>46307</v>
      </c>
      <c r="F333" t="inlineStr">
        <is>
          <t>AUD</t>
        </is>
      </c>
      <c r="G333" s="9" t="n">
        <v>387.98</v>
      </c>
      <c r="H333" s="9" t="n">
        <v>0</v>
      </c>
      <c r="I333" s="9" t="n">
        <v>387.98</v>
      </c>
      <c r="J333" s="9">
        <f>ROUND(1*SUMIFS('Allocations'!$C$5:$C$222,'Allocations'!$B$5:$B$222,A333),2)</f>
        <v>0</v>
      </c>
      <c r="K333" s="9">
        <f>ROUND(I333-J333,2)</f>
        <v>387.98</v>
      </c>
      <c r="L333">
        <f>MAX(0,DATE(2026,9,30)-E333)</f>
        <v>0</v>
      </c>
      <c r="M333">
        <f>IF(K333&lt;-0.005,"Credit balance: check for double payment",IF(AND(K333&gt;0.005,L333&gt;60),"Over 60 days overdue",""))</f>
      </c>
    </row>
    <row r="334">
      <c r="A334" t="inlineStr">
        <is>
          <t>INV/2026/03363</t>
        </is>
      </c>
      <c r="B334" t="inlineStr">
        <is>
          <t>Invoice</t>
        </is>
      </c>
      <c r="C334" t="inlineStr">
        <is>
          <t>Mallee Plan Services</t>
        </is>
      </c>
      <c r="D334" s="5" t="n">
        <v>46293</v>
      </c>
      <c r="E334" s="5" t="n">
        <v>46307</v>
      </c>
      <c r="F334" t="inlineStr">
        <is>
          <t>AUD</t>
        </is>
      </c>
      <c r="G334" s="9" t="n">
        <v>387.98</v>
      </c>
      <c r="H334" s="9" t="n">
        <v>0</v>
      </c>
      <c r="I334" s="9" t="n">
        <v>387.98</v>
      </c>
      <c r="J334" s="9">
        <f>ROUND(1*SUMIFS('Allocations'!$C$5:$C$222,'Allocations'!$B$5:$B$222,A334),2)</f>
        <v>0</v>
      </c>
      <c r="K334" s="9">
        <f>ROUND(I334-J334,2)</f>
        <v>387.98</v>
      </c>
      <c r="L334">
        <f>MAX(0,DATE(2026,9,30)-E334)</f>
        <v>0</v>
      </c>
      <c r="M334">
        <f>IF(K334&lt;-0.005,"Credit balance: check for double payment",IF(AND(K334&gt;0.005,L334&gt;60),"Over 60 days overdue",""))</f>
      </c>
    </row>
    <row r="335">
      <c r="A335" t="inlineStr">
        <is>
          <t>INV/2026/03364</t>
        </is>
      </c>
      <c r="B335" t="inlineStr">
        <is>
          <t>Invoice</t>
        </is>
      </c>
      <c r="C335" t="inlineStr">
        <is>
          <t>Mallee Plan Services</t>
        </is>
      </c>
      <c r="D335" s="5" t="n">
        <v>46293</v>
      </c>
      <c r="E335" s="5" t="n">
        <v>46307</v>
      </c>
      <c r="F335" t="inlineStr">
        <is>
          <t>AUD</t>
        </is>
      </c>
      <c r="G335" s="9" t="n">
        <v>252.19</v>
      </c>
      <c r="H335" s="9" t="n">
        <v>0</v>
      </c>
      <c r="I335" s="9" t="n">
        <v>252.19</v>
      </c>
      <c r="J335" s="9">
        <f>ROUND(1*SUMIFS('Allocations'!$C$5:$C$222,'Allocations'!$B$5:$B$222,A335),2)</f>
        <v>0</v>
      </c>
      <c r="K335" s="9">
        <f>ROUND(I335-J335,2)</f>
        <v>252.19</v>
      </c>
      <c r="L335">
        <f>MAX(0,DATE(2026,9,30)-E335)</f>
        <v>0</v>
      </c>
      <c r="M335">
        <f>IF(K335&lt;-0.005,"Credit balance: check for double payment",IF(AND(K335&gt;0.005,L335&gt;60),"Over 60 days overdue",""))</f>
      </c>
    </row>
    <row r="336">
      <c r="A336" t="inlineStr">
        <is>
          <t>INV/2026/03365</t>
        </is>
      </c>
      <c r="B336" t="inlineStr">
        <is>
          <t>Invoice</t>
        </is>
      </c>
      <c r="C336" t="inlineStr">
        <is>
          <t>Northline Injury Claims</t>
        </is>
      </c>
      <c r="D336" s="5" t="n">
        <v>46293</v>
      </c>
      <c r="E336" s="5" t="n">
        <v>46307</v>
      </c>
      <c r="F336" t="inlineStr">
        <is>
          <t>AUD</t>
        </is>
      </c>
      <c r="G336" s="9" t="n">
        <v>990</v>
      </c>
      <c r="H336" s="9" t="n">
        <v>0</v>
      </c>
      <c r="I336" s="9" t="n">
        <v>990</v>
      </c>
      <c r="J336" s="9">
        <f>ROUND(1*SUMIFS('Allocations'!$C$5:$C$222,'Allocations'!$B$5:$B$222,A336),2)</f>
        <v>0</v>
      </c>
      <c r="K336" s="9">
        <f>ROUND(I336-J336,2)</f>
        <v>990</v>
      </c>
      <c r="L336">
        <f>MAX(0,DATE(2026,9,30)-E336)</f>
        <v>0</v>
      </c>
      <c r="M336">
        <f>IF(K336&lt;-0.005,"Credit balance: check for double payment",IF(AND(K336&gt;0.005,L336&gt;60),"Over 60 days overdue",""))</f>
      </c>
    </row>
    <row r="337">
      <c r="A337" t="inlineStr">
        <is>
          <t>INV/2026/03366</t>
        </is>
      </c>
      <c r="B337" t="inlineStr">
        <is>
          <t>Invoice</t>
        </is>
      </c>
      <c r="C337" t="inlineStr">
        <is>
          <t>Bluegum Plan Management</t>
        </is>
      </c>
      <c r="D337" s="5" t="n">
        <v>46294</v>
      </c>
      <c r="E337" s="5" t="n">
        <v>46308</v>
      </c>
      <c r="F337" t="inlineStr">
        <is>
          <t>AUD</t>
        </is>
      </c>
      <c r="G337" s="9" t="n">
        <v>155.19</v>
      </c>
      <c r="H337" s="9" t="n">
        <v>0</v>
      </c>
      <c r="I337" s="9" t="n">
        <v>155.19</v>
      </c>
      <c r="J337" s="9">
        <f>ROUND(1*SUMIFS('Allocations'!$C$5:$C$222,'Allocations'!$B$5:$B$222,A337),2)</f>
        <v>0</v>
      </c>
      <c r="K337" s="9">
        <f>ROUND(I337-J337,2)</f>
        <v>155.19</v>
      </c>
      <c r="L337">
        <f>MAX(0,DATE(2026,9,30)-E337)</f>
        <v>0</v>
      </c>
      <c r="M337">
        <f>IF(K337&lt;-0.005,"Credit balance: check for double payment",IF(AND(K337&gt;0.005,L337&gt;60),"Over 60 days overdue",""))</f>
      </c>
    </row>
    <row r="338">
      <c r="A338" t="inlineStr">
        <is>
          <t>INV/2026/03367</t>
        </is>
      </c>
      <c r="B338" t="inlineStr">
        <is>
          <t>Invoice</t>
        </is>
      </c>
      <c r="C338" t="inlineStr">
        <is>
          <t>Bluegum Plan Management</t>
        </is>
      </c>
      <c r="D338" s="5" t="n">
        <v>46294</v>
      </c>
      <c r="E338" s="5" t="n">
        <v>46308</v>
      </c>
      <c r="F338" t="inlineStr">
        <is>
          <t>AUD</t>
        </is>
      </c>
      <c r="G338" s="9" t="n">
        <v>155.19</v>
      </c>
      <c r="H338" s="9" t="n">
        <v>0</v>
      </c>
      <c r="I338" s="9" t="n">
        <v>155.19</v>
      </c>
      <c r="J338" s="9">
        <f>ROUND(1*SUMIFS('Allocations'!$C$5:$C$222,'Allocations'!$B$5:$B$222,A338),2)</f>
        <v>0</v>
      </c>
      <c r="K338" s="9">
        <f>ROUND(I338-J338,2)</f>
        <v>155.19</v>
      </c>
      <c r="L338">
        <f>MAX(0,DATE(2026,9,30)-E338)</f>
        <v>0</v>
      </c>
      <c r="M338">
        <f>IF(K338&lt;-0.005,"Credit balance: check for double payment",IF(AND(K338&gt;0.005,L338&gt;60),"Over 60 days overdue",""))</f>
      </c>
    </row>
    <row r="339">
      <c r="A339" t="inlineStr">
        <is>
          <t>INV/2026/03368</t>
        </is>
      </c>
      <c r="B339" t="inlineStr">
        <is>
          <t>Invoice</t>
        </is>
      </c>
      <c r="C339" t="inlineStr">
        <is>
          <t>Bluegum Plan Management</t>
        </is>
      </c>
      <c r="D339" s="5" t="n">
        <v>46294</v>
      </c>
      <c r="E339" s="5" t="n">
        <v>46308</v>
      </c>
      <c r="F339" t="inlineStr">
        <is>
          <t>AUD</t>
        </is>
      </c>
      <c r="G339" s="9" t="n">
        <v>203.69</v>
      </c>
      <c r="H339" s="9" t="n">
        <v>0</v>
      </c>
      <c r="I339" s="9" t="n">
        <v>203.69</v>
      </c>
      <c r="J339" s="9">
        <f>ROUND(1*SUMIFS('Allocations'!$C$5:$C$222,'Allocations'!$B$5:$B$222,A339),2)</f>
        <v>0</v>
      </c>
      <c r="K339" s="9">
        <f>ROUND(I339-J339,2)</f>
        <v>203.69</v>
      </c>
      <c r="L339">
        <f>MAX(0,DATE(2026,9,30)-E339)</f>
        <v>0</v>
      </c>
      <c r="M339">
        <f>IF(K339&lt;-0.005,"Credit balance: check for double payment",IF(AND(K339&gt;0.005,L339&gt;60),"Over 60 days overdue",""))</f>
      </c>
    </row>
    <row r="340">
      <c r="A340" t="inlineStr">
        <is>
          <t>INV/2026/03369</t>
        </is>
      </c>
      <c r="B340" t="inlineStr">
        <is>
          <t>Invoice</t>
        </is>
      </c>
      <c r="C340" t="inlineStr">
        <is>
          <t>Riverbend Plan Partners</t>
        </is>
      </c>
      <c r="D340" s="5" t="n">
        <v>46294</v>
      </c>
      <c r="E340" s="5" t="n">
        <v>46308</v>
      </c>
      <c r="F340" t="inlineStr">
        <is>
          <t>AUD</t>
        </is>
      </c>
      <c r="G340" s="9" t="n">
        <v>300.69</v>
      </c>
      <c r="H340" s="9" t="n">
        <v>0</v>
      </c>
      <c r="I340" s="9" t="n">
        <v>300.69</v>
      </c>
      <c r="J340" s="9">
        <f>ROUND(1*SUMIFS('Allocations'!$C$5:$C$222,'Allocations'!$B$5:$B$222,A340),2)</f>
        <v>0</v>
      </c>
      <c r="K340" s="9">
        <f>ROUND(I340-J340,2)</f>
        <v>300.69</v>
      </c>
      <c r="L340">
        <f>MAX(0,DATE(2026,9,30)-E340)</f>
        <v>0</v>
      </c>
      <c r="M340">
        <f>IF(K340&lt;-0.005,"Credit balance: check for double payment",IF(AND(K340&gt;0.005,L340&gt;60),"Over 60 days overdue",""))</f>
      </c>
    </row>
    <row r="341">
      <c r="A341" t="inlineStr">
        <is>
          <t>INV/2026/03370</t>
        </is>
      </c>
      <c r="B341" t="inlineStr">
        <is>
          <t>Invoice</t>
        </is>
      </c>
      <c r="C341" t="inlineStr">
        <is>
          <t>Riverbend Plan Partners</t>
        </is>
      </c>
      <c r="D341" s="5" t="n">
        <v>46294</v>
      </c>
      <c r="E341" s="5" t="n">
        <v>46308</v>
      </c>
      <c r="F341" t="inlineStr">
        <is>
          <t>AUD</t>
        </is>
      </c>
      <c r="G341" s="9" t="n">
        <v>145.49</v>
      </c>
      <c r="H341" s="9" t="n">
        <v>0</v>
      </c>
      <c r="I341" s="9" t="n">
        <v>145.49</v>
      </c>
      <c r="J341" s="9">
        <f>ROUND(1*SUMIFS('Allocations'!$C$5:$C$222,'Allocations'!$B$5:$B$222,A341),2)</f>
        <v>0</v>
      </c>
      <c r="K341" s="9">
        <f>ROUND(I341-J341,2)</f>
        <v>145.49</v>
      </c>
      <c r="L341">
        <f>MAX(0,DATE(2026,9,30)-E341)</f>
        <v>0</v>
      </c>
      <c r="M341">
        <f>IF(K341&lt;-0.005,"Credit balance: check for double payment",IF(AND(K341&gt;0.005,L341&gt;60),"Over 60 days overdue",""))</f>
      </c>
    </row>
    <row r="342">
      <c r="A342" t="inlineStr">
        <is>
          <t>INV/2026/03371</t>
        </is>
      </c>
      <c r="B342" t="inlineStr">
        <is>
          <t>Invoice</t>
        </is>
      </c>
      <c r="C342" t="inlineStr">
        <is>
          <t>Clearpath NDIS Plans</t>
        </is>
      </c>
      <c r="D342" s="5" t="n">
        <v>46294</v>
      </c>
      <c r="E342" s="5" t="n">
        <v>46308</v>
      </c>
      <c r="F342" t="inlineStr">
        <is>
          <t>AUD</t>
        </is>
      </c>
      <c r="G342" s="9" t="n">
        <v>155.19</v>
      </c>
      <c r="H342" s="9" t="n">
        <v>0</v>
      </c>
      <c r="I342" s="9" t="n">
        <v>155.19</v>
      </c>
      <c r="J342" s="9">
        <f>ROUND(1*SUMIFS('Allocations'!$C$5:$C$222,'Allocations'!$B$5:$B$222,A342),2)</f>
        <v>0</v>
      </c>
      <c r="K342" s="9">
        <f>ROUND(I342-J342,2)</f>
        <v>155.19</v>
      </c>
      <c r="L342">
        <f>MAX(0,DATE(2026,9,30)-E342)</f>
        <v>0</v>
      </c>
      <c r="M342">
        <f>IF(K342&lt;-0.005,"Credit balance: check for double payment",IF(AND(K342&gt;0.005,L342&gt;60),"Over 60 days overdue",""))</f>
      </c>
    </row>
    <row r="343">
      <c r="A343" t="inlineStr">
        <is>
          <t>INV/2026/03372</t>
        </is>
      </c>
      <c r="B343" t="inlineStr">
        <is>
          <t>Invoice</t>
        </is>
      </c>
      <c r="C343" t="inlineStr">
        <is>
          <t>Clearpath NDIS Plans</t>
        </is>
      </c>
      <c r="D343" s="5" t="n">
        <v>46294</v>
      </c>
      <c r="E343" s="5" t="n">
        <v>46308</v>
      </c>
      <c r="F343" t="inlineStr">
        <is>
          <t>AUD</t>
        </is>
      </c>
      <c r="G343" s="9" t="n">
        <v>155.19</v>
      </c>
      <c r="H343" s="9" t="n">
        <v>0</v>
      </c>
      <c r="I343" s="9" t="n">
        <v>155.19</v>
      </c>
      <c r="J343" s="9">
        <f>ROUND(1*SUMIFS('Allocations'!$C$5:$C$222,'Allocations'!$B$5:$B$222,A343),2)</f>
        <v>0</v>
      </c>
      <c r="K343" s="9">
        <f>ROUND(I343-J343,2)</f>
        <v>155.19</v>
      </c>
      <c r="L343">
        <f>MAX(0,DATE(2026,9,30)-E343)</f>
        <v>0</v>
      </c>
      <c r="M343">
        <f>IF(K343&lt;-0.005,"Credit balance: check for double payment",IF(AND(K343&gt;0.005,L343&gt;60),"Over 60 days overdue",""))</f>
      </c>
    </row>
    <row r="344">
      <c r="A344" t="inlineStr">
        <is>
          <t>INV/2026/03373</t>
        </is>
      </c>
      <c r="B344" t="inlineStr">
        <is>
          <t>Invoice</t>
        </is>
      </c>
      <c r="C344" t="inlineStr">
        <is>
          <t>Banksia Plan Co</t>
        </is>
      </c>
      <c r="D344" s="5" t="n">
        <v>46294</v>
      </c>
      <c r="E344" s="5" t="n">
        <v>46308</v>
      </c>
      <c r="F344" t="inlineStr">
        <is>
          <t>AUD</t>
        </is>
      </c>
      <c r="G344" s="9" t="n">
        <v>320.98</v>
      </c>
      <c r="H344" s="9" t="n">
        <v>0</v>
      </c>
      <c r="I344" s="9" t="n">
        <v>320.98</v>
      </c>
      <c r="J344" s="9">
        <f>ROUND(1*SUMIFS('Allocations'!$C$5:$C$222,'Allocations'!$B$5:$B$222,A344),2)</f>
        <v>0</v>
      </c>
      <c r="K344" s="9">
        <f>ROUND(I344-J344,2)</f>
        <v>320.98</v>
      </c>
      <c r="L344">
        <f>MAX(0,DATE(2026,9,30)-E344)</f>
        <v>0</v>
      </c>
      <c r="M344">
        <f>IF(K344&lt;-0.005,"Credit balance: check for double payment",IF(AND(K344&gt;0.005,L344&gt;60),"Over 60 days overdue",""))</f>
      </c>
    </row>
    <row r="345">
      <c r="A345" t="inlineStr">
        <is>
          <t>INV/2026/03374</t>
        </is>
      </c>
      <c r="B345" t="inlineStr">
        <is>
          <t>Invoice</t>
        </is>
      </c>
      <c r="C345" t="inlineStr">
        <is>
          <t>Banksia Plan Co</t>
        </is>
      </c>
      <c r="D345" s="5" t="n">
        <v>46294</v>
      </c>
      <c r="E345" s="5" t="n">
        <v>46308</v>
      </c>
      <c r="F345" t="inlineStr">
        <is>
          <t>AUD</t>
        </is>
      </c>
      <c r="G345" s="9" t="n">
        <v>242.49</v>
      </c>
      <c r="H345" s="9" t="n">
        <v>0</v>
      </c>
      <c r="I345" s="9" t="n">
        <v>242.49</v>
      </c>
      <c r="J345" s="9">
        <f>ROUND(1*SUMIFS('Allocations'!$C$5:$C$222,'Allocations'!$B$5:$B$222,A345),2)</f>
        <v>0</v>
      </c>
      <c r="K345" s="9">
        <f>ROUND(I345-J345,2)</f>
        <v>242.49</v>
      </c>
      <c r="L345">
        <f>MAX(0,DATE(2026,9,30)-E345)</f>
        <v>0</v>
      </c>
      <c r="M345">
        <f>IF(K345&lt;-0.005,"Credit balance: check for double payment",IF(AND(K345&gt;0.005,L345&gt;60),"Over 60 days overdue",""))</f>
      </c>
    </row>
    <row r="346">
      <c r="A346" t="inlineStr">
        <is>
          <t>INV/2026/03375</t>
        </is>
      </c>
      <c r="B346" t="inlineStr">
        <is>
          <t>Invoice</t>
        </is>
      </c>
      <c r="C346" t="inlineStr">
        <is>
          <t>Ironbark Plan Management</t>
        </is>
      </c>
      <c r="D346" s="5" t="n">
        <v>46294</v>
      </c>
      <c r="E346" s="5" t="n">
        <v>46308</v>
      </c>
      <c r="F346" t="inlineStr">
        <is>
          <t>AUD</t>
        </is>
      </c>
      <c r="G346" s="9" t="n">
        <v>242.49</v>
      </c>
      <c r="H346" s="9" t="n">
        <v>0</v>
      </c>
      <c r="I346" s="9" t="n">
        <v>242.49</v>
      </c>
      <c r="J346" s="9">
        <f>ROUND(1*SUMIFS('Allocations'!$C$5:$C$222,'Allocations'!$B$5:$B$222,A346),2)</f>
        <v>0</v>
      </c>
      <c r="K346" s="9">
        <f>ROUND(I346-J346,2)</f>
        <v>242.49</v>
      </c>
      <c r="L346">
        <f>MAX(0,DATE(2026,9,30)-E346)</f>
        <v>0</v>
      </c>
      <c r="M346">
        <f>IF(K346&lt;-0.005,"Credit balance: check for double payment",IF(AND(K346&gt;0.005,L346&gt;60),"Over 60 days overdue",""))</f>
      </c>
    </row>
    <row r="347">
      <c r="A347" t="inlineStr">
        <is>
          <t>INV/2026/03376</t>
        </is>
      </c>
      <c r="B347" t="inlineStr">
        <is>
          <t>Invoice</t>
        </is>
      </c>
      <c r="C347" t="inlineStr">
        <is>
          <t>Ironbark Plan Management</t>
        </is>
      </c>
      <c r="D347" s="5" t="n">
        <v>46294</v>
      </c>
      <c r="E347" s="5" t="n">
        <v>46308</v>
      </c>
      <c r="F347" t="inlineStr">
        <is>
          <t>AUD</t>
        </is>
      </c>
      <c r="G347" s="9" t="n">
        <v>320.98</v>
      </c>
      <c r="H347" s="9" t="n">
        <v>0</v>
      </c>
      <c r="I347" s="9" t="n">
        <v>320.98</v>
      </c>
      <c r="J347" s="9">
        <f>ROUND(1*SUMIFS('Allocations'!$C$5:$C$222,'Allocations'!$B$5:$B$222,A347),2)</f>
        <v>0</v>
      </c>
      <c r="K347" s="9">
        <f>ROUND(I347-J347,2)</f>
        <v>320.98</v>
      </c>
      <c r="L347">
        <f>MAX(0,DATE(2026,9,30)-E347)</f>
        <v>0</v>
      </c>
      <c r="M347">
        <f>IF(K347&lt;-0.005,"Credit balance: check for double payment",IF(AND(K347&gt;0.005,L347&gt;60),"Over 60 days overdue",""))</f>
      </c>
    </row>
    <row r="348">
      <c r="A348" t="inlineStr">
        <is>
          <t>INV/2026/03377</t>
        </is>
      </c>
      <c r="B348" t="inlineStr">
        <is>
          <t>Invoice</t>
        </is>
      </c>
      <c r="C348" t="inlineStr">
        <is>
          <t>Saltbush Plan Managers</t>
        </is>
      </c>
      <c r="D348" s="5" t="n">
        <v>46294</v>
      </c>
      <c r="E348" s="5" t="n">
        <v>46308</v>
      </c>
      <c r="F348" t="inlineStr">
        <is>
          <t>AUD</t>
        </is>
      </c>
      <c r="G348" s="9" t="n">
        <v>417.98</v>
      </c>
      <c r="H348" s="9" t="n">
        <v>0</v>
      </c>
      <c r="I348" s="9" t="n">
        <v>417.98</v>
      </c>
      <c r="J348" s="9">
        <f>ROUND(1*SUMIFS('Allocations'!$C$5:$C$222,'Allocations'!$B$5:$B$222,A348),2)</f>
        <v>0</v>
      </c>
      <c r="K348" s="9">
        <f>ROUND(I348-J348,2)</f>
        <v>417.98</v>
      </c>
      <c r="L348">
        <f>MAX(0,DATE(2026,9,30)-E348)</f>
        <v>0</v>
      </c>
      <c r="M348">
        <f>IF(K348&lt;-0.005,"Credit balance: check for double payment",IF(AND(K348&gt;0.005,L348&gt;60),"Over 60 days overdue",""))</f>
      </c>
    </row>
    <row r="349">
      <c r="A349" t="inlineStr">
        <is>
          <t>INV/2026/03378</t>
        </is>
      </c>
      <c r="B349" t="inlineStr">
        <is>
          <t>Invoice</t>
        </is>
      </c>
      <c r="C349" t="inlineStr">
        <is>
          <t>Redgum Plan Admin</t>
        </is>
      </c>
      <c r="D349" s="5" t="n">
        <v>46294</v>
      </c>
      <c r="E349" s="5" t="n">
        <v>46308</v>
      </c>
      <c r="F349" t="inlineStr">
        <is>
          <t>AUD</t>
        </is>
      </c>
      <c r="G349" s="9" t="n">
        <v>223.99</v>
      </c>
      <c r="H349" s="9" t="n">
        <v>0</v>
      </c>
      <c r="I349" s="9" t="n">
        <v>223.99</v>
      </c>
      <c r="J349" s="9">
        <f>ROUND(1*SUMIFS('Allocations'!$C$5:$C$222,'Allocations'!$B$5:$B$222,A349),2)</f>
        <v>0</v>
      </c>
      <c r="K349" s="9">
        <f>ROUND(I349-J349,2)</f>
        <v>223.99</v>
      </c>
      <c r="L349">
        <f>MAX(0,DATE(2026,9,30)-E349)</f>
        <v>0</v>
      </c>
      <c r="M349">
        <f>IF(K349&lt;-0.005,"Credit balance: check for double payment",IF(AND(K349&gt;0.005,L349&gt;60),"Over 60 days overdue",""))</f>
      </c>
    </row>
    <row r="350">
      <c r="A350" t="inlineStr">
        <is>
          <t>INV/2026/03379</t>
        </is>
      </c>
      <c r="B350" t="inlineStr">
        <is>
          <t>Invoice</t>
        </is>
      </c>
      <c r="C350" t="inlineStr">
        <is>
          <t>Redgum Plan Admin</t>
        </is>
      </c>
      <c r="D350" s="5" t="n">
        <v>46294</v>
      </c>
      <c r="E350" s="5" t="n">
        <v>46308</v>
      </c>
      <c r="F350" t="inlineStr">
        <is>
          <t>AUD</t>
        </is>
      </c>
      <c r="G350" s="9" t="n">
        <v>349.18</v>
      </c>
      <c r="H350" s="9" t="n">
        <v>0</v>
      </c>
      <c r="I350" s="9" t="n">
        <v>349.18</v>
      </c>
      <c r="J350" s="9">
        <f>ROUND(1*SUMIFS('Allocations'!$C$5:$C$222,'Allocations'!$B$5:$B$222,A350),2)</f>
        <v>0</v>
      </c>
      <c r="K350" s="9">
        <f>ROUND(I350-J350,2)</f>
        <v>349.18</v>
      </c>
      <c r="L350">
        <f>MAX(0,DATE(2026,9,30)-E350)</f>
        <v>0</v>
      </c>
      <c r="M350">
        <f>IF(K350&lt;-0.005,"Credit balance: check for double payment",IF(AND(K350&gt;0.005,L350&gt;60),"Over 60 days overdue",""))</f>
      </c>
    </row>
    <row r="351">
      <c r="A351" t="inlineStr">
        <is>
          <t>INV/2026/03380</t>
        </is>
      </c>
      <c r="B351" t="inlineStr">
        <is>
          <t>Invoice</t>
        </is>
      </c>
      <c r="C351" t="inlineStr">
        <is>
          <t>Southern Cross Plan Mgmt</t>
        </is>
      </c>
      <c r="D351" s="5" t="n">
        <v>46294</v>
      </c>
      <c r="E351" s="5" t="n">
        <v>46308</v>
      </c>
      <c r="F351" t="inlineStr">
        <is>
          <t>AUD</t>
        </is>
      </c>
      <c r="G351" s="9" t="n">
        <v>252.19</v>
      </c>
      <c r="H351" s="9" t="n">
        <v>0</v>
      </c>
      <c r="I351" s="9" t="n">
        <v>252.19</v>
      </c>
      <c r="J351" s="9">
        <f>ROUND(1*SUMIFS('Allocations'!$C$5:$C$222,'Allocations'!$B$5:$B$222,A351),2)</f>
        <v>0</v>
      </c>
      <c r="K351" s="9">
        <f>ROUND(I351-J351,2)</f>
        <v>252.19</v>
      </c>
      <c r="L351">
        <f>MAX(0,DATE(2026,9,30)-E351)</f>
        <v>0</v>
      </c>
      <c r="M351">
        <f>IF(K351&lt;-0.005,"Credit balance: check for double payment",IF(AND(K351&gt;0.005,L351&gt;60),"Over 60 days overdue",""))</f>
      </c>
    </row>
    <row r="352">
      <c r="A352" t="inlineStr">
        <is>
          <t>INV/2026/03381</t>
        </is>
      </c>
      <c r="B352" t="inlineStr">
        <is>
          <t>Invoice</t>
        </is>
      </c>
      <c r="C352" t="inlineStr">
        <is>
          <t>Lyrebird Plan Management</t>
        </is>
      </c>
      <c r="D352" s="5" t="n">
        <v>46294</v>
      </c>
      <c r="E352" s="5" t="n">
        <v>46308</v>
      </c>
      <c r="F352" t="inlineStr">
        <is>
          <t>AUD</t>
        </is>
      </c>
      <c r="G352" s="9" t="n">
        <v>175.49</v>
      </c>
      <c r="H352" s="9" t="n">
        <v>0</v>
      </c>
      <c r="I352" s="9" t="n">
        <v>175.49</v>
      </c>
      <c r="J352" s="9">
        <f>ROUND(1*SUMIFS('Allocations'!$C$5:$C$222,'Allocations'!$B$5:$B$222,A352),2)</f>
        <v>0</v>
      </c>
      <c r="K352" s="9">
        <f>ROUND(I352-J352,2)</f>
        <v>175.49</v>
      </c>
      <c r="L352">
        <f>MAX(0,DATE(2026,9,30)-E352)</f>
        <v>0</v>
      </c>
      <c r="M352">
        <f>IF(K352&lt;-0.005,"Credit balance: check for double payment",IF(AND(K352&gt;0.005,L352&gt;60),"Over 60 days overdue",""))</f>
      </c>
    </row>
    <row r="353">
      <c r="A353" t="inlineStr">
        <is>
          <t>INV/2026/03382</t>
        </is>
      </c>
      <c r="B353" t="inlineStr">
        <is>
          <t>Invoice</t>
        </is>
      </c>
      <c r="C353" t="inlineStr">
        <is>
          <t>Tallowwood Plans</t>
        </is>
      </c>
      <c r="D353" s="5" t="n">
        <v>46294</v>
      </c>
      <c r="E353" s="5" t="n">
        <v>46308</v>
      </c>
      <c r="F353" t="inlineStr">
        <is>
          <t>AUD</t>
        </is>
      </c>
      <c r="G353" s="9" t="n">
        <v>242.49</v>
      </c>
      <c r="H353" s="9" t="n">
        <v>0</v>
      </c>
      <c r="I353" s="9" t="n">
        <v>242.49</v>
      </c>
      <c r="J353" s="9">
        <f>ROUND(1*SUMIFS('Allocations'!$C$5:$C$222,'Allocations'!$B$5:$B$222,A353),2)</f>
        <v>0</v>
      </c>
      <c r="K353" s="9">
        <f>ROUND(I353-J353,2)</f>
        <v>242.49</v>
      </c>
      <c r="L353">
        <f>MAX(0,DATE(2026,9,30)-E353)</f>
        <v>0</v>
      </c>
      <c r="M353">
        <f>IF(K353&lt;-0.005,"Credit balance: check for double payment",IF(AND(K353&gt;0.005,L353&gt;60),"Over 60 days overdue",""))</f>
      </c>
    </row>
    <row r="354">
      <c r="A354" t="inlineStr">
        <is>
          <t>INV/2026/03383</t>
        </is>
      </c>
      <c r="B354" t="inlineStr">
        <is>
          <t>Invoice</t>
        </is>
      </c>
      <c r="C354" t="inlineStr">
        <is>
          <t>Acacia Plan Partners</t>
        </is>
      </c>
      <c r="D354" s="5" t="n">
        <v>46294</v>
      </c>
      <c r="E354" s="5" t="n">
        <v>46308</v>
      </c>
      <c r="F354" t="inlineStr">
        <is>
          <t>AUD</t>
        </is>
      </c>
      <c r="G354" s="9" t="n">
        <v>203.69</v>
      </c>
      <c r="H354" s="9" t="n">
        <v>0</v>
      </c>
      <c r="I354" s="9" t="n">
        <v>203.69</v>
      </c>
      <c r="J354" s="9">
        <f>ROUND(1*SUMIFS('Allocations'!$C$5:$C$222,'Allocations'!$B$5:$B$222,A354),2)</f>
        <v>0</v>
      </c>
      <c r="K354" s="9">
        <f>ROUND(I354-J354,2)</f>
        <v>203.69</v>
      </c>
      <c r="L354">
        <f>MAX(0,DATE(2026,9,30)-E354)</f>
        <v>0</v>
      </c>
      <c r="M354">
        <f>IF(K354&lt;-0.005,"Credit balance: check for double payment",IF(AND(K354&gt;0.005,L354&gt;60),"Over 60 days overdue",""))</f>
      </c>
    </row>
    <row r="355">
      <c r="A355" t="inlineStr">
        <is>
          <t>INV/2026/03384</t>
        </is>
      </c>
      <c r="B355" t="inlineStr">
        <is>
          <t>Invoice</t>
        </is>
      </c>
      <c r="C355" t="inlineStr">
        <is>
          <t>Acacia Plan Partners</t>
        </is>
      </c>
      <c r="D355" s="5" t="n">
        <v>46294</v>
      </c>
      <c r="E355" s="5" t="n">
        <v>46308</v>
      </c>
      <c r="F355" t="inlineStr">
        <is>
          <t>AUD</t>
        </is>
      </c>
      <c r="G355" s="9" t="n">
        <v>387.98</v>
      </c>
      <c r="H355" s="9" t="n">
        <v>0</v>
      </c>
      <c r="I355" s="9" t="n">
        <v>387.98</v>
      </c>
      <c r="J355" s="9">
        <f>ROUND(1*SUMIFS('Allocations'!$C$5:$C$222,'Allocations'!$B$5:$B$222,A355),2)</f>
        <v>0</v>
      </c>
      <c r="K355" s="9">
        <f>ROUND(I355-J355,2)</f>
        <v>387.98</v>
      </c>
      <c r="L355">
        <f>MAX(0,DATE(2026,9,30)-E355)</f>
        <v>0</v>
      </c>
      <c r="M355">
        <f>IF(K355&lt;-0.005,"Credit balance: check for double payment",IF(AND(K355&gt;0.005,L355&gt;60),"Over 60 days overdue",""))</f>
      </c>
    </row>
    <row r="356">
      <c r="A356" t="inlineStr">
        <is>
          <t>INV/2026/03385</t>
        </is>
      </c>
      <c r="B356" t="inlineStr">
        <is>
          <t>Invoice</t>
        </is>
      </c>
      <c r="C356" t="inlineStr">
        <is>
          <t>Mallee Plan Services</t>
        </is>
      </c>
      <c r="D356" s="5" t="n">
        <v>46294</v>
      </c>
      <c r="E356" s="5" t="n">
        <v>46308</v>
      </c>
      <c r="F356" t="inlineStr">
        <is>
          <t>AUD</t>
        </is>
      </c>
      <c r="G356" s="9" t="n">
        <v>252.19</v>
      </c>
      <c r="H356" s="9" t="n">
        <v>0</v>
      </c>
      <c r="I356" s="9" t="n">
        <v>252.19</v>
      </c>
      <c r="J356" s="9">
        <f>ROUND(1*SUMIFS('Allocations'!$C$5:$C$222,'Allocations'!$B$5:$B$222,A356),2)</f>
        <v>0</v>
      </c>
      <c r="K356" s="9">
        <f>ROUND(I356-J356,2)</f>
        <v>252.19</v>
      </c>
      <c r="L356">
        <f>MAX(0,DATE(2026,9,30)-E356)</f>
        <v>0</v>
      </c>
      <c r="M356">
        <f>IF(K356&lt;-0.005,"Credit balance: check for double payment",IF(AND(K356&gt;0.005,L356&gt;60),"Over 60 days overdue",""))</f>
      </c>
    </row>
    <row r="357">
      <c r="A357" t="inlineStr">
        <is>
          <t>INV/2026/03386</t>
        </is>
      </c>
      <c r="B357" t="inlineStr">
        <is>
          <t>Invoice</t>
        </is>
      </c>
      <c r="C357" t="inlineStr">
        <is>
          <t>Northline Injury Claims</t>
        </is>
      </c>
      <c r="D357" s="5" t="n">
        <v>46294</v>
      </c>
      <c r="E357" s="5" t="n">
        <v>46308</v>
      </c>
      <c r="F357" t="inlineStr">
        <is>
          <t>AUD</t>
        </is>
      </c>
      <c r="G357" s="9" t="n">
        <v>264</v>
      </c>
      <c r="H357" s="9" t="n">
        <v>0</v>
      </c>
      <c r="I357" s="9" t="n">
        <v>264</v>
      </c>
      <c r="J357" s="9">
        <f>ROUND(1*SUMIFS('Allocations'!$C$5:$C$222,'Allocations'!$B$5:$B$222,A357),2)</f>
        <v>0</v>
      </c>
      <c r="K357" s="9">
        <f>ROUND(I357-J357,2)</f>
        <v>264</v>
      </c>
      <c r="L357">
        <f>MAX(0,DATE(2026,9,30)-E357)</f>
        <v>0</v>
      </c>
      <c r="M357">
        <f>IF(K357&lt;-0.005,"Credit balance: check for double payment",IF(AND(K357&gt;0.005,L357&gt;60),"Over 60 days overdue",""))</f>
      </c>
    </row>
    <row r="358">
      <c r="A358" t="inlineStr">
        <is>
          <t>INV/2026/03387</t>
        </is>
      </c>
      <c r="B358" t="inlineStr">
        <is>
          <t>Invoice</t>
        </is>
      </c>
      <c r="C358" t="inlineStr">
        <is>
          <t>Bluegum Plan Management</t>
        </is>
      </c>
      <c r="D358" s="5" t="n">
        <v>46295</v>
      </c>
      <c r="E358" s="5" t="n">
        <v>46309</v>
      </c>
      <c r="F358" t="inlineStr">
        <is>
          <t>AUD</t>
        </is>
      </c>
      <c r="G358" s="9" t="n">
        <v>446.18</v>
      </c>
      <c r="H358" s="9" t="n">
        <v>0</v>
      </c>
      <c r="I358" s="9" t="n">
        <v>446.18</v>
      </c>
      <c r="J358" s="9">
        <f>ROUND(1*SUMIFS('Allocations'!$C$5:$C$222,'Allocations'!$B$5:$B$222,A358),2)</f>
        <v>0</v>
      </c>
      <c r="K358" s="9">
        <f>ROUND(I358-J358,2)</f>
        <v>446.18</v>
      </c>
      <c r="L358">
        <f>MAX(0,DATE(2026,9,30)-E358)</f>
        <v>0</v>
      </c>
      <c r="M358">
        <f>IF(K358&lt;-0.005,"Credit balance: check for double payment",IF(AND(K358&gt;0.005,L358&gt;60),"Over 60 days overdue",""))</f>
      </c>
    </row>
    <row r="359">
      <c r="A359" t="inlineStr">
        <is>
          <t>INV/2026/03388</t>
        </is>
      </c>
      <c r="B359" t="inlineStr">
        <is>
          <t>Invoice</t>
        </is>
      </c>
      <c r="C359" t="inlineStr">
        <is>
          <t>Bluegum Plan Management</t>
        </is>
      </c>
      <c r="D359" s="5" t="n">
        <v>46295</v>
      </c>
      <c r="E359" s="5" t="n">
        <v>46309</v>
      </c>
      <c r="F359" t="inlineStr">
        <is>
          <t>AUD</t>
        </is>
      </c>
      <c r="G359" s="9" t="n">
        <v>193.99</v>
      </c>
      <c r="H359" s="9" t="n">
        <v>0</v>
      </c>
      <c r="I359" s="9" t="n">
        <v>193.99</v>
      </c>
      <c r="J359" s="9">
        <f>ROUND(1*SUMIFS('Allocations'!$C$5:$C$222,'Allocations'!$B$5:$B$222,A359),2)</f>
        <v>0</v>
      </c>
      <c r="K359" s="9">
        <f>ROUND(I359-J359,2)</f>
        <v>193.99</v>
      </c>
      <c r="L359">
        <f>MAX(0,DATE(2026,9,30)-E359)</f>
        <v>0</v>
      </c>
      <c r="M359">
        <f>IF(K359&lt;-0.005,"Credit balance: check for double payment",IF(AND(K359&gt;0.005,L359&gt;60),"Over 60 days overdue",""))</f>
      </c>
    </row>
    <row r="360">
      <c r="A360" t="inlineStr">
        <is>
          <t>INV/2026/03389</t>
        </is>
      </c>
      <c r="B360" t="inlineStr">
        <is>
          <t>Invoice</t>
        </is>
      </c>
      <c r="C360" t="inlineStr">
        <is>
          <t>Clearpath NDIS Plans</t>
        </is>
      </c>
      <c r="D360" s="5" t="n">
        <v>46295</v>
      </c>
      <c r="E360" s="5" t="n">
        <v>46309</v>
      </c>
      <c r="F360" t="inlineStr">
        <is>
          <t>AUD</t>
        </is>
      </c>
      <c r="G360" s="9" t="n">
        <v>387.98</v>
      </c>
      <c r="H360" s="9" t="n">
        <v>0</v>
      </c>
      <c r="I360" s="9" t="n">
        <v>387.98</v>
      </c>
      <c r="J360" s="9">
        <f>ROUND(1*SUMIFS('Allocations'!$C$5:$C$222,'Allocations'!$B$5:$B$222,A360),2)</f>
        <v>0</v>
      </c>
      <c r="K360" s="9">
        <f>ROUND(I360-J360,2)</f>
        <v>387.98</v>
      </c>
      <c r="L360">
        <f>MAX(0,DATE(2026,9,30)-E360)</f>
        <v>0</v>
      </c>
      <c r="M360">
        <f>IF(K360&lt;-0.005,"Credit balance: check for double payment",IF(AND(K360&gt;0.005,L360&gt;60),"Over 60 days overdue",""))</f>
      </c>
    </row>
    <row r="361">
      <c r="A361" t="inlineStr">
        <is>
          <t>INV/2026/03390</t>
        </is>
      </c>
      <c r="B361" t="inlineStr">
        <is>
          <t>Invoice</t>
        </is>
      </c>
      <c r="C361" t="inlineStr">
        <is>
          <t>Clearpath NDIS Plans</t>
        </is>
      </c>
      <c r="D361" s="5" t="n">
        <v>46295</v>
      </c>
      <c r="E361" s="5" t="n">
        <v>46309</v>
      </c>
      <c r="F361" t="inlineStr">
        <is>
          <t>AUD</t>
        </is>
      </c>
      <c r="G361" s="9" t="n">
        <v>290.98</v>
      </c>
      <c r="H361" s="9" t="n">
        <v>0</v>
      </c>
      <c r="I361" s="9" t="n">
        <v>290.98</v>
      </c>
      <c r="J361" s="9">
        <f>ROUND(1*SUMIFS('Allocations'!$C$5:$C$222,'Allocations'!$B$5:$B$222,A361),2)</f>
        <v>0</v>
      </c>
      <c r="K361" s="9">
        <f>ROUND(I361-J361,2)</f>
        <v>290.98</v>
      </c>
      <c r="L361">
        <f>MAX(0,DATE(2026,9,30)-E361)</f>
        <v>0</v>
      </c>
      <c r="M361">
        <f>IF(K361&lt;-0.005,"Credit balance: check for double payment",IF(AND(K361&gt;0.005,L361&gt;60),"Over 60 days overdue",""))</f>
      </c>
    </row>
    <row r="362">
      <c r="A362" t="inlineStr">
        <is>
          <t>INV/2026/03391</t>
        </is>
      </c>
      <c r="B362" t="inlineStr">
        <is>
          <t>Invoice</t>
        </is>
      </c>
      <c r="C362" t="inlineStr">
        <is>
          <t>Clearpath NDIS Plans</t>
        </is>
      </c>
      <c r="D362" s="5" t="n">
        <v>46295</v>
      </c>
      <c r="E362" s="5" t="n">
        <v>46309</v>
      </c>
      <c r="F362" t="inlineStr">
        <is>
          <t>AUD</t>
        </is>
      </c>
      <c r="G362" s="9" t="n">
        <v>126.99</v>
      </c>
      <c r="H362" s="9" t="n">
        <v>0</v>
      </c>
      <c r="I362" s="9" t="n">
        <v>126.99</v>
      </c>
      <c r="J362" s="9">
        <f>ROUND(1*SUMIFS('Allocations'!$C$5:$C$222,'Allocations'!$B$5:$B$222,A362),2)</f>
        <v>0</v>
      </c>
      <c r="K362" s="9">
        <f>ROUND(I362-J362,2)</f>
        <v>126.99</v>
      </c>
      <c r="L362">
        <f>MAX(0,DATE(2026,9,30)-E362)</f>
        <v>0</v>
      </c>
      <c r="M362">
        <f>IF(K362&lt;-0.005,"Credit balance: check for double payment",IF(AND(K362&gt;0.005,L362&gt;60),"Over 60 days overdue",""))</f>
      </c>
    </row>
    <row r="363">
      <c r="A363" t="inlineStr">
        <is>
          <t>INV/2026/03392</t>
        </is>
      </c>
      <c r="B363" t="inlineStr">
        <is>
          <t>Invoice</t>
        </is>
      </c>
      <c r="C363" t="inlineStr">
        <is>
          <t>Banksia Plan Co</t>
        </is>
      </c>
      <c r="D363" s="5" t="n">
        <v>46295</v>
      </c>
      <c r="E363" s="5" t="n">
        <v>46309</v>
      </c>
      <c r="F363" t="inlineStr">
        <is>
          <t>AUD</t>
        </is>
      </c>
      <c r="G363" s="9" t="n">
        <v>96.98999999999999</v>
      </c>
      <c r="H363" s="9" t="n">
        <v>0</v>
      </c>
      <c r="I363" s="9" t="n">
        <v>96.98999999999999</v>
      </c>
      <c r="J363" s="9">
        <f>ROUND(1*SUMIFS('Allocations'!$C$5:$C$222,'Allocations'!$B$5:$B$222,A363),2)</f>
        <v>0</v>
      </c>
      <c r="K363" s="9">
        <f>ROUND(I363-J363,2)</f>
        <v>96.99</v>
      </c>
      <c r="L363">
        <f>MAX(0,DATE(2026,9,30)-E363)</f>
        <v>0</v>
      </c>
      <c r="M363">
        <f>IF(K363&lt;-0.005,"Credit balance: check for double payment",IF(AND(K363&gt;0.005,L363&gt;60),"Over 60 days overdue",""))</f>
      </c>
    </row>
    <row r="364">
      <c r="A364" t="inlineStr">
        <is>
          <t>INV/2026/03393</t>
        </is>
      </c>
      <c r="B364" t="inlineStr">
        <is>
          <t>Invoice</t>
        </is>
      </c>
      <c r="C364" t="inlineStr">
        <is>
          <t>Banksia Plan Co</t>
        </is>
      </c>
      <c r="D364" s="5" t="n">
        <v>46295</v>
      </c>
      <c r="E364" s="5" t="n">
        <v>46309</v>
      </c>
      <c r="F364" t="inlineStr">
        <is>
          <t>AUD</t>
        </is>
      </c>
      <c r="G364" s="9" t="n">
        <v>155.19</v>
      </c>
      <c r="H364" s="9" t="n">
        <v>0</v>
      </c>
      <c r="I364" s="9" t="n">
        <v>155.19</v>
      </c>
      <c r="J364" s="9">
        <f>ROUND(1*SUMIFS('Allocations'!$C$5:$C$222,'Allocations'!$B$5:$B$222,A364),2)</f>
        <v>0</v>
      </c>
      <c r="K364" s="9">
        <f>ROUND(I364-J364,2)</f>
        <v>155.19</v>
      </c>
      <c r="L364">
        <f>MAX(0,DATE(2026,9,30)-E364)</f>
        <v>0</v>
      </c>
      <c r="M364">
        <f>IF(K364&lt;-0.005,"Credit balance: check for double payment",IF(AND(K364&gt;0.005,L364&gt;60),"Over 60 days overdue",""))</f>
      </c>
    </row>
    <row r="365">
      <c r="A365" t="inlineStr">
        <is>
          <t>INV/2026/03394</t>
        </is>
      </c>
      <c r="B365" t="inlineStr">
        <is>
          <t>Invoice</t>
        </is>
      </c>
      <c r="C365" t="inlineStr">
        <is>
          <t>Ironbark Plan Management</t>
        </is>
      </c>
      <c r="D365" s="5" t="n">
        <v>46295</v>
      </c>
      <c r="E365" s="5" t="n">
        <v>46309</v>
      </c>
      <c r="F365" t="inlineStr">
        <is>
          <t>AUD</t>
        </is>
      </c>
      <c r="G365" s="9" t="n">
        <v>290.98</v>
      </c>
      <c r="H365" s="9" t="n">
        <v>0</v>
      </c>
      <c r="I365" s="9" t="n">
        <v>290.98</v>
      </c>
      <c r="J365" s="9">
        <f>ROUND(1*SUMIFS('Allocations'!$C$5:$C$222,'Allocations'!$B$5:$B$222,A365),2)</f>
        <v>0</v>
      </c>
      <c r="K365" s="9">
        <f>ROUND(I365-J365,2)</f>
        <v>290.98</v>
      </c>
      <c r="L365">
        <f>MAX(0,DATE(2026,9,30)-E365)</f>
        <v>0</v>
      </c>
      <c r="M365">
        <f>IF(K365&lt;-0.005,"Credit balance: check for double payment",IF(AND(K365&gt;0.005,L365&gt;60),"Over 60 days overdue",""))</f>
      </c>
    </row>
    <row r="366">
      <c r="A366" t="inlineStr">
        <is>
          <t>INV/2026/03395</t>
        </is>
      </c>
      <c r="B366" t="inlineStr">
        <is>
          <t>Invoice</t>
        </is>
      </c>
      <c r="C366" t="inlineStr">
        <is>
          <t>Kookaburra Plan Support</t>
        </is>
      </c>
      <c r="D366" s="5" t="n">
        <v>46295</v>
      </c>
      <c r="E366" s="5" t="n">
        <v>46309</v>
      </c>
      <c r="F366" t="inlineStr">
        <is>
          <t>AUD</t>
        </is>
      </c>
      <c r="G366" s="9" t="n">
        <v>446.18</v>
      </c>
      <c r="H366" s="9" t="n">
        <v>0</v>
      </c>
      <c r="I366" s="9" t="n">
        <v>446.18</v>
      </c>
      <c r="J366" s="9">
        <f>ROUND(1*SUMIFS('Allocations'!$C$5:$C$222,'Allocations'!$B$5:$B$222,A366),2)</f>
        <v>0</v>
      </c>
      <c r="K366" s="9">
        <f>ROUND(I366-J366,2)</f>
        <v>446.18</v>
      </c>
      <c r="L366">
        <f>MAX(0,DATE(2026,9,30)-E366)</f>
        <v>0</v>
      </c>
      <c r="M366">
        <f>IF(K366&lt;-0.005,"Credit balance: check for double payment",IF(AND(K366&gt;0.005,L366&gt;60),"Over 60 days overdue",""))</f>
      </c>
    </row>
    <row r="367">
      <c r="A367" t="inlineStr">
        <is>
          <t>INV/2026/03396</t>
        </is>
      </c>
      <c r="B367" t="inlineStr">
        <is>
          <t>Invoice</t>
        </is>
      </c>
      <c r="C367" t="inlineStr">
        <is>
          <t>Kookaburra Plan Support</t>
        </is>
      </c>
      <c r="D367" s="5" t="n">
        <v>46295</v>
      </c>
      <c r="E367" s="5" t="n">
        <v>46309</v>
      </c>
      <c r="F367" t="inlineStr">
        <is>
          <t>AUD</t>
        </is>
      </c>
      <c r="G367" s="9" t="n">
        <v>446.18</v>
      </c>
      <c r="H367" s="9" t="n">
        <v>0</v>
      </c>
      <c r="I367" s="9" t="n">
        <v>446.18</v>
      </c>
      <c r="J367" s="9">
        <f>ROUND(1*SUMIFS('Allocations'!$C$5:$C$222,'Allocations'!$B$5:$B$222,A367),2)</f>
        <v>0</v>
      </c>
      <c r="K367" s="9">
        <f>ROUND(I367-J367,2)</f>
        <v>446.18</v>
      </c>
      <c r="L367">
        <f>MAX(0,DATE(2026,9,30)-E367)</f>
        <v>0</v>
      </c>
      <c r="M367">
        <f>IF(K367&lt;-0.005,"Credit balance: check for double payment",IF(AND(K367&gt;0.005,L367&gt;60),"Over 60 days overdue",""))</f>
      </c>
    </row>
    <row r="368">
      <c r="A368" t="inlineStr">
        <is>
          <t>INV/2026/03397</t>
        </is>
      </c>
      <c r="B368" t="inlineStr">
        <is>
          <t>Invoice</t>
        </is>
      </c>
      <c r="C368" t="inlineStr">
        <is>
          <t>Kookaburra Plan Support</t>
        </is>
      </c>
      <c r="D368" s="5" t="n">
        <v>46295</v>
      </c>
      <c r="E368" s="5" t="n">
        <v>46309</v>
      </c>
      <c r="F368" t="inlineStr">
        <is>
          <t>AUD</t>
        </is>
      </c>
      <c r="G368" s="9" t="n">
        <v>252.19</v>
      </c>
      <c r="H368" s="9" t="n">
        <v>0</v>
      </c>
      <c r="I368" s="9" t="n">
        <v>252.19</v>
      </c>
      <c r="J368" s="9">
        <f>ROUND(1*SUMIFS('Allocations'!$C$5:$C$222,'Allocations'!$B$5:$B$222,A368),2)</f>
        <v>0</v>
      </c>
      <c r="K368" s="9">
        <f>ROUND(I368-J368,2)</f>
        <v>252.19</v>
      </c>
      <c r="L368">
        <f>MAX(0,DATE(2026,9,30)-E368)</f>
        <v>0</v>
      </c>
      <c r="M368">
        <f>IF(K368&lt;-0.005,"Credit balance: check for double payment",IF(AND(K368&gt;0.005,L368&gt;60),"Over 60 days overdue",""))</f>
      </c>
    </row>
    <row r="369">
      <c r="A369" t="inlineStr">
        <is>
          <t>INV/2026/03398</t>
        </is>
      </c>
      <c r="B369" t="inlineStr">
        <is>
          <t>Invoice</t>
        </is>
      </c>
      <c r="C369" t="inlineStr">
        <is>
          <t>Saltbush Plan Managers</t>
        </is>
      </c>
      <c r="D369" s="5" t="n">
        <v>46295</v>
      </c>
      <c r="E369" s="5" t="n">
        <v>46309</v>
      </c>
      <c r="F369" t="inlineStr">
        <is>
          <t>AUD</t>
        </is>
      </c>
      <c r="G369" s="9" t="n">
        <v>96.98999999999999</v>
      </c>
      <c r="H369" s="9" t="n">
        <v>0</v>
      </c>
      <c r="I369" s="9" t="n">
        <v>96.98999999999999</v>
      </c>
      <c r="J369" s="9">
        <f>ROUND(1*SUMIFS('Allocations'!$C$5:$C$222,'Allocations'!$B$5:$B$222,A369),2)</f>
        <v>0</v>
      </c>
      <c r="K369" s="9">
        <f>ROUND(I369-J369,2)</f>
        <v>96.99</v>
      </c>
      <c r="L369">
        <f>MAX(0,DATE(2026,9,30)-E369)</f>
        <v>0</v>
      </c>
      <c r="M369">
        <f>IF(K369&lt;-0.005,"Credit balance: check for double payment",IF(AND(K369&gt;0.005,L369&gt;60),"Over 60 days overdue",""))</f>
      </c>
    </row>
    <row r="370">
      <c r="A370" t="inlineStr">
        <is>
          <t>INV/2026/03399</t>
        </is>
      </c>
      <c r="B370" t="inlineStr">
        <is>
          <t>Invoice</t>
        </is>
      </c>
      <c r="C370" t="inlineStr">
        <is>
          <t>Saltbush Plan Managers</t>
        </is>
      </c>
      <c r="D370" s="5" t="n">
        <v>46295</v>
      </c>
      <c r="E370" s="5" t="n">
        <v>46309</v>
      </c>
      <c r="F370" t="inlineStr">
        <is>
          <t>AUD</t>
        </is>
      </c>
      <c r="G370" s="9" t="n">
        <v>145.49</v>
      </c>
      <c r="H370" s="9" t="n">
        <v>0</v>
      </c>
      <c r="I370" s="9" t="n">
        <v>145.49</v>
      </c>
      <c r="J370" s="9">
        <f>ROUND(1*SUMIFS('Allocations'!$C$5:$C$222,'Allocations'!$B$5:$B$222,A370),2)</f>
        <v>0</v>
      </c>
      <c r="K370" s="9">
        <f>ROUND(I370-J370,2)</f>
        <v>145.49</v>
      </c>
      <c r="L370">
        <f>MAX(0,DATE(2026,9,30)-E370)</f>
        <v>0</v>
      </c>
      <c r="M370">
        <f>IF(K370&lt;-0.005,"Credit balance: check for double payment",IF(AND(K370&gt;0.005,L370&gt;60),"Over 60 days overdue",""))</f>
      </c>
    </row>
    <row r="371">
      <c r="A371" t="inlineStr">
        <is>
          <t>INV/2026/03400</t>
        </is>
      </c>
      <c r="B371" t="inlineStr">
        <is>
          <t>Invoice</t>
        </is>
      </c>
      <c r="C371" t="inlineStr">
        <is>
          <t>Saltbush Plan Managers</t>
        </is>
      </c>
      <c r="D371" s="5" t="n">
        <v>46295</v>
      </c>
      <c r="E371" s="5" t="n">
        <v>46309</v>
      </c>
      <c r="F371" t="inlineStr">
        <is>
          <t>AUD</t>
        </is>
      </c>
      <c r="G371" s="9" t="n">
        <v>96.98999999999999</v>
      </c>
      <c r="H371" s="9" t="n">
        <v>0</v>
      </c>
      <c r="I371" s="9" t="n">
        <v>96.98999999999999</v>
      </c>
      <c r="J371" s="9">
        <f>ROUND(1*SUMIFS('Allocations'!$C$5:$C$222,'Allocations'!$B$5:$B$222,A371),2)</f>
        <v>0</v>
      </c>
      <c r="K371" s="9">
        <f>ROUND(I371-J371,2)</f>
        <v>96.99</v>
      </c>
      <c r="L371">
        <f>MAX(0,DATE(2026,9,30)-E371)</f>
        <v>0</v>
      </c>
      <c r="M371">
        <f>IF(K371&lt;-0.005,"Credit balance: check for double payment",IF(AND(K371&gt;0.005,L371&gt;60),"Over 60 days overdue",""))</f>
      </c>
    </row>
    <row r="372">
      <c r="A372" t="inlineStr">
        <is>
          <t>INV/2026/03401</t>
        </is>
      </c>
      <c r="B372" t="inlineStr">
        <is>
          <t>Invoice</t>
        </is>
      </c>
      <c r="C372" t="inlineStr">
        <is>
          <t>Redgum Plan Admin</t>
        </is>
      </c>
      <c r="D372" s="5" t="n">
        <v>46295</v>
      </c>
      <c r="E372" s="5" t="n">
        <v>46309</v>
      </c>
      <c r="F372" t="inlineStr">
        <is>
          <t>AUD</t>
        </is>
      </c>
      <c r="G372" s="9" t="n">
        <v>203.69</v>
      </c>
      <c r="H372" s="9" t="n">
        <v>0</v>
      </c>
      <c r="I372" s="9" t="n">
        <v>203.69</v>
      </c>
      <c r="J372" s="9">
        <f>ROUND(1*SUMIFS('Allocations'!$C$5:$C$222,'Allocations'!$B$5:$B$222,A372),2)</f>
        <v>0</v>
      </c>
      <c r="K372" s="9">
        <f>ROUND(I372-J372,2)</f>
        <v>203.69</v>
      </c>
      <c r="L372">
        <f>MAX(0,DATE(2026,9,30)-E372)</f>
        <v>0</v>
      </c>
      <c r="M372">
        <f>IF(K372&lt;-0.005,"Credit balance: check for double payment",IF(AND(K372&gt;0.005,L372&gt;60),"Over 60 days overdue",""))</f>
      </c>
    </row>
    <row r="373">
      <c r="A373" t="inlineStr">
        <is>
          <t>INV/2026/03402</t>
        </is>
      </c>
      <c r="B373" t="inlineStr">
        <is>
          <t>Invoice</t>
        </is>
      </c>
      <c r="C373" t="inlineStr">
        <is>
          <t>Redgum Plan Admin</t>
        </is>
      </c>
      <c r="D373" s="5" t="n">
        <v>46295</v>
      </c>
      <c r="E373" s="5" t="n">
        <v>46309</v>
      </c>
      <c r="F373" t="inlineStr">
        <is>
          <t>AUD</t>
        </is>
      </c>
      <c r="G373" s="9" t="n">
        <v>387.98</v>
      </c>
      <c r="H373" s="9" t="n">
        <v>0</v>
      </c>
      <c r="I373" s="9" t="n">
        <v>387.98</v>
      </c>
      <c r="J373" s="9">
        <f>ROUND(1*SUMIFS('Allocations'!$C$5:$C$222,'Allocations'!$B$5:$B$222,A373),2)</f>
        <v>0</v>
      </c>
      <c r="K373" s="9">
        <f>ROUND(I373-J373,2)</f>
        <v>387.98</v>
      </c>
      <c r="L373">
        <f>MAX(0,DATE(2026,9,30)-E373)</f>
        <v>0</v>
      </c>
      <c r="M373">
        <f>IF(K373&lt;-0.005,"Credit balance: check for double payment",IF(AND(K373&gt;0.005,L373&gt;60),"Over 60 days overdue",""))</f>
      </c>
    </row>
    <row r="374">
      <c r="A374" t="inlineStr">
        <is>
          <t>INV/2026/03403</t>
        </is>
      </c>
      <c r="B374" t="inlineStr">
        <is>
          <t>Invoice</t>
        </is>
      </c>
      <c r="C374" t="inlineStr">
        <is>
          <t>Southern Cross Plan Mgmt</t>
        </is>
      </c>
      <c r="D374" s="5" t="n">
        <v>46295</v>
      </c>
      <c r="E374" s="5" t="n">
        <v>46309</v>
      </c>
      <c r="F374" t="inlineStr">
        <is>
          <t>AUD</t>
        </is>
      </c>
      <c r="G374" s="9" t="n">
        <v>290.98</v>
      </c>
      <c r="H374" s="9" t="n">
        <v>0</v>
      </c>
      <c r="I374" s="9" t="n">
        <v>290.98</v>
      </c>
      <c r="J374" s="9">
        <f>ROUND(1*SUMIFS('Allocations'!$C$5:$C$222,'Allocations'!$B$5:$B$222,A374),2)</f>
        <v>0</v>
      </c>
      <c r="K374" s="9">
        <f>ROUND(I374-J374,2)</f>
        <v>290.98</v>
      </c>
      <c r="L374">
        <f>MAX(0,DATE(2026,9,30)-E374)</f>
        <v>0</v>
      </c>
      <c r="M374">
        <f>IF(K374&lt;-0.005,"Credit balance: check for double payment",IF(AND(K374&gt;0.005,L374&gt;60),"Over 60 days overdue",""))</f>
      </c>
    </row>
    <row r="375">
      <c r="A375" t="inlineStr">
        <is>
          <t>INV/2026/03404</t>
        </is>
      </c>
      <c r="B375" t="inlineStr">
        <is>
          <t>Invoice</t>
        </is>
      </c>
      <c r="C375" t="inlineStr">
        <is>
          <t>Southern Cross Plan Mgmt</t>
        </is>
      </c>
      <c r="D375" s="5" t="n">
        <v>46295</v>
      </c>
      <c r="E375" s="5" t="n">
        <v>46309</v>
      </c>
      <c r="F375" t="inlineStr">
        <is>
          <t>AUD</t>
        </is>
      </c>
      <c r="G375" s="9" t="n">
        <v>96.98999999999999</v>
      </c>
      <c r="H375" s="9" t="n">
        <v>0</v>
      </c>
      <c r="I375" s="9" t="n">
        <v>96.98999999999999</v>
      </c>
      <c r="J375" s="9">
        <f>ROUND(1*SUMIFS('Allocations'!$C$5:$C$222,'Allocations'!$B$5:$B$222,A375),2)</f>
        <v>0</v>
      </c>
      <c r="K375" s="9">
        <f>ROUND(I375-J375,2)</f>
        <v>96.99</v>
      </c>
      <c r="L375">
        <f>MAX(0,DATE(2026,9,30)-E375)</f>
        <v>0</v>
      </c>
      <c r="M375">
        <f>IF(K375&lt;-0.005,"Credit balance: check for double payment",IF(AND(K375&gt;0.005,L375&gt;60),"Over 60 days overdue",""))</f>
      </c>
    </row>
    <row r="376">
      <c r="A376" t="inlineStr">
        <is>
          <t>INV/2026/03405</t>
        </is>
      </c>
      <c r="B376" t="inlineStr">
        <is>
          <t>Invoice</t>
        </is>
      </c>
      <c r="C376" t="inlineStr">
        <is>
          <t>Lyrebird Plan Management</t>
        </is>
      </c>
      <c r="D376" s="5" t="n">
        <v>46295</v>
      </c>
      <c r="E376" s="5" t="n">
        <v>46309</v>
      </c>
      <c r="F376" t="inlineStr">
        <is>
          <t>AUD</t>
        </is>
      </c>
      <c r="G376" s="9" t="n">
        <v>175.49</v>
      </c>
      <c r="H376" s="9" t="n">
        <v>0</v>
      </c>
      <c r="I376" s="9" t="n">
        <v>175.49</v>
      </c>
      <c r="J376" s="9">
        <f>ROUND(1*SUMIFS('Allocations'!$C$5:$C$222,'Allocations'!$B$5:$B$222,A376),2)</f>
        <v>0</v>
      </c>
      <c r="K376" s="9">
        <f>ROUND(I376-J376,2)</f>
        <v>175.49</v>
      </c>
      <c r="L376">
        <f>MAX(0,DATE(2026,9,30)-E376)</f>
        <v>0</v>
      </c>
      <c r="M376">
        <f>IF(K376&lt;-0.005,"Credit balance: check for double payment",IF(AND(K376&gt;0.005,L376&gt;60),"Over 60 days overdue",""))</f>
      </c>
    </row>
    <row r="377">
      <c r="A377" t="inlineStr">
        <is>
          <t>INV/2026/03406</t>
        </is>
      </c>
      <c r="B377" t="inlineStr">
        <is>
          <t>Invoice</t>
        </is>
      </c>
      <c r="C377" t="inlineStr">
        <is>
          <t>Tallowwood Plans</t>
        </is>
      </c>
      <c r="D377" s="5" t="n">
        <v>46295</v>
      </c>
      <c r="E377" s="5" t="n">
        <v>46309</v>
      </c>
      <c r="F377" t="inlineStr">
        <is>
          <t>AUD</t>
        </is>
      </c>
      <c r="G377" s="9" t="n">
        <v>290.98</v>
      </c>
      <c r="H377" s="9" t="n">
        <v>0</v>
      </c>
      <c r="I377" s="9" t="n">
        <v>290.98</v>
      </c>
      <c r="J377" s="9">
        <f>ROUND(1*SUMIFS('Allocations'!$C$5:$C$222,'Allocations'!$B$5:$B$222,A377),2)</f>
        <v>0</v>
      </c>
      <c r="K377" s="9">
        <f>ROUND(I377-J377,2)</f>
        <v>290.98</v>
      </c>
      <c r="L377">
        <f>MAX(0,DATE(2026,9,30)-E377)</f>
        <v>0</v>
      </c>
      <c r="M377">
        <f>IF(K377&lt;-0.005,"Credit balance: check for double payment",IF(AND(K377&gt;0.005,L377&gt;60),"Over 60 days overdue",""))</f>
      </c>
    </row>
    <row r="378">
      <c r="A378" t="inlineStr">
        <is>
          <t>INV/2026/03407</t>
        </is>
      </c>
      <c r="B378" t="inlineStr">
        <is>
          <t>Invoice</t>
        </is>
      </c>
      <c r="C378" t="inlineStr">
        <is>
          <t>Acacia Plan Partners</t>
        </is>
      </c>
      <c r="D378" s="5" t="n">
        <v>46295</v>
      </c>
      <c r="E378" s="5" t="n">
        <v>46309</v>
      </c>
      <c r="F378" t="inlineStr">
        <is>
          <t>AUD</t>
        </is>
      </c>
      <c r="G378" s="9" t="n">
        <v>417.98</v>
      </c>
      <c r="H378" s="9" t="n">
        <v>0</v>
      </c>
      <c r="I378" s="9" t="n">
        <v>417.98</v>
      </c>
      <c r="J378" s="9">
        <f>ROUND(1*SUMIFS('Allocations'!$C$5:$C$222,'Allocations'!$B$5:$B$222,A378),2)</f>
        <v>0</v>
      </c>
      <c r="K378" s="9">
        <f>ROUND(I378-J378,2)</f>
        <v>417.98</v>
      </c>
      <c r="L378">
        <f>MAX(0,DATE(2026,9,30)-E378)</f>
        <v>0</v>
      </c>
      <c r="M378">
        <f>IF(K378&lt;-0.005,"Credit balance: check for double payment",IF(AND(K378&gt;0.005,L378&gt;60),"Over 60 days overdue",""))</f>
      </c>
    </row>
    <row r="379">
      <c r="A379" t="inlineStr">
        <is>
          <t>INV/2026/03408</t>
        </is>
      </c>
      <c r="B379" t="inlineStr">
        <is>
          <t>Invoice</t>
        </is>
      </c>
      <c r="C379" t="inlineStr">
        <is>
          <t>Mallee Plan Services</t>
        </is>
      </c>
      <c r="D379" s="5" t="n">
        <v>46295</v>
      </c>
      <c r="E379" s="5" t="n">
        <v>46309</v>
      </c>
      <c r="F379" t="inlineStr">
        <is>
          <t>AUD</t>
        </is>
      </c>
      <c r="G379" s="9" t="n">
        <v>242.49</v>
      </c>
      <c r="H379" s="9" t="n">
        <v>0</v>
      </c>
      <c r="I379" s="9" t="n">
        <v>242.49</v>
      </c>
      <c r="J379" s="9">
        <f>ROUND(1*SUMIFS('Allocations'!$C$5:$C$222,'Allocations'!$B$5:$B$222,A379),2)</f>
        <v>0</v>
      </c>
      <c r="K379" s="9">
        <f>ROUND(I379-J379,2)</f>
        <v>242.49</v>
      </c>
      <c r="L379">
        <f>MAX(0,DATE(2026,9,30)-E379)</f>
        <v>0</v>
      </c>
      <c r="M379">
        <f>IF(K379&lt;-0.005,"Credit balance: check for double payment",IF(AND(K379&gt;0.005,L379&gt;60),"Over 60 days overdue",""))</f>
      </c>
    </row>
    <row r="380">
      <c r="A380" t="inlineStr">
        <is>
          <t>INV/2026/03409</t>
        </is>
      </c>
      <c r="B380" t="inlineStr">
        <is>
          <t>Invoice</t>
        </is>
      </c>
      <c r="C380" t="inlineStr">
        <is>
          <t>Coastline Health Fund</t>
        </is>
      </c>
      <c r="D380" s="5" t="n">
        <v>46295</v>
      </c>
      <c r="E380" s="5" t="n">
        <v>46309</v>
      </c>
      <c r="F380" t="inlineStr">
        <is>
          <t>AUD</t>
        </is>
      </c>
      <c r="G380" s="9" t="n">
        <v>412.5</v>
      </c>
      <c r="H380" s="9" t="n">
        <v>0</v>
      </c>
      <c r="I380" s="9" t="n">
        <v>412.5</v>
      </c>
      <c r="J380" s="9">
        <f>ROUND(1*SUMIFS('Allocations'!$C$5:$C$222,'Allocations'!$B$5:$B$222,A380),2)</f>
        <v>0</v>
      </c>
      <c r="K380" s="9">
        <f>ROUND(I380-J380,2)</f>
        <v>412.5</v>
      </c>
      <c r="L380">
        <f>MAX(0,DATE(2026,9,30)-E380)</f>
        <v>0</v>
      </c>
      <c r="M380">
        <f>IF(K380&lt;-0.005,"Credit balance: check for double payment",IF(AND(K380&gt;0.005,L380&gt;60),"Over 60 days overdue",""))</f>
      </c>
    </row>
    <row r="381">
      <c r="A381" t="inlineStr">
        <is>
          <t>INV/2026/03410</t>
        </is>
      </c>
      <c r="B381" t="inlineStr">
        <is>
          <t>Invoice</t>
        </is>
      </c>
      <c r="C381" t="inlineStr">
        <is>
          <t>Northline Injury Claims</t>
        </is>
      </c>
      <c r="D381" s="5" t="n">
        <v>46295</v>
      </c>
      <c r="E381" s="5" t="n">
        <v>46309</v>
      </c>
      <c r="F381" t="inlineStr">
        <is>
          <t>AUD</t>
        </is>
      </c>
      <c r="G381" s="9" t="n">
        <v>132</v>
      </c>
      <c r="H381" s="9" t="n">
        <v>0</v>
      </c>
      <c r="I381" s="9" t="n">
        <v>132</v>
      </c>
      <c r="J381" s="9">
        <f>ROUND(1*SUMIFS('Allocations'!$C$5:$C$222,'Allocations'!$B$5:$B$222,A381),2)</f>
        <v>0</v>
      </c>
      <c r="K381" s="9">
        <f>ROUND(I381-J381,2)</f>
        <v>132</v>
      </c>
      <c r="L381">
        <f>MAX(0,DATE(2026,9,30)-E381)</f>
        <v>0</v>
      </c>
      <c r="M381">
        <f>IF(K381&lt;-0.005,"Credit balance: check for double payment",IF(AND(K381&gt;0.005,L381&gt;60),"Over 60 days overdue",""))</f>
      </c>
    </row>
    <row r="382">
      <c r="A382" t="inlineStr">
        <is>
          <t>INV/2026/03415</t>
        </is>
      </c>
      <c r="B382" t="inlineStr">
        <is>
          <t>Invoice</t>
        </is>
      </c>
      <c r="C382" t="inlineStr">
        <is>
          <t>Orchard Street Legal</t>
        </is>
      </c>
      <c r="D382" s="5" t="n">
        <v>46174</v>
      </c>
      <c r="E382" s="5" t="n">
        <v>46204</v>
      </c>
      <c r="F382" t="inlineStr">
        <is>
          <t>AUD</t>
        </is>
      </c>
      <c r="G382" s="9" t="n">
        <v>5280</v>
      </c>
      <c r="H382" s="9" t="n">
        <v>480</v>
      </c>
      <c r="I382" s="9" t="n">
        <v>5280</v>
      </c>
      <c r="J382" s="9">
        <f>ROUND(1*SUMIFS('Allocations'!$C$5:$C$222,'Allocations'!$B$5:$B$222,A382),2)</f>
        <v>0</v>
      </c>
      <c r="K382" s="9">
        <f>ROUND(I382-J382,2)</f>
        <v>5280</v>
      </c>
      <c r="L382">
        <f>MAX(0,DATE(2026,9,30)-E382)</f>
        <v>91</v>
      </c>
      <c r="M382" t="str">
        <f>IF(K382&lt;-0.005,"Credit balance: check for double payment",IF(AND(K382&gt;0.005,L382&gt;60),"Over 60 days overdue",""))</f>
        <v>Over 60 days overdue</v>
      </c>
    </row>
    <row r="383">
      <c r="A383" t="inlineStr">
        <is>
          <t>INV/2026/03418</t>
        </is>
      </c>
      <c r="B383" t="inlineStr">
        <is>
          <t>Invoice</t>
        </is>
      </c>
      <c r="C383" t="inlineStr">
        <is>
          <t>Tamsin Ridge Wineries</t>
        </is>
      </c>
      <c r="D383" s="5" t="n">
        <v>46174</v>
      </c>
      <c r="E383" s="5" t="n">
        <v>46204</v>
      </c>
      <c r="F383" t="inlineStr">
        <is>
          <t>AUD</t>
        </is>
      </c>
      <c r="G383" s="9" t="n">
        <v>6820</v>
      </c>
      <c r="H383" s="9" t="n">
        <v>620</v>
      </c>
      <c r="I383" s="9" t="n">
        <v>6820</v>
      </c>
      <c r="J383" s="9">
        <f>ROUND(1*SUMIFS('Allocations'!$C$5:$C$222,'Allocations'!$B$5:$B$222,A383),2)</f>
        <v>0</v>
      </c>
      <c r="K383" s="9">
        <f>ROUND(I383-J383,2)</f>
        <v>6820</v>
      </c>
      <c r="L383">
        <f>MAX(0,DATE(2026,9,30)-E383)</f>
        <v>91</v>
      </c>
      <c r="M383" t="str">
        <f>IF(K383&lt;-0.005,"Credit balance: check for double payment",IF(AND(K383&gt;0.005,L383&gt;60),"Over 60 days overdue",""))</f>
        <v>Over 60 days overdue</v>
      </c>
    </row>
    <row r="384">
      <c r="A384" t="inlineStr">
        <is>
          <t>INV/2026/03420</t>
        </is>
      </c>
      <c r="B384" t="inlineStr">
        <is>
          <t>Invoice</t>
        </is>
      </c>
      <c r="C384" t="inlineStr">
        <is>
          <t>Ostrander Manufacturing</t>
        </is>
      </c>
      <c r="D384" s="5" t="n">
        <v>46174</v>
      </c>
      <c r="E384" s="5" t="n">
        <v>46204</v>
      </c>
      <c r="F384" t="inlineStr">
        <is>
          <t>AUD</t>
        </is>
      </c>
      <c r="G384" s="9" t="n">
        <v>6971.25</v>
      </c>
      <c r="H384" s="9" t="n">
        <v>633.75</v>
      </c>
      <c r="I384" s="9" t="n">
        <v>6971.25</v>
      </c>
      <c r="J384" s="9">
        <f>ROUND(1*SUMIFS('Allocations'!$C$5:$C$222,'Allocations'!$B$5:$B$222,A384),2)</f>
        <v>0</v>
      </c>
      <c r="K384" s="9">
        <f>ROUND(I384-J384,2)</f>
        <v>6971.25</v>
      </c>
      <c r="L384">
        <f>MAX(0,DATE(2026,9,30)-E384)</f>
        <v>91</v>
      </c>
      <c r="M384" t="str">
        <f>IF(K384&lt;-0.005,"Credit balance: check for double payment",IF(AND(K384&gt;0.005,L384&gt;60),"Over 60 days overdue",""))</f>
        <v>Over 60 days overdue</v>
      </c>
    </row>
    <row r="385">
      <c r="A385" t="inlineStr">
        <is>
          <t>INV/2026/03431</t>
        </is>
      </c>
      <c r="B385" t="inlineStr">
        <is>
          <t>Invoice</t>
        </is>
      </c>
      <c r="C385" t="inlineStr">
        <is>
          <t>Westmere Council Services</t>
        </is>
      </c>
      <c r="D385" s="5" t="n">
        <v>46175</v>
      </c>
      <c r="E385" s="5" t="n">
        <v>46205</v>
      </c>
      <c r="F385" t="inlineStr">
        <is>
          <t>AUD</t>
        </is>
      </c>
      <c r="G385" s="9" t="n">
        <v>10807.5</v>
      </c>
      <c r="H385" s="9" t="n">
        <v>982.5</v>
      </c>
      <c r="I385" s="9" t="n">
        <v>10807.5</v>
      </c>
      <c r="J385" s="9">
        <f>ROUND(1*SUMIFS('Allocations'!$C$5:$C$222,'Allocations'!$B$5:$B$222,A385),2)</f>
        <v>10807.5</v>
      </c>
      <c r="K385" s="9">
        <f>ROUND(I385-J385,2)</f>
        <v>0</v>
      </c>
      <c r="L385">
        <f>MAX(0,DATE(2026,9,30)-E385)</f>
        <v>90</v>
      </c>
      <c r="M385">
        <f>IF(K385&lt;-0.005,"Credit balance: check for double payment",IF(AND(K385&gt;0.005,L385&gt;60),"Over 60 days overdue",""))</f>
      </c>
    </row>
    <row r="386">
      <c r="A386" t="inlineStr">
        <is>
          <t>INV/2026/03442</t>
        </is>
      </c>
      <c r="B386" t="inlineStr">
        <is>
          <t>Invoice</t>
        </is>
      </c>
      <c r="C386" t="inlineStr">
        <is>
          <t>Elmhurst Property Group</t>
        </is>
      </c>
      <c r="D386" s="5" t="n">
        <v>46174</v>
      </c>
      <c r="E386" s="5" t="n">
        <v>46204</v>
      </c>
      <c r="F386" t="inlineStr">
        <is>
          <t>AUD</t>
        </is>
      </c>
      <c r="G386" s="9" t="n">
        <v>2791.25</v>
      </c>
      <c r="H386" s="9" t="n">
        <v>253.75</v>
      </c>
      <c r="I386" s="9" t="n">
        <v>2791.25</v>
      </c>
      <c r="J386" s="9">
        <f>ROUND(1*SUMIFS('Allocations'!$C$5:$C$222,'Allocations'!$B$5:$B$222,A386),2)</f>
        <v>2791.25</v>
      </c>
      <c r="K386" s="9">
        <f>ROUND(I386-J386,2)</f>
        <v>0</v>
      </c>
      <c r="L386">
        <f>MAX(0,DATE(2026,9,30)-E386)</f>
        <v>91</v>
      </c>
      <c r="M386">
        <f>IF(K386&lt;-0.005,"Credit balance: check for double payment",IF(AND(K386&gt;0.005,L386&gt;60),"Over 60 days overdue",""))</f>
      </c>
    </row>
    <row r="387">
      <c r="A387" t="inlineStr">
        <is>
          <t>INV/2026/03452</t>
        </is>
      </c>
      <c r="B387" t="inlineStr">
        <is>
          <t>Invoice</t>
        </is>
      </c>
      <c r="C387" t="inlineStr">
        <is>
          <t>Mornane Electrical</t>
        </is>
      </c>
      <c r="D387" s="5" t="n">
        <v>46176</v>
      </c>
      <c r="E387" s="5" t="n">
        <v>46206</v>
      </c>
      <c r="F387" t="inlineStr">
        <is>
          <t>AUD</t>
        </is>
      </c>
      <c r="G387" s="9" t="n">
        <v>1320</v>
      </c>
      <c r="H387" s="9" t="n">
        <v>120</v>
      </c>
      <c r="I387" s="9" t="n">
        <v>1320</v>
      </c>
      <c r="J387" s="9">
        <f>ROUND(1*SUMIFS('Allocations'!$C$5:$C$222,'Allocations'!$B$5:$B$222,A387),2)</f>
        <v>1320</v>
      </c>
      <c r="K387" s="9">
        <f>ROUND(I387-J387,2)</f>
        <v>0</v>
      </c>
      <c r="L387">
        <f>MAX(0,DATE(2026,9,30)-E387)</f>
        <v>89</v>
      </c>
      <c r="M387">
        <f>IF(K387&lt;-0.005,"Credit balance: check for double payment",IF(AND(K387&gt;0.005,L387&gt;60),"Over 60 days overdue",""))</f>
      </c>
    </row>
    <row r="388">
      <c r="A388" t="inlineStr">
        <is>
          <t>INV/2026/03469</t>
        </is>
      </c>
      <c r="B388" t="inlineStr">
        <is>
          <t>Invoice</t>
        </is>
      </c>
      <c r="C388" t="inlineStr">
        <is>
          <t>Orchard Street Legal</t>
        </is>
      </c>
      <c r="D388" s="5" t="n">
        <v>46218</v>
      </c>
      <c r="E388" s="5" t="n">
        <v>46248</v>
      </c>
      <c r="F388" t="inlineStr">
        <is>
          <t>AUD</t>
        </is>
      </c>
      <c r="G388" s="9" t="n">
        <v>2722.5</v>
      </c>
      <c r="H388" s="9" t="n">
        <v>247.5</v>
      </c>
      <c r="I388" s="9" t="n">
        <v>2722.5</v>
      </c>
      <c r="J388" s="9">
        <f>ROUND(1*SUMIFS('Allocations'!$C$5:$C$222,'Allocations'!$B$5:$B$222,A388),2)</f>
        <v>0</v>
      </c>
      <c r="K388" s="9">
        <f>ROUND(I388-J388,2)</f>
        <v>2722.5</v>
      </c>
      <c r="L388">
        <f>MAX(0,DATE(2026,9,30)-E388)</f>
        <v>47</v>
      </c>
      <c r="M388">
        <f>IF(K388&lt;-0.005,"Credit balance: check for double payment",IF(AND(K388&gt;0.005,L388&gt;60),"Over 60 days overdue",""))</f>
      </c>
    </row>
    <row r="389">
      <c r="A389" t="inlineStr">
        <is>
          <t>INV/2026/03474</t>
        </is>
      </c>
      <c r="B389" t="inlineStr">
        <is>
          <t>Invoice</t>
        </is>
      </c>
      <c r="C389" t="inlineStr">
        <is>
          <t>Greystanes Building Co</t>
        </is>
      </c>
      <c r="D389" s="5" t="n">
        <v>46218</v>
      </c>
      <c r="E389" s="5" t="n">
        <v>46248</v>
      </c>
      <c r="F389" t="inlineStr">
        <is>
          <t>AUD</t>
        </is>
      </c>
      <c r="G389" s="9" t="n">
        <v>6820</v>
      </c>
      <c r="H389" s="9" t="n">
        <v>620</v>
      </c>
      <c r="I389" s="9" t="n">
        <v>6820</v>
      </c>
      <c r="J389" s="9">
        <f>ROUND(1*SUMIFS('Allocations'!$C$5:$C$222,'Allocations'!$B$5:$B$222,A389),2)</f>
        <v>6820</v>
      </c>
      <c r="K389" s="9">
        <f>ROUND(I389-J389,2)</f>
        <v>0</v>
      </c>
      <c r="L389">
        <f>MAX(0,DATE(2026,9,30)-E389)</f>
        <v>47</v>
      </c>
      <c r="M389">
        <f>IF(K389&lt;-0.005,"Credit balance: check for double payment",IF(AND(K389&gt;0.005,L389&gt;60),"Over 60 days overdue",""))</f>
      </c>
    </row>
    <row r="390">
      <c r="A390" t="inlineStr">
        <is>
          <t>INV/2026/03483</t>
        </is>
      </c>
      <c r="B390" t="inlineStr">
        <is>
          <t>Invoice</t>
        </is>
      </c>
      <c r="C390" t="inlineStr">
        <is>
          <t>Westmere Council Services</t>
        </is>
      </c>
      <c r="D390" s="5" t="n">
        <v>46218</v>
      </c>
      <c r="E390" s="5" t="n">
        <v>46248</v>
      </c>
      <c r="F390" t="inlineStr">
        <is>
          <t>AUD</t>
        </is>
      </c>
      <c r="G390" s="9" t="n">
        <v>1471.25</v>
      </c>
      <c r="H390" s="9" t="n">
        <v>133.75</v>
      </c>
      <c r="I390" s="9" t="n">
        <v>1471.25</v>
      </c>
      <c r="J390" s="9">
        <f>ROUND(1*SUMIFS('Allocations'!$C$5:$C$222,'Allocations'!$B$5:$B$222,A390),2)</f>
        <v>1471.25</v>
      </c>
      <c r="K390" s="9">
        <f>ROUND(I390-J390,2)</f>
        <v>0</v>
      </c>
      <c r="L390">
        <f>MAX(0,DATE(2026,9,30)-E390)</f>
        <v>47</v>
      </c>
      <c r="M390">
        <f>IF(K390&lt;-0.005,"Credit balance: check for double payment",IF(AND(K390&gt;0.005,L390&gt;60),"Over 60 days overdue",""))</f>
      </c>
    </row>
    <row r="391">
      <c r="A391" t="inlineStr">
        <is>
          <t>INV/2026/03488</t>
        </is>
      </c>
      <c r="B391" t="inlineStr">
        <is>
          <t>Invoice</t>
        </is>
      </c>
      <c r="C391" t="inlineStr">
        <is>
          <t>Linfield Dairy Co</t>
        </is>
      </c>
      <c r="D391" s="5" t="n">
        <v>46204</v>
      </c>
      <c r="E391" s="5" t="n">
        <v>46234</v>
      </c>
      <c r="F391" t="inlineStr">
        <is>
          <t>AUD</t>
        </is>
      </c>
      <c r="G391" s="9" t="n">
        <v>2186.25</v>
      </c>
      <c r="H391" s="9" t="n">
        <v>198.75</v>
      </c>
      <c r="I391" s="9" t="n">
        <v>2186.25</v>
      </c>
      <c r="J391" s="9">
        <f>ROUND(1*SUMIFS('Allocations'!$C$5:$C$222,'Allocations'!$B$5:$B$222,A391),2)</f>
        <v>2186.25</v>
      </c>
      <c r="K391" s="9">
        <f>ROUND(I391-J391,2)</f>
        <v>0</v>
      </c>
      <c r="L391">
        <f>MAX(0,DATE(2026,9,30)-E391)</f>
        <v>61</v>
      </c>
      <c r="M391">
        <f>IF(K391&lt;-0.005,"Credit balance: check for double payment",IF(AND(K391&gt;0.005,L391&gt;60),"Over 60 days overdue",""))</f>
      </c>
    </row>
    <row r="392">
      <c r="A392" t="inlineStr">
        <is>
          <t>INV/2026/03490</t>
        </is>
      </c>
      <c r="B392" t="inlineStr">
        <is>
          <t>Invoice</t>
        </is>
      </c>
      <c r="C392" t="inlineStr">
        <is>
          <t>Peregrine Security</t>
        </is>
      </c>
      <c r="D392" s="5" t="n">
        <v>46204</v>
      </c>
      <c r="E392" s="5" t="n">
        <v>46234</v>
      </c>
      <c r="F392" t="inlineStr">
        <is>
          <t>AUD</t>
        </is>
      </c>
      <c r="G392" s="9" t="n">
        <v>10876.25</v>
      </c>
      <c r="H392" s="9" t="n">
        <v>988.75</v>
      </c>
      <c r="I392" s="9" t="n">
        <v>10876.25</v>
      </c>
      <c r="J392" s="9">
        <f>ROUND(1*SUMIFS('Allocations'!$C$5:$C$222,'Allocations'!$B$5:$B$222,A392),2)</f>
        <v>10876.25</v>
      </c>
      <c r="K392" s="9">
        <f>ROUND(I392-J392,2)</f>
        <v>0</v>
      </c>
      <c r="L392">
        <f>MAX(0,DATE(2026,9,30)-E392)</f>
        <v>61</v>
      </c>
      <c r="M392">
        <f>IF(K392&lt;-0.005,"Credit balance: check for double payment",IF(AND(K392&gt;0.005,L392&gt;60),"Over 60 days overdue",""))</f>
      </c>
    </row>
    <row r="393">
      <c r="A393" t="inlineStr">
        <is>
          <t>INV/2026/03494</t>
        </is>
      </c>
      <c r="B393" t="inlineStr">
        <is>
          <t>Invoice</t>
        </is>
      </c>
      <c r="C393" t="inlineStr">
        <is>
          <t>Elmhurst Property Group</t>
        </is>
      </c>
      <c r="D393" s="5" t="n">
        <v>46206</v>
      </c>
      <c r="E393" s="5" t="n">
        <v>46236</v>
      </c>
      <c r="F393" t="inlineStr">
        <is>
          <t>AUD</t>
        </is>
      </c>
      <c r="G393" s="9" t="n">
        <v>3616.25</v>
      </c>
      <c r="H393" s="9" t="n">
        <v>328.75</v>
      </c>
      <c r="I393" s="9" t="n">
        <v>3616.25</v>
      </c>
      <c r="J393" s="9">
        <f>ROUND(1*SUMIFS('Allocations'!$C$5:$C$222,'Allocations'!$B$5:$B$222,A393),2)</f>
        <v>3616.25</v>
      </c>
      <c r="K393" s="9">
        <f>ROUND(I393-J393,2)</f>
        <v>0</v>
      </c>
      <c r="L393">
        <f>MAX(0,DATE(2026,9,30)-E393)</f>
        <v>59</v>
      </c>
      <c r="M393">
        <f>IF(K393&lt;-0.005,"Credit balance: check for double payment",IF(AND(K393&gt;0.005,L393&gt;60),"Over 60 days overdue",""))</f>
      </c>
    </row>
    <row r="394">
      <c r="A394" t="inlineStr">
        <is>
          <t>INV/2026/03507</t>
        </is>
      </c>
      <c r="B394" t="inlineStr">
        <is>
          <t>Invoice</t>
        </is>
      </c>
      <c r="C394" t="inlineStr">
        <is>
          <t>Oakbank Recycling</t>
        </is>
      </c>
      <c r="D394" s="5" t="n">
        <v>46206</v>
      </c>
      <c r="E394" s="5" t="n">
        <v>46236</v>
      </c>
      <c r="F394" t="inlineStr">
        <is>
          <t>AUD</t>
        </is>
      </c>
      <c r="G394" s="9" t="n">
        <v>5280</v>
      </c>
      <c r="H394" s="9" t="n">
        <v>480</v>
      </c>
      <c r="I394" s="9" t="n">
        <v>5280</v>
      </c>
      <c r="J394" s="9">
        <f>ROUND(1*SUMIFS('Allocations'!$C$5:$C$222,'Allocations'!$B$5:$B$222,A394),2)</f>
        <v>0</v>
      </c>
      <c r="K394" s="9">
        <f>ROUND(I394-J394,2)</f>
        <v>5280</v>
      </c>
      <c r="L394">
        <f>MAX(0,DATE(2026,9,30)-E394)</f>
        <v>59</v>
      </c>
      <c r="M394">
        <f>IF(K394&lt;-0.005,"Credit balance: check for double payment",IF(AND(K394&gt;0.005,L394&gt;60),"Over 60 days overdue",""))</f>
      </c>
    </row>
    <row r="395">
      <c r="A395" t="inlineStr">
        <is>
          <t>INV/2026/03510</t>
        </is>
      </c>
      <c r="B395" t="inlineStr">
        <is>
          <t>Invoice</t>
        </is>
      </c>
      <c r="C395" t="inlineStr">
        <is>
          <t>Rosedale Nurseries</t>
        </is>
      </c>
      <c r="D395" s="5" t="n">
        <v>46204</v>
      </c>
      <c r="E395" s="5" t="n">
        <v>46234</v>
      </c>
      <c r="F395" t="inlineStr">
        <is>
          <t>AUD</t>
        </is>
      </c>
      <c r="G395" s="9" t="n">
        <v>2035</v>
      </c>
      <c r="H395" s="9" t="n">
        <v>185</v>
      </c>
      <c r="I395" s="9" t="n">
        <v>2035</v>
      </c>
      <c r="J395" s="9">
        <f>ROUND(1*SUMIFS('Allocations'!$C$5:$C$222,'Allocations'!$B$5:$B$222,A395),2)</f>
        <v>2035</v>
      </c>
      <c r="K395" s="9">
        <f>ROUND(I395-J395,2)</f>
        <v>0</v>
      </c>
      <c r="L395">
        <f>MAX(0,DATE(2026,9,30)-E395)</f>
        <v>61</v>
      </c>
      <c r="M395">
        <f>IF(K395&lt;-0.005,"Credit balance: check for double payment",IF(AND(K395&gt;0.005,L395&gt;60),"Over 60 days overdue",""))</f>
      </c>
    </row>
    <row r="396">
      <c r="A396" t="inlineStr">
        <is>
          <t>INV/2026/03515</t>
        </is>
      </c>
      <c r="B396" t="inlineStr">
        <is>
          <t>Invoice</t>
        </is>
      </c>
      <c r="C396" t="inlineStr">
        <is>
          <t>Varga &amp; Holt Logistics</t>
        </is>
      </c>
      <c r="D396" s="5" t="n">
        <v>46236</v>
      </c>
      <c r="E396" s="5" t="n">
        <v>46266</v>
      </c>
      <c r="F396" t="inlineStr">
        <is>
          <t>AUD</t>
        </is>
      </c>
      <c r="G396" s="9" t="n">
        <v>3616.25</v>
      </c>
      <c r="H396" s="9" t="n">
        <v>328.75</v>
      </c>
      <c r="I396" s="9" t="n">
        <v>3616.25</v>
      </c>
      <c r="J396" s="9">
        <f>ROUND(1*SUMIFS('Allocations'!$C$5:$C$222,'Allocations'!$B$5:$B$222,A396),2)</f>
        <v>0</v>
      </c>
      <c r="K396" s="9">
        <f>ROUND(I396-J396,2)</f>
        <v>3616.25</v>
      </c>
      <c r="L396">
        <f>MAX(0,DATE(2026,9,30)-E396)</f>
        <v>29</v>
      </c>
      <c r="M396">
        <f>IF(K396&lt;-0.005,"Credit balance: check for double payment",IF(AND(K396&gt;0.005,L396&gt;60),"Over 60 days overdue",""))</f>
      </c>
    </row>
    <row r="397">
      <c r="A397" t="inlineStr">
        <is>
          <t>INV/2026/03518</t>
        </is>
      </c>
      <c r="B397" t="inlineStr">
        <is>
          <t>Invoice</t>
        </is>
      </c>
      <c r="C397" t="inlineStr">
        <is>
          <t>Orchard Street Legal</t>
        </is>
      </c>
      <c r="D397" s="5" t="n">
        <v>46235</v>
      </c>
      <c r="E397" s="5" t="n">
        <v>46265</v>
      </c>
      <c r="F397" t="inlineStr">
        <is>
          <t>AUD</t>
        </is>
      </c>
      <c r="G397" s="9" t="n">
        <v>3465</v>
      </c>
      <c r="H397" s="9" t="n">
        <v>315</v>
      </c>
      <c r="I397" s="9" t="n">
        <v>3465</v>
      </c>
      <c r="J397" s="9">
        <f>ROUND(1*SUMIFS('Allocations'!$C$5:$C$222,'Allocations'!$B$5:$B$222,A397),2)</f>
        <v>0</v>
      </c>
      <c r="K397" s="9">
        <f>ROUND(I397-J397,2)</f>
        <v>3465</v>
      </c>
      <c r="L397">
        <f>MAX(0,DATE(2026,9,30)-E397)</f>
        <v>30</v>
      </c>
      <c r="M397">
        <f>IF(K397&lt;-0.005,"Credit balance: check for double payment",IF(AND(K397&gt;0.005,L397&gt;60),"Over 60 days overdue",""))</f>
      </c>
    </row>
    <row r="398">
      <c r="A398" t="inlineStr">
        <is>
          <t>INV/2026/03520</t>
        </is>
      </c>
      <c r="B398" t="inlineStr">
        <is>
          <t>Invoice</t>
        </is>
      </c>
      <c r="C398" t="inlineStr">
        <is>
          <t>Tamsin Ridge Wineries</t>
        </is>
      </c>
      <c r="D398" s="5" t="n">
        <v>46237</v>
      </c>
      <c r="E398" s="5" t="n">
        <v>46267</v>
      </c>
      <c r="F398" t="inlineStr">
        <is>
          <t>AUD</t>
        </is>
      </c>
      <c r="G398" s="9" t="n">
        <v>3547.5</v>
      </c>
      <c r="H398" s="9" t="n">
        <v>322.5</v>
      </c>
      <c r="I398" s="9" t="n">
        <v>3547.5</v>
      </c>
      <c r="J398" s="9">
        <f>ROUND(1*SUMIFS('Allocations'!$C$5:$C$222,'Allocations'!$B$5:$B$222,A398),2)</f>
        <v>0</v>
      </c>
      <c r="K398" s="9">
        <f>ROUND(I398-J398,2)</f>
        <v>3547.5</v>
      </c>
      <c r="L398">
        <f>MAX(0,DATE(2026,9,30)-E398)</f>
        <v>28</v>
      </c>
      <c r="M398">
        <f>IF(K398&lt;-0.005,"Credit balance: check for double payment",IF(AND(K398&gt;0.005,L398&gt;60),"Over 60 days overdue",""))</f>
      </c>
    </row>
    <row r="399">
      <c r="A399" t="inlineStr">
        <is>
          <t>INV/2026/03521</t>
        </is>
      </c>
      <c r="B399" t="inlineStr">
        <is>
          <t>Invoice</t>
        </is>
      </c>
      <c r="C399" t="inlineStr">
        <is>
          <t>Tamsin Ridge Wineries</t>
        </is>
      </c>
      <c r="D399" s="5" t="n">
        <v>46236</v>
      </c>
      <c r="E399" s="5" t="n">
        <v>46266</v>
      </c>
      <c r="F399" t="inlineStr">
        <is>
          <t>AUD</t>
        </is>
      </c>
      <c r="G399" s="9" t="n">
        <v>2640</v>
      </c>
      <c r="H399" s="9" t="n">
        <v>240</v>
      </c>
      <c r="I399" s="9" t="n">
        <v>2640</v>
      </c>
      <c r="J399" s="9">
        <f>ROUND(1*SUMIFS('Allocations'!$C$5:$C$222,'Allocations'!$B$5:$B$222,A399),2)</f>
        <v>0</v>
      </c>
      <c r="K399" s="9">
        <f>ROUND(I399-J399,2)</f>
        <v>2640</v>
      </c>
      <c r="L399">
        <f>MAX(0,DATE(2026,9,30)-E399)</f>
        <v>29</v>
      </c>
      <c r="M399">
        <f>IF(K399&lt;-0.005,"Credit balance: check for double payment",IF(AND(K399&gt;0.005,L399&gt;60),"Over 60 days overdue",""))</f>
      </c>
    </row>
    <row r="400">
      <c r="A400" t="inlineStr">
        <is>
          <t>INV/2026/03524</t>
        </is>
      </c>
      <c r="B400" t="inlineStr">
        <is>
          <t>Invoice</t>
        </is>
      </c>
      <c r="C400" t="inlineStr">
        <is>
          <t>Greystanes Building Co</t>
        </is>
      </c>
      <c r="D400" s="5" t="n">
        <v>46236</v>
      </c>
      <c r="E400" s="5" t="n">
        <v>46266</v>
      </c>
      <c r="F400" t="inlineStr">
        <is>
          <t>AUD</t>
        </is>
      </c>
      <c r="G400" s="9" t="n">
        <v>5280</v>
      </c>
      <c r="H400" s="9" t="n">
        <v>480</v>
      </c>
      <c r="I400" s="9" t="n">
        <v>5280</v>
      </c>
      <c r="J400" s="9">
        <f>ROUND(1*SUMIFS('Allocations'!$C$5:$C$222,'Allocations'!$B$5:$B$222,A400),2)</f>
        <v>0</v>
      </c>
      <c r="K400" s="9">
        <f>ROUND(I400-J400,2)</f>
        <v>5280</v>
      </c>
      <c r="L400">
        <f>MAX(0,DATE(2026,9,30)-E400)</f>
        <v>29</v>
      </c>
      <c r="M400">
        <f>IF(K400&lt;-0.005,"Credit balance: check for double payment",IF(AND(K400&gt;0.005,L400&gt;60),"Over 60 days overdue",""))</f>
      </c>
    </row>
    <row r="401">
      <c r="A401" t="inlineStr">
        <is>
          <t>INV/2026/03525</t>
        </is>
      </c>
      <c r="B401" t="inlineStr">
        <is>
          <t>Invoice</t>
        </is>
      </c>
      <c r="C401" t="inlineStr">
        <is>
          <t>Greystanes Building Co</t>
        </is>
      </c>
      <c r="D401" s="5" t="n">
        <v>46235</v>
      </c>
      <c r="E401" s="5" t="n">
        <v>46265</v>
      </c>
      <c r="F401" t="inlineStr">
        <is>
          <t>AUD</t>
        </is>
      </c>
      <c r="G401" s="9" t="n">
        <v>1402.5</v>
      </c>
      <c r="H401" s="9" t="n">
        <v>127.5</v>
      </c>
      <c r="I401" s="9" t="n">
        <v>1402.5</v>
      </c>
      <c r="J401" s="9">
        <f>ROUND(1*SUMIFS('Allocations'!$C$5:$C$222,'Allocations'!$B$5:$B$222,A401),2)</f>
        <v>0</v>
      </c>
      <c r="K401" s="9">
        <f>ROUND(I401-J401,2)</f>
        <v>1402.5</v>
      </c>
      <c r="L401">
        <f>MAX(0,DATE(2026,9,30)-E401)</f>
        <v>30</v>
      </c>
      <c r="M401">
        <f>IF(K401&lt;-0.005,"Credit balance: check for double payment",IF(AND(K401&gt;0.005,L401&gt;60),"Over 60 days overdue",""))</f>
      </c>
    </row>
    <row r="402">
      <c r="A402" t="inlineStr">
        <is>
          <t>INV/2026/03526</t>
        </is>
      </c>
      <c r="B402" t="inlineStr">
        <is>
          <t>Invoice</t>
        </is>
      </c>
      <c r="C402" t="inlineStr">
        <is>
          <t>Fernhill Aged Care</t>
        </is>
      </c>
      <c r="D402" s="5" t="n">
        <v>46237</v>
      </c>
      <c r="E402" s="5" t="n">
        <v>46267</v>
      </c>
      <c r="F402" t="inlineStr">
        <is>
          <t>AUD</t>
        </is>
      </c>
      <c r="G402" s="9" t="n">
        <v>10807.5</v>
      </c>
      <c r="H402" s="9" t="n">
        <v>982.5</v>
      </c>
      <c r="I402" s="9" t="n">
        <v>10807.5</v>
      </c>
      <c r="J402" s="9">
        <f>ROUND(1*SUMIFS('Allocations'!$C$5:$C$222,'Allocations'!$B$5:$B$222,A402),2)</f>
        <v>0</v>
      </c>
      <c r="K402" s="9">
        <f>ROUND(I402-J402,2)</f>
        <v>10807.5</v>
      </c>
      <c r="L402">
        <f>MAX(0,DATE(2026,9,30)-E402)</f>
        <v>28</v>
      </c>
      <c r="M402">
        <f>IF(K402&lt;-0.005,"Credit balance: check for double payment",IF(AND(K402&gt;0.005,L402&gt;60),"Over 60 days overdue",""))</f>
      </c>
    </row>
    <row r="403">
      <c r="A403" t="inlineStr">
        <is>
          <t>INV/2026/03527</t>
        </is>
      </c>
      <c r="B403" t="inlineStr">
        <is>
          <t>Invoice</t>
        </is>
      </c>
      <c r="C403" t="inlineStr">
        <is>
          <t>Fernhill Aged Care</t>
        </is>
      </c>
      <c r="D403" s="5" t="n">
        <v>46235</v>
      </c>
      <c r="E403" s="5" t="n">
        <v>46265</v>
      </c>
      <c r="F403" t="inlineStr">
        <is>
          <t>AUD</t>
        </is>
      </c>
      <c r="G403" s="9" t="n">
        <v>15950</v>
      </c>
      <c r="H403" s="9" t="n">
        <v>1450</v>
      </c>
      <c r="I403" s="9" t="n">
        <v>15950</v>
      </c>
      <c r="J403" s="9">
        <f>ROUND(1*SUMIFS('Allocations'!$C$5:$C$222,'Allocations'!$B$5:$B$222,A403),2)</f>
        <v>0</v>
      </c>
      <c r="K403" s="9">
        <f>ROUND(I403-J403,2)</f>
        <v>15950</v>
      </c>
      <c r="L403">
        <f>MAX(0,DATE(2026,9,30)-E403)</f>
        <v>30</v>
      </c>
      <c r="M403">
        <f>IF(K403&lt;-0.005,"Credit balance: check for double payment",IF(AND(K403&gt;0.005,L403&gt;60),"Over 60 days overdue",""))</f>
      </c>
    </row>
    <row r="404">
      <c r="A404" t="inlineStr">
        <is>
          <t>INV/2026/03535</t>
        </is>
      </c>
      <c r="B404" t="inlineStr">
        <is>
          <t>Invoice</t>
        </is>
      </c>
      <c r="C404" t="inlineStr">
        <is>
          <t>Westmere Council Services</t>
        </is>
      </c>
      <c r="D404" s="5" t="n">
        <v>46235</v>
      </c>
      <c r="E404" s="5" t="n">
        <v>46265</v>
      </c>
      <c r="F404" t="inlineStr">
        <is>
          <t>AUD</t>
        </is>
      </c>
      <c r="G404" s="9" t="n">
        <v>16101.25</v>
      </c>
      <c r="H404" s="9" t="n">
        <v>1463.75</v>
      </c>
      <c r="I404" s="9" t="n">
        <v>16101.25</v>
      </c>
      <c r="J404" s="9">
        <f>ROUND(1*SUMIFS('Allocations'!$C$5:$C$222,'Allocations'!$B$5:$B$222,A404),2)</f>
        <v>16101.25</v>
      </c>
      <c r="K404" s="9">
        <f>ROUND(I404-J404,2)</f>
        <v>0</v>
      </c>
      <c r="L404">
        <f>MAX(0,DATE(2026,9,30)-E404)</f>
        <v>30</v>
      </c>
      <c r="M404">
        <f>IF(K404&lt;-0.005,"Credit balance: check for double payment",IF(AND(K404&gt;0.005,L404&gt;60),"Over 60 days overdue",""))</f>
      </c>
    </row>
    <row r="405">
      <c r="A405" t="inlineStr">
        <is>
          <t>INV/2026/03536</t>
        </is>
      </c>
      <c r="B405" t="inlineStr">
        <is>
          <t>Invoice</t>
        </is>
      </c>
      <c r="C405" t="inlineStr">
        <is>
          <t>Westmere Council Services</t>
        </is>
      </c>
      <c r="D405" s="5" t="n">
        <v>46235</v>
      </c>
      <c r="E405" s="5" t="n">
        <v>46265</v>
      </c>
      <c r="F405" t="inlineStr">
        <is>
          <t>AUD</t>
        </is>
      </c>
      <c r="G405" s="9" t="n">
        <v>3547.5</v>
      </c>
      <c r="H405" s="9" t="n">
        <v>322.5</v>
      </c>
      <c r="I405" s="9" t="n">
        <v>3547.5</v>
      </c>
      <c r="J405" s="9">
        <f>ROUND(1*SUMIFS('Allocations'!$C$5:$C$222,'Allocations'!$B$5:$B$222,A405),2)</f>
        <v>3547.5</v>
      </c>
      <c r="K405" s="9">
        <f>ROUND(I405-J405,2)</f>
        <v>0</v>
      </c>
      <c r="L405">
        <f>MAX(0,DATE(2026,9,30)-E405)</f>
        <v>30</v>
      </c>
      <c r="M405">
        <f>IF(K405&lt;-0.005,"Credit balance: check for double payment",IF(AND(K405&gt;0.005,L405&gt;60),"Over 60 days overdue",""))</f>
      </c>
    </row>
    <row r="406">
      <c r="A406" t="inlineStr">
        <is>
          <t>INV/2026/03538</t>
        </is>
      </c>
      <c r="B406" t="inlineStr">
        <is>
          <t>Invoice</t>
        </is>
      </c>
      <c r="C406" t="inlineStr">
        <is>
          <t>Sorrento Bay Hotels</t>
        </is>
      </c>
      <c r="D406" s="5" t="n">
        <v>46237</v>
      </c>
      <c r="E406" s="5" t="n">
        <v>46267</v>
      </c>
      <c r="F406" t="inlineStr">
        <is>
          <t>AUD</t>
        </is>
      </c>
      <c r="G406" s="9" t="n">
        <v>2640</v>
      </c>
      <c r="H406" s="9" t="n">
        <v>240</v>
      </c>
      <c r="I406" s="9" t="n">
        <v>2640</v>
      </c>
      <c r="J406" s="9">
        <f>ROUND(1*SUMIFS('Allocations'!$C$5:$C$222,'Allocations'!$B$5:$B$222,A406),2)</f>
        <v>0</v>
      </c>
      <c r="K406" s="9">
        <f>ROUND(I406-J406,2)</f>
        <v>2640</v>
      </c>
      <c r="L406">
        <f>MAX(0,DATE(2026,9,30)-E406)</f>
        <v>28</v>
      </c>
      <c r="M406">
        <f>IF(K406&lt;-0.005,"Credit balance: check for double payment",IF(AND(K406&gt;0.005,L406&gt;60),"Over 60 days overdue",""))</f>
      </c>
    </row>
    <row r="407">
      <c r="A407" t="inlineStr">
        <is>
          <t>INV/2026/03539</t>
        </is>
      </c>
      <c r="B407" t="inlineStr">
        <is>
          <t>Invoice</t>
        </is>
      </c>
      <c r="C407" t="inlineStr">
        <is>
          <t>Sorrento Bay Hotels</t>
        </is>
      </c>
      <c r="D407" s="5" t="n">
        <v>46249</v>
      </c>
      <c r="E407" s="5" t="n">
        <v>46279</v>
      </c>
      <c r="F407" t="inlineStr">
        <is>
          <t>AUD</t>
        </is>
      </c>
      <c r="G407" s="9" t="n">
        <v>3465</v>
      </c>
      <c r="H407" s="9" t="n">
        <v>315</v>
      </c>
      <c r="I407" s="9" t="n">
        <v>3465</v>
      </c>
      <c r="J407" s="9">
        <f>ROUND(1*SUMIFS('Allocations'!$C$5:$C$222,'Allocations'!$B$5:$B$222,A407),2)</f>
        <v>0</v>
      </c>
      <c r="K407" s="9">
        <f>ROUND(I407-J407,2)</f>
        <v>3465</v>
      </c>
      <c r="L407">
        <f>MAX(0,DATE(2026,9,30)-E407)</f>
        <v>16</v>
      </c>
      <c r="M407">
        <f>IF(K407&lt;-0.005,"Credit balance: check for double payment",IF(AND(K407&gt;0.005,L407&gt;60),"Over 60 days overdue",""))</f>
      </c>
    </row>
    <row r="408">
      <c r="A408" t="inlineStr">
        <is>
          <t>INV/2026/03540</t>
        </is>
      </c>
      <c r="B408" t="inlineStr">
        <is>
          <t>Invoice</t>
        </is>
      </c>
      <c r="C408" t="inlineStr">
        <is>
          <t>Talisker Mining Services</t>
        </is>
      </c>
      <c r="D408" s="5" t="n">
        <v>46249</v>
      </c>
      <c r="E408" s="5" t="n">
        <v>46279</v>
      </c>
      <c r="F408" t="inlineStr">
        <is>
          <t>AUD</t>
        </is>
      </c>
      <c r="G408" s="9" t="n">
        <v>6902.5</v>
      </c>
      <c r="H408" s="9" t="n">
        <v>627.5</v>
      </c>
      <c r="I408" s="9" t="n">
        <v>6902.5</v>
      </c>
      <c r="J408" s="9">
        <f>ROUND(1*SUMIFS('Allocations'!$C$5:$C$222,'Allocations'!$B$5:$B$222,A408),2)</f>
        <v>0</v>
      </c>
      <c r="K408" s="9">
        <f>ROUND(I408-J408,2)</f>
        <v>6902.5</v>
      </c>
      <c r="L408">
        <f>MAX(0,DATE(2026,9,30)-E408)</f>
        <v>16</v>
      </c>
      <c r="M408">
        <f>IF(K408&lt;-0.005,"Credit balance: check for double payment",IF(AND(K408&gt;0.005,L408&gt;60),"Over 60 days overdue",""))</f>
      </c>
    </row>
    <row r="409">
      <c r="A409" t="inlineStr">
        <is>
          <t>INV/2026/03542</t>
        </is>
      </c>
      <c r="B409" t="inlineStr">
        <is>
          <t>Invoice</t>
        </is>
      </c>
      <c r="C409" t="inlineStr">
        <is>
          <t>Linfield Dairy Co</t>
        </is>
      </c>
      <c r="D409" s="5" t="n">
        <v>46237</v>
      </c>
      <c r="E409" s="5" t="n">
        <v>46267</v>
      </c>
      <c r="F409" t="inlineStr">
        <is>
          <t>AUD</t>
        </is>
      </c>
      <c r="G409" s="9" t="n">
        <v>6820</v>
      </c>
      <c r="H409" s="9" t="n">
        <v>620</v>
      </c>
      <c r="I409" s="9" t="n">
        <v>6820</v>
      </c>
      <c r="J409" s="9">
        <f>ROUND(1*SUMIFS('Allocations'!$C$5:$C$222,'Allocations'!$B$5:$B$222,A409),2)</f>
        <v>0</v>
      </c>
      <c r="K409" s="9">
        <f>ROUND(I409-J409,2)</f>
        <v>6820</v>
      </c>
      <c r="L409">
        <f>MAX(0,DATE(2026,9,30)-E409)</f>
        <v>28</v>
      </c>
      <c r="M409">
        <f>IF(K409&lt;-0.005,"Credit balance: check for double payment",IF(AND(K409&gt;0.005,L409&gt;60),"Over 60 days overdue",""))</f>
      </c>
    </row>
    <row r="410">
      <c r="A410" t="inlineStr">
        <is>
          <t>INV/2026/03546</t>
        </is>
      </c>
      <c r="B410" t="inlineStr">
        <is>
          <t>Invoice</t>
        </is>
      </c>
      <c r="C410" t="inlineStr">
        <is>
          <t>Cobblestone Retail Group</t>
        </is>
      </c>
      <c r="D410" s="5" t="n">
        <v>46249</v>
      </c>
      <c r="E410" s="5" t="n">
        <v>46279</v>
      </c>
      <c r="F410" t="inlineStr">
        <is>
          <t>AUD</t>
        </is>
      </c>
      <c r="G410" s="9" t="n">
        <v>1320</v>
      </c>
      <c r="H410" s="9" t="n">
        <v>120</v>
      </c>
      <c r="I410" s="9" t="n">
        <v>1320</v>
      </c>
      <c r="J410" s="9">
        <f>ROUND(1*SUMIFS('Allocations'!$C$5:$C$222,'Allocations'!$B$5:$B$222,A410),2)</f>
        <v>0</v>
      </c>
      <c r="K410" s="9">
        <f>ROUND(I410-J410,2)</f>
        <v>1320</v>
      </c>
      <c r="L410">
        <f>MAX(0,DATE(2026,9,30)-E410)</f>
        <v>16</v>
      </c>
      <c r="M410">
        <f>IF(K410&lt;-0.005,"Credit balance: check for double payment",IF(AND(K410&gt;0.005,L410&gt;60),"Over 60 days overdue",""))</f>
      </c>
    </row>
    <row r="411">
      <c r="A411" t="inlineStr">
        <is>
          <t>INV/2026/03547</t>
        </is>
      </c>
      <c r="B411" t="inlineStr">
        <is>
          <t>Invoice</t>
        </is>
      </c>
      <c r="C411" t="inlineStr">
        <is>
          <t>Daintree Packaging</t>
        </is>
      </c>
      <c r="D411" s="5" t="n">
        <v>46237</v>
      </c>
      <c r="E411" s="5" t="n">
        <v>46267</v>
      </c>
      <c r="F411" t="inlineStr">
        <is>
          <t>AUD</t>
        </is>
      </c>
      <c r="G411" s="9" t="n">
        <v>2722.5</v>
      </c>
      <c r="H411" s="9" t="n">
        <v>247.5</v>
      </c>
      <c r="I411" s="9" t="n">
        <v>2722.5</v>
      </c>
      <c r="J411" s="9">
        <f>ROUND(1*SUMIFS('Allocations'!$C$5:$C$222,'Allocations'!$B$5:$B$222,A411),2)</f>
        <v>2722.5</v>
      </c>
      <c r="K411" s="9">
        <f>ROUND(I411-J411,2)</f>
        <v>0</v>
      </c>
      <c r="L411">
        <f>MAX(0,DATE(2026,9,30)-E411)</f>
        <v>28</v>
      </c>
      <c r="M411">
        <f>IF(K411&lt;-0.005,"Credit balance: check for double payment",IF(AND(K411&gt;0.005,L411&gt;60),"Over 60 days overdue",""))</f>
      </c>
    </row>
    <row r="412">
      <c r="A412" t="inlineStr">
        <is>
          <t>INV/2026/03548</t>
        </is>
      </c>
      <c r="B412" t="inlineStr">
        <is>
          <t>Invoice</t>
        </is>
      </c>
      <c r="C412" t="inlineStr">
        <is>
          <t>Elmhurst Property Group</t>
        </is>
      </c>
      <c r="D412" s="5" t="n">
        <v>46249</v>
      </c>
      <c r="E412" s="5" t="n">
        <v>46279</v>
      </c>
      <c r="F412" t="inlineStr">
        <is>
          <t>AUD</t>
        </is>
      </c>
      <c r="G412" s="9" t="n">
        <v>2640</v>
      </c>
      <c r="H412" s="9" t="n">
        <v>240</v>
      </c>
      <c r="I412" s="9" t="n">
        <v>2640</v>
      </c>
      <c r="J412" s="9">
        <f>ROUND(1*SUMIFS('Allocations'!$C$5:$C$222,'Allocations'!$B$5:$B$222,A412),2)</f>
        <v>0</v>
      </c>
      <c r="K412" s="9">
        <f>ROUND(I412-J412,2)</f>
        <v>2640</v>
      </c>
      <c r="L412">
        <f>MAX(0,DATE(2026,9,30)-E412)</f>
        <v>16</v>
      </c>
      <c r="M412">
        <f>IF(K412&lt;-0.005,"Credit balance: check for double payment",IF(AND(K412&gt;0.005,L412&gt;60),"Over 60 days overdue",""))</f>
      </c>
    </row>
    <row r="413">
      <c r="A413" t="inlineStr">
        <is>
          <t>INV/2026/03551</t>
        </is>
      </c>
      <c r="B413" t="inlineStr">
        <is>
          <t>Invoice</t>
        </is>
      </c>
      <c r="C413" t="inlineStr">
        <is>
          <t>Gilmour Steel Pty Ltd</t>
        </is>
      </c>
      <c r="D413" s="5" t="n">
        <v>46237</v>
      </c>
      <c r="E413" s="5" t="n">
        <v>46267</v>
      </c>
      <c r="F413" t="inlineStr">
        <is>
          <t>AUD</t>
        </is>
      </c>
      <c r="G413" s="9" t="n">
        <v>2640</v>
      </c>
      <c r="H413" s="9" t="n">
        <v>240</v>
      </c>
      <c r="I413" s="9" t="n">
        <v>2640</v>
      </c>
      <c r="J413" s="9">
        <f>ROUND(1*SUMIFS('Allocations'!$C$5:$C$222,'Allocations'!$B$5:$B$222,A413),2)</f>
        <v>0</v>
      </c>
      <c r="K413" s="9">
        <f>ROUND(I413-J413,2)</f>
        <v>2640</v>
      </c>
      <c r="L413">
        <f>MAX(0,DATE(2026,9,30)-E413)</f>
        <v>28</v>
      </c>
      <c r="M413">
        <f>IF(K413&lt;-0.005,"Credit balance: check for double payment",IF(AND(K413&gt;0.005,L413&gt;60),"Over 60 days overdue",""))</f>
      </c>
    </row>
    <row r="414">
      <c r="A414" t="inlineStr">
        <is>
          <t>INV/2026/03560</t>
        </is>
      </c>
      <c r="B414" t="inlineStr">
        <is>
          <t>Invoice</t>
        </is>
      </c>
      <c r="C414" t="inlineStr">
        <is>
          <t>Mornane Electrical</t>
        </is>
      </c>
      <c r="D414" s="5" t="n">
        <v>46236</v>
      </c>
      <c r="E414" s="5" t="n">
        <v>46266</v>
      </c>
      <c r="F414" t="inlineStr">
        <is>
          <t>AUD</t>
        </is>
      </c>
      <c r="G414" s="9" t="n">
        <v>2722.5</v>
      </c>
      <c r="H414" s="9" t="n">
        <v>247.5</v>
      </c>
      <c r="I414" s="9" t="n">
        <v>2722.5</v>
      </c>
      <c r="J414" s="9">
        <f>ROUND(1*SUMIFS('Allocations'!$C$5:$C$222,'Allocations'!$B$5:$B$222,A414),2)</f>
        <v>2722.5</v>
      </c>
      <c r="K414" s="9">
        <f>ROUND(I414-J414,2)</f>
        <v>0</v>
      </c>
      <c r="L414">
        <f>MAX(0,DATE(2026,9,30)-E414)</f>
        <v>29</v>
      </c>
      <c r="M414">
        <f>IF(K414&lt;-0.005,"Credit balance: check for double payment",IF(AND(K414&gt;0.005,L414&gt;60),"Over 60 days overdue",""))</f>
      </c>
    </row>
    <row r="415">
      <c r="A415" t="inlineStr">
        <is>
          <t>INV/2026/03563</t>
        </is>
      </c>
      <c r="B415" t="inlineStr">
        <is>
          <t>Invoice</t>
        </is>
      </c>
      <c r="C415" t="inlineStr">
        <is>
          <t>Oakbank Recycling</t>
        </is>
      </c>
      <c r="D415" s="5" t="n">
        <v>46235</v>
      </c>
      <c r="E415" s="5" t="n">
        <v>46265</v>
      </c>
      <c r="F415" t="inlineStr">
        <is>
          <t>AUD</t>
        </is>
      </c>
      <c r="G415" s="9" t="n">
        <v>5362.5</v>
      </c>
      <c r="H415" s="9" t="n">
        <v>487.5</v>
      </c>
      <c r="I415" s="9" t="n">
        <v>5362.5</v>
      </c>
      <c r="J415" s="9">
        <f>ROUND(1*SUMIFS('Allocations'!$C$5:$C$222,'Allocations'!$B$5:$B$222,A415),2)</f>
        <v>0</v>
      </c>
      <c r="K415" s="9">
        <f>ROUND(I415-J415,2)</f>
        <v>5362.5</v>
      </c>
      <c r="L415">
        <f>MAX(0,DATE(2026,9,30)-E415)</f>
        <v>30</v>
      </c>
      <c r="M415">
        <f>IF(K415&lt;-0.005,"Credit balance: check for double payment",IF(AND(K415&gt;0.005,L415&gt;60),"Over 60 days overdue",""))</f>
      </c>
    </row>
    <row r="416">
      <c r="A416" t="inlineStr">
        <is>
          <t>INV/2026/03569</t>
        </is>
      </c>
      <c r="B416" t="inlineStr">
        <is>
          <t>Invoice</t>
        </is>
      </c>
      <c r="C416" t="inlineStr">
        <is>
          <t>Varga &amp; Holt Logistics</t>
        </is>
      </c>
      <c r="D416" s="5" t="n">
        <v>46280</v>
      </c>
      <c r="E416" s="5" t="n">
        <v>46310</v>
      </c>
      <c r="F416" t="inlineStr">
        <is>
          <t>AUD</t>
        </is>
      </c>
      <c r="G416" s="9" t="n">
        <v>10725</v>
      </c>
      <c r="H416" s="9" t="n">
        <v>975</v>
      </c>
      <c r="I416" s="9" t="n">
        <v>10725</v>
      </c>
      <c r="J416" s="9">
        <f>ROUND(1*SUMIFS('Allocations'!$C$5:$C$222,'Allocations'!$B$5:$B$222,A416),2)</f>
        <v>0</v>
      </c>
      <c r="K416" s="9">
        <f>ROUND(I416-J416,2)</f>
        <v>10725</v>
      </c>
      <c r="L416">
        <f>MAX(0,DATE(2026,9,30)-E416)</f>
        <v>0</v>
      </c>
      <c r="M416">
        <f>IF(K416&lt;-0.005,"Credit balance: check for double payment",IF(AND(K416&gt;0.005,L416&gt;60),"Over 60 days overdue",""))</f>
      </c>
    </row>
    <row r="417">
      <c r="A417" t="inlineStr">
        <is>
          <t>INV/2026/03570</t>
        </is>
      </c>
      <c r="B417" t="inlineStr">
        <is>
          <t>Invoice</t>
        </is>
      </c>
      <c r="C417" t="inlineStr">
        <is>
          <t>Kestrel Lane Foods</t>
        </is>
      </c>
      <c r="D417" s="5" t="n">
        <v>46280</v>
      </c>
      <c r="E417" s="5" t="n">
        <v>46310</v>
      </c>
      <c r="F417" t="inlineStr">
        <is>
          <t>AUD</t>
        </is>
      </c>
      <c r="G417" s="9" t="n">
        <v>10725</v>
      </c>
      <c r="H417" s="9" t="n">
        <v>975</v>
      </c>
      <c r="I417" s="9" t="n">
        <v>10725</v>
      </c>
      <c r="J417" s="9">
        <f>ROUND(1*SUMIFS('Allocations'!$C$5:$C$222,'Allocations'!$B$5:$B$222,A417),2)</f>
        <v>0</v>
      </c>
      <c r="K417" s="9">
        <f>ROUND(I417-J417,2)</f>
        <v>10725</v>
      </c>
      <c r="L417">
        <f>MAX(0,DATE(2026,9,30)-E417)</f>
        <v>0</v>
      </c>
      <c r="M417">
        <f>IF(K417&lt;-0.005,"Credit balance: check for double payment",IF(AND(K417&gt;0.005,L417&gt;60),"Over 60 days overdue",""))</f>
      </c>
    </row>
    <row r="418">
      <c r="A418" t="inlineStr">
        <is>
          <t>INV/2026/03571</t>
        </is>
      </c>
      <c r="B418" t="inlineStr">
        <is>
          <t>Invoice</t>
        </is>
      </c>
      <c r="C418" t="inlineStr">
        <is>
          <t>Brightwater Civil Pty Ltd</t>
        </is>
      </c>
      <c r="D418" s="5" t="n">
        <v>46280</v>
      </c>
      <c r="E418" s="5" t="n">
        <v>46310</v>
      </c>
      <c r="F418" t="inlineStr">
        <is>
          <t>AUD</t>
        </is>
      </c>
      <c r="G418" s="9" t="n">
        <v>2640</v>
      </c>
      <c r="H418" s="9" t="n">
        <v>240</v>
      </c>
      <c r="I418" s="9" t="n">
        <v>2640</v>
      </c>
      <c r="J418" s="9">
        <f>ROUND(1*SUMIFS('Allocations'!$C$5:$C$222,'Allocations'!$B$5:$B$222,A418),2)</f>
        <v>0</v>
      </c>
      <c r="K418" s="9">
        <f>ROUND(I418-J418,2)</f>
        <v>2640</v>
      </c>
      <c r="L418">
        <f>MAX(0,DATE(2026,9,30)-E418)</f>
        <v>0</v>
      </c>
      <c r="M418">
        <f>IF(K418&lt;-0.005,"Credit balance: check for double payment",IF(AND(K418&gt;0.005,L418&gt;60),"Over 60 days overdue",""))</f>
      </c>
    </row>
    <row r="419">
      <c r="A419" t="inlineStr">
        <is>
          <t>INV/2026/03573</t>
        </is>
      </c>
      <c r="B419" t="inlineStr">
        <is>
          <t>Invoice</t>
        </is>
      </c>
      <c r="C419" t="inlineStr">
        <is>
          <t>Orchard Street Legal</t>
        </is>
      </c>
      <c r="D419" s="5" t="n">
        <v>46266</v>
      </c>
      <c r="E419" s="5" t="n">
        <v>46296</v>
      </c>
      <c r="F419" t="inlineStr">
        <is>
          <t>AUD</t>
        </is>
      </c>
      <c r="G419" s="9" t="n">
        <v>6902.5</v>
      </c>
      <c r="H419" s="9" t="n">
        <v>627.5</v>
      </c>
      <c r="I419" s="9" t="n">
        <v>6902.5</v>
      </c>
      <c r="J419" s="9">
        <f>ROUND(1*SUMIFS('Allocations'!$C$5:$C$222,'Allocations'!$B$5:$B$222,A419),2)</f>
        <v>0</v>
      </c>
      <c r="K419" s="9">
        <f>ROUND(I419-J419,2)</f>
        <v>6902.5</v>
      </c>
      <c r="L419">
        <f>MAX(0,DATE(2026,9,30)-E419)</f>
        <v>0</v>
      </c>
      <c r="M419">
        <f>IF(K419&lt;-0.005,"Credit balance: check for double payment",IF(AND(K419&gt;0.005,L419&gt;60),"Over 60 days overdue",""))</f>
      </c>
    </row>
    <row r="420">
      <c r="A420" t="inlineStr">
        <is>
          <t>INV/2026/03574</t>
        </is>
      </c>
      <c r="B420" t="inlineStr">
        <is>
          <t>Invoice</t>
        </is>
      </c>
      <c r="C420" t="inlineStr">
        <is>
          <t>Orchard Street Legal</t>
        </is>
      </c>
      <c r="D420" s="5" t="n">
        <v>46268</v>
      </c>
      <c r="E420" s="5" t="n">
        <v>46298</v>
      </c>
      <c r="F420" t="inlineStr">
        <is>
          <t>AUD</t>
        </is>
      </c>
      <c r="G420" s="9" t="n">
        <v>2035</v>
      </c>
      <c r="H420" s="9" t="n">
        <v>185</v>
      </c>
      <c r="I420" s="9" t="n">
        <v>2035</v>
      </c>
      <c r="J420" s="9">
        <f>ROUND(1*SUMIFS('Allocations'!$C$5:$C$222,'Allocations'!$B$5:$B$222,A420),2)</f>
        <v>0</v>
      </c>
      <c r="K420" s="9">
        <f>ROUND(I420-J420,2)</f>
        <v>2035</v>
      </c>
      <c r="L420">
        <f>MAX(0,DATE(2026,9,30)-E420)</f>
        <v>0</v>
      </c>
      <c r="M420">
        <f>IF(K420&lt;-0.005,"Credit balance: check for double payment",IF(AND(K420&gt;0.005,L420&gt;60),"Over 60 days overdue",""))</f>
      </c>
    </row>
    <row r="421">
      <c r="A421" t="inlineStr">
        <is>
          <t>INV/2026/03575</t>
        </is>
      </c>
      <c r="B421" t="inlineStr">
        <is>
          <t>Invoice</t>
        </is>
      </c>
      <c r="C421" t="inlineStr">
        <is>
          <t>Calder Freight Group</t>
        </is>
      </c>
      <c r="D421" s="5" t="n">
        <v>46268</v>
      </c>
      <c r="E421" s="5" t="n">
        <v>46298</v>
      </c>
      <c r="F421" t="inlineStr">
        <is>
          <t>AUD</t>
        </is>
      </c>
      <c r="G421" s="9" t="n">
        <v>3547.5</v>
      </c>
      <c r="H421" s="9" t="n">
        <v>322.5</v>
      </c>
      <c r="I421" s="9" t="n">
        <v>3547.5</v>
      </c>
      <c r="J421" s="9">
        <f>ROUND(1*SUMIFS('Allocations'!$C$5:$C$222,'Allocations'!$B$5:$B$222,A421),2)</f>
        <v>0</v>
      </c>
      <c r="K421" s="9">
        <f>ROUND(I421-J421,2)</f>
        <v>3547.5</v>
      </c>
      <c r="L421">
        <f>MAX(0,DATE(2026,9,30)-E421)</f>
        <v>0</v>
      </c>
      <c r="M421">
        <f>IF(K421&lt;-0.005,"Credit balance: check for double payment",IF(AND(K421&gt;0.005,L421&gt;60),"Over 60 days overdue",""))</f>
      </c>
    </row>
    <row r="422">
      <c r="A422" t="inlineStr">
        <is>
          <t>INV/2026/03576</t>
        </is>
      </c>
      <c r="B422" t="inlineStr">
        <is>
          <t>Invoice</t>
        </is>
      </c>
      <c r="C422" t="inlineStr">
        <is>
          <t>Calder Freight Group</t>
        </is>
      </c>
      <c r="D422" s="5" t="n">
        <v>46267</v>
      </c>
      <c r="E422" s="5" t="n">
        <v>46297</v>
      </c>
      <c r="F422" t="inlineStr">
        <is>
          <t>AUD</t>
        </is>
      </c>
      <c r="G422" s="9" t="n">
        <v>1320</v>
      </c>
      <c r="H422" s="9" t="n">
        <v>120</v>
      </c>
      <c r="I422" s="9" t="n">
        <v>1320</v>
      </c>
      <c r="J422" s="9">
        <f>ROUND(1*SUMIFS('Allocations'!$C$5:$C$222,'Allocations'!$B$5:$B$222,A422),2)</f>
        <v>0</v>
      </c>
      <c r="K422" s="9">
        <f>ROUND(I422-J422,2)</f>
        <v>1320</v>
      </c>
      <c r="L422">
        <f>MAX(0,DATE(2026,9,30)-E422)</f>
        <v>0</v>
      </c>
      <c r="M422">
        <f>IF(K422&lt;-0.005,"Credit balance: check for double payment",IF(AND(K422&gt;0.005,L422&gt;60),"Over 60 days overdue",""))</f>
      </c>
    </row>
    <row r="423">
      <c r="A423" t="inlineStr">
        <is>
          <t>INV/2026/03577</t>
        </is>
      </c>
      <c r="B423" t="inlineStr">
        <is>
          <t>Invoice</t>
        </is>
      </c>
      <c r="C423" t="inlineStr">
        <is>
          <t>Tamsin Ridge Wineries</t>
        </is>
      </c>
      <c r="D423" s="5" t="n">
        <v>46267</v>
      </c>
      <c r="E423" s="5" t="n">
        <v>46297</v>
      </c>
      <c r="F423" t="inlineStr">
        <is>
          <t>AUD</t>
        </is>
      </c>
      <c r="G423" s="9" t="n">
        <v>6820</v>
      </c>
      <c r="H423" s="9" t="n">
        <v>620</v>
      </c>
      <c r="I423" s="9" t="n">
        <v>6820</v>
      </c>
      <c r="J423" s="9">
        <f>ROUND(1*SUMIFS('Allocations'!$C$5:$C$222,'Allocations'!$B$5:$B$222,A423),2)</f>
        <v>0</v>
      </c>
      <c r="K423" s="9">
        <f>ROUND(I423-J423,2)</f>
        <v>6820</v>
      </c>
      <c r="L423">
        <f>MAX(0,DATE(2026,9,30)-E423)</f>
        <v>0</v>
      </c>
      <c r="M423">
        <f>IF(K423&lt;-0.005,"Credit balance: check for double payment",IF(AND(K423&gt;0.005,L423&gt;60),"Over 60 days overdue",""))</f>
      </c>
    </row>
    <row r="424">
      <c r="A424" t="inlineStr">
        <is>
          <t>INV/2026/03578</t>
        </is>
      </c>
      <c r="B424" t="inlineStr">
        <is>
          <t>Invoice</t>
        </is>
      </c>
      <c r="C424" t="inlineStr">
        <is>
          <t>Ostrander Manufacturing</t>
        </is>
      </c>
      <c r="D424" s="5" t="n">
        <v>46268</v>
      </c>
      <c r="E424" s="5" t="n">
        <v>46298</v>
      </c>
      <c r="F424" t="inlineStr">
        <is>
          <t>AUD</t>
        </is>
      </c>
      <c r="G424" s="9" t="n">
        <v>2722.5</v>
      </c>
      <c r="H424" s="9" t="n">
        <v>247.5</v>
      </c>
      <c r="I424" s="9" t="n">
        <v>2722.5</v>
      </c>
      <c r="J424" s="9">
        <f>ROUND(1*SUMIFS('Allocations'!$C$5:$C$222,'Allocations'!$B$5:$B$222,A424),2)</f>
        <v>0</v>
      </c>
      <c r="K424" s="9">
        <f>ROUND(I424-J424,2)</f>
        <v>2722.5</v>
      </c>
      <c r="L424">
        <f>MAX(0,DATE(2026,9,30)-E424)</f>
        <v>0</v>
      </c>
      <c r="M424">
        <f>IF(K424&lt;-0.005,"Credit balance: check for double payment",IF(AND(K424&gt;0.005,L424&gt;60),"Over 60 days overdue",""))</f>
      </c>
    </row>
    <row r="425">
      <c r="A425" t="inlineStr">
        <is>
          <t>INV/2026/03579</t>
        </is>
      </c>
      <c r="B425" t="inlineStr">
        <is>
          <t>Invoice</t>
        </is>
      </c>
      <c r="C425" t="inlineStr">
        <is>
          <t>Pellucid Software Pty Ltd</t>
        </is>
      </c>
      <c r="D425" s="5" t="n">
        <v>46267</v>
      </c>
      <c r="E425" s="5" t="n">
        <v>46297</v>
      </c>
      <c r="F425" t="inlineStr">
        <is>
          <t>AUD</t>
        </is>
      </c>
      <c r="G425" s="9" t="n">
        <v>2186.25</v>
      </c>
      <c r="H425" s="9" t="n">
        <v>198.75</v>
      </c>
      <c r="I425" s="9" t="n">
        <v>2186.25</v>
      </c>
      <c r="J425" s="9">
        <f>ROUND(1*SUMIFS('Allocations'!$C$5:$C$222,'Allocations'!$B$5:$B$222,A425),2)</f>
        <v>0</v>
      </c>
      <c r="K425" s="9">
        <f>ROUND(I425-J425,2)</f>
        <v>2186.25</v>
      </c>
      <c r="L425">
        <f>MAX(0,DATE(2026,9,30)-E425)</f>
        <v>0</v>
      </c>
      <c r="M425">
        <f>IF(K425&lt;-0.005,"Credit balance: check for double payment",IF(AND(K425&gt;0.005,L425&gt;60),"Over 60 days overdue",""))</f>
      </c>
    </row>
    <row r="426">
      <c r="A426" t="inlineStr">
        <is>
          <t>INV/2026/03580</t>
        </is>
      </c>
      <c r="B426" t="inlineStr">
        <is>
          <t>Invoice</t>
        </is>
      </c>
      <c r="C426" t="inlineStr">
        <is>
          <t>Greystanes Building Co</t>
        </is>
      </c>
      <c r="D426" s="5" t="n">
        <v>46268</v>
      </c>
      <c r="E426" s="5" t="n">
        <v>46298</v>
      </c>
      <c r="F426" t="inlineStr">
        <is>
          <t>AUD</t>
        </is>
      </c>
      <c r="G426" s="9" t="n">
        <v>2035</v>
      </c>
      <c r="H426" s="9" t="n">
        <v>185</v>
      </c>
      <c r="I426" s="9" t="n">
        <v>2035</v>
      </c>
      <c r="J426" s="9">
        <f>ROUND(1*SUMIFS('Allocations'!$C$5:$C$222,'Allocations'!$B$5:$B$222,A426),2)</f>
        <v>0</v>
      </c>
      <c r="K426" s="9">
        <f>ROUND(I426-J426,2)</f>
        <v>2035</v>
      </c>
      <c r="L426">
        <f>MAX(0,DATE(2026,9,30)-E426)</f>
        <v>0</v>
      </c>
      <c r="M426">
        <f>IF(K426&lt;-0.005,"Credit balance: check for double payment",IF(AND(K426&gt;0.005,L426&gt;60),"Over 60 days overdue",""))</f>
      </c>
    </row>
    <row r="427">
      <c r="A427" t="inlineStr">
        <is>
          <t>INV/2026/03581</t>
        </is>
      </c>
      <c r="B427" t="inlineStr">
        <is>
          <t>Invoice</t>
        </is>
      </c>
      <c r="C427" t="inlineStr">
        <is>
          <t>Fernhill Aged Care</t>
        </is>
      </c>
      <c r="D427" s="5" t="n">
        <v>46268</v>
      </c>
      <c r="E427" s="5" t="n">
        <v>46298</v>
      </c>
      <c r="F427" t="inlineStr">
        <is>
          <t>AUD</t>
        </is>
      </c>
      <c r="G427" s="9" t="n">
        <v>10725</v>
      </c>
      <c r="H427" s="9" t="n">
        <v>975</v>
      </c>
      <c r="I427" s="9" t="n">
        <v>10725</v>
      </c>
      <c r="J427" s="9">
        <f>ROUND(1*SUMIFS('Allocations'!$C$5:$C$222,'Allocations'!$B$5:$B$222,A427),2)</f>
        <v>0</v>
      </c>
      <c r="K427" s="9">
        <f>ROUND(I427-J427,2)</f>
        <v>10725</v>
      </c>
      <c r="L427">
        <f>MAX(0,DATE(2026,9,30)-E427)</f>
        <v>0</v>
      </c>
      <c r="M427">
        <f>IF(K427&lt;-0.005,"Credit balance: check for double payment",IF(AND(K427&gt;0.005,L427&gt;60),"Over 60 days overdue",""))</f>
      </c>
    </row>
    <row r="428">
      <c r="A428" t="inlineStr">
        <is>
          <t>INV/2026/03582</t>
        </is>
      </c>
      <c r="B428" t="inlineStr">
        <is>
          <t>Invoice</t>
        </is>
      </c>
      <c r="C428" t="inlineStr">
        <is>
          <t>Marlowe Print &amp; Pack</t>
        </is>
      </c>
      <c r="D428" s="5" t="n">
        <v>46268</v>
      </c>
      <c r="E428" s="5" t="n">
        <v>46298</v>
      </c>
      <c r="F428" t="inlineStr">
        <is>
          <t>AUD</t>
        </is>
      </c>
      <c r="G428" s="9" t="n">
        <v>10807.5</v>
      </c>
      <c r="H428" s="9" t="n">
        <v>982.5</v>
      </c>
      <c r="I428" s="9" t="n">
        <v>10807.5</v>
      </c>
      <c r="J428" s="9">
        <f>ROUND(1*SUMIFS('Allocations'!$C$5:$C$222,'Allocations'!$B$5:$B$222,A428),2)</f>
        <v>0</v>
      </c>
      <c r="K428" s="9">
        <f>ROUND(I428-J428,2)</f>
        <v>10807.5</v>
      </c>
      <c r="L428">
        <f>MAX(0,DATE(2026,9,30)-E428)</f>
        <v>0</v>
      </c>
      <c r="M428">
        <f>IF(K428&lt;-0.005,"Credit balance: check for double payment",IF(AND(K428&gt;0.005,L428&gt;60),"Over 60 days overdue",""))</f>
      </c>
    </row>
    <row r="429">
      <c r="A429" t="inlineStr">
        <is>
          <t>INV/2026/03583</t>
        </is>
      </c>
      <c r="B429" t="inlineStr">
        <is>
          <t>Invoice</t>
        </is>
      </c>
      <c r="C429" t="inlineStr">
        <is>
          <t>Quillon Engineering</t>
        </is>
      </c>
      <c r="D429" s="5" t="n">
        <v>46268</v>
      </c>
      <c r="E429" s="5" t="n">
        <v>46298</v>
      </c>
      <c r="F429" t="inlineStr">
        <is>
          <t>AUD</t>
        </is>
      </c>
      <c r="G429" s="9" t="n">
        <v>10876.25</v>
      </c>
      <c r="H429" s="9" t="n">
        <v>988.75</v>
      </c>
      <c r="I429" s="9" t="n">
        <v>10876.25</v>
      </c>
      <c r="J429" s="9">
        <f>ROUND(1*SUMIFS('Allocations'!$C$5:$C$222,'Allocations'!$B$5:$B$222,A429),2)</f>
        <v>0</v>
      </c>
      <c r="K429" s="9">
        <f>ROUND(I429-J429,2)</f>
        <v>10876.25</v>
      </c>
      <c r="L429">
        <f>MAX(0,DATE(2026,9,30)-E429)</f>
        <v>0</v>
      </c>
      <c r="M429">
        <f>IF(K429&lt;-0.005,"Credit balance: check for double payment",IF(AND(K429&gt;0.005,L429&gt;60),"Over 60 days overdue",""))</f>
      </c>
    </row>
    <row r="430">
      <c r="A430" t="inlineStr">
        <is>
          <t>INV/2026/03584</t>
        </is>
      </c>
      <c r="B430" t="inlineStr">
        <is>
          <t>Invoice</t>
        </is>
      </c>
      <c r="C430" t="inlineStr">
        <is>
          <t>Hartigan Transport</t>
        </is>
      </c>
      <c r="D430" s="5" t="n">
        <v>46266</v>
      </c>
      <c r="E430" s="5" t="n">
        <v>46296</v>
      </c>
      <c r="F430" t="inlineStr">
        <is>
          <t>AUD</t>
        </is>
      </c>
      <c r="G430" s="9" t="n">
        <v>3547.5</v>
      </c>
      <c r="H430" s="9" t="n">
        <v>322.5</v>
      </c>
      <c r="I430" s="9" t="n">
        <v>3547.5</v>
      </c>
      <c r="J430" s="9">
        <f>ROUND(1*SUMIFS('Allocations'!$C$5:$C$222,'Allocations'!$B$5:$B$222,A430),2)</f>
        <v>0</v>
      </c>
      <c r="K430" s="9">
        <f>ROUND(I430-J430,2)</f>
        <v>3547.5</v>
      </c>
      <c r="L430">
        <f>MAX(0,DATE(2026,9,30)-E430)</f>
        <v>0</v>
      </c>
      <c r="M430">
        <f>IF(K430&lt;-0.005,"Credit balance: check for double payment",IF(AND(K430&gt;0.005,L430&gt;60),"Over 60 days overdue",""))</f>
      </c>
    </row>
    <row r="431">
      <c r="A431" t="inlineStr">
        <is>
          <t>INV/2026/03585</t>
        </is>
      </c>
      <c r="B431" t="inlineStr">
        <is>
          <t>Invoice</t>
        </is>
      </c>
      <c r="C431" t="inlineStr">
        <is>
          <t>Copperleaf Childcare</t>
        </is>
      </c>
      <c r="D431" s="5" t="n">
        <v>46268</v>
      </c>
      <c r="E431" s="5" t="n">
        <v>46298</v>
      </c>
      <c r="F431" t="inlineStr">
        <is>
          <t>AUD</t>
        </is>
      </c>
      <c r="G431" s="9" t="n">
        <v>10807.5</v>
      </c>
      <c r="H431" s="9" t="n">
        <v>982.5</v>
      </c>
      <c r="I431" s="9" t="n">
        <v>10807.5</v>
      </c>
      <c r="J431" s="9">
        <f>ROUND(1*SUMIFS('Allocations'!$C$5:$C$222,'Allocations'!$B$5:$B$222,A431),2)</f>
        <v>0</v>
      </c>
      <c r="K431" s="9">
        <f>ROUND(I431-J431,2)</f>
        <v>10807.5</v>
      </c>
      <c r="L431">
        <f>MAX(0,DATE(2026,9,30)-E431)</f>
        <v>0</v>
      </c>
      <c r="M431">
        <f>IF(K431&lt;-0.005,"Credit balance: check for double payment",IF(AND(K431&gt;0.005,L431&gt;60),"Over 60 days overdue",""))</f>
      </c>
    </row>
    <row r="432">
      <c r="A432" t="inlineStr">
        <is>
          <t>INV/2026/03586</t>
        </is>
      </c>
      <c r="B432" t="inlineStr">
        <is>
          <t>Invoice</t>
        </is>
      </c>
      <c r="C432" t="inlineStr">
        <is>
          <t>Westmere Council Services</t>
        </is>
      </c>
      <c r="D432" s="5" t="n">
        <v>46280</v>
      </c>
      <c r="E432" s="5" t="n">
        <v>46310</v>
      </c>
      <c r="F432" t="inlineStr">
        <is>
          <t>AUD</t>
        </is>
      </c>
      <c r="G432" s="9" t="n">
        <v>1402.5</v>
      </c>
      <c r="H432" s="9" t="n">
        <v>127.5</v>
      </c>
      <c r="I432" s="9" t="n">
        <v>1402.5</v>
      </c>
      <c r="J432" s="9">
        <f>ROUND(1*SUMIFS('Allocations'!$C$5:$C$222,'Allocations'!$B$5:$B$222,A432),2)</f>
        <v>0</v>
      </c>
      <c r="K432" s="9">
        <f>ROUND(I432-J432,2)</f>
        <v>1402.5</v>
      </c>
      <c r="L432">
        <f>MAX(0,DATE(2026,9,30)-E432)</f>
        <v>0</v>
      </c>
      <c r="M432">
        <f>IF(K432&lt;-0.005,"Credit balance: check for double payment",IF(AND(K432&gt;0.005,L432&gt;60),"Over 60 days overdue",""))</f>
      </c>
    </row>
    <row r="433">
      <c r="A433" t="inlineStr">
        <is>
          <t>INV/2026/03587</t>
        </is>
      </c>
      <c r="B433" t="inlineStr">
        <is>
          <t>Invoice</t>
        </is>
      </c>
      <c r="C433" t="inlineStr">
        <is>
          <t>Arden Vale Schools</t>
        </is>
      </c>
      <c r="D433" s="5" t="n">
        <v>46267</v>
      </c>
      <c r="E433" s="5" t="n">
        <v>46297</v>
      </c>
      <c r="F433" t="inlineStr">
        <is>
          <t>AUD</t>
        </is>
      </c>
      <c r="G433" s="9" t="n">
        <v>10725</v>
      </c>
      <c r="H433" s="9" t="n">
        <v>975</v>
      </c>
      <c r="I433" s="9" t="n">
        <v>10725</v>
      </c>
      <c r="J433" s="9">
        <f>ROUND(1*SUMIFS('Allocations'!$C$5:$C$222,'Allocations'!$B$5:$B$222,A433),2)</f>
        <v>0</v>
      </c>
      <c r="K433" s="9">
        <f>ROUND(I433-J433,2)</f>
        <v>10725</v>
      </c>
      <c r="L433">
        <f>MAX(0,DATE(2026,9,30)-E433)</f>
        <v>0</v>
      </c>
      <c r="M433">
        <f>IF(K433&lt;-0.005,"Credit balance: check for double payment",IF(AND(K433&gt;0.005,L433&gt;60),"Over 60 days overdue",""))</f>
      </c>
    </row>
    <row r="434">
      <c r="A434" t="inlineStr">
        <is>
          <t>INV/2026/03588</t>
        </is>
      </c>
      <c r="B434" t="inlineStr">
        <is>
          <t>Invoice</t>
        </is>
      </c>
      <c r="C434" t="inlineStr">
        <is>
          <t>Arden Vale Schools</t>
        </is>
      </c>
      <c r="D434" s="5" t="n">
        <v>46280</v>
      </c>
      <c r="E434" s="5" t="n">
        <v>46310</v>
      </c>
      <c r="F434" t="inlineStr">
        <is>
          <t>AUD</t>
        </is>
      </c>
      <c r="G434" s="9" t="n">
        <v>5280</v>
      </c>
      <c r="H434" s="9" t="n">
        <v>480</v>
      </c>
      <c r="I434" s="9" t="n">
        <v>5280</v>
      </c>
      <c r="J434" s="9">
        <f>ROUND(1*SUMIFS('Allocations'!$C$5:$C$222,'Allocations'!$B$5:$B$222,A434),2)</f>
        <v>0</v>
      </c>
      <c r="K434" s="9">
        <f>ROUND(I434-J434,2)</f>
        <v>5280</v>
      </c>
      <c r="L434">
        <f>MAX(0,DATE(2026,9,30)-E434)</f>
        <v>0</v>
      </c>
      <c r="M434">
        <f>IF(K434&lt;-0.005,"Credit balance: check for double payment",IF(AND(K434&gt;0.005,L434&gt;60),"Over 60 days overdue",""))</f>
      </c>
    </row>
    <row r="435">
      <c r="A435" t="inlineStr">
        <is>
          <t>INV/2026/03589</t>
        </is>
      </c>
      <c r="B435" t="inlineStr">
        <is>
          <t>Invoice</t>
        </is>
      </c>
      <c r="C435" t="inlineStr">
        <is>
          <t>Sorrento Bay Hotels</t>
        </is>
      </c>
      <c r="D435" s="5" t="n">
        <v>46268</v>
      </c>
      <c r="E435" s="5" t="n">
        <v>46298</v>
      </c>
      <c r="F435" t="inlineStr">
        <is>
          <t>AUD</t>
        </is>
      </c>
      <c r="G435" s="9" t="n">
        <v>6902.5</v>
      </c>
      <c r="H435" s="9" t="n">
        <v>627.5</v>
      </c>
      <c r="I435" s="9" t="n">
        <v>6902.5</v>
      </c>
      <c r="J435" s="9">
        <f>ROUND(1*SUMIFS('Allocations'!$C$5:$C$222,'Allocations'!$B$5:$B$222,A435),2)</f>
        <v>0</v>
      </c>
      <c r="K435" s="9">
        <f>ROUND(I435-J435,2)</f>
        <v>6902.5</v>
      </c>
      <c r="L435">
        <f>MAX(0,DATE(2026,9,30)-E435)</f>
        <v>0</v>
      </c>
      <c r="M435">
        <f>IF(K435&lt;-0.005,"Credit balance: check for double payment",IF(AND(K435&gt;0.005,L435&gt;60),"Over 60 days overdue",""))</f>
      </c>
    </row>
    <row r="436">
      <c r="A436" t="inlineStr">
        <is>
          <t>INV/2026/03590</t>
        </is>
      </c>
      <c r="B436" t="inlineStr">
        <is>
          <t>Invoice</t>
        </is>
      </c>
      <c r="C436" t="inlineStr">
        <is>
          <t>Talisker Mining Services</t>
        </is>
      </c>
      <c r="D436" s="5" t="n">
        <v>46266</v>
      </c>
      <c r="E436" s="5" t="n">
        <v>46296</v>
      </c>
      <c r="F436" t="inlineStr">
        <is>
          <t>AUD</t>
        </is>
      </c>
      <c r="G436" s="9" t="n">
        <v>16032.5</v>
      </c>
      <c r="H436" s="9" t="n">
        <v>1457.5</v>
      </c>
      <c r="I436" s="9" t="n">
        <v>16032.5</v>
      </c>
      <c r="J436" s="9">
        <f>ROUND(1*SUMIFS('Allocations'!$C$5:$C$222,'Allocations'!$B$5:$B$222,A436),2)</f>
        <v>0</v>
      </c>
      <c r="K436" s="9">
        <f>ROUND(I436-J436,2)</f>
        <v>16032.5</v>
      </c>
      <c r="L436">
        <f>MAX(0,DATE(2026,9,30)-E436)</f>
        <v>0</v>
      </c>
      <c r="M436">
        <f>IF(K436&lt;-0.005,"Credit balance: check for double payment",IF(AND(K436&gt;0.005,L436&gt;60),"Over 60 days overdue",""))</f>
      </c>
    </row>
    <row r="437">
      <c r="A437" t="inlineStr">
        <is>
          <t>INV/2026/03591</t>
        </is>
      </c>
      <c r="B437" t="inlineStr">
        <is>
          <t>Invoice</t>
        </is>
      </c>
      <c r="C437" t="inlineStr">
        <is>
          <t>Broadmeadow Plastics</t>
        </is>
      </c>
      <c r="D437" s="5" t="n">
        <v>46268</v>
      </c>
      <c r="E437" s="5" t="n">
        <v>46298</v>
      </c>
      <c r="F437" t="inlineStr">
        <is>
          <t>AUD</t>
        </is>
      </c>
      <c r="G437" s="9" t="n">
        <v>5280</v>
      </c>
      <c r="H437" s="9" t="n">
        <v>480</v>
      </c>
      <c r="I437" s="9" t="n">
        <v>5280</v>
      </c>
      <c r="J437" s="9">
        <f>ROUND(1*SUMIFS('Allocations'!$C$5:$C$222,'Allocations'!$B$5:$B$222,A437),2)</f>
        <v>0</v>
      </c>
      <c r="K437" s="9">
        <f>ROUND(I437-J437,2)</f>
        <v>5280</v>
      </c>
      <c r="L437">
        <f>MAX(0,DATE(2026,9,30)-E437)</f>
        <v>0</v>
      </c>
      <c r="M437">
        <f>IF(K437&lt;-0.005,"Credit balance: check for double payment",IF(AND(K437&gt;0.005,L437&gt;60),"Over 60 days overdue",""))</f>
      </c>
    </row>
    <row r="438">
      <c r="A438" t="inlineStr">
        <is>
          <t>INV/2026/03592</t>
        </is>
      </c>
      <c r="B438" t="inlineStr">
        <is>
          <t>Invoice</t>
        </is>
      </c>
      <c r="C438" t="inlineStr">
        <is>
          <t>Linfield Dairy Co</t>
        </is>
      </c>
      <c r="D438" s="5" t="n">
        <v>46267</v>
      </c>
      <c r="E438" s="5" t="n">
        <v>46297</v>
      </c>
      <c r="F438" t="inlineStr">
        <is>
          <t>AUD</t>
        </is>
      </c>
      <c r="G438" s="9" t="n">
        <v>2035</v>
      </c>
      <c r="H438" s="9" t="n">
        <v>185</v>
      </c>
      <c r="I438" s="9" t="n">
        <v>2035</v>
      </c>
      <c r="J438" s="9">
        <f>ROUND(1*SUMIFS('Allocations'!$C$5:$C$222,'Allocations'!$B$5:$B$222,A438),2)</f>
        <v>0</v>
      </c>
      <c r="K438" s="9">
        <f>ROUND(I438-J438,2)</f>
        <v>2035</v>
      </c>
      <c r="L438">
        <f>MAX(0,DATE(2026,9,30)-E438)</f>
        <v>0</v>
      </c>
      <c r="M438">
        <f>IF(K438&lt;-0.005,"Credit balance: check for double payment",IF(AND(K438&gt;0.005,L438&gt;60),"Over 60 days overdue",""))</f>
      </c>
    </row>
    <row r="439">
      <c r="A439" t="inlineStr">
        <is>
          <t>INV/2026/03593</t>
        </is>
      </c>
      <c r="B439" t="inlineStr">
        <is>
          <t>Invoice</t>
        </is>
      </c>
      <c r="C439" t="inlineStr">
        <is>
          <t>Linfield Dairy Co</t>
        </is>
      </c>
      <c r="D439" s="5" t="n">
        <v>46268</v>
      </c>
      <c r="E439" s="5" t="n">
        <v>46298</v>
      </c>
      <c r="F439" t="inlineStr">
        <is>
          <t>AUD</t>
        </is>
      </c>
      <c r="G439" s="9" t="n">
        <v>2035</v>
      </c>
      <c r="H439" s="9" t="n">
        <v>185</v>
      </c>
      <c r="I439" s="9" t="n">
        <v>2035</v>
      </c>
      <c r="J439" s="9">
        <f>ROUND(1*SUMIFS('Allocations'!$C$5:$C$222,'Allocations'!$B$5:$B$222,A439),2)</f>
        <v>0</v>
      </c>
      <c r="K439" s="9">
        <f>ROUND(I439-J439,2)</f>
        <v>2035</v>
      </c>
      <c r="L439">
        <f>MAX(0,DATE(2026,9,30)-E439)</f>
        <v>0</v>
      </c>
      <c r="M439">
        <f>IF(K439&lt;-0.005,"Credit balance: check for double payment",IF(AND(K439&gt;0.005,L439&gt;60),"Over 60 days overdue",""))</f>
      </c>
    </row>
    <row r="440">
      <c r="A440" t="inlineStr">
        <is>
          <t>INV/2026/03594</t>
        </is>
      </c>
      <c r="B440" t="inlineStr">
        <is>
          <t>Invoice</t>
        </is>
      </c>
      <c r="C440" t="inlineStr">
        <is>
          <t>Ashgrove Accounting</t>
        </is>
      </c>
      <c r="D440" s="5" t="n">
        <v>46280</v>
      </c>
      <c r="E440" s="5" t="n">
        <v>46310</v>
      </c>
      <c r="F440" t="inlineStr">
        <is>
          <t>AUD</t>
        </is>
      </c>
      <c r="G440" s="9" t="n">
        <v>1402.5</v>
      </c>
      <c r="H440" s="9" t="n">
        <v>127.5</v>
      </c>
      <c r="I440" s="9" t="n">
        <v>1402.5</v>
      </c>
      <c r="J440" s="9">
        <f>ROUND(1*SUMIFS('Allocations'!$C$5:$C$222,'Allocations'!$B$5:$B$222,A440),2)</f>
        <v>0</v>
      </c>
      <c r="K440" s="9">
        <f>ROUND(I440-J440,2)</f>
        <v>1402.5</v>
      </c>
      <c r="L440">
        <f>MAX(0,DATE(2026,9,30)-E440)</f>
        <v>0</v>
      </c>
      <c r="M440">
        <f>IF(K440&lt;-0.005,"Credit balance: check for double payment",IF(AND(K440&gt;0.005,L440&gt;60),"Over 60 days overdue",""))</f>
      </c>
    </row>
    <row r="441">
      <c r="A441" t="inlineStr">
        <is>
          <t>INV/2026/03595</t>
        </is>
      </c>
      <c r="B441" t="inlineStr">
        <is>
          <t>Invoice</t>
        </is>
      </c>
      <c r="C441" t="inlineStr">
        <is>
          <t>Peregrine Security</t>
        </is>
      </c>
      <c r="D441" s="5" t="n">
        <v>46280</v>
      </c>
      <c r="E441" s="5" t="n">
        <v>46310</v>
      </c>
      <c r="F441" t="inlineStr">
        <is>
          <t>AUD</t>
        </is>
      </c>
      <c r="G441" s="9" t="n">
        <v>16101.25</v>
      </c>
      <c r="H441" s="9" t="n">
        <v>1463.75</v>
      </c>
      <c r="I441" s="9" t="n">
        <v>16101.25</v>
      </c>
      <c r="J441" s="9">
        <f>ROUND(1*SUMIFS('Allocations'!$C$5:$C$222,'Allocations'!$B$5:$B$222,A441),2)</f>
        <v>0</v>
      </c>
      <c r="K441" s="9">
        <f>ROUND(I441-J441,2)</f>
        <v>16101.25</v>
      </c>
      <c r="L441">
        <f>MAX(0,DATE(2026,9,30)-E441)</f>
        <v>0</v>
      </c>
      <c r="M441">
        <f>IF(K441&lt;-0.005,"Credit balance: check for double payment",IF(AND(K441&gt;0.005,L441&gt;60),"Over 60 days overdue",""))</f>
      </c>
    </row>
    <row r="442">
      <c r="A442" t="inlineStr">
        <is>
          <t>INV/2026/03596</t>
        </is>
      </c>
      <c r="B442" t="inlineStr">
        <is>
          <t>Invoice</t>
        </is>
      </c>
      <c r="C442" t="inlineStr">
        <is>
          <t>Peregrine Security</t>
        </is>
      </c>
      <c r="D442" s="5" t="n">
        <v>46268</v>
      </c>
      <c r="E442" s="5" t="n">
        <v>46298</v>
      </c>
      <c r="F442" t="inlineStr">
        <is>
          <t>AUD</t>
        </is>
      </c>
      <c r="G442" s="9" t="n">
        <v>3547.5</v>
      </c>
      <c r="H442" s="9" t="n">
        <v>322.5</v>
      </c>
      <c r="I442" s="9" t="n">
        <v>3547.5</v>
      </c>
      <c r="J442" s="9">
        <f>ROUND(1*SUMIFS('Allocations'!$C$5:$C$222,'Allocations'!$B$5:$B$222,A442),2)</f>
        <v>0</v>
      </c>
      <c r="K442" s="9">
        <f>ROUND(I442-J442,2)</f>
        <v>3547.5</v>
      </c>
      <c r="L442">
        <f>MAX(0,DATE(2026,9,30)-E442)</f>
        <v>0</v>
      </c>
      <c r="M442">
        <f>IF(K442&lt;-0.005,"Credit balance: check for double payment",IF(AND(K442&gt;0.005,L442&gt;60),"Over 60 days overdue",""))</f>
      </c>
    </row>
    <row r="443">
      <c r="A443" t="inlineStr">
        <is>
          <t>INV/2026/03597</t>
        </is>
      </c>
      <c r="B443" t="inlineStr">
        <is>
          <t>Invoice</t>
        </is>
      </c>
      <c r="C443" t="inlineStr">
        <is>
          <t>Cobblestone Retail Group</t>
        </is>
      </c>
      <c r="D443" s="5" t="n">
        <v>46268</v>
      </c>
      <c r="E443" s="5" t="n">
        <v>46298</v>
      </c>
      <c r="F443" t="inlineStr">
        <is>
          <t>AUD</t>
        </is>
      </c>
      <c r="G443" s="9" t="n">
        <v>2722.5</v>
      </c>
      <c r="H443" s="9" t="n">
        <v>247.5</v>
      </c>
      <c r="I443" s="9" t="n">
        <v>2722.5</v>
      </c>
      <c r="J443" s="9">
        <f>ROUND(1*SUMIFS('Allocations'!$C$5:$C$222,'Allocations'!$B$5:$B$222,A443),2)</f>
        <v>0</v>
      </c>
      <c r="K443" s="9">
        <f>ROUND(I443-J443,2)</f>
        <v>2722.5</v>
      </c>
      <c r="L443">
        <f>MAX(0,DATE(2026,9,30)-E443)</f>
        <v>0</v>
      </c>
      <c r="M443">
        <f>IF(K443&lt;-0.005,"Credit balance: check for double payment",IF(AND(K443&gt;0.005,L443&gt;60),"Over 60 days overdue",""))</f>
      </c>
    </row>
    <row r="444">
      <c r="A444" t="inlineStr">
        <is>
          <t>INV/2026/03598</t>
        </is>
      </c>
      <c r="B444" t="inlineStr">
        <is>
          <t>Invoice</t>
        </is>
      </c>
      <c r="C444" t="inlineStr">
        <is>
          <t>Daintree Packaging</t>
        </is>
      </c>
      <c r="D444" s="5" t="n">
        <v>46267</v>
      </c>
      <c r="E444" s="5" t="n">
        <v>46297</v>
      </c>
      <c r="F444" t="inlineStr">
        <is>
          <t>AUD</t>
        </is>
      </c>
      <c r="G444" s="9" t="n">
        <v>2186.25</v>
      </c>
      <c r="H444" s="9" t="n">
        <v>198.75</v>
      </c>
      <c r="I444" s="9" t="n">
        <v>2186.25</v>
      </c>
      <c r="J444" s="9">
        <f>ROUND(1*SUMIFS('Allocations'!$C$5:$C$222,'Allocations'!$B$5:$B$222,A444),2)</f>
        <v>0</v>
      </c>
      <c r="K444" s="9">
        <f>ROUND(I444-J444,2)</f>
        <v>2186.25</v>
      </c>
      <c r="L444">
        <f>MAX(0,DATE(2026,9,30)-E444)</f>
        <v>0</v>
      </c>
      <c r="M444">
        <f>IF(K444&lt;-0.005,"Credit balance: check for double payment",IF(AND(K444&gt;0.005,L444&gt;60),"Over 60 days overdue",""))</f>
      </c>
    </row>
    <row r="445">
      <c r="A445" t="inlineStr">
        <is>
          <t>INV/2026/03599</t>
        </is>
      </c>
      <c r="B445" t="inlineStr">
        <is>
          <t>Invoice</t>
        </is>
      </c>
      <c r="C445" t="inlineStr">
        <is>
          <t>Daintree Packaging</t>
        </is>
      </c>
      <c r="D445" s="5" t="n">
        <v>46267</v>
      </c>
      <c r="E445" s="5" t="n">
        <v>46297</v>
      </c>
      <c r="F445" t="inlineStr">
        <is>
          <t>AUD</t>
        </is>
      </c>
      <c r="G445" s="9" t="n">
        <v>1402.5</v>
      </c>
      <c r="H445" s="9" t="n">
        <v>127.5</v>
      </c>
      <c r="I445" s="9" t="n">
        <v>1402.5</v>
      </c>
      <c r="J445" s="9">
        <f>ROUND(1*SUMIFS('Allocations'!$C$5:$C$222,'Allocations'!$B$5:$B$222,A445),2)</f>
        <v>0</v>
      </c>
      <c r="K445" s="9">
        <f>ROUND(I445-J445,2)</f>
        <v>1402.5</v>
      </c>
      <c r="L445">
        <f>MAX(0,DATE(2026,9,30)-E445)</f>
        <v>0</v>
      </c>
      <c r="M445">
        <f>IF(K445&lt;-0.005,"Credit balance: check for double payment",IF(AND(K445&gt;0.005,L445&gt;60),"Over 60 days overdue",""))</f>
      </c>
    </row>
    <row r="446">
      <c r="A446" t="inlineStr">
        <is>
          <t>INV/2026/03601</t>
        </is>
      </c>
      <c r="B446" t="inlineStr">
        <is>
          <t>Invoice</t>
        </is>
      </c>
      <c r="C446" t="inlineStr">
        <is>
          <t>Elmhurst Property Group</t>
        </is>
      </c>
      <c r="D446" s="5" t="n">
        <v>46266</v>
      </c>
      <c r="E446" s="5" t="n">
        <v>46296</v>
      </c>
      <c r="F446" t="inlineStr">
        <is>
          <t>AUD</t>
        </is>
      </c>
      <c r="G446" s="9" t="n">
        <v>5280</v>
      </c>
      <c r="H446" s="9" t="n">
        <v>480</v>
      </c>
      <c r="I446" s="9" t="n">
        <v>5280</v>
      </c>
      <c r="J446" s="9">
        <f>ROUND(1*SUMIFS('Allocations'!$C$5:$C$222,'Allocations'!$B$5:$B$222,A446),2)</f>
        <v>0</v>
      </c>
      <c r="K446" s="9">
        <f>ROUND(I446-J446,2)</f>
        <v>5280</v>
      </c>
      <c r="L446">
        <f>MAX(0,DATE(2026,9,30)-E446)</f>
        <v>0</v>
      </c>
      <c r="M446">
        <f>IF(K446&lt;-0.005,"Credit balance: check for double payment",IF(AND(K446&gt;0.005,L446&gt;60),"Over 60 days overdue",""))</f>
      </c>
    </row>
    <row r="447">
      <c r="A447" t="inlineStr">
        <is>
          <t>INV/2026/03602</t>
        </is>
      </c>
      <c r="B447" t="inlineStr">
        <is>
          <t>Invoice</t>
        </is>
      </c>
      <c r="C447" t="inlineStr">
        <is>
          <t>Fairlie Bros Plumbing</t>
        </is>
      </c>
      <c r="D447" s="5" t="n">
        <v>46267</v>
      </c>
      <c r="E447" s="5" t="n">
        <v>46297</v>
      </c>
      <c r="F447" t="inlineStr">
        <is>
          <t>AUD</t>
        </is>
      </c>
      <c r="G447" s="9" t="n">
        <v>10876.25</v>
      </c>
      <c r="H447" s="9" t="n">
        <v>988.75</v>
      </c>
      <c r="I447" s="9" t="n">
        <v>10876.25</v>
      </c>
      <c r="J447" s="9">
        <f>ROUND(1*SUMIFS('Allocations'!$C$5:$C$222,'Allocations'!$B$5:$B$222,A447),2)</f>
        <v>0</v>
      </c>
      <c r="K447" s="9">
        <f>ROUND(I447-J447,2)</f>
        <v>10876.25</v>
      </c>
      <c r="L447">
        <f>MAX(0,DATE(2026,9,30)-E447)</f>
        <v>0</v>
      </c>
      <c r="M447">
        <f>IF(K447&lt;-0.005,"Credit balance: check for double payment",IF(AND(K447&gt;0.005,L447&gt;60),"Over 60 days overdue",""))</f>
      </c>
    </row>
    <row r="448">
      <c r="A448" t="inlineStr">
        <is>
          <t>INV/2026/03603</t>
        </is>
      </c>
      <c r="B448" t="inlineStr">
        <is>
          <t>Invoice</t>
        </is>
      </c>
      <c r="C448" t="inlineStr">
        <is>
          <t>Gilmour Steel Pty Ltd</t>
        </is>
      </c>
      <c r="D448" s="5" t="n">
        <v>46266</v>
      </c>
      <c r="E448" s="5" t="n">
        <v>46296</v>
      </c>
      <c r="F448" t="inlineStr">
        <is>
          <t>AUD</t>
        </is>
      </c>
      <c r="G448" s="9" t="n">
        <v>6902.5</v>
      </c>
      <c r="H448" s="9" t="n">
        <v>627.5</v>
      </c>
      <c r="I448" s="9" t="n">
        <v>6902.5</v>
      </c>
      <c r="J448" s="9">
        <f>ROUND(1*SUMIFS('Allocations'!$C$5:$C$222,'Allocations'!$B$5:$B$222,A448),2)</f>
        <v>0</v>
      </c>
      <c r="K448" s="9">
        <f>ROUND(I448-J448,2)</f>
        <v>6902.5</v>
      </c>
      <c r="L448">
        <f>MAX(0,DATE(2026,9,30)-E448)</f>
        <v>0</v>
      </c>
      <c r="M448">
        <f>IF(K448&lt;-0.005,"Credit balance: check for double payment",IF(AND(K448&gt;0.005,L448&gt;60),"Over 60 days overdue",""))</f>
      </c>
    </row>
    <row r="449">
      <c r="A449" t="inlineStr">
        <is>
          <t>INV/2026/03604</t>
        </is>
      </c>
      <c r="B449" t="inlineStr">
        <is>
          <t>Invoice</t>
        </is>
      </c>
      <c r="C449" t="inlineStr">
        <is>
          <t>Gilmour Steel Pty Ltd</t>
        </is>
      </c>
      <c r="D449" s="5" t="n">
        <v>46266</v>
      </c>
      <c r="E449" s="5" t="n">
        <v>46296</v>
      </c>
      <c r="F449" t="inlineStr">
        <is>
          <t>AUD</t>
        </is>
      </c>
      <c r="G449" s="9" t="n">
        <v>2117.5</v>
      </c>
      <c r="H449" s="9" t="n">
        <v>192.5</v>
      </c>
      <c r="I449" s="9" t="n">
        <v>2117.5</v>
      </c>
      <c r="J449" s="9">
        <f>ROUND(1*SUMIFS('Allocations'!$C$5:$C$222,'Allocations'!$B$5:$B$222,A449),2)</f>
        <v>0</v>
      </c>
      <c r="K449" s="9">
        <f>ROUND(I449-J449,2)</f>
        <v>2117.5</v>
      </c>
      <c r="L449">
        <f>MAX(0,DATE(2026,9,30)-E449)</f>
        <v>0</v>
      </c>
      <c r="M449">
        <f>IF(K449&lt;-0.005,"Credit balance: check for double payment",IF(AND(K449&gt;0.005,L449&gt;60),"Over 60 days overdue",""))</f>
      </c>
    </row>
    <row r="450">
      <c r="A450" t="inlineStr">
        <is>
          <t>INV/2026/03605</t>
        </is>
      </c>
      <c r="B450" t="inlineStr">
        <is>
          <t>Invoice</t>
        </is>
      </c>
      <c r="C450" t="inlineStr">
        <is>
          <t>Hollis &amp; Fry Architects</t>
        </is>
      </c>
      <c r="D450" s="5" t="n">
        <v>46266</v>
      </c>
      <c r="E450" s="5" t="n">
        <v>46296</v>
      </c>
      <c r="F450" t="inlineStr">
        <is>
          <t>AUD</t>
        </is>
      </c>
      <c r="G450" s="9" t="n">
        <v>3547.5</v>
      </c>
      <c r="H450" s="9" t="n">
        <v>322.5</v>
      </c>
      <c r="I450" s="9" t="n">
        <v>3547.5</v>
      </c>
      <c r="J450" s="9">
        <f>ROUND(1*SUMIFS('Allocations'!$C$5:$C$222,'Allocations'!$B$5:$B$222,A450),2)</f>
        <v>0</v>
      </c>
      <c r="K450" s="9">
        <f>ROUND(I450-J450,2)</f>
        <v>3547.5</v>
      </c>
      <c r="L450">
        <f>MAX(0,DATE(2026,9,30)-E450)</f>
        <v>0</v>
      </c>
      <c r="M450">
        <f>IF(K450&lt;-0.005,"Credit balance: check for double payment",IF(AND(K450&gt;0.005,L450&gt;60),"Over 60 days overdue",""))</f>
      </c>
    </row>
    <row r="451">
      <c r="A451" t="inlineStr">
        <is>
          <t>INV/2026/03606</t>
        </is>
      </c>
      <c r="B451" t="inlineStr">
        <is>
          <t>Invoice</t>
        </is>
      </c>
      <c r="C451" t="inlineStr">
        <is>
          <t>Inglewood Cold Storage</t>
        </is>
      </c>
      <c r="D451" s="5" t="n">
        <v>46266</v>
      </c>
      <c r="E451" s="5" t="n">
        <v>46296</v>
      </c>
      <c r="F451" t="inlineStr">
        <is>
          <t>AUD</t>
        </is>
      </c>
      <c r="G451" s="9" t="n">
        <v>1320</v>
      </c>
      <c r="H451" s="9" t="n">
        <v>120</v>
      </c>
      <c r="I451" s="9" t="n">
        <v>1320</v>
      </c>
      <c r="J451" s="9">
        <f>ROUND(1*SUMIFS('Allocations'!$C$5:$C$222,'Allocations'!$B$5:$B$222,A451),2)</f>
        <v>0</v>
      </c>
      <c r="K451" s="9">
        <f>ROUND(I451-J451,2)</f>
        <v>1320</v>
      </c>
      <c r="L451">
        <f>MAX(0,DATE(2026,9,30)-E451)</f>
        <v>0</v>
      </c>
      <c r="M451">
        <f>IF(K451&lt;-0.005,"Credit balance: check for double payment",IF(AND(K451&gt;0.005,L451&gt;60),"Over 60 days overdue",""))</f>
      </c>
    </row>
    <row r="452">
      <c r="A452" t="inlineStr">
        <is>
          <t>INV/2026/03608</t>
        </is>
      </c>
      <c r="B452" t="inlineStr">
        <is>
          <t>Invoice</t>
        </is>
      </c>
      <c r="C452" t="inlineStr">
        <is>
          <t>Jarrah Ridge Estates</t>
        </is>
      </c>
      <c r="D452" s="5" t="n">
        <v>46267</v>
      </c>
      <c r="E452" s="5" t="n">
        <v>46297</v>
      </c>
      <c r="F452" t="inlineStr">
        <is>
          <t>AUD</t>
        </is>
      </c>
      <c r="G452" s="9" t="n">
        <v>2722.5</v>
      </c>
      <c r="H452" s="9" t="n">
        <v>247.5</v>
      </c>
      <c r="I452" s="9" t="n">
        <v>2722.5</v>
      </c>
      <c r="J452" s="9">
        <f>ROUND(1*SUMIFS('Allocations'!$C$5:$C$222,'Allocations'!$B$5:$B$222,A452),2)</f>
        <v>0</v>
      </c>
      <c r="K452" s="9">
        <f>ROUND(I452-J452,2)</f>
        <v>2722.5</v>
      </c>
      <c r="L452">
        <f>MAX(0,DATE(2026,9,30)-E452)</f>
        <v>0</v>
      </c>
      <c r="M452">
        <f>IF(K452&lt;-0.005,"Credit balance: check for double payment",IF(AND(K452&gt;0.005,L452&gt;60),"Over 60 days overdue",""))</f>
      </c>
    </row>
    <row r="453">
      <c r="A453" t="inlineStr">
        <is>
          <t>INV/2026/03609</t>
        </is>
      </c>
      <c r="B453" t="inlineStr">
        <is>
          <t>Invoice</t>
        </is>
      </c>
      <c r="C453" t="inlineStr">
        <is>
          <t>Kinross Medical Couriers</t>
        </is>
      </c>
      <c r="D453" s="5" t="n">
        <v>46268</v>
      </c>
      <c r="E453" s="5" t="n">
        <v>46298</v>
      </c>
      <c r="F453" t="inlineStr">
        <is>
          <t>AUD</t>
        </is>
      </c>
      <c r="G453" s="9" t="n">
        <v>6902.5</v>
      </c>
      <c r="H453" s="9" t="n">
        <v>627.5</v>
      </c>
      <c r="I453" s="9" t="n">
        <v>6902.5</v>
      </c>
      <c r="J453" s="9">
        <f>ROUND(1*SUMIFS('Allocations'!$C$5:$C$222,'Allocations'!$B$5:$B$222,A453),2)</f>
        <v>0</v>
      </c>
      <c r="K453" s="9">
        <f>ROUND(I453-J453,2)</f>
        <v>6902.5</v>
      </c>
      <c r="L453">
        <f>MAX(0,DATE(2026,9,30)-E453)</f>
        <v>0</v>
      </c>
      <c r="M453">
        <f>IF(K453&lt;-0.005,"Credit balance: check for double payment",IF(AND(K453&gt;0.005,L453&gt;60),"Over 60 days overdue",""))</f>
      </c>
    </row>
    <row r="454">
      <c r="A454" t="inlineStr">
        <is>
          <t>INV/2026/03610</t>
        </is>
      </c>
      <c r="B454" t="inlineStr">
        <is>
          <t>Invoice</t>
        </is>
      </c>
      <c r="C454" t="inlineStr">
        <is>
          <t>Lockhart Glass</t>
        </is>
      </c>
      <c r="D454" s="5" t="n">
        <v>46280</v>
      </c>
      <c r="E454" s="5" t="n">
        <v>46310</v>
      </c>
      <c r="F454" t="inlineStr">
        <is>
          <t>AUD</t>
        </is>
      </c>
      <c r="G454" s="9" t="n">
        <v>2035</v>
      </c>
      <c r="H454" s="9" t="n">
        <v>185</v>
      </c>
      <c r="I454" s="9" t="n">
        <v>2035</v>
      </c>
      <c r="J454" s="9">
        <f>ROUND(1*SUMIFS('Allocations'!$C$5:$C$222,'Allocations'!$B$5:$B$222,A454),2)</f>
        <v>0</v>
      </c>
      <c r="K454" s="9">
        <f>ROUND(I454-J454,2)</f>
        <v>2035</v>
      </c>
      <c r="L454">
        <f>MAX(0,DATE(2026,9,30)-E454)</f>
        <v>0</v>
      </c>
      <c r="M454">
        <f>IF(K454&lt;-0.005,"Credit balance: check for double payment",IF(AND(K454&gt;0.005,L454&gt;60),"Over 60 days overdue",""))</f>
      </c>
    </row>
    <row r="455">
      <c r="A455" t="inlineStr">
        <is>
          <t>INV/2026/03611</t>
        </is>
      </c>
      <c r="B455" t="inlineStr">
        <is>
          <t>Invoice</t>
        </is>
      </c>
      <c r="C455" t="inlineStr">
        <is>
          <t>Mornane Electrical</t>
        </is>
      </c>
      <c r="D455" s="5" t="n">
        <v>46268</v>
      </c>
      <c r="E455" s="5" t="n">
        <v>46298</v>
      </c>
      <c r="F455" t="inlineStr">
        <is>
          <t>AUD</t>
        </is>
      </c>
      <c r="G455" s="9" t="n">
        <v>2722.5</v>
      </c>
      <c r="H455" s="9" t="n">
        <v>247.5</v>
      </c>
      <c r="I455" s="9" t="n">
        <v>2722.5</v>
      </c>
      <c r="J455" s="9">
        <f>ROUND(1*SUMIFS('Allocations'!$C$5:$C$222,'Allocations'!$B$5:$B$222,A455),2)</f>
        <v>0</v>
      </c>
      <c r="K455" s="9">
        <f>ROUND(I455-J455,2)</f>
        <v>2722.5</v>
      </c>
      <c r="L455">
        <f>MAX(0,DATE(2026,9,30)-E455)</f>
        <v>0</v>
      </c>
      <c r="M455">
        <f>IF(K455&lt;-0.005,"Credit balance: check for double payment",IF(AND(K455&gt;0.005,L455&gt;60),"Over 60 days overdue",""))</f>
      </c>
    </row>
    <row r="456">
      <c r="A456" t="inlineStr">
        <is>
          <t>INV/2026/03612</t>
        </is>
      </c>
      <c r="B456" t="inlineStr">
        <is>
          <t>Invoice</t>
        </is>
      </c>
      <c r="C456" t="inlineStr">
        <is>
          <t>Mornane Electrical</t>
        </is>
      </c>
      <c r="D456" s="5" t="n">
        <v>46280</v>
      </c>
      <c r="E456" s="5" t="n">
        <v>46310</v>
      </c>
      <c r="F456" t="inlineStr">
        <is>
          <t>AUD</t>
        </is>
      </c>
      <c r="G456" s="9" t="n">
        <v>10807.5</v>
      </c>
      <c r="H456" s="9" t="n">
        <v>982.5</v>
      </c>
      <c r="I456" s="9" t="n">
        <v>10807.5</v>
      </c>
      <c r="J456" s="9">
        <f>ROUND(1*SUMIFS('Allocations'!$C$5:$C$222,'Allocations'!$B$5:$B$222,A456),2)</f>
        <v>0</v>
      </c>
      <c r="K456" s="9">
        <f>ROUND(I456-J456,2)</f>
        <v>10807.5</v>
      </c>
      <c r="L456">
        <f>MAX(0,DATE(2026,9,30)-E456)</f>
        <v>0</v>
      </c>
      <c r="M456">
        <f>IF(K456&lt;-0.005,"Credit balance: check for double payment",IF(AND(K456&gt;0.005,L456&gt;60),"Over 60 days overdue",""))</f>
      </c>
    </row>
    <row r="457">
      <c r="A457" t="inlineStr">
        <is>
          <t>INV/2026/03613</t>
        </is>
      </c>
      <c r="B457" t="inlineStr">
        <is>
          <t>Invoice</t>
        </is>
      </c>
      <c r="C457" t="inlineStr">
        <is>
          <t>Nettlefold Joinery</t>
        </is>
      </c>
      <c r="D457" s="5" t="n">
        <v>46267</v>
      </c>
      <c r="E457" s="5" t="n">
        <v>46297</v>
      </c>
      <c r="F457" t="inlineStr">
        <is>
          <t>AUD</t>
        </is>
      </c>
      <c r="G457" s="9" t="n">
        <v>5280</v>
      </c>
      <c r="H457" s="9" t="n">
        <v>480</v>
      </c>
      <c r="I457" s="9" t="n">
        <v>5280</v>
      </c>
      <c r="J457" s="9">
        <f>ROUND(1*SUMIFS('Allocations'!$C$5:$C$222,'Allocations'!$B$5:$B$222,A457),2)</f>
        <v>0</v>
      </c>
      <c r="K457" s="9">
        <f>ROUND(I457-J457,2)</f>
        <v>5280</v>
      </c>
      <c r="L457">
        <f>MAX(0,DATE(2026,9,30)-E457)</f>
        <v>0</v>
      </c>
      <c r="M457">
        <f>IF(K457&lt;-0.005,"Credit balance: check for double payment",IF(AND(K457&gt;0.005,L457&gt;60),"Over 60 days overdue",""))</f>
      </c>
    </row>
    <row r="458">
      <c r="A458" t="inlineStr">
        <is>
          <t>INV/2026/03614</t>
        </is>
      </c>
      <c r="B458" t="inlineStr">
        <is>
          <t>Invoice</t>
        </is>
      </c>
      <c r="C458" t="inlineStr">
        <is>
          <t>Nettlefold Joinery</t>
        </is>
      </c>
      <c r="D458" s="5" t="n">
        <v>46267</v>
      </c>
      <c r="E458" s="5" t="n">
        <v>46297</v>
      </c>
      <c r="F458" t="inlineStr">
        <is>
          <t>AUD</t>
        </is>
      </c>
      <c r="G458" s="9" t="n">
        <v>6820</v>
      </c>
      <c r="H458" s="9" t="n">
        <v>620</v>
      </c>
      <c r="I458" s="9" t="n">
        <v>6820</v>
      </c>
      <c r="J458" s="9">
        <f>ROUND(1*SUMIFS('Allocations'!$C$5:$C$222,'Allocations'!$B$5:$B$222,A458),2)</f>
        <v>0</v>
      </c>
      <c r="K458" s="9">
        <f>ROUND(I458-J458,2)</f>
        <v>6820</v>
      </c>
      <c r="L458">
        <f>MAX(0,DATE(2026,9,30)-E458)</f>
        <v>0</v>
      </c>
      <c r="M458">
        <f>IF(K458&lt;-0.005,"Credit balance: check for double payment",IF(AND(K458&gt;0.005,L458&gt;60),"Over 60 days overdue",""))</f>
      </c>
    </row>
    <row r="459">
      <c r="A459" t="inlineStr">
        <is>
          <t>INV/2026/03615</t>
        </is>
      </c>
      <c r="B459" t="inlineStr">
        <is>
          <t>Invoice</t>
        </is>
      </c>
      <c r="C459" t="inlineStr">
        <is>
          <t>Oakbank Recycling</t>
        </is>
      </c>
      <c r="D459" s="5" t="n">
        <v>46268</v>
      </c>
      <c r="E459" s="5" t="n">
        <v>46298</v>
      </c>
      <c r="F459" t="inlineStr">
        <is>
          <t>AUD</t>
        </is>
      </c>
      <c r="G459" s="9" t="n">
        <v>10725</v>
      </c>
      <c r="H459" s="9" t="n">
        <v>975</v>
      </c>
      <c r="I459" s="9" t="n">
        <v>10725</v>
      </c>
      <c r="J459" s="9">
        <f>ROUND(1*SUMIFS('Allocations'!$C$5:$C$222,'Allocations'!$B$5:$B$222,A459),2)</f>
        <v>0</v>
      </c>
      <c r="K459" s="9">
        <f>ROUND(I459-J459,2)</f>
        <v>10725</v>
      </c>
      <c r="L459">
        <f>MAX(0,DATE(2026,9,30)-E459)</f>
        <v>0</v>
      </c>
      <c r="M459">
        <f>IF(K459&lt;-0.005,"Credit balance: check for double payment",IF(AND(K459&gt;0.005,L459&gt;60),"Over 60 days overdue",""))</f>
      </c>
    </row>
    <row r="460">
      <c r="A460" t="inlineStr">
        <is>
          <t>INV/2026/03616</t>
        </is>
      </c>
      <c r="B460" t="inlineStr">
        <is>
          <t>Invoice</t>
        </is>
      </c>
      <c r="C460" t="inlineStr">
        <is>
          <t>Pendle Hill Bakery</t>
        </is>
      </c>
      <c r="D460" s="5" t="n">
        <v>46267</v>
      </c>
      <c r="E460" s="5" t="n">
        <v>46297</v>
      </c>
      <c r="F460" t="inlineStr">
        <is>
          <t>AUD</t>
        </is>
      </c>
      <c r="G460" s="9" t="n">
        <v>3616.25</v>
      </c>
      <c r="H460" s="9" t="n">
        <v>328.75</v>
      </c>
      <c r="I460" s="9" t="n">
        <v>3616.25</v>
      </c>
      <c r="J460" s="9">
        <f>ROUND(1*SUMIFS('Allocations'!$C$5:$C$222,'Allocations'!$B$5:$B$222,A460),2)</f>
        <v>0</v>
      </c>
      <c r="K460" s="9">
        <f>ROUND(I460-J460,2)</f>
        <v>3616.25</v>
      </c>
      <c r="L460">
        <f>MAX(0,DATE(2026,9,30)-E460)</f>
        <v>0</v>
      </c>
      <c r="M460">
        <f>IF(K460&lt;-0.005,"Credit balance: check for double payment",IF(AND(K460&gt;0.005,L460&gt;60),"Over 60 days overdue",""))</f>
      </c>
    </row>
    <row r="461">
      <c r="A461" t="inlineStr">
        <is>
          <t>INV/2026/03618</t>
        </is>
      </c>
      <c r="B461" t="inlineStr">
        <is>
          <t>Invoice</t>
        </is>
      </c>
      <c r="C461" t="inlineStr">
        <is>
          <t>Quarry Lane Concrete</t>
        </is>
      </c>
      <c r="D461" s="5" t="n">
        <v>46280</v>
      </c>
      <c r="E461" s="5" t="n">
        <v>46310</v>
      </c>
      <c r="F461" t="inlineStr">
        <is>
          <t>AUD</t>
        </is>
      </c>
      <c r="G461" s="9" t="n">
        <v>10725</v>
      </c>
      <c r="H461" s="9" t="n">
        <v>975</v>
      </c>
      <c r="I461" s="9" t="n">
        <v>10725</v>
      </c>
      <c r="J461" s="9">
        <f>ROUND(1*SUMIFS('Allocations'!$C$5:$C$222,'Allocations'!$B$5:$B$222,A461),2)</f>
        <v>0</v>
      </c>
      <c r="K461" s="9">
        <f>ROUND(I461-J461,2)</f>
        <v>10725</v>
      </c>
      <c r="L461">
        <f>MAX(0,DATE(2026,9,30)-E461)</f>
        <v>0</v>
      </c>
      <c r="M461">
        <f>IF(K461&lt;-0.005,"Credit balance: check for double payment",IF(AND(K461&gt;0.005,L461&gt;60),"Over 60 days overdue",""))</f>
      </c>
    </row>
    <row r="462">
      <c r="A462" t="inlineStr">
        <is>
          <t>INV/2026/03619</t>
        </is>
      </c>
      <c r="B462" t="inlineStr">
        <is>
          <t>Invoice</t>
        </is>
      </c>
      <c r="C462" t="inlineStr">
        <is>
          <t>Rosedale Nurseries</t>
        </is>
      </c>
      <c r="D462" s="5" t="n">
        <v>46268</v>
      </c>
      <c r="E462" s="5" t="n">
        <v>46298</v>
      </c>
      <c r="F462" t="inlineStr">
        <is>
          <t>AUD</t>
        </is>
      </c>
      <c r="G462" s="9" t="n">
        <v>5431.25</v>
      </c>
      <c r="H462" s="9" t="n">
        <v>493.75</v>
      </c>
      <c r="I462" s="9" t="n">
        <v>5431.25</v>
      </c>
      <c r="J462" s="9">
        <f>ROUND(1*SUMIFS('Allocations'!$C$5:$C$222,'Allocations'!$B$5:$B$222,A462),2)</f>
        <v>0</v>
      </c>
      <c r="K462" s="9">
        <f>ROUND(I462-J462,2)</f>
        <v>5431.25</v>
      </c>
      <c r="L462">
        <f>MAX(0,DATE(2026,9,30)-E462)</f>
        <v>0</v>
      </c>
      <c r="M462">
        <f>IF(K462&lt;-0.005,"Credit balance: check for double payment",IF(AND(K462&gt;0.005,L462&gt;60),"Over 60 days overdue",""))</f>
      </c>
    </row>
    <row r="463">
      <c r="A463" t="inlineStr">
        <is>
          <t>INV/2026/03620</t>
        </is>
      </c>
      <c r="B463" t="inlineStr">
        <is>
          <t>Invoice</t>
        </is>
      </c>
      <c r="C463" t="inlineStr">
        <is>
          <t>Stanhope Trucking</t>
        </is>
      </c>
      <c r="D463" s="5" t="n">
        <v>46266</v>
      </c>
      <c r="E463" s="5" t="n">
        <v>46296</v>
      </c>
      <c r="F463" t="inlineStr">
        <is>
          <t>AUD</t>
        </is>
      </c>
      <c r="G463" s="9" t="n">
        <v>5362.5</v>
      </c>
      <c r="H463" s="9" t="n">
        <v>487.5</v>
      </c>
      <c r="I463" s="9" t="n">
        <v>5362.5</v>
      </c>
      <c r="J463" s="9">
        <f>ROUND(1*SUMIFS('Allocations'!$C$5:$C$222,'Allocations'!$B$5:$B$222,A463),2)</f>
        <v>0</v>
      </c>
      <c r="K463" s="9">
        <f>ROUND(I463-J463,2)</f>
        <v>5362.5</v>
      </c>
      <c r="L463">
        <f>MAX(0,DATE(2026,9,30)-E463)</f>
        <v>0</v>
      </c>
      <c r="M463">
        <f>IF(K463&lt;-0.005,"Credit balance: check for double payment",IF(AND(K463&gt;0.005,L463&gt;60),"Over 60 days overdue",""))</f>
      </c>
    </row>
    <row r="464">
      <c r="A464" t="inlineStr">
        <is>
          <t>INV/2026/03621</t>
        </is>
      </c>
      <c r="B464" t="inlineStr">
        <is>
          <t>Invoice</t>
        </is>
      </c>
      <c r="C464" t="inlineStr">
        <is>
          <t>Thornbury Textiles</t>
        </is>
      </c>
      <c r="D464" s="5" t="n">
        <v>46266</v>
      </c>
      <c r="E464" s="5" t="n">
        <v>46296</v>
      </c>
      <c r="F464" t="inlineStr">
        <is>
          <t>AUD</t>
        </is>
      </c>
      <c r="G464" s="9" t="n">
        <v>2640</v>
      </c>
      <c r="H464" s="9" t="n">
        <v>240</v>
      </c>
      <c r="I464" s="9" t="n">
        <v>2640</v>
      </c>
      <c r="J464" s="9">
        <f>ROUND(1*SUMIFS('Allocations'!$C$5:$C$222,'Allocations'!$B$5:$B$222,A464),2)</f>
        <v>0</v>
      </c>
      <c r="K464" s="9">
        <f>ROUND(I464-J464,2)</f>
        <v>2640</v>
      </c>
      <c r="L464">
        <f>MAX(0,DATE(2026,9,30)-E464)</f>
        <v>0</v>
      </c>
      <c r="M464">
        <f>IF(K464&lt;-0.005,"Credit balance: check for double payment",IF(AND(K464&gt;0.005,L464&gt;60),"Over 60 days overdue",""))</f>
      </c>
    </row>
    <row r="465">
      <c r="A465" t="inlineStr">
        <is>
          <t>INV/2026/03622</t>
        </is>
      </c>
      <c r="B465" t="inlineStr">
        <is>
          <t>Invoice</t>
        </is>
      </c>
      <c r="C465" t="inlineStr">
        <is>
          <t>Thornbury Textiles</t>
        </is>
      </c>
      <c r="D465" s="5" t="n">
        <v>46267</v>
      </c>
      <c r="E465" s="5" t="n">
        <v>46297</v>
      </c>
      <c r="F465" t="inlineStr">
        <is>
          <t>AUD</t>
        </is>
      </c>
      <c r="G465" s="9" t="n">
        <v>2035</v>
      </c>
      <c r="H465" s="9" t="n">
        <v>185</v>
      </c>
      <c r="I465" s="9" t="n">
        <v>2035</v>
      </c>
      <c r="J465" s="9">
        <f>ROUND(1*SUMIFS('Allocations'!$C$5:$C$222,'Allocations'!$B$5:$B$222,A465),2)</f>
        <v>0</v>
      </c>
      <c r="K465" s="9">
        <f>ROUND(I465-J465,2)</f>
        <v>2035</v>
      </c>
      <c r="L465">
        <f>MAX(0,DATE(2026,9,30)-E465)</f>
        <v>0</v>
      </c>
      <c r="M465">
        <f>IF(K465&lt;-0.005,"Credit balance: check for double payment",IF(AND(K465&gt;0.005,L465&gt;60),"Over 60 days overdue",""))</f>
      </c>
    </row>
    <row r="466">
      <c r="A466" t="inlineStr">
        <is>
          <t>BILL/2026/0987</t>
        </is>
      </c>
      <c r="B466" t="inlineStr">
        <is>
          <t>Bill</t>
        </is>
      </c>
      <c r="C466" t="inlineStr">
        <is>
          <t>Strategic HR Partners</t>
        </is>
      </c>
      <c r="D466" s="5" t="n">
        <v>46289</v>
      </c>
      <c r="E466" s="5" t="n">
        <v>46303</v>
      </c>
      <c r="F466" t="inlineStr">
        <is>
          <t>AUD</t>
        </is>
      </c>
      <c r="G466" s="9" t="n">
        <v>1246.3</v>
      </c>
      <c r="H466" s="9" t="n">
        <v>113.3</v>
      </c>
      <c r="I466" s="9" t="n">
        <v>1246.3</v>
      </c>
      <c r="J466" s="9">
        <f>ROUND(-1*SUMIFS('Allocations'!$C$5:$C$222,'Allocations'!$B$5:$B$222,A466),2)</f>
        <v>0</v>
      </c>
      <c r="K466" s="9">
        <f>ROUND(I466-J466,2)</f>
        <v>1246.3</v>
      </c>
      <c r="L466">
        <f>MAX(0,DATE(2026,9,30)-E466)</f>
        <v>0</v>
      </c>
      <c r="M466">
        <f>IF(K466&lt;-0.005,"Credit balance: check for double payment",IF(AND(K466&gt;0.005,L466&gt;60),"Over 60 days overdue",""))</f>
      </c>
    </row>
    <row r="467">
      <c r="A467" t="inlineStr">
        <is>
          <t>BILL/2026/0988</t>
        </is>
      </c>
      <c r="B467" t="inlineStr">
        <is>
          <t>Bill</t>
        </is>
      </c>
      <c r="C467" t="inlineStr">
        <is>
          <t>Compass Insurance Brokers</t>
        </is>
      </c>
      <c r="D467" s="5" t="n">
        <v>46289</v>
      </c>
      <c r="E467" s="5" t="n">
        <v>46303</v>
      </c>
      <c r="F467" t="inlineStr">
        <is>
          <t>AUD</t>
        </is>
      </c>
      <c r="G467" s="9" t="n">
        <v>1222.1</v>
      </c>
      <c r="H467" s="9" t="n">
        <v>111.1</v>
      </c>
      <c r="I467" s="9" t="n">
        <v>1222.1</v>
      </c>
      <c r="J467" s="9">
        <f>ROUND(-1*SUMIFS('Allocations'!$C$5:$C$222,'Allocations'!$B$5:$B$222,A467),2)</f>
        <v>0</v>
      </c>
      <c r="K467" s="9">
        <f>ROUND(I467-J467,2)</f>
        <v>1222.1</v>
      </c>
      <c r="L467">
        <f>MAX(0,DATE(2026,9,30)-E467)</f>
        <v>0</v>
      </c>
      <c r="M467">
        <f>IF(K467&lt;-0.005,"Credit balance: check for double payment",IF(AND(K467&gt;0.005,L467&gt;60),"Over 60 days overdue",""))</f>
      </c>
    </row>
    <row r="468">
      <c r="A468" t="inlineStr">
        <is>
          <t>BILL/2026/0989</t>
        </is>
      </c>
      <c r="B468" t="inlineStr">
        <is>
          <t>Bill</t>
        </is>
      </c>
      <c r="C468" t="inlineStr">
        <is>
          <t>Ledgerline Tax Advisers</t>
        </is>
      </c>
      <c r="D468" s="5" t="n">
        <v>46290</v>
      </c>
      <c r="E468" s="5" t="n">
        <v>46304</v>
      </c>
      <c r="F468" t="inlineStr">
        <is>
          <t>AUD</t>
        </is>
      </c>
      <c r="G468" s="9" t="n">
        <v>278.3</v>
      </c>
      <c r="H468" s="9" t="n">
        <v>25.3</v>
      </c>
      <c r="I468" s="9" t="n">
        <v>278.3</v>
      </c>
      <c r="J468" s="9">
        <f>ROUND(-1*SUMIFS('Allocations'!$C$5:$C$222,'Allocations'!$B$5:$B$222,A468),2)</f>
        <v>0</v>
      </c>
      <c r="K468" s="9">
        <f>ROUND(I468-J468,2)</f>
        <v>278.3</v>
      </c>
      <c r="L468">
        <f>MAX(0,DATE(2026,9,30)-E468)</f>
        <v>0</v>
      </c>
      <c r="M468">
        <f>IF(K468&lt;-0.005,"Credit balance: check for double payment",IF(AND(K468&gt;0.005,L468&gt;60),"Over 60 days overdue",""))</f>
      </c>
    </row>
    <row r="469">
      <c r="A469" t="inlineStr">
        <is>
          <t>BILL/2026/0990</t>
        </is>
      </c>
      <c r="B469" t="inlineStr">
        <is>
          <t>Bill</t>
        </is>
      </c>
      <c r="C469" t="inlineStr">
        <is>
          <t>Southside Couriers</t>
        </is>
      </c>
      <c r="D469" s="5" t="n">
        <v>46290</v>
      </c>
      <c r="E469" s="5" t="n">
        <v>46304</v>
      </c>
      <c r="F469" t="inlineStr">
        <is>
          <t>AUD</t>
        </is>
      </c>
      <c r="G469" s="9" t="n">
        <v>278.3</v>
      </c>
      <c r="H469" s="9" t="n">
        <v>25.3</v>
      </c>
      <c r="I469" s="9" t="n">
        <v>278.3</v>
      </c>
      <c r="J469" s="9">
        <f>ROUND(-1*SUMIFS('Allocations'!$C$5:$C$222,'Allocations'!$B$5:$B$222,A469),2)</f>
        <v>0</v>
      </c>
      <c r="K469" s="9">
        <f>ROUND(I469-J469,2)</f>
        <v>278.3</v>
      </c>
      <c r="L469">
        <f>MAX(0,DATE(2026,9,30)-E469)</f>
        <v>0</v>
      </c>
      <c r="M469">
        <f>IF(K469&lt;-0.005,"Credit balance: check for double payment",IF(AND(K469&gt;0.005,L469&gt;60),"Over 60 days overdue",""))</f>
      </c>
    </row>
    <row r="470">
      <c r="A470" t="inlineStr">
        <is>
          <t>BILL/2026/0991</t>
        </is>
      </c>
      <c r="B470" t="inlineStr">
        <is>
          <t>Bill</t>
        </is>
      </c>
      <c r="C470" t="inlineStr">
        <is>
          <t>Rehab Equipment Hire</t>
        </is>
      </c>
      <c r="D470" s="5" t="n">
        <v>46293</v>
      </c>
      <c r="E470" s="5" t="n">
        <v>46307</v>
      </c>
      <c r="F470" t="inlineStr">
        <is>
          <t>AUD</t>
        </is>
      </c>
      <c r="G470" s="9" t="n">
        <v>660</v>
      </c>
      <c r="H470" s="9" t="n">
        <v>60</v>
      </c>
      <c r="I470" s="9" t="n">
        <v>660</v>
      </c>
      <c r="J470" s="9">
        <f>ROUND(-1*SUMIFS('Allocations'!$C$5:$C$222,'Allocations'!$B$5:$B$222,A470),2)</f>
        <v>0</v>
      </c>
      <c r="K470" s="9">
        <f>ROUND(I470-J470,2)</f>
        <v>660</v>
      </c>
      <c r="L470">
        <f>MAX(0,DATE(2026,9,30)-E470)</f>
        <v>0</v>
      </c>
      <c r="M470">
        <f>IF(K470&lt;-0.005,"Credit balance: check for double payment",IF(AND(K470&gt;0.005,L470&gt;60),"Over 60 days overdue",""))</f>
      </c>
    </row>
    <row r="471">
      <c r="A471" t="inlineStr">
        <is>
          <t>BILL/2026/0992</t>
        </is>
      </c>
      <c r="B471" t="inlineStr">
        <is>
          <t>Bill</t>
        </is>
      </c>
      <c r="C471" t="inlineStr">
        <is>
          <t>Alpine Water Coolers</t>
        </is>
      </c>
      <c r="D471" s="5" t="n">
        <v>46293</v>
      </c>
      <c r="E471" s="5" t="n">
        <v>46307</v>
      </c>
      <c r="F471" t="inlineStr">
        <is>
          <t>AUD</t>
        </is>
      </c>
      <c r="G471" s="9" t="n">
        <v>421.3</v>
      </c>
      <c r="H471" s="9" t="n">
        <v>38.3</v>
      </c>
      <c r="I471" s="9" t="n">
        <v>421.3</v>
      </c>
      <c r="J471" s="9">
        <f>ROUND(-1*SUMIFS('Allocations'!$C$5:$C$222,'Allocations'!$B$5:$B$222,A471),2)</f>
        <v>0</v>
      </c>
      <c r="K471" s="9">
        <f>ROUND(I471-J471,2)</f>
        <v>421.3</v>
      </c>
      <c r="L471">
        <f>MAX(0,DATE(2026,9,30)-E471)</f>
        <v>0</v>
      </c>
      <c r="M471">
        <f>IF(K471&lt;-0.005,"Credit balance: check for double payment",IF(AND(K471&gt;0.005,L471&gt;60),"Over 60 days overdue",""))</f>
      </c>
    </row>
    <row r="472">
      <c r="A472" t="inlineStr">
        <is>
          <t>BILL/2026/0993</t>
        </is>
      </c>
      <c r="B472" t="inlineStr">
        <is>
          <t>Bill</t>
        </is>
      </c>
      <c r="C472" t="inlineStr">
        <is>
          <t>Greenleaf Plants Hire</t>
        </is>
      </c>
      <c r="D472" s="5" t="n">
        <v>46294</v>
      </c>
      <c r="E472" s="5" t="n">
        <v>46308</v>
      </c>
      <c r="F472" t="inlineStr">
        <is>
          <t>AUD</t>
        </is>
      </c>
      <c r="G472" s="9" t="n">
        <v>880</v>
      </c>
      <c r="H472" s="9" t="n">
        <v>80</v>
      </c>
      <c r="I472" s="9" t="n">
        <v>880</v>
      </c>
      <c r="J472" s="9">
        <f>ROUND(-1*SUMIFS('Allocations'!$C$5:$C$222,'Allocations'!$B$5:$B$222,A472),2)</f>
        <v>0</v>
      </c>
      <c r="K472" s="9">
        <f>ROUND(I472-J472,2)</f>
        <v>880</v>
      </c>
      <c r="L472">
        <f>MAX(0,DATE(2026,9,30)-E472)</f>
        <v>0</v>
      </c>
      <c r="M472">
        <f>IF(K472&lt;-0.005,"Credit balance: check for double payment",IF(AND(K472&gt;0.005,L472&gt;60),"Over 60 days overdue",""))</f>
      </c>
    </row>
    <row r="473">
      <c r="A473" t="inlineStr">
        <is>
          <t>BILL/2026/0994</t>
        </is>
      </c>
      <c r="B473" t="inlineStr">
        <is>
          <t>Bill</t>
        </is>
      </c>
      <c r="C473" t="inlineStr">
        <is>
          <t>Harbour IT Support</t>
        </is>
      </c>
      <c r="D473" s="5" t="n">
        <v>46294</v>
      </c>
      <c r="E473" s="5" t="n">
        <v>46308</v>
      </c>
      <c r="F473" t="inlineStr">
        <is>
          <t>AUD</t>
        </is>
      </c>
      <c r="G473" s="9" t="n">
        <v>495</v>
      </c>
      <c r="H473" s="9" t="n">
        <v>45</v>
      </c>
      <c r="I473" s="9" t="n">
        <v>495</v>
      </c>
      <c r="J473" s="9">
        <f>ROUND(-1*SUMIFS('Allocations'!$C$5:$C$222,'Allocations'!$B$5:$B$222,A473),2)</f>
        <v>0</v>
      </c>
      <c r="K473" s="9">
        <f>ROUND(I473-J473,2)</f>
        <v>495</v>
      </c>
      <c r="L473">
        <f>MAX(0,DATE(2026,9,30)-E473)</f>
        <v>0</v>
      </c>
      <c r="M473">
        <f>IF(K473&lt;-0.005,"Credit balance: check for double payment",IF(AND(K473&gt;0.005,L473&gt;60),"Over 60 days overdue",""))</f>
      </c>
    </row>
    <row r="474">
      <c r="A474" t="inlineStr">
        <is>
          <t>BILL/2026/0995</t>
        </is>
      </c>
      <c r="B474" t="inlineStr">
        <is>
          <t>Bill</t>
        </is>
      </c>
      <c r="C474" t="inlineStr">
        <is>
          <t>Physio Supplies Direct</t>
        </is>
      </c>
      <c r="D474" s="5" t="n">
        <v>46294</v>
      </c>
      <c r="E474" s="5" t="n">
        <v>46308</v>
      </c>
      <c r="F474" t="inlineStr">
        <is>
          <t>AUD</t>
        </is>
      </c>
      <c r="G474" s="9" t="n">
        <v>1662.1</v>
      </c>
      <c r="H474" s="9" t="n">
        <v>151.1</v>
      </c>
      <c r="I474" s="9" t="n">
        <v>1662.1</v>
      </c>
      <c r="J474" s="9">
        <f>ROUND(-1*SUMIFS('Allocations'!$C$5:$C$222,'Allocations'!$B$5:$B$222,A474),2)</f>
        <v>0</v>
      </c>
      <c r="K474" s="9">
        <f>ROUND(I474-J474,2)</f>
        <v>1662.1</v>
      </c>
      <c r="L474">
        <f>MAX(0,DATE(2026,9,30)-E474)</f>
        <v>0</v>
      </c>
      <c r="M474">
        <f>IF(K474&lt;-0.005,"Credit balance: check for double payment",IF(AND(K474&gt;0.005,L474&gt;60),"Over 60 days overdue",""))</f>
      </c>
    </row>
    <row r="475">
      <c r="A475" t="inlineStr">
        <is>
          <t>BILL/2026/0996</t>
        </is>
      </c>
      <c r="B475" t="inlineStr">
        <is>
          <t>Bill</t>
        </is>
      </c>
      <c r="C475" t="inlineStr">
        <is>
          <t>Clinical Education Hub</t>
        </is>
      </c>
      <c r="D475" s="5" t="n">
        <v>46295</v>
      </c>
      <c r="E475" s="5" t="n">
        <v>46309</v>
      </c>
      <c r="F475" t="inlineStr">
        <is>
          <t>AUD</t>
        </is>
      </c>
      <c r="G475" s="9" t="n">
        <v>385</v>
      </c>
      <c r="H475" s="9" t="n">
        <v>35</v>
      </c>
      <c r="I475" s="9" t="n">
        <v>385</v>
      </c>
      <c r="J475" s="9">
        <f>ROUND(-1*SUMIFS('Allocations'!$C$5:$C$222,'Allocations'!$B$5:$B$222,A475),2)</f>
        <v>0</v>
      </c>
      <c r="K475" s="9">
        <f>ROUND(I475-J475,2)</f>
        <v>385</v>
      </c>
      <c r="L475">
        <f>MAX(0,DATE(2026,9,30)-E475)</f>
        <v>0</v>
      </c>
      <c r="M475">
        <f>IF(K475&lt;-0.005,"Credit balance: check for double payment",IF(AND(K475&gt;0.005,L475&gt;60),"Over 60 days overdue",""))</f>
      </c>
    </row>
    <row r="476">
      <c r="A476" t="inlineStr">
        <is>
          <t>BILL/2026/0997</t>
        </is>
      </c>
      <c r="B476" t="inlineStr">
        <is>
          <t>Bill</t>
        </is>
      </c>
      <c r="C476" t="inlineStr">
        <is>
          <t>Strategic HR Partners</t>
        </is>
      </c>
      <c r="D476" s="5" t="n">
        <v>46295</v>
      </c>
      <c r="E476" s="5" t="n">
        <v>46309</v>
      </c>
      <c r="F476" t="inlineStr">
        <is>
          <t>AUD</t>
        </is>
      </c>
      <c r="G476" s="9" t="n">
        <v>201.3</v>
      </c>
      <c r="H476" s="9" t="n">
        <v>18.3</v>
      </c>
      <c r="I476" s="9" t="n">
        <v>201.3</v>
      </c>
      <c r="J476" s="9">
        <f>ROUND(-1*SUMIFS('Allocations'!$C$5:$C$222,'Allocations'!$B$5:$B$222,A476),2)</f>
        <v>0</v>
      </c>
      <c r="K476" s="9">
        <f>ROUND(I476-J476,2)</f>
        <v>201.3</v>
      </c>
      <c r="L476">
        <f>MAX(0,DATE(2026,9,30)-E476)</f>
        <v>0</v>
      </c>
      <c r="M476">
        <f>IF(K476&lt;-0.005,"Credit balance: check for double payment",IF(AND(K476&gt;0.005,L476&gt;60),"Over 60 days overdue",""))</f>
      </c>
    </row>
    <row r="477">
      <c r="A477" t="inlineStr">
        <is>
          <t>BILL/2026/1003</t>
        </is>
      </c>
      <c r="B477" t="inlineStr">
        <is>
          <t>Bill</t>
        </is>
      </c>
      <c r="C477" t="inlineStr">
        <is>
          <t>Medisure Professional Indemnity</t>
        </is>
      </c>
      <c r="D477" s="5" t="n">
        <v>46219</v>
      </c>
      <c r="E477" s="5" t="n">
        <v>46233</v>
      </c>
      <c r="F477" t="inlineStr">
        <is>
          <t>AUD</t>
        </is>
      </c>
      <c r="G477" s="9" t="n">
        <v>2215.4</v>
      </c>
      <c r="H477" s="9" t="n">
        <v>201.4</v>
      </c>
      <c r="I477" s="9" t="n">
        <v>2215.4</v>
      </c>
      <c r="J477" s="9">
        <f>ROUND(-1*SUMIFS('Allocations'!$C$5:$C$222,'Allocations'!$B$5:$B$222,A477),2)</f>
        <v>2215.4</v>
      </c>
      <c r="K477" s="9">
        <f>ROUND(I477-J477,2)</f>
        <v>0</v>
      </c>
      <c r="L477">
        <f>MAX(0,DATE(2026,9,30)-E477)</f>
        <v>62</v>
      </c>
      <c r="M477">
        <f>IF(K477&lt;-0.005,"Credit balance: check for double payment",IF(AND(K477&gt;0.005,L477&gt;60),"Over 60 days overdue",""))</f>
      </c>
    </row>
    <row r="478">
      <c r="A478" t="inlineStr">
        <is>
          <t>BILL/2026/1005</t>
        </is>
      </c>
      <c r="B478" t="inlineStr">
        <is>
          <t>Bill</t>
        </is>
      </c>
      <c r="C478" t="inlineStr">
        <is>
          <t>Fibrewire Networks</t>
        </is>
      </c>
      <c r="D478" s="5" t="n">
        <v>46206</v>
      </c>
      <c r="E478" s="5" t="n">
        <v>46220</v>
      </c>
      <c r="F478" t="inlineStr">
        <is>
          <t>AUD</t>
        </is>
      </c>
      <c r="G478" s="9" t="n">
        <v>649</v>
      </c>
      <c r="H478" s="9" t="n">
        <v>59</v>
      </c>
      <c r="I478" s="9" t="n">
        <v>649</v>
      </c>
      <c r="J478" s="9">
        <f>ROUND(-1*SUMIFS('Allocations'!$C$5:$C$222,'Allocations'!$B$5:$B$222,A478),2)</f>
        <v>649</v>
      </c>
      <c r="K478" s="9">
        <f>ROUND(I478-J478,2)</f>
        <v>0</v>
      </c>
      <c r="L478">
        <f>MAX(0,DATE(2026,9,30)-E478)</f>
        <v>75</v>
      </c>
      <c r="M478">
        <f>IF(K478&lt;-0.005,"Credit balance: check for double payment",IF(AND(K478&gt;0.005,L478&gt;60),"Over 60 days overdue",""))</f>
      </c>
    </row>
    <row r="479">
      <c r="A479" t="inlineStr">
        <is>
          <t>BILL/2026/1018</t>
        </is>
      </c>
      <c r="B479" t="inlineStr">
        <is>
          <t>Bill</t>
        </is>
      </c>
      <c r="C479" t="inlineStr">
        <is>
          <t>Clinic Practice Software AU</t>
        </is>
      </c>
      <c r="D479" s="5" t="n">
        <v>46233</v>
      </c>
      <c r="E479" s="5" t="n">
        <v>46247</v>
      </c>
      <c r="F479" t="inlineStr">
        <is>
          <t>AUD</t>
        </is>
      </c>
      <c r="G479" s="9" t="n">
        <v>1870</v>
      </c>
      <c r="H479" s="9" t="n">
        <v>170</v>
      </c>
      <c r="I479" s="9" t="n">
        <v>1870</v>
      </c>
      <c r="J479" s="9">
        <f>ROUND(-1*SUMIFS('Allocations'!$C$5:$C$222,'Allocations'!$B$5:$B$222,A479),2)</f>
        <v>1870</v>
      </c>
      <c r="K479" s="9">
        <f>ROUND(I479-J479,2)</f>
        <v>0</v>
      </c>
      <c r="L479">
        <f>MAX(0,DATE(2026,9,30)-E479)</f>
        <v>48</v>
      </c>
      <c r="M479">
        <f>IF(K479&lt;-0.005,"Credit balance: check for double payment",IF(AND(K479&gt;0.005,L479&gt;60),"Over 60 days overdue",""))</f>
      </c>
    </row>
    <row r="480">
      <c r="A480" t="inlineStr">
        <is>
          <t>BILL/2026/1022</t>
        </is>
      </c>
      <c r="B480" t="inlineStr">
        <is>
          <t>Bill</t>
        </is>
      </c>
      <c r="C480" t="inlineStr">
        <is>
          <t>Northcote Retail Holdings</t>
        </is>
      </c>
      <c r="D480" s="5" t="n">
        <v>46258</v>
      </c>
      <c r="E480" s="5" t="n">
        <v>46272</v>
      </c>
      <c r="F480" t="inlineStr">
        <is>
          <t>AUD</t>
        </is>
      </c>
      <c r="G480" s="9" t="n">
        <v>9680</v>
      </c>
      <c r="H480" s="9" t="n">
        <v>880</v>
      </c>
      <c r="I480" s="9" t="n">
        <v>9680</v>
      </c>
      <c r="J480" s="9">
        <f>ROUND(-1*SUMIFS('Allocations'!$C$5:$C$222,'Allocations'!$B$5:$B$222,A480),2)</f>
        <v>9680</v>
      </c>
      <c r="K480" s="9">
        <f>ROUND(I480-J480,2)</f>
        <v>0</v>
      </c>
      <c r="L480">
        <f>MAX(0,DATE(2026,9,30)-E480)</f>
        <v>23</v>
      </c>
      <c r="M480">
        <f>IF(K480&lt;-0.005,"Credit balance: check for double payment",IF(AND(K480&gt;0.005,L480&gt;60),"Over 60 days overdue",""))</f>
      </c>
    </row>
    <row r="481">
      <c r="A481" t="inlineStr">
        <is>
          <t>BILL/2026/1024</t>
        </is>
      </c>
      <c r="B481" t="inlineStr">
        <is>
          <t>Bill</t>
        </is>
      </c>
      <c r="C481" t="inlineStr">
        <is>
          <t>Moorabbin Office Park</t>
        </is>
      </c>
      <c r="D481" s="5" t="n">
        <v>46258</v>
      </c>
      <c r="E481" s="5" t="n">
        <v>46272</v>
      </c>
      <c r="F481" t="inlineStr">
        <is>
          <t>AUD</t>
        </is>
      </c>
      <c r="G481" s="9" t="n">
        <v>7425</v>
      </c>
      <c r="H481" s="9" t="n">
        <v>675</v>
      </c>
      <c r="I481" s="9" t="n">
        <v>7425</v>
      </c>
      <c r="J481" s="9">
        <f>ROUND(-1*SUMIFS('Allocations'!$C$5:$C$222,'Allocations'!$B$5:$B$222,A481),2)</f>
        <v>7425</v>
      </c>
      <c r="K481" s="9">
        <f>ROUND(I481-J481,2)</f>
        <v>0</v>
      </c>
      <c r="L481">
        <f>MAX(0,DATE(2026,9,30)-E481)</f>
        <v>23</v>
      </c>
      <c r="M481">
        <f>IF(K481&lt;-0.005,"Credit balance: check for double payment",IF(AND(K481&gt;0.005,L481&gt;60),"Over 60 days overdue",""))</f>
      </c>
    </row>
    <row r="482">
      <c r="A482" t="inlineStr">
        <is>
          <t>BILL/2026/1025</t>
        </is>
      </c>
      <c r="B482" t="inlineStr">
        <is>
          <t>Bill</t>
        </is>
      </c>
      <c r="C482" t="inlineStr">
        <is>
          <t>Fleetwise Vehicle Leasing</t>
        </is>
      </c>
      <c r="D482" s="5" t="n">
        <v>46273</v>
      </c>
      <c r="E482" s="5" t="n">
        <v>46287</v>
      </c>
      <c r="F482" t="inlineStr">
        <is>
          <t>AUD</t>
        </is>
      </c>
      <c r="G482" s="9" t="n">
        <v>3184.62</v>
      </c>
      <c r="H482" s="9" t="n">
        <v>289.51</v>
      </c>
      <c r="I482" s="9" t="n">
        <v>3184.62</v>
      </c>
      <c r="J482" s="9">
        <f>ROUND(-1*SUMIFS('Allocations'!$C$5:$C$222,'Allocations'!$B$5:$B$222,A482),2)</f>
        <v>3184.62</v>
      </c>
      <c r="K482" s="9">
        <f>ROUND(I482-J482,2)</f>
        <v>0</v>
      </c>
      <c r="L482">
        <f>MAX(0,DATE(2026,9,30)-E482)</f>
        <v>8</v>
      </c>
      <c r="M482">
        <f>IF(K482&lt;-0.005,"Credit balance: check for double payment",IF(AND(K482&gt;0.005,L482&gt;60),"Over 60 days overdue",""))</f>
      </c>
    </row>
    <row r="483">
      <c r="A483" t="inlineStr">
        <is>
          <t>BILL/2026/1028</t>
        </is>
      </c>
      <c r="B483" t="inlineStr">
        <is>
          <t>Bill</t>
        </is>
      </c>
      <c r="C483" t="inlineStr">
        <is>
          <t>Fibrewire Networks</t>
        </is>
      </c>
      <c r="D483" s="5" t="n">
        <v>46269</v>
      </c>
      <c r="E483" s="5" t="n">
        <v>46283</v>
      </c>
      <c r="F483" t="inlineStr">
        <is>
          <t>AUD</t>
        </is>
      </c>
      <c r="G483" s="9" t="n">
        <v>649</v>
      </c>
      <c r="H483" s="9" t="n">
        <v>59</v>
      </c>
      <c r="I483" s="9" t="n">
        <v>649</v>
      </c>
      <c r="J483" s="9">
        <f>ROUND(-1*SUMIFS('Allocations'!$C$5:$C$222,'Allocations'!$B$5:$B$222,A483),2)</f>
        <v>649</v>
      </c>
      <c r="K483" s="9">
        <f>ROUND(I483-J483,2)</f>
        <v>0</v>
      </c>
      <c r="L483">
        <f>MAX(0,DATE(2026,9,30)-E483)</f>
        <v>12</v>
      </c>
      <c r="M483">
        <f>IF(K483&lt;-0.005,"Credit balance: check for double payment",IF(AND(K483&gt;0.005,L483&gt;60),"Over 60 days overdue",""))</f>
      </c>
    </row>
  </sheetData>
  <autoFilter ref="A4:M483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J19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6" customWidth="1" min="3" max="3"/>
    <col width="9" customWidth="1" min="4" max="4"/>
    <col width="11" customWidth="1" min="5" max="5"/>
    <col width="11" customWidth="1" min="6" max="6"/>
    <col width="9" customWidth="1" min="7" max="7"/>
    <col width="11" customWidth="1" min="8" max="8"/>
    <col width="18" customWidth="1" min="9" max="9"/>
    <col width="9" customWidth="1" min="10" max="10"/>
  </cols>
  <sheetData>
    <row r="1">
      <c r="A1" s="7" t="inlineStr">
        <is>
          <t>Stripe payout report (line level)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3" t="inlineStr">
        <is>
          <t>Sample build: realistic data, built to show how I'd handle this work. Not client data.</t>
        </is>
      </c>
    </row>
    <row r="4">
      <c r="A4" s="8" t="inlineStr">
        <is>
          <t>Payout</t>
        </is>
      </c>
      <c r="B4" s="8" t="inlineStr">
        <is>
          <t>Arrival</t>
        </is>
      </c>
      <c r="C4" s="8" t="inlineStr">
        <is>
          <t>Transaction</t>
        </is>
      </c>
      <c r="D4" s="8" t="inlineStr">
        <is>
          <t>Type</t>
        </is>
      </c>
      <c r="E4" s="8" t="inlineStr">
        <is>
          <t>Created</t>
        </is>
      </c>
      <c r="F4" s="8" t="inlineStr">
        <is>
          <t>Gross</t>
        </is>
      </c>
      <c r="G4" s="8" t="inlineStr">
        <is>
          <t>Fee</t>
        </is>
      </c>
      <c r="H4" s="8" t="inlineStr">
        <is>
          <t>Net</t>
        </is>
      </c>
      <c r="I4" s="8" t="inlineStr">
        <is>
          <t>Invoice</t>
        </is>
      </c>
      <c r="J4" s="8" t="inlineStr">
        <is>
          <t>Check net</t>
        </is>
      </c>
    </row>
    <row r="5">
      <c r="A5" t="inlineStr">
        <is>
          <t>po_1Q0001KX</t>
        </is>
      </c>
      <c r="B5" s="5" t="n">
        <v>46204</v>
      </c>
      <c r="C5" t="inlineStr">
        <is>
          <t>ch_3Q000001</t>
        </is>
      </c>
      <c r="D5" t="inlineStr">
        <is>
          <t>charge</t>
        </is>
      </c>
      <c r="E5" s="5" t="n">
        <v>46202</v>
      </c>
      <c r="F5" s="9" t="n">
        <v>120</v>
      </c>
      <c r="G5" s="9" t="n">
        <v>2.4</v>
      </c>
      <c r="H5" s="9" t="n">
        <v>117.6</v>
      </c>
      <c r="I5" t="inlineStr">
        <is>
          <t>INV/2026/03626</t>
        </is>
      </c>
      <c r="J5" s="9">
        <f>ROUND(F5-G5-H5,2)</f>
        <v>0</v>
      </c>
    </row>
    <row r="6">
      <c r="A6" t="inlineStr">
        <is>
          <t>po_1Q0001KX</t>
        </is>
      </c>
      <c r="B6" s="5" t="n">
        <v>46204</v>
      </c>
      <c r="C6" t="inlineStr">
        <is>
          <t>ch_3Q000002</t>
        </is>
      </c>
      <c r="D6" t="inlineStr">
        <is>
          <t>charge</t>
        </is>
      </c>
      <c r="E6" s="5" t="n">
        <v>46202</v>
      </c>
      <c r="F6" s="9" t="n">
        <v>110</v>
      </c>
      <c r="G6" s="9" t="n">
        <v>2.23</v>
      </c>
      <c r="H6" s="9" t="n">
        <v>107.77</v>
      </c>
      <c r="I6" t="inlineStr">
        <is>
          <t>INV/2026/03627</t>
        </is>
      </c>
      <c r="J6" s="9">
        <f>ROUND(F6-G6-H6,2)</f>
        <v>0</v>
      </c>
    </row>
    <row r="7">
      <c r="A7" t="inlineStr">
        <is>
          <t>po_1Q0001KX</t>
        </is>
      </c>
      <c r="B7" s="5" t="n">
        <v>46204</v>
      </c>
      <c r="C7" t="inlineStr">
        <is>
          <t>ch_3Q000003</t>
        </is>
      </c>
      <c r="D7" t="inlineStr">
        <is>
          <t>charge</t>
        </is>
      </c>
      <c r="E7" s="5" t="n">
        <v>46202</v>
      </c>
      <c r="F7" s="9" t="n">
        <v>120</v>
      </c>
      <c r="G7" s="9" t="n">
        <v>2.4</v>
      </c>
      <c r="H7" s="9" t="n">
        <v>117.6</v>
      </c>
      <c r="I7" t="inlineStr">
        <is>
          <t>INV/2026/03628</t>
        </is>
      </c>
      <c r="J7" s="9">
        <f>ROUND(F7-G7-H7,2)</f>
        <v>0</v>
      </c>
    </row>
    <row r="8">
      <c r="A8" t="inlineStr">
        <is>
          <t>po_1Q0001KX</t>
        </is>
      </c>
      <c r="B8" s="5" t="n">
        <v>46204</v>
      </c>
      <c r="C8" t="inlineStr">
        <is>
          <t>ch_3Q000004</t>
        </is>
      </c>
      <c r="D8" t="inlineStr">
        <is>
          <t>charge</t>
        </is>
      </c>
      <c r="E8" s="5" t="n">
        <v>46202</v>
      </c>
      <c r="F8" s="9" t="n">
        <v>180</v>
      </c>
      <c r="G8" s="9" t="n">
        <v>3.45</v>
      </c>
      <c r="H8" s="9" t="n">
        <v>176.55</v>
      </c>
      <c r="I8" t="inlineStr">
        <is>
          <t>INV/2026/03629</t>
        </is>
      </c>
      <c r="J8" s="9">
        <f>ROUND(F8-G8-H8,2)</f>
        <v>0</v>
      </c>
    </row>
    <row r="9">
      <c r="A9" t="inlineStr">
        <is>
          <t>po_1Q0001KX</t>
        </is>
      </c>
      <c r="B9" s="5" t="n">
        <v>46204</v>
      </c>
      <c r="C9" t="inlineStr">
        <is>
          <t>ch_3Q000005</t>
        </is>
      </c>
      <c r="D9" t="inlineStr">
        <is>
          <t>charge</t>
        </is>
      </c>
      <c r="E9" s="5" t="n">
        <v>46202</v>
      </c>
      <c r="F9" s="9" t="n">
        <v>85</v>
      </c>
      <c r="G9" s="9" t="n">
        <v>1.79</v>
      </c>
      <c r="H9" s="9" t="n">
        <v>83.20999999999999</v>
      </c>
      <c r="I9" t="inlineStr">
        <is>
          <t>INV/2026/03630</t>
        </is>
      </c>
      <c r="J9" s="9">
        <f>ROUND(F9-G9-H9,2)</f>
        <v>0</v>
      </c>
    </row>
    <row r="10">
      <c r="A10" t="inlineStr">
        <is>
          <t>po_1Q0001KX</t>
        </is>
      </c>
      <c r="B10" s="5" t="n">
        <v>46204</v>
      </c>
      <c r="C10" t="inlineStr">
        <is>
          <t>ch_3Q000006</t>
        </is>
      </c>
      <c r="D10" t="inlineStr">
        <is>
          <t>charge</t>
        </is>
      </c>
      <c r="E10" s="5" t="n">
        <v>46202</v>
      </c>
      <c r="F10" s="9" t="n">
        <v>85</v>
      </c>
      <c r="G10" s="9" t="n">
        <v>1.79</v>
      </c>
      <c r="H10" s="9" t="n">
        <v>83.20999999999999</v>
      </c>
      <c r="I10" t="inlineStr">
        <is>
          <t>INV/2026/03631</t>
        </is>
      </c>
      <c r="J10" s="9">
        <f>ROUND(F10-G10-H10,2)</f>
        <v>0</v>
      </c>
    </row>
    <row r="11">
      <c r="A11" t="inlineStr">
        <is>
          <t>po_1Q0001KX</t>
        </is>
      </c>
      <c r="B11" s="5" t="n">
        <v>46204</v>
      </c>
      <c r="C11" t="inlineStr">
        <is>
          <t>ch_3Q000007</t>
        </is>
      </c>
      <c r="D11" t="inlineStr">
        <is>
          <t>charge</t>
        </is>
      </c>
      <c r="E11" s="5" t="n">
        <v>46202</v>
      </c>
      <c r="F11" s="9" t="n">
        <v>220</v>
      </c>
      <c r="G11" s="9" t="n">
        <v>4.15</v>
      </c>
      <c r="H11" s="9" t="n">
        <v>215.85</v>
      </c>
      <c r="I11" t="inlineStr">
        <is>
          <t>INV/2026/03632</t>
        </is>
      </c>
      <c r="J11" s="9">
        <f>ROUND(F11-G11-H11,2)</f>
        <v>0</v>
      </c>
    </row>
    <row r="12">
      <c r="A12" t="inlineStr">
        <is>
          <t>po_1Q0001KX</t>
        </is>
      </c>
      <c r="B12" s="5" t="n">
        <v>46204</v>
      </c>
      <c r="C12" t="inlineStr">
        <is>
          <t>ch_3Q000008</t>
        </is>
      </c>
      <c r="D12" t="inlineStr">
        <is>
          <t>charge</t>
        </is>
      </c>
      <c r="E12" s="5" t="n">
        <v>46202</v>
      </c>
      <c r="F12" s="9" t="n">
        <v>95</v>
      </c>
      <c r="G12" s="9" t="n">
        <v>1.96</v>
      </c>
      <c r="H12" s="9" t="n">
        <v>93.04000000000001</v>
      </c>
      <c r="I12" t="inlineStr">
        <is>
          <t>INV/2026/03633</t>
        </is>
      </c>
      <c r="J12" s="9">
        <f>ROUND(F12-G12-H12,2)</f>
        <v>0</v>
      </c>
    </row>
    <row r="13">
      <c r="A13" t="inlineStr">
        <is>
          <t>po_1Q0001KX</t>
        </is>
      </c>
      <c r="B13" s="5" t="n">
        <v>46204</v>
      </c>
      <c r="C13" t="inlineStr">
        <is>
          <t>ch_3Q000009</t>
        </is>
      </c>
      <c r="D13" t="inlineStr">
        <is>
          <t>charge</t>
        </is>
      </c>
      <c r="E13" s="5" t="n">
        <v>46202</v>
      </c>
      <c r="F13" s="9" t="n">
        <v>85</v>
      </c>
      <c r="G13" s="9" t="n">
        <v>1.79</v>
      </c>
      <c r="H13" s="9" t="n">
        <v>83.20999999999999</v>
      </c>
      <c r="I13" t="inlineStr">
        <is>
          <t>INV/2026/03634</t>
        </is>
      </c>
      <c r="J13" s="9">
        <f>ROUND(F13-G13-H13,2)</f>
        <v>0</v>
      </c>
    </row>
    <row r="14">
      <c r="A14" t="inlineStr">
        <is>
          <t>po_1Q0001KX</t>
        </is>
      </c>
      <c r="B14" s="5" t="n">
        <v>46204</v>
      </c>
      <c r="C14" t="inlineStr">
        <is>
          <t>ch_3Q000010</t>
        </is>
      </c>
      <c r="D14" t="inlineStr">
        <is>
          <t>charge</t>
        </is>
      </c>
      <c r="E14" s="5" t="n">
        <v>46202</v>
      </c>
      <c r="F14" s="9" t="n">
        <v>135</v>
      </c>
      <c r="G14" s="9" t="n">
        <v>2.66</v>
      </c>
      <c r="H14" s="9" t="n">
        <v>132.34</v>
      </c>
      <c r="I14" t="inlineStr">
        <is>
          <t>INV/2026/03635</t>
        </is>
      </c>
      <c r="J14" s="9">
        <f>ROUND(F14-G14-H14,2)</f>
        <v>0</v>
      </c>
    </row>
    <row r="15">
      <c r="A15" t="inlineStr">
        <is>
          <t>po_1Q0001KX</t>
        </is>
      </c>
      <c r="B15" s="5" t="n">
        <v>46204</v>
      </c>
      <c r="C15" t="inlineStr">
        <is>
          <t>ch_3Q000011</t>
        </is>
      </c>
      <c r="D15" t="inlineStr">
        <is>
          <t>charge</t>
        </is>
      </c>
      <c r="E15" s="5" t="n">
        <v>46202</v>
      </c>
      <c r="F15" s="9" t="n">
        <v>150</v>
      </c>
      <c r="G15" s="9" t="n">
        <v>2.93</v>
      </c>
      <c r="H15" s="9" t="n">
        <v>147.07</v>
      </c>
      <c r="I15" t="inlineStr">
        <is>
          <t>INV/2026/03636</t>
        </is>
      </c>
      <c r="J15" s="9">
        <f>ROUND(F15-G15-H15,2)</f>
        <v>0</v>
      </c>
    </row>
    <row r="16">
      <c r="A16" t="inlineStr">
        <is>
          <t>po_1Q0001KX</t>
        </is>
      </c>
      <c r="B16" s="5" t="n">
        <v>46204</v>
      </c>
      <c r="C16" t="inlineStr">
        <is>
          <t>ch_3Q000012</t>
        </is>
      </c>
      <c r="D16" t="inlineStr">
        <is>
          <t>charge</t>
        </is>
      </c>
      <c r="E16" s="5" t="n">
        <v>46202</v>
      </c>
      <c r="F16" s="9" t="n">
        <v>65</v>
      </c>
      <c r="G16" s="9" t="n">
        <v>1.44</v>
      </c>
      <c r="H16" s="9" t="n">
        <v>63.56</v>
      </c>
      <c r="I16" t="inlineStr">
        <is>
          <t>INV/2026/03637</t>
        </is>
      </c>
      <c r="J16" s="9">
        <f>ROUND(F16-G16-H16,2)</f>
        <v>0</v>
      </c>
    </row>
    <row r="17">
      <c r="A17" t="inlineStr">
        <is>
          <t>po_1Q0001KX</t>
        </is>
      </c>
      <c r="B17" s="5" t="n">
        <v>46204</v>
      </c>
      <c r="C17" t="inlineStr">
        <is>
          <t>ch_3Q000013</t>
        </is>
      </c>
      <c r="D17" t="inlineStr">
        <is>
          <t>charge</t>
        </is>
      </c>
      <c r="E17" s="5" t="n">
        <v>46202</v>
      </c>
      <c r="F17" s="9" t="n">
        <v>180</v>
      </c>
      <c r="G17" s="9" t="n">
        <v>3.45</v>
      </c>
      <c r="H17" s="9" t="n">
        <v>176.55</v>
      </c>
      <c r="I17" t="inlineStr">
        <is>
          <t>INV/2026/03638</t>
        </is>
      </c>
      <c r="J17" s="9">
        <f>ROUND(F17-G17-H17,2)</f>
        <v>0</v>
      </c>
    </row>
    <row r="18">
      <c r="A18" t="inlineStr">
        <is>
          <t>po_1Q0001KX</t>
        </is>
      </c>
      <c r="B18" s="5" t="n">
        <v>46204</v>
      </c>
      <c r="C18" t="inlineStr">
        <is>
          <t>ch_3Q000014</t>
        </is>
      </c>
      <c r="D18" t="inlineStr">
        <is>
          <t>charge</t>
        </is>
      </c>
      <c r="E18" s="5" t="n">
        <v>46202</v>
      </c>
      <c r="F18" s="9" t="n">
        <v>220</v>
      </c>
      <c r="G18" s="9" t="n">
        <v>4.15</v>
      </c>
      <c r="H18" s="9" t="n">
        <v>215.85</v>
      </c>
      <c r="I18" t="inlineStr">
        <is>
          <t>INV/2026/03639</t>
        </is>
      </c>
      <c r="J18" s="9">
        <f>ROUND(F18-G18-H18,2)</f>
        <v>0</v>
      </c>
    </row>
    <row r="19">
      <c r="A19" t="inlineStr">
        <is>
          <t>po_1Q0001KX</t>
        </is>
      </c>
      <c r="B19" s="5" t="n">
        <v>46204</v>
      </c>
      <c r="C19" t="inlineStr">
        <is>
          <t>ch_3Q000015</t>
        </is>
      </c>
      <c r="D19" t="inlineStr">
        <is>
          <t>charge</t>
        </is>
      </c>
      <c r="E19" s="5" t="n">
        <v>46202</v>
      </c>
      <c r="F19" s="9" t="n">
        <v>85</v>
      </c>
      <c r="G19" s="9" t="n">
        <v>1.79</v>
      </c>
      <c r="H19" s="9" t="n">
        <v>83.20999999999999</v>
      </c>
      <c r="I19" t="inlineStr">
        <is>
          <t>INV/2026/03640</t>
        </is>
      </c>
      <c r="J19" s="9">
        <f>ROUND(F19-G19-H19,2)</f>
        <v>0</v>
      </c>
    </row>
    <row r="20">
      <c r="A20" t="inlineStr">
        <is>
          <t>po_1Q0001KX</t>
        </is>
      </c>
      <c r="B20" s="5" t="n">
        <v>46204</v>
      </c>
      <c r="C20" t="inlineStr">
        <is>
          <t>ch_3Q000016</t>
        </is>
      </c>
      <c r="D20" t="inlineStr">
        <is>
          <t>charge</t>
        </is>
      </c>
      <c r="E20" s="5" t="n">
        <v>46202</v>
      </c>
      <c r="F20" s="9" t="n">
        <v>85</v>
      </c>
      <c r="G20" s="9" t="n">
        <v>1.79</v>
      </c>
      <c r="H20" s="9" t="n">
        <v>83.20999999999999</v>
      </c>
      <c r="I20" t="inlineStr">
        <is>
          <t>INV/2026/03641</t>
        </is>
      </c>
      <c r="J20" s="9">
        <f>ROUND(F20-G20-H20,2)</f>
        <v>0</v>
      </c>
    </row>
    <row r="21">
      <c r="A21" t="inlineStr">
        <is>
          <t>po_1Q0001KX</t>
        </is>
      </c>
      <c r="B21" s="5" t="n">
        <v>46204</v>
      </c>
      <c r="C21" t="inlineStr">
        <is>
          <t>ch_3Q000017</t>
        </is>
      </c>
      <c r="D21" t="inlineStr">
        <is>
          <t>charge</t>
        </is>
      </c>
      <c r="E21" s="5" t="n">
        <v>46202</v>
      </c>
      <c r="F21" s="9" t="n">
        <v>85</v>
      </c>
      <c r="G21" s="9" t="n">
        <v>1.79</v>
      </c>
      <c r="H21" s="9" t="n">
        <v>83.20999999999999</v>
      </c>
      <c r="I21" t="inlineStr">
        <is>
          <t>INV/2026/03642</t>
        </is>
      </c>
      <c r="J21" s="9">
        <f>ROUND(F21-G21-H21,2)</f>
        <v>0</v>
      </c>
    </row>
    <row r="22">
      <c r="A22" t="inlineStr">
        <is>
          <t>po_1Q0001KX</t>
        </is>
      </c>
      <c r="B22" s="5" t="n">
        <v>46204</v>
      </c>
      <c r="C22" t="inlineStr">
        <is>
          <t>ch_3Q000018</t>
        </is>
      </c>
      <c r="D22" t="inlineStr">
        <is>
          <t>charge</t>
        </is>
      </c>
      <c r="E22" s="5" t="n">
        <v>46202</v>
      </c>
      <c r="F22" s="9" t="n">
        <v>120</v>
      </c>
      <c r="G22" s="9" t="n">
        <v>2.4</v>
      </c>
      <c r="H22" s="9" t="n">
        <v>117.6</v>
      </c>
      <c r="I22" t="inlineStr">
        <is>
          <t>INV/2026/03643</t>
        </is>
      </c>
      <c r="J22" s="9">
        <f>ROUND(F22-G22-H22,2)</f>
        <v>0</v>
      </c>
    </row>
    <row r="23">
      <c r="A23" t="inlineStr">
        <is>
          <t>po_1Q0001KX</t>
        </is>
      </c>
      <c r="B23" s="5" t="n">
        <v>46204</v>
      </c>
      <c r="C23" t="inlineStr">
        <is>
          <t>ch_3Q000019</t>
        </is>
      </c>
      <c r="D23" t="inlineStr">
        <is>
          <t>charge</t>
        </is>
      </c>
      <c r="E23" s="5" t="n">
        <v>46202</v>
      </c>
      <c r="F23" s="9" t="n">
        <v>110</v>
      </c>
      <c r="G23" s="9" t="n">
        <v>2.23</v>
      </c>
      <c r="H23" s="9" t="n">
        <v>107.77</v>
      </c>
      <c r="I23" t="inlineStr">
        <is>
          <t>INV/2026/03644</t>
        </is>
      </c>
      <c r="J23" s="9">
        <f>ROUND(F23-G23-H23,2)</f>
        <v>0</v>
      </c>
    </row>
    <row r="24">
      <c r="A24" t="inlineStr">
        <is>
          <t>po_1Q0001KX</t>
        </is>
      </c>
      <c r="B24" s="5" t="n">
        <v>46204</v>
      </c>
      <c r="C24" t="inlineStr">
        <is>
          <t>ch_3Q000020</t>
        </is>
      </c>
      <c r="D24" t="inlineStr">
        <is>
          <t>charge</t>
        </is>
      </c>
      <c r="E24" s="5" t="n">
        <v>46202</v>
      </c>
      <c r="F24" s="9" t="n">
        <v>220</v>
      </c>
      <c r="G24" s="9" t="n">
        <v>4.15</v>
      </c>
      <c r="H24" s="9" t="n">
        <v>215.85</v>
      </c>
      <c r="I24" t="inlineStr">
        <is>
          <t>INV/2026/03645</t>
        </is>
      </c>
      <c r="J24" s="9">
        <f>ROUND(F24-G24-H24,2)</f>
        <v>0</v>
      </c>
    </row>
    <row r="25">
      <c r="A25" t="inlineStr">
        <is>
          <t>po_1Q0001KX</t>
        </is>
      </c>
      <c r="B25" s="5" t="n">
        <v>46204</v>
      </c>
      <c r="C25" t="inlineStr">
        <is>
          <t>ch_3Q000021</t>
        </is>
      </c>
      <c r="D25" t="inlineStr">
        <is>
          <t>charge</t>
        </is>
      </c>
      <c r="E25" s="5" t="n">
        <v>46202</v>
      </c>
      <c r="F25" s="9" t="n">
        <v>135</v>
      </c>
      <c r="G25" s="9" t="n">
        <v>2.66</v>
      </c>
      <c r="H25" s="9" t="n">
        <v>132.34</v>
      </c>
      <c r="I25" t="inlineStr">
        <is>
          <t>INV/2026/03646</t>
        </is>
      </c>
      <c r="J25" s="9">
        <f>ROUND(F25-G25-H25,2)</f>
        <v>0</v>
      </c>
    </row>
    <row r="26">
      <c r="A26" t="inlineStr">
        <is>
          <t>po_1Q0001KX</t>
        </is>
      </c>
      <c r="B26" s="5" t="n">
        <v>46204</v>
      </c>
      <c r="C26" t="inlineStr">
        <is>
          <t>ch_3Q000022</t>
        </is>
      </c>
      <c r="D26" t="inlineStr">
        <is>
          <t>charge</t>
        </is>
      </c>
      <c r="E26" s="5" t="n">
        <v>46202</v>
      </c>
      <c r="F26" s="9" t="n">
        <v>180</v>
      </c>
      <c r="G26" s="9" t="n">
        <v>3.45</v>
      </c>
      <c r="H26" s="9" t="n">
        <v>176.55</v>
      </c>
      <c r="I26" t="inlineStr">
        <is>
          <t>INV/2026/03647</t>
        </is>
      </c>
      <c r="J26" s="9">
        <f>ROUND(F26-G26-H26,2)</f>
        <v>0</v>
      </c>
    </row>
    <row r="27">
      <c r="A27" t="inlineStr">
        <is>
          <t>po_1Q0001KX</t>
        </is>
      </c>
      <c r="B27" s="5" t="n">
        <v>46204</v>
      </c>
      <c r="C27" t="inlineStr">
        <is>
          <t>ch_3Q000023</t>
        </is>
      </c>
      <c r="D27" t="inlineStr">
        <is>
          <t>charge</t>
        </is>
      </c>
      <c r="E27" s="5" t="n">
        <v>46202</v>
      </c>
      <c r="F27" s="9" t="n">
        <v>95</v>
      </c>
      <c r="G27" s="9" t="n">
        <v>1.96</v>
      </c>
      <c r="H27" s="9" t="n">
        <v>93.04000000000001</v>
      </c>
      <c r="I27" t="inlineStr">
        <is>
          <t>INV/2026/03648</t>
        </is>
      </c>
      <c r="J27" s="9">
        <f>ROUND(F27-G27-H27,2)</f>
        <v>0</v>
      </c>
    </row>
    <row r="28">
      <c r="A28" t="inlineStr">
        <is>
          <t>po_1Q0001KX</t>
        </is>
      </c>
      <c r="B28" s="5" t="n">
        <v>46204</v>
      </c>
      <c r="C28" t="inlineStr">
        <is>
          <t>ch_3Q000024</t>
        </is>
      </c>
      <c r="D28" t="inlineStr">
        <is>
          <t>charge</t>
        </is>
      </c>
      <c r="E28" s="5" t="n">
        <v>46202</v>
      </c>
      <c r="F28" s="9" t="n">
        <v>95</v>
      </c>
      <c r="G28" s="9" t="n">
        <v>1.96</v>
      </c>
      <c r="H28" s="9" t="n">
        <v>93.04000000000001</v>
      </c>
      <c r="I28" t="inlineStr">
        <is>
          <t>INV/2026/03649</t>
        </is>
      </c>
      <c r="J28" s="9">
        <f>ROUND(F28-G28-H28,2)</f>
        <v>0</v>
      </c>
    </row>
    <row r="29">
      <c r="A29" t="inlineStr">
        <is>
          <t>po_1Q0001KX</t>
        </is>
      </c>
      <c r="B29" s="5" t="n">
        <v>46204</v>
      </c>
      <c r="C29" t="inlineStr">
        <is>
          <t>ch_3Q000025</t>
        </is>
      </c>
      <c r="D29" t="inlineStr">
        <is>
          <t>charge</t>
        </is>
      </c>
      <c r="E29" s="5" t="n">
        <v>46202</v>
      </c>
      <c r="F29" s="9" t="n">
        <v>120</v>
      </c>
      <c r="G29" s="9" t="n">
        <v>2.4</v>
      </c>
      <c r="H29" s="9" t="n">
        <v>117.6</v>
      </c>
      <c r="I29" t="inlineStr">
        <is>
          <t>INV/2026/03650</t>
        </is>
      </c>
      <c r="J29" s="9">
        <f>ROUND(F29-G29-H29,2)</f>
        <v>0</v>
      </c>
    </row>
    <row r="30">
      <c r="A30" t="inlineStr">
        <is>
          <t>po_1Q0001KX</t>
        </is>
      </c>
      <c r="B30" s="5" t="n">
        <v>46204</v>
      </c>
      <c r="C30" t="inlineStr">
        <is>
          <t>ch_3Q000026</t>
        </is>
      </c>
      <c r="D30" t="inlineStr">
        <is>
          <t>charge</t>
        </is>
      </c>
      <c r="E30" s="5" t="n">
        <v>46202</v>
      </c>
      <c r="F30" s="9" t="n">
        <v>135</v>
      </c>
      <c r="G30" s="9" t="n">
        <v>2.66</v>
      </c>
      <c r="H30" s="9" t="n">
        <v>132.34</v>
      </c>
      <c r="I30" t="inlineStr">
        <is>
          <t>INV/2026/03651</t>
        </is>
      </c>
      <c r="J30" s="9">
        <f>ROUND(F30-G30-H30,2)</f>
        <v>0</v>
      </c>
    </row>
    <row r="31">
      <c r="A31" t="inlineStr">
        <is>
          <t>po_1Q0001KX</t>
        </is>
      </c>
      <c r="B31" s="5" t="n">
        <v>46204</v>
      </c>
      <c r="C31" t="inlineStr">
        <is>
          <t>ch_3Q000027</t>
        </is>
      </c>
      <c r="D31" t="inlineStr">
        <is>
          <t>charge</t>
        </is>
      </c>
      <c r="E31" s="5" t="n">
        <v>46202</v>
      </c>
      <c r="F31" s="9" t="n">
        <v>120</v>
      </c>
      <c r="G31" s="9" t="n">
        <v>2.4</v>
      </c>
      <c r="H31" s="9" t="n">
        <v>117.6</v>
      </c>
      <c r="I31" t="inlineStr">
        <is>
          <t>INV/2026/03652</t>
        </is>
      </c>
      <c r="J31" s="9">
        <f>ROUND(F31-G31-H31,2)</f>
        <v>0</v>
      </c>
    </row>
    <row r="32">
      <c r="A32" t="inlineStr">
        <is>
          <t>po_1Q0001KX</t>
        </is>
      </c>
      <c r="B32" s="5" t="n">
        <v>46204</v>
      </c>
      <c r="C32" t="inlineStr">
        <is>
          <t>ch_3Q000028</t>
        </is>
      </c>
      <c r="D32" t="inlineStr">
        <is>
          <t>charge</t>
        </is>
      </c>
      <c r="E32" s="5" t="n">
        <v>46202</v>
      </c>
      <c r="F32" s="9" t="n">
        <v>120</v>
      </c>
      <c r="G32" s="9" t="n">
        <v>2.4</v>
      </c>
      <c r="H32" s="9" t="n">
        <v>117.6</v>
      </c>
      <c r="I32" t="inlineStr">
        <is>
          <t>INV/2026/03653</t>
        </is>
      </c>
      <c r="J32" s="9">
        <f>ROUND(F32-G32-H32,2)</f>
        <v>0</v>
      </c>
    </row>
    <row r="33">
      <c r="A33" t="inlineStr">
        <is>
          <t>po_1Q0001KX</t>
        </is>
      </c>
      <c r="B33" s="5" t="n">
        <v>46204</v>
      </c>
      <c r="C33" t="inlineStr">
        <is>
          <t>ch_3Q000029</t>
        </is>
      </c>
      <c r="D33" t="inlineStr">
        <is>
          <t>charge</t>
        </is>
      </c>
      <c r="E33" s="5" t="n">
        <v>46202</v>
      </c>
      <c r="F33" s="9" t="n">
        <v>120</v>
      </c>
      <c r="G33" s="9" t="n">
        <v>2.4</v>
      </c>
      <c r="H33" s="9" t="n">
        <v>117.6</v>
      </c>
      <c r="I33" t="inlineStr">
        <is>
          <t>INV/2026/03654</t>
        </is>
      </c>
      <c r="J33" s="9">
        <f>ROUND(F33-G33-H33,2)</f>
        <v>0</v>
      </c>
    </row>
    <row r="34">
      <c r="A34" t="inlineStr">
        <is>
          <t>po_1Q0001KX</t>
        </is>
      </c>
      <c r="B34" s="5" t="n">
        <v>46204</v>
      </c>
      <c r="C34" t="inlineStr">
        <is>
          <t>ch_3Q000030</t>
        </is>
      </c>
      <c r="D34" t="inlineStr">
        <is>
          <t>charge</t>
        </is>
      </c>
      <c r="E34" s="5" t="n">
        <v>46202</v>
      </c>
      <c r="F34" s="9" t="n">
        <v>120</v>
      </c>
      <c r="G34" s="9" t="n">
        <v>2.4</v>
      </c>
      <c r="H34" s="9" t="n">
        <v>117.6</v>
      </c>
      <c r="I34" t="inlineStr">
        <is>
          <t>INV/2026/03655</t>
        </is>
      </c>
      <c r="J34" s="9">
        <f>ROUND(F34-G34-H34,2)</f>
        <v>0</v>
      </c>
    </row>
    <row r="35">
      <c r="A35" t="inlineStr">
        <is>
          <t>po_1Q0001KX</t>
        </is>
      </c>
      <c r="B35" s="5" t="n">
        <v>46204</v>
      </c>
      <c r="C35" t="inlineStr">
        <is>
          <t>ch_3Q000031</t>
        </is>
      </c>
      <c r="D35" t="inlineStr">
        <is>
          <t>charge</t>
        </is>
      </c>
      <c r="E35" s="5" t="n">
        <v>46202</v>
      </c>
      <c r="F35" s="9" t="n">
        <v>135</v>
      </c>
      <c r="G35" s="9" t="n">
        <v>2.66</v>
      </c>
      <c r="H35" s="9" t="n">
        <v>132.34</v>
      </c>
      <c r="I35" t="inlineStr">
        <is>
          <t>INV/2026/03656</t>
        </is>
      </c>
      <c r="J35" s="9">
        <f>ROUND(F35-G35-H35,2)</f>
        <v>0</v>
      </c>
    </row>
    <row r="36">
      <c r="A36" t="inlineStr">
        <is>
          <t>po_1Q0002KX</t>
        </is>
      </c>
      <c r="B36" s="5" t="n">
        <v>46205</v>
      </c>
      <c r="C36" t="inlineStr">
        <is>
          <t>ch_3Q000032</t>
        </is>
      </c>
      <c r="D36" t="inlineStr">
        <is>
          <t>charge</t>
        </is>
      </c>
      <c r="E36" s="5" t="n">
        <v>46203</v>
      </c>
      <c r="F36" s="9" t="n">
        <v>220</v>
      </c>
      <c r="G36" s="9" t="n">
        <v>4.15</v>
      </c>
      <c r="H36" s="9" t="n">
        <v>215.85</v>
      </c>
      <c r="I36" t="inlineStr">
        <is>
          <t>INV/2026/03657</t>
        </is>
      </c>
      <c r="J36" s="9">
        <f>ROUND(F36-G36-H36,2)</f>
        <v>0</v>
      </c>
    </row>
    <row r="37">
      <c r="A37" t="inlineStr">
        <is>
          <t>po_1Q0002KX</t>
        </is>
      </c>
      <c r="B37" s="5" t="n">
        <v>46205</v>
      </c>
      <c r="C37" t="inlineStr">
        <is>
          <t>ch_3Q000033</t>
        </is>
      </c>
      <c r="D37" t="inlineStr">
        <is>
          <t>charge</t>
        </is>
      </c>
      <c r="E37" s="5" t="n">
        <v>46203</v>
      </c>
      <c r="F37" s="9" t="n">
        <v>65</v>
      </c>
      <c r="G37" s="9" t="n">
        <v>1.44</v>
      </c>
      <c r="H37" s="9" t="n">
        <v>63.56</v>
      </c>
      <c r="I37" t="inlineStr">
        <is>
          <t>INV/2026/03658</t>
        </is>
      </c>
      <c r="J37" s="9">
        <f>ROUND(F37-G37-H37,2)</f>
        <v>0</v>
      </c>
    </row>
    <row r="38">
      <c r="A38" t="inlineStr">
        <is>
          <t>po_1Q0002KX</t>
        </is>
      </c>
      <c r="B38" s="5" t="n">
        <v>46205</v>
      </c>
      <c r="C38" t="inlineStr">
        <is>
          <t>ch_3Q000034</t>
        </is>
      </c>
      <c r="D38" t="inlineStr">
        <is>
          <t>charge</t>
        </is>
      </c>
      <c r="E38" s="5" t="n">
        <v>46203</v>
      </c>
      <c r="F38" s="9" t="n">
        <v>85</v>
      </c>
      <c r="G38" s="9" t="n">
        <v>1.79</v>
      </c>
      <c r="H38" s="9" t="n">
        <v>83.20999999999999</v>
      </c>
      <c r="I38" t="inlineStr">
        <is>
          <t>INV/2026/03659</t>
        </is>
      </c>
      <c r="J38" s="9">
        <f>ROUND(F38-G38-H38,2)</f>
        <v>0</v>
      </c>
    </row>
    <row r="39">
      <c r="A39" t="inlineStr">
        <is>
          <t>po_1Q0002KX</t>
        </is>
      </c>
      <c r="B39" s="5" t="n">
        <v>46205</v>
      </c>
      <c r="C39" t="inlineStr">
        <is>
          <t>ch_3Q000035</t>
        </is>
      </c>
      <c r="D39" t="inlineStr">
        <is>
          <t>charge</t>
        </is>
      </c>
      <c r="E39" s="5" t="n">
        <v>46203</v>
      </c>
      <c r="F39" s="9" t="n">
        <v>85</v>
      </c>
      <c r="G39" s="9" t="n">
        <v>1.79</v>
      </c>
      <c r="H39" s="9" t="n">
        <v>83.20999999999999</v>
      </c>
      <c r="I39" t="inlineStr">
        <is>
          <t>INV/2026/03660</t>
        </is>
      </c>
      <c r="J39" s="9">
        <f>ROUND(F39-G39-H39,2)</f>
        <v>0</v>
      </c>
    </row>
    <row r="40">
      <c r="A40" t="inlineStr">
        <is>
          <t>po_1Q0002KX</t>
        </is>
      </c>
      <c r="B40" s="5" t="n">
        <v>46205</v>
      </c>
      <c r="C40" t="inlineStr">
        <is>
          <t>ch_3Q000036</t>
        </is>
      </c>
      <c r="D40" t="inlineStr">
        <is>
          <t>charge</t>
        </is>
      </c>
      <c r="E40" s="5" t="n">
        <v>46203</v>
      </c>
      <c r="F40" s="9" t="n">
        <v>65</v>
      </c>
      <c r="G40" s="9" t="n">
        <v>1.44</v>
      </c>
      <c r="H40" s="9" t="n">
        <v>63.56</v>
      </c>
      <c r="I40" t="inlineStr">
        <is>
          <t>INV/2026/03661</t>
        </is>
      </c>
      <c r="J40" s="9">
        <f>ROUND(F40-G40-H40,2)</f>
        <v>0</v>
      </c>
    </row>
    <row r="41">
      <c r="A41" t="inlineStr">
        <is>
          <t>po_1Q0002KX</t>
        </is>
      </c>
      <c r="B41" s="5" t="n">
        <v>46205</v>
      </c>
      <c r="C41" t="inlineStr">
        <is>
          <t>ch_3Q000037</t>
        </is>
      </c>
      <c r="D41" t="inlineStr">
        <is>
          <t>charge</t>
        </is>
      </c>
      <c r="E41" s="5" t="n">
        <v>46203</v>
      </c>
      <c r="F41" s="9" t="n">
        <v>95</v>
      </c>
      <c r="G41" s="9" t="n">
        <v>1.96</v>
      </c>
      <c r="H41" s="9" t="n">
        <v>93.04000000000001</v>
      </c>
      <c r="I41" t="inlineStr">
        <is>
          <t>INV/2026/03662</t>
        </is>
      </c>
      <c r="J41" s="9">
        <f>ROUND(F41-G41-H41,2)</f>
        <v>0</v>
      </c>
    </row>
    <row r="42">
      <c r="A42" t="inlineStr">
        <is>
          <t>po_1Q0002KX</t>
        </is>
      </c>
      <c r="B42" s="5" t="n">
        <v>46205</v>
      </c>
      <c r="C42" t="inlineStr">
        <is>
          <t>ch_3Q000038</t>
        </is>
      </c>
      <c r="D42" t="inlineStr">
        <is>
          <t>charge</t>
        </is>
      </c>
      <c r="E42" s="5" t="n">
        <v>46203</v>
      </c>
      <c r="F42" s="9" t="n">
        <v>150</v>
      </c>
      <c r="G42" s="9" t="n">
        <v>2.93</v>
      </c>
      <c r="H42" s="9" t="n">
        <v>147.07</v>
      </c>
      <c r="I42" t="inlineStr">
        <is>
          <t>INV/2026/03663</t>
        </is>
      </c>
      <c r="J42" s="9">
        <f>ROUND(F42-G42-H42,2)</f>
        <v>0</v>
      </c>
    </row>
    <row r="43">
      <c r="A43" t="inlineStr">
        <is>
          <t>po_1Q0002KX</t>
        </is>
      </c>
      <c r="B43" s="5" t="n">
        <v>46205</v>
      </c>
      <c r="C43" t="inlineStr">
        <is>
          <t>ch_3Q000039</t>
        </is>
      </c>
      <c r="D43" t="inlineStr">
        <is>
          <t>charge</t>
        </is>
      </c>
      <c r="E43" s="5" t="n">
        <v>46203</v>
      </c>
      <c r="F43" s="9" t="n">
        <v>150</v>
      </c>
      <c r="G43" s="9" t="n">
        <v>2.93</v>
      </c>
      <c r="H43" s="9" t="n">
        <v>147.07</v>
      </c>
      <c r="I43" t="inlineStr">
        <is>
          <t>INV/2026/03664</t>
        </is>
      </c>
      <c r="J43" s="9">
        <f>ROUND(F43-G43-H43,2)</f>
        <v>0</v>
      </c>
    </row>
    <row r="44">
      <c r="A44" t="inlineStr">
        <is>
          <t>po_1Q0002KX</t>
        </is>
      </c>
      <c r="B44" s="5" t="n">
        <v>46205</v>
      </c>
      <c r="C44" t="inlineStr">
        <is>
          <t>ch_3Q000040</t>
        </is>
      </c>
      <c r="D44" t="inlineStr">
        <is>
          <t>charge</t>
        </is>
      </c>
      <c r="E44" s="5" t="n">
        <v>46203</v>
      </c>
      <c r="F44" s="9" t="n">
        <v>95</v>
      </c>
      <c r="G44" s="9" t="n">
        <v>1.96</v>
      </c>
      <c r="H44" s="9" t="n">
        <v>93.04000000000001</v>
      </c>
      <c r="I44" t="inlineStr">
        <is>
          <t>INV/2026/03665</t>
        </is>
      </c>
      <c r="J44" s="9">
        <f>ROUND(F44-G44-H44,2)</f>
        <v>0</v>
      </c>
    </row>
    <row r="45">
      <c r="A45" t="inlineStr">
        <is>
          <t>po_1Q0002KX</t>
        </is>
      </c>
      <c r="B45" s="5" t="n">
        <v>46205</v>
      </c>
      <c r="C45" t="inlineStr">
        <is>
          <t>ch_3Q000041</t>
        </is>
      </c>
      <c r="D45" t="inlineStr">
        <is>
          <t>charge</t>
        </is>
      </c>
      <c r="E45" s="5" t="n">
        <v>46203</v>
      </c>
      <c r="F45" s="9" t="n">
        <v>85</v>
      </c>
      <c r="G45" s="9" t="n">
        <v>1.79</v>
      </c>
      <c r="H45" s="9" t="n">
        <v>83.20999999999999</v>
      </c>
      <c r="I45" t="inlineStr">
        <is>
          <t>INV/2026/03666</t>
        </is>
      </c>
      <c r="J45" s="9">
        <f>ROUND(F45-G45-H45,2)</f>
        <v>0</v>
      </c>
    </row>
    <row r="46">
      <c r="A46" t="inlineStr">
        <is>
          <t>po_1Q0002KX</t>
        </is>
      </c>
      <c r="B46" s="5" t="n">
        <v>46205</v>
      </c>
      <c r="C46" t="inlineStr">
        <is>
          <t>ch_3Q000042</t>
        </is>
      </c>
      <c r="D46" t="inlineStr">
        <is>
          <t>charge</t>
        </is>
      </c>
      <c r="E46" s="5" t="n">
        <v>46203</v>
      </c>
      <c r="F46" s="9" t="n">
        <v>135</v>
      </c>
      <c r="G46" s="9" t="n">
        <v>2.66</v>
      </c>
      <c r="H46" s="9" t="n">
        <v>132.34</v>
      </c>
      <c r="I46" t="inlineStr">
        <is>
          <t>INV/2026/03667</t>
        </is>
      </c>
      <c r="J46" s="9">
        <f>ROUND(F46-G46-H46,2)</f>
        <v>0</v>
      </c>
    </row>
    <row r="47">
      <c r="A47" t="inlineStr">
        <is>
          <t>po_1Q0002KX</t>
        </is>
      </c>
      <c r="B47" s="5" t="n">
        <v>46205</v>
      </c>
      <c r="C47" t="inlineStr">
        <is>
          <t>ch_3Q000043</t>
        </is>
      </c>
      <c r="D47" t="inlineStr">
        <is>
          <t>charge</t>
        </is>
      </c>
      <c r="E47" s="5" t="n">
        <v>46203</v>
      </c>
      <c r="F47" s="9" t="n">
        <v>135</v>
      </c>
      <c r="G47" s="9" t="n">
        <v>2.66</v>
      </c>
      <c r="H47" s="9" t="n">
        <v>132.34</v>
      </c>
      <c r="I47" t="inlineStr">
        <is>
          <t>INV/2026/03668</t>
        </is>
      </c>
      <c r="J47" s="9">
        <f>ROUND(F47-G47-H47,2)</f>
        <v>0</v>
      </c>
    </row>
    <row r="48">
      <c r="A48" t="inlineStr">
        <is>
          <t>po_1Q0002KX</t>
        </is>
      </c>
      <c r="B48" s="5" t="n">
        <v>46205</v>
      </c>
      <c r="C48" t="inlineStr">
        <is>
          <t>ch_3Q000044</t>
        </is>
      </c>
      <c r="D48" t="inlineStr">
        <is>
          <t>charge</t>
        </is>
      </c>
      <c r="E48" s="5" t="n">
        <v>46203</v>
      </c>
      <c r="F48" s="9" t="n">
        <v>85</v>
      </c>
      <c r="G48" s="9" t="n">
        <v>1.79</v>
      </c>
      <c r="H48" s="9" t="n">
        <v>83.20999999999999</v>
      </c>
      <c r="I48" t="inlineStr">
        <is>
          <t>INV/2026/03669</t>
        </is>
      </c>
      <c r="J48" s="9">
        <f>ROUND(F48-G48-H48,2)</f>
        <v>0</v>
      </c>
    </row>
    <row r="49">
      <c r="A49" t="inlineStr">
        <is>
          <t>po_1Q0002KX</t>
        </is>
      </c>
      <c r="B49" s="5" t="n">
        <v>46205</v>
      </c>
      <c r="C49" t="inlineStr">
        <is>
          <t>ch_3Q000045</t>
        </is>
      </c>
      <c r="D49" t="inlineStr">
        <is>
          <t>charge</t>
        </is>
      </c>
      <c r="E49" s="5" t="n">
        <v>46203</v>
      </c>
      <c r="F49" s="9" t="n">
        <v>150</v>
      </c>
      <c r="G49" s="9" t="n">
        <v>2.93</v>
      </c>
      <c r="H49" s="9" t="n">
        <v>147.07</v>
      </c>
      <c r="I49" t="inlineStr">
        <is>
          <t>INV/2026/03670</t>
        </is>
      </c>
      <c r="J49" s="9">
        <f>ROUND(F49-G49-H49,2)</f>
        <v>0</v>
      </c>
    </row>
    <row r="50">
      <c r="A50" t="inlineStr">
        <is>
          <t>po_1Q0002KX</t>
        </is>
      </c>
      <c r="B50" s="5" t="n">
        <v>46205</v>
      </c>
      <c r="C50" t="inlineStr">
        <is>
          <t>ch_3Q000046</t>
        </is>
      </c>
      <c r="D50" t="inlineStr">
        <is>
          <t>charge</t>
        </is>
      </c>
      <c r="E50" s="5" t="n">
        <v>46203</v>
      </c>
      <c r="F50" s="9" t="n">
        <v>150</v>
      </c>
      <c r="G50" s="9" t="n">
        <v>2.93</v>
      </c>
      <c r="H50" s="9" t="n">
        <v>147.07</v>
      </c>
      <c r="I50" t="inlineStr">
        <is>
          <t>INV/2026/03671</t>
        </is>
      </c>
      <c r="J50" s="9">
        <f>ROUND(F50-G50-H50,2)</f>
        <v>0</v>
      </c>
    </row>
    <row r="51">
      <c r="A51" t="inlineStr">
        <is>
          <t>po_1Q0002KX</t>
        </is>
      </c>
      <c r="B51" s="5" t="n">
        <v>46205</v>
      </c>
      <c r="C51" t="inlineStr">
        <is>
          <t>ch_3Q000047</t>
        </is>
      </c>
      <c r="D51" t="inlineStr">
        <is>
          <t>charge</t>
        </is>
      </c>
      <c r="E51" s="5" t="n">
        <v>46203</v>
      </c>
      <c r="F51" s="9" t="n">
        <v>85</v>
      </c>
      <c r="G51" s="9" t="n">
        <v>1.79</v>
      </c>
      <c r="H51" s="9" t="n">
        <v>83.20999999999999</v>
      </c>
      <c r="I51" t="inlineStr">
        <is>
          <t>INV/2026/03672</t>
        </is>
      </c>
      <c r="J51" s="9">
        <f>ROUND(F51-G51-H51,2)</f>
        <v>0</v>
      </c>
    </row>
    <row r="52">
      <c r="A52" t="inlineStr">
        <is>
          <t>po_1Q0002KX</t>
        </is>
      </c>
      <c r="B52" s="5" t="n">
        <v>46205</v>
      </c>
      <c r="C52" t="inlineStr">
        <is>
          <t>ch_3Q000048</t>
        </is>
      </c>
      <c r="D52" t="inlineStr">
        <is>
          <t>charge</t>
        </is>
      </c>
      <c r="E52" s="5" t="n">
        <v>46203</v>
      </c>
      <c r="F52" s="9" t="n">
        <v>180</v>
      </c>
      <c r="G52" s="9" t="n">
        <v>3.45</v>
      </c>
      <c r="H52" s="9" t="n">
        <v>176.55</v>
      </c>
      <c r="I52" t="inlineStr">
        <is>
          <t>INV/2026/03673</t>
        </is>
      </c>
      <c r="J52" s="9">
        <f>ROUND(F52-G52-H52,2)</f>
        <v>0</v>
      </c>
    </row>
    <row r="53">
      <c r="A53" t="inlineStr">
        <is>
          <t>po_1Q0002KX</t>
        </is>
      </c>
      <c r="B53" s="5" t="n">
        <v>46205</v>
      </c>
      <c r="C53" t="inlineStr">
        <is>
          <t>ch_3Q000049</t>
        </is>
      </c>
      <c r="D53" t="inlineStr">
        <is>
          <t>charge</t>
        </is>
      </c>
      <c r="E53" s="5" t="n">
        <v>46203</v>
      </c>
      <c r="F53" s="9" t="n">
        <v>150</v>
      </c>
      <c r="G53" s="9" t="n">
        <v>2.93</v>
      </c>
      <c r="H53" s="9" t="n">
        <v>147.07</v>
      </c>
      <c r="I53" t="inlineStr">
        <is>
          <t>INV/2026/03674</t>
        </is>
      </c>
      <c r="J53" s="9">
        <f>ROUND(F53-G53-H53,2)</f>
        <v>0</v>
      </c>
    </row>
    <row r="54">
      <c r="A54" t="inlineStr">
        <is>
          <t>po_1Q0002KX</t>
        </is>
      </c>
      <c r="B54" s="5" t="n">
        <v>46205</v>
      </c>
      <c r="C54" t="inlineStr">
        <is>
          <t>ch_3Q000050</t>
        </is>
      </c>
      <c r="D54" t="inlineStr">
        <is>
          <t>charge</t>
        </is>
      </c>
      <c r="E54" s="5" t="n">
        <v>46203</v>
      </c>
      <c r="F54" s="9" t="n">
        <v>150</v>
      </c>
      <c r="G54" s="9" t="n">
        <v>2.93</v>
      </c>
      <c r="H54" s="9" t="n">
        <v>147.07</v>
      </c>
      <c r="I54" t="inlineStr">
        <is>
          <t>INV/2026/03675</t>
        </is>
      </c>
      <c r="J54" s="9">
        <f>ROUND(F54-G54-H54,2)</f>
        <v>0</v>
      </c>
    </row>
    <row r="55">
      <c r="A55" t="inlineStr">
        <is>
          <t>po_1Q0002KX</t>
        </is>
      </c>
      <c r="B55" s="5" t="n">
        <v>46205</v>
      </c>
      <c r="C55" t="inlineStr">
        <is>
          <t>ch_3Q000051</t>
        </is>
      </c>
      <c r="D55" t="inlineStr">
        <is>
          <t>charge</t>
        </is>
      </c>
      <c r="E55" s="5" t="n">
        <v>46203</v>
      </c>
      <c r="F55" s="9" t="n">
        <v>180</v>
      </c>
      <c r="G55" s="9" t="n">
        <v>3.45</v>
      </c>
      <c r="H55" s="9" t="n">
        <v>176.55</v>
      </c>
      <c r="I55" t="inlineStr">
        <is>
          <t>INV/2026/03676</t>
        </is>
      </c>
      <c r="J55" s="9">
        <f>ROUND(F55-G55-H55,2)</f>
        <v>0</v>
      </c>
    </row>
    <row r="56">
      <c r="A56" t="inlineStr">
        <is>
          <t>po_1Q0002KX</t>
        </is>
      </c>
      <c r="B56" s="5" t="n">
        <v>46205</v>
      </c>
      <c r="C56" t="inlineStr">
        <is>
          <t>ch_3Q000052</t>
        </is>
      </c>
      <c r="D56" t="inlineStr">
        <is>
          <t>charge</t>
        </is>
      </c>
      <c r="E56" s="5" t="n">
        <v>46203</v>
      </c>
      <c r="F56" s="9" t="n">
        <v>180</v>
      </c>
      <c r="G56" s="9" t="n">
        <v>3.45</v>
      </c>
      <c r="H56" s="9" t="n">
        <v>176.55</v>
      </c>
      <c r="I56" t="inlineStr">
        <is>
          <t>INV/2026/03677</t>
        </is>
      </c>
      <c r="J56" s="9">
        <f>ROUND(F56-G56-H56,2)</f>
        <v>0</v>
      </c>
    </row>
    <row r="57">
      <c r="A57" t="inlineStr">
        <is>
          <t>po_1Q0003KX</t>
        </is>
      </c>
      <c r="B57" s="5" t="n">
        <v>46206</v>
      </c>
      <c r="C57" t="inlineStr">
        <is>
          <t>ch_3Q000053</t>
        </is>
      </c>
      <c r="D57" t="inlineStr">
        <is>
          <t>charge</t>
        </is>
      </c>
      <c r="E57" s="5" t="n">
        <v>46204</v>
      </c>
      <c r="F57" s="9" t="n">
        <v>65</v>
      </c>
      <c r="G57" s="9" t="n">
        <v>1.44</v>
      </c>
      <c r="H57" s="9" t="n">
        <v>63.56</v>
      </c>
      <c r="I57" t="inlineStr">
        <is>
          <t>INV/2026/03678</t>
        </is>
      </c>
      <c r="J57" s="9">
        <f>ROUND(F57-G57-H57,2)</f>
        <v>0</v>
      </c>
    </row>
    <row r="58">
      <c r="A58" t="inlineStr">
        <is>
          <t>po_1Q0003KX</t>
        </is>
      </c>
      <c r="B58" s="5" t="n">
        <v>46206</v>
      </c>
      <c r="C58" t="inlineStr">
        <is>
          <t>ch_3Q000054</t>
        </is>
      </c>
      <c r="D58" t="inlineStr">
        <is>
          <t>charge</t>
        </is>
      </c>
      <c r="E58" s="5" t="n">
        <v>46204</v>
      </c>
      <c r="F58" s="9" t="n">
        <v>85</v>
      </c>
      <c r="G58" s="9" t="n">
        <v>1.79</v>
      </c>
      <c r="H58" s="9" t="n">
        <v>83.20999999999999</v>
      </c>
      <c r="I58" t="inlineStr">
        <is>
          <t>INV/2026/03679</t>
        </is>
      </c>
      <c r="J58" s="9">
        <f>ROUND(F58-G58-H58,2)</f>
        <v>0</v>
      </c>
    </row>
    <row r="59">
      <c r="A59" t="inlineStr">
        <is>
          <t>po_1Q0003KX</t>
        </is>
      </c>
      <c r="B59" s="5" t="n">
        <v>46206</v>
      </c>
      <c r="C59" t="inlineStr">
        <is>
          <t>ch_3Q000055</t>
        </is>
      </c>
      <c r="D59" t="inlineStr">
        <is>
          <t>charge</t>
        </is>
      </c>
      <c r="E59" s="5" t="n">
        <v>46204</v>
      </c>
      <c r="F59" s="9" t="n">
        <v>95</v>
      </c>
      <c r="G59" s="9" t="n">
        <v>1.96</v>
      </c>
      <c r="H59" s="9" t="n">
        <v>93.04000000000001</v>
      </c>
      <c r="I59" t="inlineStr">
        <is>
          <t>INV/2026/03680</t>
        </is>
      </c>
      <c r="J59" s="9">
        <f>ROUND(F59-G59-H59,2)</f>
        <v>0</v>
      </c>
    </row>
    <row r="60">
      <c r="A60" t="inlineStr">
        <is>
          <t>po_1Q0003KX</t>
        </is>
      </c>
      <c r="B60" s="5" t="n">
        <v>46206</v>
      </c>
      <c r="C60" t="inlineStr">
        <is>
          <t>ch_3Q000056</t>
        </is>
      </c>
      <c r="D60" t="inlineStr">
        <is>
          <t>charge</t>
        </is>
      </c>
      <c r="E60" s="5" t="n">
        <v>46204</v>
      </c>
      <c r="F60" s="9" t="n">
        <v>135</v>
      </c>
      <c r="G60" s="9" t="n">
        <v>2.66</v>
      </c>
      <c r="H60" s="9" t="n">
        <v>132.34</v>
      </c>
      <c r="I60" t="inlineStr">
        <is>
          <t>INV/2026/03681</t>
        </is>
      </c>
      <c r="J60" s="9">
        <f>ROUND(F60-G60-H60,2)</f>
        <v>0</v>
      </c>
    </row>
    <row r="61">
      <c r="A61" t="inlineStr">
        <is>
          <t>po_1Q0003KX</t>
        </is>
      </c>
      <c r="B61" s="5" t="n">
        <v>46206</v>
      </c>
      <c r="C61" t="inlineStr">
        <is>
          <t>ch_3Q000057</t>
        </is>
      </c>
      <c r="D61" t="inlineStr">
        <is>
          <t>charge</t>
        </is>
      </c>
      <c r="E61" s="5" t="n">
        <v>46204</v>
      </c>
      <c r="F61" s="9" t="n">
        <v>120</v>
      </c>
      <c r="G61" s="9" t="n">
        <v>2.4</v>
      </c>
      <c r="H61" s="9" t="n">
        <v>117.6</v>
      </c>
      <c r="I61" t="inlineStr">
        <is>
          <t>INV/2026/03682</t>
        </is>
      </c>
      <c r="J61" s="9">
        <f>ROUND(F61-G61-H61,2)</f>
        <v>0</v>
      </c>
    </row>
    <row r="62">
      <c r="A62" t="inlineStr">
        <is>
          <t>po_1Q0003KX</t>
        </is>
      </c>
      <c r="B62" s="5" t="n">
        <v>46206</v>
      </c>
      <c r="C62" t="inlineStr">
        <is>
          <t>ch_3Q000058</t>
        </is>
      </c>
      <c r="D62" t="inlineStr">
        <is>
          <t>charge</t>
        </is>
      </c>
      <c r="E62" s="5" t="n">
        <v>46204</v>
      </c>
      <c r="F62" s="9" t="n">
        <v>65</v>
      </c>
      <c r="G62" s="9" t="n">
        <v>1.44</v>
      </c>
      <c r="H62" s="9" t="n">
        <v>63.56</v>
      </c>
      <c r="I62" t="inlineStr">
        <is>
          <t>INV/2026/03683</t>
        </is>
      </c>
      <c r="J62" s="9">
        <f>ROUND(F62-G62-H62,2)</f>
        <v>0</v>
      </c>
    </row>
    <row r="63">
      <c r="A63" t="inlineStr">
        <is>
          <t>po_1Q0003KX</t>
        </is>
      </c>
      <c r="B63" s="5" t="n">
        <v>46206</v>
      </c>
      <c r="C63" t="inlineStr">
        <is>
          <t>ch_3Q000059</t>
        </is>
      </c>
      <c r="D63" t="inlineStr">
        <is>
          <t>charge</t>
        </is>
      </c>
      <c r="E63" s="5" t="n">
        <v>46204</v>
      </c>
      <c r="F63" s="9" t="n">
        <v>95</v>
      </c>
      <c r="G63" s="9" t="n">
        <v>1.96</v>
      </c>
      <c r="H63" s="9" t="n">
        <v>93.04000000000001</v>
      </c>
      <c r="I63" t="inlineStr">
        <is>
          <t>INV/2026/03684</t>
        </is>
      </c>
      <c r="J63" s="9">
        <f>ROUND(F63-G63-H63,2)</f>
        <v>0</v>
      </c>
    </row>
    <row r="64">
      <c r="A64" t="inlineStr">
        <is>
          <t>po_1Q0003KX</t>
        </is>
      </c>
      <c r="B64" s="5" t="n">
        <v>46206</v>
      </c>
      <c r="C64" t="inlineStr">
        <is>
          <t>ch_3Q000060</t>
        </is>
      </c>
      <c r="D64" t="inlineStr">
        <is>
          <t>charge</t>
        </is>
      </c>
      <c r="E64" s="5" t="n">
        <v>46204</v>
      </c>
      <c r="F64" s="9" t="n">
        <v>85</v>
      </c>
      <c r="G64" s="9" t="n">
        <v>1.79</v>
      </c>
      <c r="H64" s="9" t="n">
        <v>83.20999999999999</v>
      </c>
      <c r="I64" t="inlineStr">
        <is>
          <t>INV/2026/03685</t>
        </is>
      </c>
      <c r="J64" s="9">
        <f>ROUND(F64-G64-H64,2)</f>
        <v>0</v>
      </c>
    </row>
    <row r="65">
      <c r="A65" t="inlineStr">
        <is>
          <t>po_1Q0003KX</t>
        </is>
      </c>
      <c r="B65" s="5" t="n">
        <v>46206</v>
      </c>
      <c r="C65" t="inlineStr">
        <is>
          <t>ch_3Q000061</t>
        </is>
      </c>
      <c r="D65" t="inlineStr">
        <is>
          <t>charge</t>
        </is>
      </c>
      <c r="E65" s="5" t="n">
        <v>46204</v>
      </c>
      <c r="F65" s="9" t="n">
        <v>120</v>
      </c>
      <c r="G65" s="9" t="n">
        <v>2.4</v>
      </c>
      <c r="H65" s="9" t="n">
        <v>117.6</v>
      </c>
      <c r="I65" t="inlineStr">
        <is>
          <t>INV/2026/03686</t>
        </is>
      </c>
      <c r="J65" s="9">
        <f>ROUND(F65-G65-H65,2)</f>
        <v>0</v>
      </c>
    </row>
    <row r="66">
      <c r="A66" t="inlineStr">
        <is>
          <t>po_1Q0003KX</t>
        </is>
      </c>
      <c r="B66" s="5" t="n">
        <v>46206</v>
      </c>
      <c r="C66" t="inlineStr">
        <is>
          <t>ch_3Q000062</t>
        </is>
      </c>
      <c r="D66" t="inlineStr">
        <is>
          <t>charge</t>
        </is>
      </c>
      <c r="E66" s="5" t="n">
        <v>46204</v>
      </c>
      <c r="F66" s="9" t="n">
        <v>135</v>
      </c>
      <c r="G66" s="9" t="n">
        <v>2.66</v>
      </c>
      <c r="H66" s="9" t="n">
        <v>132.34</v>
      </c>
      <c r="I66" t="inlineStr">
        <is>
          <t>INV/2026/03687</t>
        </is>
      </c>
      <c r="J66" s="9">
        <f>ROUND(F66-G66-H66,2)</f>
        <v>0</v>
      </c>
    </row>
    <row r="67">
      <c r="A67" t="inlineStr">
        <is>
          <t>po_1Q0003KX</t>
        </is>
      </c>
      <c r="B67" s="5" t="n">
        <v>46206</v>
      </c>
      <c r="C67" t="inlineStr">
        <is>
          <t>ch_3Q000063</t>
        </is>
      </c>
      <c r="D67" t="inlineStr">
        <is>
          <t>charge</t>
        </is>
      </c>
      <c r="E67" s="5" t="n">
        <v>46204</v>
      </c>
      <c r="F67" s="9" t="n">
        <v>150</v>
      </c>
      <c r="G67" s="9" t="n">
        <v>2.93</v>
      </c>
      <c r="H67" s="9" t="n">
        <v>147.07</v>
      </c>
      <c r="I67" t="inlineStr">
        <is>
          <t>INV/2026/03688</t>
        </is>
      </c>
      <c r="J67" s="9">
        <f>ROUND(F67-G67-H67,2)</f>
        <v>0</v>
      </c>
    </row>
    <row r="68">
      <c r="A68" t="inlineStr">
        <is>
          <t>po_1Q0003KX</t>
        </is>
      </c>
      <c r="B68" s="5" t="n">
        <v>46206</v>
      </c>
      <c r="C68" t="inlineStr">
        <is>
          <t>ch_3Q000064</t>
        </is>
      </c>
      <c r="D68" t="inlineStr">
        <is>
          <t>charge</t>
        </is>
      </c>
      <c r="E68" s="5" t="n">
        <v>46204</v>
      </c>
      <c r="F68" s="9" t="n">
        <v>220</v>
      </c>
      <c r="G68" s="9" t="n">
        <v>4.15</v>
      </c>
      <c r="H68" s="9" t="n">
        <v>215.85</v>
      </c>
      <c r="I68" t="inlineStr">
        <is>
          <t>INV/2026/03689</t>
        </is>
      </c>
      <c r="J68" s="9">
        <f>ROUND(F68-G68-H68,2)</f>
        <v>0</v>
      </c>
    </row>
    <row r="69">
      <c r="A69" t="inlineStr">
        <is>
          <t>po_1Q0003KX</t>
        </is>
      </c>
      <c r="B69" s="5" t="n">
        <v>46206</v>
      </c>
      <c r="C69" t="inlineStr">
        <is>
          <t>ch_3Q000065</t>
        </is>
      </c>
      <c r="D69" t="inlineStr">
        <is>
          <t>charge</t>
        </is>
      </c>
      <c r="E69" s="5" t="n">
        <v>46204</v>
      </c>
      <c r="F69" s="9" t="n">
        <v>180</v>
      </c>
      <c r="G69" s="9" t="n">
        <v>3.45</v>
      </c>
      <c r="H69" s="9" t="n">
        <v>176.55</v>
      </c>
      <c r="I69" t="inlineStr">
        <is>
          <t>INV/2026/03690</t>
        </is>
      </c>
      <c r="J69" s="9">
        <f>ROUND(F69-G69-H69,2)</f>
        <v>0</v>
      </c>
    </row>
    <row r="70">
      <c r="A70" t="inlineStr">
        <is>
          <t>po_1Q0003KX</t>
        </is>
      </c>
      <c r="B70" s="5" t="n">
        <v>46206</v>
      </c>
      <c r="C70" t="inlineStr">
        <is>
          <t>ch_3Q000066</t>
        </is>
      </c>
      <c r="D70" t="inlineStr">
        <is>
          <t>charge</t>
        </is>
      </c>
      <c r="E70" s="5" t="n">
        <v>46204</v>
      </c>
      <c r="F70" s="9" t="n">
        <v>65</v>
      </c>
      <c r="G70" s="9" t="n">
        <v>1.44</v>
      </c>
      <c r="H70" s="9" t="n">
        <v>63.56</v>
      </c>
      <c r="I70" t="inlineStr">
        <is>
          <t>INV/2026/03691</t>
        </is>
      </c>
      <c r="J70" s="9">
        <f>ROUND(F70-G70-H70,2)</f>
        <v>0</v>
      </c>
    </row>
    <row r="71">
      <c r="A71" t="inlineStr">
        <is>
          <t>po_1Q0003KX</t>
        </is>
      </c>
      <c r="B71" s="5" t="n">
        <v>46206</v>
      </c>
      <c r="C71" t="inlineStr">
        <is>
          <t>ch_3Q000067</t>
        </is>
      </c>
      <c r="D71" t="inlineStr">
        <is>
          <t>charge</t>
        </is>
      </c>
      <c r="E71" s="5" t="n">
        <v>46204</v>
      </c>
      <c r="F71" s="9" t="n">
        <v>120</v>
      </c>
      <c r="G71" s="9" t="n">
        <v>2.4</v>
      </c>
      <c r="H71" s="9" t="n">
        <v>117.6</v>
      </c>
      <c r="I71" t="inlineStr">
        <is>
          <t>INV/2026/03692</t>
        </is>
      </c>
      <c r="J71" s="9">
        <f>ROUND(F71-G71-H71,2)</f>
        <v>0</v>
      </c>
    </row>
    <row r="72">
      <c r="A72" t="inlineStr">
        <is>
          <t>po_1Q0003KX</t>
        </is>
      </c>
      <c r="B72" s="5" t="n">
        <v>46206</v>
      </c>
      <c r="C72" t="inlineStr">
        <is>
          <t>ch_3Q000068</t>
        </is>
      </c>
      <c r="D72" t="inlineStr">
        <is>
          <t>charge</t>
        </is>
      </c>
      <c r="E72" s="5" t="n">
        <v>46204</v>
      </c>
      <c r="F72" s="9" t="n">
        <v>120</v>
      </c>
      <c r="G72" s="9" t="n">
        <v>2.4</v>
      </c>
      <c r="H72" s="9" t="n">
        <v>117.6</v>
      </c>
      <c r="I72" t="inlineStr">
        <is>
          <t>INV/2026/03693</t>
        </is>
      </c>
      <c r="J72" s="9">
        <f>ROUND(F72-G72-H72,2)</f>
        <v>0</v>
      </c>
    </row>
    <row r="73">
      <c r="A73" t="inlineStr">
        <is>
          <t>po_1Q0003KX</t>
        </is>
      </c>
      <c r="B73" s="5" t="n">
        <v>46206</v>
      </c>
      <c r="C73" t="inlineStr">
        <is>
          <t>ch_3Q000069</t>
        </is>
      </c>
      <c r="D73" t="inlineStr">
        <is>
          <t>charge</t>
        </is>
      </c>
      <c r="E73" s="5" t="n">
        <v>46204</v>
      </c>
      <c r="F73" s="9" t="n">
        <v>85</v>
      </c>
      <c r="G73" s="9" t="n">
        <v>1.79</v>
      </c>
      <c r="H73" s="9" t="n">
        <v>83.20999999999999</v>
      </c>
      <c r="I73" t="inlineStr">
        <is>
          <t>INV/2026/03694</t>
        </is>
      </c>
      <c r="J73" s="9">
        <f>ROUND(F73-G73-H73,2)</f>
        <v>0</v>
      </c>
    </row>
    <row r="74">
      <c r="A74" t="inlineStr">
        <is>
          <t>po_1Q0003KX</t>
        </is>
      </c>
      <c r="B74" s="5" t="n">
        <v>46206</v>
      </c>
      <c r="C74" t="inlineStr">
        <is>
          <t>ch_3Q000070</t>
        </is>
      </c>
      <c r="D74" t="inlineStr">
        <is>
          <t>charge</t>
        </is>
      </c>
      <c r="E74" s="5" t="n">
        <v>46204</v>
      </c>
      <c r="F74" s="9" t="n">
        <v>65</v>
      </c>
      <c r="G74" s="9" t="n">
        <v>1.44</v>
      </c>
      <c r="H74" s="9" t="n">
        <v>63.56</v>
      </c>
      <c r="I74" t="inlineStr">
        <is>
          <t>INV/2026/03695</t>
        </is>
      </c>
      <c r="J74" s="9">
        <f>ROUND(F74-G74-H74,2)</f>
        <v>0</v>
      </c>
    </row>
    <row r="75">
      <c r="A75" t="inlineStr">
        <is>
          <t>po_1Q0003KX</t>
        </is>
      </c>
      <c r="B75" s="5" t="n">
        <v>46206</v>
      </c>
      <c r="C75" t="inlineStr">
        <is>
          <t>ch_3Q000071</t>
        </is>
      </c>
      <c r="D75" t="inlineStr">
        <is>
          <t>charge</t>
        </is>
      </c>
      <c r="E75" s="5" t="n">
        <v>46204</v>
      </c>
      <c r="F75" s="9" t="n">
        <v>135</v>
      </c>
      <c r="G75" s="9" t="n">
        <v>2.66</v>
      </c>
      <c r="H75" s="9" t="n">
        <v>132.34</v>
      </c>
      <c r="I75" t="inlineStr">
        <is>
          <t>INV/2026/03696</t>
        </is>
      </c>
      <c r="J75" s="9">
        <f>ROUND(F75-G75-H75,2)</f>
        <v>0</v>
      </c>
    </row>
    <row r="76">
      <c r="A76" t="inlineStr">
        <is>
          <t>po_1Q0003KX</t>
        </is>
      </c>
      <c r="B76" s="5" t="n">
        <v>46206</v>
      </c>
      <c r="C76" t="inlineStr">
        <is>
          <t>ch_3Q000072</t>
        </is>
      </c>
      <c r="D76" t="inlineStr">
        <is>
          <t>charge</t>
        </is>
      </c>
      <c r="E76" s="5" t="n">
        <v>46204</v>
      </c>
      <c r="F76" s="9" t="n">
        <v>150</v>
      </c>
      <c r="G76" s="9" t="n">
        <v>2.93</v>
      </c>
      <c r="H76" s="9" t="n">
        <v>147.07</v>
      </c>
      <c r="I76" t="inlineStr">
        <is>
          <t>INV/2026/03697</t>
        </is>
      </c>
      <c r="J76" s="9">
        <f>ROUND(F76-G76-H76,2)</f>
        <v>0</v>
      </c>
    </row>
    <row r="77">
      <c r="A77" t="inlineStr">
        <is>
          <t>po_1Q0003KX</t>
        </is>
      </c>
      <c r="B77" s="5" t="n">
        <v>46206</v>
      </c>
      <c r="C77" t="inlineStr">
        <is>
          <t>ch_3Q000073</t>
        </is>
      </c>
      <c r="D77" t="inlineStr">
        <is>
          <t>charge</t>
        </is>
      </c>
      <c r="E77" s="5" t="n">
        <v>46204</v>
      </c>
      <c r="F77" s="9" t="n">
        <v>150</v>
      </c>
      <c r="G77" s="9" t="n">
        <v>2.93</v>
      </c>
      <c r="H77" s="9" t="n">
        <v>147.07</v>
      </c>
      <c r="I77" t="inlineStr">
        <is>
          <t>INV/2026/03698</t>
        </is>
      </c>
      <c r="J77" s="9">
        <f>ROUND(F77-G77-H77,2)</f>
        <v>0</v>
      </c>
    </row>
    <row r="78">
      <c r="A78" t="inlineStr">
        <is>
          <t>po_1Q0003KX</t>
        </is>
      </c>
      <c r="B78" s="5" t="n">
        <v>46206</v>
      </c>
      <c r="C78" t="inlineStr">
        <is>
          <t>ch_3Q000074</t>
        </is>
      </c>
      <c r="D78" t="inlineStr">
        <is>
          <t>charge</t>
        </is>
      </c>
      <c r="E78" s="5" t="n">
        <v>46204</v>
      </c>
      <c r="F78" s="9" t="n">
        <v>95</v>
      </c>
      <c r="G78" s="9" t="n">
        <v>1.96</v>
      </c>
      <c r="H78" s="9" t="n">
        <v>93.04000000000001</v>
      </c>
      <c r="I78" t="inlineStr">
        <is>
          <t>INV/2026/03699</t>
        </is>
      </c>
      <c r="J78" s="9">
        <f>ROUND(F78-G78-H78,2)</f>
        <v>0</v>
      </c>
    </row>
    <row r="79">
      <c r="A79" t="inlineStr">
        <is>
          <t>po_1Q0003KX</t>
        </is>
      </c>
      <c r="B79" s="5" t="n">
        <v>46206</v>
      </c>
      <c r="C79" t="inlineStr">
        <is>
          <t>ch_3Q000075</t>
        </is>
      </c>
      <c r="D79" t="inlineStr">
        <is>
          <t>charge</t>
        </is>
      </c>
      <c r="E79" s="5" t="n">
        <v>46204</v>
      </c>
      <c r="F79" s="9" t="n">
        <v>110</v>
      </c>
      <c r="G79" s="9" t="n">
        <v>2.23</v>
      </c>
      <c r="H79" s="9" t="n">
        <v>107.77</v>
      </c>
      <c r="I79" t="inlineStr">
        <is>
          <t>INV/2026/03700</t>
        </is>
      </c>
      <c r="J79" s="9">
        <f>ROUND(F79-G79-H79,2)</f>
        <v>0</v>
      </c>
    </row>
    <row r="80">
      <c r="A80" t="inlineStr">
        <is>
          <t>po_1Q0003KX</t>
        </is>
      </c>
      <c r="B80" s="5" t="n">
        <v>46206</v>
      </c>
      <c r="C80" t="inlineStr">
        <is>
          <t>ch_3Q000076</t>
        </is>
      </c>
      <c r="D80" t="inlineStr">
        <is>
          <t>charge</t>
        </is>
      </c>
      <c r="E80" s="5" t="n">
        <v>46204</v>
      </c>
      <c r="F80" s="9" t="n">
        <v>65</v>
      </c>
      <c r="G80" s="9" t="n">
        <v>1.44</v>
      </c>
      <c r="H80" s="9" t="n">
        <v>63.56</v>
      </c>
      <c r="I80" t="inlineStr">
        <is>
          <t>INV/2026/03701</t>
        </is>
      </c>
      <c r="J80" s="9">
        <f>ROUND(F80-G80-H80,2)</f>
        <v>0</v>
      </c>
    </row>
    <row r="81">
      <c r="A81" t="inlineStr">
        <is>
          <t>po_1Q0003KX</t>
        </is>
      </c>
      <c r="B81" s="5" t="n">
        <v>46206</v>
      </c>
      <c r="C81" t="inlineStr">
        <is>
          <t>ch_3Q000077</t>
        </is>
      </c>
      <c r="D81" t="inlineStr">
        <is>
          <t>charge</t>
        </is>
      </c>
      <c r="E81" s="5" t="n">
        <v>46204</v>
      </c>
      <c r="F81" s="9" t="n">
        <v>180</v>
      </c>
      <c r="G81" s="9" t="n">
        <v>3.45</v>
      </c>
      <c r="H81" s="9" t="n">
        <v>176.55</v>
      </c>
      <c r="I81" t="inlineStr">
        <is>
          <t>INV/2026/03702</t>
        </is>
      </c>
      <c r="J81" s="9">
        <f>ROUND(F81-G81-H81,2)</f>
        <v>0</v>
      </c>
    </row>
    <row r="82">
      <c r="A82" t="inlineStr">
        <is>
          <t>po_1Q0003KX</t>
        </is>
      </c>
      <c r="B82" s="5" t="n">
        <v>46206</v>
      </c>
      <c r="C82" t="inlineStr">
        <is>
          <t>ch_3Q000078</t>
        </is>
      </c>
      <c r="D82" t="inlineStr">
        <is>
          <t>charge</t>
        </is>
      </c>
      <c r="E82" s="5" t="n">
        <v>46204</v>
      </c>
      <c r="F82" s="9" t="n">
        <v>95</v>
      </c>
      <c r="G82" s="9" t="n">
        <v>1.96</v>
      </c>
      <c r="H82" s="9" t="n">
        <v>93.04000000000001</v>
      </c>
      <c r="I82" t="inlineStr">
        <is>
          <t>INV/2026/03703</t>
        </is>
      </c>
      <c r="J82" s="9">
        <f>ROUND(F82-G82-H82,2)</f>
        <v>0</v>
      </c>
    </row>
    <row r="83">
      <c r="A83" t="inlineStr">
        <is>
          <t>po_1Q0003KX</t>
        </is>
      </c>
      <c r="B83" s="5" t="n">
        <v>46206</v>
      </c>
      <c r="C83" t="inlineStr">
        <is>
          <t>ch_3Q000079</t>
        </is>
      </c>
      <c r="D83" t="inlineStr">
        <is>
          <t>charge</t>
        </is>
      </c>
      <c r="E83" s="5" t="n">
        <v>46204</v>
      </c>
      <c r="F83" s="9" t="n">
        <v>110</v>
      </c>
      <c r="G83" s="9" t="n">
        <v>2.23</v>
      </c>
      <c r="H83" s="9" t="n">
        <v>107.77</v>
      </c>
      <c r="I83" t="inlineStr">
        <is>
          <t>INV/2026/03704</t>
        </is>
      </c>
      <c r="J83" s="9">
        <f>ROUND(F83-G83-H83,2)</f>
        <v>0</v>
      </c>
    </row>
    <row r="84">
      <c r="A84" t="inlineStr">
        <is>
          <t>po_1Q0003KX</t>
        </is>
      </c>
      <c r="B84" s="5" t="n">
        <v>46206</v>
      </c>
      <c r="C84" t="inlineStr">
        <is>
          <t>ch_3Q000080</t>
        </is>
      </c>
      <c r="D84" t="inlineStr">
        <is>
          <t>charge</t>
        </is>
      </c>
      <c r="E84" s="5" t="n">
        <v>46204</v>
      </c>
      <c r="F84" s="9" t="n">
        <v>150</v>
      </c>
      <c r="G84" s="9" t="n">
        <v>2.93</v>
      </c>
      <c r="H84" s="9" t="n">
        <v>147.07</v>
      </c>
      <c r="I84" t="inlineStr">
        <is>
          <t>INV/2026/03705</t>
        </is>
      </c>
      <c r="J84" s="9">
        <f>ROUND(F84-G84-H84,2)</f>
        <v>0</v>
      </c>
    </row>
    <row r="85">
      <c r="A85" t="inlineStr">
        <is>
          <t>po_1Q0003KX</t>
        </is>
      </c>
      <c r="B85" s="5" t="n">
        <v>46206</v>
      </c>
      <c r="C85" t="inlineStr">
        <is>
          <t>ch_3Q000081</t>
        </is>
      </c>
      <c r="D85" t="inlineStr">
        <is>
          <t>charge</t>
        </is>
      </c>
      <c r="E85" s="5" t="n">
        <v>46204</v>
      </c>
      <c r="F85" s="9" t="n">
        <v>110</v>
      </c>
      <c r="G85" s="9" t="n">
        <v>2.23</v>
      </c>
      <c r="H85" s="9" t="n">
        <v>107.77</v>
      </c>
      <c r="I85" t="inlineStr">
        <is>
          <t>INV/2026/03706</t>
        </is>
      </c>
      <c r="J85" s="9">
        <f>ROUND(F85-G85-H85,2)</f>
        <v>0</v>
      </c>
    </row>
    <row r="86">
      <c r="A86" t="inlineStr">
        <is>
          <t>po_1Q0003KX</t>
        </is>
      </c>
      <c r="B86" s="5" t="n">
        <v>46206</v>
      </c>
      <c r="C86" t="inlineStr">
        <is>
          <t>ch_3Q000082</t>
        </is>
      </c>
      <c r="D86" t="inlineStr">
        <is>
          <t>charge</t>
        </is>
      </c>
      <c r="E86" s="5" t="n">
        <v>46204</v>
      </c>
      <c r="F86" s="9" t="n">
        <v>150</v>
      </c>
      <c r="G86" s="9" t="n">
        <v>2.93</v>
      </c>
      <c r="H86" s="9" t="n">
        <v>147.07</v>
      </c>
      <c r="I86" t="inlineStr">
        <is>
          <t>INV/2026/03707</t>
        </is>
      </c>
      <c r="J86" s="9">
        <f>ROUND(F86-G86-H86,2)</f>
        <v>0</v>
      </c>
    </row>
    <row r="87">
      <c r="A87" t="inlineStr">
        <is>
          <t>po_1Q0003KX</t>
        </is>
      </c>
      <c r="B87" s="5" t="n">
        <v>46206</v>
      </c>
      <c r="C87" t="inlineStr">
        <is>
          <t>ch_3Q000083</t>
        </is>
      </c>
      <c r="D87" t="inlineStr">
        <is>
          <t>charge</t>
        </is>
      </c>
      <c r="E87" s="5" t="n">
        <v>46204</v>
      </c>
      <c r="F87" s="9" t="n">
        <v>120</v>
      </c>
      <c r="G87" s="9" t="n">
        <v>2.4</v>
      </c>
      <c r="H87" s="9" t="n">
        <v>117.6</v>
      </c>
      <c r="I87" t="inlineStr">
        <is>
          <t>INV/2026/03708</t>
        </is>
      </c>
      <c r="J87" s="9">
        <f>ROUND(F87-G87-H87,2)</f>
        <v>0</v>
      </c>
    </row>
    <row r="88">
      <c r="A88" t="inlineStr">
        <is>
          <t>po_1Q0003KX</t>
        </is>
      </c>
      <c r="B88" s="5" t="n">
        <v>46206</v>
      </c>
      <c r="C88" t="inlineStr">
        <is>
          <t>ch_3Q000084</t>
        </is>
      </c>
      <c r="D88" t="inlineStr">
        <is>
          <t>charge</t>
        </is>
      </c>
      <c r="E88" s="5" t="n">
        <v>46204</v>
      </c>
      <c r="F88" s="9" t="n">
        <v>110</v>
      </c>
      <c r="G88" s="9" t="n">
        <v>2.23</v>
      </c>
      <c r="H88" s="9" t="n">
        <v>107.77</v>
      </c>
      <c r="I88" t="inlineStr">
        <is>
          <t>INV/2026/03709</t>
        </is>
      </c>
      <c r="J88" s="9">
        <f>ROUND(F88-G88-H88,2)</f>
        <v>0</v>
      </c>
    </row>
    <row r="89">
      <c r="A89" t="inlineStr">
        <is>
          <t>po_1Q0004KX</t>
        </is>
      </c>
      <c r="B89" s="5" t="n">
        <v>46209</v>
      </c>
      <c r="C89" t="inlineStr">
        <is>
          <t>ch_3Q000085</t>
        </is>
      </c>
      <c r="D89" t="inlineStr">
        <is>
          <t>charge</t>
        </is>
      </c>
      <c r="E89" s="5" t="n">
        <v>46205</v>
      </c>
      <c r="F89" s="9" t="n">
        <v>65</v>
      </c>
      <c r="G89" s="9" t="n">
        <v>1.44</v>
      </c>
      <c r="H89" s="9" t="n">
        <v>63.56</v>
      </c>
      <c r="I89" t="inlineStr">
        <is>
          <t>INV/2026/03710</t>
        </is>
      </c>
      <c r="J89" s="9">
        <f>ROUND(F89-G89-H89,2)</f>
        <v>0</v>
      </c>
    </row>
    <row r="90">
      <c r="A90" t="inlineStr">
        <is>
          <t>po_1Q0004KX</t>
        </is>
      </c>
      <c r="B90" s="5" t="n">
        <v>46209</v>
      </c>
      <c r="C90" t="inlineStr">
        <is>
          <t>ch_3Q000086</t>
        </is>
      </c>
      <c r="D90" t="inlineStr">
        <is>
          <t>charge</t>
        </is>
      </c>
      <c r="E90" s="5" t="n">
        <v>46205</v>
      </c>
      <c r="F90" s="9" t="n">
        <v>65</v>
      </c>
      <c r="G90" s="9" t="n">
        <v>1.44</v>
      </c>
      <c r="H90" s="9" t="n">
        <v>63.56</v>
      </c>
      <c r="I90" t="inlineStr">
        <is>
          <t>INV/2026/03711</t>
        </is>
      </c>
      <c r="J90" s="9">
        <f>ROUND(F90-G90-H90,2)</f>
        <v>0</v>
      </c>
    </row>
    <row r="91">
      <c r="A91" t="inlineStr">
        <is>
          <t>po_1Q0004KX</t>
        </is>
      </c>
      <c r="B91" s="5" t="n">
        <v>46209</v>
      </c>
      <c r="C91" t="inlineStr">
        <is>
          <t>ch_3Q000087</t>
        </is>
      </c>
      <c r="D91" t="inlineStr">
        <is>
          <t>charge</t>
        </is>
      </c>
      <c r="E91" s="5" t="n">
        <v>46205</v>
      </c>
      <c r="F91" s="9" t="n">
        <v>65</v>
      </c>
      <c r="G91" s="9" t="n">
        <v>1.44</v>
      </c>
      <c r="H91" s="9" t="n">
        <v>63.56</v>
      </c>
      <c r="I91" t="inlineStr">
        <is>
          <t>INV/2026/03712</t>
        </is>
      </c>
      <c r="J91" s="9">
        <f>ROUND(F91-G91-H91,2)</f>
        <v>0</v>
      </c>
    </row>
    <row r="92">
      <c r="A92" t="inlineStr">
        <is>
          <t>po_1Q0004KX</t>
        </is>
      </c>
      <c r="B92" s="5" t="n">
        <v>46209</v>
      </c>
      <c r="C92" t="inlineStr">
        <is>
          <t>ch_3Q000088</t>
        </is>
      </c>
      <c r="D92" t="inlineStr">
        <is>
          <t>charge</t>
        </is>
      </c>
      <c r="E92" s="5" t="n">
        <v>46205</v>
      </c>
      <c r="F92" s="9" t="n">
        <v>220</v>
      </c>
      <c r="G92" s="9" t="n">
        <v>4.15</v>
      </c>
      <c r="H92" s="9" t="n">
        <v>215.85</v>
      </c>
      <c r="I92" t="inlineStr">
        <is>
          <t>INV/2026/03713</t>
        </is>
      </c>
      <c r="J92" s="9">
        <f>ROUND(F92-G92-H92,2)</f>
        <v>0</v>
      </c>
    </row>
    <row r="93">
      <c r="A93" t="inlineStr">
        <is>
          <t>po_1Q0004KX</t>
        </is>
      </c>
      <c r="B93" s="5" t="n">
        <v>46209</v>
      </c>
      <c r="C93" t="inlineStr">
        <is>
          <t>ch_3Q000089</t>
        </is>
      </c>
      <c r="D93" t="inlineStr">
        <is>
          <t>charge</t>
        </is>
      </c>
      <c r="E93" s="5" t="n">
        <v>46205</v>
      </c>
      <c r="F93" s="9" t="n">
        <v>220</v>
      </c>
      <c r="G93" s="9" t="n">
        <v>4.15</v>
      </c>
      <c r="H93" s="9" t="n">
        <v>215.85</v>
      </c>
      <c r="I93" t="inlineStr">
        <is>
          <t>INV/2026/03714</t>
        </is>
      </c>
      <c r="J93" s="9">
        <f>ROUND(F93-G93-H93,2)</f>
        <v>0</v>
      </c>
    </row>
    <row r="94">
      <c r="A94" t="inlineStr">
        <is>
          <t>po_1Q0004KX</t>
        </is>
      </c>
      <c r="B94" s="5" t="n">
        <v>46209</v>
      </c>
      <c r="C94" t="inlineStr">
        <is>
          <t>ch_3Q000090</t>
        </is>
      </c>
      <c r="D94" t="inlineStr">
        <is>
          <t>charge</t>
        </is>
      </c>
      <c r="E94" s="5" t="n">
        <v>46205</v>
      </c>
      <c r="F94" s="9" t="n">
        <v>135</v>
      </c>
      <c r="G94" s="9" t="n">
        <v>2.66</v>
      </c>
      <c r="H94" s="9" t="n">
        <v>132.34</v>
      </c>
      <c r="I94" t="inlineStr">
        <is>
          <t>INV/2026/03715</t>
        </is>
      </c>
      <c r="J94" s="9">
        <f>ROUND(F94-G94-H94,2)</f>
        <v>0</v>
      </c>
    </row>
    <row r="95">
      <c r="A95" t="inlineStr">
        <is>
          <t>po_1Q0004KX</t>
        </is>
      </c>
      <c r="B95" s="5" t="n">
        <v>46209</v>
      </c>
      <c r="C95" t="inlineStr">
        <is>
          <t>ch_3Q000091</t>
        </is>
      </c>
      <c r="D95" t="inlineStr">
        <is>
          <t>charge</t>
        </is>
      </c>
      <c r="E95" s="5" t="n">
        <v>46205</v>
      </c>
      <c r="F95" s="9" t="n">
        <v>85</v>
      </c>
      <c r="G95" s="9" t="n">
        <v>1.79</v>
      </c>
      <c r="H95" s="9" t="n">
        <v>83.20999999999999</v>
      </c>
      <c r="I95" t="inlineStr">
        <is>
          <t>INV/2026/03716</t>
        </is>
      </c>
      <c r="J95" s="9">
        <f>ROUND(F95-G95-H95,2)</f>
        <v>0</v>
      </c>
    </row>
    <row r="96">
      <c r="A96" t="inlineStr">
        <is>
          <t>po_1Q0004KX</t>
        </is>
      </c>
      <c r="B96" s="5" t="n">
        <v>46209</v>
      </c>
      <c r="C96" t="inlineStr">
        <is>
          <t>ch_3Q000092</t>
        </is>
      </c>
      <c r="D96" t="inlineStr">
        <is>
          <t>charge</t>
        </is>
      </c>
      <c r="E96" s="5" t="n">
        <v>46205</v>
      </c>
      <c r="F96" s="9" t="n">
        <v>120</v>
      </c>
      <c r="G96" s="9" t="n">
        <v>2.4</v>
      </c>
      <c r="H96" s="9" t="n">
        <v>117.6</v>
      </c>
      <c r="I96" t="inlineStr">
        <is>
          <t>INV/2026/03717</t>
        </is>
      </c>
      <c r="J96" s="9">
        <f>ROUND(F96-G96-H96,2)</f>
        <v>0</v>
      </c>
    </row>
    <row r="97">
      <c r="A97" t="inlineStr">
        <is>
          <t>po_1Q0004KX</t>
        </is>
      </c>
      <c r="B97" s="5" t="n">
        <v>46209</v>
      </c>
      <c r="C97" t="inlineStr">
        <is>
          <t>ch_3Q000093</t>
        </is>
      </c>
      <c r="D97" t="inlineStr">
        <is>
          <t>charge</t>
        </is>
      </c>
      <c r="E97" s="5" t="n">
        <v>46205</v>
      </c>
      <c r="F97" s="9" t="n">
        <v>220</v>
      </c>
      <c r="G97" s="9" t="n">
        <v>4.15</v>
      </c>
      <c r="H97" s="9" t="n">
        <v>215.85</v>
      </c>
      <c r="I97" t="inlineStr">
        <is>
          <t>INV/2026/03718</t>
        </is>
      </c>
      <c r="J97" s="9">
        <f>ROUND(F97-G97-H97,2)</f>
        <v>0</v>
      </c>
    </row>
    <row r="98">
      <c r="A98" t="inlineStr">
        <is>
          <t>po_1Q0004KX</t>
        </is>
      </c>
      <c r="B98" s="5" t="n">
        <v>46209</v>
      </c>
      <c r="C98" t="inlineStr">
        <is>
          <t>ch_3Q000094</t>
        </is>
      </c>
      <c r="D98" t="inlineStr">
        <is>
          <t>charge</t>
        </is>
      </c>
      <c r="E98" s="5" t="n">
        <v>46205</v>
      </c>
      <c r="F98" s="9" t="n">
        <v>85</v>
      </c>
      <c r="G98" s="9" t="n">
        <v>1.79</v>
      </c>
      <c r="H98" s="9" t="n">
        <v>83.20999999999999</v>
      </c>
      <c r="I98" t="inlineStr">
        <is>
          <t>INV/2026/03719</t>
        </is>
      </c>
      <c r="J98" s="9">
        <f>ROUND(F98-G98-H98,2)</f>
        <v>0</v>
      </c>
    </row>
    <row r="99">
      <c r="A99" t="inlineStr">
        <is>
          <t>po_1Q0004KX</t>
        </is>
      </c>
      <c r="B99" s="5" t="n">
        <v>46209</v>
      </c>
      <c r="C99" t="inlineStr">
        <is>
          <t>ch_3Q000095</t>
        </is>
      </c>
      <c r="D99" t="inlineStr">
        <is>
          <t>charge</t>
        </is>
      </c>
      <c r="E99" s="5" t="n">
        <v>46205</v>
      </c>
      <c r="F99" s="9" t="n">
        <v>120</v>
      </c>
      <c r="G99" s="9" t="n">
        <v>2.4</v>
      </c>
      <c r="H99" s="9" t="n">
        <v>117.6</v>
      </c>
      <c r="I99" t="inlineStr">
        <is>
          <t>INV/2026/03720</t>
        </is>
      </c>
      <c r="J99" s="9">
        <f>ROUND(F99-G99-H99,2)</f>
        <v>0</v>
      </c>
    </row>
    <row r="100">
      <c r="A100" t="inlineStr">
        <is>
          <t>po_1Q0004KX</t>
        </is>
      </c>
      <c r="B100" s="5" t="n">
        <v>46209</v>
      </c>
      <c r="C100" t="inlineStr">
        <is>
          <t>ch_3Q000096</t>
        </is>
      </c>
      <c r="D100" t="inlineStr">
        <is>
          <t>charge</t>
        </is>
      </c>
      <c r="E100" s="5" t="n">
        <v>46205</v>
      </c>
      <c r="F100" s="9" t="n">
        <v>95</v>
      </c>
      <c r="G100" s="9" t="n">
        <v>1.96</v>
      </c>
      <c r="H100" s="9" t="n">
        <v>93.04000000000001</v>
      </c>
      <c r="I100" t="inlineStr">
        <is>
          <t>INV/2026/03721</t>
        </is>
      </c>
      <c r="J100" s="9">
        <f>ROUND(F100-G100-H100,2)</f>
        <v>0</v>
      </c>
    </row>
    <row r="101">
      <c r="A101" t="inlineStr">
        <is>
          <t>po_1Q0004KX</t>
        </is>
      </c>
      <c r="B101" s="5" t="n">
        <v>46209</v>
      </c>
      <c r="C101" t="inlineStr">
        <is>
          <t>ch_3Q000097</t>
        </is>
      </c>
      <c r="D101" t="inlineStr">
        <is>
          <t>charge</t>
        </is>
      </c>
      <c r="E101" s="5" t="n">
        <v>46205</v>
      </c>
      <c r="F101" s="9" t="n">
        <v>110</v>
      </c>
      <c r="G101" s="9" t="n">
        <v>2.23</v>
      </c>
      <c r="H101" s="9" t="n">
        <v>107.77</v>
      </c>
      <c r="I101" t="inlineStr">
        <is>
          <t>INV/2026/03722</t>
        </is>
      </c>
      <c r="J101" s="9">
        <f>ROUND(F101-G101-H101,2)</f>
        <v>0</v>
      </c>
    </row>
    <row r="102">
      <c r="A102" t="inlineStr">
        <is>
          <t>po_1Q0004KX</t>
        </is>
      </c>
      <c r="B102" s="5" t="n">
        <v>46209</v>
      </c>
      <c r="C102" t="inlineStr">
        <is>
          <t>ch_3Q000098</t>
        </is>
      </c>
      <c r="D102" t="inlineStr">
        <is>
          <t>charge</t>
        </is>
      </c>
      <c r="E102" s="5" t="n">
        <v>46205</v>
      </c>
      <c r="F102" s="9" t="n">
        <v>180</v>
      </c>
      <c r="G102" s="9" t="n">
        <v>3.45</v>
      </c>
      <c r="H102" s="9" t="n">
        <v>176.55</v>
      </c>
      <c r="I102" t="inlineStr">
        <is>
          <t>INV/2026/03723</t>
        </is>
      </c>
      <c r="J102" s="9">
        <f>ROUND(F102-G102-H102,2)</f>
        <v>0</v>
      </c>
    </row>
    <row r="103">
      <c r="A103" t="inlineStr">
        <is>
          <t>po_1Q0004KX</t>
        </is>
      </c>
      <c r="B103" s="5" t="n">
        <v>46209</v>
      </c>
      <c r="C103" t="inlineStr">
        <is>
          <t>ch_3Q000099</t>
        </is>
      </c>
      <c r="D103" t="inlineStr">
        <is>
          <t>charge</t>
        </is>
      </c>
      <c r="E103" s="5" t="n">
        <v>46205</v>
      </c>
      <c r="F103" s="9" t="n">
        <v>85</v>
      </c>
      <c r="G103" s="9" t="n">
        <v>1.79</v>
      </c>
      <c r="H103" s="9" t="n">
        <v>83.20999999999999</v>
      </c>
      <c r="I103" t="inlineStr">
        <is>
          <t>INV/2026/03724</t>
        </is>
      </c>
      <c r="J103" s="9">
        <f>ROUND(F103-G103-H103,2)</f>
        <v>0</v>
      </c>
    </row>
    <row r="104">
      <c r="A104" t="inlineStr">
        <is>
          <t>po_1Q0004KX</t>
        </is>
      </c>
      <c r="B104" s="5" t="n">
        <v>46209</v>
      </c>
      <c r="C104" t="inlineStr">
        <is>
          <t>ch_3Q000100</t>
        </is>
      </c>
      <c r="D104" t="inlineStr">
        <is>
          <t>charge</t>
        </is>
      </c>
      <c r="E104" s="5" t="n">
        <v>46205</v>
      </c>
      <c r="F104" s="9" t="n">
        <v>95</v>
      </c>
      <c r="G104" s="9" t="n">
        <v>1.96</v>
      </c>
      <c r="H104" s="9" t="n">
        <v>93.04000000000001</v>
      </c>
      <c r="I104" t="inlineStr">
        <is>
          <t>INV/2026/03725</t>
        </is>
      </c>
      <c r="J104" s="9">
        <f>ROUND(F104-G104-H104,2)</f>
        <v>0</v>
      </c>
    </row>
    <row r="105">
      <c r="A105" t="inlineStr">
        <is>
          <t>po_1Q0004KX</t>
        </is>
      </c>
      <c r="B105" s="5" t="n">
        <v>46209</v>
      </c>
      <c r="C105" t="inlineStr">
        <is>
          <t>ch_3Q000101</t>
        </is>
      </c>
      <c r="D105" t="inlineStr">
        <is>
          <t>charge</t>
        </is>
      </c>
      <c r="E105" s="5" t="n">
        <v>46205</v>
      </c>
      <c r="F105" s="9" t="n">
        <v>110</v>
      </c>
      <c r="G105" s="9" t="n">
        <v>2.23</v>
      </c>
      <c r="H105" s="9" t="n">
        <v>107.77</v>
      </c>
      <c r="I105" t="inlineStr">
        <is>
          <t>INV/2026/03726</t>
        </is>
      </c>
      <c r="J105" s="9">
        <f>ROUND(F105-G105-H105,2)</f>
        <v>0</v>
      </c>
    </row>
    <row r="106">
      <c r="A106" t="inlineStr">
        <is>
          <t>po_1Q0004KX</t>
        </is>
      </c>
      <c r="B106" s="5" t="n">
        <v>46209</v>
      </c>
      <c r="C106" t="inlineStr">
        <is>
          <t>ch_3Q000102</t>
        </is>
      </c>
      <c r="D106" t="inlineStr">
        <is>
          <t>charge</t>
        </is>
      </c>
      <c r="E106" s="5" t="n">
        <v>46205</v>
      </c>
      <c r="F106" s="9" t="n">
        <v>110</v>
      </c>
      <c r="G106" s="9" t="n">
        <v>2.23</v>
      </c>
      <c r="H106" s="9" t="n">
        <v>107.77</v>
      </c>
      <c r="I106" t="inlineStr">
        <is>
          <t>INV/2026/03727</t>
        </is>
      </c>
      <c r="J106" s="9">
        <f>ROUND(F106-G106-H106,2)</f>
        <v>0</v>
      </c>
    </row>
    <row r="107">
      <c r="A107" t="inlineStr">
        <is>
          <t>po_1Q0004KX</t>
        </is>
      </c>
      <c r="B107" s="5" t="n">
        <v>46209</v>
      </c>
      <c r="C107" t="inlineStr">
        <is>
          <t>ch_3Q000103</t>
        </is>
      </c>
      <c r="D107" t="inlineStr">
        <is>
          <t>charge</t>
        </is>
      </c>
      <c r="E107" s="5" t="n">
        <v>46205</v>
      </c>
      <c r="F107" s="9" t="n">
        <v>110</v>
      </c>
      <c r="G107" s="9" t="n">
        <v>2.23</v>
      </c>
      <c r="H107" s="9" t="n">
        <v>107.77</v>
      </c>
      <c r="I107" t="inlineStr">
        <is>
          <t>INV/2026/03728</t>
        </is>
      </c>
      <c r="J107" s="9">
        <f>ROUND(F107-G107-H107,2)</f>
        <v>0</v>
      </c>
    </row>
    <row r="108">
      <c r="A108" t="inlineStr">
        <is>
          <t>po_1Q0004KX</t>
        </is>
      </c>
      <c r="B108" s="5" t="n">
        <v>46209</v>
      </c>
      <c r="C108" t="inlineStr">
        <is>
          <t>ch_3Q000104</t>
        </is>
      </c>
      <c r="D108" t="inlineStr">
        <is>
          <t>charge</t>
        </is>
      </c>
      <c r="E108" s="5" t="n">
        <v>46205</v>
      </c>
      <c r="F108" s="9" t="n">
        <v>180</v>
      </c>
      <c r="G108" s="9" t="n">
        <v>3.45</v>
      </c>
      <c r="H108" s="9" t="n">
        <v>176.55</v>
      </c>
      <c r="I108" t="inlineStr">
        <is>
          <t>INV/2026/03729</t>
        </is>
      </c>
      <c r="J108" s="9">
        <f>ROUND(F108-G108-H108,2)</f>
        <v>0</v>
      </c>
    </row>
    <row r="109">
      <c r="A109" t="inlineStr">
        <is>
          <t>po_1Q0004KX</t>
        </is>
      </c>
      <c r="B109" s="5" t="n">
        <v>46209</v>
      </c>
      <c r="C109" t="inlineStr">
        <is>
          <t>ch_3Q000105</t>
        </is>
      </c>
      <c r="D109" t="inlineStr">
        <is>
          <t>charge</t>
        </is>
      </c>
      <c r="E109" s="5" t="n">
        <v>46205</v>
      </c>
      <c r="F109" s="9" t="n">
        <v>220</v>
      </c>
      <c r="G109" s="9" t="n">
        <v>4.15</v>
      </c>
      <c r="H109" s="9" t="n">
        <v>215.85</v>
      </c>
      <c r="I109" t="inlineStr">
        <is>
          <t>INV/2026/03730</t>
        </is>
      </c>
      <c r="J109" s="9">
        <f>ROUND(F109-G109-H109,2)</f>
        <v>0</v>
      </c>
    </row>
    <row r="110">
      <c r="A110" t="inlineStr">
        <is>
          <t>po_1Q0004KX</t>
        </is>
      </c>
      <c r="B110" s="5" t="n">
        <v>46209</v>
      </c>
      <c r="C110" t="inlineStr">
        <is>
          <t>ch_3Q000106</t>
        </is>
      </c>
      <c r="D110" t="inlineStr">
        <is>
          <t>charge</t>
        </is>
      </c>
      <c r="E110" s="5" t="n">
        <v>46205</v>
      </c>
      <c r="F110" s="9" t="n">
        <v>65</v>
      </c>
      <c r="G110" s="9" t="n">
        <v>1.44</v>
      </c>
      <c r="H110" s="9" t="n">
        <v>63.56</v>
      </c>
      <c r="I110" t="inlineStr">
        <is>
          <t>INV/2026/03731</t>
        </is>
      </c>
      <c r="J110" s="9">
        <f>ROUND(F110-G110-H110,2)</f>
        <v>0</v>
      </c>
    </row>
    <row r="111">
      <c r="A111" t="inlineStr">
        <is>
          <t>po_1Q0004KX</t>
        </is>
      </c>
      <c r="B111" s="5" t="n">
        <v>46209</v>
      </c>
      <c r="C111" t="inlineStr">
        <is>
          <t>ch_3Q000107</t>
        </is>
      </c>
      <c r="D111" t="inlineStr">
        <is>
          <t>charge</t>
        </is>
      </c>
      <c r="E111" s="5" t="n">
        <v>46205</v>
      </c>
      <c r="F111" s="9" t="n">
        <v>120</v>
      </c>
      <c r="G111" s="9" t="n">
        <v>2.4</v>
      </c>
      <c r="H111" s="9" t="n">
        <v>117.6</v>
      </c>
      <c r="I111" t="inlineStr">
        <is>
          <t>INV/2026/03732</t>
        </is>
      </c>
      <c r="J111" s="9">
        <f>ROUND(F111-G111-H111,2)</f>
        <v>0</v>
      </c>
    </row>
    <row r="112">
      <c r="A112" t="inlineStr">
        <is>
          <t>po_1Q0004KX</t>
        </is>
      </c>
      <c r="B112" s="5" t="n">
        <v>46209</v>
      </c>
      <c r="C112" t="inlineStr">
        <is>
          <t>ch_3Q000108</t>
        </is>
      </c>
      <c r="D112" t="inlineStr">
        <is>
          <t>charge</t>
        </is>
      </c>
      <c r="E112" s="5" t="n">
        <v>46205</v>
      </c>
      <c r="F112" s="9" t="n">
        <v>220</v>
      </c>
      <c r="G112" s="9" t="n">
        <v>4.15</v>
      </c>
      <c r="H112" s="9" t="n">
        <v>215.85</v>
      </c>
      <c r="I112" t="inlineStr">
        <is>
          <t>INV/2026/03733</t>
        </is>
      </c>
      <c r="J112" s="9">
        <f>ROUND(F112-G112-H112,2)</f>
        <v>0</v>
      </c>
    </row>
    <row r="113">
      <c r="A113" t="inlineStr">
        <is>
          <t>po_1Q0004KX</t>
        </is>
      </c>
      <c r="B113" s="5" t="n">
        <v>46209</v>
      </c>
      <c r="C113" t="inlineStr">
        <is>
          <t>ch_3Q000109</t>
        </is>
      </c>
      <c r="D113" t="inlineStr">
        <is>
          <t>charge</t>
        </is>
      </c>
      <c r="E113" s="5" t="n">
        <v>46205</v>
      </c>
      <c r="F113" s="9" t="n">
        <v>85</v>
      </c>
      <c r="G113" s="9" t="n">
        <v>1.79</v>
      </c>
      <c r="H113" s="9" t="n">
        <v>83.20999999999999</v>
      </c>
      <c r="I113" t="inlineStr">
        <is>
          <t>INV/2026/03734</t>
        </is>
      </c>
      <c r="J113" s="9">
        <f>ROUND(F113-G113-H113,2)</f>
        <v>0</v>
      </c>
    </row>
    <row r="114">
      <c r="A114" t="inlineStr">
        <is>
          <t>po_1Q0005KX</t>
        </is>
      </c>
      <c r="B114" s="5" t="n">
        <v>46210</v>
      </c>
      <c r="C114" t="inlineStr">
        <is>
          <t>ch_3Q000110</t>
        </is>
      </c>
      <c r="D114" t="inlineStr">
        <is>
          <t>charge</t>
        </is>
      </c>
      <c r="E114" s="5" t="n">
        <v>46206</v>
      </c>
      <c r="F114" s="9" t="n">
        <v>110</v>
      </c>
      <c r="G114" s="9" t="n">
        <v>2.23</v>
      </c>
      <c r="H114" s="9" t="n">
        <v>107.77</v>
      </c>
      <c r="I114" t="inlineStr">
        <is>
          <t>INV/2026/03735</t>
        </is>
      </c>
      <c r="J114" s="9">
        <f>ROUND(F114-G114-H114,2)</f>
        <v>0</v>
      </c>
    </row>
    <row r="115">
      <c r="A115" t="inlineStr">
        <is>
          <t>po_1Q0005KX</t>
        </is>
      </c>
      <c r="B115" s="5" t="n">
        <v>46210</v>
      </c>
      <c r="C115" t="inlineStr">
        <is>
          <t>ch_3Q000111</t>
        </is>
      </c>
      <c r="D115" t="inlineStr">
        <is>
          <t>charge</t>
        </is>
      </c>
      <c r="E115" s="5" t="n">
        <v>46206</v>
      </c>
      <c r="F115" s="9" t="n">
        <v>150</v>
      </c>
      <c r="G115" s="9" t="n">
        <v>2.93</v>
      </c>
      <c r="H115" s="9" t="n">
        <v>147.07</v>
      </c>
      <c r="I115" t="inlineStr">
        <is>
          <t>INV/2026/03736</t>
        </is>
      </c>
      <c r="J115" s="9">
        <f>ROUND(F115-G115-H115,2)</f>
        <v>0</v>
      </c>
    </row>
    <row r="116">
      <c r="A116" t="inlineStr">
        <is>
          <t>po_1Q0005KX</t>
        </is>
      </c>
      <c r="B116" s="5" t="n">
        <v>46210</v>
      </c>
      <c r="C116" t="inlineStr">
        <is>
          <t>ch_3Q000112</t>
        </is>
      </c>
      <c r="D116" t="inlineStr">
        <is>
          <t>charge</t>
        </is>
      </c>
      <c r="E116" s="5" t="n">
        <v>46206</v>
      </c>
      <c r="F116" s="9" t="n">
        <v>220</v>
      </c>
      <c r="G116" s="9" t="n">
        <v>4.15</v>
      </c>
      <c r="H116" s="9" t="n">
        <v>215.85</v>
      </c>
      <c r="I116" t="inlineStr">
        <is>
          <t>INV/2026/03737</t>
        </is>
      </c>
      <c r="J116" s="9">
        <f>ROUND(F116-G116-H116,2)</f>
        <v>0</v>
      </c>
    </row>
    <row r="117">
      <c r="A117" t="inlineStr">
        <is>
          <t>po_1Q0005KX</t>
        </is>
      </c>
      <c r="B117" s="5" t="n">
        <v>46210</v>
      </c>
      <c r="C117" t="inlineStr">
        <is>
          <t>ch_3Q000113</t>
        </is>
      </c>
      <c r="D117" t="inlineStr">
        <is>
          <t>charge</t>
        </is>
      </c>
      <c r="E117" s="5" t="n">
        <v>46206</v>
      </c>
      <c r="F117" s="9" t="n">
        <v>220</v>
      </c>
      <c r="G117" s="9" t="n">
        <v>4.15</v>
      </c>
      <c r="H117" s="9" t="n">
        <v>215.85</v>
      </c>
      <c r="I117" t="inlineStr">
        <is>
          <t>INV/2026/03738</t>
        </is>
      </c>
      <c r="J117" s="9">
        <f>ROUND(F117-G117-H117,2)</f>
        <v>0</v>
      </c>
    </row>
    <row r="118">
      <c r="A118" t="inlineStr">
        <is>
          <t>po_1Q0005KX</t>
        </is>
      </c>
      <c r="B118" s="5" t="n">
        <v>46210</v>
      </c>
      <c r="C118" t="inlineStr">
        <is>
          <t>ch_3Q000114</t>
        </is>
      </c>
      <c r="D118" t="inlineStr">
        <is>
          <t>charge</t>
        </is>
      </c>
      <c r="E118" s="5" t="n">
        <v>46206</v>
      </c>
      <c r="F118" s="9" t="n">
        <v>135</v>
      </c>
      <c r="G118" s="9" t="n">
        <v>2.66</v>
      </c>
      <c r="H118" s="9" t="n">
        <v>132.34</v>
      </c>
      <c r="I118" t="inlineStr">
        <is>
          <t>INV/2026/03739</t>
        </is>
      </c>
      <c r="J118" s="9">
        <f>ROUND(F118-G118-H118,2)</f>
        <v>0</v>
      </c>
    </row>
    <row r="119">
      <c r="A119" t="inlineStr">
        <is>
          <t>po_1Q0005KX</t>
        </is>
      </c>
      <c r="B119" s="5" t="n">
        <v>46210</v>
      </c>
      <c r="C119" t="inlineStr">
        <is>
          <t>ch_3Q000115</t>
        </is>
      </c>
      <c r="D119" t="inlineStr">
        <is>
          <t>charge</t>
        </is>
      </c>
      <c r="E119" s="5" t="n">
        <v>46206</v>
      </c>
      <c r="F119" s="9" t="n">
        <v>220</v>
      </c>
      <c r="G119" s="9" t="n">
        <v>4.15</v>
      </c>
      <c r="H119" s="9" t="n">
        <v>215.85</v>
      </c>
      <c r="I119" t="inlineStr">
        <is>
          <t>INV/2026/03740</t>
        </is>
      </c>
      <c r="J119" s="9">
        <f>ROUND(F119-G119-H119,2)</f>
        <v>0</v>
      </c>
    </row>
    <row r="120">
      <c r="A120" t="inlineStr">
        <is>
          <t>po_1Q0005KX</t>
        </is>
      </c>
      <c r="B120" s="5" t="n">
        <v>46210</v>
      </c>
      <c r="C120" t="inlineStr">
        <is>
          <t>ch_3Q000116</t>
        </is>
      </c>
      <c r="D120" t="inlineStr">
        <is>
          <t>charge</t>
        </is>
      </c>
      <c r="E120" s="5" t="n">
        <v>46206</v>
      </c>
      <c r="F120" s="9" t="n">
        <v>180</v>
      </c>
      <c r="G120" s="9" t="n">
        <v>3.45</v>
      </c>
      <c r="H120" s="9" t="n">
        <v>176.55</v>
      </c>
      <c r="I120" t="inlineStr">
        <is>
          <t>INV/2026/03741</t>
        </is>
      </c>
      <c r="J120" s="9">
        <f>ROUND(F120-G120-H120,2)</f>
        <v>0</v>
      </c>
    </row>
    <row r="121">
      <c r="A121" t="inlineStr">
        <is>
          <t>po_1Q0005KX</t>
        </is>
      </c>
      <c r="B121" s="5" t="n">
        <v>46210</v>
      </c>
      <c r="C121" t="inlineStr">
        <is>
          <t>ch_3Q000117</t>
        </is>
      </c>
      <c r="D121" t="inlineStr">
        <is>
          <t>charge</t>
        </is>
      </c>
      <c r="E121" s="5" t="n">
        <v>46206</v>
      </c>
      <c r="F121" s="9" t="n">
        <v>85</v>
      </c>
      <c r="G121" s="9" t="n">
        <v>1.79</v>
      </c>
      <c r="H121" s="9" t="n">
        <v>83.20999999999999</v>
      </c>
      <c r="I121" t="inlineStr">
        <is>
          <t>INV/2026/03742</t>
        </is>
      </c>
      <c r="J121" s="9">
        <f>ROUND(F121-G121-H121,2)</f>
        <v>0</v>
      </c>
    </row>
    <row r="122">
      <c r="A122" t="inlineStr">
        <is>
          <t>po_1Q0005KX</t>
        </is>
      </c>
      <c r="B122" s="5" t="n">
        <v>46210</v>
      </c>
      <c r="C122" t="inlineStr">
        <is>
          <t>ch_3Q000118</t>
        </is>
      </c>
      <c r="D122" t="inlineStr">
        <is>
          <t>charge</t>
        </is>
      </c>
      <c r="E122" s="5" t="n">
        <v>46206</v>
      </c>
      <c r="F122" s="9" t="n">
        <v>135</v>
      </c>
      <c r="G122" s="9" t="n">
        <v>2.66</v>
      </c>
      <c r="H122" s="9" t="n">
        <v>132.34</v>
      </c>
      <c r="I122" t="inlineStr">
        <is>
          <t>INV/2026/03743</t>
        </is>
      </c>
      <c r="J122" s="9">
        <f>ROUND(F122-G122-H122,2)</f>
        <v>0</v>
      </c>
    </row>
    <row r="123">
      <c r="A123" t="inlineStr">
        <is>
          <t>po_1Q0005KX</t>
        </is>
      </c>
      <c r="B123" s="5" t="n">
        <v>46210</v>
      </c>
      <c r="C123" t="inlineStr">
        <is>
          <t>ch_3Q000119</t>
        </is>
      </c>
      <c r="D123" t="inlineStr">
        <is>
          <t>charge</t>
        </is>
      </c>
      <c r="E123" s="5" t="n">
        <v>46206</v>
      </c>
      <c r="F123" s="9" t="n">
        <v>180</v>
      </c>
      <c r="G123" s="9" t="n">
        <v>3.45</v>
      </c>
      <c r="H123" s="9" t="n">
        <v>176.55</v>
      </c>
      <c r="I123" t="inlineStr">
        <is>
          <t>INV/2026/03744</t>
        </is>
      </c>
      <c r="J123" s="9">
        <f>ROUND(F123-G123-H123,2)</f>
        <v>0</v>
      </c>
    </row>
    <row r="124">
      <c r="A124" t="inlineStr">
        <is>
          <t>po_1Q0005KX</t>
        </is>
      </c>
      <c r="B124" s="5" t="n">
        <v>46210</v>
      </c>
      <c r="C124" t="inlineStr">
        <is>
          <t>ch_3Q000120</t>
        </is>
      </c>
      <c r="D124" t="inlineStr">
        <is>
          <t>charge</t>
        </is>
      </c>
      <c r="E124" s="5" t="n">
        <v>46206</v>
      </c>
      <c r="F124" s="9" t="n">
        <v>85</v>
      </c>
      <c r="G124" s="9" t="n">
        <v>1.79</v>
      </c>
      <c r="H124" s="9" t="n">
        <v>83.20999999999999</v>
      </c>
      <c r="I124" t="inlineStr">
        <is>
          <t>INV/2026/03745</t>
        </is>
      </c>
      <c r="J124" s="9">
        <f>ROUND(F124-G124-H124,2)</f>
        <v>0</v>
      </c>
    </row>
    <row r="125">
      <c r="A125" t="inlineStr">
        <is>
          <t>po_1Q0005KX</t>
        </is>
      </c>
      <c r="B125" s="5" t="n">
        <v>46210</v>
      </c>
      <c r="C125" t="inlineStr">
        <is>
          <t>ch_3Q000121</t>
        </is>
      </c>
      <c r="D125" t="inlineStr">
        <is>
          <t>charge</t>
        </is>
      </c>
      <c r="E125" s="5" t="n">
        <v>46206</v>
      </c>
      <c r="F125" s="9" t="n">
        <v>65</v>
      </c>
      <c r="G125" s="9" t="n">
        <v>1.44</v>
      </c>
      <c r="H125" s="9" t="n">
        <v>63.56</v>
      </c>
      <c r="I125" t="inlineStr">
        <is>
          <t>INV/2026/03746</t>
        </is>
      </c>
      <c r="J125" s="9">
        <f>ROUND(F125-G125-H125,2)</f>
        <v>0</v>
      </c>
    </row>
    <row r="126">
      <c r="A126" t="inlineStr">
        <is>
          <t>po_1Q0005KX</t>
        </is>
      </c>
      <c r="B126" s="5" t="n">
        <v>46210</v>
      </c>
      <c r="C126" t="inlineStr">
        <is>
          <t>ch_3Q000122</t>
        </is>
      </c>
      <c r="D126" t="inlineStr">
        <is>
          <t>charge</t>
        </is>
      </c>
      <c r="E126" s="5" t="n">
        <v>46206</v>
      </c>
      <c r="F126" s="9" t="n">
        <v>110</v>
      </c>
      <c r="G126" s="9" t="n">
        <v>2.23</v>
      </c>
      <c r="H126" s="9" t="n">
        <v>107.77</v>
      </c>
      <c r="I126" t="inlineStr">
        <is>
          <t>INV/2026/03747</t>
        </is>
      </c>
      <c r="J126" s="9">
        <f>ROUND(F126-G126-H126,2)</f>
        <v>0</v>
      </c>
    </row>
    <row r="127">
      <c r="A127" t="inlineStr">
        <is>
          <t>po_1Q0005KX</t>
        </is>
      </c>
      <c r="B127" s="5" t="n">
        <v>46210</v>
      </c>
      <c r="C127" t="inlineStr">
        <is>
          <t>ch_3Q000123</t>
        </is>
      </c>
      <c r="D127" t="inlineStr">
        <is>
          <t>charge</t>
        </is>
      </c>
      <c r="E127" s="5" t="n">
        <v>46206</v>
      </c>
      <c r="F127" s="9" t="n">
        <v>135</v>
      </c>
      <c r="G127" s="9" t="n">
        <v>2.66</v>
      </c>
      <c r="H127" s="9" t="n">
        <v>132.34</v>
      </c>
      <c r="I127" t="inlineStr">
        <is>
          <t>INV/2026/03748</t>
        </is>
      </c>
      <c r="J127" s="9">
        <f>ROUND(F127-G127-H127,2)</f>
        <v>0</v>
      </c>
    </row>
    <row r="128">
      <c r="A128" t="inlineStr">
        <is>
          <t>po_1Q0005KX</t>
        </is>
      </c>
      <c r="B128" s="5" t="n">
        <v>46210</v>
      </c>
      <c r="C128" t="inlineStr">
        <is>
          <t>ch_3Q000124</t>
        </is>
      </c>
      <c r="D128" t="inlineStr">
        <is>
          <t>charge</t>
        </is>
      </c>
      <c r="E128" s="5" t="n">
        <v>46206</v>
      </c>
      <c r="F128" s="9" t="n">
        <v>220</v>
      </c>
      <c r="G128" s="9" t="n">
        <v>4.15</v>
      </c>
      <c r="H128" s="9" t="n">
        <v>215.85</v>
      </c>
      <c r="I128" t="inlineStr">
        <is>
          <t>INV/2026/03749</t>
        </is>
      </c>
      <c r="J128" s="9">
        <f>ROUND(F128-G128-H128,2)</f>
        <v>0</v>
      </c>
    </row>
    <row r="129">
      <c r="A129" t="inlineStr">
        <is>
          <t>po_1Q0005KX</t>
        </is>
      </c>
      <c r="B129" s="5" t="n">
        <v>46210</v>
      </c>
      <c r="C129" t="inlineStr">
        <is>
          <t>ch_3Q000125</t>
        </is>
      </c>
      <c r="D129" t="inlineStr">
        <is>
          <t>charge</t>
        </is>
      </c>
      <c r="E129" s="5" t="n">
        <v>46206</v>
      </c>
      <c r="F129" s="9" t="n">
        <v>85</v>
      </c>
      <c r="G129" s="9" t="n">
        <v>1.79</v>
      </c>
      <c r="H129" s="9" t="n">
        <v>83.20999999999999</v>
      </c>
      <c r="I129" t="inlineStr">
        <is>
          <t>INV/2026/03750</t>
        </is>
      </c>
      <c r="J129" s="9">
        <f>ROUND(F129-G129-H129,2)</f>
        <v>0</v>
      </c>
    </row>
    <row r="130">
      <c r="A130" t="inlineStr">
        <is>
          <t>po_1Q0005KX</t>
        </is>
      </c>
      <c r="B130" s="5" t="n">
        <v>46210</v>
      </c>
      <c r="C130" t="inlineStr">
        <is>
          <t>ch_3Q000126</t>
        </is>
      </c>
      <c r="D130" t="inlineStr">
        <is>
          <t>charge</t>
        </is>
      </c>
      <c r="E130" s="5" t="n">
        <v>46206</v>
      </c>
      <c r="F130" s="9" t="n">
        <v>110</v>
      </c>
      <c r="G130" s="9" t="n">
        <v>2.23</v>
      </c>
      <c r="H130" s="9" t="n">
        <v>107.77</v>
      </c>
      <c r="I130" t="inlineStr">
        <is>
          <t>INV/2026/03751</t>
        </is>
      </c>
      <c r="J130" s="9">
        <f>ROUND(F130-G130-H130,2)</f>
        <v>0</v>
      </c>
    </row>
    <row r="131">
      <c r="A131" t="inlineStr">
        <is>
          <t>po_1Q0005KX</t>
        </is>
      </c>
      <c r="B131" s="5" t="n">
        <v>46210</v>
      </c>
      <c r="C131" t="inlineStr">
        <is>
          <t>ch_3Q000127</t>
        </is>
      </c>
      <c r="D131" t="inlineStr">
        <is>
          <t>charge</t>
        </is>
      </c>
      <c r="E131" s="5" t="n">
        <v>46206</v>
      </c>
      <c r="F131" s="9" t="n">
        <v>95</v>
      </c>
      <c r="G131" s="9" t="n">
        <v>1.96</v>
      </c>
      <c r="H131" s="9" t="n">
        <v>93.04000000000001</v>
      </c>
      <c r="I131" t="inlineStr">
        <is>
          <t>INV/2026/03752</t>
        </is>
      </c>
      <c r="J131" s="9">
        <f>ROUND(F131-G131-H131,2)</f>
        <v>0</v>
      </c>
    </row>
    <row r="132">
      <c r="A132" t="inlineStr">
        <is>
          <t>po_1Q0005KX</t>
        </is>
      </c>
      <c r="B132" s="5" t="n">
        <v>46210</v>
      </c>
      <c r="C132" t="inlineStr">
        <is>
          <t>ch_3Q000128</t>
        </is>
      </c>
      <c r="D132" t="inlineStr">
        <is>
          <t>charge</t>
        </is>
      </c>
      <c r="E132" s="5" t="n">
        <v>46206</v>
      </c>
      <c r="F132" s="9" t="n">
        <v>120</v>
      </c>
      <c r="G132" s="9" t="n">
        <v>2.4</v>
      </c>
      <c r="H132" s="9" t="n">
        <v>117.6</v>
      </c>
      <c r="I132" t="inlineStr">
        <is>
          <t>INV/2026/03753</t>
        </is>
      </c>
      <c r="J132" s="9">
        <f>ROUND(F132-G132-H132,2)</f>
        <v>0</v>
      </c>
    </row>
    <row r="133">
      <c r="A133" t="inlineStr">
        <is>
          <t>po_1Q0005KX</t>
        </is>
      </c>
      <c r="B133" s="5" t="n">
        <v>46210</v>
      </c>
      <c r="C133" t="inlineStr">
        <is>
          <t>ch_3Q000129</t>
        </is>
      </c>
      <c r="D133" t="inlineStr">
        <is>
          <t>charge</t>
        </is>
      </c>
      <c r="E133" s="5" t="n">
        <v>46206</v>
      </c>
      <c r="F133" s="9" t="n">
        <v>85</v>
      </c>
      <c r="G133" s="9" t="n">
        <v>1.79</v>
      </c>
      <c r="H133" s="9" t="n">
        <v>83.20999999999999</v>
      </c>
      <c r="I133" t="inlineStr">
        <is>
          <t>INV/2026/03754</t>
        </is>
      </c>
      <c r="J133" s="9">
        <f>ROUND(F133-G133-H133,2)</f>
        <v>0</v>
      </c>
    </row>
    <row r="134">
      <c r="A134" t="inlineStr">
        <is>
          <t>po_1Q0005KX</t>
        </is>
      </c>
      <c r="B134" s="5" t="n">
        <v>46210</v>
      </c>
      <c r="C134" t="inlineStr">
        <is>
          <t>ch_3Q000130</t>
        </is>
      </c>
      <c r="D134" t="inlineStr">
        <is>
          <t>charge</t>
        </is>
      </c>
      <c r="E134" s="5" t="n">
        <v>46206</v>
      </c>
      <c r="F134" s="9" t="n">
        <v>110</v>
      </c>
      <c r="G134" s="9" t="n">
        <v>2.23</v>
      </c>
      <c r="H134" s="9" t="n">
        <v>107.77</v>
      </c>
      <c r="I134" t="inlineStr">
        <is>
          <t>INV/2026/03755</t>
        </is>
      </c>
      <c r="J134" s="9">
        <f>ROUND(F134-G134-H134,2)</f>
        <v>0</v>
      </c>
    </row>
    <row r="135">
      <c r="A135" t="inlineStr">
        <is>
          <t>po_1Q0005KX</t>
        </is>
      </c>
      <c r="B135" s="5" t="n">
        <v>46210</v>
      </c>
      <c r="C135" t="inlineStr">
        <is>
          <t>ch_3Q000131</t>
        </is>
      </c>
      <c r="D135" t="inlineStr">
        <is>
          <t>charge</t>
        </is>
      </c>
      <c r="E135" s="5" t="n">
        <v>46206</v>
      </c>
      <c r="F135" s="9" t="n">
        <v>135</v>
      </c>
      <c r="G135" s="9" t="n">
        <v>2.66</v>
      </c>
      <c r="H135" s="9" t="n">
        <v>132.34</v>
      </c>
      <c r="I135" t="inlineStr">
        <is>
          <t>INV/2026/03756</t>
        </is>
      </c>
      <c r="J135" s="9">
        <f>ROUND(F135-G135-H135,2)</f>
        <v>0</v>
      </c>
    </row>
    <row r="136">
      <c r="A136" t="inlineStr">
        <is>
          <t>po_1Q0005KX</t>
        </is>
      </c>
      <c r="B136" s="5" t="n">
        <v>46210</v>
      </c>
      <c r="C136" t="inlineStr">
        <is>
          <t>ch_3Q000132</t>
        </is>
      </c>
      <c r="D136" t="inlineStr">
        <is>
          <t>charge</t>
        </is>
      </c>
      <c r="E136" s="5" t="n">
        <v>46206</v>
      </c>
      <c r="F136" s="9" t="n">
        <v>135</v>
      </c>
      <c r="G136" s="9" t="n">
        <v>2.66</v>
      </c>
      <c r="H136" s="9" t="n">
        <v>132.34</v>
      </c>
      <c r="I136" t="inlineStr">
        <is>
          <t>INV/2026/03757</t>
        </is>
      </c>
      <c r="J136" s="9">
        <f>ROUND(F136-G136-H136,2)</f>
        <v>0</v>
      </c>
    </row>
    <row r="137">
      <c r="A137" t="inlineStr">
        <is>
          <t>po_1Q0005KX</t>
        </is>
      </c>
      <c r="B137" s="5" t="n">
        <v>46210</v>
      </c>
      <c r="C137" t="inlineStr">
        <is>
          <t>ch_3Q000133</t>
        </is>
      </c>
      <c r="D137" t="inlineStr">
        <is>
          <t>charge</t>
        </is>
      </c>
      <c r="E137" s="5" t="n">
        <v>46206</v>
      </c>
      <c r="F137" s="9" t="n">
        <v>120</v>
      </c>
      <c r="G137" s="9" t="n">
        <v>2.4</v>
      </c>
      <c r="H137" s="9" t="n">
        <v>117.6</v>
      </c>
      <c r="I137" t="inlineStr">
        <is>
          <t>INV/2026/03758</t>
        </is>
      </c>
      <c r="J137" s="9">
        <f>ROUND(F137-G137-H137,2)</f>
        <v>0</v>
      </c>
    </row>
    <row r="138">
      <c r="A138" t="inlineStr">
        <is>
          <t>po_1Q0005KX</t>
        </is>
      </c>
      <c r="B138" s="5" t="n">
        <v>46210</v>
      </c>
      <c r="C138" t="inlineStr">
        <is>
          <t>ch_3Q000134</t>
        </is>
      </c>
      <c r="D138" t="inlineStr">
        <is>
          <t>charge</t>
        </is>
      </c>
      <c r="E138" s="5" t="n">
        <v>46206</v>
      </c>
      <c r="F138" s="9" t="n">
        <v>220</v>
      </c>
      <c r="G138" s="9" t="n">
        <v>4.15</v>
      </c>
      <c r="H138" s="9" t="n">
        <v>215.85</v>
      </c>
      <c r="I138" t="inlineStr">
        <is>
          <t>INV/2026/03759</t>
        </is>
      </c>
      <c r="J138" s="9">
        <f>ROUND(F138-G138-H138,2)</f>
        <v>0</v>
      </c>
    </row>
    <row r="139">
      <c r="A139" t="inlineStr">
        <is>
          <t>po_1Q0005KX</t>
        </is>
      </c>
      <c r="B139" s="5" t="n">
        <v>46210</v>
      </c>
      <c r="C139" t="inlineStr">
        <is>
          <t>ch_3Q000135</t>
        </is>
      </c>
      <c r="D139" t="inlineStr">
        <is>
          <t>charge</t>
        </is>
      </c>
      <c r="E139" s="5" t="n">
        <v>46206</v>
      </c>
      <c r="F139" s="9" t="n">
        <v>85</v>
      </c>
      <c r="G139" s="9" t="n">
        <v>1.79</v>
      </c>
      <c r="H139" s="9" t="n">
        <v>83.20999999999999</v>
      </c>
      <c r="I139" t="inlineStr">
        <is>
          <t>INV/2026/03760</t>
        </is>
      </c>
      <c r="J139" s="9">
        <f>ROUND(F139-G139-H139,2)</f>
        <v>0</v>
      </c>
    </row>
    <row r="140">
      <c r="A140" t="inlineStr">
        <is>
          <t>po_1Q0005KX</t>
        </is>
      </c>
      <c r="B140" s="5" t="n">
        <v>46210</v>
      </c>
      <c r="C140" t="inlineStr">
        <is>
          <t>ch_3Q000136</t>
        </is>
      </c>
      <c r="D140" t="inlineStr">
        <is>
          <t>charge</t>
        </is>
      </c>
      <c r="E140" s="5" t="n">
        <v>46206</v>
      </c>
      <c r="F140" s="9" t="n">
        <v>150</v>
      </c>
      <c r="G140" s="9" t="n">
        <v>2.93</v>
      </c>
      <c r="H140" s="9" t="n">
        <v>147.07</v>
      </c>
      <c r="I140" t="inlineStr">
        <is>
          <t>INV/2026/03761</t>
        </is>
      </c>
      <c r="J140" s="9">
        <f>ROUND(F140-G140-H140,2)</f>
        <v>0</v>
      </c>
    </row>
    <row r="141">
      <c r="A141" t="inlineStr">
        <is>
          <t>po_1Q0005KX</t>
        </is>
      </c>
      <c r="B141" s="5" t="n">
        <v>46210</v>
      </c>
      <c r="C141" t="inlineStr">
        <is>
          <t>ch_3Q000137</t>
        </is>
      </c>
      <c r="D141" t="inlineStr">
        <is>
          <t>charge</t>
        </is>
      </c>
      <c r="E141" s="5" t="n">
        <v>46206</v>
      </c>
      <c r="F141" s="9" t="n">
        <v>95</v>
      </c>
      <c r="G141" s="9" t="n">
        <v>1.96</v>
      </c>
      <c r="H141" s="9" t="n">
        <v>93.04000000000001</v>
      </c>
      <c r="I141" t="inlineStr">
        <is>
          <t>INV/2026/03762</t>
        </is>
      </c>
      <c r="J141" s="9">
        <f>ROUND(F141-G141-H141,2)</f>
        <v>0</v>
      </c>
    </row>
    <row r="142">
      <c r="A142" t="inlineStr">
        <is>
          <t>po_1Q0005KX</t>
        </is>
      </c>
      <c r="B142" s="5" t="n">
        <v>46210</v>
      </c>
      <c r="C142" t="inlineStr">
        <is>
          <t>ch_3Q000138</t>
        </is>
      </c>
      <c r="D142" t="inlineStr">
        <is>
          <t>charge</t>
        </is>
      </c>
      <c r="E142" s="5" t="n">
        <v>46207</v>
      </c>
      <c r="F142" s="9" t="n">
        <v>220</v>
      </c>
      <c r="G142" s="9" t="n">
        <v>4.15</v>
      </c>
      <c r="H142" s="9" t="n">
        <v>215.85</v>
      </c>
      <c r="I142" t="inlineStr">
        <is>
          <t>INV/2026/03763</t>
        </is>
      </c>
      <c r="J142" s="9">
        <f>ROUND(F142-G142-H142,2)</f>
        <v>0</v>
      </c>
    </row>
    <row r="143">
      <c r="A143" t="inlineStr">
        <is>
          <t>po_1Q0005KX</t>
        </is>
      </c>
      <c r="B143" s="5" t="n">
        <v>46210</v>
      </c>
      <c r="C143" t="inlineStr">
        <is>
          <t>ch_3Q000139</t>
        </is>
      </c>
      <c r="D143" t="inlineStr">
        <is>
          <t>charge</t>
        </is>
      </c>
      <c r="E143" s="5" t="n">
        <v>46207</v>
      </c>
      <c r="F143" s="9" t="n">
        <v>65</v>
      </c>
      <c r="G143" s="9" t="n">
        <v>1.44</v>
      </c>
      <c r="H143" s="9" t="n">
        <v>63.56</v>
      </c>
      <c r="I143" t="inlineStr">
        <is>
          <t>INV/2026/03764</t>
        </is>
      </c>
      <c r="J143" s="9">
        <f>ROUND(F143-G143-H143,2)</f>
        <v>0</v>
      </c>
    </row>
    <row r="144">
      <c r="A144" t="inlineStr">
        <is>
          <t>po_1Q0005KX</t>
        </is>
      </c>
      <c r="B144" s="5" t="n">
        <v>46210</v>
      </c>
      <c r="C144" t="inlineStr">
        <is>
          <t>ch_3Q000140</t>
        </is>
      </c>
      <c r="D144" t="inlineStr">
        <is>
          <t>charge</t>
        </is>
      </c>
      <c r="E144" s="5" t="n">
        <v>46207</v>
      </c>
      <c r="F144" s="9" t="n">
        <v>150</v>
      </c>
      <c r="G144" s="9" t="n">
        <v>2.93</v>
      </c>
      <c r="H144" s="9" t="n">
        <v>147.07</v>
      </c>
      <c r="I144" t="inlineStr">
        <is>
          <t>INV/2026/03765</t>
        </is>
      </c>
      <c r="J144" s="9">
        <f>ROUND(F144-G144-H144,2)</f>
        <v>0</v>
      </c>
    </row>
    <row r="145">
      <c r="A145" t="inlineStr">
        <is>
          <t>po_1Q0005KX</t>
        </is>
      </c>
      <c r="B145" s="5" t="n">
        <v>46210</v>
      </c>
      <c r="C145" t="inlineStr">
        <is>
          <t>ch_3Q000141</t>
        </is>
      </c>
      <c r="D145" t="inlineStr">
        <is>
          <t>charge</t>
        </is>
      </c>
      <c r="E145" s="5" t="n">
        <v>46207</v>
      </c>
      <c r="F145" s="9" t="n">
        <v>95</v>
      </c>
      <c r="G145" s="9" t="n">
        <v>1.96</v>
      </c>
      <c r="H145" s="9" t="n">
        <v>93.04000000000001</v>
      </c>
      <c r="I145" t="inlineStr">
        <is>
          <t>INV/2026/03766</t>
        </is>
      </c>
      <c r="J145" s="9">
        <f>ROUND(F145-G145-H145,2)</f>
        <v>0</v>
      </c>
    </row>
    <row r="146">
      <c r="A146" t="inlineStr">
        <is>
          <t>po_1Q0005KX</t>
        </is>
      </c>
      <c r="B146" s="5" t="n">
        <v>46210</v>
      </c>
      <c r="C146" t="inlineStr">
        <is>
          <t>ch_3Q000142</t>
        </is>
      </c>
      <c r="D146" t="inlineStr">
        <is>
          <t>charge</t>
        </is>
      </c>
      <c r="E146" s="5" t="n">
        <v>46207</v>
      </c>
      <c r="F146" s="9" t="n">
        <v>220</v>
      </c>
      <c r="G146" s="9" t="n">
        <v>4.15</v>
      </c>
      <c r="H146" s="9" t="n">
        <v>215.85</v>
      </c>
      <c r="I146" t="inlineStr">
        <is>
          <t>INV/2026/03767</t>
        </is>
      </c>
      <c r="J146" s="9">
        <f>ROUND(F146-G146-H146,2)</f>
        <v>0</v>
      </c>
    </row>
    <row r="147">
      <c r="A147" t="inlineStr">
        <is>
          <t>po_1Q0005KX</t>
        </is>
      </c>
      <c r="B147" s="5" t="n">
        <v>46210</v>
      </c>
      <c r="C147" t="inlineStr">
        <is>
          <t>ch_3Q000143</t>
        </is>
      </c>
      <c r="D147" t="inlineStr">
        <is>
          <t>charge</t>
        </is>
      </c>
      <c r="E147" s="5" t="n">
        <v>46207</v>
      </c>
      <c r="F147" s="9" t="n">
        <v>220</v>
      </c>
      <c r="G147" s="9" t="n">
        <v>4.15</v>
      </c>
      <c r="H147" s="9" t="n">
        <v>215.85</v>
      </c>
      <c r="I147" t="inlineStr">
        <is>
          <t>INV/2026/03768</t>
        </is>
      </c>
      <c r="J147" s="9">
        <f>ROUND(F147-G147-H147,2)</f>
        <v>0</v>
      </c>
    </row>
    <row r="148">
      <c r="A148" t="inlineStr">
        <is>
          <t>po_1Q0005KX</t>
        </is>
      </c>
      <c r="B148" s="5" t="n">
        <v>46210</v>
      </c>
      <c r="C148" t="inlineStr">
        <is>
          <t>ch_3Q000144</t>
        </is>
      </c>
      <c r="D148" t="inlineStr">
        <is>
          <t>charge</t>
        </is>
      </c>
      <c r="E148" s="5" t="n">
        <v>46207</v>
      </c>
      <c r="F148" s="9" t="n">
        <v>180</v>
      </c>
      <c r="G148" s="9" t="n">
        <v>3.45</v>
      </c>
      <c r="H148" s="9" t="n">
        <v>176.55</v>
      </c>
      <c r="I148" t="inlineStr">
        <is>
          <t>INV/2026/03769</t>
        </is>
      </c>
      <c r="J148" s="9">
        <f>ROUND(F148-G148-H148,2)</f>
        <v>0</v>
      </c>
    </row>
    <row r="149">
      <c r="A149" t="inlineStr">
        <is>
          <t>po_1Q0005KX</t>
        </is>
      </c>
      <c r="B149" s="5" t="n">
        <v>46210</v>
      </c>
      <c r="C149" t="inlineStr">
        <is>
          <t>ch_3Q000145</t>
        </is>
      </c>
      <c r="D149" t="inlineStr">
        <is>
          <t>charge</t>
        </is>
      </c>
      <c r="E149" s="5" t="n">
        <v>46207</v>
      </c>
      <c r="F149" s="9" t="n">
        <v>95</v>
      </c>
      <c r="G149" s="9" t="n">
        <v>1.96</v>
      </c>
      <c r="H149" s="9" t="n">
        <v>93.04000000000001</v>
      </c>
      <c r="I149" t="inlineStr">
        <is>
          <t>INV/2026/03770</t>
        </is>
      </c>
      <c r="J149" s="9">
        <f>ROUND(F149-G149-H149,2)</f>
        <v>0</v>
      </c>
    </row>
    <row r="150">
      <c r="A150" t="inlineStr">
        <is>
          <t>po_1Q0005KX</t>
        </is>
      </c>
      <c r="B150" s="5" t="n">
        <v>46210</v>
      </c>
      <c r="C150" t="inlineStr">
        <is>
          <t>ch_3Q000146</t>
        </is>
      </c>
      <c r="D150" t="inlineStr">
        <is>
          <t>charge</t>
        </is>
      </c>
      <c r="E150" s="5" t="n">
        <v>46207</v>
      </c>
      <c r="F150" s="9" t="n">
        <v>150</v>
      </c>
      <c r="G150" s="9" t="n">
        <v>2.93</v>
      </c>
      <c r="H150" s="9" t="n">
        <v>147.07</v>
      </c>
      <c r="I150" t="inlineStr">
        <is>
          <t>INV/2026/03771</t>
        </is>
      </c>
      <c r="J150" s="9">
        <f>ROUND(F150-G150-H150,2)</f>
        <v>0</v>
      </c>
    </row>
    <row r="151">
      <c r="A151" t="inlineStr">
        <is>
          <t>po_1Q0005KX</t>
        </is>
      </c>
      <c r="B151" s="5" t="n">
        <v>46210</v>
      </c>
      <c r="C151" t="inlineStr">
        <is>
          <t>ch_3Q000147</t>
        </is>
      </c>
      <c r="D151" t="inlineStr">
        <is>
          <t>charge</t>
        </is>
      </c>
      <c r="E151" s="5" t="n">
        <v>46207</v>
      </c>
      <c r="F151" s="9" t="n">
        <v>110</v>
      </c>
      <c r="G151" s="9" t="n">
        <v>2.23</v>
      </c>
      <c r="H151" s="9" t="n">
        <v>107.77</v>
      </c>
      <c r="I151" t="inlineStr">
        <is>
          <t>INV/2026/03772</t>
        </is>
      </c>
      <c r="J151" s="9">
        <f>ROUND(F151-G151-H151,2)</f>
        <v>0</v>
      </c>
    </row>
    <row r="152">
      <c r="A152" t="inlineStr">
        <is>
          <t>po_1Q0006KX</t>
        </is>
      </c>
      <c r="B152" s="5" t="n">
        <v>46211</v>
      </c>
      <c r="C152" t="inlineStr">
        <is>
          <t>ch_3Q000148</t>
        </is>
      </c>
      <c r="D152" t="inlineStr">
        <is>
          <t>charge</t>
        </is>
      </c>
      <c r="E152" s="5" t="n">
        <v>46209</v>
      </c>
      <c r="F152" s="9" t="n">
        <v>65</v>
      </c>
      <c r="G152" s="9" t="n">
        <v>1.44</v>
      </c>
      <c r="H152" s="9" t="n">
        <v>63.56</v>
      </c>
      <c r="I152" t="inlineStr">
        <is>
          <t>INV/2026/03773</t>
        </is>
      </c>
      <c r="J152" s="9">
        <f>ROUND(F152-G152-H152,2)</f>
        <v>0</v>
      </c>
    </row>
    <row r="153">
      <c r="A153" t="inlineStr">
        <is>
          <t>po_1Q0006KX</t>
        </is>
      </c>
      <c r="B153" s="5" t="n">
        <v>46211</v>
      </c>
      <c r="C153" t="inlineStr">
        <is>
          <t>ch_3Q000149</t>
        </is>
      </c>
      <c r="D153" t="inlineStr">
        <is>
          <t>charge</t>
        </is>
      </c>
      <c r="E153" s="5" t="n">
        <v>46209</v>
      </c>
      <c r="F153" s="9" t="n">
        <v>95</v>
      </c>
      <c r="G153" s="9" t="n">
        <v>1.96</v>
      </c>
      <c r="H153" s="9" t="n">
        <v>93.04000000000001</v>
      </c>
      <c r="I153" t="inlineStr">
        <is>
          <t>INV/2026/03774</t>
        </is>
      </c>
      <c r="J153" s="9">
        <f>ROUND(F153-G153-H153,2)</f>
        <v>0</v>
      </c>
    </row>
    <row r="154">
      <c r="A154" t="inlineStr">
        <is>
          <t>po_1Q0006KX</t>
        </is>
      </c>
      <c r="B154" s="5" t="n">
        <v>46211</v>
      </c>
      <c r="C154" t="inlineStr">
        <is>
          <t>ch_3Q000150</t>
        </is>
      </c>
      <c r="D154" t="inlineStr">
        <is>
          <t>charge</t>
        </is>
      </c>
      <c r="E154" s="5" t="n">
        <v>46209</v>
      </c>
      <c r="F154" s="9" t="n">
        <v>110</v>
      </c>
      <c r="G154" s="9" t="n">
        <v>2.23</v>
      </c>
      <c r="H154" s="9" t="n">
        <v>107.77</v>
      </c>
      <c r="I154" t="inlineStr">
        <is>
          <t>INV/2026/03775</t>
        </is>
      </c>
      <c r="J154" s="9">
        <f>ROUND(F154-G154-H154,2)</f>
        <v>0</v>
      </c>
    </row>
    <row r="155">
      <c r="A155" t="inlineStr">
        <is>
          <t>po_1Q0006KX</t>
        </is>
      </c>
      <c r="B155" s="5" t="n">
        <v>46211</v>
      </c>
      <c r="C155" t="inlineStr">
        <is>
          <t>ch_3Q000151</t>
        </is>
      </c>
      <c r="D155" t="inlineStr">
        <is>
          <t>charge</t>
        </is>
      </c>
      <c r="E155" s="5" t="n">
        <v>46209</v>
      </c>
      <c r="F155" s="9" t="n">
        <v>110</v>
      </c>
      <c r="G155" s="9" t="n">
        <v>2.23</v>
      </c>
      <c r="H155" s="9" t="n">
        <v>107.77</v>
      </c>
      <c r="I155" t="inlineStr">
        <is>
          <t>INV/2026/03776</t>
        </is>
      </c>
      <c r="J155" s="9">
        <f>ROUND(F155-G155-H155,2)</f>
        <v>0</v>
      </c>
    </row>
    <row r="156">
      <c r="A156" t="inlineStr">
        <is>
          <t>po_1Q0006KX</t>
        </is>
      </c>
      <c r="B156" s="5" t="n">
        <v>46211</v>
      </c>
      <c r="C156" t="inlineStr">
        <is>
          <t>ch_3Q000152</t>
        </is>
      </c>
      <c r="D156" t="inlineStr">
        <is>
          <t>charge</t>
        </is>
      </c>
      <c r="E156" s="5" t="n">
        <v>46209</v>
      </c>
      <c r="F156" s="9" t="n">
        <v>85</v>
      </c>
      <c r="G156" s="9" t="n">
        <v>1.79</v>
      </c>
      <c r="H156" s="9" t="n">
        <v>83.20999999999999</v>
      </c>
      <c r="I156" t="inlineStr">
        <is>
          <t>INV/2026/03777</t>
        </is>
      </c>
      <c r="J156" s="9">
        <f>ROUND(F156-G156-H156,2)</f>
        <v>0</v>
      </c>
    </row>
    <row r="157">
      <c r="A157" t="inlineStr">
        <is>
          <t>po_1Q0006KX</t>
        </is>
      </c>
      <c r="B157" s="5" t="n">
        <v>46211</v>
      </c>
      <c r="C157" t="inlineStr">
        <is>
          <t>ch_3Q000153</t>
        </is>
      </c>
      <c r="D157" t="inlineStr">
        <is>
          <t>charge</t>
        </is>
      </c>
      <c r="E157" s="5" t="n">
        <v>46209</v>
      </c>
      <c r="F157" s="9" t="n">
        <v>95</v>
      </c>
      <c r="G157" s="9" t="n">
        <v>1.96</v>
      </c>
      <c r="H157" s="9" t="n">
        <v>93.04000000000001</v>
      </c>
      <c r="I157" t="inlineStr">
        <is>
          <t>INV/2026/03778</t>
        </is>
      </c>
      <c r="J157" s="9">
        <f>ROUND(F157-G157-H157,2)</f>
        <v>0</v>
      </c>
    </row>
    <row r="158">
      <c r="A158" t="inlineStr">
        <is>
          <t>po_1Q0006KX</t>
        </is>
      </c>
      <c r="B158" s="5" t="n">
        <v>46211</v>
      </c>
      <c r="C158" t="inlineStr">
        <is>
          <t>ch_3Q000154</t>
        </is>
      </c>
      <c r="D158" t="inlineStr">
        <is>
          <t>charge</t>
        </is>
      </c>
      <c r="E158" s="5" t="n">
        <v>46209</v>
      </c>
      <c r="F158" s="9" t="n">
        <v>110</v>
      </c>
      <c r="G158" s="9" t="n">
        <v>2.23</v>
      </c>
      <c r="H158" s="9" t="n">
        <v>107.77</v>
      </c>
      <c r="I158" t="inlineStr">
        <is>
          <t>INV/2026/03779</t>
        </is>
      </c>
      <c r="J158" s="9">
        <f>ROUND(F158-G158-H158,2)</f>
        <v>0</v>
      </c>
    </row>
    <row r="159">
      <c r="A159" t="inlineStr">
        <is>
          <t>po_1Q0006KX</t>
        </is>
      </c>
      <c r="B159" s="5" t="n">
        <v>46211</v>
      </c>
      <c r="C159" t="inlineStr">
        <is>
          <t>ch_3Q000155</t>
        </is>
      </c>
      <c r="D159" t="inlineStr">
        <is>
          <t>charge</t>
        </is>
      </c>
      <c r="E159" s="5" t="n">
        <v>46209</v>
      </c>
      <c r="F159" s="9" t="n">
        <v>220</v>
      </c>
      <c r="G159" s="9" t="n">
        <v>4.15</v>
      </c>
      <c r="H159" s="9" t="n">
        <v>215.85</v>
      </c>
      <c r="I159" t="inlineStr">
        <is>
          <t>INV/2026/03780</t>
        </is>
      </c>
      <c r="J159" s="9">
        <f>ROUND(F159-G159-H159,2)</f>
        <v>0</v>
      </c>
    </row>
    <row r="160">
      <c r="A160" t="inlineStr">
        <is>
          <t>po_1Q0006KX</t>
        </is>
      </c>
      <c r="B160" s="5" t="n">
        <v>46211</v>
      </c>
      <c r="C160" t="inlineStr">
        <is>
          <t>ch_3Q000156</t>
        </is>
      </c>
      <c r="D160" t="inlineStr">
        <is>
          <t>charge</t>
        </is>
      </c>
      <c r="E160" s="5" t="n">
        <v>46209</v>
      </c>
      <c r="F160" s="9" t="n">
        <v>180</v>
      </c>
      <c r="G160" s="9" t="n">
        <v>3.45</v>
      </c>
      <c r="H160" s="9" t="n">
        <v>176.55</v>
      </c>
      <c r="I160" t="inlineStr">
        <is>
          <t>INV/2026/03781</t>
        </is>
      </c>
      <c r="J160" s="9">
        <f>ROUND(F160-G160-H160,2)</f>
        <v>0</v>
      </c>
    </row>
    <row r="161">
      <c r="A161" t="inlineStr">
        <is>
          <t>po_1Q0006KX</t>
        </is>
      </c>
      <c r="B161" s="5" t="n">
        <v>46211</v>
      </c>
      <c r="C161" t="inlineStr">
        <is>
          <t>ch_3Q000157</t>
        </is>
      </c>
      <c r="D161" t="inlineStr">
        <is>
          <t>charge</t>
        </is>
      </c>
      <c r="E161" s="5" t="n">
        <v>46209</v>
      </c>
      <c r="F161" s="9" t="n">
        <v>180</v>
      </c>
      <c r="G161" s="9" t="n">
        <v>3.45</v>
      </c>
      <c r="H161" s="9" t="n">
        <v>176.55</v>
      </c>
      <c r="I161" t="inlineStr">
        <is>
          <t>INV/2026/03782</t>
        </is>
      </c>
      <c r="J161" s="9">
        <f>ROUND(F161-G161-H161,2)</f>
        <v>0</v>
      </c>
    </row>
    <row r="162">
      <c r="A162" t="inlineStr">
        <is>
          <t>po_1Q0006KX</t>
        </is>
      </c>
      <c r="B162" s="5" t="n">
        <v>46211</v>
      </c>
      <c r="C162" t="inlineStr">
        <is>
          <t>ch_3Q000158</t>
        </is>
      </c>
      <c r="D162" t="inlineStr">
        <is>
          <t>charge</t>
        </is>
      </c>
      <c r="E162" s="5" t="n">
        <v>46209</v>
      </c>
      <c r="F162" s="9" t="n">
        <v>150</v>
      </c>
      <c r="G162" s="9" t="n">
        <v>2.93</v>
      </c>
      <c r="H162" s="9" t="n">
        <v>147.07</v>
      </c>
      <c r="I162" t="inlineStr">
        <is>
          <t>INV/2026/03783</t>
        </is>
      </c>
      <c r="J162" s="9">
        <f>ROUND(F162-G162-H162,2)</f>
        <v>0</v>
      </c>
    </row>
    <row r="163">
      <c r="A163" t="inlineStr">
        <is>
          <t>po_1Q0006KX</t>
        </is>
      </c>
      <c r="B163" s="5" t="n">
        <v>46211</v>
      </c>
      <c r="C163" t="inlineStr">
        <is>
          <t>ch_3Q000159</t>
        </is>
      </c>
      <c r="D163" t="inlineStr">
        <is>
          <t>charge</t>
        </is>
      </c>
      <c r="E163" s="5" t="n">
        <v>46209</v>
      </c>
      <c r="F163" s="9" t="n">
        <v>150</v>
      </c>
      <c r="G163" s="9" t="n">
        <v>2.93</v>
      </c>
      <c r="H163" s="9" t="n">
        <v>147.07</v>
      </c>
      <c r="I163" t="inlineStr">
        <is>
          <t>INV/2026/03784</t>
        </is>
      </c>
      <c r="J163" s="9">
        <f>ROUND(F163-G163-H163,2)</f>
        <v>0</v>
      </c>
    </row>
    <row r="164">
      <c r="A164" t="inlineStr">
        <is>
          <t>po_1Q0006KX</t>
        </is>
      </c>
      <c r="B164" s="5" t="n">
        <v>46211</v>
      </c>
      <c r="C164" t="inlineStr">
        <is>
          <t>ch_3Q000160</t>
        </is>
      </c>
      <c r="D164" t="inlineStr">
        <is>
          <t>charge</t>
        </is>
      </c>
      <c r="E164" s="5" t="n">
        <v>46209</v>
      </c>
      <c r="F164" s="9" t="n">
        <v>95</v>
      </c>
      <c r="G164" s="9" t="n">
        <v>1.96</v>
      </c>
      <c r="H164" s="9" t="n">
        <v>93.04000000000001</v>
      </c>
      <c r="I164" t="inlineStr">
        <is>
          <t>INV/2026/03785</t>
        </is>
      </c>
      <c r="J164" s="9">
        <f>ROUND(F164-G164-H164,2)</f>
        <v>0</v>
      </c>
    </row>
    <row r="165">
      <c r="A165" t="inlineStr">
        <is>
          <t>po_1Q0006KX</t>
        </is>
      </c>
      <c r="B165" s="5" t="n">
        <v>46211</v>
      </c>
      <c r="C165" t="inlineStr">
        <is>
          <t>ch_3Q000161</t>
        </is>
      </c>
      <c r="D165" t="inlineStr">
        <is>
          <t>charge</t>
        </is>
      </c>
      <c r="E165" s="5" t="n">
        <v>46209</v>
      </c>
      <c r="F165" s="9" t="n">
        <v>180</v>
      </c>
      <c r="G165" s="9" t="n">
        <v>3.45</v>
      </c>
      <c r="H165" s="9" t="n">
        <v>176.55</v>
      </c>
      <c r="I165" t="inlineStr">
        <is>
          <t>INV/2026/03786</t>
        </is>
      </c>
      <c r="J165" s="9">
        <f>ROUND(F165-G165-H165,2)</f>
        <v>0</v>
      </c>
    </row>
    <row r="166">
      <c r="A166" t="inlineStr">
        <is>
          <t>po_1Q0006KX</t>
        </is>
      </c>
      <c r="B166" s="5" t="n">
        <v>46211</v>
      </c>
      <c r="C166" t="inlineStr">
        <is>
          <t>ch_3Q000162</t>
        </is>
      </c>
      <c r="D166" t="inlineStr">
        <is>
          <t>charge</t>
        </is>
      </c>
      <c r="E166" s="5" t="n">
        <v>46209</v>
      </c>
      <c r="F166" s="9" t="n">
        <v>95</v>
      </c>
      <c r="G166" s="9" t="n">
        <v>1.96</v>
      </c>
      <c r="H166" s="9" t="n">
        <v>93.04000000000001</v>
      </c>
      <c r="I166" t="inlineStr">
        <is>
          <t>INV/2026/03787</t>
        </is>
      </c>
      <c r="J166" s="9">
        <f>ROUND(F166-G166-H166,2)</f>
        <v>0</v>
      </c>
    </row>
    <row r="167">
      <c r="A167" t="inlineStr">
        <is>
          <t>po_1Q0006KX</t>
        </is>
      </c>
      <c r="B167" s="5" t="n">
        <v>46211</v>
      </c>
      <c r="C167" t="inlineStr">
        <is>
          <t>ch_3Q000163</t>
        </is>
      </c>
      <c r="D167" t="inlineStr">
        <is>
          <t>charge</t>
        </is>
      </c>
      <c r="E167" s="5" t="n">
        <v>46209</v>
      </c>
      <c r="F167" s="9" t="n">
        <v>110</v>
      </c>
      <c r="G167" s="9" t="n">
        <v>2.23</v>
      </c>
      <c r="H167" s="9" t="n">
        <v>107.77</v>
      </c>
      <c r="I167" t="inlineStr">
        <is>
          <t>INV/2026/03788</t>
        </is>
      </c>
      <c r="J167" s="9">
        <f>ROUND(F167-G167-H167,2)</f>
        <v>0</v>
      </c>
    </row>
    <row r="168">
      <c r="A168" t="inlineStr">
        <is>
          <t>po_1Q0006KX</t>
        </is>
      </c>
      <c r="B168" s="5" t="n">
        <v>46211</v>
      </c>
      <c r="C168" t="inlineStr">
        <is>
          <t>ch_3Q000164</t>
        </is>
      </c>
      <c r="D168" t="inlineStr">
        <is>
          <t>charge</t>
        </is>
      </c>
      <c r="E168" s="5" t="n">
        <v>46209</v>
      </c>
      <c r="F168" s="9" t="n">
        <v>65</v>
      </c>
      <c r="G168" s="9" t="n">
        <v>1.44</v>
      </c>
      <c r="H168" s="9" t="n">
        <v>63.56</v>
      </c>
      <c r="I168" t="inlineStr">
        <is>
          <t>INV/2026/03789</t>
        </is>
      </c>
      <c r="J168" s="9">
        <f>ROUND(F168-G168-H168,2)</f>
        <v>0</v>
      </c>
    </row>
    <row r="169">
      <c r="A169" t="inlineStr">
        <is>
          <t>po_1Q0006KX</t>
        </is>
      </c>
      <c r="B169" s="5" t="n">
        <v>46211</v>
      </c>
      <c r="C169" t="inlineStr">
        <is>
          <t>ch_3Q000165</t>
        </is>
      </c>
      <c r="D169" t="inlineStr">
        <is>
          <t>charge</t>
        </is>
      </c>
      <c r="E169" s="5" t="n">
        <v>46209</v>
      </c>
      <c r="F169" s="9" t="n">
        <v>120</v>
      </c>
      <c r="G169" s="9" t="n">
        <v>2.4</v>
      </c>
      <c r="H169" s="9" t="n">
        <v>117.6</v>
      </c>
      <c r="I169" t="inlineStr">
        <is>
          <t>INV/2026/03790</t>
        </is>
      </c>
      <c r="J169" s="9">
        <f>ROUND(F169-G169-H169,2)</f>
        <v>0</v>
      </c>
    </row>
    <row r="170">
      <c r="A170" t="inlineStr">
        <is>
          <t>po_1Q0006KX</t>
        </is>
      </c>
      <c r="B170" s="5" t="n">
        <v>46211</v>
      </c>
      <c r="C170" t="inlineStr">
        <is>
          <t>ch_3Q000166</t>
        </is>
      </c>
      <c r="D170" t="inlineStr">
        <is>
          <t>charge</t>
        </is>
      </c>
      <c r="E170" s="5" t="n">
        <v>46209</v>
      </c>
      <c r="F170" s="9" t="n">
        <v>120</v>
      </c>
      <c r="G170" s="9" t="n">
        <v>2.4</v>
      </c>
      <c r="H170" s="9" t="n">
        <v>117.6</v>
      </c>
      <c r="I170" t="inlineStr">
        <is>
          <t>INV/2026/03791</t>
        </is>
      </c>
      <c r="J170" s="9">
        <f>ROUND(F170-G170-H170,2)</f>
        <v>0</v>
      </c>
    </row>
    <row r="171">
      <c r="A171" t="inlineStr">
        <is>
          <t>po_1Q0007KX</t>
        </is>
      </c>
      <c r="B171" s="5" t="n">
        <v>46212</v>
      </c>
      <c r="C171" t="inlineStr">
        <is>
          <t>ch_3Q000167</t>
        </is>
      </c>
      <c r="D171" t="inlineStr">
        <is>
          <t>charge</t>
        </is>
      </c>
      <c r="E171" s="5" t="n">
        <v>46210</v>
      </c>
      <c r="F171" s="9" t="n">
        <v>135</v>
      </c>
      <c r="G171" s="9" t="n">
        <v>2.66</v>
      </c>
      <c r="H171" s="9" t="n">
        <v>132.34</v>
      </c>
      <c r="I171" t="inlineStr">
        <is>
          <t>INV/2026/03792</t>
        </is>
      </c>
      <c r="J171" s="9">
        <f>ROUND(F171-G171-H171,2)</f>
        <v>0</v>
      </c>
    </row>
    <row r="172">
      <c r="A172" t="inlineStr">
        <is>
          <t>po_1Q0007KX</t>
        </is>
      </c>
      <c r="B172" s="5" t="n">
        <v>46212</v>
      </c>
      <c r="C172" t="inlineStr">
        <is>
          <t>ch_3Q000168</t>
        </is>
      </c>
      <c r="D172" t="inlineStr">
        <is>
          <t>charge</t>
        </is>
      </c>
      <c r="E172" s="5" t="n">
        <v>46210</v>
      </c>
      <c r="F172" s="9" t="n">
        <v>150</v>
      </c>
      <c r="G172" s="9" t="n">
        <v>2.93</v>
      </c>
      <c r="H172" s="9" t="n">
        <v>147.07</v>
      </c>
      <c r="I172" t="inlineStr">
        <is>
          <t>INV/2026/03793</t>
        </is>
      </c>
      <c r="J172" s="9">
        <f>ROUND(F172-G172-H172,2)</f>
        <v>0</v>
      </c>
    </row>
    <row r="173">
      <c r="A173" t="inlineStr">
        <is>
          <t>po_1Q0007KX</t>
        </is>
      </c>
      <c r="B173" s="5" t="n">
        <v>46212</v>
      </c>
      <c r="C173" t="inlineStr">
        <is>
          <t>ch_3Q000169</t>
        </is>
      </c>
      <c r="D173" t="inlineStr">
        <is>
          <t>charge</t>
        </is>
      </c>
      <c r="E173" s="5" t="n">
        <v>46210</v>
      </c>
      <c r="F173" s="9" t="n">
        <v>95</v>
      </c>
      <c r="G173" s="9" t="n">
        <v>1.96</v>
      </c>
      <c r="H173" s="9" t="n">
        <v>93.04000000000001</v>
      </c>
      <c r="I173" t="inlineStr">
        <is>
          <t>INV/2026/03794</t>
        </is>
      </c>
      <c r="J173" s="9">
        <f>ROUND(F173-G173-H173,2)</f>
        <v>0</v>
      </c>
    </row>
    <row r="174">
      <c r="A174" t="inlineStr">
        <is>
          <t>po_1Q0007KX</t>
        </is>
      </c>
      <c r="B174" s="5" t="n">
        <v>46212</v>
      </c>
      <c r="C174" t="inlineStr">
        <is>
          <t>ch_3Q000170</t>
        </is>
      </c>
      <c r="D174" t="inlineStr">
        <is>
          <t>charge</t>
        </is>
      </c>
      <c r="E174" s="5" t="n">
        <v>46210</v>
      </c>
      <c r="F174" s="9" t="n">
        <v>65</v>
      </c>
      <c r="G174" s="9" t="n">
        <v>1.44</v>
      </c>
      <c r="H174" s="9" t="n">
        <v>63.56</v>
      </c>
      <c r="I174" t="inlineStr">
        <is>
          <t>INV/2026/03795</t>
        </is>
      </c>
      <c r="J174" s="9">
        <f>ROUND(F174-G174-H174,2)</f>
        <v>0</v>
      </c>
    </row>
    <row r="175">
      <c r="A175" t="inlineStr">
        <is>
          <t>po_1Q0007KX</t>
        </is>
      </c>
      <c r="B175" s="5" t="n">
        <v>46212</v>
      </c>
      <c r="C175" t="inlineStr">
        <is>
          <t>ch_3Q000171</t>
        </is>
      </c>
      <c r="D175" t="inlineStr">
        <is>
          <t>charge</t>
        </is>
      </c>
      <c r="E175" s="5" t="n">
        <v>46210</v>
      </c>
      <c r="F175" s="9" t="n">
        <v>110</v>
      </c>
      <c r="G175" s="9" t="n">
        <v>2.23</v>
      </c>
      <c r="H175" s="9" t="n">
        <v>107.77</v>
      </c>
      <c r="I175" t="inlineStr">
        <is>
          <t>INV/2026/03796</t>
        </is>
      </c>
      <c r="J175" s="9">
        <f>ROUND(F175-G175-H175,2)</f>
        <v>0</v>
      </c>
    </row>
    <row r="176">
      <c r="A176" t="inlineStr">
        <is>
          <t>po_1Q0007KX</t>
        </is>
      </c>
      <c r="B176" s="5" t="n">
        <v>46212</v>
      </c>
      <c r="C176" t="inlineStr">
        <is>
          <t>ch_3Q000172</t>
        </is>
      </c>
      <c r="D176" t="inlineStr">
        <is>
          <t>charge</t>
        </is>
      </c>
      <c r="E176" s="5" t="n">
        <v>46210</v>
      </c>
      <c r="F176" s="9" t="n">
        <v>180</v>
      </c>
      <c r="G176" s="9" t="n">
        <v>3.45</v>
      </c>
      <c r="H176" s="9" t="n">
        <v>176.55</v>
      </c>
      <c r="I176" t="inlineStr">
        <is>
          <t>INV/2026/03797</t>
        </is>
      </c>
      <c r="J176" s="9">
        <f>ROUND(F176-G176-H176,2)</f>
        <v>0</v>
      </c>
    </row>
    <row r="177">
      <c r="A177" t="inlineStr">
        <is>
          <t>po_1Q0007KX</t>
        </is>
      </c>
      <c r="B177" s="5" t="n">
        <v>46212</v>
      </c>
      <c r="C177" t="inlineStr">
        <is>
          <t>ch_3Q000173</t>
        </is>
      </c>
      <c r="D177" t="inlineStr">
        <is>
          <t>charge</t>
        </is>
      </c>
      <c r="E177" s="5" t="n">
        <v>46210</v>
      </c>
      <c r="F177" s="9" t="n">
        <v>65</v>
      </c>
      <c r="G177" s="9" t="n">
        <v>1.44</v>
      </c>
      <c r="H177" s="9" t="n">
        <v>63.56</v>
      </c>
      <c r="I177" t="inlineStr">
        <is>
          <t>INV/2026/03798</t>
        </is>
      </c>
      <c r="J177" s="9">
        <f>ROUND(F177-G177-H177,2)</f>
        <v>0</v>
      </c>
    </row>
    <row r="178">
      <c r="A178" t="inlineStr">
        <is>
          <t>po_1Q0007KX</t>
        </is>
      </c>
      <c r="B178" s="5" t="n">
        <v>46212</v>
      </c>
      <c r="C178" t="inlineStr">
        <is>
          <t>ch_3Q000174</t>
        </is>
      </c>
      <c r="D178" t="inlineStr">
        <is>
          <t>charge</t>
        </is>
      </c>
      <c r="E178" s="5" t="n">
        <v>46210</v>
      </c>
      <c r="F178" s="9" t="n">
        <v>65</v>
      </c>
      <c r="G178" s="9" t="n">
        <v>1.44</v>
      </c>
      <c r="H178" s="9" t="n">
        <v>63.56</v>
      </c>
      <c r="I178" t="inlineStr">
        <is>
          <t>INV/2026/03799</t>
        </is>
      </c>
      <c r="J178" s="9">
        <f>ROUND(F178-G178-H178,2)</f>
        <v>0</v>
      </c>
    </row>
    <row r="179">
      <c r="A179" t="inlineStr">
        <is>
          <t>po_1Q0007KX</t>
        </is>
      </c>
      <c r="B179" s="5" t="n">
        <v>46212</v>
      </c>
      <c r="C179" t="inlineStr">
        <is>
          <t>ch_3Q000175</t>
        </is>
      </c>
      <c r="D179" t="inlineStr">
        <is>
          <t>charge</t>
        </is>
      </c>
      <c r="E179" s="5" t="n">
        <v>46210</v>
      </c>
      <c r="F179" s="9" t="n">
        <v>135</v>
      </c>
      <c r="G179" s="9" t="n">
        <v>2.66</v>
      </c>
      <c r="H179" s="9" t="n">
        <v>132.34</v>
      </c>
      <c r="I179" t="inlineStr">
        <is>
          <t>INV/2026/03800</t>
        </is>
      </c>
      <c r="J179" s="9">
        <f>ROUND(F179-G179-H179,2)</f>
        <v>0</v>
      </c>
    </row>
    <row r="180">
      <c r="A180" t="inlineStr">
        <is>
          <t>po_1Q0007KX</t>
        </is>
      </c>
      <c r="B180" s="5" t="n">
        <v>46212</v>
      </c>
      <c r="C180" t="inlineStr">
        <is>
          <t>ch_3Q000176</t>
        </is>
      </c>
      <c r="D180" t="inlineStr">
        <is>
          <t>charge</t>
        </is>
      </c>
      <c r="E180" s="5" t="n">
        <v>46210</v>
      </c>
      <c r="F180" s="9" t="n">
        <v>120</v>
      </c>
      <c r="G180" s="9" t="n">
        <v>2.4</v>
      </c>
      <c r="H180" s="9" t="n">
        <v>117.6</v>
      </c>
      <c r="I180" t="inlineStr">
        <is>
          <t>INV/2026/03801</t>
        </is>
      </c>
      <c r="J180" s="9">
        <f>ROUND(F180-G180-H180,2)</f>
        <v>0</v>
      </c>
    </row>
    <row r="181">
      <c r="A181" t="inlineStr">
        <is>
          <t>po_1Q0007KX</t>
        </is>
      </c>
      <c r="B181" s="5" t="n">
        <v>46212</v>
      </c>
      <c r="C181" t="inlineStr">
        <is>
          <t>ch_3Q000177</t>
        </is>
      </c>
      <c r="D181" t="inlineStr">
        <is>
          <t>charge</t>
        </is>
      </c>
      <c r="E181" s="5" t="n">
        <v>46210</v>
      </c>
      <c r="F181" s="9" t="n">
        <v>150</v>
      </c>
      <c r="G181" s="9" t="n">
        <v>2.93</v>
      </c>
      <c r="H181" s="9" t="n">
        <v>147.07</v>
      </c>
      <c r="I181" t="inlineStr">
        <is>
          <t>INV/2026/03802</t>
        </is>
      </c>
      <c r="J181" s="9">
        <f>ROUND(F181-G181-H181,2)</f>
        <v>0</v>
      </c>
    </row>
    <row r="182">
      <c r="A182" t="inlineStr">
        <is>
          <t>po_1Q0007KX</t>
        </is>
      </c>
      <c r="B182" s="5" t="n">
        <v>46212</v>
      </c>
      <c r="C182" t="inlineStr">
        <is>
          <t>ch_3Q000178</t>
        </is>
      </c>
      <c r="D182" t="inlineStr">
        <is>
          <t>charge</t>
        </is>
      </c>
      <c r="E182" s="5" t="n">
        <v>46210</v>
      </c>
      <c r="F182" s="9" t="n">
        <v>85</v>
      </c>
      <c r="G182" s="9" t="n">
        <v>1.79</v>
      </c>
      <c r="H182" s="9" t="n">
        <v>83.20999999999999</v>
      </c>
      <c r="I182" t="inlineStr">
        <is>
          <t>INV/2026/03803</t>
        </is>
      </c>
      <c r="J182" s="9">
        <f>ROUND(F182-G182-H182,2)</f>
        <v>0</v>
      </c>
    </row>
    <row r="183">
      <c r="A183" t="inlineStr">
        <is>
          <t>po_1Q0007KX</t>
        </is>
      </c>
      <c r="B183" s="5" t="n">
        <v>46212</v>
      </c>
      <c r="C183" t="inlineStr">
        <is>
          <t>ch_3Q000179</t>
        </is>
      </c>
      <c r="D183" t="inlineStr">
        <is>
          <t>charge</t>
        </is>
      </c>
      <c r="E183" s="5" t="n">
        <v>46210</v>
      </c>
      <c r="F183" s="9" t="n">
        <v>135</v>
      </c>
      <c r="G183" s="9" t="n">
        <v>2.66</v>
      </c>
      <c r="H183" s="9" t="n">
        <v>132.34</v>
      </c>
      <c r="I183" t="inlineStr">
        <is>
          <t>INV/2026/03804</t>
        </is>
      </c>
      <c r="J183" s="9">
        <f>ROUND(F183-G183-H183,2)</f>
        <v>0</v>
      </c>
    </row>
    <row r="184">
      <c r="A184" t="inlineStr">
        <is>
          <t>po_1Q0007KX</t>
        </is>
      </c>
      <c r="B184" s="5" t="n">
        <v>46212</v>
      </c>
      <c r="C184" t="inlineStr">
        <is>
          <t>ch_3Q000180</t>
        </is>
      </c>
      <c r="D184" t="inlineStr">
        <is>
          <t>charge</t>
        </is>
      </c>
      <c r="E184" s="5" t="n">
        <v>46210</v>
      </c>
      <c r="F184" s="9" t="n">
        <v>85</v>
      </c>
      <c r="G184" s="9" t="n">
        <v>1.79</v>
      </c>
      <c r="H184" s="9" t="n">
        <v>83.20999999999999</v>
      </c>
      <c r="I184" t="inlineStr">
        <is>
          <t>INV/2026/03805</t>
        </is>
      </c>
      <c r="J184" s="9">
        <f>ROUND(F184-G184-H184,2)</f>
        <v>0</v>
      </c>
    </row>
    <row r="185">
      <c r="A185" t="inlineStr">
        <is>
          <t>po_1Q0007KX</t>
        </is>
      </c>
      <c r="B185" s="5" t="n">
        <v>46212</v>
      </c>
      <c r="C185" t="inlineStr">
        <is>
          <t>ch_3Q000181</t>
        </is>
      </c>
      <c r="D185" t="inlineStr">
        <is>
          <t>charge</t>
        </is>
      </c>
      <c r="E185" s="5" t="n">
        <v>46210</v>
      </c>
      <c r="F185" s="9" t="n">
        <v>85</v>
      </c>
      <c r="G185" s="9" t="n">
        <v>1.79</v>
      </c>
      <c r="H185" s="9" t="n">
        <v>83.20999999999999</v>
      </c>
      <c r="I185" t="inlineStr">
        <is>
          <t>INV/2026/03806</t>
        </is>
      </c>
      <c r="J185" s="9">
        <f>ROUND(F185-G185-H185,2)</f>
        <v>0</v>
      </c>
    </row>
    <row r="186">
      <c r="A186" t="inlineStr">
        <is>
          <t>po_1Q0007KX</t>
        </is>
      </c>
      <c r="B186" s="5" t="n">
        <v>46212</v>
      </c>
      <c r="C186" t="inlineStr">
        <is>
          <t>ch_3Q000182</t>
        </is>
      </c>
      <c r="D186" t="inlineStr">
        <is>
          <t>charge</t>
        </is>
      </c>
      <c r="E186" s="5" t="n">
        <v>46210</v>
      </c>
      <c r="F186" s="9" t="n">
        <v>180</v>
      </c>
      <c r="G186" s="9" t="n">
        <v>3.45</v>
      </c>
      <c r="H186" s="9" t="n">
        <v>176.55</v>
      </c>
      <c r="I186" t="inlineStr">
        <is>
          <t>INV/2026/03807</t>
        </is>
      </c>
      <c r="J186" s="9">
        <f>ROUND(F186-G186-H186,2)</f>
        <v>0</v>
      </c>
    </row>
    <row r="187">
      <c r="A187" t="inlineStr">
        <is>
          <t>po_1Q0007KX</t>
        </is>
      </c>
      <c r="B187" s="5" t="n">
        <v>46212</v>
      </c>
      <c r="C187" t="inlineStr">
        <is>
          <t>ch_3Q000183</t>
        </is>
      </c>
      <c r="D187" t="inlineStr">
        <is>
          <t>charge</t>
        </is>
      </c>
      <c r="E187" s="5" t="n">
        <v>46210</v>
      </c>
      <c r="F187" s="9" t="n">
        <v>95</v>
      </c>
      <c r="G187" s="9" t="n">
        <v>1.96</v>
      </c>
      <c r="H187" s="9" t="n">
        <v>93.04000000000001</v>
      </c>
      <c r="I187" t="inlineStr">
        <is>
          <t>INV/2026/03808</t>
        </is>
      </c>
      <c r="J187" s="9">
        <f>ROUND(F187-G187-H187,2)</f>
        <v>0</v>
      </c>
    </row>
    <row r="188">
      <c r="A188" t="inlineStr">
        <is>
          <t>po_1Q0007KX</t>
        </is>
      </c>
      <c r="B188" s="5" t="n">
        <v>46212</v>
      </c>
      <c r="C188" t="inlineStr">
        <is>
          <t>ch_3Q000184</t>
        </is>
      </c>
      <c r="D188" t="inlineStr">
        <is>
          <t>charge</t>
        </is>
      </c>
      <c r="E188" s="5" t="n">
        <v>46210</v>
      </c>
      <c r="F188" s="9" t="n">
        <v>120</v>
      </c>
      <c r="G188" s="9" t="n">
        <v>2.4</v>
      </c>
      <c r="H188" s="9" t="n">
        <v>117.6</v>
      </c>
      <c r="I188" t="inlineStr">
        <is>
          <t>INV/2026/03809</t>
        </is>
      </c>
      <c r="J188" s="9">
        <f>ROUND(F188-G188-H188,2)</f>
        <v>0</v>
      </c>
    </row>
    <row r="189">
      <c r="A189" t="inlineStr">
        <is>
          <t>po_1Q0007KX</t>
        </is>
      </c>
      <c r="B189" s="5" t="n">
        <v>46212</v>
      </c>
      <c r="C189" t="inlineStr">
        <is>
          <t>ch_3Q000185</t>
        </is>
      </c>
      <c r="D189" t="inlineStr">
        <is>
          <t>charge</t>
        </is>
      </c>
      <c r="E189" s="5" t="n">
        <v>46210</v>
      </c>
      <c r="F189" s="9" t="n">
        <v>120</v>
      </c>
      <c r="G189" s="9" t="n">
        <v>2.4</v>
      </c>
      <c r="H189" s="9" t="n">
        <v>117.6</v>
      </c>
      <c r="I189" t="inlineStr">
        <is>
          <t>INV/2026/03810</t>
        </is>
      </c>
      <c r="J189" s="9">
        <f>ROUND(F189-G189-H189,2)</f>
        <v>0</v>
      </c>
    </row>
    <row r="190">
      <c r="A190" t="inlineStr">
        <is>
          <t>po_1Q0007KX</t>
        </is>
      </c>
      <c r="B190" s="5" t="n">
        <v>46212</v>
      </c>
      <c r="C190" t="inlineStr">
        <is>
          <t>ch_3Q000186</t>
        </is>
      </c>
      <c r="D190" t="inlineStr">
        <is>
          <t>charge</t>
        </is>
      </c>
      <c r="E190" s="5" t="n">
        <v>46210</v>
      </c>
      <c r="F190" s="9" t="n">
        <v>65</v>
      </c>
      <c r="G190" s="9" t="n">
        <v>1.44</v>
      </c>
      <c r="H190" s="9" t="n">
        <v>63.56</v>
      </c>
      <c r="I190" t="inlineStr">
        <is>
          <t>INV/2026/03811</t>
        </is>
      </c>
      <c r="J190" s="9">
        <f>ROUND(F190-G190-H190,2)</f>
        <v>0</v>
      </c>
    </row>
    <row r="191">
      <c r="A191" t="inlineStr">
        <is>
          <t>po_1Q0007KX</t>
        </is>
      </c>
      <c r="B191" s="5" t="n">
        <v>46212</v>
      </c>
      <c r="C191" t="inlineStr">
        <is>
          <t>ch_3Q000187</t>
        </is>
      </c>
      <c r="D191" t="inlineStr">
        <is>
          <t>charge</t>
        </is>
      </c>
      <c r="E191" s="5" t="n">
        <v>46210</v>
      </c>
      <c r="F191" s="9" t="n">
        <v>85</v>
      </c>
      <c r="G191" s="9" t="n">
        <v>1.79</v>
      </c>
      <c r="H191" s="9" t="n">
        <v>83.20999999999999</v>
      </c>
      <c r="I191" t="inlineStr">
        <is>
          <t>INV/2026/03812</t>
        </is>
      </c>
      <c r="J191" s="9">
        <f>ROUND(F191-G191-H191,2)</f>
        <v>0</v>
      </c>
    </row>
    <row r="192">
      <c r="A192" t="inlineStr">
        <is>
          <t>po_1Q0007KX</t>
        </is>
      </c>
      <c r="B192" s="5" t="n">
        <v>46212</v>
      </c>
      <c r="C192" t="inlineStr">
        <is>
          <t>ch_3Q000188</t>
        </is>
      </c>
      <c r="D192" t="inlineStr">
        <is>
          <t>charge</t>
        </is>
      </c>
      <c r="E192" s="5" t="n">
        <v>46210</v>
      </c>
      <c r="F192" s="9" t="n">
        <v>65</v>
      </c>
      <c r="G192" s="9" t="n">
        <v>1.44</v>
      </c>
      <c r="H192" s="9" t="n">
        <v>63.56</v>
      </c>
      <c r="I192" t="inlineStr">
        <is>
          <t>INV/2026/03813</t>
        </is>
      </c>
      <c r="J192" s="9">
        <f>ROUND(F192-G192-H192,2)</f>
        <v>0</v>
      </c>
    </row>
    <row r="193">
      <c r="A193" t="inlineStr">
        <is>
          <t>po_1Q0007KX</t>
        </is>
      </c>
      <c r="B193" s="5" t="n">
        <v>46212</v>
      </c>
      <c r="C193" t="inlineStr">
        <is>
          <t>ch_3Q000189</t>
        </is>
      </c>
      <c r="D193" t="inlineStr">
        <is>
          <t>charge</t>
        </is>
      </c>
      <c r="E193" s="5" t="n">
        <v>46210</v>
      </c>
      <c r="F193" s="9" t="n">
        <v>120</v>
      </c>
      <c r="G193" s="9" t="n">
        <v>2.4</v>
      </c>
      <c r="H193" s="9" t="n">
        <v>117.6</v>
      </c>
      <c r="I193" t="inlineStr">
        <is>
          <t>INV/2026/03814</t>
        </is>
      </c>
      <c r="J193" s="9">
        <f>ROUND(F193-G193-H193,2)</f>
        <v>0</v>
      </c>
    </row>
    <row r="194">
      <c r="A194" t="inlineStr">
        <is>
          <t>po_1Q0007KX</t>
        </is>
      </c>
      <c r="B194" s="5" t="n">
        <v>46212</v>
      </c>
      <c r="C194" t="inlineStr">
        <is>
          <t>ch_3Q000190</t>
        </is>
      </c>
      <c r="D194" t="inlineStr">
        <is>
          <t>charge</t>
        </is>
      </c>
      <c r="E194" s="5" t="n">
        <v>46210</v>
      </c>
      <c r="F194" s="9" t="n">
        <v>110</v>
      </c>
      <c r="G194" s="9" t="n">
        <v>2.23</v>
      </c>
      <c r="H194" s="9" t="n">
        <v>107.77</v>
      </c>
      <c r="I194" t="inlineStr">
        <is>
          <t>INV/2026/03815</t>
        </is>
      </c>
      <c r="J194" s="9">
        <f>ROUND(F194-G194-H194,2)</f>
        <v>0</v>
      </c>
    </row>
    <row r="195">
      <c r="A195" t="inlineStr">
        <is>
          <t>po_1Q0007KX</t>
        </is>
      </c>
      <c r="B195" s="5" t="n">
        <v>46212</v>
      </c>
      <c r="C195" t="inlineStr">
        <is>
          <t>ch_3Q000191</t>
        </is>
      </c>
      <c r="D195" t="inlineStr">
        <is>
          <t>charge</t>
        </is>
      </c>
      <c r="E195" s="5" t="n">
        <v>46210</v>
      </c>
      <c r="F195" s="9" t="n">
        <v>180</v>
      </c>
      <c r="G195" s="9" t="n">
        <v>3.45</v>
      </c>
      <c r="H195" s="9" t="n">
        <v>176.55</v>
      </c>
      <c r="I195" t="inlineStr">
        <is>
          <t>INV/2026/03816</t>
        </is>
      </c>
      <c r="J195" s="9">
        <f>ROUND(F195-G195-H195,2)</f>
        <v>0</v>
      </c>
    </row>
    <row r="196">
      <c r="A196" t="inlineStr">
        <is>
          <t>po_1Q0007KX</t>
        </is>
      </c>
      <c r="B196" s="5" t="n">
        <v>46212</v>
      </c>
      <c r="C196" t="inlineStr">
        <is>
          <t>ch_3Q000192</t>
        </is>
      </c>
      <c r="D196" t="inlineStr">
        <is>
          <t>charge</t>
        </is>
      </c>
      <c r="E196" s="5" t="n">
        <v>46210</v>
      </c>
      <c r="F196" s="9" t="n">
        <v>95</v>
      </c>
      <c r="G196" s="9" t="n">
        <v>1.96</v>
      </c>
      <c r="H196" s="9" t="n">
        <v>93.04000000000001</v>
      </c>
      <c r="I196" t="inlineStr">
        <is>
          <t>INV/2026/03817</t>
        </is>
      </c>
      <c r="J196" s="9">
        <f>ROUND(F196-G196-H196,2)</f>
        <v>0</v>
      </c>
    </row>
    <row r="197">
      <c r="A197" t="inlineStr">
        <is>
          <t>po_1Q0007KX</t>
        </is>
      </c>
      <c r="B197" s="5" t="n">
        <v>46212</v>
      </c>
      <c r="C197" t="inlineStr">
        <is>
          <t>ch_3Q000193</t>
        </is>
      </c>
      <c r="D197" t="inlineStr">
        <is>
          <t>charge</t>
        </is>
      </c>
      <c r="E197" s="5" t="n">
        <v>46210</v>
      </c>
      <c r="F197" s="9" t="n">
        <v>135</v>
      </c>
      <c r="G197" s="9" t="n">
        <v>2.66</v>
      </c>
      <c r="H197" s="9" t="n">
        <v>132.34</v>
      </c>
      <c r="I197" t="inlineStr">
        <is>
          <t>INV/2026/03818</t>
        </is>
      </c>
      <c r="J197" s="9">
        <f>ROUND(F197-G197-H197,2)</f>
        <v>0</v>
      </c>
    </row>
    <row r="198">
      <c r="A198" t="inlineStr">
        <is>
          <t>po_1Q0007KX</t>
        </is>
      </c>
      <c r="B198" s="5" t="n">
        <v>46212</v>
      </c>
      <c r="C198" t="inlineStr">
        <is>
          <t>ch_3Q000194</t>
        </is>
      </c>
      <c r="D198" t="inlineStr">
        <is>
          <t>charge</t>
        </is>
      </c>
      <c r="E198" s="5" t="n">
        <v>46210</v>
      </c>
      <c r="F198" s="9" t="n">
        <v>65</v>
      </c>
      <c r="G198" s="9" t="n">
        <v>1.44</v>
      </c>
      <c r="H198" s="9" t="n">
        <v>63.56</v>
      </c>
      <c r="I198" t="inlineStr">
        <is>
          <t>INV/2026/03819</t>
        </is>
      </c>
      <c r="J198" s="9">
        <f>ROUND(F198-G198-H198,2)</f>
        <v>0</v>
      </c>
    </row>
    <row r="199">
      <c r="A199" t="inlineStr">
        <is>
          <t>po_1Q0007KX</t>
        </is>
      </c>
      <c r="B199" s="5" t="n">
        <v>46212</v>
      </c>
      <c r="C199" t="inlineStr">
        <is>
          <t>ch_3Q000195</t>
        </is>
      </c>
      <c r="D199" t="inlineStr">
        <is>
          <t>charge</t>
        </is>
      </c>
      <c r="E199" s="5" t="n">
        <v>46210</v>
      </c>
      <c r="F199" s="9" t="n">
        <v>65</v>
      </c>
      <c r="G199" s="9" t="n">
        <v>1.44</v>
      </c>
      <c r="H199" s="9" t="n">
        <v>63.56</v>
      </c>
      <c r="I199" t="inlineStr">
        <is>
          <t>INV/2026/03820</t>
        </is>
      </c>
      <c r="J199" s="9">
        <f>ROUND(F199-G199-H199,2)</f>
        <v>0</v>
      </c>
    </row>
    <row r="200">
      <c r="A200" t="inlineStr">
        <is>
          <t>po_1Q0007KX</t>
        </is>
      </c>
      <c r="B200" s="5" t="n">
        <v>46212</v>
      </c>
      <c r="C200" t="inlineStr">
        <is>
          <t>ch_3Q000196</t>
        </is>
      </c>
      <c r="D200" t="inlineStr">
        <is>
          <t>charge</t>
        </is>
      </c>
      <c r="E200" s="5" t="n">
        <v>46210</v>
      </c>
      <c r="F200" s="9" t="n">
        <v>85</v>
      </c>
      <c r="G200" s="9" t="n">
        <v>1.79</v>
      </c>
      <c r="H200" s="9" t="n">
        <v>83.20999999999999</v>
      </c>
      <c r="I200" t="inlineStr">
        <is>
          <t>INV/2026/03821</t>
        </is>
      </c>
      <c r="J200" s="9">
        <f>ROUND(F200-G200-H200,2)</f>
        <v>0</v>
      </c>
    </row>
    <row r="201">
      <c r="A201" t="inlineStr">
        <is>
          <t>po_1Q0007KX</t>
        </is>
      </c>
      <c r="B201" s="5" t="n">
        <v>46212</v>
      </c>
      <c r="C201" t="inlineStr">
        <is>
          <t>ch_3Q000197</t>
        </is>
      </c>
      <c r="D201" t="inlineStr">
        <is>
          <t>charge</t>
        </is>
      </c>
      <c r="E201" s="5" t="n">
        <v>46210</v>
      </c>
      <c r="F201" s="9" t="n">
        <v>110</v>
      </c>
      <c r="G201" s="9" t="n">
        <v>2.23</v>
      </c>
      <c r="H201" s="9" t="n">
        <v>107.77</v>
      </c>
      <c r="I201" t="inlineStr">
        <is>
          <t>INV/2026/03822</t>
        </is>
      </c>
      <c r="J201" s="9">
        <f>ROUND(F201-G201-H201,2)</f>
        <v>0</v>
      </c>
    </row>
    <row r="202">
      <c r="A202" t="inlineStr">
        <is>
          <t>po_1Q0007KX</t>
        </is>
      </c>
      <c r="B202" s="5" t="n">
        <v>46212</v>
      </c>
      <c r="C202" t="inlineStr">
        <is>
          <t>ch_3Q000198</t>
        </is>
      </c>
      <c r="D202" t="inlineStr">
        <is>
          <t>charge</t>
        </is>
      </c>
      <c r="E202" s="5" t="n">
        <v>46210</v>
      </c>
      <c r="F202" s="9" t="n">
        <v>85</v>
      </c>
      <c r="G202" s="9" t="n">
        <v>1.79</v>
      </c>
      <c r="H202" s="9" t="n">
        <v>83.20999999999999</v>
      </c>
      <c r="I202" t="inlineStr">
        <is>
          <t>INV/2026/03823</t>
        </is>
      </c>
      <c r="J202" s="9">
        <f>ROUND(F202-G202-H202,2)</f>
        <v>0</v>
      </c>
    </row>
    <row r="203">
      <c r="A203" t="inlineStr">
        <is>
          <t>po_1Q0008KX</t>
        </is>
      </c>
      <c r="B203" s="5" t="n">
        <v>46213</v>
      </c>
      <c r="C203" t="inlineStr">
        <is>
          <t>ch_3Q000199</t>
        </is>
      </c>
      <c r="D203" t="inlineStr">
        <is>
          <t>charge</t>
        </is>
      </c>
      <c r="E203" s="5" t="n">
        <v>46211</v>
      </c>
      <c r="F203" s="9" t="n">
        <v>110</v>
      </c>
      <c r="G203" s="9" t="n">
        <v>2.23</v>
      </c>
      <c r="H203" s="9" t="n">
        <v>107.77</v>
      </c>
      <c r="I203" t="inlineStr">
        <is>
          <t>INV/2026/03824</t>
        </is>
      </c>
      <c r="J203" s="9">
        <f>ROUND(F203-G203-H203,2)</f>
        <v>0</v>
      </c>
    </row>
    <row r="204">
      <c r="A204" t="inlineStr">
        <is>
          <t>po_1Q0008KX</t>
        </is>
      </c>
      <c r="B204" s="5" t="n">
        <v>46213</v>
      </c>
      <c r="C204" t="inlineStr">
        <is>
          <t>ch_3Q000200</t>
        </is>
      </c>
      <c r="D204" t="inlineStr">
        <is>
          <t>charge</t>
        </is>
      </c>
      <c r="E204" s="5" t="n">
        <v>46211</v>
      </c>
      <c r="F204" s="9" t="n">
        <v>120</v>
      </c>
      <c r="G204" s="9" t="n">
        <v>2.4</v>
      </c>
      <c r="H204" s="9" t="n">
        <v>117.6</v>
      </c>
      <c r="I204" t="inlineStr">
        <is>
          <t>INV/2026/03825</t>
        </is>
      </c>
      <c r="J204" s="9">
        <f>ROUND(F204-G204-H204,2)</f>
        <v>0</v>
      </c>
    </row>
    <row r="205">
      <c r="A205" t="inlineStr">
        <is>
          <t>po_1Q0008KX</t>
        </is>
      </c>
      <c r="B205" s="5" t="n">
        <v>46213</v>
      </c>
      <c r="C205" t="inlineStr">
        <is>
          <t>ch_3Q000201</t>
        </is>
      </c>
      <c r="D205" t="inlineStr">
        <is>
          <t>charge</t>
        </is>
      </c>
      <c r="E205" s="5" t="n">
        <v>46211</v>
      </c>
      <c r="F205" s="9" t="n">
        <v>65</v>
      </c>
      <c r="G205" s="9" t="n">
        <v>1.44</v>
      </c>
      <c r="H205" s="9" t="n">
        <v>63.56</v>
      </c>
      <c r="I205" t="inlineStr">
        <is>
          <t>INV/2026/03826</t>
        </is>
      </c>
      <c r="J205" s="9">
        <f>ROUND(F205-G205-H205,2)</f>
        <v>0</v>
      </c>
    </row>
    <row r="206">
      <c r="A206" t="inlineStr">
        <is>
          <t>po_1Q0008KX</t>
        </is>
      </c>
      <c r="B206" s="5" t="n">
        <v>46213</v>
      </c>
      <c r="C206" t="inlineStr">
        <is>
          <t>ch_3Q000202</t>
        </is>
      </c>
      <c r="D206" t="inlineStr">
        <is>
          <t>charge</t>
        </is>
      </c>
      <c r="E206" s="5" t="n">
        <v>46211</v>
      </c>
      <c r="F206" s="9" t="n">
        <v>180</v>
      </c>
      <c r="G206" s="9" t="n">
        <v>3.45</v>
      </c>
      <c r="H206" s="9" t="n">
        <v>176.55</v>
      </c>
      <c r="I206" t="inlineStr">
        <is>
          <t>INV/2026/03827</t>
        </is>
      </c>
      <c r="J206" s="9">
        <f>ROUND(F206-G206-H206,2)</f>
        <v>0</v>
      </c>
    </row>
    <row r="207">
      <c r="A207" t="inlineStr">
        <is>
          <t>po_1Q0008KX</t>
        </is>
      </c>
      <c r="B207" s="5" t="n">
        <v>46213</v>
      </c>
      <c r="C207" t="inlineStr">
        <is>
          <t>ch_3Q000203</t>
        </is>
      </c>
      <c r="D207" t="inlineStr">
        <is>
          <t>charge</t>
        </is>
      </c>
      <c r="E207" s="5" t="n">
        <v>46211</v>
      </c>
      <c r="F207" s="9" t="n">
        <v>220</v>
      </c>
      <c r="G207" s="9" t="n">
        <v>4.15</v>
      </c>
      <c r="H207" s="9" t="n">
        <v>215.85</v>
      </c>
      <c r="I207" t="inlineStr">
        <is>
          <t>INV/2026/03828</t>
        </is>
      </c>
      <c r="J207" s="9">
        <f>ROUND(F207-G207-H207,2)</f>
        <v>0</v>
      </c>
    </row>
    <row r="208">
      <c r="A208" t="inlineStr">
        <is>
          <t>po_1Q0008KX</t>
        </is>
      </c>
      <c r="B208" s="5" t="n">
        <v>46213</v>
      </c>
      <c r="C208" t="inlineStr">
        <is>
          <t>ch_3Q000204</t>
        </is>
      </c>
      <c r="D208" t="inlineStr">
        <is>
          <t>charge</t>
        </is>
      </c>
      <c r="E208" s="5" t="n">
        <v>46211</v>
      </c>
      <c r="F208" s="9" t="n">
        <v>85</v>
      </c>
      <c r="G208" s="9" t="n">
        <v>1.79</v>
      </c>
      <c r="H208" s="9" t="n">
        <v>83.20999999999999</v>
      </c>
      <c r="I208" t="inlineStr">
        <is>
          <t>INV/2026/03829</t>
        </is>
      </c>
      <c r="J208" s="9">
        <f>ROUND(F208-G208-H208,2)</f>
        <v>0</v>
      </c>
    </row>
    <row r="209">
      <c r="A209" t="inlineStr">
        <is>
          <t>po_1Q0008KX</t>
        </is>
      </c>
      <c r="B209" s="5" t="n">
        <v>46213</v>
      </c>
      <c r="C209" t="inlineStr">
        <is>
          <t>ch_3Q000205</t>
        </is>
      </c>
      <c r="D209" t="inlineStr">
        <is>
          <t>charge</t>
        </is>
      </c>
      <c r="E209" s="5" t="n">
        <v>46211</v>
      </c>
      <c r="F209" s="9" t="n">
        <v>65</v>
      </c>
      <c r="G209" s="9" t="n">
        <v>1.44</v>
      </c>
      <c r="H209" s="9" t="n">
        <v>63.56</v>
      </c>
      <c r="I209" t="inlineStr">
        <is>
          <t>INV/2026/03830</t>
        </is>
      </c>
      <c r="J209" s="9">
        <f>ROUND(F209-G209-H209,2)</f>
        <v>0</v>
      </c>
    </row>
    <row r="210">
      <c r="A210" t="inlineStr">
        <is>
          <t>po_1Q0008KX</t>
        </is>
      </c>
      <c r="B210" s="5" t="n">
        <v>46213</v>
      </c>
      <c r="C210" t="inlineStr">
        <is>
          <t>ch_3Q000206</t>
        </is>
      </c>
      <c r="D210" t="inlineStr">
        <is>
          <t>charge</t>
        </is>
      </c>
      <c r="E210" s="5" t="n">
        <v>46211</v>
      </c>
      <c r="F210" s="9" t="n">
        <v>65</v>
      </c>
      <c r="G210" s="9" t="n">
        <v>1.44</v>
      </c>
      <c r="H210" s="9" t="n">
        <v>63.56</v>
      </c>
      <c r="I210" t="inlineStr">
        <is>
          <t>INV/2026/03831</t>
        </is>
      </c>
      <c r="J210" s="9">
        <f>ROUND(F210-G210-H210,2)</f>
        <v>0</v>
      </c>
    </row>
    <row r="211">
      <c r="A211" t="inlineStr">
        <is>
          <t>po_1Q0008KX</t>
        </is>
      </c>
      <c r="B211" s="5" t="n">
        <v>46213</v>
      </c>
      <c r="C211" t="inlineStr">
        <is>
          <t>ch_3Q000207</t>
        </is>
      </c>
      <c r="D211" t="inlineStr">
        <is>
          <t>charge</t>
        </is>
      </c>
      <c r="E211" s="5" t="n">
        <v>46211</v>
      </c>
      <c r="F211" s="9" t="n">
        <v>65</v>
      </c>
      <c r="G211" s="9" t="n">
        <v>1.44</v>
      </c>
      <c r="H211" s="9" t="n">
        <v>63.56</v>
      </c>
      <c r="I211" t="inlineStr">
        <is>
          <t>INV/2026/03832</t>
        </is>
      </c>
      <c r="J211" s="9">
        <f>ROUND(F211-G211-H211,2)</f>
        <v>0</v>
      </c>
    </row>
    <row r="212">
      <c r="A212" t="inlineStr">
        <is>
          <t>po_1Q0008KX</t>
        </is>
      </c>
      <c r="B212" s="5" t="n">
        <v>46213</v>
      </c>
      <c r="C212" t="inlineStr">
        <is>
          <t>ch_3Q000208</t>
        </is>
      </c>
      <c r="D212" t="inlineStr">
        <is>
          <t>charge</t>
        </is>
      </c>
      <c r="E212" s="5" t="n">
        <v>46211</v>
      </c>
      <c r="F212" s="9" t="n">
        <v>180</v>
      </c>
      <c r="G212" s="9" t="n">
        <v>3.45</v>
      </c>
      <c r="H212" s="9" t="n">
        <v>176.55</v>
      </c>
      <c r="I212" t="inlineStr">
        <is>
          <t>INV/2026/03833</t>
        </is>
      </c>
      <c r="J212" s="9">
        <f>ROUND(F212-G212-H212,2)</f>
        <v>0</v>
      </c>
    </row>
    <row r="213">
      <c r="A213" t="inlineStr">
        <is>
          <t>po_1Q0008KX</t>
        </is>
      </c>
      <c r="B213" s="5" t="n">
        <v>46213</v>
      </c>
      <c r="C213" t="inlineStr">
        <is>
          <t>ch_3Q000209</t>
        </is>
      </c>
      <c r="D213" t="inlineStr">
        <is>
          <t>charge</t>
        </is>
      </c>
      <c r="E213" s="5" t="n">
        <v>46211</v>
      </c>
      <c r="F213" s="9" t="n">
        <v>65</v>
      </c>
      <c r="G213" s="9" t="n">
        <v>1.44</v>
      </c>
      <c r="H213" s="9" t="n">
        <v>63.56</v>
      </c>
      <c r="I213" t="inlineStr">
        <is>
          <t>INV/2026/03834</t>
        </is>
      </c>
      <c r="J213" s="9">
        <f>ROUND(F213-G213-H213,2)</f>
        <v>0</v>
      </c>
    </row>
    <row r="214">
      <c r="A214" t="inlineStr">
        <is>
          <t>po_1Q0008KX</t>
        </is>
      </c>
      <c r="B214" s="5" t="n">
        <v>46213</v>
      </c>
      <c r="C214" t="inlineStr">
        <is>
          <t>ch_3Q000210</t>
        </is>
      </c>
      <c r="D214" t="inlineStr">
        <is>
          <t>charge</t>
        </is>
      </c>
      <c r="E214" s="5" t="n">
        <v>46211</v>
      </c>
      <c r="F214" s="9" t="n">
        <v>110</v>
      </c>
      <c r="G214" s="9" t="n">
        <v>2.23</v>
      </c>
      <c r="H214" s="9" t="n">
        <v>107.77</v>
      </c>
      <c r="I214" t="inlineStr">
        <is>
          <t>INV/2026/03835</t>
        </is>
      </c>
      <c r="J214" s="9">
        <f>ROUND(F214-G214-H214,2)</f>
        <v>0</v>
      </c>
    </row>
    <row r="215">
      <c r="A215" t="inlineStr">
        <is>
          <t>po_1Q0008KX</t>
        </is>
      </c>
      <c r="B215" s="5" t="n">
        <v>46213</v>
      </c>
      <c r="C215" t="inlineStr">
        <is>
          <t>ch_3Q000211</t>
        </is>
      </c>
      <c r="D215" t="inlineStr">
        <is>
          <t>charge</t>
        </is>
      </c>
      <c r="E215" s="5" t="n">
        <v>46211</v>
      </c>
      <c r="F215" s="9" t="n">
        <v>220</v>
      </c>
      <c r="G215" s="9" t="n">
        <v>4.15</v>
      </c>
      <c r="H215" s="9" t="n">
        <v>215.85</v>
      </c>
      <c r="I215" t="inlineStr">
        <is>
          <t>INV/2026/03836</t>
        </is>
      </c>
      <c r="J215" s="9">
        <f>ROUND(F215-G215-H215,2)</f>
        <v>0</v>
      </c>
    </row>
    <row r="216">
      <c r="A216" t="inlineStr">
        <is>
          <t>po_1Q0008KX</t>
        </is>
      </c>
      <c r="B216" s="5" t="n">
        <v>46213</v>
      </c>
      <c r="C216" t="inlineStr">
        <is>
          <t>ch_3Q000212</t>
        </is>
      </c>
      <c r="D216" t="inlineStr">
        <is>
          <t>charge</t>
        </is>
      </c>
      <c r="E216" s="5" t="n">
        <v>46211</v>
      </c>
      <c r="F216" s="9" t="n">
        <v>180</v>
      </c>
      <c r="G216" s="9" t="n">
        <v>3.45</v>
      </c>
      <c r="H216" s="9" t="n">
        <v>176.55</v>
      </c>
      <c r="I216" t="inlineStr">
        <is>
          <t>INV/2026/03837</t>
        </is>
      </c>
      <c r="J216" s="9">
        <f>ROUND(F216-G216-H216,2)</f>
        <v>0</v>
      </c>
    </row>
    <row r="217">
      <c r="A217" t="inlineStr">
        <is>
          <t>po_1Q0008KX</t>
        </is>
      </c>
      <c r="B217" s="5" t="n">
        <v>46213</v>
      </c>
      <c r="C217" t="inlineStr">
        <is>
          <t>ch_3Q000213</t>
        </is>
      </c>
      <c r="D217" t="inlineStr">
        <is>
          <t>charge</t>
        </is>
      </c>
      <c r="E217" s="5" t="n">
        <v>46211</v>
      </c>
      <c r="F217" s="9" t="n">
        <v>220</v>
      </c>
      <c r="G217" s="9" t="n">
        <v>4.15</v>
      </c>
      <c r="H217" s="9" t="n">
        <v>215.85</v>
      </c>
      <c r="I217" t="inlineStr">
        <is>
          <t>INV/2026/03838</t>
        </is>
      </c>
      <c r="J217" s="9">
        <f>ROUND(F217-G217-H217,2)</f>
        <v>0</v>
      </c>
    </row>
    <row r="218">
      <c r="A218" t="inlineStr">
        <is>
          <t>po_1Q0008KX</t>
        </is>
      </c>
      <c r="B218" s="5" t="n">
        <v>46213</v>
      </c>
      <c r="C218" t="inlineStr">
        <is>
          <t>ch_3Q000214</t>
        </is>
      </c>
      <c r="D218" t="inlineStr">
        <is>
          <t>charge</t>
        </is>
      </c>
      <c r="E218" s="5" t="n">
        <v>46211</v>
      </c>
      <c r="F218" s="9" t="n">
        <v>95</v>
      </c>
      <c r="G218" s="9" t="n">
        <v>1.96</v>
      </c>
      <c r="H218" s="9" t="n">
        <v>93.04000000000001</v>
      </c>
      <c r="I218" t="inlineStr">
        <is>
          <t>INV/2026/03839</t>
        </is>
      </c>
      <c r="J218" s="9">
        <f>ROUND(F218-G218-H218,2)</f>
        <v>0</v>
      </c>
    </row>
    <row r="219">
      <c r="A219" t="inlineStr">
        <is>
          <t>po_1Q0008KX</t>
        </is>
      </c>
      <c r="B219" s="5" t="n">
        <v>46213</v>
      </c>
      <c r="C219" t="inlineStr">
        <is>
          <t>ch_3Q000215</t>
        </is>
      </c>
      <c r="D219" t="inlineStr">
        <is>
          <t>charge</t>
        </is>
      </c>
      <c r="E219" s="5" t="n">
        <v>46211</v>
      </c>
      <c r="F219" s="9" t="n">
        <v>85</v>
      </c>
      <c r="G219" s="9" t="n">
        <v>1.79</v>
      </c>
      <c r="H219" s="9" t="n">
        <v>83.20999999999999</v>
      </c>
      <c r="I219" t="inlineStr">
        <is>
          <t>INV/2026/03840</t>
        </is>
      </c>
      <c r="J219" s="9">
        <f>ROUND(F219-G219-H219,2)</f>
        <v>0</v>
      </c>
    </row>
    <row r="220">
      <c r="A220" t="inlineStr">
        <is>
          <t>po_1Q0008KX</t>
        </is>
      </c>
      <c r="B220" s="5" t="n">
        <v>46213</v>
      </c>
      <c r="C220" t="inlineStr">
        <is>
          <t>ch_3Q000216</t>
        </is>
      </c>
      <c r="D220" t="inlineStr">
        <is>
          <t>charge</t>
        </is>
      </c>
      <c r="E220" s="5" t="n">
        <v>46211</v>
      </c>
      <c r="F220" s="9" t="n">
        <v>150</v>
      </c>
      <c r="G220" s="9" t="n">
        <v>2.93</v>
      </c>
      <c r="H220" s="9" t="n">
        <v>147.07</v>
      </c>
      <c r="I220" t="inlineStr">
        <is>
          <t>INV/2026/03841</t>
        </is>
      </c>
      <c r="J220" s="9">
        <f>ROUND(F220-G220-H220,2)</f>
        <v>0</v>
      </c>
    </row>
    <row r="221">
      <c r="A221" t="inlineStr">
        <is>
          <t>po_1Q0008KX</t>
        </is>
      </c>
      <c r="B221" s="5" t="n">
        <v>46213</v>
      </c>
      <c r="C221" t="inlineStr">
        <is>
          <t>ch_3Q000217</t>
        </is>
      </c>
      <c r="D221" t="inlineStr">
        <is>
          <t>charge</t>
        </is>
      </c>
      <c r="E221" s="5" t="n">
        <v>46211</v>
      </c>
      <c r="F221" s="9" t="n">
        <v>220</v>
      </c>
      <c r="G221" s="9" t="n">
        <v>4.15</v>
      </c>
      <c r="H221" s="9" t="n">
        <v>215.85</v>
      </c>
      <c r="I221" t="inlineStr">
        <is>
          <t>INV/2026/03842</t>
        </is>
      </c>
      <c r="J221" s="9">
        <f>ROUND(F221-G221-H221,2)</f>
        <v>0</v>
      </c>
    </row>
    <row r="222">
      <c r="A222" t="inlineStr">
        <is>
          <t>po_1Q0008KX</t>
        </is>
      </c>
      <c r="B222" s="5" t="n">
        <v>46213</v>
      </c>
      <c r="C222" t="inlineStr">
        <is>
          <t>ch_3Q000218</t>
        </is>
      </c>
      <c r="D222" t="inlineStr">
        <is>
          <t>charge</t>
        </is>
      </c>
      <c r="E222" s="5" t="n">
        <v>46211</v>
      </c>
      <c r="F222" s="9" t="n">
        <v>120</v>
      </c>
      <c r="G222" s="9" t="n">
        <v>2.4</v>
      </c>
      <c r="H222" s="9" t="n">
        <v>117.6</v>
      </c>
      <c r="I222" t="inlineStr">
        <is>
          <t>INV/2026/03843</t>
        </is>
      </c>
      <c r="J222" s="9">
        <f>ROUND(F222-G222-H222,2)</f>
        <v>0</v>
      </c>
    </row>
    <row r="223">
      <c r="A223" t="inlineStr">
        <is>
          <t>po_1Q0008KX</t>
        </is>
      </c>
      <c r="B223" s="5" t="n">
        <v>46213</v>
      </c>
      <c r="C223" t="inlineStr">
        <is>
          <t>ch_3Q000219</t>
        </is>
      </c>
      <c r="D223" t="inlineStr">
        <is>
          <t>charge</t>
        </is>
      </c>
      <c r="E223" s="5" t="n">
        <v>46211</v>
      </c>
      <c r="F223" s="9" t="n">
        <v>95</v>
      </c>
      <c r="G223" s="9" t="n">
        <v>1.96</v>
      </c>
      <c r="H223" s="9" t="n">
        <v>93.04000000000001</v>
      </c>
      <c r="I223" t="inlineStr">
        <is>
          <t>INV/2026/03844</t>
        </is>
      </c>
      <c r="J223" s="9">
        <f>ROUND(F223-G223-H223,2)</f>
        <v>0</v>
      </c>
    </row>
    <row r="224">
      <c r="A224" t="inlineStr">
        <is>
          <t>po_1Q0008KX</t>
        </is>
      </c>
      <c r="B224" s="5" t="n">
        <v>46213</v>
      </c>
      <c r="C224" t="inlineStr">
        <is>
          <t>ch_3Q000220</t>
        </is>
      </c>
      <c r="D224" t="inlineStr">
        <is>
          <t>charge</t>
        </is>
      </c>
      <c r="E224" s="5" t="n">
        <v>46211</v>
      </c>
      <c r="F224" s="9" t="n">
        <v>180</v>
      </c>
      <c r="G224" s="9" t="n">
        <v>3.45</v>
      </c>
      <c r="H224" s="9" t="n">
        <v>176.55</v>
      </c>
      <c r="I224" t="inlineStr">
        <is>
          <t>INV/2026/03845</t>
        </is>
      </c>
      <c r="J224" s="9">
        <f>ROUND(F224-G224-H224,2)</f>
        <v>0</v>
      </c>
    </row>
    <row r="225">
      <c r="A225" t="inlineStr">
        <is>
          <t>po_1Q0008KX</t>
        </is>
      </c>
      <c r="B225" s="5" t="n">
        <v>46213</v>
      </c>
      <c r="C225" t="inlineStr">
        <is>
          <t>ch_3Q000221</t>
        </is>
      </c>
      <c r="D225" t="inlineStr">
        <is>
          <t>charge</t>
        </is>
      </c>
      <c r="E225" s="5" t="n">
        <v>46211</v>
      </c>
      <c r="F225" s="9" t="n">
        <v>220</v>
      </c>
      <c r="G225" s="9" t="n">
        <v>4.15</v>
      </c>
      <c r="H225" s="9" t="n">
        <v>215.85</v>
      </c>
      <c r="I225" t="inlineStr">
        <is>
          <t>INV/2026/03846</t>
        </is>
      </c>
      <c r="J225" s="9">
        <f>ROUND(F225-G225-H225,2)</f>
        <v>0</v>
      </c>
    </row>
    <row r="226">
      <c r="A226" t="inlineStr">
        <is>
          <t>po_1Q0008KX</t>
        </is>
      </c>
      <c r="B226" s="5" t="n">
        <v>46213</v>
      </c>
      <c r="C226" t="inlineStr">
        <is>
          <t>ch_3Q000222</t>
        </is>
      </c>
      <c r="D226" t="inlineStr">
        <is>
          <t>charge</t>
        </is>
      </c>
      <c r="E226" s="5" t="n">
        <v>46211</v>
      </c>
      <c r="F226" s="9" t="n">
        <v>95</v>
      </c>
      <c r="G226" s="9" t="n">
        <v>1.96</v>
      </c>
      <c r="H226" s="9" t="n">
        <v>93.04000000000001</v>
      </c>
      <c r="I226" t="inlineStr">
        <is>
          <t>INV/2026/03847</t>
        </is>
      </c>
      <c r="J226" s="9">
        <f>ROUND(F226-G226-H226,2)</f>
        <v>0</v>
      </c>
    </row>
    <row r="227">
      <c r="A227" t="inlineStr">
        <is>
          <t>po_1Q0008KX</t>
        </is>
      </c>
      <c r="B227" s="5" t="n">
        <v>46213</v>
      </c>
      <c r="C227" t="inlineStr">
        <is>
          <t>ch_3Q000223</t>
        </is>
      </c>
      <c r="D227" t="inlineStr">
        <is>
          <t>charge</t>
        </is>
      </c>
      <c r="E227" s="5" t="n">
        <v>46211</v>
      </c>
      <c r="F227" s="9" t="n">
        <v>180</v>
      </c>
      <c r="G227" s="9" t="n">
        <v>3.45</v>
      </c>
      <c r="H227" s="9" t="n">
        <v>176.55</v>
      </c>
      <c r="I227" t="inlineStr">
        <is>
          <t>INV/2026/03848</t>
        </is>
      </c>
      <c r="J227" s="9">
        <f>ROUND(F227-G227-H227,2)</f>
        <v>0</v>
      </c>
    </row>
    <row r="228">
      <c r="A228" t="inlineStr">
        <is>
          <t>po_1Q0008KX</t>
        </is>
      </c>
      <c r="B228" s="5" t="n">
        <v>46213</v>
      </c>
      <c r="C228" t="inlineStr">
        <is>
          <t>ch_3Q000224</t>
        </is>
      </c>
      <c r="D228" t="inlineStr">
        <is>
          <t>charge</t>
        </is>
      </c>
      <c r="E228" s="5" t="n">
        <v>46211</v>
      </c>
      <c r="F228" s="9" t="n">
        <v>110</v>
      </c>
      <c r="G228" s="9" t="n">
        <v>2.23</v>
      </c>
      <c r="H228" s="9" t="n">
        <v>107.77</v>
      </c>
      <c r="I228" t="inlineStr">
        <is>
          <t>INV/2026/03849</t>
        </is>
      </c>
      <c r="J228" s="9">
        <f>ROUND(F228-G228-H228,2)</f>
        <v>0</v>
      </c>
    </row>
    <row r="229">
      <c r="A229" t="inlineStr">
        <is>
          <t>po_1Q0008KX</t>
        </is>
      </c>
      <c r="B229" s="5" t="n">
        <v>46213</v>
      </c>
      <c r="C229" t="inlineStr">
        <is>
          <t>ch_3Q000225</t>
        </is>
      </c>
      <c r="D229" t="inlineStr">
        <is>
          <t>charge</t>
        </is>
      </c>
      <c r="E229" s="5" t="n">
        <v>46211</v>
      </c>
      <c r="F229" s="9" t="n">
        <v>120</v>
      </c>
      <c r="G229" s="9" t="n">
        <v>2.4</v>
      </c>
      <c r="H229" s="9" t="n">
        <v>117.6</v>
      </c>
      <c r="I229" t="inlineStr">
        <is>
          <t>INV/2026/03850</t>
        </is>
      </c>
      <c r="J229" s="9">
        <f>ROUND(F229-G229-H229,2)</f>
        <v>0</v>
      </c>
    </row>
    <row r="230">
      <c r="A230" t="inlineStr">
        <is>
          <t>po_1Q0008KX</t>
        </is>
      </c>
      <c r="B230" s="5" t="n">
        <v>46213</v>
      </c>
      <c r="C230" t="inlineStr">
        <is>
          <t>ch_3Q000226</t>
        </is>
      </c>
      <c r="D230" t="inlineStr">
        <is>
          <t>charge</t>
        </is>
      </c>
      <c r="E230" s="5" t="n">
        <v>46211</v>
      </c>
      <c r="F230" s="9" t="n">
        <v>220</v>
      </c>
      <c r="G230" s="9" t="n">
        <v>4.15</v>
      </c>
      <c r="H230" s="9" t="n">
        <v>215.85</v>
      </c>
      <c r="I230" t="inlineStr">
        <is>
          <t>INV/2026/03851</t>
        </is>
      </c>
      <c r="J230" s="9">
        <f>ROUND(F230-G230-H230,2)</f>
        <v>0</v>
      </c>
    </row>
    <row r="231">
      <c r="A231" t="inlineStr">
        <is>
          <t>po_1Q0009KX</t>
        </is>
      </c>
      <c r="B231" s="5" t="n">
        <v>46216</v>
      </c>
      <c r="C231" t="inlineStr">
        <is>
          <t>ch_3Q000227</t>
        </is>
      </c>
      <c r="D231" t="inlineStr">
        <is>
          <t>charge</t>
        </is>
      </c>
      <c r="E231" s="5" t="n">
        <v>46212</v>
      </c>
      <c r="F231" s="9" t="n">
        <v>85</v>
      </c>
      <c r="G231" s="9" t="n">
        <v>1.79</v>
      </c>
      <c r="H231" s="9" t="n">
        <v>83.20999999999999</v>
      </c>
      <c r="I231" t="inlineStr">
        <is>
          <t>INV/2026/03852</t>
        </is>
      </c>
      <c r="J231" s="9">
        <f>ROUND(F231-G231-H231,2)</f>
        <v>0</v>
      </c>
    </row>
    <row r="232">
      <c r="A232" t="inlineStr">
        <is>
          <t>po_1Q0009KX</t>
        </is>
      </c>
      <c r="B232" s="5" t="n">
        <v>46216</v>
      </c>
      <c r="C232" t="inlineStr">
        <is>
          <t>ch_3Q000228</t>
        </is>
      </c>
      <c r="D232" t="inlineStr">
        <is>
          <t>charge</t>
        </is>
      </c>
      <c r="E232" s="5" t="n">
        <v>46212</v>
      </c>
      <c r="F232" s="9" t="n">
        <v>220</v>
      </c>
      <c r="G232" s="9" t="n">
        <v>4.15</v>
      </c>
      <c r="H232" s="9" t="n">
        <v>215.85</v>
      </c>
      <c r="I232" t="inlineStr">
        <is>
          <t>INV/2026/03853</t>
        </is>
      </c>
      <c r="J232" s="9">
        <f>ROUND(F232-G232-H232,2)</f>
        <v>0</v>
      </c>
    </row>
    <row r="233">
      <c r="A233" t="inlineStr">
        <is>
          <t>po_1Q0009KX</t>
        </is>
      </c>
      <c r="B233" s="5" t="n">
        <v>46216</v>
      </c>
      <c r="C233" t="inlineStr">
        <is>
          <t>ch_3Q000229</t>
        </is>
      </c>
      <c r="D233" t="inlineStr">
        <is>
          <t>charge</t>
        </is>
      </c>
      <c r="E233" s="5" t="n">
        <v>46212</v>
      </c>
      <c r="F233" s="9" t="n">
        <v>110</v>
      </c>
      <c r="G233" s="9" t="n">
        <v>2.23</v>
      </c>
      <c r="H233" s="9" t="n">
        <v>107.77</v>
      </c>
      <c r="I233" t="inlineStr">
        <is>
          <t>INV/2026/03854</t>
        </is>
      </c>
      <c r="J233" s="9">
        <f>ROUND(F233-G233-H233,2)</f>
        <v>0</v>
      </c>
    </row>
    <row r="234">
      <c r="A234" t="inlineStr">
        <is>
          <t>po_1Q0009KX</t>
        </is>
      </c>
      <c r="B234" s="5" t="n">
        <v>46216</v>
      </c>
      <c r="C234" t="inlineStr">
        <is>
          <t>ch_3Q000230</t>
        </is>
      </c>
      <c r="D234" t="inlineStr">
        <is>
          <t>charge</t>
        </is>
      </c>
      <c r="E234" s="5" t="n">
        <v>46212</v>
      </c>
      <c r="F234" s="9" t="n">
        <v>95</v>
      </c>
      <c r="G234" s="9" t="n">
        <v>1.96</v>
      </c>
      <c r="H234" s="9" t="n">
        <v>93.04000000000001</v>
      </c>
      <c r="I234" t="inlineStr">
        <is>
          <t>INV/2026/03855</t>
        </is>
      </c>
      <c r="J234" s="9">
        <f>ROUND(F234-G234-H234,2)</f>
        <v>0</v>
      </c>
    </row>
    <row r="235">
      <c r="A235" t="inlineStr">
        <is>
          <t>po_1Q0009KX</t>
        </is>
      </c>
      <c r="B235" s="5" t="n">
        <v>46216</v>
      </c>
      <c r="C235" t="inlineStr">
        <is>
          <t>ch_3Q000231</t>
        </is>
      </c>
      <c r="D235" t="inlineStr">
        <is>
          <t>charge</t>
        </is>
      </c>
      <c r="E235" s="5" t="n">
        <v>46212</v>
      </c>
      <c r="F235" s="9" t="n">
        <v>85</v>
      </c>
      <c r="G235" s="9" t="n">
        <v>1.79</v>
      </c>
      <c r="H235" s="9" t="n">
        <v>83.20999999999999</v>
      </c>
      <c r="I235" t="inlineStr">
        <is>
          <t>INV/2026/03856</t>
        </is>
      </c>
      <c r="J235" s="9">
        <f>ROUND(F235-G235-H235,2)</f>
        <v>0</v>
      </c>
    </row>
    <row r="236">
      <c r="A236" t="inlineStr">
        <is>
          <t>po_1Q0009KX</t>
        </is>
      </c>
      <c r="B236" s="5" t="n">
        <v>46216</v>
      </c>
      <c r="C236" t="inlineStr">
        <is>
          <t>ch_3Q000232</t>
        </is>
      </c>
      <c r="D236" t="inlineStr">
        <is>
          <t>charge</t>
        </is>
      </c>
      <c r="E236" s="5" t="n">
        <v>46212</v>
      </c>
      <c r="F236" s="9" t="n">
        <v>180</v>
      </c>
      <c r="G236" s="9" t="n">
        <v>3.45</v>
      </c>
      <c r="H236" s="9" t="n">
        <v>176.55</v>
      </c>
      <c r="I236" t="inlineStr">
        <is>
          <t>INV/2026/03857</t>
        </is>
      </c>
      <c r="J236" s="9">
        <f>ROUND(F236-G236-H236,2)</f>
        <v>0</v>
      </c>
    </row>
    <row r="237">
      <c r="A237" t="inlineStr">
        <is>
          <t>po_1Q0009KX</t>
        </is>
      </c>
      <c r="B237" s="5" t="n">
        <v>46216</v>
      </c>
      <c r="C237" t="inlineStr">
        <is>
          <t>ch_3Q000233</t>
        </is>
      </c>
      <c r="D237" t="inlineStr">
        <is>
          <t>charge</t>
        </is>
      </c>
      <c r="E237" s="5" t="n">
        <v>46212</v>
      </c>
      <c r="F237" s="9" t="n">
        <v>110</v>
      </c>
      <c r="G237" s="9" t="n">
        <v>2.23</v>
      </c>
      <c r="H237" s="9" t="n">
        <v>107.77</v>
      </c>
      <c r="I237" t="inlineStr">
        <is>
          <t>INV/2026/03858</t>
        </is>
      </c>
      <c r="J237" s="9">
        <f>ROUND(F237-G237-H237,2)</f>
        <v>0</v>
      </c>
    </row>
    <row r="238">
      <c r="A238" t="inlineStr">
        <is>
          <t>po_1Q0009KX</t>
        </is>
      </c>
      <c r="B238" s="5" t="n">
        <v>46216</v>
      </c>
      <c r="C238" t="inlineStr">
        <is>
          <t>ch_3Q000234</t>
        </is>
      </c>
      <c r="D238" t="inlineStr">
        <is>
          <t>charge</t>
        </is>
      </c>
      <c r="E238" s="5" t="n">
        <v>46212</v>
      </c>
      <c r="F238" s="9" t="n">
        <v>135</v>
      </c>
      <c r="G238" s="9" t="n">
        <v>2.66</v>
      </c>
      <c r="H238" s="9" t="n">
        <v>132.34</v>
      </c>
      <c r="I238" t="inlineStr">
        <is>
          <t>INV/2026/03859</t>
        </is>
      </c>
      <c r="J238" s="9">
        <f>ROUND(F238-G238-H238,2)</f>
        <v>0</v>
      </c>
    </row>
    <row r="239">
      <c r="A239" t="inlineStr">
        <is>
          <t>po_1Q0009KX</t>
        </is>
      </c>
      <c r="B239" s="5" t="n">
        <v>46216</v>
      </c>
      <c r="C239" t="inlineStr">
        <is>
          <t>ch_3Q000235</t>
        </is>
      </c>
      <c r="D239" t="inlineStr">
        <is>
          <t>charge</t>
        </is>
      </c>
      <c r="E239" s="5" t="n">
        <v>46212</v>
      </c>
      <c r="F239" s="9" t="n">
        <v>180</v>
      </c>
      <c r="G239" s="9" t="n">
        <v>3.45</v>
      </c>
      <c r="H239" s="9" t="n">
        <v>176.55</v>
      </c>
      <c r="I239" t="inlineStr">
        <is>
          <t>INV/2026/03860</t>
        </is>
      </c>
      <c r="J239" s="9">
        <f>ROUND(F239-G239-H239,2)</f>
        <v>0</v>
      </c>
    </row>
    <row r="240">
      <c r="A240" t="inlineStr">
        <is>
          <t>po_1Q0009KX</t>
        </is>
      </c>
      <c r="B240" s="5" t="n">
        <v>46216</v>
      </c>
      <c r="C240" t="inlineStr">
        <is>
          <t>ch_3Q000236</t>
        </is>
      </c>
      <c r="D240" t="inlineStr">
        <is>
          <t>charge</t>
        </is>
      </c>
      <c r="E240" s="5" t="n">
        <v>46212</v>
      </c>
      <c r="F240" s="9" t="n">
        <v>120</v>
      </c>
      <c r="G240" s="9" t="n">
        <v>2.4</v>
      </c>
      <c r="H240" s="9" t="n">
        <v>117.6</v>
      </c>
      <c r="I240" t="inlineStr">
        <is>
          <t>INV/2026/03861</t>
        </is>
      </c>
      <c r="J240" s="9">
        <f>ROUND(F240-G240-H240,2)</f>
        <v>0</v>
      </c>
    </row>
    <row r="241">
      <c r="A241" t="inlineStr">
        <is>
          <t>po_1Q0009KX</t>
        </is>
      </c>
      <c r="B241" s="5" t="n">
        <v>46216</v>
      </c>
      <c r="C241" t="inlineStr">
        <is>
          <t>ch_3Q000237</t>
        </is>
      </c>
      <c r="D241" t="inlineStr">
        <is>
          <t>charge</t>
        </is>
      </c>
      <c r="E241" s="5" t="n">
        <v>46212</v>
      </c>
      <c r="F241" s="9" t="n">
        <v>110</v>
      </c>
      <c r="G241" s="9" t="n">
        <v>2.23</v>
      </c>
      <c r="H241" s="9" t="n">
        <v>107.77</v>
      </c>
      <c r="I241" t="inlineStr">
        <is>
          <t>INV/2026/03862</t>
        </is>
      </c>
      <c r="J241" s="9">
        <f>ROUND(F241-G241-H241,2)</f>
        <v>0</v>
      </c>
    </row>
    <row r="242">
      <c r="A242" t="inlineStr">
        <is>
          <t>po_1Q0009KX</t>
        </is>
      </c>
      <c r="B242" s="5" t="n">
        <v>46216</v>
      </c>
      <c r="C242" t="inlineStr">
        <is>
          <t>ch_3Q000238</t>
        </is>
      </c>
      <c r="D242" t="inlineStr">
        <is>
          <t>charge</t>
        </is>
      </c>
      <c r="E242" s="5" t="n">
        <v>46212</v>
      </c>
      <c r="F242" s="9" t="n">
        <v>180</v>
      </c>
      <c r="G242" s="9" t="n">
        <v>3.45</v>
      </c>
      <c r="H242" s="9" t="n">
        <v>176.55</v>
      </c>
      <c r="I242" t="inlineStr">
        <is>
          <t>INV/2026/03863</t>
        </is>
      </c>
      <c r="J242" s="9">
        <f>ROUND(F242-G242-H242,2)</f>
        <v>0</v>
      </c>
    </row>
    <row r="243">
      <c r="A243" t="inlineStr">
        <is>
          <t>po_1Q0009KX</t>
        </is>
      </c>
      <c r="B243" s="5" t="n">
        <v>46216</v>
      </c>
      <c r="C243" t="inlineStr">
        <is>
          <t>ch_3Q000239</t>
        </is>
      </c>
      <c r="D243" t="inlineStr">
        <is>
          <t>charge</t>
        </is>
      </c>
      <c r="E243" s="5" t="n">
        <v>46212</v>
      </c>
      <c r="F243" s="9" t="n">
        <v>135</v>
      </c>
      <c r="G243" s="9" t="n">
        <v>2.66</v>
      </c>
      <c r="H243" s="9" t="n">
        <v>132.34</v>
      </c>
      <c r="I243" t="inlineStr">
        <is>
          <t>INV/2026/03864</t>
        </is>
      </c>
      <c r="J243" s="9">
        <f>ROUND(F243-G243-H243,2)</f>
        <v>0</v>
      </c>
    </row>
    <row r="244">
      <c r="A244" t="inlineStr">
        <is>
          <t>po_1Q0009KX</t>
        </is>
      </c>
      <c r="B244" s="5" t="n">
        <v>46216</v>
      </c>
      <c r="C244" t="inlineStr">
        <is>
          <t>ch_3Q000240</t>
        </is>
      </c>
      <c r="D244" t="inlineStr">
        <is>
          <t>charge</t>
        </is>
      </c>
      <c r="E244" s="5" t="n">
        <v>46212</v>
      </c>
      <c r="F244" s="9" t="n">
        <v>120</v>
      </c>
      <c r="G244" s="9" t="n">
        <v>2.4</v>
      </c>
      <c r="H244" s="9" t="n">
        <v>117.6</v>
      </c>
      <c r="I244" t="inlineStr">
        <is>
          <t>INV/2026/03865</t>
        </is>
      </c>
      <c r="J244" s="9">
        <f>ROUND(F244-G244-H244,2)</f>
        <v>0</v>
      </c>
    </row>
    <row r="245">
      <c r="A245" t="inlineStr">
        <is>
          <t>po_1Q0009KX</t>
        </is>
      </c>
      <c r="B245" s="5" t="n">
        <v>46216</v>
      </c>
      <c r="C245" t="inlineStr">
        <is>
          <t>ch_3Q000241</t>
        </is>
      </c>
      <c r="D245" t="inlineStr">
        <is>
          <t>charge</t>
        </is>
      </c>
      <c r="E245" s="5" t="n">
        <v>46212</v>
      </c>
      <c r="F245" s="9" t="n">
        <v>65</v>
      </c>
      <c r="G245" s="9" t="n">
        <v>1.44</v>
      </c>
      <c r="H245" s="9" t="n">
        <v>63.56</v>
      </c>
      <c r="I245" t="inlineStr">
        <is>
          <t>INV/2026/03866</t>
        </is>
      </c>
      <c r="J245" s="9">
        <f>ROUND(F245-G245-H245,2)</f>
        <v>0</v>
      </c>
    </row>
    <row r="246">
      <c r="A246" t="inlineStr">
        <is>
          <t>po_1Q0009KX</t>
        </is>
      </c>
      <c r="B246" s="5" t="n">
        <v>46216</v>
      </c>
      <c r="C246" t="inlineStr">
        <is>
          <t>ch_3Q000242</t>
        </is>
      </c>
      <c r="D246" t="inlineStr">
        <is>
          <t>charge</t>
        </is>
      </c>
      <c r="E246" s="5" t="n">
        <v>46212</v>
      </c>
      <c r="F246" s="9" t="n">
        <v>110</v>
      </c>
      <c r="G246" s="9" t="n">
        <v>2.23</v>
      </c>
      <c r="H246" s="9" t="n">
        <v>107.77</v>
      </c>
      <c r="I246" t="inlineStr">
        <is>
          <t>INV/2026/03867</t>
        </is>
      </c>
      <c r="J246" s="9">
        <f>ROUND(F246-G246-H246,2)</f>
        <v>0</v>
      </c>
    </row>
    <row r="247">
      <c r="A247" t="inlineStr">
        <is>
          <t>po_1Q0009KX</t>
        </is>
      </c>
      <c r="B247" s="5" t="n">
        <v>46216</v>
      </c>
      <c r="C247" t="inlineStr">
        <is>
          <t>ch_3Q000243</t>
        </is>
      </c>
      <c r="D247" t="inlineStr">
        <is>
          <t>charge</t>
        </is>
      </c>
      <c r="E247" s="5" t="n">
        <v>46212</v>
      </c>
      <c r="F247" s="9" t="n">
        <v>150</v>
      </c>
      <c r="G247" s="9" t="n">
        <v>2.93</v>
      </c>
      <c r="H247" s="9" t="n">
        <v>147.07</v>
      </c>
      <c r="I247" t="inlineStr">
        <is>
          <t>INV/2026/03868</t>
        </is>
      </c>
      <c r="J247" s="9">
        <f>ROUND(F247-G247-H247,2)</f>
        <v>0</v>
      </c>
    </row>
    <row r="248">
      <c r="A248" t="inlineStr">
        <is>
          <t>po_1Q0009KX</t>
        </is>
      </c>
      <c r="B248" s="5" t="n">
        <v>46216</v>
      </c>
      <c r="C248" t="inlineStr">
        <is>
          <t>ch_3Q000244</t>
        </is>
      </c>
      <c r="D248" t="inlineStr">
        <is>
          <t>charge</t>
        </is>
      </c>
      <c r="E248" s="5" t="n">
        <v>46212</v>
      </c>
      <c r="F248" s="9" t="n">
        <v>120</v>
      </c>
      <c r="G248" s="9" t="n">
        <v>2.4</v>
      </c>
      <c r="H248" s="9" t="n">
        <v>117.6</v>
      </c>
      <c r="I248" t="inlineStr">
        <is>
          <t>INV/2026/03869</t>
        </is>
      </c>
      <c r="J248" s="9">
        <f>ROUND(F248-G248-H248,2)</f>
        <v>0</v>
      </c>
    </row>
    <row r="249">
      <c r="A249" t="inlineStr">
        <is>
          <t>po_1Q0009KX</t>
        </is>
      </c>
      <c r="B249" s="5" t="n">
        <v>46216</v>
      </c>
      <c r="C249" t="inlineStr">
        <is>
          <t>ch_3Q000245</t>
        </is>
      </c>
      <c r="D249" t="inlineStr">
        <is>
          <t>charge</t>
        </is>
      </c>
      <c r="E249" s="5" t="n">
        <v>46212</v>
      </c>
      <c r="F249" s="9" t="n">
        <v>85</v>
      </c>
      <c r="G249" s="9" t="n">
        <v>1.79</v>
      </c>
      <c r="H249" s="9" t="n">
        <v>83.20999999999999</v>
      </c>
      <c r="I249" t="inlineStr">
        <is>
          <t>INV/2026/03870</t>
        </is>
      </c>
      <c r="J249" s="9">
        <f>ROUND(F249-G249-H249,2)</f>
        <v>0</v>
      </c>
    </row>
    <row r="250">
      <c r="A250" t="inlineStr">
        <is>
          <t>po_1Q0009KX</t>
        </is>
      </c>
      <c r="B250" s="5" t="n">
        <v>46216</v>
      </c>
      <c r="C250" t="inlineStr">
        <is>
          <t>ch_3Q000246</t>
        </is>
      </c>
      <c r="D250" t="inlineStr">
        <is>
          <t>charge</t>
        </is>
      </c>
      <c r="E250" s="5" t="n">
        <v>46212</v>
      </c>
      <c r="F250" s="9" t="n">
        <v>220</v>
      </c>
      <c r="G250" s="9" t="n">
        <v>4.15</v>
      </c>
      <c r="H250" s="9" t="n">
        <v>215.85</v>
      </c>
      <c r="I250" t="inlineStr">
        <is>
          <t>INV/2026/03871</t>
        </is>
      </c>
      <c r="J250" s="9">
        <f>ROUND(F250-G250-H250,2)</f>
        <v>0</v>
      </c>
    </row>
    <row r="251">
      <c r="A251" t="inlineStr">
        <is>
          <t>po_1Q0010KX</t>
        </is>
      </c>
      <c r="B251" s="5" t="n">
        <v>46217</v>
      </c>
      <c r="C251" t="inlineStr">
        <is>
          <t>ch_3Q000247</t>
        </is>
      </c>
      <c r="D251" t="inlineStr">
        <is>
          <t>charge</t>
        </is>
      </c>
      <c r="E251" s="5" t="n">
        <v>46213</v>
      </c>
      <c r="F251" s="9" t="n">
        <v>95</v>
      </c>
      <c r="G251" s="9" t="n">
        <v>1.96</v>
      </c>
      <c r="H251" s="9" t="n">
        <v>93.04000000000001</v>
      </c>
      <c r="I251" t="inlineStr">
        <is>
          <t>INV/2026/03872</t>
        </is>
      </c>
      <c r="J251" s="9">
        <f>ROUND(F251-G251-H251,2)</f>
        <v>0</v>
      </c>
    </row>
    <row r="252">
      <c r="A252" t="inlineStr">
        <is>
          <t>po_1Q0010KX</t>
        </is>
      </c>
      <c r="B252" s="5" t="n">
        <v>46217</v>
      </c>
      <c r="C252" t="inlineStr">
        <is>
          <t>ch_3Q000248</t>
        </is>
      </c>
      <c r="D252" t="inlineStr">
        <is>
          <t>charge</t>
        </is>
      </c>
      <c r="E252" s="5" t="n">
        <v>46213</v>
      </c>
      <c r="F252" s="9" t="n">
        <v>65</v>
      </c>
      <c r="G252" s="9" t="n">
        <v>1.44</v>
      </c>
      <c r="H252" s="9" t="n">
        <v>63.56</v>
      </c>
      <c r="I252" t="inlineStr">
        <is>
          <t>INV/2026/03873</t>
        </is>
      </c>
      <c r="J252" s="9">
        <f>ROUND(F252-G252-H252,2)</f>
        <v>0</v>
      </c>
    </row>
    <row r="253">
      <c r="A253" t="inlineStr">
        <is>
          <t>po_1Q0010KX</t>
        </is>
      </c>
      <c r="B253" s="5" t="n">
        <v>46217</v>
      </c>
      <c r="C253" t="inlineStr">
        <is>
          <t>ch_3Q000249</t>
        </is>
      </c>
      <c r="D253" t="inlineStr">
        <is>
          <t>charge</t>
        </is>
      </c>
      <c r="E253" s="5" t="n">
        <v>46213</v>
      </c>
      <c r="F253" s="9" t="n">
        <v>180</v>
      </c>
      <c r="G253" s="9" t="n">
        <v>3.45</v>
      </c>
      <c r="H253" s="9" t="n">
        <v>176.55</v>
      </c>
      <c r="I253" t="inlineStr">
        <is>
          <t>INV/2026/03874</t>
        </is>
      </c>
      <c r="J253" s="9">
        <f>ROUND(F253-G253-H253,2)</f>
        <v>0</v>
      </c>
    </row>
    <row r="254">
      <c r="A254" t="inlineStr">
        <is>
          <t>po_1Q0010KX</t>
        </is>
      </c>
      <c r="B254" s="5" t="n">
        <v>46217</v>
      </c>
      <c r="C254" t="inlineStr">
        <is>
          <t>ch_3Q000250</t>
        </is>
      </c>
      <c r="D254" t="inlineStr">
        <is>
          <t>charge</t>
        </is>
      </c>
      <c r="E254" s="5" t="n">
        <v>46213</v>
      </c>
      <c r="F254" s="9" t="n">
        <v>135</v>
      </c>
      <c r="G254" s="9" t="n">
        <v>2.66</v>
      </c>
      <c r="H254" s="9" t="n">
        <v>132.34</v>
      </c>
      <c r="I254" t="inlineStr">
        <is>
          <t>INV/2026/03875</t>
        </is>
      </c>
      <c r="J254" s="9">
        <f>ROUND(F254-G254-H254,2)</f>
        <v>0</v>
      </c>
    </row>
    <row r="255">
      <c r="A255" t="inlineStr">
        <is>
          <t>po_1Q0010KX</t>
        </is>
      </c>
      <c r="B255" s="5" t="n">
        <v>46217</v>
      </c>
      <c r="C255" t="inlineStr">
        <is>
          <t>ch_3Q000251</t>
        </is>
      </c>
      <c r="D255" t="inlineStr">
        <is>
          <t>charge</t>
        </is>
      </c>
      <c r="E255" s="5" t="n">
        <v>46213</v>
      </c>
      <c r="F255" s="9" t="n">
        <v>120</v>
      </c>
      <c r="G255" s="9" t="n">
        <v>2.4</v>
      </c>
      <c r="H255" s="9" t="n">
        <v>117.6</v>
      </c>
      <c r="I255" t="inlineStr">
        <is>
          <t>INV/2026/03876</t>
        </is>
      </c>
      <c r="J255" s="9">
        <f>ROUND(F255-G255-H255,2)</f>
        <v>0</v>
      </c>
    </row>
    <row r="256">
      <c r="A256" t="inlineStr">
        <is>
          <t>po_1Q0010KX</t>
        </is>
      </c>
      <c r="B256" s="5" t="n">
        <v>46217</v>
      </c>
      <c r="C256" t="inlineStr">
        <is>
          <t>ch_3Q000252</t>
        </is>
      </c>
      <c r="D256" t="inlineStr">
        <is>
          <t>charge</t>
        </is>
      </c>
      <c r="E256" s="5" t="n">
        <v>46213</v>
      </c>
      <c r="F256" s="9" t="n">
        <v>120</v>
      </c>
      <c r="G256" s="9" t="n">
        <v>2.4</v>
      </c>
      <c r="H256" s="9" t="n">
        <v>117.6</v>
      </c>
      <c r="I256" t="inlineStr">
        <is>
          <t>INV/2026/03877</t>
        </is>
      </c>
      <c r="J256" s="9">
        <f>ROUND(F256-G256-H256,2)</f>
        <v>0</v>
      </c>
    </row>
    <row r="257">
      <c r="A257" t="inlineStr">
        <is>
          <t>po_1Q0010KX</t>
        </is>
      </c>
      <c r="B257" s="5" t="n">
        <v>46217</v>
      </c>
      <c r="C257" t="inlineStr">
        <is>
          <t>ch_3Q000253</t>
        </is>
      </c>
      <c r="D257" t="inlineStr">
        <is>
          <t>charge</t>
        </is>
      </c>
      <c r="E257" s="5" t="n">
        <v>46213</v>
      </c>
      <c r="F257" s="9" t="n">
        <v>120</v>
      </c>
      <c r="G257" s="9" t="n">
        <v>2.4</v>
      </c>
      <c r="H257" s="9" t="n">
        <v>117.6</v>
      </c>
      <c r="I257" t="inlineStr">
        <is>
          <t>INV/2026/03878</t>
        </is>
      </c>
      <c r="J257" s="9">
        <f>ROUND(F257-G257-H257,2)</f>
        <v>0</v>
      </c>
    </row>
    <row r="258">
      <c r="A258" t="inlineStr">
        <is>
          <t>po_1Q0010KX</t>
        </is>
      </c>
      <c r="B258" s="5" t="n">
        <v>46217</v>
      </c>
      <c r="C258" t="inlineStr">
        <is>
          <t>ch_3Q000254</t>
        </is>
      </c>
      <c r="D258" t="inlineStr">
        <is>
          <t>charge</t>
        </is>
      </c>
      <c r="E258" s="5" t="n">
        <v>46213</v>
      </c>
      <c r="F258" s="9" t="n">
        <v>135</v>
      </c>
      <c r="G258" s="9" t="n">
        <v>2.66</v>
      </c>
      <c r="H258" s="9" t="n">
        <v>132.34</v>
      </c>
      <c r="I258" t="inlineStr">
        <is>
          <t>INV/2026/03879</t>
        </is>
      </c>
      <c r="J258" s="9">
        <f>ROUND(F258-G258-H258,2)</f>
        <v>0</v>
      </c>
    </row>
    <row r="259">
      <c r="A259" t="inlineStr">
        <is>
          <t>po_1Q0010KX</t>
        </is>
      </c>
      <c r="B259" s="5" t="n">
        <v>46217</v>
      </c>
      <c r="C259" t="inlineStr">
        <is>
          <t>ch_3Q000255</t>
        </is>
      </c>
      <c r="D259" t="inlineStr">
        <is>
          <t>charge</t>
        </is>
      </c>
      <c r="E259" s="5" t="n">
        <v>46213</v>
      </c>
      <c r="F259" s="9" t="n">
        <v>220</v>
      </c>
      <c r="G259" s="9" t="n">
        <v>4.15</v>
      </c>
      <c r="H259" s="9" t="n">
        <v>215.85</v>
      </c>
      <c r="I259" t="inlineStr">
        <is>
          <t>INV/2026/03880</t>
        </is>
      </c>
      <c r="J259" s="9">
        <f>ROUND(F259-G259-H259,2)</f>
        <v>0</v>
      </c>
    </row>
    <row r="260">
      <c r="A260" t="inlineStr">
        <is>
          <t>po_1Q0010KX</t>
        </is>
      </c>
      <c r="B260" s="5" t="n">
        <v>46217</v>
      </c>
      <c r="C260" t="inlineStr">
        <is>
          <t>ch_3Q000256</t>
        </is>
      </c>
      <c r="D260" t="inlineStr">
        <is>
          <t>charge</t>
        </is>
      </c>
      <c r="E260" s="5" t="n">
        <v>46213</v>
      </c>
      <c r="F260" s="9" t="n">
        <v>120</v>
      </c>
      <c r="G260" s="9" t="n">
        <v>2.4</v>
      </c>
      <c r="H260" s="9" t="n">
        <v>117.6</v>
      </c>
      <c r="I260" t="inlineStr">
        <is>
          <t>INV/2026/03881</t>
        </is>
      </c>
      <c r="J260" s="9">
        <f>ROUND(F260-G260-H260,2)</f>
        <v>0</v>
      </c>
    </row>
    <row r="261">
      <c r="A261" t="inlineStr">
        <is>
          <t>po_1Q0010KX</t>
        </is>
      </c>
      <c r="B261" s="5" t="n">
        <v>46217</v>
      </c>
      <c r="C261" t="inlineStr">
        <is>
          <t>ch_3Q000257</t>
        </is>
      </c>
      <c r="D261" t="inlineStr">
        <is>
          <t>charge</t>
        </is>
      </c>
      <c r="E261" s="5" t="n">
        <v>46213</v>
      </c>
      <c r="F261" s="9" t="n">
        <v>65</v>
      </c>
      <c r="G261" s="9" t="n">
        <v>1.44</v>
      </c>
      <c r="H261" s="9" t="n">
        <v>63.56</v>
      </c>
      <c r="I261" t="inlineStr">
        <is>
          <t>INV/2026/03882</t>
        </is>
      </c>
      <c r="J261" s="9">
        <f>ROUND(F261-G261-H261,2)</f>
        <v>0</v>
      </c>
    </row>
    <row r="262">
      <c r="A262" t="inlineStr">
        <is>
          <t>po_1Q0010KX</t>
        </is>
      </c>
      <c r="B262" s="5" t="n">
        <v>46217</v>
      </c>
      <c r="C262" t="inlineStr">
        <is>
          <t>ch_3Q000258</t>
        </is>
      </c>
      <c r="D262" t="inlineStr">
        <is>
          <t>charge</t>
        </is>
      </c>
      <c r="E262" s="5" t="n">
        <v>46213</v>
      </c>
      <c r="F262" s="9" t="n">
        <v>180</v>
      </c>
      <c r="G262" s="9" t="n">
        <v>3.45</v>
      </c>
      <c r="H262" s="9" t="n">
        <v>176.55</v>
      </c>
      <c r="I262" t="inlineStr">
        <is>
          <t>INV/2026/03883</t>
        </is>
      </c>
      <c r="J262" s="9">
        <f>ROUND(F262-G262-H262,2)</f>
        <v>0</v>
      </c>
    </row>
    <row r="263">
      <c r="A263" t="inlineStr">
        <is>
          <t>po_1Q0010KX</t>
        </is>
      </c>
      <c r="B263" s="5" t="n">
        <v>46217</v>
      </c>
      <c r="C263" t="inlineStr">
        <is>
          <t>ch_3Q000259</t>
        </is>
      </c>
      <c r="D263" t="inlineStr">
        <is>
          <t>charge</t>
        </is>
      </c>
      <c r="E263" s="5" t="n">
        <v>46213</v>
      </c>
      <c r="F263" s="9" t="n">
        <v>220</v>
      </c>
      <c r="G263" s="9" t="n">
        <v>4.15</v>
      </c>
      <c r="H263" s="9" t="n">
        <v>215.85</v>
      </c>
      <c r="I263" t="inlineStr">
        <is>
          <t>INV/2026/03884</t>
        </is>
      </c>
      <c r="J263" s="9">
        <f>ROUND(F263-G263-H263,2)</f>
        <v>0</v>
      </c>
    </row>
    <row r="264">
      <c r="A264" t="inlineStr">
        <is>
          <t>po_1Q0010KX</t>
        </is>
      </c>
      <c r="B264" s="5" t="n">
        <v>46217</v>
      </c>
      <c r="C264" t="inlineStr">
        <is>
          <t>ch_3Q000260</t>
        </is>
      </c>
      <c r="D264" t="inlineStr">
        <is>
          <t>charge</t>
        </is>
      </c>
      <c r="E264" s="5" t="n">
        <v>46213</v>
      </c>
      <c r="F264" s="9" t="n">
        <v>220</v>
      </c>
      <c r="G264" s="9" t="n">
        <v>4.15</v>
      </c>
      <c r="H264" s="9" t="n">
        <v>215.85</v>
      </c>
      <c r="I264" t="inlineStr">
        <is>
          <t>INV/2026/03885</t>
        </is>
      </c>
      <c r="J264" s="9">
        <f>ROUND(F264-G264-H264,2)</f>
        <v>0</v>
      </c>
    </row>
    <row r="265">
      <c r="A265" t="inlineStr">
        <is>
          <t>po_1Q0010KX</t>
        </is>
      </c>
      <c r="B265" s="5" t="n">
        <v>46217</v>
      </c>
      <c r="C265" t="inlineStr">
        <is>
          <t>ch_3Q000261</t>
        </is>
      </c>
      <c r="D265" t="inlineStr">
        <is>
          <t>charge</t>
        </is>
      </c>
      <c r="E265" s="5" t="n">
        <v>46213</v>
      </c>
      <c r="F265" s="9" t="n">
        <v>85</v>
      </c>
      <c r="G265" s="9" t="n">
        <v>1.79</v>
      </c>
      <c r="H265" s="9" t="n">
        <v>83.20999999999999</v>
      </c>
      <c r="I265" t="inlineStr">
        <is>
          <t>INV/2026/03886</t>
        </is>
      </c>
      <c r="J265" s="9">
        <f>ROUND(F265-G265-H265,2)</f>
        <v>0</v>
      </c>
    </row>
    <row r="266">
      <c r="A266" t="inlineStr">
        <is>
          <t>po_1Q0010KX</t>
        </is>
      </c>
      <c r="B266" s="5" t="n">
        <v>46217</v>
      </c>
      <c r="C266" t="inlineStr">
        <is>
          <t>ch_3Q000262</t>
        </is>
      </c>
      <c r="D266" t="inlineStr">
        <is>
          <t>charge</t>
        </is>
      </c>
      <c r="E266" s="5" t="n">
        <v>46213</v>
      </c>
      <c r="F266" s="9" t="n">
        <v>65</v>
      </c>
      <c r="G266" s="9" t="n">
        <v>1.44</v>
      </c>
      <c r="H266" s="9" t="n">
        <v>63.56</v>
      </c>
      <c r="I266" t="inlineStr">
        <is>
          <t>INV/2026/03887</t>
        </is>
      </c>
      <c r="J266" s="9">
        <f>ROUND(F266-G266-H266,2)</f>
        <v>0</v>
      </c>
    </row>
    <row r="267">
      <c r="A267" t="inlineStr">
        <is>
          <t>po_1Q0010KX</t>
        </is>
      </c>
      <c r="B267" s="5" t="n">
        <v>46217</v>
      </c>
      <c r="C267" t="inlineStr">
        <is>
          <t>ch_3Q000263</t>
        </is>
      </c>
      <c r="D267" t="inlineStr">
        <is>
          <t>charge</t>
        </is>
      </c>
      <c r="E267" s="5" t="n">
        <v>46213</v>
      </c>
      <c r="F267" s="9" t="n">
        <v>135</v>
      </c>
      <c r="G267" s="9" t="n">
        <v>2.66</v>
      </c>
      <c r="H267" s="9" t="n">
        <v>132.34</v>
      </c>
      <c r="I267" t="inlineStr">
        <is>
          <t>INV/2026/03888</t>
        </is>
      </c>
      <c r="J267" s="9">
        <f>ROUND(F267-G267-H267,2)</f>
        <v>0</v>
      </c>
    </row>
    <row r="268">
      <c r="A268" t="inlineStr">
        <is>
          <t>po_1Q0010KX</t>
        </is>
      </c>
      <c r="B268" s="5" t="n">
        <v>46217</v>
      </c>
      <c r="C268" t="inlineStr">
        <is>
          <t>ch_3Q000264</t>
        </is>
      </c>
      <c r="D268" t="inlineStr">
        <is>
          <t>charge</t>
        </is>
      </c>
      <c r="E268" s="5" t="n">
        <v>46213</v>
      </c>
      <c r="F268" s="9" t="n">
        <v>150</v>
      </c>
      <c r="G268" s="9" t="n">
        <v>2.93</v>
      </c>
      <c r="H268" s="9" t="n">
        <v>147.07</v>
      </c>
      <c r="I268" t="inlineStr">
        <is>
          <t>INV/2026/03889</t>
        </is>
      </c>
      <c r="J268" s="9">
        <f>ROUND(F268-G268-H268,2)</f>
        <v>0</v>
      </c>
    </row>
    <row r="269">
      <c r="A269" t="inlineStr">
        <is>
          <t>po_1Q0010KX</t>
        </is>
      </c>
      <c r="B269" s="5" t="n">
        <v>46217</v>
      </c>
      <c r="C269" t="inlineStr">
        <is>
          <t>ch_3Q000265</t>
        </is>
      </c>
      <c r="D269" t="inlineStr">
        <is>
          <t>charge</t>
        </is>
      </c>
      <c r="E269" s="5" t="n">
        <v>46213</v>
      </c>
      <c r="F269" s="9" t="n">
        <v>65</v>
      </c>
      <c r="G269" s="9" t="n">
        <v>1.44</v>
      </c>
      <c r="H269" s="9" t="n">
        <v>63.56</v>
      </c>
      <c r="I269" t="inlineStr">
        <is>
          <t>INV/2026/03890</t>
        </is>
      </c>
      <c r="J269" s="9">
        <f>ROUND(F269-G269-H269,2)</f>
        <v>0</v>
      </c>
    </row>
    <row r="270">
      <c r="A270" t="inlineStr">
        <is>
          <t>po_1Q0010KX</t>
        </is>
      </c>
      <c r="B270" s="5" t="n">
        <v>46217</v>
      </c>
      <c r="C270" t="inlineStr">
        <is>
          <t>ch_3Q000266</t>
        </is>
      </c>
      <c r="D270" t="inlineStr">
        <is>
          <t>charge</t>
        </is>
      </c>
      <c r="E270" s="5" t="n">
        <v>46213</v>
      </c>
      <c r="F270" s="9" t="n">
        <v>135</v>
      </c>
      <c r="G270" s="9" t="n">
        <v>2.66</v>
      </c>
      <c r="H270" s="9" t="n">
        <v>132.34</v>
      </c>
      <c r="I270" t="inlineStr">
        <is>
          <t>INV/2026/03891</t>
        </is>
      </c>
      <c r="J270" s="9">
        <f>ROUND(F270-G270-H270,2)</f>
        <v>0</v>
      </c>
    </row>
    <row r="271">
      <c r="A271" t="inlineStr">
        <is>
          <t>po_1Q0010KX</t>
        </is>
      </c>
      <c r="B271" s="5" t="n">
        <v>46217</v>
      </c>
      <c r="C271" t="inlineStr">
        <is>
          <t>ch_3Q000267</t>
        </is>
      </c>
      <c r="D271" t="inlineStr">
        <is>
          <t>charge</t>
        </is>
      </c>
      <c r="E271" s="5" t="n">
        <v>46213</v>
      </c>
      <c r="F271" s="9" t="n">
        <v>120</v>
      </c>
      <c r="G271" s="9" t="n">
        <v>2.4</v>
      </c>
      <c r="H271" s="9" t="n">
        <v>117.6</v>
      </c>
      <c r="I271" t="inlineStr">
        <is>
          <t>INV/2026/03892</t>
        </is>
      </c>
      <c r="J271" s="9">
        <f>ROUND(F271-G271-H271,2)</f>
        <v>0</v>
      </c>
    </row>
    <row r="272">
      <c r="A272" t="inlineStr">
        <is>
          <t>po_1Q0010KX</t>
        </is>
      </c>
      <c r="B272" s="5" t="n">
        <v>46217</v>
      </c>
      <c r="C272" t="inlineStr">
        <is>
          <t>ch_3Q000268</t>
        </is>
      </c>
      <c r="D272" t="inlineStr">
        <is>
          <t>charge</t>
        </is>
      </c>
      <c r="E272" s="5" t="n">
        <v>46213</v>
      </c>
      <c r="F272" s="9" t="n">
        <v>180</v>
      </c>
      <c r="G272" s="9" t="n">
        <v>3.45</v>
      </c>
      <c r="H272" s="9" t="n">
        <v>176.55</v>
      </c>
      <c r="I272" t="inlineStr">
        <is>
          <t>INV/2026/03893</t>
        </is>
      </c>
      <c r="J272" s="9">
        <f>ROUND(F272-G272-H272,2)</f>
        <v>0</v>
      </c>
    </row>
    <row r="273">
      <c r="A273" t="inlineStr">
        <is>
          <t>po_1Q0010KX</t>
        </is>
      </c>
      <c r="B273" s="5" t="n">
        <v>46217</v>
      </c>
      <c r="C273" t="inlineStr">
        <is>
          <t>ch_3Q000269</t>
        </is>
      </c>
      <c r="D273" t="inlineStr">
        <is>
          <t>charge</t>
        </is>
      </c>
      <c r="E273" s="5" t="n">
        <v>46213</v>
      </c>
      <c r="F273" s="9" t="n">
        <v>110</v>
      </c>
      <c r="G273" s="9" t="n">
        <v>2.23</v>
      </c>
      <c r="H273" s="9" t="n">
        <v>107.77</v>
      </c>
      <c r="I273" t="inlineStr">
        <is>
          <t>INV/2026/03894</t>
        </is>
      </c>
      <c r="J273" s="9">
        <f>ROUND(F273-G273-H273,2)</f>
        <v>0</v>
      </c>
    </row>
    <row r="274">
      <c r="A274" t="inlineStr">
        <is>
          <t>po_1Q0010KX</t>
        </is>
      </c>
      <c r="B274" s="5" t="n">
        <v>46217</v>
      </c>
      <c r="C274" t="inlineStr">
        <is>
          <t>ch_3Q000270</t>
        </is>
      </c>
      <c r="D274" t="inlineStr">
        <is>
          <t>charge</t>
        </is>
      </c>
      <c r="E274" s="5" t="n">
        <v>46213</v>
      </c>
      <c r="F274" s="9" t="n">
        <v>150</v>
      </c>
      <c r="G274" s="9" t="n">
        <v>2.93</v>
      </c>
      <c r="H274" s="9" t="n">
        <v>147.07</v>
      </c>
      <c r="I274" t="inlineStr">
        <is>
          <t>INV/2026/03895</t>
        </is>
      </c>
      <c r="J274" s="9">
        <f>ROUND(F274-G274-H274,2)</f>
        <v>0</v>
      </c>
    </row>
    <row r="275">
      <c r="A275" t="inlineStr">
        <is>
          <t>po_1Q0010KX</t>
        </is>
      </c>
      <c r="B275" s="5" t="n">
        <v>46217</v>
      </c>
      <c r="C275" t="inlineStr">
        <is>
          <t>ch_3Q000271</t>
        </is>
      </c>
      <c r="D275" t="inlineStr">
        <is>
          <t>charge</t>
        </is>
      </c>
      <c r="E275" s="5" t="n">
        <v>46213</v>
      </c>
      <c r="F275" s="9" t="n">
        <v>150</v>
      </c>
      <c r="G275" s="9" t="n">
        <v>2.93</v>
      </c>
      <c r="H275" s="9" t="n">
        <v>147.07</v>
      </c>
      <c r="I275" t="inlineStr">
        <is>
          <t>INV/2026/03896</t>
        </is>
      </c>
      <c r="J275" s="9">
        <f>ROUND(F275-G275-H275,2)</f>
        <v>0</v>
      </c>
    </row>
    <row r="276">
      <c r="A276" t="inlineStr">
        <is>
          <t>po_1Q0010KX</t>
        </is>
      </c>
      <c r="B276" s="5" t="n">
        <v>46217</v>
      </c>
      <c r="C276" t="inlineStr">
        <is>
          <t>ch_3Q000272</t>
        </is>
      </c>
      <c r="D276" t="inlineStr">
        <is>
          <t>charge</t>
        </is>
      </c>
      <c r="E276" s="5" t="n">
        <v>46213</v>
      </c>
      <c r="F276" s="9" t="n">
        <v>135</v>
      </c>
      <c r="G276" s="9" t="n">
        <v>2.66</v>
      </c>
      <c r="H276" s="9" t="n">
        <v>132.34</v>
      </c>
      <c r="I276" t="inlineStr">
        <is>
          <t>INV/2026/03897</t>
        </is>
      </c>
      <c r="J276" s="9">
        <f>ROUND(F276-G276-H276,2)</f>
        <v>0</v>
      </c>
    </row>
    <row r="277">
      <c r="A277" t="inlineStr">
        <is>
          <t>po_1Q0010KX</t>
        </is>
      </c>
      <c r="B277" s="5" t="n">
        <v>46217</v>
      </c>
      <c r="C277" t="inlineStr">
        <is>
          <t>ch_3Q000273</t>
        </is>
      </c>
      <c r="D277" t="inlineStr">
        <is>
          <t>charge</t>
        </is>
      </c>
      <c r="E277" s="5" t="n">
        <v>46213</v>
      </c>
      <c r="F277" s="9" t="n">
        <v>135</v>
      </c>
      <c r="G277" s="9" t="n">
        <v>2.66</v>
      </c>
      <c r="H277" s="9" t="n">
        <v>132.34</v>
      </c>
      <c r="I277" t="inlineStr">
        <is>
          <t>INV/2026/03898</t>
        </is>
      </c>
      <c r="J277" s="9">
        <f>ROUND(F277-G277-H277,2)</f>
        <v>0</v>
      </c>
    </row>
    <row r="278">
      <c r="A278" t="inlineStr">
        <is>
          <t>po_1Q0010KX</t>
        </is>
      </c>
      <c r="B278" s="5" t="n">
        <v>46217</v>
      </c>
      <c r="C278" t="inlineStr">
        <is>
          <t>ch_3Q000274</t>
        </is>
      </c>
      <c r="D278" t="inlineStr">
        <is>
          <t>charge</t>
        </is>
      </c>
      <c r="E278" s="5" t="n">
        <v>46213</v>
      </c>
      <c r="F278" s="9" t="n">
        <v>85</v>
      </c>
      <c r="G278" s="9" t="n">
        <v>1.79</v>
      </c>
      <c r="H278" s="9" t="n">
        <v>83.20999999999999</v>
      </c>
      <c r="I278" t="inlineStr">
        <is>
          <t>INV/2026/03899</t>
        </is>
      </c>
      <c r="J278" s="9">
        <f>ROUND(F278-G278-H278,2)</f>
        <v>0</v>
      </c>
    </row>
    <row r="279">
      <c r="A279" t="inlineStr">
        <is>
          <t>po_1Q0010KX</t>
        </is>
      </c>
      <c r="B279" s="5" t="n">
        <v>46217</v>
      </c>
      <c r="C279" t="inlineStr">
        <is>
          <t>ch_3Q000275</t>
        </is>
      </c>
      <c r="D279" t="inlineStr">
        <is>
          <t>charge</t>
        </is>
      </c>
      <c r="E279" s="5" t="n">
        <v>46213</v>
      </c>
      <c r="F279" s="9" t="n">
        <v>150</v>
      </c>
      <c r="G279" s="9" t="n">
        <v>2.93</v>
      </c>
      <c r="H279" s="9" t="n">
        <v>147.07</v>
      </c>
      <c r="I279" t="inlineStr">
        <is>
          <t>INV/2026/03900</t>
        </is>
      </c>
      <c r="J279" s="9">
        <f>ROUND(F279-G279-H279,2)</f>
        <v>0</v>
      </c>
    </row>
    <row r="280">
      <c r="A280" t="inlineStr">
        <is>
          <t>po_1Q0010KX</t>
        </is>
      </c>
      <c r="B280" s="5" t="n">
        <v>46217</v>
      </c>
      <c r="C280" t="inlineStr">
        <is>
          <t>ch_3Q000276</t>
        </is>
      </c>
      <c r="D280" t="inlineStr">
        <is>
          <t>charge</t>
        </is>
      </c>
      <c r="E280" s="5" t="n">
        <v>46214</v>
      </c>
      <c r="F280" s="9" t="n">
        <v>65</v>
      </c>
      <c r="G280" s="9" t="n">
        <v>1.44</v>
      </c>
      <c r="H280" s="9" t="n">
        <v>63.56</v>
      </c>
      <c r="I280" t="inlineStr">
        <is>
          <t>INV/2026/03901</t>
        </is>
      </c>
      <c r="J280" s="9">
        <f>ROUND(F280-G280-H280,2)</f>
        <v>0</v>
      </c>
    </row>
    <row r="281">
      <c r="A281" t="inlineStr">
        <is>
          <t>po_1Q0010KX</t>
        </is>
      </c>
      <c r="B281" s="5" t="n">
        <v>46217</v>
      </c>
      <c r="C281" t="inlineStr">
        <is>
          <t>ch_3Q000277</t>
        </is>
      </c>
      <c r="D281" t="inlineStr">
        <is>
          <t>charge</t>
        </is>
      </c>
      <c r="E281" s="5" t="n">
        <v>46214</v>
      </c>
      <c r="F281" s="9" t="n">
        <v>120</v>
      </c>
      <c r="G281" s="9" t="n">
        <v>2.4</v>
      </c>
      <c r="H281" s="9" t="n">
        <v>117.6</v>
      </c>
      <c r="I281" t="inlineStr">
        <is>
          <t>INV/2026/03902</t>
        </is>
      </c>
      <c r="J281" s="9">
        <f>ROUND(F281-G281-H281,2)</f>
        <v>0</v>
      </c>
    </row>
    <row r="282">
      <c r="A282" t="inlineStr">
        <is>
          <t>po_1Q0010KX</t>
        </is>
      </c>
      <c r="B282" s="5" t="n">
        <v>46217</v>
      </c>
      <c r="C282" t="inlineStr">
        <is>
          <t>ch_3Q000278</t>
        </is>
      </c>
      <c r="D282" t="inlineStr">
        <is>
          <t>charge</t>
        </is>
      </c>
      <c r="E282" s="5" t="n">
        <v>46214</v>
      </c>
      <c r="F282" s="9" t="n">
        <v>150</v>
      </c>
      <c r="G282" s="9" t="n">
        <v>2.93</v>
      </c>
      <c r="H282" s="9" t="n">
        <v>147.07</v>
      </c>
      <c r="I282" t="inlineStr">
        <is>
          <t>INV/2026/03903</t>
        </is>
      </c>
      <c r="J282" s="9">
        <f>ROUND(F282-G282-H282,2)</f>
        <v>0</v>
      </c>
    </row>
    <row r="283">
      <c r="A283" t="inlineStr">
        <is>
          <t>po_1Q0010KX</t>
        </is>
      </c>
      <c r="B283" s="5" t="n">
        <v>46217</v>
      </c>
      <c r="C283" t="inlineStr">
        <is>
          <t>ch_3Q000279</t>
        </is>
      </c>
      <c r="D283" t="inlineStr">
        <is>
          <t>charge</t>
        </is>
      </c>
      <c r="E283" s="5" t="n">
        <v>46214</v>
      </c>
      <c r="F283" s="9" t="n">
        <v>110</v>
      </c>
      <c r="G283" s="9" t="n">
        <v>2.23</v>
      </c>
      <c r="H283" s="9" t="n">
        <v>107.77</v>
      </c>
      <c r="I283" t="inlineStr">
        <is>
          <t>INV/2026/03904</t>
        </is>
      </c>
      <c r="J283" s="9">
        <f>ROUND(F283-G283-H283,2)</f>
        <v>0</v>
      </c>
    </row>
    <row r="284">
      <c r="A284" t="inlineStr">
        <is>
          <t>po_1Q0010KX</t>
        </is>
      </c>
      <c r="B284" s="5" t="n">
        <v>46217</v>
      </c>
      <c r="C284" t="inlineStr">
        <is>
          <t>ch_3Q000280</t>
        </is>
      </c>
      <c r="D284" t="inlineStr">
        <is>
          <t>charge</t>
        </is>
      </c>
      <c r="E284" s="5" t="n">
        <v>46214</v>
      </c>
      <c r="F284" s="9" t="n">
        <v>180</v>
      </c>
      <c r="G284" s="9" t="n">
        <v>3.45</v>
      </c>
      <c r="H284" s="9" t="n">
        <v>176.55</v>
      </c>
      <c r="I284" t="inlineStr">
        <is>
          <t>INV/2026/03905</t>
        </is>
      </c>
      <c r="J284" s="9">
        <f>ROUND(F284-G284-H284,2)</f>
        <v>0</v>
      </c>
    </row>
    <row r="285">
      <c r="A285" t="inlineStr">
        <is>
          <t>po_1Q0010KX</t>
        </is>
      </c>
      <c r="B285" s="5" t="n">
        <v>46217</v>
      </c>
      <c r="C285" t="inlineStr">
        <is>
          <t>ch_3Q000281</t>
        </is>
      </c>
      <c r="D285" t="inlineStr">
        <is>
          <t>charge</t>
        </is>
      </c>
      <c r="E285" s="5" t="n">
        <v>46214</v>
      </c>
      <c r="F285" s="9" t="n">
        <v>85</v>
      </c>
      <c r="G285" s="9" t="n">
        <v>1.79</v>
      </c>
      <c r="H285" s="9" t="n">
        <v>83.20999999999999</v>
      </c>
      <c r="I285" t="inlineStr">
        <is>
          <t>INV/2026/03906</t>
        </is>
      </c>
      <c r="J285" s="9">
        <f>ROUND(F285-G285-H285,2)</f>
        <v>0</v>
      </c>
    </row>
    <row r="286">
      <c r="A286" t="inlineStr">
        <is>
          <t>po_1Q0010KX</t>
        </is>
      </c>
      <c r="B286" s="5" t="n">
        <v>46217</v>
      </c>
      <c r="C286" t="inlineStr">
        <is>
          <t>ch_3Q000282</t>
        </is>
      </c>
      <c r="D286" t="inlineStr">
        <is>
          <t>charge</t>
        </is>
      </c>
      <c r="E286" s="5" t="n">
        <v>46214</v>
      </c>
      <c r="F286" s="9" t="n">
        <v>85</v>
      </c>
      <c r="G286" s="9" t="n">
        <v>1.79</v>
      </c>
      <c r="H286" s="9" t="n">
        <v>83.20999999999999</v>
      </c>
      <c r="I286" t="inlineStr">
        <is>
          <t>INV/2026/03907</t>
        </is>
      </c>
      <c r="J286" s="9">
        <f>ROUND(F286-G286-H286,2)</f>
        <v>0</v>
      </c>
    </row>
    <row r="287">
      <c r="A287" t="inlineStr">
        <is>
          <t>po_1Q0010KX</t>
        </is>
      </c>
      <c r="B287" s="5" t="n">
        <v>46217</v>
      </c>
      <c r="C287" t="inlineStr">
        <is>
          <t>ch_3Q000283</t>
        </is>
      </c>
      <c r="D287" t="inlineStr">
        <is>
          <t>charge</t>
        </is>
      </c>
      <c r="E287" s="5" t="n">
        <v>46214</v>
      </c>
      <c r="F287" s="9" t="n">
        <v>150</v>
      </c>
      <c r="G287" s="9" t="n">
        <v>2.93</v>
      </c>
      <c r="H287" s="9" t="n">
        <v>147.07</v>
      </c>
      <c r="I287" t="inlineStr">
        <is>
          <t>INV/2026/03908</t>
        </is>
      </c>
      <c r="J287" s="9">
        <f>ROUND(F287-G287-H287,2)</f>
        <v>0</v>
      </c>
    </row>
    <row r="288">
      <c r="A288" t="inlineStr">
        <is>
          <t>po_1Q0010KX</t>
        </is>
      </c>
      <c r="B288" s="5" t="n">
        <v>46217</v>
      </c>
      <c r="C288" t="inlineStr">
        <is>
          <t>ch_3Q000284</t>
        </is>
      </c>
      <c r="D288" t="inlineStr">
        <is>
          <t>charge</t>
        </is>
      </c>
      <c r="E288" s="5" t="n">
        <v>46214</v>
      </c>
      <c r="F288" s="9" t="n">
        <v>85</v>
      </c>
      <c r="G288" s="9" t="n">
        <v>1.79</v>
      </c>
      <c r="H288" s="9" t="n">
        <v>83.20999999999999</v>
      </c>
      <c r="I288" t="inlineStr">
        <is>
          <t>INV/2026/03909</t>
        </is>
      </c>
      <c r="J288" s="9">
        <f>ROUND(F288-G288-H288,2)</f>
        <v>0</v>
      </c>
    </row>
    <row r="289">
      <c r="A289" t="inlineStr">
        <is>
          <t>po_1Q0010KX</t>
        </is>
      </c>
      <c r="B289" s="5" t="n">
        <v>46217</v>
      </c>
      <c r="C289" t="inlineStr">
        <is>
          <t>ch_3Q000285</t>
        </is>
      </c>
      <c r="D289" t="inlineStr">
        <is>
          <t>charge</t>
        </is>
      </c>
      <c r="E289" s="5" t="n">
        <v>46214</v>
      </c>
      <c r="F289" s="9" t="n">
        <v>95</v>
      </c>
      <c r="G289" s="9" t="n">
        <v>1.96</v>
      </c>
      <c r="H289" s="9" t="n">
        <v>93.04000000000001</v>
      </c>
      <c r="I289" t="inlineStr">
        <is>
          <t>INV/2026/03910</t>
        </is>
      </c>
      <c r="J289" s="9">
        <f>ROUND(F289-G289-H289,2)</f>
        <v>0</v>
      </c>
    </row>
    <row r="290">
      <c r="A290" t="inlineStr">
        <is>
          <t>po_1Q0011KX</t>
        </is>
      </c>
      <c r="B290" s="5" t="n">
        <v>46218</v>
      </c>
      <c r="C290" t="inlineStr">
        <is>
          <t>ch_3Q000286</t>
        </is>
      </c>
      <c r="D290" t="inlineStr">
        <is>
          <t>charge</t>
        </is>
      </c>
      <c r="E290" s="5" t="n">
        <v>46216</v>
      </c>
      <c r="F290" s="9" t="n">
        <v>150</v>
      </c>
      <c r="G290" s="9" t="n">
        <v>2.93</v>
      </c>
      <c r="H290" s="9" t="n">
        <v>147.07</v>
      </c>
      <c r="I290" t="inlineStr">
        <is>
          <t>INV/2026/03911</t>
        </is>
      </c>
      <c r="J290" s="9">
        <f>ROUND(F290-G290-H290,2)</f>
        <v>0</v>
      </c>
    </row>
    <row r="291">
      <c r="A291" t="inlineStr">
        <is>
          <t>po_1Q0011KX</t>
        </is>
      </c>
      <c r="B291" s="5" t="n">
        <v>46218</v>
      </c>
      <c r="C291" t="inlineStr">
        <is>
          <t>ch_3Q000287</t>
        </is>
      </c>
      <c r="D291" t="inlineStr">
        <is>
          <t>charge</t>
        </is>
      </c>
      <c r="E291" s="5" t="n">
        <v>46216</v>
      </c>
      <c r="F291" s="9" t="n">
        <v>120</v>
      </c>
      <c r="G291" s="9" t="n">
        <v>2.4</v>
      </c>
      <c r="H291" s="9" t="n">
        <v>117.6</v>
      </c>
      <c r="I291" t="inlineStr">
        <is>
          <t>INV/2026/03912</t>
        </is>
      </c>
      <c r="J291" s="9">
        <f>ROUND(F291-G291-H291,2)</f>
        <v>0</v>
      </c>
    </row>
    <row r="292">
      <c r="A292" t="inlineStr">
        <is>
          <t>po_1Q0011KX</t>
        </is>
      </c>
      <c r="B292" s="5" t="n">
        <v>46218</v>
      </c>
      <c r="C292" t="inlineStr">
        <is>
          <t>ch_3Q000288</t>
        </is>
      </c>
      <c r="D292" t="inlineStr">
        <is>
          <t>charge</t>
        </is>
      </c>
      <c r="E292" s="5" t="n">
        <v>46216</v>
      </c>
      <c r="F292" s="9" t="n">
        <v>85</v>
      </c>
      <c r="G292" s="9" t="n">
        <v>1.79</v>
      </c>
      <c r="H292" s="9" t="n">
        <v>83.20999999999999</v>
      </c>
      <c r="I292" t="inlineStr">
        <is>
          <t>INV/2026/03913</t>
        </is>
      </c>
      <c r="J292" s="9">
        <f>ROUND(F292-G292-H292,2)</f>
        <v>0</v>
      </c>
    </row>
    <row r="293">
      <c r="A293" t="inlineStr">
        <is>
          <t>po_1Q0011KX</t>
        </is>
      </c>
      <c r="B293" s="5" t="n">
        <v>46218</v>
      </c>
      <c r="C293" t="inlineStr">
        <is>
          <t>ch_3Q000289</t>
        </is>
      </c>
      <c r="D293" t="inlineStr">
        <is>
          <t>charge</t>
        </is>
      </c>
      <c r="E293" s="5" t="n">
        <v>46216</v>
      </c>
      <c r="F293" s="9" t="n">
        <v>180</v>
      </c>
      <c r="G293" s="9" t="n">
        <v>3.45</v>
      </c>
      <c r="H293" s="9" t="n">
        <v>176.55</v>
      </c>
      <c r="I293" t="inlineStr">
        <is>
          <t>INV/2026/03914</t>
        </is>
      </c>
      <c r="J293" s="9">
        <f>ROUND(F293-G293-H293,2)</f>
        <v>0</v>
      </c>
    </row>
    <row r="294">
      <c r="A294" t="inlineStr">
        <is>
          <t>po_1Q0011KX</t>
        </is>
      </c>
      <c r="B294" s="5" t="n">
        <v>46218</v>
      </c>
      <c r="C294" t="inlineStr">
        <is>
          <t>ch_3Q000290</t>
        </is>
      </c>
      <c r="D294" t="inlineStr">
        <is>
          <t>charge</t>
        </is>
      </c>
      <c r="E294" s="5" t="n">
        <v>46216</v>
      </c>
      <c r="F294" s="9" t="n">
        <v>85</v>
      </c>
      <c r="G294" s="9" t="n">
        <v>1.79</v>
      </c>
      <c r="H294" s="9" t="n">
        <v>83.20999999999999</v>
      </c>
      <c r="I294" t="inlineStr">
        <is>
          <t>INV/2026/03915</t>
        </is>
      </c>
      <c r="J294" s="9">
        <f>ROUND(F294-G294-H294,2)</f>
        <v>0</v>
      </c>
    </row>
    <row r="295">
      <c r="A295" t="inlineStr">
        <is>
          <t>po_1Q0011KX</t>
        </is>
      </c>
      <c r="B295" s="5" t="n">
        <v>46218</v>
      </c>
      <c r="C295" t="inlineStr">
        <is>
          <t>ch_3Q000291</t>
        </is>
      </c>
      <c r="D295" t="inlineStr">
        <is>
          <t>charge</t>
        </is>
      </c>
      <c r="E295" s="5" t="n">
        <v>46216</v>
      </c>
      <c r="F295" s="9" t="n">
        <v>120</v>
      </c>
      <c r="G295" s="9" t="n">
        <v>2.4</v>
      </c>
      <c r="H295" s="9" t="n">
        <v>117.6</v>
      </c>
      <c r="I295" t="inlineStr">
        <is>
          <t>INV/2026/03916</t>
        </is>
      </c>
      <c r="J295" s="9">
        <f>ROUND(F295-G295-H295,2)</f>
        <v>0</v>
      </c>
    </row>
    <row r="296">
      <c r="A296" t="inlineStr">
        <is>
          <t>po_1Q0011KX</t>
        </is>
      </c>
      <c r="B296" s="5" t="n">
        <v>46218</v>
      </c>
      <c r="C296" t="inlineStr">
        <is>
          <t>ch_3Q000292</t>
        </is>
      </c>
      <c r="D296" t="inlineStr">
        <is>
          <t>charge</t>
        </is>
      </c>
      <c r="E296" s="5" t="n">
        <v>46216</v>
      </c>
      <c r="F296" s="9" t="n">
        <v>150</v>
      </c>
      <c r="G296" s="9" t="n">
        <v>2.93</v>
      </c>
      <c r="H296" s="9" t="n">
        <v>147.07</v>
      </c>
      <c r="I296" t="inlineStr">
        <is>
          <t>INV/2026/03917</t>
        </is>
      </c>
      <c r="J296" s="9">
        <f>ROUND(F296-G296-H296,2)</f>
        <v>0</v>
      </c>
    </row>
    <row r="297">
      <c r="A297" t="inlineStr">
        <is>
          <t>po_1Q0011KX</t>
        </is>
      </c>
      <c r="B297" s="5" t="n">
        <v>46218</v>
      </c>
      <c r="C297" t="inlineStr">
        <is>
          <t>ch_3Q000293</t>
        </is>
      </c>
      <c r="D297" t="inlineStr">
        <is>
          <t>charge</t>
        </is>
      </c>
      <c r="E297" s="5" t="n">
        <v>46216</v>
      </c>
      <c r="F297" s="9" t="n">
        <v>180</v>
      </c>
      <c r="G297" s="9" t="n">
        <v>3.45</v>
      </c>
      <c r="H297" s="9" t="n">
        <v>176.55</v>
      </c>
      <c r="I297" t="inlineStr">
        <is>
          <t>INV/2026/03918</t>
        </is>
      </c>
      <c r="J297" s="9">
        <f>ROUND(F297-G297-H297,2)</f>
        <v>0</v>
      </c>
    </row>
    <row r="298">
      <c r="A298" t="inlineStr">
        <is>
          <t>po_1Q0011KX</t>
        </is>
      </c>
      <c r="B298" s="5" t="n">
        <v>46218</v>
      </c>
      <c r="C298" t="inlineStr">
        <is>
          <t>ch_3Q000294</t>
        </is>
      </c>
      <c r="D298" t="inlineStr">
        <is>
          <t>charge</t>
        </is>
      </c>
      <c r="E298" s="5" t="n">
        <v>46216</v>
      </c>
      <c r="F298" s="9" t="n">
        <v>150</v>
      </c>
      <c r="G298" s="9" t="n">
        <v>2.93</v>
      </c>
      <c r="H298" s="9" t="n">
        <v>147.07</v>
      </c>
      <c r="I298" t="inlineStr">
        <is>
          <t>INV/2026/03919</t>
        </is>
      </c>
      <c r="J298" s="9">
        <f>ROUND(F298-G298-H298,2)</f>
        <v>0</v>
      </c>
    </row>
    <row r="299">
      <c r="A299" t="inlineStr">
        <is>
          <t>po_1Q0011KX</t>
        </is>
      </c>
      <c r="B299" s="5" t="n">
        <v>46218</v>
      </c>
      <c r="C299" t="inlineStr">
        <is>
          <t>ch_3Q000295</t>
        </is>
      </c>
      <c r="D299" t="inlineStr">
        <is>
          <t>charge</t>
        </is>
      </c>
      <c r="E299" s="5" t="n">
        <v>46216</v>
      </c>
      <c r="F299" s="9" t="n">
        <v>150</v>
      </c>
      <c r="G299" s="9" t="n">
        <v>2.93</v>
      </c>
      <c r="H299" s="9" t="n">
        <v>147.07</v>
      </c>
      <c r="I299" t="inlineStr">
        <is>
          <t>INV/2026/03920</t>
        </is>
      </c>
      <c r="J299" s="9">
        <f>ROUND(F299-G299-H299,2)</f>
        <v>0</v>
      </c>
    </row>
    <row r="300">
      <c r="A300" t="inlineStr">
        <is>
          <t>po_1Q0011KX</t>
        </is>
      </c>
      <c r="B300" s="5" t="n">
        <v>46218</v>
      </c>
      <c r="C300" t="inlineStr">
        <is>
          <t>ch_3Q000296</t>
        </is>
      </c>
      <c r="D300" t="inlineStr">
        <is>
          <t>charge</t>
        </is>
      </c>
      <c r="E300" s="5" t="n">
        <v>46216</v>
      </c>
      <c r="F300" s="9" t="n">
        <v>150</v>
      </c>
      <c r="G300" s="9" t="n">
        <v>2.93</v>
      </c>
      <c r="H300" s="9" t="n">
        <v>147.07</v>
      </c>
      <c r="I300" t="inlineStr">
        <is>
          <t>INV/2026/03921</t>
        </is>
      </c>
      <c r="J300" s="9">
        <f>ROUND(F300-G300-H300,2)</f>
        <v>0</v>
      </c>
    </row>
    <row r="301">
      <c r="A301" t="inlineStr">
        <is>
          <t>po_1Q0011KX</t>
        </is>
      </c>
      <c r="B301" s="5" t="n">
        <v>46218</v>
      </c>
      <c r="C301" t="inlineStr">
        <is>
          <t>ch_3Q000297</t>
        </is>
      </c>
      <c r="D301" t="inlineStr">
        <is>
          <t>charge</t>
        </is>
      </c>
      <c r="E301" s="5" t="n">
        <v>46216</v>
      </c>
      <c r="F301" s="9" t="n">
        <v>85</v>
      </c>
      <c r="G301" s="9" t="n">
        <v>1.79</v>
      </c>
      <c r="H301" s="9" t="n">
        <v>83.20999999999999</v>
      </c>
      <c r="I301" t="inlineStr">
        <is>
          <t>INV/2026/03922</t>
        </is>
      </c>
      <c r="J301" s="9">
        <f>ROUND(F301-G301-H301,2)</f>
        <v>0</v>
      </c>
    </row>
    <row r="302">
      <c r="A302" t="inlineStr">
        <is>
          <t>po_1Q0011KX</t>
        </is>
      </c>
      <c r="B302" s="5" t="n">
        <v>46218</v>
      </c>
      <c r="C302" t="inlineStr">
        <is>
          <t>ch_3Q000298</t>
        </is>
      </c>
      <c r="D302" t="inlineStr">
        <is>
          <t>charge</t>
        </is>
      </c>
      <c r="E302" s="5" t="n">
        <v>46216</v>
      </c>
      <c r="F302" s="9" t="n">
        <v>110</v>
      </c>
      <c r="G302" s="9" t="n">
        <v>2.23</v>
      </c>
      <c r="H302" s="9" t="n">
        <v>107.77</v>
      </c>
      <c r="I302" t="inlineStr">
        <is>
          <t>INV/2026/03923</t>
        </is>
      </c>
      <c r="J302" s="9">
        <f>ROUND(F302-G302-H302,2)</f>
        <v>0</v>
      </c>
    </row>
    <row r="303">
      <c r="A303" t="inlineStr">
        <is>
          <t>po_1Q0011KX</t>
        </is>
      </c>
      <c r="B303" s="5" t="n">
        <v>46218</v>
      </c>
      <c r="C303" t="inlineStr">
        <is>
          <t>ch_3Q000299</t>
        </is>
      </c>
      <c r="D303" t="inlineStr">
        <is>
          <t>charge</t>
        </is>
      </c>
      <c r="E303" s="5" t="n">
        <v>46216</v>
      </c>
      <c r="F303" s="9" t="n">
        <v>150</v>
      </c>
      <c r="G303" s="9" t="n">
        <v>2.93</v>
      </c>
      <c r="H303" s="9" t="n">
        <v>147.07</v>
      </c>
      <c r="I303" t="inlineStr">
        <is>
          <t>INV/2026/03924</t>
        </is>
      </c>
      <c r="J303" s="9">
        <f>ROUND(F303-G303-H303,2)</f>
        <v>0</v>
      </c>
    </row>
    <row r="304">
      <c r="A304" t="inlineStr">
        <is>
          <t>po_1Q0011KX</t>
        </is>
      </c>
      <c r="B304" s="5" t="n">
        <v>46218</v>
      </c>
      <c r="C304" t="inlineStr">
        <is>
          <t>ch_3Q000300</t>
        </is>
      </c>
      <c r="D304" t="inlineStr">
        <is>
          <t>charge</t>
        </is>
      </c>
      <c r="E304" s="5" t="n">
        <v>46216</v>
      </c>
      <c r="F304" s="9" t="n">
        <v>85</v>
      </c>
      <c r="G304" s="9" t="n">
        <v>1.79</v>
      </c>
      <c r="H304" s="9" t="n">
        <v>83.20999999999999</v>
      </c>
      <c r="I304" t="inlineStr">
        <is>
          <t>INV/2026/03925</t>
        </is>
      </c>
      <c r="J304" s="9">
        <f>ROUND(F304-G304-H304,2)</f>
        <v>0</v>
      </c>
    </row>
    <row r="305">
      <c r="A305" t="inlineStr">
        <is>
          <t>po_1Q0011KX</t>
        </is>
      </c>
      <c r="B305" s="5" t="n">
        <v>46218</v>
      </c>
      <c r="C305" t="inlineStr">
        <is>
          <t>ch_3Q000301</t>
        </is>
      </c>
      <c r="D305" t="inlineStr">
        <is>
          <t>charge</t>
        </is>
      </c>
      <c r="E305" s="5" t="n">
        <v>46216</v>
      </c>
      <c r="F305" s="9" t="n">
        <v>110</v>
      </c>
      <c r="G305" s="9" t="n">
        <v>2.23</v>
      </c>
      <c r="H305" s="9" t="n">
        <v>107.77</v>
      </c>
      <c r="I305" t="inlineStr">
        <is>
          <t>INV/2026/03926</t>
        </is>
      </c>
      <c r="J305" s="9">
        <f>ROUND(F305-G305-H305,2)</f>
        <v>0</v>
      </c>
    </row>
    <row r="306">
      <c r="A306" t="inlineStr">
        <is>
          <t>po_1Q0011KX</t>
        </is>
      </c>
      <c r="B306" s="5" t="n">
        <v>46218</v>
      </c>
      <c r="C306" t="inlineStr">
        <is>
          <t>ch_3Q000302</t>
        </is>
      </c>
      <c r="D306" t="inlineStr">
        <is>
          <t>charge</t>
        </is>
      </c>
      <c r="E306" s="5" t="n">
        <v>46216</v>
      </c>
      <c r="F306" s="9" t="n">
        <v>120</v>
      </c>
      <c r="G306" s="9" t="n">
        <v>2.4</v>
      </c>
      <c r="H306" s="9" t="n">
        <v>117.6</v>
      </c>
      <c r="I306" t="inlineStr">
        <is>
          <t>INV/2026/03927</t>
        </is>
      </c>
      <c r="J306" s="9">
        <f>ROUND(F306-G306-H306,2)</f>
        <v>0</v>
      </c>
    </row>
    <row r="307">
      <c r="A307" t="inlineStr">
        <is>
          <t>po_1Q0011KX</t>
        </is>
      </c>
      <c r="B307" s="5" t="n">
        <v>46218</v>
      </c>
      <c r="C307" t="inlineStr">
        <is>
          <t>ch_3Q000303</t>
        </is>
      </c>
      <c r="D307" t="inlineStr">
        <is>
          <t>charge</t>
        </is>
      </c>
      <c r="E307" s="5" t="n">
        <v>46216</v>
      </c>
      <c r="F307" s="9" t="n">
        <v>110</v>
      </c>
      <c r="G307" s="9" t="n">
        <v>2.23</v>
      </c>
      <c r="H307" s="9" t="n">
        <v>107.77</v>
      </c>
      <c r="I307" t="inlineStr">
        <is>
          <t>INV/2026/03928</t>
        </is>
      </c>
      <c r="J307" s="9">
        <f>ROUND(F307-G307-H307,2)</f>
        <v>0</v>
      </c>
    </row>
    <row r="308">
      <c r="A308" t="inlineStr">
        <is>
          <t>po_1Q0011KX</t>
        </is>
      </c>
      <c r="B308" s="5" t="n">
        <v>46218</v>
      </c>
      <c r="C308" t="inlineStr">
        <is>
          <t>ch_3Q000304</t>
        </is>
      </c>
      <c r="D308" t="inlineStr">
        <is>
          <t>charge</t>
        </is>
      </c>
      <c r="E308" s="5" t="n">
        <v>46216</v>
      </c>
      <c r="F308" s="9" t="n">
        <v>135</v>
      </c>
      <c r="G308" s="9" t="n">
        <v>2.66</v>
      </c>
      <c r="H308" s="9" t="n">
        <v>132.34</v>
      </c>
      <c r="I308" t="inlineStr">
        <is>
          <t>INV/2026/03929</t>
        </is>
      </c>
      <c r="J308" s="9">
        <f>ROUND(F308-G308-H308,2)</f>
        <v>0</v>
      </c>
    </row>
    <row r="309">
      <c r="A309" t="inlineStr">
        <is>
          <t>po_1Q0012KX</t>
        </is>
      </c>
      <c r="B309" s="5" t="n">
        <v>46219</v>
      </c>
      <c r="C309" t="inlineStr">
        <is>
          <t>ch_3Q000305</t>
        </is>
      </c>
      <c r="D309" t="inlineStr">
        <is>
          <t>charge</t>
        </is>
      </c>
      <c r="E309" s="5" t="n">
        <v>46217</v>
      </c>
      <c r="F309" s="9" t="n">
        <v>65</v>
      </c>
      <c r="G309" s="9" t="n">
        <v>1.44</v>
      </c>
      <c r="H309" s="9" t="n">
        <v>63.56</v>
      </c>
      <c r="I309" t="inlineStr">
        <is>
          <t>INV/2026/03930</t>
        </is>
      </c>
      <c r="J309" s="9">
        <f>ROUND(F309-G309-H309,2)</f>
        <v>0</v>
      </c>
    </row>
    <row r="310">
      <c r="A310" t="inlineStr">
        <is>
          <t>po_1Q0012KX</t>
        </is>
      </c>
      <c r="B310" s="5" t="n">
        <v>46219</v>
      </c>
      <c r="C310" t="inlineStr">
        <is>
          <t>ch_3Q000306</t>
        </is>
      </c>
      <c r="D310" t="inlineStr">
        <is>
          <t>charge</t>
        </is>
      </c>
      <c r="E310" s="5" t="n">
        <v>46217</v>
      </c>
      <c r="F310" s="9" t="n">
        <v>110</v>
      </c>
      <c r="G310" s="9" t="n">
        <v>2.23</v>
      </c>
      <c r="H310" s="9" t="n">
        <v>107.77</v>
      </c>
      <c r="I310" t="inlineStr">
        <is>
          <t>INV/2026/03931</t>
        </is>
      </c>
      <c r="J310" s="9">
        <f>ROUND(F310-G310-H310,2)</f>
        <v>0</v>
      </c>
    </row>
    <row r="311">
      <c r="A311" t="inlineStr">
        <is>
          <t>po_1Q0012KX</t>
        </is>
      </c>
      <c r="B311" s="5" t="n">
        <v>46219</v>
      </c>
      <c r="C311" t="inlineStr">
        <is>
          <t>ch_3Q000307</t>
        </is>
      </c>
      <c r="D311" t="inlineStr">
        <is>
          <t>charge</t>
        </is>
      </c>
      <c r="E311" s="5" t="n">
        <v>46217</v>
      </c>
      <c r="F311" s="9" t="n">
        <v>220</v>
      </c>
      <c r="G311" s="9" t="n">
        <v>4.15</v>
      </c>
      <c r="H311" s="9" t="n">
        <v>215.85</v>
      </c>
      <c r="I311" t="inlineStr">
        <is>
          <t>INV/2026/03932</t>
        </is>
      </c>
      <c r="J311" s="9">
        <f>ROUND(F311-G311-H311,2)</f>
        <v>0</v>
      </c>
    </row>
    <row r="312">
      <c r="A312" t="inlineStr">
        <is>
          <t>po_1Q0012KX</t>
        </is>
      </c>
      <c r="B312" s="5" t="n">
        <v>46219</v>
      </c>
      <c r="C312" t="inlineStr">
        <is>
          <t>ch_3Q000308</t>
        </is>
      </c>
      <c r="D312" t="inlineStr">
        <is>
          <t>charge</t>
        </is>
      </c>
      <c r="E312" s="5" t="n">
        <v>46217</v>
      </c>
      <c r="F312" s="9" t="n">
        <v>65</v>
      </c>
      <c r="G312" s="9" t="n">
        <v>1.44</v>
      </c>
      <c r="H312" s="9" t="n">
        <v>63.56</v>
      </c>
      <c r="I312" t="inlineStr">
        <is>
          <t>INV/2026/03933</t>
        </is>
      </c>
      <c r="J312" s="9">
        <f>ROUND(F312-G312-H312,2)</f>
        <v>0</v>
      </c>
    </row>
    <row r="313">
      <c r="A313" t="inlineStr">
        <is>
          <t>po_1Q0012KX</t>
        </is>
      </c>
      <c r="B313" s="5" t="n">
        <v>46219</v>
      </c>
      <c r="C313" t="inlineStr">
        <is>
          <t>ch_3Q000309</t>
        </is>
      </c>
      <c r="D313" t="inlineStr">
        <is>
          <t>charge</t>
        </is>
      </c>
      <c r="E313" s="5" t="n">
        <v>46217</v>
      </c>
      <c r="F313" s="9" t="n">
        <v>150</v>
      </c>
      <c r="G313" s="9" t="n">
        <v>2.93</v>
      </c>
      <c r="H313" s="9" t="n">
        <v>147.07</v>
      </c>
      <c r="I313" t="inlineStr">
        <is>
          <t>INV/2026/03934</t>
        </is>
      </c>
      <c r="J313" s="9">
        <f>ROUND(F313-G313-H313,2)</f>
        <v>0</v>
      </c>
    </row>
    <row r="314">
      <c r="A314" t="inlineStr">
        <is>
          <t>po_1Q0012KX</t>
        </is>
      </c>
      <c r="B314" s="5" t="n">
        <v>46219</v>
      </c>
      <c r="C314" t="inlineStr">
        <is>
          <t>ch_3Q000310</t>
        </is>
      </c>
      <c r="D314" t="inlineStr">
        <is>
          <t>charge</t>
        </is>
      </c>
      <c r="E314" s="5" t="n">
        <v>46217</v>
      </c>
      <c r="F314" s="9" t="n">
        <v>180</v>
      </c>
      <c r="G314" s="9" t="n">
        <v>3.45</v>
      </c>
      <c r="H314" s="9" t="n">
        <v>176.55</v>
      </c>
      <c r="I314" t="inlineStr">
        <is>
          <t>INV/2026/03935</t>
        </is>
      </c>
      <c r="J314" s="9">
        <f>ROUND(F314-G314-H314,2)</f>
        <v>0</v>
      </c>
    </row>
    <row r="315">
      <c r="A315" t="inlineStr">
        <is>
          <t>po_1Q0012KX</t>
        </is>
      </c>
      <c r="B315" s="5" t="n">
        <v>46219</v>
      </c>
      <c r="C315" t="inlineStr">
        <is>
          <t>ch_3Q000311</t>
        </is>
      </c>
      <c r="D315" t="inlineStr">
        <is>
          <t>charge</t>
        </is>
      </c>
      <c r="E315" s="5" t="n">
        <v>46217</v>
      </c>
      <c r="F315" s="9" t="n">
        <v>180</v>
      </c>
      <c r="G315" s="9" t="n">
        <v>3.45</v>
      </c>
      <c r="H315" s="9" t="n">
        <v>176.55</v>
      </c>
      <c r="I315" t="inlineStr">
        <is>
          <t>INV/2026/03936</t>
        </is>
      </c>
      <c r="J315" s="9">
        <f>ROUND(F315-G315-H315,2)</f>
        <v>0</v>
      </c>
    </row>
    <row r="316">
      <c r="A316" t="inlineStr">
        <is>
          <t>po_1Q0012KX</t>
        </is>
      </c>
      <c r="B316" s="5" t="n">
        <v>46219</v>
      </c>
      <c r="C316" t="inlineStr">
        <is>
          <t>ch_3Q000312</t>
        </is>
      </c>
      <c r="D316" t="inlineStr">
        <is>
          <t>charge</t>
        </is>
      </c>
      <c r="E316" s="5" t="n">
        <v>46217</v>
      </c>
      <c r="F316" s="9" t="n">
        <v>65</v>
      </c>
      <c r="G316" s="9" t="n">
        <v>1.44</v>
      </c>
      <c r="H316" s="9" t="n">
        <v>63.56</v>
      </c>
      <c r="I316" t="inlineStr">
        <is>
          <t>INV/2026/03937</t>
        </is>
      </c>
      <c r="J316" s="9">
        <f>ROUND(F316-G316-H316,2)</f>
        <v>0</v>
      </c>
    </row>
    <row r="317">
      <c r="A317" t="inlineStr">
        <is>
          <t>po_1Q0012KX</t>
        </is>
      </c>
      <c r="B317" s="5" t="n">
        <v>46219</v>
      </c>
      <c r="C317" t="inlineStr">
        <is>
          <t>ch_3Q000313</t>
        </is>
      </c>
      <c r="D317" t="inlineStr">
        <is>
          <t>charge</t>
        </is>
      </c>
      <c r="E317" s="5" t="n">
        <v>46217</v>
      </c>
      <c r="F317" s="9" t="n">
        <v>135</v>
      </c>
      <c r="G317" s="9" t="n">
        <v>2.66</v>
      </c>
      <c r="H317" s="9" t="n">
        <v>132.34</v>
      </c>
      <c r="I317" t="inlineStr">
        <is>
          <t>INV/2026/03938</t>
        </is>
      </c>
      <c r="J317" s="9">
        <f>ROUND(F317-G317-H317,2)</f>
        <v>0</v>
      </c>
    </row>
    <row r="318">
      <c r="A318" t="inlineStr">
        <is>
          <t>po_1Q0012KX</t>
        </is>
      </c>
      <c r="B318" s="5" t="n">
        <v>46219</v>
      </c>
      <c r="C318" t="inlineStr">
        <is>
          <t>ch_3Q000314</t>
        </is>
      </c>
      <c r="D318" t="inlineStr">
        <is>
          <t>charge</t>
        </is>
      </c>
      <c r="E318" s="5" t="n">
        <v>46217</v>
      </c>
      <c r="F318" s="9" t="n">
        <v>180</v>
      </c>
      <c r="G318" s="9" t="n">
        <v>3.45</v>
      </c>
      <c r="H318" s="9" t="n">
        <v>176.55</v>
      </c>
      <c r="I318" t="inlineStr">
        <is>
          <t>INV/2026/03939</t>
        </is>
      </c>
      <c r="J318" s="9">
        <f>ROUND(F318-G318-H318,2)</f>
        <v>0</v>
      </c>
    </row>
    <row r="319">
      <c r="A319" t="inlineStr">
        <is>
          <t>po_1Q0012KX</t>
        </is>
      </c>
      <c r="B319" s="5" t="n">
        <v>46219</v>
      </c>
      <c r="C319" t="inlineStr">
        <is>
          <t>ch_3Q000315</t>
        </is>
      </c>
      <c r="D319" t="inlineStr">
        <is>
          <t>charge</t>
        </is>
      </c>
      <c r="E319" s="5" t="n">
        <v>46217</v>
      </c>
      <c r="F319" s="9" t="n">
        <v>135</v>
      </c>
      <c r="G319" s="9" t="n">
        <v>2.66</v>
      </c>
      <c r="H319" s="9" t="n">
        <v>132.34</v>
      </c>
      <c r="I319" t="inlineStr">
        <is>
          <t>INV/2026/03940</t>
        </is>
      </c>
      <c r="J319" s="9">
        <f>ROUND(F319-G319-H319,2)</f>
        <v>0</v>
      </c>
    </row>
    <row r="320">
      <c r="A320" t="inlineStr">
        <is>
          <t>po_1Q0012KX</t>
        </is>
      </c>
      <c r="B320" s="5" t="n">
        <v>46219</v>
      </c>
      <c r="C320" t="inlineStr">
        <is>
          <t>ch_3Q000316</t>
        </is>
      </c>
      <c r="D320" t="inlineStr">
        <is>
          <t>charge</t>
        </is>
      </c>
      <c r="E320" s="5" t="n">
        <v>46217</v>
      </c>
      <c r="F320" s="9" t="n">
        <v>95</v>
      </c>
      <c r="G320" s="9" t="n">
        <v>1.96</v>
      </c>
      <c r="H320" s="9" t="n">
        <v>93.04000000000001</v>
      </c>
      <c r="I320" t="inlineStr">
        <is>
          <t>INV/2026/03941</t>
        </is>
      </c>
      <c r="J320" s="9">
        <f>ROUND(F320-G320-H320,2)</f>
        <v>0</v>
      </c>
    </row>
    <row r="321">
      <c r="A321" t="inlineStr">
        <is>
          <t>po_1Q0012KX</t>
        </is>
      </c>
      <c r="B321" s="5" t="n">
        <v>46219</v>
      </c>
      <c r="C321" t="inlineStr">
        <is>
          <t>ch_3Q000317</t>
        </is>
      </c>
      <c r="D321" t="inlineStr">
        <is>
          <t>charge</t>
        </is>
      </c>
      <c r="E321" s="5" t="n">
        <v>46217</v>
      </c>
      <c r="F321" s="9" t="n">
        <v>135</v>
      </c>
      <c r="G321" s="9" t="n">
        <v>2.66</v>
      </c>
      <c r="H321" s="9" t="n">
        <v>132.34</v>
      </c>
      <c r="I321" t="inlineStr">
        <is>
          <t>INV/2026/03942</t>
        </is>
      </c>
      <c r="J321" s="9">
        <f>ROUND(F321-G321-H321,2)</f>
        <v>0</v>
      </c>
    </row>
    <row r="322">
      <c r="A322" t="inlineStr">
        <is>
          <t>po_1Q0012KX</t>
        </is>
      </c>
      <c r="B322" s="5" t="n">
        <v>46219</v>
      </c>
      <c r="C322" t="inlineStr">
        <is>
          <t>ch_3Q000318</t>
        </is>
      </c>
      <c r="D322" t="inlineStr">
        <is>
          <t>charge</t>
        </is>
      </c>
      <c r="E322" s="5" t="n">
        <v>46217</v>
      </c>
      <c r="F322" s="9" t="n">
        <v>95</v>
      </c>
      <c r="G322" s="9" t="n">
        <v>1.96</v>
      </c>
      <c r="H322" s="9" t="n">
        <v>93.04000000000001</v>
      </c>
      <c r="I322" t="inlineStr">
        <is>
          <t>INV/2026/03943</t>
        </is>
      </c>
      <c r="J322" s="9">
        <f>ROUND(F322-G322-H322,2)</f>
        <v>0</v>
      </c>
    </row>
    <row r="323">
      <c r="A323" t="inlineStr">
        <is>
          <t>po_1Q0012KX</t>
        </is>
      </c>
      <c r="B323" s="5" t="n">
        <v>46219</v>
      </c>
      <c r="C323" t="inlineStr">
        <is>
          <t>ch_3Q000319</t>
        </is>
      </c>
      <c r="D323" t="inlineStr">
        <is>
          <t>charge</t>
        </is>
      </c>
      <c r="E323" s="5" t="n">
        <v>46217</v>
      </c>
      <c r="F323" s="9" t="n">
        <v>110</v>
      </c>
      <c r="G323" s="9" t="n">
        <v>2.23</v>
      </c>
      <c r="H323" s="9" t="n">
        <v>107.77</v>
      </c>
      <c r="I323" t="inlineStr">
        <is>
          <t>INV/2026/03944</t>
        </is>
      </c>
      <c r="J323" s="9">
        <f>ROUND(F323-G323-H323,2)</f>
        <v>0</v>
      </c>
    </row>
    <row r="324">
      <c r="A324" t="inlineStr">
        <is>
          <t>po_1Q0012KX</t>
        </is>
      </c>
      <c r="B324" s="5" t="n">
        <v>46219</v>
      </c>
      <c r="C324" t="inlineStr">
        <is>
          <t>ch_3Q000320</t>
        </is>
      </c>
      <c r="D324" t="inlineStr">
        <is>
          <t>charge</t>
        </is>
      </c>
      <c r="E324" s="5" t="n">
        <v>46217</v>
      </c>
      <c r="F324" s="9" t="n">
        <v>95</v>
      </c>
      <c r="G324" s="9" t="n">
        <v>1.96</v>
      </c>
      <c r="H324" s="9" t="n">
        <v>93.04000000000001</v>
      </c>
      <c r="I324" t="inlineStr">
        <is>
          <t>INV/2026/03945</t>
        </is>
      </c>
      <c r="J324" s="9">
        <f>ROUND(F324-G324-H324,2)</f>
        <v>0</v>
      </c>
    </row>
    <row r="325">
      <c r="A325" t="inlineStr">
        <is>
          <t>po_1Q0012KX</t>
        </is>
      </c>
      <c r="B325" s="5" t="n">
        <v>46219</v>
      </c>
      <c r="C325" t="inlineStr">
        <is>
          <t>ch_3Q000321</t>
        </is>
      </c>
      <c r="D325" t="inlineStr">
        <is>
          <t>charge</t>
        </is>
      </c>
      <c r="E325" s="5" t="n">
        <v>46217</v>
      </c>
      <c r="F325" s="9" t="n">
        <v>95</v>
      </c>
      <c r="G325" s="9" t="n">
        <v>1.96</v>
      </c>
      <c r="H325" s="9" t="n">
        <v>93.04000000000001</v>
      </c>
      <c r="I325" t="inlineStr">
        <is>
          <t>INV/2026/03946</t>
        </is>
      </c>
      <c r="J325" s="9">
        <f>ROUND(F325-G325-H325,2)</f>
        <v>0</v>
      </c>
    </row>
    <row r="326">
      <c r="A326" t="inlineStr">
        <is>
          <t>po_1Q0012KX</t>
        </is>
      </c>
      <c r="B326" s="5" t="n">
        <v>46219</v>
      </c>
      <c r="C326" t="inlineStr">
        <is>
          <t>ch_3Q000322</t>
        </is>
      </c>
      <c r="D326" t="inlineStr">
        <is>
          <t>charge</t>
        </is>
      </c>
      <c r="E326" s="5" t="n">
        <v>46217</v>
      </c>
      <c r="F326" s="9" t="n">
        <v>180</v>
      </c>
      <c r="G326" s="9" t="n">
        <v>3.45</v>
      </c>
      <c r="H326" s="9" t="n">
        <v>176.55</v>
      </c>
      <c r="I326" t="inlineStr">
        <is>
          <t>INV/2026/03947</t>
        </is>
      </c>
      <c r="J326" s="9">
        <f>ROUND(F326-G326-H326,2)</f>
        <v>0</v>
      </c>
    </row>
    <row r="327">
      <c r="A327" t="inlineStr">
        <is>
          <t>po_1Q0012KX</t>
        </is>
      </c>
      <c r="B327" s="5" t="n">
        <v>46219</v>
      </c>
      <c r="C327" t="inlineStr">
        <is>
          <t>ch_3Q000323</t>
        </is>
      </c>
      <c r="D327" t="inlineStr">
        <is>
          <t>charge</t>
        </is>
      </c>
      <c r="E327" s="5" t="n">
        <v>46217</v>
      </c>
      <c r="F327" s="9" t="n">
        <v>110</v>
      </c>
      <c r="G327" s="9" t="n">
        <v>2.23</v>
      </c>
      <c r="H327" s="9" t="n">
        <v>107.77</v>
      </c>
      <c r="I327" t="inlineStr">
        <is>
          <t>INV/2026/03948</t>
        </is>
      </c>
      <c r="J327" s="9">
        <f>ROUND(F327-G327-H327,2)</f>
        <v>0</v>
      </c>
    </row>
    <row r="328">
      <c r="A328" t="inlineStr">
        <is>
          <t>po_1Q0012KX</t>
        </is>
      </c>
      <c r="B328" s="5" t="n">
        <v>46219</v>
      </c>
      <c r="C328" t="inlineStr">
        <is>
          <t>ch_3Q000324</t>
        </is>
      </c>
      <c r="D328" t="inlineStr">
        <is>
          <t>charge</t>
        </is>
      </c>
      <c r="E328" s="5" t="n">
        <v>46217</v>
      </c>
      <c r="F328" s="9" t="n">
        <v>180</v>
      </c>
      <c r="G328" s="9" t="n">
        <v>3.45</v>
      </c>
      <c r="H328" s="9" t="n">
        <v>176.55</v>
      </c>
      <c r="I328" t="inlineStr">
        <is>
          <t>INV/2026/03949</t>
        </is>
      </c>
      <c r="J328" s="9">
        <f>ROUND(F328-G328-H328,2)</f>
        <v>0</v>
      </c>
    </row>
    <row r="329">
      <c r="A329" t="inlineStr">
        <is>
          <t>po_1Q0012KX</t>
        </is>
      </c>
      <c r="B329" s="5" t="n">
        <v>46219</v>
      </c>
      <c r="C329" t="inlineStr">
        <is>
          <t>ch_3Q000325</t>
        </is>
      </c>
      <c r="D329" t="inlineStr">
        <is>
          <t>charge</t>
        </is>
      </c>
      <c r="E329" s="5" t="n">
        <v>46217</v>
      </c>
      <c r="F329" s="9" t="n">
        <v>110</v>
      </c>
      <c r="G329" s="9" t="n">
        <v>2.23</v>
      </c>
      <c r="H329" s="9" t="n">
        <v>107.77</v>
      </c>
      <c r="I329" t="inlineStr">
        <is>
          <t>INV/2026/03950</t>
        </is>
      </c>
      <c r="J329" s="9">
        <f>ROUND(F329-G329-H329,2)</f>
        <v>0</v>
      </c>
    </row>
    <row r="330">
      <c r="A330" t="inlineStr">
        <is>
          <t>po_1Q0012KX</t>
        </is>
      </c>
      <c r="B330" s="5" t="n">
        <v>46219</v>
      </c>
      <c r="C330" t="inlineStr">
        <is>
          <t>ch_3Q000326</t>
        </is>
      </c>
      <c r="D330" t="inlineStr">
        <is>
          <t>charge</t>
        </is>
      </c>
      <c r="E330" s="5" t="n">
        <v>46217</v>
      </c>
      <c r="F330" s="9" t="n">
        <v>65</v>
      </c>
      <c r="G330" s="9" t="n">
        <v>1.44</v>
      </c>
      <c r="H330" s="9" t="n">
        <v>63.56</v>
      </c>
      <c r="I330" t="inlineStr">
        <is>
          <t>INV/2026/03951</t>
        </is>
      </c>
      <c r="J330" s="9">
        <f>ROUND(F330-G330-H330,2)</f>
        <v>0</v>
      </c>
    </row>
    <row r="331">
      <c r="A331" t="inlineStr">
        <is>
          <t>po_1Q0012KX</t>
        </is>
      </c>
      <c r="B331" s="5" t="n">
        <v>46219</v>
      </c>
      <c r="C331" t="inlineStr">
        <is>
          <t>ch_3Q000327</t>
        </is>
      </c>
      <c r="D331" t="inlineStr">
        <is>
          <t>charge</t>
        </is>
      </c>
      <c r="E331" s="5" t="n">
        <v>46217</v>
      </c>
      <c r="F331" s="9" t="n">
        <v>135</v>
      </c>
      <c r="G331" s="9" t="n">
        <v>2.66</v>
      </c>
      <c r="H331" s="9" t="n">
        <v>132.34</v>
      </c>
      <c r="I331" t="inlineStr">
        <is>
          <t>INV/2026/03952</t>
        </is>
      </c>
      <c r="J331" s="9">
        <f>ROUND(F331-G331-H331,2)</f>
        <v>0</v>
      </c>
    </row>
    <row r="332">
      <c r="A332" t="inlineStr">
        <is>
          <t>po_1Q0012KX</t>
        </is>
      </c>
      <c r="B332" s="5" t="n">
        <v>46219</v>
      </c>
      <c r="C332" t="inlineStr">
        <is>
          <t>ch_3Q000328</t>
        </is>
      </c>
      <c r="D332" t="inlineStr">
        <is>
          <t>charge</t>
        </is>
      </c>
      <c r="E332" s="5" t="n">
        <v>46217</v>
      </c>
      <c r="F332" s="9" t="n">
        <v>110</v>
      </c>
      <c r="G332" s="9" t="n">
        <v>2.23</v>
      </c>
      <c r="H332" s="9" t="n">
        <v>107.77</v>
      </c>
      <c r="I332" t="inlineStr">
        <is>
          <t>INV/2026/03953</t>
        </is>
      </c>
      <c r="J332" s="9">
        <f>ROUND(F332-G332-H332,2)</f>
        <v>0</v>
      </c>
    </row>
    <row r="333">
      <c r="A333" t="inlineStr">
        <is>
          <t>po_1Q0012KX</t>
        </is>
      </c>
      <c r="B333" s="5" t="n">
        <v>46219</v>
      </c>
      <c r="C333" t="inlineStr">
        <is>
          <t>ch_3Q000329</t>
        </is>
      </c>
      <c r="D333" t="inlineStr">
        <is>
          <t>charge</t>
        </is>
      </c>
      <c r="E333" s="5" t="n">
        <v>46217</v>
      </c>
      <c r="F333" s="9" t="n">
        <v>220</v>
      </c>
      <c r="G333" s="9" t="n">
        <v>4.15</v>
      </c>
      <c r="H333" s="9" t="n">
        <v>215.85</v>
      </c>
      <c r="I333" t="inlineStr">
        <is>
          <t>INV/2026/03954</t>
        </is>
      </c>
      <c r="J333" s="9">
        <f>ROUND(F333-G333-H333,2)</f>
        <v>0</v>
      </c>
    </row>
    <row r="334">
      <c r="A334" t="inlineStr">
        <is>
          <t>po_1Q0012KX</t>
        </is>
      </c>
      <c r="B334" s="5" t="n">
        <v>46219</v>
      </c>
      <c r="C334" t="inlineStr">
        <is>
          <t>ch_3Q000330</t>
        </is>
      </c>
      <c r="D334" t="inlineStr">
        <is>
          <t>charge</t>
        </is>
      </c>
      <c r="E334" s="5" t="n">
        <v>46217</v>
      </c>
      <c r="F334" s="9" t="n">
        <v>110</v>
      </c>
      <c r="G334" s="9" t="n">
        <v>2.23</v>
      </c>
      <c r="H334" s="9" t="n">
        <v>107.77</v>
      </c>
      <c r="I334" t="inlineStr">
        <is>
          <t>INV/2026/03955</t>
        </is>
      </c>
      <c r="J334" s="9">
        <f>ROUND(F334-G334-H334,2)</f>
        <v>0</v>
      </c>
    </row>
    <row r="335">
      <c r="A335" t="inlineStr">
        <is>
          <t>po_1Q0012KX</t>
        </is>
      </c>
      <c r="B335" s="5" t="n">
        <v>46219</v>
      </c>
      <c r="C335" t="inlineStr">
        <is>
          <t>ch_3Q000331</t>
        </is>
      </c>
      <c r="D335" t="inlineStr">
        <is>
          <t>charge</t>
        </is>
      </c>
      <c r="E335" s="5" t="n">
        <v>46217</v>
      </c>
      <c r="F335" s="9" t="n">
        <v>110</v>
      </c>
      <c r="G335" s="9" t="n">
        <v>2.23</v>
      </c>
      <c r="H335" s="9" t="n">
        <v>107.77</v>
      </c>
      <c r="I335" t="inlineStr">
        <is>
          <t>INV/2026/03956</t>
        </is>
      </c>
      <c r="J335" s="9">
        <f>ROUND(F335-G335-H335,2)</f>
        <v>0</v>
      </c>
    </row>
    <row r="336">
      <c r="A336" t="inlineStr">
        <is>
          <t>po_1Q0012KX</t>
        </is>
      </c>
      <c r="B336" s="5" t="n">
        <v>46219</v>
      </c>
      <c r="C336" t="inlineStr">
        <is>
          <t>ch_3Q000332</t>
        </is>
      </c>
      <c r="D336" t="inlineStr">
        <is>
          <t>charge</t>
        </is>
      </c>
      <c r="E336" s="5" t="n">
        <v>46217</v>
      </c>
      <c r="F336" s="9" t="n">
        <v>65</v>
      </c>
      <c r="G336" s="9" t="n">
        <v>1.44</v>
      </c>
      <c r="H336" s="9" t="n">
        <v>63.56</v>
      </c>
      <c r="I336" t="inlineStr">
        <is>
          <t>INV/2026/03957</t>
        </is>
      </c>
      <c r="J336" s="9">
        <f>ROUND(F336-G336-H336,2)</f>
        <v>0</v>
      </c>
    </row>
    <row r="337">
      <c r="A337" t="inlineStr">
        <is>
          <t>po_1Q0012KX</t>
        </is>
      </c>
      <c r="B337" s="5" t="n">
        <v>46219</v>
      </c>
      <c r="C337" t="inlineStr">
        <is>
          <t>ch_3Q000333</t>
        </is>
      </c>
      <c r="D337" t="inlineStr">
        <is>
          <t>charge</t>
        </is>
      </c>
      <c r="E337" s="5" t="n">
        <v>46217</v>
      </c>
      <c r="F337" s="9" t="n">
        <v>180</v>
      </c>
      <c r="G337" s="9" t="n">
        <v>3.45</v>
      </c>
      <c r="H337" s="9" t="n">
        <v>176.55</v>
      </c>
      <c r="I337" t="inlineStr">
        <is>
          <t>INV/2026/03958</t>
        </is>
      </c>
      <c r="J337" s="9">
        <f>ROUND(F337-G337-H337,2)</f>
        <v>0</v>
      </c>
    </row>
    <row r="338">
      <c r="A338" t="inlineStr">
        <is>
          <t>po_1Q0012KX</t>
        </is>
      </c>
      <c r="B338" s="5" t="n">
        <v>46219</v>
      </c>
      <c r="C338" t="inlineStr">
        <is>
          <t>ch_3Q000334</t>
        </is>
      </c>
      <c r="D338" t="inlineStr">
        <is>
          <t>charge</t>
        </is>
      </c>
      <c r="E338" s="5" t="n">
        <v>46217</v>
      </c>
      <c r="F338" s="9" t="n">
        <v>120</v>
      </c>
      <c r="G338" s="9" t="n">
        <v>2.4</v>
      </c>
      <c r="H338" s="9" t="n">
        <v>117.6</v>
      </c>
      <c r="I338" t="inlineStr">
        <is>
          <t>INV/2026/03959</t>
        </is>
      </c>
      <c r="J338" s="9">
        <f>ROUND(F338-G338-H338,2)</f>
        <v>0</v>
      </c>
    </row>
    <row r="339">
      <c r="A339" t="inlineStr">
        <is>
          <t>po_1Q0012KX</t>
        </is>
      </c>
      <c r="B339" s="5" t="n">
        <v>46219</v>
      </c>
      <c r="C339" t="inlineStr">
        <is>
          <t>ch_3Q000335</t>
        </is>
      </c>
      <c r="D339" t="inlineStr">
        <is>
          <t>charge</t>
        </is>
      </c>
      <c r="E339" s="5" t="n">
        <v>46217</v>
      </c>
      <c r="F339" s="9" t="n">
        <v>110</v>
      </c>
      <c r="G339" s="9" t="n">
        <v>2.23</v>
      </c>
      <c r="H339" s="9" t="n">
        <v>107.77</v>
      </c>
      <c r="I339" t="inlineStr">
        <is>
          <t>INV/2026/03960</t>
        </is>
      </c>
      <c r="J339" s="9">
        <f>ROUND(F339-G339-H339,2)</f>
        <v>0</v>
      </c>
    </row>
    <row r="340">
      <c r="A340" t="inlineStr">
        <is>
          <t>po_1Q0012KX</t>
        </is>
      </c>
      <c r="B340" s="5" t="n">
        <v>46219</v>
      </c>
      <c r="C340" t="inlineStr">
        <is>
          <t>ch_3Q000336</t>
        </is>
      </c>
      <c r="D340" t="inlineStr">
        <is>
          <t>charge</t>
        </is>
      </c>
      <c r="E340" s="5" t="n">
        <v>46217</v>
      </c>
      <c r="F340" s="9" t="n">
        <v>110</v>
      </c>
      <c r="G340" s="9" t="n">
        <v>2.23</v>
      </c>
      <c r="H340" s="9" t="n">
        <v>107.77</v>
      </c>
      <c r="I340" t="inlineStr">
        <is>
          <t>INV/2026/03961</t>
        </is>
      </c>
      <c r="J340" s="9">
        <f>ROUND(F340-G340-H340,2)</f>
        <v>0</v>
      </c>
    </row>
    <row r="341">
      <c r="A341" t="inlineStr">
        <is>
          <t>po_1Q0012KX</t>
        </is>
      </c>
      <c r="B341" s="5" t="n">
        <v>46219</v>
      </c>
      <c r="C341" t="inlineStr">
        <is>
          <t>ch_3Q000337</t>
        </is>
      </c>
      <c r="D341" t="inlineStr">
        <is>
          <t>charge</t>
        </is>
      </c>
      <c r="E341" s="5" t="n">
        <v>46217</v>
      </c>
      <c r="F341" s="9" t="n">
        <v>180</v>
      </c>
      <c r="G341" s="9" t="n">
        <v>3.45</v>
      </c>
      <c r="H341" s="9" t="n">
        <v>176.55</v>
      </c>
      <c r="I341" t="inlineStr">
        <is>
          <t>INV/2026/03962</t>
        </is>
      </c>
      <c r="J341" s="9">
        <f>ROUND(F341-G341-H341,2)</f>
        <v>0</v>
      </c>
    </row>
    <row r="342">
      <c r="A342" t="inlineStr">
        <is>
          <t>po_1Q0012KX</t>
        </is>
      </c>
      <c r="B342" s="5" t="n">
        <v>46219</v>
      </c>
      <c r="C342" t="inlineStr">
        <is>
          <t>ch_3Q000338</t>
        </is>
      </c>
      <c r="D342" t="inlineStr">
        <is>
          <t>charge</t>
        </is>
      </c>
      <c r="E342" s="5" t="n">
        <v>46217</v>
      </c>
      <c r="F342" s="9" t="n">
        <v>180</v>
      </c>
      <c r="G342" s="9" t="n">
        <v>3.45</v>
      </c>
      <c r="H342" s="9" t="n">
        <v>176.55</v>
      </c>
      <c r="I342" t="inlineStr">
        <is>
          <t>INV/2026/03963</t>
        </is>
      </c>
      <c r="J342" s="9">
        <f>ROUND(F342-G342-H342,2)</f>
        <v>0</v>
      </c>
    </row>
    <row r="343">
      <c r="A343" t="inlineStr">
        <is>
          <t>po_1Q0013KX</t>
        </is>
      </c>
      <c r="B343" s="5" t="n">
        <v>46220</v>
      </c>
      <c r="C343" t="inlineStr">
        <is>
          <t>ch_3Q000339</t>
        </is>
      </c>
      <c r="D343" t="inlineStr">
        <is>
          <t>charge</t>
        </is>
      </c>
      <c r="E343" s="5" t="n">
        <v>46218</v>
      </c>
      <c r="F343" s="9" t="n">
        <v>95</v>
      </c>
      <c r="G343" s="9" t="n">
        <v>1.96</v>
      </c>
      <c r="H343" s="9" t="n">
        <v>93.04000000000001</v>
      </c>
      <c r="I343" t="inlineStr">
        <is>
          <t>INV/2026/03964</t>
        </is>
      </c>
      <c r="J343" s="9">
        <f>ROUND(F343-G343-H343,2)</f>
        <v>0</v>
      </c>
    </row>
    <row r="344">
      <c r="A344" t="inlineStr">
        <is>
          <t>po_1Q0013KX</t>
        </is>
      </c>
      <c r="B344" s="5" t="n">
        <v>46220</v>
      </c>
      <c r="C344" t="inlineStr">
        <is>
          <t>ch_3Q000340</t>
        </is>
      </c>
      <c r="D344" t="inlineStr">
        <is>
          <t>charge</t>
        </is>
      </c>
      <c r="E344" s="5" t="n">
        <v>46218</v>
      </c>
      <c r="F344" s="9" t="n">
        <v>85</v>
      </c>
      <c r="G344" s="9" t="n">
        <v>1.79</v>
      </c>
      <c r="H344" s="9" t="n">
        <v>83.20999999999999</v>
      </c>
      <c r="I344" t="inlineStr">
        <is>
          <t>INV/2026/03965</t>
        </is>
      </c>
      <c r="J344" s="9">
        <f>ROUND(F344-G344-H344,2)</f>
        <v>0</v>
      </c>
    </row>
    <row r="345">
      <c r="A345" t="inlineStr">
        <is>
          <t>po_1Q0013KX</t>
        </is>
      </c>
      <c r="B345" s="5" t="n">
        <v>46220</v>
      </c>
      <c r="C345" t="inlineStr">
        <is>
          <t>ch_3Q000341</t>
        </is>
      </c>
      <c r="D345" t="inlineStr">
        <is>
          <t>charge</t>
        </is>
      </c>
      <c r="E345" s="5" t="n">
        <v>46218</v>
      </c>
      <c r="F345" s="9" t="n">
        <v>150</v>
      </c>
      <c r="G345" s="9" t="n">
        <v>2.93</v>
      </c>
      <c r="H345" s="9" t="n">
        <v>147.07</v>
      </c>
      <c r="I345" t="inlineStr">
        <is>
          <t>INV/2026/03966</t>
        </is>
      </c>
      <c r="J345" s="9">
        <f>ROUND(F345-G345-H345,2)</f>
        <v>0</v>
      </c>
    </row>
    <row r="346">
      <c r="A346" t="inlineStr">
        <is>
          <t>po_1Q0013KX</t>
        </is>
      </c>
      <c r="B346" s="5" t="n">
        <v>46220</v>
      </c>
      <c r="C346" t="inlineStr">
        <is>
          <t>ch_3Q000342</t>
        </is>
      </c>
      <c r="D346" t="inlineStr">
        <is>
          <t>charge</t>
        </is>
      </c>
      <c r="E346" s="5" t="n">
        <v>46218</v>
      </c>
      <c r="F346" s="9" t="n">
        <v>110</v>
      </c>
      <c r="G346" s="9" t="n">
        <v>2.23</v>
      </c>
      <c r="H346" s="9" t="n">
        <v>107.77</v>
      </c>
      <c r="I346" t="inlineStr">
        <is>
          <t>INV/2026/03967</t>
        </is>
      </c>
      <c r="J346" s="9">
        <f>ROUND(F346-G346-H346,2)</f>
        <v>0</v>
      </c>
    </row>
    <row r="347">
      <c r="A347" t="inlineStr">
        <is>
          <t>po_1Q0013KX</t>
        </is>
      </c>
      <c r="B347" s="5" t="n">
        <v>46220</v>
      </c>
      <c r="C347" t="inlineStr">
        <is>
          <t>ch_3Q000343</t>
        </is>
      </c>
      <c r="D347" t="inlineStr">
        <is>
          <t>charge</t>
        </is>
      </c>
      <c r="E347" s="5" t="n">
        <v>46218</v>
      </c>
      <c r="F347" s="9" t="n">
        <v>110</v>
      </c>
      <c r="G347" s="9" t="n">
        <v>2.23</v>
      </c>
      <c r="H347" s="9" t="n">
        <v>107.77</v>
      </c>
      <c r="I347" t="inlineStr">
        <is>
          <t>INV/2026/03968</t>
        </is>
      </c>
      <c r="J347" s="9">
        <f>ROUND(F347-G347-H347,2)</f>
        <v>0</v>
      </c>
    </row>
    <row r="348">
      <c r="A348" t="inlineStr">
        <is>
          <t>po_1Q0013KX</t>
        </is>
      </c>
      <c r="B348" s="5" t="n">
        <v>46220</v>
      </c>
      <c r="C348" t="inlineStr">
        <is>
          <t>ch_3Q000344</t>
        </is>
      </c>
      <c r="D348" t="inlineStr">
        <is>
          <t>charge</t>
        </is>
      </c>
      <c r="E348" s="5" t="n">
        <v>46218</v>
      </c>
      <c r="F348" s="9" t="n">
        <v>135</v>
      </c>
      <c r="G348" s="9" t="n">
        <v>2.66</v>
      </c>
      <c r="H348" s="9" t="n">
        <v>132.34</v>
      </c>
      <c r="I348" t="inlineStr">
        <is>
          <t>INV/2026/03969</t>
        </is>
      </c>
      <c r="J348" s="9">
        <f>ROUND(F348-G348-H348,2)</f>
        <v>0</v>
      </c>
    </row>
    <row r="349">
      <c r="A349" t="inlineStr">
        <is>
          <t>po_1Q0013KX</t>
        </is>
      </c>
      <c r="B349" s="5" t="n">
        <v>46220</v>
      </c>
      <c r="C349" t="inlineStr">
        <is>
          <t>ch_3Q000345</t>
        </is>
      </c>
      <c r="D349" t="inlineStr">
        <is>
          <t>charge</t>
        </is>
      </c>
      <c r="E349" s="5" t="n">
        <v>46218</v>
      </c>
      <c r="F349" s="9" t="n">
        <v>135</v>
      </c>
      <c r="G349" s="9" t="n">
        <v>2.66</v>
      </c>
      <c r="H349" s="9" t="n">
        <v>132.34</v>
      </c>
      <c r="I349" t="inlineStr">
        <is>
          <t>INV/2026/03970</t>
        </is>
      </c>
      <c r="J349" s="9">
        <f>ROUND(F349-G349-H349,2)</f>
        <v>0</v>
      </c>
    </row>
    <row r="350">
      <c r="A350" t="inlineStr">
        <is>
          <t>po_1Q0013KX</t>
        </is>
      </c>
      <c r="B350" s="5" t="n">
        <v>46220</v>
      </c>
      <c r="C350" t="inlineStr">
        <is>
          <t>ch_3Q000346</t>
        </is>
      </c>
      <c r="D350" t="inlineStr">
        <is>
          <t>charge</t>
        </is>
      </c>
      <c r="E350" s="5" t="n">
        <v>46218</v>
      </c>
      <c r="F350" s="9" t="n">
        <v>150</v>
      </c>
      <c r="G350" s="9" t="n">
        <v>2.93</v>
      </c>
      <c r="H350" s="9" t="n">
        <v>147.07</v>
      </c>
      <c r="I350" t="inlineStr">
        <is>
          <t>INV/2026/03971</t>
        </is>
      </c>
      <c r="J350" s="9">
        <f>ROUND(F350-G350-H350,2)</f>
        <v>0</v>
      </c>
    </row>
    <row r="351">
      <c r="A351" t="inlineStr">
        <is>
          <t>po_1Q0013KX</t>
        </is>
      </c>
      <c r="B351" s="5" t="n">
        <v>46220</v>
      </c>
      <c r="C351" t="inlineStr">
        <is>
          <t>ch_3Q000347</t>
        </is>
      </c>
      <c r="D351" t="inlineStr">
        <is>
          <t>charge</t>
        </is>
      </c>
      <c r="E351" s="5" t="n">
        <v>46218</v>
      </c>
      <c r="F351" s="9" t="n">
        <v>180</v>
      </c>
      <c r="G351" s="9" t="n">
        <v>3.45</v>
      </c>
      <c r="H351" s="9" t="n">
        <v>176.55</v>
      </c>
      <c r="I351" t="inlineStr">
        <is>
          <t>INV/2026/03972</t>
        </is>
      </c>
      <c r="J351" s="9">
        <f>ROUND(F351-G351-H351,2)</f>
        <v>0</v>
      </c>
    </row>
    <row r="352">
      <c r="A352" t="inlineStr">
        <is>
          <t>po_1Q0013KX</t>
        </is>
      </c>
      <c r="B352" s="5" t="n">
        <v>46220</v>
      </c>
      <c r="C352" t="inlineStr">
        <is>
          <t>ch_3Q000348</t>
        </is>
      </c>
      <c r="D352" t="inlineStr">
        <is>
          <t>charge</t>
        </is>
      </c>
      <c r="E352" s="5" t="n">
        <v>46218</v>
      </c>
      <c r="F352" s="9" t="n">
        <v>180</v>
      </c>
      <c r="G352" s="9" t="n">
        <v>3.45</v>
      </c>
      <c r="H352" s="9" t="n">
        <v>176.55</v>
      </c>
      <c r="I352" t="inlineStr">
        <is>
          <t>INV/2026/03973</t>
        </is>
      </c>
      <c r="J352" s="9">
        <f>ROUND(F352-G352-H352,2)</f>
        <v>0</v>
      </c>
    </row>
    <row r="353">
      <c r="A353" t="inlineStr">
        <is>
          <t>po_1Q0013KX</t>
        </is>
      </c>
      <c r="B353" s="5" t="n">
        <v>46220</v>
      </c>
      <c r="C353" t="inlineStr">
        <is>
          <t>ch_3Q000349</t>
        </is>
      </c>
      <c r="D353" t="inlineStr">
        <is>
          <t>charge</t>
        </is>
      </c>
      <c r="E353" s="5" t="n">
        <v>46218</v>
      </c>
      <c r="F353" s="9" t="n">
        <v>85</v>
      </c>
      <c r="G353" s="9" t="n">
        <v>1.79</v>
      </c>
      <c r="H353" s="9" t="n">
        <v>83.20999999999999</v>
      </c>
      <c r="I353" t="inlineStr">
        <is>
          <t>INV/2026/03974</t>
        </is>
      </c>
      <c r="J353" s="9">
        <f>ROUND(F353-G353-H353,2)</f>
        <v>0</v>
      </c>
    </row>
    <row r="354">
      <c r="A354" t="inlineStr">
        <is>
          <t>po_1Q0013KX</t>
        </is>
      </c>
      <c r="B354" s="5" t="n">
        <v>46220</v>
      </c>
      <c r="C354" t="inlineStr">
        <is>
          <t>ch_3Q000350</t>
        </is>
      </c>
      <c r="D354" t="inlineStr">
        <is>
          <t>charge</t>
        </is>
      </c>
      <c r="E354" s="5" t="n">
        <v>46218</v>
      </c>
      <c r="F354" s="9" t="n">
        <v>110</v>
      </c>
      <c r="G354" s="9" t="n">
        <v>2.23</v>
      </c>
      <c r="H354" s="9" t="n">
        <v>107.77</v>
      </c>
      <c r="I354" t="inlineStr">
        <is>
          <t>INV/2026/03975</t>
        </is>
      </c>
      <c r="J354" s="9">
        <f>ROUND(F354-G354-H354,2)</f>
        <v>0</v>
      </c>
    </row>
    <row r="355">
      <c r="A355" t="inlineStr">
        <is>
          <t>po_1Q0013KX</t>
        </is>
      </c>
      <c r="B355" s="5" t="n">
        <v>46220</v>
      </c>
      <c r="C355" t="inlineStr">
        <is>
          <t>ch_3Q000351</t>
        </is>
      </c>
      <c r="D355" t="inlineStr">
        <is>
          <t>charge</t>
        </is>
      </c>
      <c r="E355" s="5" t="n">
        <v>46218</v>
      </c>
      <c r="F355" s="9" t="n">
        <v>120</v>
      </c>
      <c r="G355" s="9" t="n">
        <v>2.4</v>
      </c>
      <c r="H355" s="9" t="n">
        <v>117.6</v>
      </c>
      <c r="I355" t="inlineStr">
        <is>
          <t>INV/2026/03976</t>
        </is>
      </c>
      <c r="J355" s="9">
        <f>ROUND(F355-G355-H355,2)</f>
        <v>0</v>
      </c>
    </row>
    <row r="356">
      <c r="A356" t="inlineStr">
        <is>
          <t>po_1Q0013KX</t>
        </is>
      </c>
      <c r="B356" s="5" t="n">
        <v>46220</v>
      </c>
      <c r="C356" t="inlineStr">
        <is>
          <t>ch_3Q000352</t>
        </is>
      </c>
      <c r="D356" t="inlineStr">
        <is>
          <t>charge</t>
        </is>
      </c>
      <c r="E356" s="5" t="n">
        <v>46218</v>
      </c>
      <c r="F356" s="9" t="n">
        <v>180</v>
      </c>
      <c r="G356" s="9" t="n">
        <v>3.45</v>
      </c>
      <c r="H356" s="9" t="n">
        <v>176.55</v>
      </c>
      <c r="I356" t="inlineStr">
        <is>
          <t>INV/2026/03977</t>
        </is>
      </c>
      <c r="J356" s="9">
        <f>ROUND(F356-G356-H356,2)</f>
        <v>0</v>
      </c>
    </row>
    <row r="357">
      <c r="A357" t="inlineStr">
        <is>
          <t>po_1Q0013KX</t>
        </is>
      </c>
      <c r="B357" s="5" t="n">
        <v>46220</v>
      </c>
      <c r="C357" t="inlineStr">
        <is>
          <t>ch_3Q000353</t>
        </is>
      </c>
      <c r="D357" t="inlineStr">
        <is>
          <t>charge</t>
        </is>
      </c>
      <c r="E357" s="5" t="n">
        <v>46218</v>
      </c>
      <c r="F357" s="9" t="n">
        <v>120</v>
      </c>
      <c r="G357" s="9" t="n">
        <v>2.4</v>
      </c>
      <c r="H357" s="9" t="n">
        <v>117.6</v>
      </c>
      <c r="I357" t="inlineStr">
        <is>
          <t>INV/2026/03978</t>
        </is>
      </c>
      <c r="J357" s="9">
        <f>ROUND(F357-G357-H357,2)</f>
        <v>0</v>
      </c>
    </row>
    <row r="358">
      <c r="A358" t="inlineStr">
        <is>
          <t>po_1Q0013KX</t>
        </is>
      </c>
      <c r="B358" s="5" t="n">
        <v>46220</v>
      </c>
      <c r="C358" t="inlineStr">
        <is>
          <t>ch_3Q000354</t>
        </is>
      </c>
      <c r="D358" t="inlineStr">
        <is>
          <t>charge</t>
        </is>
      </c>
      <c r="E358" s="5" t="n">
        <v>46218</v>
      </c>
      <c r="F358" s="9" t="n">
        <v>150</v>
      </c>
      <c r="G358" s="9" t="n">
        <v>2.93</v>
      </c>
      <c r="H358" s="9" t="n">
        <v>147.07</v>
      </c>
      <c r="I358" t="inlineStr">
        <is>
          <t>INV/2026/03979</t>
        </is>
      </c>
      <c r="J358" s="9">
        <f>ROUND(F358-G358-H358,2)</f>
        <v>0</v>
      </c>
    </row>
    <row r="359">
      <c r="A359" t="inlineStr">
        <is>
          <t>po_1Q0013KX</t>
        </is>
      </c>
      <c r="B359" s="5" t="n">
        <v>46220</v>
      </c>
      <c r="C359" t="inlineStr">
        <is>
          <t>ch_3Q000355</t>
        </is>
      </c>
      <c r="D359" t="inlineStr">
        <is>
          <t>charge</t>
        </is>
      </c>
      <c r="E359" s="5" t="n">
        <v>46218</v>
      </c>
      <c r="F359" s="9" t="n">
        <v>110</v>
      </c>
      <c r="G359" s="9" t="n">
        <v>2.23</v>
      </c>
      <c r="H359" s="9" t="n">
        <v>107.77</v>
      </c>
      <c r="I359" t="inlineStr">
        <is>
          <t>INV/2026/03980</t>
        </is>
      </c>
      <c r="J359" s="9">
        <f>ROUND(F359-G359-H359,2)</f>
        <v>0</v>
      </c>
    </row>
    <row r="360">
      <c r="A360" t="inlineStr">
        <is>
          <t>po_1Q0013KX</t>
        </is>
      </c>
      <c r="B360" s="5" t="n">
        <v>46220</v>
      </c>
      <c r="C360" t="inlineStr">
        <is>
          <t>ch_3Q000356</t>
        </is>
      </c>
      <c r="D360" t="inlineStr">
        <is>
          <t>charge</t>
        </is>
      </c>
      <c r="E360" s="5" t="n">
        <v>46218</v>
      </c>
      <c r="F360" s="9" t="n">
        <v>85</v>
      </c>
      <c r="G360" s="9" t="n">
        <v>1.79</v>
      </c>
      <c r="H360" s="9" t="n">
        <v>83.20999999999999</v>
      </c>
      <c r="I360" t="inlineStr">
        <is>
          <t>INV/2026/03981</t>
        </is>
      </c>
      <c r="J360" s="9">
        <f>ROUND(F360-G360-H360,2)</f>
        <v>0</v>
      </c>
    </row>
    <row r="361">
      <c r="A361" t="inlineStr">
        <is>
          <t>po_1Q0013KX</t>
        </is>
      </c>
      <c r="B361" s="5" t="n">
        <v>46220</v>
      </c>
      <c r="C361" t="inlineStr">
        <is>
          <t>ch_3Q000357</t>
        </is>
      </c>
      <c r="D361" t="inlineStr">
        <is>
          <t>charge</t>
        </is>
      </c>
      <c r="E361" s="5" t="n">
        <v>46218</v>
      </c>
      <c r="F361" s="9" t="n">
        <v>110</v>
      </c>
      <c r="G361" s="9" t="n">
        <v>2.23</v>
      </c>
      <c r="H361" s="9" t="n">
        <v>107.77</v>
      </c>
      <c r="I361" t="inlineStr">
        <is>
          <t>INV/2026/03982</t>
        </is>
      </c>
      <c r="J361" s="9">
        <f>ROUND(F361-G361-H361,2)</f>
        <v>0</v>
      </c>
    </row>
    <row r="362">
      <c r="A362" t="inlineStr">
        <is>
          <t>po_1Q0013KX</t>
        </is>
      </c>
      <c r="B362" s="5" t="n">
        <v>46220</v>
      </c>
      <c r="C362" t="inlineStr">
        <is>
          <t>ch_3Q000358</t>
        </is>
      </c>
      <c r="D362" t="inlineStr">
        <is>
          <t>charge</t>
        </is>
      </c>
      <c r="E362" s="5" t="n">
        <v>46218</v>
      </c>
      <c r="F362" s="9" t="n">
        <v>110</v>
      </c>
      <c r="G362" s="9" t="n">
        <v>2.23</v>
      </c>
      <c r="H362" s="9" t="n">
        <v>107.77</v>
      </c>
      <c r="I362" t="inlineStr">
        <is>
          <t>INV/2026/03983</t>
        </is>
      </c>
      <c r="J362" s="9">
        <f>ROUND(F362-G362-H362,2)</f>
        <v>0</v>
      </c>
    </row>
    <row r="363">
      <c r="A363" t="inlineStr">
        <is>
          <t>po_1Q0013KX</t>
        </is>
      </c>
      <c r="B363" s="5" t="n">
        <v>46220</v>
      </c>
      <c r="C363" t="inlineStr">
        <is>
          <t>ch_3Q000359</t>
        </is>
      </c>
      <c r="D363" t="inlineStr">
        <is>
          <t>charge</t>
        </is>
      </c>
      <c r="E363" s="5" t="n">
        <v>46218</v>
      </c>
      <c r="F363" s="9" t="n">
        <v>120</v>
      </c>
      <c r="G363" s="9" t="n">
        <v>2.4</v>
      </c>
      <c r="H363" s="9" t="n">
        <v>117.6</v>
      </c>
      <c r="I363" t="inlineStr">
        <is>
          <t>INV/2026/03984</t>
        </is>
      </c>
      <c r="J363" s="9">
        <f>ROUND(F363-G363-H363,2)</f>
        <v>0</v>
      </c>
    </row>
    <row r="364">
      <c r="A364" t="inlineStr">
        <is>
          <t>po_1Q0014KX</t>
        </is>
      </c>
      <c r="B364" s="5" t="n">
        <v>46223</v>
      </c>
      <c r="C364" t="inlineStr">
        <is>
          <t>ch_3Q000360</t>
        </is>
      </c>
      <c r="D364" t="inlineStr">
        <is>
          <t>charge</t>
        </is>
      </c>
      <c r="E364" s="5" t="n">
        <v>46219</v>
      </c>
      <c r="F364" s="9" t="n">
        <v>120</v>
      </c>
      <c r="G364" s="9" t="n">
        <v>2.4</v>
      </c>
      <c r="H364" s="9" t="n">
        <v>117.6</v>
      </c>
      <c r="I364" t="inlineStr">
        <is>
          <t>INV/2026/03985</t>
        </is>
      </c>
      <c r="J364" s="9">
        <f>ROUND(F364-G364-H364,2)</f>
        <v>0</v>
      </c>
    </row>
    <row r="365">
      <c r="A365" t="inlineStr">
        <is>
          <t>po_1Q0014KX</t>
        </is>
      </c>
      <c r="B365" s="5" t="n">
        <v>46223</v>
      </c>
      <c r="C365" t="inlineStr">
        <is>
          <t>ch_3Q000361</t>
        </is>
      </c>
      <c r="D365" t="inlineStr">
        <is>
          <t>charge</t>
        </is>
      </c>
      <c r="E365" s="5" t="n">
        <v>46219</v>
      </c>
      <c r="F365" s="9" t="n">
        <v>180</v>
      </c>
      <c r="G365" s="9" t="n">
        <v>3.45</v>
      </c>
      <c r="H365" s="9" t="n">
        <v>176.55</v>
      </c>
      <c r="I365" t="inlineStr">
        <is>
          <t>INV/2026/03986</t>
        </is>
      </c>
      <c r="J365" s="9">
        <f>ROUND(F365-G365-H365,2)</f>
        <v>0</v>
      </c>
    </row>
    <row r="366">
      <c r="A366" t="inlineStr">
        <is>
          <t>po_1Q0014KX</t>
        </is>
      </c>
      <c r="B366" s="5" t="n">
        <v>46223</v>
      </c>
      <c r="C366" t="inlineStr">
        <is>
          <t>ch_3Q000362</t>
        </is>
      </c>
      <c r="D366" t="inlineStr">
        <is>
          <t>charge</t>
        </is>
      </c>
      <c r="E366" s="5" t="n">
        <v>46219</v>
      </c>
      <c r="F366" s="9" t="n">
        <v>95</v>
      </c>
      <c r="G366" s="9" t="n">
        <v>1.96</v>
      </c>
      <c r="H366" s="9" t="n">
        <v>93.04000000000001</v>
      </c>
      <c r="I366" t="inlineStr">
        <is>
          <t>INV/2026/03987</t>
        </is>
      </c>
      <c r="J366" s="9">
        <f>ROUND(F366-G366-H366,2)</f>
        <v>0</v>
      </c>
    </row>
    <row r="367">
      <c r="A367" t="inlineStr">
        <is>
          <t>po_1Q0014KX</t>
        </is>
      </c>
      <c r="B367" s="5" t="n">
        <v>46223</v>
      </c>
      <c r="C367" t="inlineStr">
        <is>
          <t>ch_3Q000363</t>
        </is>
      </c>
      <c r="D367" t="inlineStr">
        <is>
          <t>charge</t>
        </is>
      </c>
      <c r="E367" s="5" t="n">
        <v>46219</v>
      </c>
      <c r="F367" s="9" t="n">
        <v>150</v>
      </c>
      <c r="G367" s="9" t="n">
        <v>2.93</v>
      </c>
      <c r="H367" s="9" t="n">
        <v>147.07</v>
      </c>
      <c r="I367" t="inlineStr">
        <is>
          <t>INV/2026/03988</t>
        </is>
      </c>
      <c r="J367" s="9">
        <f>ROUND(F367-G367-H367,2)</f>
        <v>0</v>
      </c>
    </row>
    <row r="368">
      <c r="A368" t="inlineStr">
        <is>
          <t>po_1Q0014KX</t>
        </is>
      </c>
      <c r="B368" s="5" t="n">
        <v>46223</v>
      </c>
      <c r="C368" t="inlineStr">
        <is>
          <t>ch_3Q000364</t>
        </is>
      </c>
      <c r="D368" t="inlineStr">
        <is>
          <t>charge</t>
        </is>
      </c>
      <c r="E368" s="5" t="n">
        <v>46219</v>
      </c>
      <c r="F368" s="9" t="n">
        <v>135</v>
      </c>
      <c r="G368" s="9" t="n">
        <v>2.66</v>
      </c>
      <c r="H368" s="9" t="n">
        <v>132.34</v>
      </c>
      <c r="I368" t="inlineStr">
        <is>
          <t>INV/2026/03989</t>
        </is>
      </c>
      <c r="J368" s="9">
        <f>ROUND(F368-G368-H368,2)</f>
        <v>0</v>
      </c>
    </row>
    <row r="369">
      <c r="A369" t="inlineStr">
        <is>
          <t>po_1Q0014KX</t>
        </is>
      </c>
      <c r="B369" s="5" t="n">
        <v>46223</v>
      </c>
      <c r="C369" t="inlineStr">
        <is>
          <t>ch_3Q000365</t>
        </is>
      </c>
      <c r="D369" t="inlineStr">
        <is>
          <t>charge</t>
        </is>
      </c>
      <c r="E369" s="5" t="n">
        <v>46219</v>
      </c>
      <c r="F369" s="9" t="n">
        <v>180</v>
      </c>
      <c r="G369" s="9" t="n">
        <v>3.45</v>
      </c>
      <c r="H369" s="9" t="n">
        <v>176.55</v>
      </c>
      <c r="I369" t="inlineStr">
        <is>
          <t>INV/2026/03990</t>
        </is>
      </c>
      <c r="J369" s="9">
        <f>ROUND(F369-G369-H369,2)</f>
        <v>0</v>
      </c>
    </row>
    <row r="370">
      <c r="A370" t="inlineStr">
        <is>
          <t>po_1Q0014KX</t>
        </is>
      </c>
      <c r="B370" s="5" t="n">
        <v>46223</v>
      </c>
      <c r="C370" t="inlineStr">
        <is>
          <t>ch_3Q000366</t>
        </is>
      </c>
      <c r="D370" t="inlineStr">
        <is>
          <t>charge</t>
        </is>
      </c>
      <c r="E370" s="5" t="n">
        <v>46219</v>
      </c>
      <c r="F370" s="9" t="n">
        <v>120</v>
      </c>
      <c r="G370" s="9" t="n">
        <v>2.4</v>
      </c>
      <c r="H370" s="9" t="n">
        <v>117.6</v>
      </c>
      <c r="I370" t="inlineStr">
        <is>
          <t>INV/2026/03991</t>
        </is>
      </c>
      <c r="J370" s="9">
        <f>ROUND(F370-G370-H370,2)</f>
        <v>0</v>
      </c>
    </row>
    <row r="371">
      <c r="A371" t="inlineStr">
        <is>
          <t>po_1Q0014KX</t>
        </is>
      </c>
      <c r="B371" s="5" t="n">
        <v>46223</v>
      </c>
      <c r="C371" t="inlineStr">
        <is>
          <t>ch_3Q000367</t>
        </is>
      </c>
      <c r="D371" t="inlineStr">
        <is>
          <t>charge</t>
        </is>
      </c>
      <c r="E371" s="5" t="n">
        <v>46219</v>
      </c>
      <c r="F371" s="9" t="n">
        <v>220</v>
      </c>
      <c r="G371" s="9" t="n">
        <v>4.15</v>
      </c>
      <c r="H371" s="9" t="n">
        <v>215.85</v>
      </c>
      <c r="I371" t="inlineStr">
        <is>
          <t>INV/2026/03992</t>
        </is>
      </c>
      <c r="J371" s="9">
        <f>ROUND(F371-G371-H371,2)</f>
        <v>0</v>
      </c>
    </row>
    <row r="372">
      <c r="A372" t="inlineStr">
        <is>
          <t>po_1Q0014KX</t>
        </is>
      </c>
      <c r="B372" s="5" t="n">
        <v>46223</v>
      </c>
      <c r="C372" t="inlineStr">
        <is>
          <t>ch_3Q000368</t>
        </is>
      </c>
      <c r="D372" t="inlineStr">
        <is>
          <t>charge</t>
        </is>
      </c>
      <c r="E372" s="5" t="n">
        <v>46219</v>
      </c>
      <c r="F372" s="9" t="n">
        <v>220</v>
      </c>
      <c r="G372" s="9" t="n">
        <v>4.15</v>
      </c>
      <c r="H372" s="9" t="n">
        <v>215.85</v>
      </c>
      <c r="I372" t="inlineStr">
        <is>
          <t>INV/2026/03993</t>
        </is>
      </c>
      <c r="J372" s="9">
        <f>ROUND(F372-G372-H372,2)</f>
        <v>0</v>
      </c>
    </row>
    <row r="373">
      <c r="A373" t="inlineStr">
        <is>
          <t>po_1Q0014KX</t>
        </is>
      </c>
      <c r="B373" s="5" t="n">
        <v>46223</v>
      </c>
      <c r="C373" t="inlineStr">
        <is>
          <t>ch_3Q000369</t>
        </is>
      </c>
      <c r="D373" t="inlineStr">
        <is>
          <t>charge</t>
        </is>
      </c>
      <c r="E373" s="5" t="n">
        <v>46219</v>
      </c>
      <c r="F373" s="9" t="n">
        <v>110</v>
      </c>
      <c r="G373" s="9" t="n">
        <v>2.23</v>
      </c>
      <c r="H373" s="9" t="n">
        <v>107.77</v>
      </c>
      <c r="I373" t="inlineStr">
        <is>
          <t>INV/2026/03994</t>
        </is>
      </c>
      <c r="J373" s="9">
        <f>ROUND(F373-G373-H373,2)</f>
        <v>0</v>
      </c>
    </row>
    <row r="374">
      <c r="A374" t="inlineStr">
        <is>
          <t>po_1Q0014KX</t>
        </is>
      </c>
      <c r="B374" s="5" t="n">
        <v>46223</v>
      </c>
      <c r="C374" t="inlineStr">
        <is>
          <t>ch_3Q000370</t>
        </is>
      </c>
      <c r="D374" t="inlineStr">
        <is>
          <t>charge</t>
        </is>
      </c>
      <c r="E374" s="5" t="n">
        <v>46219</v>
      </c>
      <c r="F374" s="9" t="n">
        <v>85</v>
      </c>
      <c r="G374" s="9" t="n">
        <v>1.79</v>
      </c>
      <c r="H374" s="9" t="n">
        <v>83.20999999999999</v>
      </c>
      <c r="I374" t="inlineStr">
        <is>
          <t>INV/2026/03995</t>
        </is>
      </c>
      <c r="J374" s="9">
        <f>ROUND(F374-G374-H374,2)</f>
        <v>0</v>
      </c>
    </row>
    <row r="375">
      <c r="A375" t="inlineStr">
        <is>
          <t>po_1Q0014KX</t>
        </is>
      </c>
      <c r="B375" s="5" t="n">
        <v>46223</v>
      </c>
      <c r="C375" t="inlineStr">
        <is>
          <t>ch_3Q000371</t>
        </is>
      </c>
      <c r="D375" t="inlineStr">
        <is>
          <t>charge</t>
        </is>
      </c>
      <c r="E375" s="5" t="n">
        <v>46219</v>
      </c>
      <c r="F375" s="9" t="n">
        <v>150</v>
      </c>
      <c r="G375" s="9" t="n">
        <v>2.93</v>
      </c>
      <c r="H375" s="9" t="n">
        <v>147.07</v>
      </c>
      <c r="I375" t="inlineStr">
        <is>
          <t>INV/2026/03996</t>
        </is>
      </c>
      <c r="J375" s="9">
        <f>ROUND(F375-G375-H375,2)</f>
        <v>0</v>
      </c>
    </row>
    <row r="376">
      <c r="A376" t="inlineStr">
        <is>
          <t>po_1Q0014KX</t>
        </is>
      </c>
      <c r="B376" s="5" t="n">
        <v>46223</v>
      </c>
      <c r="C376" t="inlineStr">
        <is>
          <t>ch_3Q000372</t>
        </is>
      </c>
      <c r="D376" t="inlineStr">
        <is>
          <t>charge</t>
        </is>
      </c>
      <c r="E376" s="5" t="n">
        <v>46219</v>
      </c>
      <c r="F376" s="9" t="n">
        <v>65</v>
      </c>
      <c r="G376" s="9" t="n">
        <v>1.44</v>
      </c>
      <c r="H376" s="9" t="n">
        <v>63.56</v>
      </c>
      <c r="I376" t="inlineStr">
        <is>
          <t>INV/2026/03997</t>
        </is>
      </c>
      <c r="J376" s="9">
        <f>ROUND(F376-G376-H376,2)</f>
        <v>0</v>
      </c>
    </row>
    <row r="377">
      <c r="A377" t="inlineStr">
        <is>
          <t>po_1Q0014KX</t>
        </is>
      </c>
      <c r="B377" s="5" t="n">
        <v>46223</v>
      </c>
      <c r="C377" t="inlineStr">
        <is>
          <t>ch_3Q000373</t>
        </is>
      </c>
      <c r="D377" t="inlineStr">
        <is>
          <t>charge</t>
        </is>
      </c>
      <c r="E377" s="5" t="n">
        <v>46219</v>
      </c>
      <c r="F377" s="9" t="n">
        <v>150</v>
      </c>
      <c r="G377" s="9" t="n">
        <v>2.93</v>
      </c>
      <c r="H377" s="9" t="n">
        <v>147.07</v>
      </c>
      <c r="I377" t="inlineStr">
        <is>
          <t>INV/2026/03998</t>
        </is>
      </c>
      <c r="J377" s="9">
        <f>ROUND(F377-G377-H377,2)</f>
        <v>0</v>
      </c>
    </row>
    <row r="378">
      <c r="A378" t="inlineStr">
        <is>
          <t>po_1Q0014KX</t>
        </is>
      </c>
      <c r="B378" s="5" t="n">
        <v>46223</v>
      </c>
      <c r="C378" t="inlineStr">
        <is>
          <t>ch_3Q000374</t>
        </is>
      </c>
      <c r="D378" t="inlineStr">
        <is>
          <t>charge</t>
        </is>
      </c>
      <c r="E378" s="5" t="n">
        <v>46219</v>
      </c>
      <c r="F378" s="9" t="n">
        <v>220</v>
      </c>
      <c r="G378" s="9" t="n">
        <v>4.15</v>
      </c>
      <c r="H378" s="9" t="n">
        <v>215.85</v>
      </c>
      <c r="I378" t="inlineStr">
        <is>
          <t>INV/2026/03999</t>
        </is>
      </c>
      <c r="J378" s="9">
        <f>ROUND(F378-G378-H378,2)</f>
        <v>0</v>
      </c>
    </row>
    <row r="379">
      <c r="A379" t="inlineStr">
        <is>
          <t>po_1Q0014KX</t>
        </is>
      </c>
      <c r="B379" s="5" t="n">
        <v>46223</v>
      </c>
      <c r="C379" t="inlineStr">
        <is>
          <t>ch_3Q000375</t>
        </is>
      </c>
      <c r="D379" t="inlineStr">
        <is>
          <t>charge</t>
        </is>
      </c>
      <c r="E379" s="5" t="n">
        <v>46219</v>
      </c>
      <c r="F379" s="9" t="n">
        <v>135</v>
      </c>
      <c r="G379" s="9" t="n">
        <v>2.66</v>
      </c>
      <c r="H379" s="9" t="n">
        <v>132.34</v>
      </c>
      <c r="I379" t="inlineStr">
        <is>
          <t>INV/2026/04000</t>
        </is>
      </c>
      <c r="J379" s="9">
        <f>ROUND(F379-G379-H379,2)</f>
        <v>0</v>
      </c>
    </row>
    <row r="380">
      <c r="A380" t="inlineStr">
        <is>
          <t>po_1Q0014KX</t>
        </is>
      </c>
      <c r="B380" s="5" t="n">
        <v>46223</v>
      </c>
      <c r="C380" t="inlineStr">
        <is>
          <t>ch_3Q000376</t>
        </is>
      </c>
      <c r="D380" t="inlineStr">
        <is>
          <t>charge</t>
        </is>
      </c>
      <c r="E380" s="5" t="n">
        <v>46219</v>
      </c>
      <c r="F380" s="9" t="n">
        <v>85</v>
      </c>
      <c r="G380" s="9" t="n">
        <v>1.79</v>
      </c>
      <c r="H380" s="9" t="n">
        <v>83.20999999999999</v>
      </c>
      <c r="I380" t="inlineStr">
        <is>
          <t>INV/2026/04001</t>
        </is>
      </c>
      <c r="J380" s="9">
        <f>ROUND(F380-G380-H380,2)</f>
        <v>0</v>
      </c>
    </row>
    <row r="381">
      <c r="A381" t="inlineStr">
        <is>
          <t>po_1Q0014KX</t>
        </is>
      </c>
      <c r="B381" s="5" t="n">
        <v>46223</v>
      </c>
      <c r="C381" t="inlineStr">
        <is>
          <t>ch_3Q000377</t>
        </is>
      </c>
      <c r="D381" t="inlineStr">
        <is>
          <t>charge</t>
        </is>
      </c>
      <c r="E381" s="5" t="n">
        <v>46219</v>
      </c>
      <c r="F381" s="9" t="n">
        <v>150</v>
      </c>
      <c r="G381" s="9" t="n">
        <v>2.93</v>
      </c>
      <c r="H381" s="9" t="n">
        <v>147.07</v>
      </c>
      <c r="I381" t="inlineStr">
        <is>
          <t>INV/2026/04002</t>
        </is>
      </c>
      <c r="J381" s="9">
        <f>ROUND(F381-G381-H381,2)</f>
        <v>0</v>
      </c>
    </row>
    <row r="382">
      <c r="A382" t="inlineStr">
        <is>
          <t>po_1Q0014KX</t>
        </is>
      </c>
      <c r="B382" s="5" t="n">
        <v>46223</v>
      </c>
      <c r="C382" t="inlineStr">
        <is>
          <t>ch_3Q000378</t>
        </is>
      </c>
      <c r="D382" t="inlineStr">
        <is>
          <t>charge</t>
        </is>
      </c>
      <c r="E382" s="5" t="n">
        <v>46219</v>
      </c>
      <c r="F382" s="9" t="n">
        <v>180</v>
      </c>
      <c r="G382" s="9" t="n">
        <v>3.45</v>
      </c>
      <c r="H382" s="9" t="n">
        <v>176.55</v>
      </c>
      <c r="I382" t="inlineStr">
        <is>
          <t>INV/2026/04003</t>
        </is>
      </c>
      <c r="J382" s="9">
        <f>ROUND(F382-G382-H382,2)</f>
        <v>0</v>
      </c>
    </row>
    <row r="383">
      <c r="A383" t="inlineStr">
        <is>
          <t>po_1Q0014KX</t>
        </is>
      </c>
      <c r="B383" s="5" t="n">
        <v>46223</v>
      </c>
      <c r="C383" t="inlineStr">
        <is>
          <t>ch_3Q000379</t>
        </is>
      </c>
      <c r="D383" t="inlineStr">
        <is>
          <t>charge</t>
        </is>
      </c>
      <c r="E383" s="5" t="n">
        <v>46219</v>
      </c>
      <c r="F383" s="9" t="n">
        <v>150</v>
      </c>
      <c r="G383" s="9" t="n">
        <v>2.93</v>
      </c>
      <c r="H383" s="9" t="n">
        <v>147.07</v>
      </c>
      <c r="I383" t="inlineStr">
        <is>
          <t>INV/2026/04004</t>
        </is>
      </c>
      <c r="J383" s="9">
        <f>ROUND(F383-G383-H383,2)</f>
        <v>0</v>
      </c>
    </row>
    <row r="384">
      <c r="A384" t="inlineStr">
        <is>
          <t>po_1Q0014KX</t>
        </is>
      </c>
      <c r="B384" s="5" t="n">
        <v>46223</v>
      </c>
      <c r="C384" t="inlineStr">
        <is>
          <t>ch_3Q000380</t>
        </is>
      </c>
      <c r="D384" t="inlineStr">
        <is>
          <t>charge</t>
        </is>
      </c>
      <c r="E384" s="5" t="n">
        <v>46219</v>
      </c>
      <c r="F384" s="9" t="n">
        <v>135</v>
      </c>
      <c r="G384" s="9" t="n">
        <v>2.66</v>
      </c>
      <c r="H384" s="9" t="n">
        <v>132.34</v>
      </c>
      <c r="I384" t="inlineStr">
        <is>
          <t>INV/2026/04005</t>
        </is>
      </c>
      <c r="J384" s="9">
        <f>ROUND(F384-G384-H384,2)</f>
        <v>0</v>
      </c>
    </row>
    <row r="385">
      <c r="A385" t="inlineStr">
        <is>
          <t>po_1Q0014KX</t>
        </is>
      </c>
      <c r="B385" s="5" t="n">
        <v>46223</v>
      </c>
      <c r="C385" t="inlineStr">
        <is>
          <t>ch_3Q000381</t>
        </is>
      </c>
      <c r="D385" t="inlineStr">
        <is>
          <t>charge</t>
        </is>
      </c>
      <c r="E385" s="5" t="n">
        <v>46219</v>
      </c>
      <c r="F385" s="9" t="n">
        <v>65</v>
      </c>
      <c r="G385" s="9" t="n">
        <v>1.44</v>
      </c>
      <c r="H385" s="9" t="n">
        <v>63.56</v>
      </c>
      <c r="I385" t="inlineStr">
        <is>
          <t>INV/2026/04006</t>
        </is>
      </c>
      <c r="J385" s="9">
        <f>ROUND(F385-G385-H385,2)</f>
        <v>0</v>
      </c>
    </row>
    <row r="386">
      <c r="A386" t="inlineStr">
        <is>
          <t>po_1Q0014KX</t>
        </is>
      </c>
      <c r="B386" s="5" t="n">
        <v>46223</v>
      </c>
      <c r="C386" t="inlineStr">
        <is>
          <t>ch_3Q000382</t>
        </is>
      </c>
      <c r="D386" t="inlineStr">
        <is>
          <t>charge</t>
        </is>
      </c>
      <c r="E386" s="5" t="n">
        <v>46219</v>
      </c>
      <c r="F386" s="9" t="n">
        <v>85</v>
      </c>
      <c r="G386" s="9" t="n">
        <v>1.79</v>
      </c>
      <c r="H386" s="9" t="n">
        <v>83.20999999999999</v>
      </c>
      <c r="I386" t="inlineStr">
        <is>
          <t>INV/2026/04007</t>
        </is>
      </c>
      <c r="J386" s="9">
        <f>ROUND(F386-G386-H386,2)</f>
        <v>0</v>
      </c>
    </row>
    <row r="387">
      <c r="A387" t="inlineStr">
        <is>
          <t>po_1Q0015KX</t>
        </is>
      </c>
      <c r="B387" s="5" t="n">
        <v>46224</v>
      </c>
      <c r="C387" t="inlineStr">
        <is>
          <t>ch_3Q000383</t>
        </is>
      </c>
      <c r="D387" t="inlineStr">
        <is>
          <t>charge</t>
        </is>
      </c>
      <c r="E387" s="5" t="n">
        <v>46220</v>
      </c>
      <c r="F387" s="9" t="n">
        <v>85</v>
      </c>
      <c r="G387" s="9" t="n">
        <v>1.79</v>
      </c>
      <c r="H387" s="9" t="n">
        <v>83.20999999999999</v>
      </c>
      <c r="I387" t="inlineStr">
        <is>
          <t>INV/2026/04008</t>
        </is>
      </c>
      <c r="J387" s="9">
        <f>ROUND(F387-G387-H387,2)</f>
        <v>0</v>
      </c>
    </row>
    <row r="388">
      <c r="A388" t="inlineStr">
        <is>
          <t>po_1Q0015KX</t>
        </is>
      </c>
      <c r="B388" s="5" t="n">
        <v>46224</v>
      </c>
      <c r="C388" t="inlineStr">
        <is>
          <t>ch_3Q000384</t>
        </is>
      </c>
      <c r="D388" t="inlineStr">
        <is>
          <t>charge</t>
        </is>
      </c>
      <c r="E388" s="5" t="n">
        <v>46220</v>
      </c>
      <c r="F388" s="9" t="n">
        <v>180</v>
      </c>
      <c r="G388" s="9" t="n">
        <v>3.45</v>
      </c>
      <c r="H388" s="9" t="n">
        <v>176.55</v>
      </c>
      <c r="I388" t="inlineStr">
        <is>
          <t>INV/2026/04009</t>
        </is>
      </c>
      <c r="J388" s="9">
        <f>ROUND(F388-G388-H388,2)</f>
        <v>0</v>
      </c>
    </row>
    <row r="389">
      <c r="A389" t="inlineStr">
        <is>
          <t>po_1Q0015KX</t>
        </is>
      </c>
      <c r="B389" s="5" t="n">
        <v>46224</v>
      </c>
      <c r="C389" t="inlineStr">
        <is>
          <t>ch_3Q000385</t>
        </is>
      </c>
      <c r="D389" t="inlineStr">
        <is>
          <t>charge</t>
        </is>
      </c>
      <c r="E389" s="5" t="n">
        <v>46220</v>
      </c>
      <c r="F389" s="9" t="n">
        <v>180</v>
      </c>
      <c r="G389" s="9" t="n">
        <v>3.45</v>
      </c>
      <c r="H389" s="9" t="n">
        <v>176.55</v>
      </c>
      <c r="I389" t="inlineStr">
        <is>
          <t>INV/2026/04010</t>
        </is>
      </c>
      <c r="J389" s="9">
        <f>ROUND(F389-G389-H389,2)</f>
        <v>0</v>
      </c>
    </row>
    <row r="390">
      <c r="A390" t="inlineStr">
        <is>
          <t>po_1Q0015KX</t>
        </is>
      </c>
      <c r="B390" s="5" t="n">
        <v>46224</v>
      </c>
      <c r="C390" t="inlineStr">
        <is>
          <t>ch_3Q000386</t>
        </is>
      </c>
      <c r="D390" t="inlineStr">
        <is>
          <t>charge</t>
        </is>
      </c>
      <c r="E390" s="5" t="n">
        <v>46220</v>
      </c>
      <c r="F390" s="9" t="n">
        <v>220</v>
      </c>
      <c r="G390" s="9" t="n">
        <v>4.15</v>
      </c>
      <c r="H390" s="9" t="n">
        <v>215.85</v>
      </c>
      <c r="I390" t="inlineStr">
        <is>
          <t>INV/2026/04011</t>
        </is>
      </c>
      <c r="J390" s="9">
        <f>ROUND(F390-G390-H390,2)</f>
        <v>0</v>
      </c>
    </row>
    <row r="391">
      <c r="A391" t="inlineStr">
        <is>
          <t>po_1Q0015KX</t>
        </is>
      </c>
      <c r="B391" s="5" t="n">
        <v>46224</v>
      </c>
      <c r="C391" t="inlineStr">
        <is>
          <t>ch_3Q000387</t>
        </is>
      </c>
      <c r="D391" t="inlineStr">
        <is>
          <t>charge</t>
        </is>
      </c>
      <c r="E391" s="5" t="n">
        <v>46220</v>
      </c>
      <c r="F391" s="9" t="n">
        <v>95</v>
      </c>
      <c r="G391" s="9" t="n">
        <v>1.96</v>
      </c>
      <c r="H391" s="9" t="n">
        <v>93.04000000000001</v>
      </c>
      <c r="I391" t="inlineStr">
        <is>
          <t>INV/2026/04012</t>
        </is>
      </c>
      <c r="J391" s="9">
        <f>ROUND(F391-G391-H391,2)</f>
        <v>0</v>
      </c>
    </row>
    <row r="392">
      <c r="A392" t="inlineStr">
        <is>
          <t>po_1Q0015KX</t>
        </is>
      </c>
      <c r="B392" s="5" t="n">
        <v>46224</v>
      </c>
      <c r="C392" t="inlineStr">
        <is>
          <t>ch_3Q000388</t>
        </is>
      </c>
      <c r="D392" t="inlineStr">
        <is>
          <t>charge</t>
        </is>
      </c>
      <c r="E392" s="5" t="n">
        <v>46220</v>
      </c>
      <c r="F392" s="9" t="n">
        <v>85</v>
      </c>
      <c r="G392" s="9" t="n">
        <v>1.79</v>
      </c>
      <c r="H392" s="9" t="n">
        <v>83.20999999999999</v>
      </c>
      <c r="I392" t="inlineStr">
        <is>
          <t>INV/2026/04013</t>
        </is>
      </c>
      <c r="J392" s="9">
        <f>ROUND(F392-G392-H392,2)</f>
        <v>0</v>
      </c>
    </row>
    <row r="393">
      <c r="A393" t="inlineStr">
        <is>
          <t>po_1Q0015KX</t>
        </is>
      </c>
      <c r="B393" s="5" t="n">
        <v>46224</v>
      </c>
      <c r="C393" t="inlineStr">
        <is>
          <t>ch_3Q000389</t>
        </is>
      </c>
      <c r="D393" t="inlineStr">
        <is>
          <t>charge</t>
        </is>
      </c>
      <c r="E393" s="5" t="n">
        <v>46220</v>
      </c>
      <c r="F393" s="9" t="n">
        <v>135</v>
      </c>
      <c r="G393" s="9" t="n">
        <v>2.66</v>
      </c>
      <c r="H393" s="9" t="n">
        <v>132.34</v>
      </c>
      <c r="I393" t="inlineStr">
        <is>
          <t>INV/2026/04014</t>
        </is>
      </c>
      <c r="J393" s="9">
        <f>ROUND(F393-G393-H393,2)</f>
        <v>0</v>
      </c>
    </row>
    <row r="394">
      <c r="A394" t="inlineStr">
        <is>
          <t>po_1Q0015KX</t>
        </is>
      </c>
      <c r="B394" s="5" t="n">
        <v>46224</v>
      </c>
      <c r="C394" t="inlineStr">
        <is>
          <t>ch_3Q000390</t>
        </is>
      </c>
      <c r="D394" t="inlineStr">
        <is>
          <t>charge</t>
        </is>
      </c>
      <c r="E394" s="5" t="n">
        <v>46220</v>
      </c>
      <c r="F394" s="9" t="n">
        <v>110</v>
      </c>
      <c r="G394" s="9" t="n">
        <v>2.23</v>
      </c>
      <c r="H394" s="9" t="n">
        <v>107.77</v>
      </c>
      <c r="I394" t="inlineStr">
        <is>
          <t>INV/2026/04015</t>
        </is>
      </c>
      <c r="J394" s="9">
        <f>ROUND(F394-G394-H394,2)</f>
        <v>0</v>
      </c>
    </row>
    <row r="395">
      <c r="A395" t="inlineStr">
        <is>
          <t>po_1Q0015KX</t>
        </is>
      </c>
      <c r="B395" s="5" t="n">
        <v>46224</v>
      </c>
      <c r="C395" t="inlineStr">
        <is>
          <t>ch_3Q000391</t>
        </is>
      </c>
      <c r="D395" t="inlineStr">
        <is>
          <t>charge</t>
        </is>
      </c>
      <c r="E395" s="5" t="n">
        <v>46220</v>
      </c>
      <c r="F395" s="9" t="n">
        <v>85</v>
      </c>
      <c r="G395" s="9" t="n">
        <v>1.79</v>
      </c>
      <c r="H395" s="9" t="n">
        <v>83.20999999999999</v>
      </c>
      <c r="I395" t="inlineStr">
        <is>
          <t>INV/2026/04016</t>
        </is>
      </c>
      <c r="J395" s="9">
        <f>ROUND(F395-G395-H395,2)</f>
        <v>0</v>
      </c>
    </row>
    <row r="396">
      <c r="A396" t="inlineStr">
        <is>
          <t>po_1Q0015KX</t>
        </is>
      </c>
      <c r="B396" s="5" t="n">
        <v>46224</v>
      </c>
      <c r="C396" t="inlineStr">
        <is>
          <t>ch_3Q000392</t>
        </is>
      </c>
      <c r="D396" t="inlineStr">
        <is>
          <t>charge</t>
        </is>
      </c>
      <c r="E396" s="5" t="n">
        <v>46220</v>
      </c>
      <c r="F396" s="9" t="n">
        <v>95</v>
      </c>
      <c r="G396" s="9" t="n">
        <v>1.96</v>
      </c>
      <c r="H396" s="9" t="n">
        <v>93.04000000000001</v>
      </c>
      <c r="I396" t="inlineStr">
        <is>
          <t>INV/2026/04017</t>
        </is>
      </c>
      <c r="J396" s="9">
        <f>ROUND(F396-G396-H396,2)</f>
        <v>0</v>
      </c>
    </row>
    <row r="397">
      <c r="A397" t="inlineStr">
        <is>
          <t>po_1Q0015KX</t>
        </is>
      </c>
      <c r="B397" s="5" t="n">
        <v>46224</v>
      </c>
      <c r="C397" t="inlineStr">
        <is>
          <t>ch_3Q000393</t>
        </is>
      </c>
      <c r="D397" t="inlineStr">
        <is>
          <t>charge</t>
        </is>
      </c>
      <c r="E397" s="5" t="n">
        <v>46220</v>
      </c>
      <c r="F397" s="9" t="n">
        <v>150</v>
      </c>
      <c r="G397" s="9" t="n">
        <v>2.93</v>
      </c>
      <c r="H397" s="9" t="n">
        <v>147.07</v>
      </c>
      <c r="I397" t="inlineStr">
        <is>
          <t>INV/2026/04018</t>
        </is>
      </c>
      <c r="J397" s="9">
        <f>ROUND(F397-G397-H397,2)</f>
        <v>0</v>
      </c>
    </row>
    <row r="398">
      <c r="A398" t="inlineStr">
        <is>
          <t>po_1Q0015KX</t>
        </is>
      </c>
      <c r="B398" s="5" t="n">
        <v>46224</v>
      </c>
      <c r="C398" t="inlineStr">
        <is>
          <t>ch_3Q000394</t>
        </is>
      </c>
      <c r="D398" t="inlineStr">
        <is>
          <t>charge</t>
        </is>
      </c>
      <c r="E398" s="5" t="n">
        <v>46220</v>
      </c>
      <c r="F398" s="9" t="n">
        <v>120</v>
      </c>
      <c r="G398" s="9" t="n">
        <v>2.4</v>
      </c>
      <c r="H398" s="9" t="n">
        <v>117.6</v>
      </c>
      <c r="I398" t="inlineStr">
        <is>
          <t>INV/2026/04019</t>
        </is>
      </c>
      <c r="J398" s="9">
        <f>ROUND(F398-G398-H398,2)</f>
        <v>0</v>
      </c>
    </row>
    <row r="399">
      <c r="A399" t="inlineStr">
        <is>
          <t>po_1Q0015KX</t>
        </is>
      </c>
      <c r="B399" s="5" t="n">
        <v>46224</v>
      </c>
      <c r="C399" t="inlineStr">
        <is>
          <t>ch_3Q000395</t>
        </is>
      </c>
      <c r="D399" t="inlineStr">
        <is>
          <t>charge</t>
        </is>
      </c>
      <c r="E399" s="5" t="n">
        <v>46220</v>
      </c>
      <c r="F399" s="9" t="n">
        <v>120</v>
      </c>
      <c r="G399" s="9" t="n">
        <v>2.4</v>
      </c>
      <c r="H399" s="9" t="n">
        <v>117.6</v>
      </c>
      <c r="I399" t="inlineStr">
        <is>
          <t>INV/2026/04020</t>
        </is>
      </c>
      <c r="J399" s="9">
        <f>ROUND(F399-G399-H399,2)</f>
        <v>0</v>
      </c>
    </row>
    <row r="400">
      <c r="A400" t="inlineStr">
        <is>
          <t>po_1Q0015KX</t>
        </is>
      </c>
      <c r="B400" s="5" t="n">
        <v>46224</v>
      </c>
      <c r="C400" t="inlineStr">
        <is>
          <t>ch_3Q000396</t>
        </is>
      </c>
      <c r="D400" t="inlineStr">
        <is>
          <t>charge</t>
        </is>
      </c>
      <c r="E400" s="5" t="n">
        <v>46220</v>
      </c>
      <c r="F400" s="9" t="n">
        <v>180</v>
      </c>
      <c r="G400" s="9" t="n">
        <v>3.45</v>
      </c>
      <c r="H400" s="9" t="n">
        <v>176.55</v>
      </c>
      <c r="I400" t="inlineStr">
        <is>
          <t>INV/2026/04021</t>
        </is>
      </c>
      <c r="J400" s="9">
        <f>ROUND(F400-G400-H400,2)</f>
        <v>0</v>
      </c>
    </row>
    <row r="401">
      <c r="A401" t="inlineStr">
        <is>
          <t>po_1Q0015KX</t>
        </is>
      </c>
      <c r="B401" s="5" t="n">
        <v>46224</v>
      </c>
      <c r="C401" t="inlineStr">
        <is>
          <t>ch_3Q000397</t>
        </is>
      </c>
      <c r="D401" t="inlineStr">
        <is>
          <t>charge</t>
        </is>
      </c>
      <c r="E401" s="5" t="n">
        <v>46220</v>
      </c>
      <c r="F401" s="9" t="n">
        <v>150</v>
      </c>
      <c r="G401" s="9" t="n">
        <v>2.93</v>
      </c>
      <c r="H401" s="9" t="n">
        <v>147.07</v>
      </c>
      <c r="I401" t="inlineStr">
        <is>
          <t>INV/2026/04022</t>
        </is>
      </c>
      <c r="J401" s="9">
        <f>ROUND(F401-G401-H401,2)</f>
        <v>0</v>
      </c>
    </row>
    <row r="402">
      <c r="A402" t="inlineStr">
        <is>
          <t>po_1Q0015KX</t>
        </is>
      </c>
      <c r="B402" s="5" t="n">
        <v>46224</v>
      </c>
      <c r="C402" t="inlineStr">
        <is>
          <t>ch_3Q000398</t>
        </is>
      </c>
      <c r="D402" t="inlineStr">
        <is>
          <t>charge</t>
        </is>
      </c>
      <c r="E402" s="5" t="n">
        <v>46220</v>
      </c>
      <c r="F402" s="9" t="n">
        <v>180</v>
      </c>
      <c r="G402" s="9" t="n">
        <v>3.45</v>
      </c>
      <c r="H402" s="9" t="n">
        <v>176.55</v>
      </c>
      <c r="I402" t="inlineStr">
        <is>
          <t>INV/2026/04023</t>
        </is>
      </c>
      <c r="J402" s="9">
        <f>ROUND(F402-G402-H402,2)</f>
        <v>0</v>
      </c>
    </row>
    <row r="403">
      <c r="A403" t="inlineStr">
        <is>
          <t>po_1Q0015KX</t>
        </is>
      </c>
      <c r="B403" s="5" t="n">
        <v>46224</v>
      </c>
      <c r="C403" t="inlineStr">
        <is>
          <t>ch_3Q000399</t>
        </is>
      </c>
      <c r="D403" t="inlineStr">
        <is>
          <t>charge</t>
        </is>
      </c>
      <c r="E403" s="5" t="n">
        <v>46220</v>
      </c>
      <c r="F403" s="9" t="n">
        <v>110</v>
      </c>
      <c r="G403" s="9" t="n">
        <v>2.23</v>
      </c>
      <c r="H403" s="9" t="n">
        <v>107.77</v>
      </c>
      <c r="I403" t="inlineStr">
        <is>
          <t>INV/2026/04024</t>
        </is>
      </c>
      <c r="J403" s="9">
        <f>ROUND(F403-G403-H403,2)</f>
        <v>0</v>
      </c>
    </row>
    <row r="404">
      <c r="A404" t="inlineStr">
        <is>
          <t>po_1Q0015KX</t>
        </is>
      </c>
      <c r="B404" s="5" t="n">
        <v>46224</v>
      </c>
      <c r="C404" t="inlineStr">
        <is>
          <t>ch_3Q000400</t>
        </is>
      </c>
      <c r="D404" t="inlineStr">
        <is>
          <t>charge</t>
        </is>
      </c>
      <c r="E404" s="5" t="n">
        <v>46220</v>
      </c>
      <c r="F404" s="9" t="n">
        <v>180</v>
      </c>
      <c r="G404" s="9" t="n">
        <v>3.45</v>
      </c>
      <c r="H404" s="9" t="n">
        <v>176.55</v>
      </c>
      <c r="I404" t="inlineStr">
        <is>
          <t>INV/2026/04025</t>
        </is>
      </c>
      <c r="J404" s="9">
        <f>ROUND(F404-G404-H404,2)</f>
        <v>0</v>
      </c>
    </row>
    <row r="405">
      <c r="A405" t="inlineStr">
        <is>
          <t>po_1Q0015KX</t>
        </is>
      </c>
      <c r="B405" s="5" t="n">
        <v>46224</v>
      </c>
      <c r="C405" t="inlineStr">
        <is>
          <t>ch_3Q000401</t>
        </is>
      </c>
      <c r="D405" t="inlineStr">
        <is>
          <t>charge</t>
        </is>
      </c>
      <c r="E405" s="5" t="n">
        <v>46220</v>
      </c>
      <c r="F405" s="9" t="n">
        <v>180</v>
      </c>
      <c r="G405" s="9" t="n">
        <v>3.45</v>
      </c>
      <c r="H405" s="9" t="n">
        <v>176.55</v>
      </c>
      <c r="I405" t="inlineStr">
        <is>
          <t>INV/2026/04026</t>
        </is>
      </c>
      <c r="J405" s="9">
        <f>ROUND(F405-G405-H405,2)</f>
        <v>0</v>
      </c>
    </row>
    <row r="406">
      <c r="A406" t="inlineStr">
        <is>
          <t>po_1Q0015KX</t>
        </is>
      </c>
      <c r="B406" s="5" t="n">
        <v>46224</v>
      </c>
      <c r="C406" t="inlineStr">
        <is>
          <t>ch_3Q000402</t>
        </is>
      </c>
      <c r="D406" t="inlineStr">
        <is>
          <t>charge</t>
        </is>
      </c>
      <c r="E406" s="5" t="n">
        <v>46220</v>
      </c>
      <c r="F406" s="9" t="n">
        <v>65</v>
      </c>
      <c r="G406" s="9" t="n">
        <v>1.44</v>
      </c>
      <c r="H406" s="9" t="n">
        <v>63.56</v>
      </c>
      <c r="I406" t="inlineStr">
        <is>
          <t>INV/2026/04027</t>
        </is>
      </c>
      <c r="J406" s="9">
        <f>ROUND(F406-G406-H406,2)</f>
        <v>0</v>
      </c>
    </row>
    <row r="407">
      <c r="A407" t="inlineStr">
        <is>
          <t>po_1Q0015KX</t>
        </is>
      </c>
      <c r="B407" s="5" t="n">
        <v>46224</v>
      </c>
      <c r="C407" t="inlineStr">
        <is>
          <t>ch_3Q000403</t>
        </is>
      </c>
      <c r="D407" t="inlineStr">
        <is>
          <t>charge</t>
        </is>
      </c>
      <c r="E407" s="5" t="n">
        <v>46220</v>
      </c>
      <c r="F407" s="9" t="n">
        <v>120</v>
      </c>
      <c r="G407" s="9" t="n">
        <v>2.4</v>
      </c>
      <c r="H407" s="9" t="n">
        <v>117.6</v>
      </c>
      <c r="I407" t="inlineStr">
        <is>
          <t>INV/2026/04028</t>
        </is>
      </c>
      <c r="J407" s="9">
        <f>ROUND(F407-G407-H407,2)</f>
        <v>0</v>
      </c>
    </row>
    <row r="408">
      <c r="A408" t="inlineStr">
        <is>
          <t>po_1Q0015KX</t>
        </is>
      </c>
      <c r="B408" s="5" t="n">
        <v>46224</v>
      </c>
      <c r="C408" t="inlineStr">
        <is>
          <t>ch_3Q000404</t>
        </is>
      </c>
      <c r="D408" t="inlineStr">
        <is>
          <t>charge</t>
        </is>
      </c>
      <c r="E408" s="5" t="n">
        <v>46220</v>
      </c>
      <c r="F408" s="9" t="n">
        <v>95</v>
      </c>
      <c r="G408" s="9" t="n">
        <v>1.96</v>
      </c>
      <c r="H408" s="9" t="n">
        <v>93.04000000000001</v>
      </c>
      <c r="I408" t="inlineStr">
        <is>
          <t>INV/2026/04029</t>
        </is>
      </c>
      <c r="J408" s="9">
        <f>ROUND(F408-G408-H408,2)</f>
        <v>0</v>
      </c>
    </row>
    <row r="409">
      <c r="A409" t="inlineStr">
        <is>
          <t>po_1Q0015KX</t>
        </is>
      </c>
      <c r="B409" s="5" t="n">
        <v>46224</v>
      </c>
      <c r="C409" t="inlineStr">
        <is>
          <t>ch_3Q000405</t>
        </is>
      </c>
      <c r="D409" t="inlineStr">
        <is>
          <t>charge</t>
        </is>
      </c>
      <c r="E409" s="5" t="n">
        <v>46220</v>
      </c>
      <c r="F409" s="9" t="n">
        <v>85</v>
      </c>
      <c r="G409" s="9" t="n">
        <v>1.79</v>
      </c>
      <c r="H409" s="9" t="n">
        <v>83.20999999999999</v>
      </c>
      <c r="I409" t="inlineStr">
        <is>
          <t>INV/2026/04030</t>
        </is>
      </c>
      <c r="J409" s="9">
        <f>ROUND(F409-G409-H409,2)</f>
        <v>0</v>
      </c>
    </row>
    <row r="410">
      <c r="A410" t="inlineStr">
        <is>
          <t>po_1Q0015KX</t>
        </is>
      </c>
      <c r="B410" s="5" t="n">
        <v>46224</v>
      </c>
      <c r="C410" t="inlineStr">
        <is>
          <t>ch_3Q000406</t>
        </is>
      </c>
      <c r="D410" t="inlineStr">
        <is>
          <t>charge</t>
        </is>
      </c>
      <c r="E410" s="5" t="n">
        <v>46220</v>
      </c>
      <c r="F410" s="9" t="n">
        <v>135</v>
      </c>
      <c r="G410" s="9" t="n">
        <v>2.66</v>
      </c>
      <c r="H410" s="9" t="n">
        <v>132.34</v>
      </c>
      <c r="I410" t="inlineStr">
        <is>
          <t>INV/2026/04031</t>
        </is>
      </c>
      <c r="J410" s="9">
        <f>ROUND(F410-G410-H410,2)</f>
        <v>0</v>
      </c>
    </row>
    <row r="411">
      <c r="A411" t="inlineStr">
        <is>
          <t>po_1Q0015KX</t>
        </is>
      </c>
      <c r="B411" s="5" t="n">
        <v>46224</v>
      </c>
      <c r="C411" t="inlineStr">
        <is>
          <t>ch_3Q000407</t>
        </is>
      </c>
      <c r="D411" t="inlineStr">
        <is>
          <t>charge</t>
        </is>
      </c>
      <c r="E411" s="5" t="n">
        <v>46220</v>
      </c>
      <c r="F411" s="9" t="n">
        <v>120</v>
      </c>
      <c r="G411" s="9" t="n">
        <v>2.4</v>
      </c>
      <c r="H411" s="9" t="n">
        <v>117.6</v>
      </c>
      <c r="I411" t="inlineStr">
        <is>
          <t>INV/2026/04032</t>
        </is>
      </c>
      <c r="J411" s="9">
        <f>ROUND(F411-G411-H411,2)</f>
        <v>0</v>
      </c>
    </row>
    <row r="412">
      <c r="A412" t="inlineStr">
        <is>
          <t>po_1Q0015KX</t>
        </is>
      </c>
      <c r="B412" s="5" t="n">
        <v>46224</v>
      </c>
      <c r="C412" t="inlineStr">
        <is>
          <t>ch_3Q000408</t>
        </is>
      </c>
      <c r="D412" t="inlineStr">
        <is>
          <t>charge</t>
        </is>
      </c>
      <c r="E412" s="5" t="n">
        <v>46220</v>
      </c>
      <c r="F412" s="9" t="n">
        <v>180</v>
      </c>
      <c r="G412" s="9" t="n">
        <v>3.45</v>
      </c>
      <c r="H412" s="9" t="n">
        <v>176.55</v>
      </c>
      <c r="I412" t="inlineStr">
        <is>
          <t>INV/2026/04033</t>
        </is>
      </c>
      <c r="J412" s="9">
        <f>ROUND(F412-G412-H412,2)</f>
        <v>0</v>
      </c>
    </row>
    <row r="413">
      <c r="A413" t="inlineStr">
        <is>
          <t>po_1Q0015KX</t>
        </is>
      </c>
      <c r="B413" s="5" t="n">
        <v>46224</v>
      </c>
      <c r="C413" t="inlineStr">
        <is>
          <t>ch_3Q000409</t>
        </is>
      </c>
      <c r="D413" t="inlineStr">
        <is>
          <t>charge</t>
        </is>
      </c>
      <c r="E413" s="5" t="n">
        <v>46221</v>
      </c>
      <c r="F413" s="9" t="n">
        <v>95</v>
      </c>
      <c r="G413" s="9" t="n">
        <v>1.96</v>
      </c>
      <c r="H413" s="9" t="n">
        <v>93.04000000000001</v>
      </c>
      <c r="I413" t="inlineStr">
        <is>
          <t>INV/2026/04034</t>
        </is>
      </c>
      <c r="J413" s="9">
        <f>ROUND(F413-G413-H413,2)</f>
        <v>0</v>
      </c>
    </row>
    <row r="414">
      <c r="A414" t="inlineStr">
        <is>
          <t>po_1Q0015KX</t>
        </is>
      </c>
      <c r="B414" s="5" t="n">
        <v>46224</v>
      </c>
      <c r="C414" t="inlineStr">
        <is>
          <t>ch_3Q000410</t>
        </is>
      </c>
      <c r="D414" t="inlineStr">
        <is>
          <t>charge</t>
        </is>
      </c>
      <c r="E414" s="5" t="n">
        <v>46221</v>
      </c>
      <c r="F414" s="9" t="n">
        <v>110</v>
      </c>
      <c r="G414" s="9" t="n">
        <v>2.23</v>
      </c>
      <c r="H414" s="9" t="n">
        <v>107.77</v>
      </c>
      <c r="I414" t="inlineStr">
        <is>
          <t>INV/2026/04035</t>
        </is>
      </c>
      <c r="J414" s="9">
        <f>ROUND(F414-G414-H414,2)</f>
        <v>0</v>
      </c>
    </row>
    <row r="415">
      <c r="A415" t="inlineStr">
        <is>
          <t>po_1Q0015KX</t>
        </is>
      </c>
      <c r="B415" s="5" t="n">
        <v>46224</v>
      </c>
      <c r="C415" t="inlineStr">
        <is>
          <t>ch_3Q000411</t>
        </is>
      </c>
      <c r="D415" t="inlineStr">
        <is>
          <t>charge</t>
        </is>
      </c>
      <c r="E415" s="5" t="n">
        <v>46221</v>
      </c>
      <c r="F415" s="9" t="n">
        <v>135</v>
      </c>
      <c r="G415" s="9" t="n">
        <v>2.66</v>
      </c>
      <c r="H415" s="9" t="n">
        <v>132.34</v>
      </c>
      <c r="I415" t="inlineStr">
        <is>
          <t>INV/2026/04036</t>
        </is>
      </c>
      <c r="J415" s="9">
        <f>ROUND(F415-G415-H415,2)</f>
        <v>0</v>
      </c>
    </row>
    <row r="416">
      <c r="A416" t="inlineStr">
        <is>
          <t>po_1Q0015KX</t>
        </is>
      </c>
      <c r="B416" s="5" t="n">
        <v>46224</v>
      </c>
      <c r="C416" t="inlineStr">
        <is>
          <t>ch_3Q000412</t>
        </is>
      </c>
      <c r="D416" t="inlineStr">
        <is>
          <t>charge</t>
        </is>
      </c>
      <c r="E416" s="5" t="n">
        <v>46221</v>
      </c>
      <c r="F416" s="9" t="n">
        <v>95</v>
      </c>
      <c r="G416" s="9" t="n">
        <v>1.96</v>
      </c>
      <c r="H416" s="9" t="n">
        <v>93.04000000000001</v>
      </c>
      <c r="I416" t="inlineStr">
        <is>
          <t>INV/2026/04037</t>
        </is>
      </c>
      <c r="J416" s="9">
        <f>ROUND(F416-G416-H416,2)</f>
        <v>0</v>
      </c>
    </row>
    <row r="417">
      <c r="A417" t="inlineStr">
        <is>
          <t>po_1Q0015KX</t>
        </is>
      </c>
      <c r="B417" s="5" t="n">
        <v>46224</v>
      </c>
      <c r="C417" t="inlineStr">
        <is>
          <t>ch_3Q000413</t>
        </is>
      </c>
      <c r="D417" t="inlineStr">
        <is>
          <t>charge</t>
        </is>
      </c>
      <c r="E417" s="5" t="n">
        <v>46221</v>
      </c>
      <c r="F417" s="9" t="n">
        <v>120</v>
      </c>
      <c r="G417" s="9" t="n">
        <v>2.4</v>
      </c>
      <c r="H417" s="9" t="n">
        <v>117.6</v>
      </c>
      <c r="I417" t="inlineStr">
        <is>
          <t>INV/2026/04038</t>
        </is>
      </c>
      <c r="J417" s="9">
        <f>ROUND(F417-G417-H417,2)</f>
        <v>0</v>
      </c>
    </row>
    <row r="418">
      <c r="A418" t="inlineStr">
        <is>
          <t>po_1Q0015KX</t>
        </is>
      </c>
      <c r="B418" s="5" t="n">
        <v>46224</v>
      </c>
      <c r="C418" t="inlineStr">
        <is>
          <t>ch_3Q000414</t>
        </is>
      </c>
      <c r="D418" t="inlineStr">
        <is>
          <t>charge</t>
        </is>
      </c>
      <c r="E418" s="5" t="n">
        <v>46221</v>
      </c>
      <c r="F418" s="9" t="n">
        <v>85</v>
      </c>
      <c r="G418" s="9" t="n">
        <v>1.79</v>
      </c>
      <c r="H418" s="9" t="n">
        <v>83.20999999999999</v>
      </c>
      <c r="I418" t="inlineStr">
        <is>
          <t>INV/2026/04039</t>
        </is>
      </c>
      <c r="J418" s="9">
        <f>ROUND(F418-G418-H418,2)</f>
        <v>0</v>
      </c>
    </row>
    <row r="419">
      <c r="A419" t="inlineStr">
        <is>
          <t>po_1Q0015KX</t>
        </is>
      </c>
      <c r="B419" s="5" t="n">
        <v>46224</v>
      </c>
      <c r="C419" t="inlineStr">
        <is>
          <t>ch_3Q000415</t>
        </is>
      </c>
      <c r="D419" t="inlineStr">
        <is>
          <t>charge</t>
        </is>
      </c>
      <c r="E419" s="5" t="n">
        <v>46221</v>
      </c>
      <c r="F419" s="9" t="n">
        <v>95</v>
      </c>
      <c r="G419" s="9" t="n">
        <v>1.96</v>
      </c>
      <c r="H419" s="9" t="n">
        <v>93.04000000000001</v>
      </c>
      <c r="I419" t="inlineStr">
        <is>
          <t>INV/2026/04040</t>
        </is>
      </c>
      <c r="J419" s="9">
        <f>ROUND(F419-G419-H419,2)</f>
        <v>0</v>
      </c>
    </row>
    <row r="420">
      <c r="A420" t="inlineStr">
        <is>
          <t>po_1Q0015KX</t>
        </is>
      </c>
      <c r="B420" s="5" t="n">
        <v>46224</v>
      </c>
      <c r="C420" t="inlineStr">
        <is>
          <t>ch_3Q000416</t>
        </is>
      </c>
      <c r="D420" t="inlineStr">
        <is>
          <t>charge</t>
        </is>
      </c>
      <c r="E420" s="5" t="n">
        <v>46221</v>
      </c>
      <c r="F420" s="9" t="n">
        <v>110</v>
      </c>
      <c r="G420" s="9" t="n">
        <v>2.23</v>
      </c>
      <c r="H420" s="9" t="n">
        <v>107.77</v>
      </c>
      <c r="I420" t="inlineStr">
        <is>
          <t>INV/2026/04041</t>
        </is>
      </c>
      <c r="J420" s="9">
        <f>ROUND(F420-G420-H420,2)</f>
        <v>0</v>
      </c>
    </row>
    <row r="421">
      <c r="A421" t="inlineStr">
        <is>
          <t>po_1Q0015KX</t>
        </is>
      </c>
      <c r="B421" s="5" t="n">
        <v>46224</v>
      </c>
      <c r="C421" t="inlineStr">
        <is>
          <t>ch_3Q000417</t>
        </is>
      </c>
      <c r="D421" t="inlineStr">
        <is>
          <t>charge</t>
        </is>
      </c>
      <c r="E421" s="5" t="n">
        <v>46221</v>
      </c>
      <c r="F421" s="9" t="n">
        <v>180</v>
      </c>
      <c r="G421" s="9" t="n">
        <v>3.45</v>
      </c>
      <c r="H421" s="9" t="n">
        <v>176.55</v>
      </c>
      <c r="I421" t="inlineStr">
        <is>
          <t>INV/2026/04042</t>
        </is>
      </c>
      <c r="J421" s="9">
        <f>ROUND(F421-G421-H421,2)</f>
        <v>0</v>
      </c>
    </row>
    <row r="422">
      <c r="A422" t="inlineStr">
        <is>
          <t>po_1Q0015KX</t>
        </is>
      </c>
      <c r="B422" s="5" t="n">
        <v>46224</v>
      </c>
      <c r="C422" t="inlineStr">
        <is>
          <t>ch_3Q000418</t>
        </is>
      </c>
      <c r="D422" t="inlineStr">
        <is>
          <t>charge</t>
        </is>
      </c>
      <c r="E422" s="5" t="n">
        <v>46221</v>
      </c>
      <c r="F422" s="9" t="n">
        <v>65</v>
      </c>
      <c r="G422" s="9" t="n">
        <v>1.44</v>
      </c>
      <c r="H422" s="9" t="n">
        <v>63.56</v>
      </c>
      <c r="I422" t="inlineStr">
        <is>
          <t>INV/2026/04043</t>
        </is>
      </c>
      <c r="J422" s="9">
        <f>ROUND(F422-G422-H422,2)</f>
        <v>0</v>
      </c>
    </row>
    <row r="423">
      <c r="A423" t="inlineStr">
        <is>
          <t>po_1Q0015KX</t>
        </is>
      </c>
      <c r="B423" s="5" t="n">
        <v>46224</v>
      </c>
      <c r="C423" t="inlineStr">
        <is>
          <t>ch_3Q000419</t>
        </is>
      </c>
      <c r="D423" t="inlineStr">
        <is>
          <t>charge</t>
        </is>
      </c>
      <c r="E423" s="5" t="n">
        <v>46221</v>
      </c>
      <c r="F423" s="9" t="n">
        <v>85</v>
      </c>
      <c r="G423" s="9" t="n">
        <v>1.79</v>
      </c>
      <c r="H423" s="9" t="n">
        <v>83.20999999999999</v>
      </c>
      <c r="I423" t="inlineStr">
        <is>
          <t>INV/2026/04044</t>
        </is>
      </c>
      <c r="J423" s="9">
        <f>ROUND(F423-G423-H423,2)</f>
        <v>0</v>
      </c>
    </row>
    <row r="424">
      <c r="A424" t="inlineStr">
        <is>
          <t>po_1Q0015KX</t>
        </is>
      </c>
      <c r="B424" s="5" t="n">
        <v>46224</v>
      </c>
      <c r="C424" t="inlineStr">
        <is>
          <t>ch_3Q000420</t>
        </is>
      </c>
      <c r="D424" t="inlineStr">
        <is>
          <t>charge</t>
        </is>
      </c>
      <c r="E424" s="5" t="n">
        <v>46221</v>
      </c>
      <c r="F424" s="9" t="n">
        <v>120</v>
      </c>
      <c r="G424" s="9" t="n">
        <v>2.4</v>
      </c>
      <c r="H424" s="9" t="n">
        <v>117.6</v>
      </c>
      <c r="I424" t="inlineStr">
        <is>
          <t>INV/2026/04045</t>
        </is>
      </c>
      <c r="J424" s="9">
        <f>ROUND(F424-G424-H424,2)</f>
        <v>0</v>
      </c>
    </row>
    <row r="425">
      <c r="A425" t="inlineStr">
        <is>
          <t>po_1Q0016KX</t>
        </is>
      </c>
      <c r="B425" s="5" t="n">
        <v>46225</v>
      </c>
      <c r="C425" t="inlineStr">
        <is>
          <t>ch_3Q000421</t>
        </is>
      </c>
      <c r="D425" t="inlineStr">
        <is>
          <t>charge</t>
        </is>
      </c>
      <c r="E425" s="5" t="n">
        <v>46223</v>
      </c>
      <c r="F425" s="9" t="n">
        <v>65</v>
      </c>
      <c r="G425" s="9" t="n">
        <v>1.44</v>
      </c>
      <c r="H425" s="9" t="n">
        <v>63.56</v>
      </c>
      <c r="I425" t="inlineStr">
        <is>
          <t>INV/2026/04046</t>
        </is>
      </c>
      <c r="J425" s="9">
        <f>ROUND(F425-G425-H425,2)</f>
        <v>0</v>
      </c>
    </row>
    <row r="426">
      <c r="A426" t="inlineStr">
        <is>
          <t>po_1Q0016KX</t>
        </is>
      </c>
      <c r="B426" s="5" t="n">
        <v>46225</v>
      </c>
      <c r="C426" t="inlineStr">
        <is>
          <t>ch_3Q000422</t>
        </is>
      </c>
      <c r="D426" t="inlineStr">
        <is>
          <t>charge</t>
        </is>
      </c>
      <c r="E426" s="5" t="n">
        <v>46223</v>
      </c>
      <c r="F426" s="9" t="n">
        <v>180</v>
      </c>
      <c r="G426" s="9" t="n">
        <v>3.45</v>
      </c>
      <c r="H426" s="9" t="n">
        <v>176.55</v>
      </c>
      <c r="I426" t="inlineStr">
        <is>
          <t>INV/2026/04047</t>
        </is>
      </c>
      <c r="J426" s="9">
        <f>ROUND(F426-G426-H426,2)</f>
        <v>0</v>
      </c>
    </row>
    <row r="427">
      <c r="A427" t="inlineStr">
        <is>
          <t>po_1Q0016KX</t>
        </is>
      </c>
      <c r="B427" s="5" t="n">
        <v>46225</v>
      </c>
      <c r="C427" t="inlineStr">
        <is>
          <t>ch_3Q000423</t>
        </is>
      </c>
      <c r="D427" t="inlineStr">
        <is>
          <t>charge</t>
        </is>
      </c>
      <c r="E427" s="5" t="n">
        <v>46223</v>
      </c>
      <c r="F427" s="9" t="n">
        <v>95</v>
      </c>
      <c r="G427" s="9" t="n">
        <v>1.96</v>
      </c>
      <c r="H427" s="9" t="n">
        <v>93.04000000000001</v>
      </c>
      <c r="I427" t="inlineStr">
        <is>
          <t>INV/2026/04048</t>
        </is>
      </c>
      <c r="J427" s="9">
        <f>ROUND(F427-G427-H427,2)</f>
        <v>0</v>
      </c>
    </row>
    <row r="428">
      <c r="A428" t="inlineStr">
        <is>
          <t>po_1Q0016KX</t>
        </is>
      </c>
      <c r="B428" s="5" t="n">
        <v>46225</v>
      </c>
      <c r="C428" t="inlineStr">
        <is>
          <t>ch_3Q000424</t>
        </is>
      </c>
      <c r="D428" t="inlineStr">
        <is>
          <t>charge</t>
        </is>
      </c>
      <c r="E428" s="5" t="n">
        <v>46223</v>
      </c>
      <c r="F428" s="9" t="n">
        <v>110</v>
      </c>
      <c r="G428" s="9" t="n">
        <v>2.23</v>
      </c>
      <c r="H428" s="9" t="n">
        <v>107.77</v>
      </c>
      <c r="I428" t="inlineStr">
        <is>
          <t>INV/2026/04049</t>
        </is>
      </c>
      <c r="J428" s="9">
        <f>ROUND(F428-G428-H428,2)</f>
        <v>0</v>
      </c>
    </row>
    <row r="429">
      <c r="A429" t="inlineStr">
        <is>
          <t>po_1Q0016KX</t>
        </is>
      </c>
      <c r="B429" s="5" t="n">
        <v>46225</v>
      </c>
      <c r="C429" t="inlineStr">
        <is>
          <t>ch_3Q000425</t>
        </is>
      </c>
      <c r="D429" t="inlineStr">
        <is>
          <t>charge</t>
        </is>
      </c>
      <c r="E429" s="5" t="n">
        <v>46223</v>
      </c>
      <c r="F429" s="9" t="n">
        <v>95</v>
      </c>
      <c r="G429" s="9" t="n">
        <v>1.96</v>
      </c>
      <c r="H429" s="9" t="n">
        <v>93.04000000000001</v>
      </c>
      <c r="I429" t="inlineStr">
        <is>
          <t>INV/2026/04050</t>
        </is>
      </c>
      <c r="J429" s="9">
        <f>ROUND(F429-G429-H429,2)</f>
        <v>0</v>
      </c>
    </row>
    <row r="430">
      <c r="A430" t="inlineStr">
        <is>
          <t>po_1Q0016KX</t>
        </is>
      </c>
      <c r="B430" s="5" t="n">
        <v>46225</v>
      </c>
      <c r="C430" t="inlineStr">
        <is>
          <t>ch_3Q000426</t>
        </is>
      </c>
      <c r="D430" t="inlineStr">
        <is>
          <t>charge</t>
        </is>
      </c>
      <c r="E430" s="5" t="n">
        <v>46223</v>
      </c>
      <c r="F430" s="9" t="n">
        <v>150</v>
      </c>
      <c r="G430" s="9" t="n">
        <v>2.93</v>
      </c>
      <c r="H430" s="9" t="n">
        <v>147.07</v>
      </c>
      <c r="I430" t="inlineStr">
        <is>
          <t>INV/2026/04051</t>
        </is>
      </c>
      <c r="J430" s="9">
        <f>ROUND(F430-G430-H430,2)</f>
        <v>0</v>
      </c>
    </row>
    <row r="431">
      <c r="A431" t="inlineStr">
        <is>
          <t>po_1Q0016KX</t>
        </is>
      </c>
      <c r="B431" s="5" t="n">
        <v>46225</v>
      </c>
      <c r="C431" t="inlineStr">
        <is>
          <t>ch_3Q000427</t>
        </is>
      </c>
      <c r="D431" t="inlineStr">
        <is>
          <t>charge</t>
        </is>
      </c>
      <c r="E431" s="5" t="n">
        <v>46223</v>
      </c>
      <c r="F431" s="9" t="n">
        <v>85</v>
      </c>
      <c r="G431" s="9" t="n">
        <v>1.79</v>
      </c>
      <c r="H431" s="9" t="n">
        <v>83.20999999999999</v>
      </c>
      <c r="I431" t="inlineStr">
        <is>
          <t>INV/2026/04052</t>
        </is>
      </c>
      <c r="J431" s="9">
        <f>ROUND(F431-G431-H431,2)</f>
        <v>0</v>
      </c>
    </row>
    <row r="432">
      <c r="A432" t="inlineStr">
        <is>
          <t>po_1Q0016KX</t>
        </is>
      </c>
      <c r="B432" s="5" t="n">
        <v>46225</v>
      </c>
      <c r="C432" t="inlineStr">
        <is>
          <t>ch_3Q000428</t>
        </is>
      </c>
      <c r="D432" t="inlineStr">
        <is>
          <t>charge</t>
        </is>
      </c>
      <c r="E432" s="5" t="n">
        <v>46223</v>
      </c>
      <c r="F432" s="9" t="n">
        <v>95</v>
      </c>
      <c r="G432" s="9" t="n">
        <v>1.96</v>
      </c>
      <c r="H432" s="9" t="n">
        <v>93.04000000000001</v>
      </c>
      <c r="I432" t="inlineStr">
        <is>
          <t>INV/2026/04053</t>
        </is>
      </c>
      <c r="J432" s="9">
        <f>ROUND(F432-G432-H432,2)</f>
        <v>0</v>
      </c>
    </row>
    <row r="433">
      <c r="A433" t="inlineStr">
        <is>
          <t>po_1Q0016KX</t>
        </is>
      </c>
      <c r="B433" s="5" t="n">
        <v>46225</v>
      </c>
      <c r="C433" t="inlineStr">
        <is>
          <t>ch_3Q000429</t>
        </is>
      </c>
      <c r="D433" t="inlineStr">
        <is>
          <t>charge</t>
        </is>
      </c>
      <c r="E433" s="5" t="n">
        <v>46223</v>
      </c>
      <c r="F433" s="9" t="n">
        <v>65</v>
      </c>
      <c r="G433" s="9" t="n">
        <v>1.44</v>
      </c>
      <c r="H433" s="9" t="n">
        <v>63.56</v>
      </c>
      <c r="I433" t="inlineStr">
        <is>
          <t>INV/2026/04054</t>
        </is>
      </c>
      <c r="J433" s="9">
        <f>ROUND(F433-G433-H433,2)</f>
        <v>0</v>
      </c>
    </row>
    <row r="434">
      <c r="A434" t="inlineStr">
        <is>
          <t>po_1Q0016KX</t>
        </is>
      </c>
      <c r="B434" s="5" t="n">
        <v>46225</v>
      </c>
      <c r="C434" t="inlineStr">
        <is>
          <t>ch_3Q000430</t>
        </is>
      </c>
      <c r="D434" t="inlineStr">
        <is>
          <t>charge</t>
        </is>
      </c>
      <c r="E434" s="5" t="n">
        <v>46223</v>
      </c>
      <c r="F434" s="9" t="n">
        <v>85</v>
      </c>
      <c r="G434" s="9" t="n">
        <v>1.79</v>
      </c>
      <c r="H434" s="9" t="n">
        <v>83.20999999999999</v>
      </c>
      <c r="I434" t="inlineStr">
        <is>
          <t>INV/2026/04055</t>
        </is>
      </c>
      <c r="J434" s="9">
        <f>ROUND(F434-G434-H434,2)</f>
        <v>0</v>
      </c>
    </row>
    <row r="435">
      <c r="A435" t="inlineStr">
        <is>
          <t>po_1Q0016KX</t>
        </is>
      </c>
      <c r="B435" s="5" t="n">
        <v>46225</v>
      </c>
      <c r="C435" t="inlineStr">
        <is>
          <t>ch_3Q000431</t>
        </is>
      </c>
      <c r="D435" t="inlineStr">
        <is>
          <t>charge</t>
        </is>
      </c>
      <c r="E435" s="5" t="n">
        <v>46223</v>
      </c>
      <c r="F435" s="9" t="n">
        <v>65</v>
      </c>
      <c r="G435" s="9" t="n">
        <v>1.44</v>
      </c>
      <c r="H435" s="9" t="n">
        <v>63.56</v>
      </c>
      <c r="I435" t="inlineStr">
        <is>
          <t>INV/2026/04056</t>
        </is>
      </c>
      <c r="J435" s="9">
        <f>ROUND(F435-G435-H435,2)</f>
        <v>0</v>
      </c>
    </row>
    <row r="436">
      <c r="A436" t="inlineStr">
        <is>
          <t>po_1Q0016KX</t>
        </is>
      </c>
      <c r="B436" s="5" t="n">
        <v>46225</v>
      </c>
      <c r="C436" t="inlineStr">
        <is>
          <t>ch_3Q000432</t>
        </is>
      </c>
      <c r="D436" t="inlineStr">
        <is>
          <t>charge</t>
        </is>
      </c>
      <c r="E436" s="5" t="n">
        <v>46223</v>
      </c>
      <c r="F436" s="9" t="n">
        <v>180</v>
      </c>
      <c r="G436" s="9" t="n">
        <v>3.45</v>
      </c>
      <c r="H436" s="9" t="n">
        <v>176.55</v>
      </c>
      <c r="I436" t="inlineStr">
        <is>
          <t>INV/2026/04057</t>
        </is>
      </c>
      <c r="J436" s="9">
        <f>ROUND(F436-G436-H436,2)</f>
        <v>0</v>
      </c>
    </row>
    <row r="437">
      <c r="A437" t="inlineStr">
        <is>
          <t>po_1Q0016KX</t>
        </is>
      </c>
      <c r="B437" s="5" t="n">
        <v>46225</v>
      </c>
      <c r="C437" t="inlineStr">
        <is>
          <t>ch_3Q000433</t>
        </is>
      </c>
      <c r="D437" t="inlineStr">
        <is>
          <t>charge</t>
        </is>
      </c>
      <c r="E437" s="5" t="n">
        <v>46223</v>
      </c>
      <c r="F437" s="9" t="n">
        <v>110</v>
      </c>
      <c r="G437" s="9" t="n">
        <v>2.23</v>
      </c>
      <c r="H437" s="9" t="n">
        <v>107.77</v>
      </c>
      <c r="I437" t="inlineStr">
        <is>
          <t>INV/2026/04058</t>
        </is>
      </c>
      <c r="J437" s="9">
        <f>ROUND(F437-G437-H437,2)</f>
        <v>0</v>
      </c>
    </row>
    <row r="438">
      <c r="A438" t="inlineStr">
        <is>
          <t>po_1Q0016KX</t>
        </is>
      </c>
      <c r="B438" s="5" t="n">
        <v>46225</v>
      </c>
      <c r="C438" t="inlineStr">
        <is>
          <t>ch_3Q000434</t>
        </is>
      </c>
      <c r="D438" t="inlineStr">
        <is>
          <t>charge</t>
        </is>
      </c>
      <c r="E438" s="5" t="n">
        <v>46223</v>
      </c>
      <c r="F438" s="9" t="n">
        <v>150</v>
      </c>
      <c r="G438" s="9" t="n">
        <v>2.93</v>
      </c>
      <c r="H438" s="9" t="n">
        <v>147.07</v>
      </c>
      <c r="I438" t="inlineStr">
        <is>
          <t>INV/2026/04059</t>
        </is>
      </c>
      <c r="J438" s="9">
        <f>ROUND(F438-G438-H438,2)</f>
        <v>0</v>
      </c>
    </row>
    <row r="439">
      <c r="A439" t="inlineStr">
        <is>
          <t>po_1Q0016KX</t>
        </is>
      </c>
      <c r="B439" s="5" t="n">
        <v>46225</v>
      </c>
      <c r="C439" t="inlineStr">
        <is>
          <t>ch_3Q000435</t>
        </is>
      </c>
      <c r="D439" t="inlineStr">
        <is>
          <t>charge</t>
        </is>
      </c>
      <c r="E439" s="5" t="n">
        <v>46223</v>
      </c>
      <c r="F439" s="9" t="n">
        <v>85</v>
      </c>
      <c r="G439" s="9" t="n">
        <v>1.79</v>
      </c>
      <c r="H439" s="9" t="n">
        <v>83.20999999999999</v>
      </c>
      <c r="I439" t="inlineStr">
        <is>
          <t>INV/2026/04060</t>
        </is>
      </c>
      <c r="J439" s="9">
        <f>ROUND(F439-G439-H439,2)</f>
        <v>0</v>
      </c>
    </row>
    <row r="440">
      <c r="A440" t="inlineStr">
        <is>
          <t>po_1Q0016KX</t>
        </is>
      </c>
      <c r="B440" s="5" t="n">
        <v>46225</v>
      </c>
      <c r="C440" t="inlineStr">
        <is>
          <t>ch_3Q000436</t>
        </is>
      </c>
      <c r="D440" t="inlineStr">
        <is>
          <t>charge</t>
        </is>
      </c>
      <c r="E440" s="5" t="n">
        <v>46223</v>
      </c>
      <c r="F440" s="9" t="n">
        <v>85</v>
      </c>
      <c r="G440" s="9" t="n">
        <v>1.79</v>
      </c>
      <c r="H440" s="9" t="n">
        <v>83.20999999999999</v>
      </c>
      <c r="I440" t="inlineStr">
        <is>
          <t>INV/2026/04061</t>
        </is>
      </c>
      <c r="J440" s="9">
        <f>ROUND(F440-G440-H440,2)</f>
        <v>0</v>
      </c>
    </row>
    <row r="441">
      <c r="A441" t="inlineStr">
        <is>
          <t>po_1Q0016KX</t>
        </is>
      </c>
      <c r="B441" s="5" t="n">
        <v>46225</v>
      </c>
      <c r="C441" t="inlineStr">
        <is>
          <t>ch_3Q000437</t>
        </is>
      </c>
      <c r="D441" t="inlineStr">
        <is>
          <t>charge</t>
        </is>
      </c>
      <c r="E441" s="5" t="n">
        <v>46223</v>
      </c>
      <c r="F441" s="9" t="n">
        <v>135</v>
      </c>
      <c r="G441" s="9" t="n">
        <v>2.66</v>
      </c>
      <c r="H441" s="9" t="n">
        <v>132.34</v>
      </c>
      <c r="I441" t="inlineStr">
        <is>
          <t>INV/2026/04062</t>
        </is>
      </c>
      <c r="J441" s="9">
        <f>ROUND(F441-G441-H441,2)</f>
        <v>0</v>
      </c>
    </row>
    <row r="442">
      <c r="A442" t="inlineStr">
        <is>
          <t>po_1Q0016KX</t>
        </is>
      </c>
      <c r="B442" s="5" t="n">
        <v>46225</v>
      </c>
      <c r="C442" t="inlineStr">
        <is>
          <t>ch_3Q000438</t>
        </is>
      </c>
      <c r="D442" t="inlineStr">
        <is>
          <t>charge</t>
        </is>
      </c>
      <c r="E442" s="5" t="n">
        <v>46223</v>
      </c>
      <c r="F442" s="9" t="n">
        <v>95</v>
      </c>
      <c r="G442" s="9" t="n">
        <v>1.96</v>
      </c>
      <c r="H442" s="9" t="n">
        <v>93.04000000000001</v>
      </c>
      <c r="I442" t="inlineStr">
        <is>
          <t>INV/2026/04063</t>
        </is>
      </c>
      <c r="J442" s="9">
        <f>ROUND(F442-G442-H442,2)</f>
        <v>0</v>
      </c>
    </row>
    <row r="443">
      <c r="A443" t="inlineStr">
        <is>
          <t>po_1Q0016KX</t>
        </is>
      </c>
      <c r="B443" s="5" t="n">
        <v>46225</v>
      </c>
      <c r="C443" t="inlineStr">
        <is>
          <t>ch_3Q000439</t>
        </is>
      </c>
      <c r="D443" t="inlineStr">
        <is>
          <t>charge</t>
        </is>
      </c>
      <c r="E443" s="5" t="n">
        <v>46223</v>
      </c>
      <c r="F443" s="9" t="n">
        <v>85</v>
      </c>
      <c r="G443" s="9" t="n">
        <v>1.79</v>
      </c>
      <c r="H443" s="9" t="n">
        <v>83.20999999999999</v>
      </c>
      <c r="I443" t="inlineStr">
        <is>
          <t>INV/2026/04064</t>
        </is>
      </c>
      <c r="J443" s="9">
        <f>ROUND(F443-G443-H443,2)</f>
        <v>0</v>
      </c>
    </row>
    <row r="444">
      <c r="A444" t="inlineStr">
        <is>
          <t>po_1Q0016KX</t>
        </is>
      </c>
      <c r="B444" s="5" t="n">
        <v>46225</v>
      </c>
      <c r="C444" t="inlineStr">
        <is>
          <t>ch_3Q000440</t>
        </is>
      </c>
      <c r="D444" t="inlineStr">
        <is>
          <t>charge</t>
        </is>
      </c>
      <c r="E444" s="5" t="n">
        <v>46223</v>
      </c>
      <c r="F444" s="9" t="n">
        <v>65</v>
      </c>
      <c r="G444" s="9" t="n">
        <v>1.44</v>
      </c>
      <c r="H444" s="9" t="n">
        <v>63.56</v>
      </c>
      <c r="I444" t="inlineStr">
        <is>
          <t>INV/2026/04065</t>
        </is>
      </c>
      <c r="J444" s="9">
        <f>ROUND(F444-G444-H444,2)</f>
        <v>0</v>
      </c>
    </row>
    <row r="445">
      <c r="A445" t="inlineStr">
        <is>
          <t>po_1Q0016KX</t>
        </is>
      </c>
      <c r="B445" s="5" t="n">
        <v>46225</v>
      </c>
      <c r="C445" t="inlineStr">
        <is>
          <t>ch_3Q000441</t>
        </is>
      </c>
      <c r="D445" t="inlineStr">
        <is>
          <t>charge</t>
        </is>
      </c>
      <c r="E445" s="5" t="n">
        <v>46223</v>
      </c>
      <c r="F445" s="9" t="n">
        <v>110</v>
      </c>
      <c r="G445" s="9" t="n">
        <v>2.23</v>
      </c>
      <c r="H445" s="9" t="n">
        <v>107.77</v>
      </c>
      <c r="I445" t="inlineStr">
        <is>
          <t>INV/2026/04066</t>
        </is>
      </c>
      <c r="J445" s="9">
        <f>ROUND(F445-G445-H445,2)</f>
        <v>0</v>
      </c>
    </row>
    <row r="446">
      <c r="A446" t="inlineStr">
        <is>
          <t>po_1Q0016KX</t>
        </is>
      </c>
      <c r="B446" s="5" t="n">
        <v>46225</v>
      </c>
      <c r="C446" t="inlineStr">
        <is>
          <t>ch_3Q000442</t>
        </is>
      </c>
      <c r="D446" t="inlineStr">
        <is>
          <t>charge</t>
        </is>
      </c>
      <c r="E446" s="5" t="n">
        <v>46223</v>
      </c>
      <c r="F446" s="9" t="n">
        <v>65</v>
      </c>
      <c r="G446" s="9" t="n">
        <v>1.44</v>
      </c>
      <c r="H446" s="9" t="n">
        <v>63.56</v>
      </c>
      <c r="I446" t="inlineStr">
        <is>
          <t>INV/2026/04067</t>
        </is>
      </c>
      <c r="J446" s="9">
        <f>ROUND(F446-G446-H446,2)</f>
        <v>0</v>
      </c>
    </row>
    <row r="447">
      <c r="A447" t="inlineStr">
        <is>
          <t>po_1Q0016KX</t>
        </is>
      </c>
      <c r="B447" s="5" t="n">
        <v>46225</v>
      </c>
      <c r="C447" t="inlineStr">
        <is>
          <t>ch_3Q000443</t>
        </is>
      </c>
      <c r="D447" t="inlineStr">
        <is>
          <t>charge</t>
        </is>
      </c>
      <c r="E447" s="5" t="n">
        <v>46223</v>
      </c>
      <c r="F447" s="9" t="n">
        <v>120</v>
      </c>
      <c r="G447" s="9" t="n">
        <v>2.4</v>
      </c>
      <c r="H447" s="9" t="n">
        <v>117.6</v>
      </c>
      <c r="I447" t="inlineStr">
        <is>
          <t>INV/2026/04068</t>
        </is>
      </c>
      <c r="J447" s="9">
        <f>ROUND(F447-G447-H447,2)</f>
        <v>0</v>
      </c>
    </row>
    <row r="448">
      <c r="A448" t="inlineStr">
        <is>
          <t>po_1Q0016KX</t>
        </is>
      </c>
      <c r="B448" s="5" t="n">
        <v>46225</v>
      </c>
      <c r="C448" t="inlineStr">
        <is>
          <t>ch_3Q000444</t>
        </is>
      </c>
      <c r="D448" t="inlineStr">
        <is>
          <t>charge</t>
        </is>
      </c>
      <c r="E448" s="5" t="n">
        <v>46223</v>
      </c>
      <c r="F448" s="9" t="n">
        <v>110</v>
      </c>
      <c r="G448" s="9" t="n">
        <v>2.23</v>
      </c>
      <c r="H448" s="9" t="n">
        <v>107.77</v>
      </c>
      <c r="I448" t="inlineStr">
        <is>
          <t>INV/2026/04069</t>
        </is>
      </c>
      <c r="J448" s="9">
        <f>ROUND(F448-G448-H448,2)</f>
        <v>0</v>
      </c>
    </row>
    <row r="449">
      <c r="A449" t="inlineStr">
        <is>
          <t>po_1Q0016KX</t>
        </is>
      </c>
      <c r="B449" s="5" t="n">
        <v>46225</v>
      </c>
      <c r="C449" t="inlineStr">
        <is>
          <t>ch_3Q000445</t>
        </is>
      </c>
      <c r="D449" t="inlineStr">
        <is>
          <t>charge</t>
        </is>
      </c>
      <c r="E449" s="5" t="n">
        <v>46223</v>
      </c>
      <c r="F449" s="9" t="n">
        <v>95</v>
      </c>
      <c r="G449" s="9" t="n">
        <v>1.96</v>
      </c>
      <c r="H449" s="9" t="n">
        <v>93.04000000000001</v>
      </c>
      <c r="I449" t="inlineStr">
        <is>
          <t>INV/2026/04070</t>
        </is>
      </c>
      <c r="J449" s="9">
        <f>ROUND(F449-G449-H449,2)</f>
        <v>0</v>
      </c>
    </row>
    <row r="450">
      <c r="A450" t="inlineStr">
        <is>
          <t>po_1Q0016KX</t>
        </is>
      </c>
      <c r="B450" s="5" t="n">
        <v>46225</v>
      </c>
      <c r="C450" t="inlineStr">
        <is>
          <t>ch_3Q000446</t>
        </is>
      </c>
      <c r="D450" t="inlineStr">
        <is>
          <t>charge</t>
        </is>
      </c>
      <c r="E450" s="5" t="n">
        <v>46223</v>
      </c>
      <c r="F450" s="9" t="n">
        <v>180</v>
      </c>
      <c r="G450" s="9" t="n">
        <v>3.45</v>
      </c>
      <c r="H450" s="9" t="n">
        <v>176.55</v>
      </c>
      <c r="I450" t="inlineStr">
        <is>
          <t>INV/2026/04071</t>
        </is>
      </c>
      <c r="J450" s="9">
        <f>ROUND(F450-G450-H450,2)</f>
        <v>0</v>
      </c>
    </row>
    <row r="451">
      <c r="A451" t="inlineStr">
        <is>
          <t>po_1Q0016KX</t>
        </is>
      </c>
      <c r="B451" s="5" t="n">
        <v>46225</v>
      </c>
      <c r="C451" t="inlineStr">
        <is>
          <t>ch_3Q000447</t>
        </is>
      </c>
      <c r="D451" t="inlineStr">
        <is>
          <t>charge</t>
        </is>
      </c>
      <c r="E451" s="5" t="n">
        <v>46223</v>
      </c>
      <c r="F451" s="9" t="n">
        <v>150</v>
      </c>
      <c r="G451" s="9" t="n">
        <v>2.93</v>
      </c>
      <c r="H451" s="9" t="n">
        <v>147.07</v>
      </c>
      <c r="I451" t="inlineStr">
        <is>
          <t>INV/2026/04072</t>
        </is>
      </c>
      <c r="J451" s="9">
        <f>ROUND(F451-G451-H451,2)</f>
        <v>0</v>
      </c>
    </row>
    <row r="452">
      <c r="A452" t="inlineStr">
        <is>
          <t>po_1Q0016KX</t>
        </is>
      </c>
      <c r="B452" s="5" t="n">
        <v>46225</v>
      </c>
      <c r="C452" t="inlineStr">
        <is>
          <t>ch_3Q000448</t>
        </is>
      </c>
      <c r="D452" t="inlineStr">
        <is>
          <t>charge</t>
        </is>
      </c>
      <c r="E452" s="5" t="n">
        <v>46223</v>
      </c>
      <c r="F452" s="9" t="n">
        <v>180</v>
      </c>
      <c r="G452" s="9" t="n">
        <v>3.45</v>
      </c>
      <c r="H452" s="9" t="n">
        <v>176.55</v>
      </c>
      <c r="I452" t="inlineStr">
        <is>
          <t>INV/2026/04073</t>
        </is>
      </c>
      <c r="J452" s="9">
        <f>ROUND(F452-G452-H452,2)</f>
        <v>0</v>
      </c>
    </row>
    <row r="453">
      <c r="A453" t="inlineStr">
        <is>
          <t>po_1Q0016KX</t>
        </is>
      </c>
      <c r="B453" s="5" t="n">
        <v>46225</v>
      </c>
      <c r="C453" t="inlineStr">
        <is>
          <t>ch_3Q000449</t>
        </is>
      </c>
      <c r="D453" t="inlineStr">
        <is>
          <t>charge</t>
        </is>
      </c>
      <c r="E453" s="5" t="n">
        <v>46223</v>
      </c>
      <c r="F453" s="9" t="n">
        <v>180</v>
      </c>
      <c r="G453" s="9" t="n">
        <v>3.45</v>
      </c>
      <c r="H453" s="9" t="n">
        <v>176.55</v>
      </c>
      <c r="I453" t="inlineStr">
        <is>
          <t>INV/2026/04074</t>
        </is>
      </c>
      <c r="J453" s="9">
        <f>ROUND(F453-G453-H453,2)</f>
        <v>0</v>
      </c>
    </row>
    <row r="454">
      <c r="A454" t="inlineStr">
        <is>
          <t>po_1Q0016KX</t>
        </is>
      </c>
      <c r="B454" s="5" t="n">
        <v>46225</v>
      </c>
      <c r="C454" t="inlineStr">
        <is>
          <t>ch_3Q000450</t>
        </is>
      </c>
      <c r="D454" t="inlineStr">
        <is>
          <t>charge</t>
        </is>
      </c>
      <c r="E454" s="5" t="n">
        <v>46223</v>
      </c>
      <c r="F454" s="9" t="n">
        <v>135</v>
      </c>
      <c r="G454" s="9" t="n">
        <v>2.66</v>
      </c>
      <c r="H454" s="9" t="n">
        <v>132.34</v>
      </c>
      <c r="I454" t="inlineStr">
        <is>
          <t>INV/2026/04075</t>
        </is>
      </c>
      <c r="J454" s="9">
        <f>ROUND(F454-G454-H454,2)</f>
        <v>0</v>
      </c>
    </row>
    <row r="455">
      <c r="A455" t="inlineStr">
        <is>
          <t>po_1Q0016KX</t>
        </is>
      </c>
      <c r="B455" s="5" t="n">
        <v>46225</v>
      </c>
      <c r="C455" t="inlineStr">
        <is>
          <t>ch_3Q000451</t>
        </is>
      </c>
      <c r="D455" t="inlineStr">
        <is>
          <t>charge</t>
        </is>
      </c>
      <c r="E455" s="5" t="n">
        <v>46223</v>
      </c>
      <c r="F455" s="9" t="n">
        <v>180</v>
      </c>
      <c r="G455" s="9" t="n">
        <v>3.45</v>
      </c>
      <c r="H455" s="9" t="n">
        <v>176.55</v>
      </c>
      <c r="I455" t="inlineStr">
        <is>
          <t>INV/2026/04076</t>
        </is>
      </c>
      <c r="J455" s="9">
        <f>ROUND(F455-G455-H455,2)</f>
        <v>0</v>
      </c>
    </row>
    <row r="456">
      <c r="A456" t="inlineStr">
        <is>
          <t>po_1Q0016KX</t>
        </is>
      </c>
      <c r="B456" s="5" t="n">
        <v>46225</v>
      </c>
      <c r="C456" t="inlineStr">
        <is>
          <t>ch_3Q000452</t>
        </is>
      </c>
      <c r="D456" t="inlineStr">
        <is>
          <t>charge</t>
        </is>
      </c>
      <c r="E456" s="5" t="n">
        <v>46223</v>
      </c>
      <c r="F456" s="9" t="n">
        <v>220</v>
      </c>
      <c r="G456" s="9" t="n">
        <v>4.15</v>
      </c>
      <c r="H456" s="9" t="n">
        <v>215.85</v>
      </c>
      <c r="I456" t="inlineStr">
        <is>
          <t>INV/2026/04077</t>
        </is>
      </c>
      <c r="J456" s="9">
        <f>ROUND(F456-G456-H456,2)</f>
        <v>0</v>
      </c>
    </row>
    <row r="457">
      <c r="A457" t="inlineStr">
        <is>
          <t>po_1Q0017KX</t>
        </is>
      </c>
      <c r="B457" s="5" t="n">
        <v>46226</v>
      </c>
      <c r="C457" t="inlineStr">
        <is>
          <t>ch_3Q000453</t>
        </is>
      </c>
      <c r="D457" t="inlineStr">
        <is>
          <t>charge</t>
        </is>
      </c>
      <c r="E457" s="5" t="n">
        <v>46224</v>
      </c>
      <c r="F457" s="9" t="n">
        <v>95</v>
      </c>
      <c r="G457" s="9" t="n">
        <v>1.96</v>
      </c>
      <c r="H457" s="9" t="n">
        <v>93.04000000000001</v>
      </c>
      <c r="I457" t="inlineStr">
        <is>
          <t>INV/2026/04078</t>
        </is>
      </c>
      <c r="J457" s="9">
        <f>ROUND(F457-G457-H457,2)</f>
        <v>0</v>
      </c>
    </row>
    <row r="458">
      <c r="A458" t="inlineStr">
        <is>
          <t>po_1Q0017KX</t>
        </is>
      </c>
      <c r="B458" s="5" t="n">
        <v>46226</v>
      </c>
      <c r="C458" t="inlineStr">
        <is>
          <t>ch_3Q000454</t>
        </is>
      </c>
      <c r="D458" t="inlineStr">
        <is>
          <t>charge</t>
        </is>
      </c>
      <c r="E458" s="5" t="n">
        <v>46224</v>
      </c>
      <c r="F458" s="9" t="n">
        <v>85</v>
      </c>
      <c r="G458" s="9" t="n">
        <v>1.79</v>
      </c>
      <c r="H458" s="9" t="n">
        <v>83.20999999999999</v>
      </c>
      <c r="I458" t="inlineStr">
        <is>
          <t>INV/2026/04079</t>
        </is>
      </c>
      <c r="J458" s="9">
        <f>ROUND(F458-G458-H458,2)</f>
        <v>0</v>
      </c>
    </row>
    <row r="459">
      <c r="A459" t="inlineStr">
        <is>
          <t>po_1Q0017KX</t>
        </is>
      </c>
      <c r="B459" s="5" t="n">
        <v>46226</v>
      </c>
      <c r="C459" t="inlineStr">
        <is>
          <t>ch_3Q000455</t>
        </is>
      </c>
      <c r="D459" t="inlineStr">
        <is>
          <t>charge</t>
        </is>
      </c>
      <c r="E459" s="5" t="n">
        <v>46224</v>
      </c>
      <c r="F459" s="9" t="n">
        <v>180</v>
      </c>
      <c r="G459" s="9" t="n">
        <v>3.45</v>
      </c>
      <c r="H459" s="9" t="n">
        <v>176.55</v>
      </c>
      <c r="I459" t="inlineStr">
        <is>
          <t>INV/2026/04080</t>
        </is>
      </c>
      <c r="J459" s="9">
        <f>ROUND(F459-G459-H459,2)</f>
        <v>0</v>
      </c>
    </row>
    <row r="460">
      <c r="A460" t="inlineStr">
        <is>
          <t>po_1Q0017KX</t>
        </is>
      </c>
      <c r="B460" s="5" t="n">
        <v>46226</v>
      </c>
      <c r="C460" t="inlineStr">
        <is>
          <t>ch_3Q000456</t>
        </is>
      </c>
      <c r="D460" t="inlineStr">
        <is>
          <t>charge</t>
        </is>
      </c>
      <c r="E460" s="5" t="n">
        <v>46224</v>
      </c>
      <c r="F460" s="9" t="n">
        <v>135</v>
      </c>
      <c r="G460" s="9" t="n">
        <v>2.66</v>
      </c>
      <c r="H460" s="9" t="n">
        <v>132.34</v>
      </c>
      <c r="I460" t="inlineStr">
        <is>
          <t>INV/2026/04081</t>
        </is>
      </c>
      <c r="J460" s="9">
        <f>ROUND(F460-G460-H460,2)</f>
        <v>0</v>
      </c>
    </row>
    <row r="461">
      <c r="A461" t="inlineStr">
        <is>
          <t>po_1Q0017KX</t>
        </is>
      </c>
      <c r="B461" s="5" t="n">
        <v>46226</v>
      </c>
      <c r="C461" t="inlineStr">
        <is>
          <t>ch_3Q000457</t>
        </is>
      </c>
      <c r="D461" t="inlineStr">
        <is>
          <t>charge</t>
        </is>
      </c>
      <c r="E461" s="5" t="n">
        <v>46224</v>
      </c>
      <c r="F461" s="9" t="n">
        <v>180</v>
      </c>
      <c r="G461" s="9" t="n">
        <v>3.45</v>
      </c>
      <c r="H461" s="9" t="n">
        <v>176.55</v>
      </c>
      <c r="I461" t="inlineStr">
        <is>
          <t>INV/2026/04082</t>
        </is>
      </c>
      <c r="J461" s="9">
        <f>ROUND(F461-G461-H461,2)</f>
        <v>0</v>
      </c>
    </row>
    <row r="462">
      <c r="A462" t="inlineStr">
        <is>
          <t>po_1Q0017KX</t>
        </is>
      </c>
      <c r="B462" s="5" t="n">
        <v>46226</v>
      </c>
      <c r="C462" t="inlineStr">
        <is>
          <t>ch_3Q000458</t>
        </is>
      </c>
      <c r="D462" t="inlineStr">
        <is>
          <t>charge</t>
        </is>
      </c>
      <c r="E462" s="5" t="n">
        <v>46224</v>
      </c>
      <c r="F462" s="9" t="n">
        <v>65</v>
      </c>
      <c r="G462" s="9" t="n">
        <v>1.44</v>
      </c>
      <c r="H462" s="9" t="n">
        <v>63.56</v>
      </c>
      <c r="I462" t="inlineStr">
        <is>
          <t>INV/2026/04083</t>
        </is>
      </c>
      <c r="J462" s="9">
        <f>ROUND(F462-G462-H462,2)</f>
        <v>0</v>
      </c>
    </row>
    <row r="463">
      <c r="A463" t="inlineStr">
        <is>
          <t>po_1Q0017KX</t>
        </is>
      </c>
      <c r="B463" s="5" t="n">
        <v>46226</v>
      </c>
      <c r="C463" t="inlineStr">
        <is>
          <t>ch_3Q000459</t>
        </is>
      </c>
      <c r="D463" t="inlineStr">
        <is>
          <t>charge</t>
        </is>
      </c>
      <c r="E463" s="5" t="n">
        <v>46224</v>
      </c>
      <c r="F463" s="9" t="n">
        <v>220</v>
      </c>
      <c r="G463" s="9" t="n">
        <v>4.15</v>
      </c>
      <c r="H463" s="9" t="n">
        <v>215.85</v>
      </c>
      <c r="I463" t="inlineStr">
        <is>
          <t>INV/2026/04084</t>
        </is>
      </c>
      <c r="J463" s="9">
        <f>ROUND(F463-G463-H463,2)</f>
        <v>0</v>
      </c>
    </row>
    <row r="464">
      <c r="A464" t="inlineStr">
        <is>
          <t>po_1Q0017KX</t>
        </is>
      </c>
      <c r="B464" s="5" t="n">
        <v>46226</v>
      </c>
      <c r="C464" t="inlineStr">
        <is>
          <t>ch_3Q000460</t>
        </is>
      </c>
      <c r="D464" t="inlineStr">
        <is>
          <t>charge</t>
        </is>
      </c>
      <c r="E464" s="5" t="n">
        <v>46224</v>
      </c>
      <c r="F464" s="9" t="n">
        <v>220</v>
      </c>
      <c r="G464" s="9" t="n">
        <v>4.15</v>
      </c>
      <c r="H464" s="9" t="n">
        <v>215.85</v>
      </c>
      <c r="I464" t="inlineStr">
        <is>
          <t>INV/2026/04085</t>
        </is>
      </c>
      <c r="J464" s="9">
        <f>ROUND(F464-G464-H464,2)</f>
        <v>0</v>
      </c>
    </row>
    <row r="465">
      <c r="A465" t="inlineStr">
        <is>
          <t>po_1Q0017KX</t>
        </is>
      </c>
      <c r="B465" s="5" t="n">
        <v>46226</v>
      </c>
      <c r="C465" t="inlineStr">
        <is>
          <t>ch_3Q000461</t>
        </is>
      </c>
      <c r="D465" t="inlineStr">
        <is>
          <t>charge</t>
        </is>
      </c>
      <c r="E465" s="5" t="n">
        <v>46224</v>
      </c>
      <c r="F465" s="9" t="n">
        <v>120</v>
      </c>
      <c r="G465" s="9" t="n">
        <v>2.4</v>
      </c>
      <c r="H465" s="9" t="n">
        <v>117.6</v>
      </c>
      <c r="I465" t="inlineStr">
        <is>
          <t>INV/2026/04086</t>
        </is>
      </c>
      <c r="J465" s="9">
        <f>ROUND(F465-G465-H465,2)</f>
        <v>0</v>
      </c>
    </row>
    <row r="466">
      <c r="A466" t="inlineStr">
        <is>
          <t>po_1Q0017KX</t>
        </is>
      </c>
      <c r="B466" s="5" t="n">
        <v>46226</v>
      </c>
      <c r="C466" t="inlineStr">
        <is>
          <t>ch_3Q000462</t>
        </is>
      </c>
      <c r="D466" t="inlineStr">
        <is>
          <t>charge</t>
        </is>
      </c>
      <c r="E466" s="5" t="n">
        <v>46224</v>
      </c>
      <c r="F466" s="9" t="n">
        <v>95</v>
      </c>
      <c r="G466" s="9" t="n">
        <v>1.96</v>
      </c>
      <c r="H466" s="9" t="n">
        <v>93.04000000000001</v>
      </c>
      <c r="I466" t="inlineStr">
        <is>
          <t>INV/2026/04087</t>
        </is>
      </c>
      <c r="J466" s="9">
        <f>ROUND(F466-G466-H466,2)</f>
        <v>0</v>
      </c>
    </row>
    <row r="467">
      <c r="A467" t="inlineStr">
        <is>
          <t>po_1Q0017KX</t>
        </is>
      </c>
      <c r="B467" s="5" t="n">
        <v>46226</v>
      </c>
      <c r="C467" t="inlineStr">
        <is>
          <t>ch_3Q000463</t>
        </is>
      </c>
      <c r="D467" t="inlineStr">
        <is>
          <t>charge</t>
        </is>
      </c>
      <c r="E467" s="5" t="n">
        <v>46224</v>
      </c>
      <c r="F467" s="9" t="n">
        <v>150</v>
      </c>
      <c r="G467" s="9" t="n">
        <v>2.93</v>
      </c>
      <c r="H467" s="9" t="n">
        <v>147.07</v>
      </c>
      <c r="I467" t="inlineStr">
        <is>
          <t>INV/2026/04088</t>
        </is>
      </c>
      <c r="J467" s="9">
        <f>ROUND(F467-G467-H467,2)</f>
        <v>0</v>
      </c>
    </row>
    <row r="468">
      <c r="A468" t="inlineStr">
        <is>
          <t>po_1Q0017KX</t>
        </is>
      </c>
      <c r="B468" s="5" t="n">
        <v>46226</v>
      </c>
      <c r="C468" t="inlineStr">
        <is>
          <t>ch_3Q000464</t>
        </is>
      </c>
      <c r="D468" t="inlineStr">
        <is>
          <t>charge</t>
        </is>
      </c>
      <c r="E468" s="5" t="n">
        <v>46224</v>
      </c>
      <c r="F468" s="9" t="n">
        <v>65</v>
      </c>
      <c r="G468" s="9" t="n">
        <v>1.44</v>
      </c>
      <c r="H468" s="9" t="n">
        <v>63.56</v>
      </c>
      <c r="I468" t="inlineStr">
        <is>
          <t>INV/2026/04089</t>
        </is>
      </c>
      <c r="J468" s="9">
        <f>ROUND(F468-G468-H468,2)</f>
        <v>0</v>
      </c>
    </row>
    <row r="469">
      <c r="A469" t="inlineStr">
        <is>
          <t>po_1Q0017KX</t>
        </is>
      </c>
      <c r="B469" s="5" t="n">
        <v>46226</v>
      </c>
      <c r="C469" t="inlineStr">
        <is>
          <t>ch_3Q000465</t>
        </is>
      </c>
      <c r="D469" t="inlineStr">
        <is>
          <t>charge</t>
        </is>
      </c>
      <c r="E469" s="5" t="n">
        <v>46224</v>
      </c>
      <c r="F469" s="9" t="n">
        <v>65</v>
      </c>
      <c r="G469" s="9" t="n">
        <v>1.44</v>
      </c>
      <c r="H469" s="9" t="n">
        <v>63.56</v>
      </c>
      <c r="I469" t="inlineStr">
        <is>
          <t>INV/2026/04090</t>
        </is>
      </c>
      <c r="J469" s="9">
        <f>ROUND(F469-G469-H469,2)</f>
        <v>0</v>
      </c>
    </row>
    <row r="470">
      <c r="A470" t="inlineStr">
        <is>
          <t>po_1Q0017KX</t>
        </is>
      </c>
      <c r="B470" s="5" t="n">
        <v>46226</v>
      </c>
      <c r="C470" t="inlineStr">
        <is>
          <t>ch_3Q000466</t>
        </is>
      </c>
      <c r="D470" t="inlineStr">
        <is>
          <t>charge</t>
        </is>
      </c>
      <c r="E470" s="5" t="n">
        <v>46224</v>
      </c>
      <c r="F470" s="9" t="n">
        <v>220</v>
      </c>
      <c r="G470" s="9" t="n">
        <v>4.15</v>
      </c>
      <c r="H470" s="9" t="n">
        <v>215.85</v>
      </c>
      <c r="I470" t="inlineStr">
        <is>
          <t>INV/2026/04091</t>
        </is>
      </c>
      <c r="J470" s="9">
        <f>ROUND(F470-G470-H470,2)</f>
        <v>0</v>
      </c>
    </row>
    <row r="471">
      <c r="A471" t="inlineStr">
        <is>
          <t>po_1Q0017KX</t>
        </is>
      </c>
      <c r="B471" s="5" t="n">
        <v>46226</v>
      </c>
      <c r="C471" t="inlineStr">
        <is>
          <t>ch_3Q000467</t>
        </is>
      </c>
      <c r="D471" t="inlineStr">
        <is>
          <t>charge</t>
        </is>
      </c>
      <c r="E471" s="5" t="n">
        <v>46224</v>
      </c>
      <c r="F471" s="9" t="n">
        <v>180</v>
      </c>
      <c r="G471" s="9" t="n">
        <v>3.45</v>
      </c>
      <c r="H471" s="9" t="n">
        <v>176.55</v>
      </c>
      <c r="I471" t="inlineStr">
        <is>
          <t>INV/2026/04092</t>
        </is>
      </c>
      <c r="J471" s="9">
        <f>ROUND(F471-G471-H471,2)</f>
        <v>0</v>
      </c>
    </row>
    <row r="472">
      <c r="A472" t="inlineStr">
        <is>
          <t>po_1Q0017KX</t>
        </is>
      </c>
      <c r="B472" s="5" t="n">
        <v>46226</v>
      </c>
      <c r="C472" t="inlineStr">
        <is>
          <t>ch_3Q000468</t>
        </is>
      </c>
      <c r="D472" t="inlineStr">
        <is>
          <t>charge</t>
        </is>
      </c>
      <c r="E472" s="5" t="n">
        <v>46224</v>
      </c>
      <c r="F472" s="9" t="n">
        <v>110</v>
      </c>
      <c r="G472" s="9" t="n">
        <v>2.23</v>
      </c>
      <c r="H472" s="9" t="n">
        <v>107.77</v>
      </c>
      <c r="I472" t="inlineStr">
        <is>
          <t>INV/2026/04093</t>
        </is>
      </c>
      <c r="J472" s="9">
        <f>ROUND(F472-G472-H472,2)</f>
        <v>0</v>
      </c>
    </row>
    <row r="473">
      <c r="A473" t="inlineStr">
        <is>
          <t>po_1Q0017KX</t>
        </is>
      </c>
      <c r="B473" s="5" t="n">
        <v>46226</v>
      </c>
      <c r="C473" t="inlineStr">
        <is>
          <t>ch_3Q000469</t>
        </is>
      </c>
      <c r="D473" t="inlineStr">
        <is>
          <t>charge</t>
        </is>
      </c>
      <c r="E473" s="5" t="n">
        <v>46224</v>
      </c>
      <c r="F473" s="9" t="n">
        <v>85</v>
      </c>
      <c r="G473" s="9" t="n">
        <v>1.79</v>
      </c>
      <c r="H473" s="9" t="n">
        <v>83.20999999999999</v>
      </c>
      <c r="I473" t="inlineStr">
        <is>
          <t>INV/2026/04094</t>
        </is>
      </c>
      <c r="J473" s="9">
        <f>ROUND(F473-G473-H473,2)</f>
        <v>0</v>
      </c>
    </row>
    <row r="474">
      <c r="A474" t="inlineStr">
        <is>
          <t>po_1Q0017KX</t>
        </is>
      </c>
      <c r="B474" s="5" t="n">
        <v>46226</v>
      </c>
      <c r="C474" t="inlineStr">
        <is>
          <t>ch_3Q000470</t>
        </is>
      </c>
      <c r="D474" t="inlineStr">
        <is>
          <t>charge</t>
        </is>
      </c>
      <c r="E474" s="5" t="n">
        <v>46224</v>
      </c>
      <c r="F474" s="9" t="n">
        <v>85</v>
      </c>
      <c r="G474" s="9" t="n">
        <v>1.79</v>
      </c>
      <c r="H474" s="9" t="n">
        <v>83.20999999999999</v>
      </c>
      <c r="I474" t="inlineStr">
        <is>
          <t>INV/2026/04095</t>
        </is>
      </c>
      <c r="J474" s="9">
        <f>ROUND(F474-G474-H474,2)</f>
        <v>0</v>
      </c>
    </row>
    <row r="475">
      <c r="A475" t="inlineStr">
        <is>
          <t>po_1Q0017KX</t>
        </is>
      </c>
      <c r="B475" s="5" t="n">
        <v>46226</v>
      </c>
      <c r="C475" t="inlineStr">
        <is>
          <t>ch_3Q000471</t>
        </is>
      </c>
      <c r="D475" t="inlineStr">
        <is>
          <t>charge</t>
        </is>
      </c>
      <c r="E475" s="5" t="n">
        <v>46224</v>
      </c>
      <c r="F475" s="9" t="n">
        <v>120</v>
      </c>
      <c r="G475" s="9" t="n">
        <v>2.4</v>
      </c>
      <c r="H475" s="9" t="n">
        <v>117.6</v>
      </c>
      <c r="I475" t="inlineStr">
        <is>
          <t>INV/2026/04096</t>
        </is>
      </c>
      <c r="J475" s="9">
        <f>ROUND(F475-G475-H475,2)</f>
        <v>0</v>
      </c>
    </row>
    <row r="476">
      <c r="A476" t="inlineStr">
        <is>
          <t>po_1Q0017KX</t>
        </is>
      </c>
      <c r="B476" s="5" t="n">
        <v>46226</v>
      </c>
      <c r="C476" t="inlineStr">
        <is>
          <t>ch_3Q000472</t>
        </is>
      </c>
      <c r="D476" t="inlineStr">
        <is>
          <t>charge</t>
        </is>
      </c>
      <c r="E476" s="5" t="n">
        <v>46224</v>
      </c>
      <c r="F476" s="9" t="n">
        <v>135</v>
      </c>
      <c r="G476" s="9" t="n">
        <v>2.66</v>
      </c>
      <c r="H476" s="9" t="n">
        <v>132.34</v>
      </c>
      <c r="I476" t="inlineStr">
        <is>
          <t>INV/2026/04097</t>
        </is>
      </c>
      <c r="J476" s="9">
        <f>ROUND(F476-G476-H476,2)</f>
        <v>0</v>
      </c>
    </row>
    <row r="477">
      <c r="A477" t="inlineStr">
        <is>
          <t>po_1Q0018KX</t>
        </is>
      </c>
      <c r="B477" s="5" t="n">
        <v>46227</v>
      </c>
      <c r="C477" t="inlineStr">
        <is>
          <t>ch_3Q000473</t>
        </is>
      </c>
      <c r="D477" t="inlineStr">
        <is>
          <t>charge</t>
        </is>
      </c>
      <c r="E477" s="5" t="n">
        <v>46225</v>
      </c>
      <c r="F477" s="9" t="n">
        <v>220</v>
      </c>
      <c r="G477" s="9" t="n">
        <v>4.15</v>
      </c>
      <c r="H477" s="9" t="n">
        <v>215.85</v>
      </c>
      <c r="I477" t="inlineStr">
        <is>
          <t>INV/2026/04098</t>
        </is>
      </c>
      <c r="J477" s="9">
        <f>ROUND(F477-G477-H477,2)</f>
        <v>0</v>
      </c>
    </row>
    <row r="478">
      <c r="A478" t="inlineStr">
        <is>
          <t>po_1Q0018KX</t>
        </is>
      </c>
      <c r="B478" s="5" t="n">
        <v>46227</v>
      </c>
      <c r="C478" t="inlineStr">
        <is>
          <t>ch_3Q000474</t>
        </is>
      </c>
      <c r="D478" t="inlineStr">
        <is>
          <t>charge</t>
        </is>
      </c>
      <c r="E478" s="5" t="n">
        <v>46225</v>
      </c>
      <c r="F478" s="9" t="n">
        <v>180</v>
      </c>
      <c r="G478" s="9" t="n">
        <v>3.45</v>
      </c>
      <c r="H478" s="9" t="n">
        <v>176.55</v>
      </c>
      <c r="I478" t="inlineStr">
        <is>
          <t>INV/2026/04099</t>
        </is>
      </c>
      <c r="J478" s="9">
        <f>ROUND(F478-G478-H478,2)</f>
        <v>0</v>
      </c>
    </row>
    <row r="479">
      <c r="A479" t="inlineStr">
        <is>
          <t>po_1Q0018KX</t>
        </is>
      </c>
      <c r="B479" s="5" t="n">
        <v>46227</v>
      </c>
      <c r="C479" t="inlineStr">
        <is>
          <t>ch_3Q000475</t>
        </is>
      </c>
      <c r="D479" t="inlineStr">
        <is>
          <t>charge</t>
        </is>
      </c>
      <c r="E479" s="5" t="n">
        <v>46225</v>
      </c>
      <c r="F479" s="9" t="n">
        <v>150</v>
      </c>
      <c r="G479" s="9" t="n">
        <v>2.93</v>
      </c>
      <c r="H479" s="9" t="n">
        <v>147.07</v>
      </c>
      <c r="I479" t="inlineStr">
        <is>
          <t>INV/2026/04100</t>
        </is>
      </c>
      <c r="J479" s="9">
        <f>ROUND(F479-G479-H479,2)</f>
        <v>0</v>
      </c>
    </row>
    <row r="480">
      <c r="A480" t="inlineStr">
        <is>
          <t>po_1Q0018KX</t>
        </is>
      </c>
      <c r="B480" s="5" t="n">
        <v>46227</v>
      </c>
      <c r="C480" t="inlineStr">
        <is>
          <t>ch_3Q000476</t>
        </is>
      </c>
      <c r="D480" t="inlineStr">
        <is>
          <t>charge</t>
        </is>
      </c>
      <c r="E480" s="5" t="n">
        <v>46225</v>
      </c>
      <c r="F480" s="9" t="n">
        <v>220</v>
      </c>
      <c r="G480" s="9" t="n">
        <v>4.15</v>
      </c>
      <c r="H480" s="9" t="n">
        <v>215.85</v>
      </c>
      <c r="I480" t="inlineStr">
        <is>
          <t>INV/2026/04101</t>
        </is>
      </c>
      <c r="J480" s="9">
        <f>ROUND(F480-G480-H480,2)</f>
        <v>0</v>
      </c>
    </row>
    <row r="481">
      <c r="A481" t="inlineStr">
        <is>
          <t>po_1Q0018KX</t>
        </is>
      </c>
      <c r="B481" s="5" t="n">
        <v>46227</v>
      </c>
      <c r="C481" t="inlineStr">
        <is>
          <t>ch_3Q000477</t>
        </is>
      </c>
      <c r="D481" t="inlineStr">
        <is>
          <t>charge</t>
        </is>
      </c>
      <c r="E481" s="5" t="n">
        <v>46225</v>
      </c>
      <c r="F481" s="9" t="n">
        <v>85</v>
      </c>
      <c r="G481" s="9" t="n">
        <v>1.79</v>
      </c>
      <c r="H481" s="9" t="n">
        <v>83.20999999999999</v>
      </c>
      <c r="I481" t="inlineStr">
        <is>
          <t>INV/2026/04102</t>
        </is>
      </c>
      <c r="J481" s="9">
        <f>ROUND(F481-G481-H481,2)</f>
        <v>0</v>
      </c>
    </row>
    <row r="482">
      <c r="A482" t="inlineStr">
        <is>
          <t>po_1Q0018KX</t>
        </is>
      </c>
      <c r="B482" s="5" t="n">
        <v>46227</v>
      </c>
      <c r="C482" t="inlineStr">
        <is>
          <t>ch_3Q000478</t>
        </is>
      </c>
      <c r="D482" t="inlineStr">
        <is>
          <t>charge</t>
        </is>
      </c>
      <c r="E482" s="5" t="n">
        <v>46225</v>
      </c>
      <c r="F482" s="9" t="n">
        <v>135</v>
      </c>
      <c r="G482" s="9" t="n">
        <v>2.66</v>
      </c>
      <c r="H482" s="9" t="n">
        <v>132.34</v>
      </c>
      <c r="I482" t="inlineStr">
        <is>
          <t>INV/2026/04103</t>
        </is>
      </c>
      <c r="J482" s="9">
        <f>ROUND(F482-G482-H482,2)</f>
        <v>0</v>
      </c>
    </row>
    <row r="483">
      <c r="A483" t="inlineStr">
        <is>
          <t>po_1Q0018KX</t>
        </is>
      </c>
      <c r="B483" s="5" t="n">
        <v>46227</v>
      </c>
      <c r="C483" t="inlineStr">
        <is>
          <t>ch_3Q000479</t>
        </is>
      </c>
      <c r="D483" t="inlineStr">
        <is>
          <t>charge</t>
        </is>
      </c>
      <c r="E483" s="5" t="n">
        <v>46225</v>
      </c>
      <c r="F483" s="9" t="n">
        <v>180</v>
      </c>
      <c r="G483" s="9" t="n">
        <v>3.45</v>
      </c>
      <c r="H483" s="9" t="n">
        <v>176.55</v>
      </c>
      <c r="I483" t="inlineStr">
        <is>
          <t>INV/2026/04104</t>
        </is>
      </c>
      <c r="J483" s="9">
        <f>ROUND(F483-G483-H483,2)</f>
        <v>0</v>
      </c>
    </row>
    <row r="484">
      <c r="A484" t="inlineStr">
        <is>
          <t>po_1Q0018KX</t>
        </is>
      </c>
      <c r="B484" s="5" t="n">
        <v>46227</v>
      </c>
      <c r="C484" t="inlineStr">
        <is>
          <t>ch_3Q000480</t>
        </is>
      </c>
      <c r="D484" t="inlineStr">
        <is>
          <t>charge</t>
        </is>
      </c>
      <c r="E484" s="5" t="n">
        <v>46225</v>
      </c>
      <c r="F484" s="9" t="n">
        <v>95</v>
      </c>
      <c r="G484" s="9" t="n">
        <v>1.96</v>
      </c>
      <c r="H484" s="9" t="n">
        <v>93.04000000000001</v>
      </c>
      <c r="I484" t="inlineStr">
        <is>
          <t>INV/2026/04105</t>
        </is>
      </c>
      <c r="J484" s="9">
        <f>ROUND(F484-G484-H484,2)</f>
        <v>0</v>
      </c>
    </row>
    <row r="485">
      <c r="A485" t="inlineStr">
        <is>
          <t>po_1Q0018KX</t>
        </is>
      </c>
      <c r="B485" s="5" t="n">
        <v>46227</v>
      </c>
      <c r="C485" t="inlineStr">
        <is>
          <t>ch_3Q000481</t>
        </is>
      </c>
      <c r="D485" t="inlineStr">
        <is>
          <t>charge</t>
        </is>
      </c>
      <c r="E485" s="5" t="n">
        <v>46225</v>
      </c>
      <c r="F485" s="9" t="n">
        <v>85</v>
      </c>
      <c r="G485" s="9" t="n">
        <v>1.79</v>
      </c>
      <c r="H485" s="9" t="n">
        <v>83.20999999999999</v>
      </c>
      <c r="I485" t="inlineStr">
        <is>
          <t>INV/2026/04106</t>
        </is>
      </c>
      <c r="J485" s="9">
        <f>ROUND(F485-G485-H485,2)</f>
        <v>0</v>
      </c>
    </row>
    <row r="486">
      <c r="A486" t="inlineStr">
        <is>
          <t>po_1Q0018KX</t>
        </is>
      </c>
      <c r="B486" s="5" t="n">
        <v>46227</v>
      </c>
      <c r="C486" t="inlineStr">
        <is>
          <t>ch_3Q000482</t>
        </is>
      </c>
      <c r="D486" t="inlineStr">
        <is>
          <t>charge</t>
        </is>
      </c>
      <c r="E486" s="5" t="n">
        <v>46225</v>
      </c>
      <c r="F486" s="9" t="n">
        <v>110</v>
      </c>
      <c r="G486" s="9" t="n">
        <v>2.23</v>
      </c>
      <c r="H486" s="9" t="n">
        <v>107.77</v>
      </c>
      <c r="I486" t="inlineStr">
        <is>
          <t>INV/2026/04107</t>
        </is>
      </c>
      <c r="J486" s="9">
        <f>ROUND(F486-G486-H486,2)</f>
        <v>0</v>
      </c>
    </row>
    <row r="487">
      <c r="A487" t="inlineStr">
        <is>
          <t>po_1Q0018KX</t>
        </is>
      </c>
      <c r="B487" s="5" t="n">
        <v>46227</v>
      </c>
      <c r="C487" t="inlineStr">
        <is>
          <t>ch_3Q000483</t>
        </is>
      </c>
      <c r="D487" t="inlineStr">
        <is>
          <t>charge</t>
        </is>
      </c>
      <c r="E487" s="5" t="n">
        <v>46225</v>
      </c>
      <c r="F487" s="9" t="n">
        <v>150</v>
      </c>
      <c r="G487" s="9" t="n">
        <v>2.93</v>
      </c>
      <c r="H487" s="9" t="n">
        <v>147.07</v>
      </c>
      <c r="I487" t="inlineStr">
        <is>
          <t>INV/2026/04108</t>
        </is>
      </c>
      <c r="J487" s="9">
        <f>ROUND(F487-G487-H487,2)</f>
        <v>0</v>
      </c>
    </row>
    <row r="488">
      <c r="A488" t="inlineStr">
        <is>
          <t>po_1Q0018KX</t>
        </is>
      </c>
      <c r="B488" s="5" t="n">
        <v>46227</v>
      </c>
      <c r="C488" t="inlineStr">
        <is>
          <t>ch_3Q000484</t>
        </is>
      </c>
      <c r="D488" t="inlineStr">
        <is>
          <t>charge</t>
        </is>
      </c>
      <c r="E488" s="5" t="n">
        <v>46225</v>
      </c>
      <c r="F488" s="9" t="n">
        <v>85</v>
      </c>
      <c r="G488" s="9" t="n">
        <v>1.79</v>
      </c>
      <c r="H488" s="9" t="n">
        <v>83.20999999999999</v>
      </c>
      <c r="I488" t="inlineStr">
        <is>
          <t>INV/2026/04109</t>
        </is>
      </c>
      <c r="J488" s="9">
        <f>ROUND(F488-G488-H488,2)</f>
        <v>0</v>
      </c>
    </row>
    <row r="489">
      <c r="A489" t="inlineStr">
        <is>
          <t>po_1Q0018KX</t>
        </is>
      </c>
      <c r="B489" s="5" t="n">
        <v>46227</v>
      </c>
      <c r="C489" t="inlineStr">
        <is>
          <t>ch_3Q000485</t>
        </is>
      </c>
      <c r="D489" t="inlineStr">
        <is>
          <t>charge</t>
        </is>
      </c>
      <c r="E489" s="5" t="n">
        <v>46225</v>
      </c>
      <c r="F489" s="9" t="n">
        <v>95</v>
      </c>
      <c r="G489" s="9" t="n">
        <v>1.96</v>
      </c>
      <c r="H489" s="9" t="n">
        <v>93.04000000000001</v>
      </c>
      <c r="I489" t="inlineStr">
        <is>
          <t>INV/2026/04110</t>
        </is>
      </c>
      <c r="J489" s="9">
        <f>ROUND(F489-G489-H489,2)</f>
        <v>0</v>
      </c>
    </row>
    <row r="490">
      <c r="A490" t="inlineStr">
        <is>
          <t>po_1Q0018KX</t>
        </is>
      </c>
      <c r="B490" s="5" t="n">
        <v>46227</v>
      </c>
      <c r="C490" t="inlineStr">
        <is>
          <t>ch_3Q000486</t>
        </is>
      </c>
      <c r="D490" t="inlineStr">
        <is>
          <t>charge</t>
        </is>
      </c>
      <c r="E490" s="5" t="n">
        <v>46225</v>
      </c>
      <c r="F490" s="9" t="n">
        <v>95</v>
      </c>
      <c r="G490" s="9" t="n">
        <v>1.96</v>
      </c>
      <c r="H490" s="9" t="n">
        <v>93.04000000000001</v>
      </c>
      <c r="I490" t="inlineStr">
        <is>
          <t>INV/2026/04111</t>
        </is>
      </c>
      <c r="J490" s="9">
        <f>ROUND(F490-G490-H490,2)</f>
        <v>0</v>
      </c>
    </row>
    <row r="491">
      <c r="A491" t="inlineStr">
        <is>
          <t>po_1Q0018KX</t>
        </is>
      </c>
      <c r="B491" s="5" t="n">
        <v>46227</v>
      </c>
      <c r="C491" t="inlineStr">
        <is>
          <t>ch_3Q000487</t>
        </is>
      </c>
      <c r="D491" t="inlineStr">
        <is>
          <t>charge</t>
        </is>
      </c>
      <c r="E491" s="5" t="n">
        <v>46225</v>
      </c>
      <c r="F491" s="9" t="n">
        <v>150</v>
      </c>
      <c r="G491" s="9" t="n">
        <v>2.93</v>
      </c>
      <c r="H491" s="9" t="n">
        <v>147.07</v>
      </c>
      <c r="I491" t="inlineStr">
        <is>
          <t>INV/2026/04112</t>
        </is>
      </c>
      <c r="J491" s="9">
        <f>ROUND(F491-G491-H491,2)</f>
        <v>0</v>
      </c>
    </row>
    <row r="492">
      <c r="A492" t="inlineStr">
        <is>
          <t>po_1Q0018KX</t>
        </is>
      </c>
      <c r="B492" s="5" t="n">
        <v>46227</v>
      </c>
      <c r="C492" t="inlineStr">
        <is>
          <t>ch_3Q000488</t>
        </is>
      </c>
      <c r="D492" t="inlineStr">
        <is>
          <t>charge</t>
        </is>
      </c>
      <c r="E492" s="5" t="n">
        <v>46225</v>
      </c>
      <c r="F492" s="9" t="n">
        <v>85</v>
      </c>
      <c r="G492" s="9" t="n">
        <v>1.79</v>
      </c>
      <c r="H492" s="9" t="n">
        <v>83.20999999999999</v>
      </c>
      <c r="I492" t="inlineStr">
        <is>
          <t>INV/2026/04113</t>
        </is>
      </c>
      <c r="J492" s="9">
        <f>ROUND(F492-G492-H492,2)</f>
        <v>0</v>
      </c>
    </row>
    <row r="493">
      <c r="A493" t="inlineStr">
        <is>
          <t>po_1Q0018KX</t>
        </is>
      </c>
      <c r="B493" s="5" t="n">
        <v>46227</v>
      </c>
      <c r="C493" t="inlineStr">
        <is>
          <t>ch_3Q000489</t>
        </is>
      </c>
      <c r="D493" t="inlineStr">
        <is>
          <t>charge</t>
        </is>
      </c>
      <c r="E493" s="5" t="n">
        <v>46225</v>
      </c>
      <c r="F493" s="9" t="n">
        <v>95</v>
      </c>
      <c r="G493" s="9" t="n">
        <v>1.96</v>
      </c>
      <c r="H493" s="9" t="n">
        <v>93.04000000000001</v>
      </c>
      <c r="I493" t="inlineStr">
        <is>
          <t>INV/2026/04114</t>
        </is>
      </c>
      <c r="J493" s="9">
        <f>ROUND(F493-G493-H493,2)</f>
        <v>0</v>
      </c>
    </row>
    <row r="494">
      <c r="A494" t="inlineStr">
        <is>
          <t>po_1Q0018KX</t>
        </is>
      </c>
      <c r="B494" s="5" t="n">
        <v>46227</v>
      </c>
      <c r="C494" t="inlineStr">
        <is>
          <t>ch_3Q000490</t>
        </is>
      </c>
      <c r="D494" t="inlineStr">
        <is>
          <t>charge</t>
        </is>
      </c>
      <c r="E494" s="5" t="n">
        <v>46225</v>
      </c>
      <c r="F494" s="9" t="n">
        <v>150</v>
      </c>
      <c r="G494" s="9" t="n">
        <v>2.93</v>
      </c>
      <c r="H494" s="9" t="n">
        <v>147.07</v>
      </c>
      <c r="I494" t="inlineStr">
        <is>
          <t>INV/2026/04115</t>
        </is>
      </c>
      <c r="J494" s="9">
        <f>ROUND(F494-G494-H494,2)</f>
        <v>0</v>
      </c>
    </row>
    <row r="495">
      <c r="A495" t="inlineStr">
        <is>
          <t>po_1Q0018KX</t>
        </is>
      </c>
      <c r="B495" s="5" t="n">
        <v>46227</v>
      </c>
      <c r="C495" t="inlineStr">
        <is>
          <t>ch_3Q000491</t>
        </is>
      </c>
      <c r="D495" t="inlineStr">
        <is>
          <t>charge</t>
        </is>
      </c>
      <c r="E495" s="5" t="n">
        <v>46225</v>
      </c>
      <c r="F495" s="9" t="n">
        <v>220</v>
      </c>
      <c r="G495" s="9" t="n">
        <v>4.15</v>
      </c>
      <c r="H495" s="9" t="n">
        <v>215.85</v>
      </c>
      <c r="I495" t="inlineStr">
        <is>
          <t>INV/2026/04116</t>
        </is>
      </c>
      <c r="J495" s="9">
        <f>ROUND(F495-G495-H495,2)</f>
        <v>0</v>
      </c>
    </row>
    <row r="496">
      <c r="A496" t="inlineStr">
        <is>
          <t>po_1Q0018KX</t>
        </is>
      </c>
      <c r="B496" s="5" t="n">
        <v>46227</v>
      </c>
      <c r="C496" t="inlineStr">
        <is>
          <t>ch_3Q000492</t>
        </is>
      </c>
      <c r="D496" t="inlineStr">
        <is>
          <t>charge</t>
        </is>
      </c>
      <c r="E496" s="5" t="n">
        <v>46225</v>
      </c>
      <c r="F496" s="9" t="n">
        <v>65</v>
      </c>
      <c r="G496" s="9" t="n">
        <v>1.44</v>
      </c>
      <c r="H496" s="9" t="n">
        <v>63.56</v>
      </c>
      <c r="I496" t="inlineStr">
        <is>
          <t>INV/2026/04117</t>
        </is>
      </c>
      <c r="J496" s="9">
        <f>ROUND(F496-G496-H496,2)</f>
        <v>0</v>
      </c>
    </row>
    <row r="497">
      <c r="A497" t="inlineStr">
        <is>
          <t>po_1Q0018KX</t>
        </is>
      </c>
      <c r="B497" s="5" t="n">
        <v>46227</v>
      </c>
      <c r="C497" t="inlineStr">
        <is>
          <t>ch_3Q000493</t>
        </is>
      </c>
      <c r="D497" t="inlineStr">
        <is>
          <t>charge</t>
        </is>
      </c>
      <c r="E497" s="5" t="n">
        <v>46225</v>
      </c>
      <c r="F497" s="9" t="n">
        <v>95</v>
      </c>
      <c r="G497" s="9" t="n">
        <v>1.96</v>
      </c>
      <c r="H497" s="9" t="n">
        <v>93.04000000000001</v>
      </c>
      <c r="I497" t="inlineStr">
        <is>
          <t>INV/2026/04118</t>
        </is>
      </c>
      <c r="J497" s="9">
        <f>ROUND(F497-G497-H497,2)</f>
        <v>0</v>
      </c>
    </row>
    <row r="498">
      <c r="A498" t="inlineStr">
        <is>
          <t>po_1Q0018KX</t>
        </is>
      </c>
      <c r="B498" s="5" t="n">
        <v>46227</v>
      </c>
      <c r="C498" t="inlineStr">
        <is>
          <t>re_3Q000475</t>
        </is>
      </c>
      <c r="D498" t="inlineStr">
        <is>
          <t>refund</t>
        </is>
      </c>
      <c r="E498" s="5" t="n">
        <v>46227</v>
      </c>
      <c r="F498" s="9" t="n">
        <v>-150</v>
      </c>
      <c r="G498" s="9" t="n">
        <v>0</v>
      </c>
      <c r="H498" s="9" t="n">
        <v>-150</v>
      </c>
      <c r="I498" t="inlineStr">
        <is>
          <t>INV/2026/04100</t>
        </is>
      </c>
      <c r="J498" s="9">
        <f>ROUND(F498-G498-H498,2)</f>
        <v>0</v>
      </c>
    </row>
    <row r="499">
      <c r="A499" t="inlineStr">
        <is>
          <t>po_1Q0019KX</t>
        </is>
      </c>
      <c r="B499" s="5" t="n">
        <v>46230</v>
      </c>
      <c r="C499" t="inlineStr">
        <is>
          <t>ch_3Q000494</t>
        </is>
      </c>
      <c r="D499" t="inlineStr">
        <is>
          <t>charge</t>
        </is>
      </c>
      <c r="E499" s="5" t="n">
        <v>46226</v>
      </c>
      <c r="F499" s="9" t="n">
        <v>135</v>
      </c>
      <c r="G499" s="9" t="n">
        <v>2.66</v>
      </c>
      <c r="H499" s="9" t="n">
        <v>132.34</v>
      </c>
      <c r="I499" t="inlineStr">
        <is>
          <t>INV/2026/04119</t>
        </is>
      </c>
      <c r="J499" s="9">
        <f>ROUND(F499-G499-H499,2)</f>
        <v>0</v>
      </c>
    </row>
    <row r="500">
      <c r="A500" t="inlineStr">
        <is>
          <t>po_1Q0019KX</t>
        </is>
      </c>
      <c r="B500" s="5" t="n">
        <v>46230</v>
      </c>
      <c r="C500" t="inlineStr">
        <is>
          <t>ch_3Q000495</t>
        </is>
      </c>
      <c r="D500" t="inlineStr">
        <is>
          <t>charge</t>
        </is>
      </c>
      <c r="E500" s="5" t="n">
        <v>46226</v>
      </c>
      <c r="F500" s="9" t="n">
        <v>180</v>
      </c>
      <c r="G500" s="9" t="n">
        <v>3.45</v>
      </c>
      <c r="H500" s="9" t="n">
        <v>176.55</v>
      </c>
      <c r="I500" t="inlineStr">
        <is>
          <t>INV/2026/04120</t>
        </is>
      </c>
      <c r="J500" s="9">
        <f>ROUND(F500-G500-H500,2)</f>
        <v>0</v>
      </c>
    </row>
    <row r="501">
      <c r="A501" t="inlineStr">
        <is>
          <t>po_1Q0019KX</t>
        </is>
      </c>
      <c r="B501" s="5" t="n">
        <v>46230</v>
      </c>
      <c r="C501" t="inlineStr">
        <is>
          <t>ch_3Q000496</t>
        </is>
      </c>
      <c r="D501" t="inlineStr">
        <is>
          <t>charge</t>
        </is>
      </c>
      <c r="E501" s="5" t="n">
        <v>46226</v>
      </c>
      <c r="F501" s="9" t="n">
        <v>150</v>
      </c>
      <c r="G501" s="9" t="n">
        <v>2.93</v>
      </c>
      <c r="H501" s="9" t="n">
        <v>147.07</v>
      </c>
      <c r="I501" t="inlineStr">
        <is>
          <t>INV/2026/04121</t>
        </is>
      </c>
      <c r="J501" s="9">
        <f>ROUND(F501-G501-H501,2)</f>
        <v>0</v>
      </c>
    </row>
    <row r="502">
      <c r="A502" t="inlineStr">
        <is>
          <t>po_1Q0019KX</t>
        </is>
      </c>
      <c r="B502" s="5" t="n">
        <v>46230</v>
      </c>
      <c r="C502" t="inlineStr">
        <is>
          <t>ch_3Q000497</t>
        </is>
      </c>
      <c r="D502" t="inlineStr">
        <is>
          <t>charge</t>
        </is>
      </c>
      <c r="E502" s="5" t="n">
        <v>46226</v>
      </c>
      <c r="F502" s="9" t="n">
        <v>85</v>
      </c>
      <c r="G502" s="9" t="n">
        <v>1.79</v>
      </c>
      <c r="H502" s="9" t="n">
        <v>83.20999999999999</v>
      </c>
      <c r="I502" t="inlineStr">
        <is>
          <t>INV/2026/04122</t>
        </is>
      </c>
      <c r="J502" s="9">
        <f>ROUND(F502-G502-H502,2)</f>
        <v>0</v>
      </c>
    </row>
    <row r="503">
      <c r="A503" t="inlineStr">
        <is>
          <t>po_1Q0019KX</t>
        </is>
      </c>
      <c r="B503" s="5" t="n">
        <v>46230</v>
      </c>
      <c r="C503" t="inlineStr">
        <is>
          <t>ch_3Q000498</t>
        </is>
      </c>
      <c r="D503" t="inlineStr">
        <is>
          <t>charge</t>
        </is>
      </c>
      <c r="E503" s="5" t="n">
        <v>46226</v>
      </c>
      <c r="F503" s="9" t="n">
        <v>120</v>
      </c>
      <c r="G503" s="9" t="n">
        <v>2.4</v>
      </c>
      <c r="H503" s="9" t="n">
        <v>117.6</v>
      </c>
      <c r="I503" t="inlineStr">
        <is>
          <t>INV/2026/04123</t>
        </is>
      </c>
      <c r="J503" s="9">
        <f>ROUND(F503-G503-H503,2)</f>
        <v>0</v>
      </c>
    </row>
    <row r="504">
      <c r="A504" t="inlineStr">
        <is>
          <t>po_1Q0019KX</t>
        </is>
      </c>
      <c r="B504" s="5" t="n">
        <v>46230</v>
      </c>
      <c r="C504" t="inlineStr">
        <is>
          <t>ch_3Q000499</t>
        </is>
      </c>
      <c r="D504" t="inlineStr">
        <is>
          <t>charge</t>
        </is>
      </c>
      <c r="E504" s="5" t="n">
        <v>46226</v>
      </c>
      <c r="F504" s="9" t="n">
        <v>180</v>
      </c>
      <c r="G504" s="9" t="n">
        <v>3.45</v>
      </c>
      <c r="H504" s="9" t="n">
        <v>176.55</v>
      </c>
      <c r="I504" t="inlineStr">
        <is>
          <t>INV/2026/04124</t>
        </is>
      </c>
      <c r="J504" s="9">
        <f>ROUND(F504-G504-H504,2)</f>
        <v>0</v>
      </c>
    </row>
    <row r="505">
      <c r="A505" t="inlineStr">
        <is>
          <t>po_1Q0019KX</t>
        </is>
      </c>
      <c r="B505" s="5" t="n">
        <v>46230</v>
      </c>
      <c r="C505" t="inlineStr">
        <is>
          <t>ch_3Q000500</t>
        </is>
      </c>
      <c r="D505" t="inlineStr">
        <is>
          <t>charge</t>
        </is>
      </c>
      <c r="E505" s="5" t="n">
        <v>46226</v>
      </c>
      <c r="F505" s="9" t="n">
        <v>220</v>
      </c>
      <c r="G505" s="9" t="n">
        <v>4.15</v>
      </c>
      <c r="H505" s="9" t="n">
        <v>215.85</v>
      </c>
      <c r="I505" t="inlineStr">
        <is>
          <t>INV/2026/04125</t>
        </is>
      </c>
      <c r="J505" s="9">
        <f>ROUND(F505-G505-H505,2)</f>
        <v>0</v>
      </c>
    </row>
    <row r="506">
      <c r="A506" t="inlineStr">
        <is>
          <t>po_1Q0019KX</t>
        </is>
      </c>
      <c r="B506" s="5" t="n">
        <v>46230</v>
      </c>
      <c r="C506" t="inlineStr">
        <is>
          <t>ch_3Q000501</t>
        </is>
      </c>
      <c r="D506" t="inlineStr">
        <is>
          <t>charge</t>
        </is>
      </c>
      <c r="E506" s="5" t="n">
        <v>46226</v>
      </c>
      <c r="F506" s="9" t="n">
        <v>150</v>
      </c>
      <c r="G506" s="9" t="n">
        <v>2.93</v>
      </c>
      <c r="H506" s="9" t="n">
        <v>147.07</v>
      </c>
      <c r="I506" t="inlineStr">
        <is>
          <t>INV/2026/04126</t>
        </is>
      </c>
      <c r="J506" s="9">
        <f>ROUND(F506-G506-H506,2)</f>
        <v>0</v>
      </c>
    </row>
    <row r="507">
      <c r="A507" t="inlineStr">
        <is>
          <t>po_1Q0019KX</t>
        </is>
      </c>
      <c r="B507" s="5" t="n">
        <v>46230</v>
      </c>
      <c r="C507" t="inlineStr">
        <is>
          <t>ch_3Q000502</t>
        </is>
      </c>
      <c r="D507" t="inlineStr">
        <is>
          <t>charge</t>
        </is>
      </c>
      <c r="E507" s="5" t="n">
        <v>46226</v>
      </c>
      <c r="F507" s="9" t="n">
        <v>150</v>
      </c>
      <c r="G507" s="9" t="n">
        <v>2.93</v>
      </c>
      <c r="H507" s="9" t="n">
        <v>147.07</v>
      </c>
      <c r="I507" t="inlineStr">
        <is>
          <t>INV/2026/04127</t>
        </is>
      </c>
      <c r="J507" s="9">
        <f>ROUND(F507-G507-H507,2)</f>
        <v>0</v>
      </c>
    </row>
    <row r="508">
      <c r="A508" t="inlineStr">
        <is>
          <t>po_1Q0019KX</t>
        </is>
      </c>
      <c r="B508" s="5" t="n">
        <v>46230</v>
      </c>
      <c r="C508" t="inlineStr">
        <is>
          <t>ch_3Q000503</t>
        </is>
      </c>
      <c r="D508" t="inlineStr">
        <is>
          <t>charge</t>
        </is>
      </c>
      <c r="E508" s="5" t="n">
        <v>46226</v>
      </c>
      <c r="F508" s="9" t="n">
        <v>150</v>
      </c>
      <c r="G508" s="9" t="n">
        <v>2.93</v>
      </c>
      <c r="H508" s="9" t="n">
        <v>147.07</v>
      </c>
      <c r="I508" t="inlineStr">
        <is>
          <t>INV/2026/04128</t>
        </is>
      </c>
      <c r="J508" s="9">
        <f>ROUND(F508-G508-H508,2)</f>
        <v>0</v>
      </c>
    </row>
    <row r="509">
      <c r="A509" t="inlineStr">
        <is>
          <t>po_1Q0019KX</t>
        </is>
      </c>
      <c r="B509" s="5" t="n">
        <v>46230</v>
      </c>
      <c r="C509" t="inlineStr">
        <is>
          <t>ch_3Q000504</t>
        </is>
      </c>
      <c r="D509" t="inlineStr">
        <is>
          <t>charge</t>
        </is>
      </c>
      <c r="E509" s="5" t="n">
        <v>46226</v>
      </c>
      <c r="F509" s="9" t="n">
        <v>85</v>
      </c>
      <c r="G509" s="9" t="n">
        <v>1.79</v>
      </c>
      <c r="H509" s="9" t="n">
        <v>83.20999999999999</v>
      </c>
      <c r="I509" t="inlineStr">
        <is>
          <t>INV/2026/04129</t>
        </is>
      </c>
      <c r="J509" s="9">
        <f>ROUND(F509-G509-H509,2)</f>
        <v>0</v>
      </c>
    </row>
    <row r="510">
      <c r="A510" t="inlineStr">
        <is>
          <t>po_1Q0019KX</t>
        </is>
      </c>
      <c r="B510" s="5" t="n">
        <v>46230</v>
      </c>
      <c r="C510" t="inlineStr">
        <is>
          <t>ch_3Q000505</t>
        </is>
      </c>
      <c r="D510" t="inlineStr">
        <is>
          <t>charge</t>
        </is>
      </c>
      <c r="E510" s="5" t="n">
        <v>46226</v>
      </c>
      <c r="F510" s="9" t="n">
        <v>180</v>
      </c>
      <c r="G510" s="9" t="n">
        <v>3.45</v>
      </c>
      <c r="H510" s="9" t="n">
        <v>176.55</v>
      </c>
      <c r="I510" t="inlineStr">
        <is>
          <t>INV/2026/04130</t>
        </is>
      </c>
      <c r="J510" s="9">
        <f>ROUND(F510-G510-H510,2)</f>
        <v>0</v>
      </c>
    </row>
    <row r="511">
      <c r="A511" t="inlineStr">
        <is>
          <t>po_1Q0019KX</t>
        </is>
      </c>
      <c r="B511" s="5" t="n">
        <v>46230</v>
      </c>
      <c r="C511" t="inlineStr">
        <is>
          <t>ch_3Q000506</t>
        </is>
      </c>
      <c r="D511" t="inlineStr">
        <is>
          <t>charge</t>
        </is>
      </c>
      <c r="E511" s="5" t="n">
        <v>46226</v>
      </c>
      <c r="F511" s="9" t="n">
        <v>95</v>
      </c>
      <c r="G511" s="9" t="n">
        <v>1.96</v>
      </c>
      <c r="H511" s="9" t="n">
        <v>93.04000000000001</v>
      </c>
      <c r="I511" t="inlineStr">
        <is>
          <t>INV/2026/04131</t>
        </is>
      </c>
      <c r="J511" s="9">
        <f>ROUND(F511-G511-H511,2)</f>
        <v>0</v>
      </c>
    </row>
    <row r="512">
      <c r="A512" t="inlineStr">
        <is>
          <t>po_1Q0019KX</t>
        </is>
      </c>
      <c r="B512" s="5" t="n">
        <v>46230</v>
      </c>
      <c r="C512" t="inlineStr">
        <is>
          <t>ch_3Q000507</t>
        </is>
      </c>
      <c r="D512" t="inlineStr">
        <is>
          <t>charge</t>
        </is>
      </c>
      <c r="E512" s="5" t="n">
        <v>46226</v>
      </c>
      <c r="F512" s="9" t="n">
        <v>220</v>
      </c>
      <c r="G512" s="9" t="n">
        <v>4.15</v>
      </c>
      <c r="H512" s="9" t="n">
        <v>215.85</v>
      </c>
      <c r="I512" t="inlineStr">
        <is>
          <t>INV/2026/04132</t>
        </is>
      </c>
      <c r="J512" s="9">
        <f>ROUND(F512-G512-H512,2)</f>
        <v>0</v>
      </c>
    </row>
    <row r="513">
      <c r="A513" t="inlineStr">
        <is>
          <t>po_1Q0019KX</t>
        </is>
      </c>
      <c r="B513" s="5" t="n">
        <v>46230</v>
      </c>
      <c r="C513" t="inlineStr">
        <is>
          <t>ch_3Q000508</t>
        </is>
      </c>
      <c r="D513" t="inlineStr">
        <is>
          <t>charge</t>
        </is>
      </c>
      <c r="E513" s="5" t="n">
        <v>46226</v>
      </c>
      <c r="F513" s="9" t="n">
        <v>135</v>
      </c>
      <c r="G513" s="9" t="n">
        <v>2.66</v>
      </c>
      <c r="H513" s="9" t="n">
        <v>132.34</v>
      </c>
      <c r="I513" t="inlineStr">
        <is>
          <t>INV/2026/04133</t>
        </is>
      </c>
      <c r="J513" s="9">
        <f>ROUND(F513-G513-H513,2)</f>
        <v>0</v>
      </c>
    </row>
    <row r="514">
      <c r="A514" t="inlineStr">
        <is>
          <t>po_1Q0019KX</t>
        </is>
      </c>
      <c r="B514" s="5" t="n">
        <v>46230</v>
      </c>
      <c r="C514" t="inlineStr">
        <is>
          <t>ch_3Q000509</t>
        </is>
      </c>
      <c r="D514" t="inlineStr">
        <is>
          <t>charge</t>
        </is>
      </c>
      <c r="E514" s="5" t="n">
        <v>46226</v>
      </c>
      <c r="F514" s="9" t="n">
        <v>110</v>
      </c>
      <c r="G514" s="9" t="n">
        <v>2.23</v>
      </c>
      <c r="H514" s="9" t="n">
        <v>107.77</v>
      </c>
      <c r="I514" t="inlineStr">
        <is>
          <t>INV/2026/04134</t>
        </is>
      </c>
      <c r="J514" s="9">
        <f>ROUND(F514-G514-H514,2)</f>
        <v>0</v>
      </c>
    </row>
    <row r="515">
      <c r="A515" t="inlineStr">
        <is>
          <t>po_1Q0019KX</t>
        </is>
      </c>
      <c r="B515" s="5" t="n">
        <v>46230</v>
      </c>
      <c r="C515" t="inlineStr">
        <is>
          <t>ch_3Q000510</t>
        </is>
      </c>
      <c r="D515" t="inlineStr">
        <is>
          <t>charge</t>
        </is>
      </c>
      <c r="E515" s="5" t="n">
        <v>46226</v>
      </c>
      <c r="F515" s="9" t="n">
        <v>65</v>
      </c>
      <c r="G515" s="9" t="n">
        <v>1.44</v>
      </c>
      <c r="H515" s="9" t="n">
        <v>63.56</v>
      </c>
      <c r="I515" t="inlineStr">
        <is>
          <t>INV/2026/04135</t>
        </is>
      </c>
      <c r="J515" s="9">
        <f>ROUND(F515-G515-H515,2)</f>
        <v>0</v>
      </c>
    </row>
    <row r="516">
      <c r="A516" t="inlineStr">
        <is>
          <t>po_1Q0019KX</t>
        </is>
      </c>
      <c r="B516" s="5" t="n">
        <v>46230</v>
      </c>
      <c r="C516" t="inlineStr">
        <is>
          <t>ch_3Q000511</t>
        </is>
      </c>
      <c r="D516" t="inlineStr">
        <is>
          <t>charge</t>
        </is>
      </c>
      <c r="E516" s="5" t="n">
        <v>46226</v>
      </c>
      <c r="F516" s="9" t="n">
        <v>65</v>
      </c>
      <c r="G516" s="9" t="n">
        <v>1.44</v>
      </c>
      <c r="H516" s="9" t="n">
        <v>63.56</v>
      </c>
      <c r="I516" t="inlineStr">
        <is>
          <t>INV/2026/04136</t>
        </is>
      </c>
      <c r="J516" s="9">
        <f>ROUND(F516-G516-H516,2)</f>
        <v>0</v>
      </c>
    </row>
    <row r="517">
      <c r="A517" t="inlineStr">
        <is>
          <t>po_1Q0019KX</t>
        </is>
      </c>
      <c r="B517" s="5" t="n">
        <v>46230</v>
      </c>
      <c r="C517" t="inlineStr">
        <is>
          <t>ch_3Q000512</t>
        </is>
      </c>
      <c r="D517" t="inlineStr">
        <is>
          <t>charge</t>
        </is>
      </c>
      <c r="E517" s="5" t="n">
        <v>46226</v>
      </c>
      <c r="F517" s="9" t="n">
        <v>65</v>
      </c>
      <c r="G517" s="9" t="n">
        <v>1.44</v>
      </c>
      <c r="H517" s="9" t="n">
        <v>63.56</v>
      </c>
      <c r="I517" t="inlineStr">
        <is>
          <t>INV/2026/04137</t>
        </is>
      </c>
      <c r="J517" s="9">
        <f>ROUND(F517-G517-H517,2)</f>
        <v>0</v>
      </c>
    </row>
    <row r="518">
      <c r="A518" t="inlineStr">
        <is>
          <t>po_1Q0019KX</t>
        </is>
      </c>
      <c r="B518" s="5" t="n">
        <v>46230</v>
      </c>
      <c r="C518" t="inlineStr">
        <is>
          <t>ch_3Q000513</t>
        </is>
      </c>
      <c r="D518" t="inlineStr">
        <is>
          <t>charge</t>
        </is>
      </c>
      <c r="E518" s="5" t="n">
        <v>46226</v>
      </c>
      <c r="F518" s="9" t="n">
        <v>135</v>
      </c>
      <c r="G518" s="9" t="n">
        <v>2.66</v>
      </c>
      <c r="H518" s="9" t="n">
        <v>132.34</v>
      </c>
      <c r="I518" t="inlineStr">
        <is>
          <t>INV/2026/04138</t>
        </is>
      </c>
      <c r="J518" s="9">
        <f>ROUND(F518-G518-H518,2)</f>
        <v>0</v>
      </c>
    </row>
    <row r="519">
      <c r="A519" t="inlineStr">
        <is>
          <t>po_1Q0019KX</t>
        </is>
      </c>
      <c r="B519" s="5" t="n">
        <v>46230</v>
      </c>
      <c r="C519" t="inlineStr">
        <is>
          <t>ch_3Q000514</t>
        </is>
      </c>
      <c r="D519" t="inlineStr">
        <is>
          <t>charge</t>
        </is>
      </c>
      <c r="E519" s="5" t="n">
        <v>46226</v>
      </c>
      <c r="F519" s="9" t="n">
        <v>180</v>
      </c>
      <c r="G519" s="9" t="n">
        <v>3.45</v>
      </c>
      <c r="H519" s="9" t="n">
        <v>176.55</v>
      </c>
      <c r="I519" t="inlineStr">
        <is>
          <t>INV/2026/04139</t>
        </is>
      </c>
      <c r="J519" s="9">
        <f>ROUND(F519-G519-H519,2)</f>
        <v>0</v>
      </c>
    </row>
    <row r="520">
      <c r="A520" t="inlineStr">
        <is>
          <t>po_1Q0019KX</t>
        </is>
      </c>
      <c r="B520" s="5" t="n">
        <v>46230</v>
      </c>
      <c r="C520" t="inlineStr">
        <is>
          <t>ch_3Q000515</t>
        </is>
      </c>
      <c r="D520" t="inlineStr">
        <is>
          <t>charge</t>
        </is>
      </c>
      <c r="E520" s="5" t="n">
        <v>46226</v>
      </c>
      <c r="F520" s="9" t="n">
        <v>150</v>
      </c>
      <c r="G520" s="9" t="n">
        <v>2.93</v>
      </c>
      <c r="H520" s="9" t="n">
        <v>147.07</v>
      </c>
      <c r="I520" t="inlineStr">
        <is>
          <t>INV/2026/04140</t>
        </is>
      </c>
      <c r="J520" s="9">
        <f>ROUND(F520-G520-H520,2)</f>
        <v>0</v>
      </c>
    </row>
    <row r="521">
      <c r="A521" t="inlineStr">
        <is>
          <t>po_1Q0019KX</t>
        </is>
      </c>
      <c r="B521" s="5" t="n">
        <v>46230</v>
      </c>
      <c r="C521" t="inlineStr">
        <is>
          <t>ch_3Q000516</t>
        </is>
      </c>
      <c r="D521" t="inlineStr">
        <is>
          <t>charge</t>
        </is>
      </c>
      <c r="E521" s="5" t="n">
        <v>46226</v>
      </c>
      <c r="F521" s="9" t="n">
        <v>95</v>
      </c>
      <c r="G521" s="9" t="n">
        <v>1.96</v>
      </c>
      <c r="H521" s="9" t="n">
        <v>93.04000000000001</v>
      </c>
      <c r="I521" t="inlineStr">
        <is>
          <t>INV/2026/04141</t>
        </is>
      </c>
      <c r="J521" s="9">
        <f>ROUND(F521-G521-H521,2)</f>
        <v>0</v>
      </c>
    </row>
    <row r="522">
      <c r="A522" t="inlineStr">
        <is>
          <t>po_1Q0019KX</t>
        </is>
      </c>
      <c r="B522" s="5" t="n">
        <v>46230</v>
      </c>
      <c r="C522" t="inlineStr">
        <is>
          <t>ch_3Q000517</t>
        </is>
      </c>
      <c r="D522" t="inlineStr">
        <is>
          <t>charge</t>
        </is>
      </c>
      <c r="E522" s="5" t="n">
        <v>46226</v>
      </c>
      <c r="F522" s="9" t="n">
        <v>135</v>
      </c>
      <c r="G522" s="9" t="n">
        <v>2.66</v>
      </c>
      <c r="H522" s="9" t="n">
        <v>132.34</v>
      </c>
      <c r="I522" t="inlineStr">
        <is>
          <t>INV/2026/04142</t>
        </is>
      </c>
      <c r="J522" s="9">
        <f>ROUND(F522-G522-H522,2)</f>
        <v>0</v>
      </c>
    </row>
    <row r="523">
      <c r="A523" t="inlineStr">
        <is>
          <t>po_1Q0019KX</t>
        </is>
      </c>
      <c r="B523" s="5" t="n">
        <v>46230</v>
      </c>
      <c r="C523" t="inlineStr">
        <is>
          <t>ch_3Q000518</t>
        </is>
      </c>
      <c r="D523" t="inlineStr">
        <is>
          <t>charge</t>
        </is>
      </c>
      <c r="E523" s="5" t="n">
        <v>46226</v>
      </c>
      <c r="F523" s="9" t="n">
        <v>120</v>
      </c>
      <c r="G523" s="9" t="n">
        <v>2.4</v>
      </c>
      <c r="H523" s="9" t="n">
        <v>117.6</v>
      </c>
      <c r="I523" t="inlineStr">
        <is>
          <t>INV/2026/04143</t>
        </is>
      </c>
      <c r="J523" s="9">
        <f>ROUND(F523-G523-H523,2)</f>
        <v>0</v>
      </c>
    </row>
    <row r="524">
      <c r="A524" t="inlineStr">
        <is>
          <t>po_1Q0019KX</t>
        </is>
      </c>
      <c r="B524" s="5" t="n">
        <v>46230</v>
      </c>
      <c r="C524" t="inlineStr">
        <is>
          <t>ch_3Q000519</t>
        </is>
      </c>
      <c r="D524" t="inlineStr">
        <is>
          <t>charge</t>
        </is>
      </c>
      <c r="E524" s="5" t="n">
        <v>46226</v>
      </c>
      <c r="F524" s="9" t="n">
        <v>95</v>
      </c>
      <c r="G524" s="9" t="n">
        <v>1.96</v>
      </c>
      <c r="H524" s="9" t="n">
        <v>93.04000000000001</v>
      </c>
      <c r="I524" t="inlineStr">
        <is>
          <t>INV/2026/04144</t>
        </is>
      </c>
      <c r="J524" s="9">
        <f>ROUND(F524-G524-H524,2)</f>
        <v>0</v>
      </c>
    </row>
    <row r="525">
      <c r="A525" t="inlineStr">
        <is>
          <t>po_1Q0019KX</t>
        </is>
      </c>
      <c r="B525" s="5" t="n">
        <v>46230</v>
      </c>
      <c r="C525" t="inlineStr">
        <is>
          <t>ch_3Q000520</t>
        </is>
      </c>
      <c r="D525" t="inlineStr">
        <is>
          <t>charge</t>
        </is>
      </c>
      <c r="E525" s="5" t="n">
        <v>46226</v>
      </c>
      <c r="F525" s="9" t="n">
        <v>120</v>
      </c>
      <c r="G525" s="9" t="n">
        <v>2.4</v>
      </c>
      <c r="H525" s="9" t="n">
        <v>117.6</v>
      </c>
      <c r="I525" t="inlineStr">
        <is>
          <t>INV/2026/04145</t>
        </is>
      </c>
      <c r="J525" s="9">
        <f>ROUND(F525-G525-H525,2)</f>
        <v>0</v>
      </c>
    </row>
    <row r="526">
      <c r="A526" t="inlineStr">
        <is>
          <t>po_1Q0019KX</t>
        </is>
      </c>
      <c r="B526" s="5" t="n">
        <v>46230</v>
      </c>
      <c r="C526" t="inlineStr">
        <is>
          <t>ch_3Q000521</t>
        </is>
      </c>
      <c r="D526" t="inlineStr">
        <is>
          <t>charge</t>
        </is>
      </c>
      <c r="E526" s="5" t="n">
        <v>46226</v>
      </c>
      <c r="F526" s="9" t="n">
        <v>95</v>
      </c>
      <c r="G526" s="9" t="n">
        <v>1.96</v>
      </c>
      <c r="H526" s="9" t="n">
        <v>93.04000000000001</v>
      </c>
      <c r="I526" t="inlineStr">
        <is>
          <t>INV/2026/04146</t>
        </is>
      </c>
      <c r="J526" s="9">
        <f>ROUND(F526-G526-H526,2)</f>
        <v>0</v>
      </c>
    </row>
    <row r="527">
      <c r="A527" t="inlineStr">
        <is>
          <t>po_1Q0019KX</t>
        </is>
      </c>
      <c r="B527" s="5" t="n">
        <v>46230</v>
      </c>
      <c r="C527" t="inlineStr">
        <is>
          <t>ch_3Q000522</t>
        </is>
      </c>
      <c r="D527" t="inlineStr">
        <is>
          <t>charge</t>
        </is>
      </c>
      <c r="E527" s="5" t="n">
        <v>46226</v>
      </c>
      <c r="F527" s="9" t="n">
        <v>220</v>
      </c>
      <c r="G527" s="9" t="n">
        <v>4.15</v>
      </c>
      <c r="H527" s="9" t="n">
        <v>215.85</v>
      </c>
      <c r="I527" t="inlineStr">
        <is>
          <t>INV/2026/04147</t>
        </is>
      </c>
      <c r="J527" s="9">
        <f>ROUND(F527-G527-H527,2)</f>
        <v>0</v>
      </c>
    </row>
    <row r="528">
      <c r="A528" t="inlineStr">
        <is>
          <t>po_1Q0019KX</t>
        </is>
      </c>
      <c r="B528" s="5" t="n">
        <v>46230</v>
      </c>
      <c r="C528" t="inlineStr">
        <is>
          <t>ch_3Q000523</t>
        </is>
      </c>
      <c r="D528" t="inlineStr">
        <is>
          <t>charge</t>
        </is>
      </c>
      <c r="E528" s="5" t="n">
        <v>46226</v>
      </c>
      <c r="F528" s="9" t="n">
        <v>180</v>
      </c>
      <c r="G528" s="9" t="n">
        <v>3.45</v>
      </c>
      <c r="H528" s="9" t="n">
        <v>176.55</v>
      </c>
      <c r="I528" t="inlineStr">
        <is>
          <t>INV/2026/04148</t>
        </is>
      </c>
      <c r="J528" s="9">
        <f>ROUND(F528-G528-H528,2)</f>
        <v>0</v>
      </c>
    </row>
    <row r="529">
      <c r="A529" t="inlineStr">
        <is>
          <t>po_1Q0019KX</t>
        </is>
      </c>
      <c r="B529" s="5" t="n">
        <v>46230</v>
      </c>
      <c r="C529" t="inlineStr">
        <is>
          <t>ch_3Q000524</t>
        </is>
      </c>
      <c r="D529" t="inlineStr">
        <is>
          <t>charge</t>
        </is>
      </c>
      <c r="E529" s="5" t="n">
        <v>46226</v>
      </c>
      <c r="F529" s="9" t="n">
        <v>220</v>
      </c>
      <c r="G529" s="9" t="n">
        <v>4.15</v>
      </c>
      <c r="H529" s="9" t="n">
        <v>215.85</v>
      </c>
      <c r="I529" t="inlineStr">
        <is>
          <t>INV/2026/04149</t>
        </is>
      </c>
      <c r="J529" s="9">
        <f>ROUND(F529-G529-H529,2)</f>
        <v>0</v>
      </c>
    </row>
    <row r="530">
      <c r="A530" t="inlineStr">
        <is>
          <t>po_1Q0019KX</t>
        </is>
      </c>
      <c r="B530" s="5" t="n">
        <v>46230</v>
      </c>
      <c r="C530" t="inlineStr">
        <is>
          <t>ch_3Q000525</t>
        </is>
      </c>
      <c r="D530" t="inlineStr">
        <is>
          <t>charge</t>
        </is>
      </c>
      <c r="E530" s="5" t="n">
        <v>46226</v>
      </c>
      <c r="F530" s="9" t="n">
        <v>120</v>
      </c>
      <c r="G530" s="9" t="n">
        <v>2.4</v>
      </c>
      <c r="H530" s="9" t="n">
        <v>117.6</v>
      </c>
      <c r="I530" t="inlineStr">
        <is>
          <t>INV/2026/04150</t>
        </is>
      </c>
      <c r="J530" s="9">
        <f>ROUND(F530-G530-H530,2)</f>
        <v>0</v>
      </c>
    </row>
    <row r="531">
      <c r="A531" t="inlineStr">
        <is>
          <t>po_1Q0019KX</t>
        </is>
      </c>
      <c r="B531" s="5" t="n">
        <v>46230</v>
      </c>
      <c r="C531" t="inlineStr">
        <is>
          <t>ch_3Q000526</t>
        </is>
      </c>
      <c r="D531" t="inlineStr">
        <is>
          <t>charge</t>
        </is>
      </c>
      <c r="E531" s="5" t="n">
        <v>46226</v>
      </c>
      <c r="F531" s="9" t="n">
        <v>120</v>
      </c>
      <c r="G531" s="9" t="n">
        <v>2.4</v>
      </c>
      <c r="H531" s="9" t="n">
        <v>117.6</v>
      </c>
      <c r="I531" t="inlineStr">
        <is>
          <t>INV/2026/04151</t>
        </is>
      </c>
      <c r="J531" s="9">
        <f>ROUND(F531-G531-H531,2)</f>
        <v>0</v>
      </c>
    </row>
    <row r="532">
      <c r="A532" t="inlineStr">
        <is>
          <t>po_1Q0020KX</t>
        </is>
      </c>
      <c r="B532" s="5" t="n">
        <v>46231</v>
      </c>
      <c r="C532" t="inlineStr">
        <is>
          <t>ch_3Q000527</t>
        </is>
      </c>
      <c r="D532" t="inlineStr">
        <is>
          <t>charge</t>
        </is>
      </c>
      <c r="E532" s="5" t="n">
        <v>46227</v>
      </c>
      <c r="F532" s="9" t="n">
        <v>135</v>
      </c>
      <c r="G532" s="9" t="n">
        <v>2.66</v>
      </c>
      <c r="H532" s="9" t="n">
        <v>132.34</v>
      </c>
      <c r="I532" t="inlineStr">
        <is>
          <t>INV/2026/04152</t>
        </is>
      </c>
      <c r="J532" s="9">
        <f>ROUND(F532-G532-H532,2)</f>
        <v>0</v>
      </c>
    </row>
    <row r="533">
      <c r="A533" t="inlineStr">
        <is>
          <t>po_1Q0020KX</t>
        </is>
      </c>
      <c r="B533" s="5" t="n">
        <v>46231</v>
      </c>
      <c r="C533" t="inlineStr">
        <is>
          <t>ch_3Q000528</t>
        </is>
      </c>
      <c r="D533" t="inlineStr">
        <is>
          <t>charge</t>
        </is>
      </c>
      <c r="E533" s="5" t="n">
        <v>46227</v>
      </c>
      <c r="F533" s="9" t="n">
        <v>150</v>
      </c>
      <c r="G533" s="9" t="n">
        <v>2.93</v>
      </c>
      <c r="H533" s="9" t="n">
        <v>147.07</v>
      </c>
      <c r="I533" t="inlineStr">
        <is>
          <t>INV/2026/04153</t>
        </is>
      </c>
      <c r="J533" s="9">
        <f>ROUND(F533-G533-H533,2)</f>
        <v>0</v>
      </c>
    </row>
    <row r="534">
      <c r="A534" t="inlineStr">
        <is>
          <t>po_1Q0020KX</t>
        </is>
      </c>
      <c r="B534" s="5" t="n">
        <v>46231</v>
      </c>
      <c r="C534" t="inlineStr">
        <is>
          <t>ch_3Q000529</t>
        </is>
      </c>
      <c r="D534" t="inlineStr">
        <is>
          <t>charge</t>
        </is>
      </c>
      <c r="E534" s="5" t="n">
        <v>46227</v>
      </c>
      <c r="F534" s="9" t="n">
        <v>65</v>
      </c>
      <c r="G534" s="9" t="n">
        <v>1.44</v>
      </c>
      <c r="H534" s="9" t="n">
        <v>63.56</v>
      </c>
      <c r="I534" t="inlineStr">
        <is>
          <t>INV/2026/04154</t>
        </is>
      </c>
      <c r="J534" s="9">
        <f>ROUND(F534-G534-H534,2)</f>
        <v>0</v>
      </c>
    </row>
    <row r="535">
      <c r="A535" t="inlineStr">
        <is>
          <t>po_1Q0020KX</t>
        </is>
      </c>
      <c r="B535" s="5" t="n">
        <v>46231</v>
      </c>
      <c r="C535" t="inlineStr">
        <is>
          <t>ch_3Q000530</t>
        </is>
      </c>
      <c r="D535" t="inlineStr">
        <is>
          <t>charge</t>
        </is>
      </c>
      <c r="E535" s="5" t="n">
        <v>46227</v>
      </c>
      <c r="F535" s="9" t="n">
        <v>120</v>
      </c>
      <c r="G535" s="9" t="n">
        <v>2.4</v>
      </c>
      <c r="H535" s="9" t="n">
        <v>117.6</v>
      </c>
      <c r="I535" t="inlineStr">
        <is>
          <t>INV/2026/04155</t>
        </is>
      </c>
      <c r="J535" s="9">
        <f>ROUND(F535-G535-H535,2)</f>
        <v>0</v>
      </c>
    </row>
    <row r="536">
      <c r="A536" t="inlineStr">
        <is>
          <t>po_1Q0020KX</t>
        </is>
      </c>
      <c r="B536" s="5" t="n">
        <v>46231</v>
      </c>
      <c r="C536" t="inlineStr">
        <is>
          <t>ch_3Q000531</t>
        </is>
      </c>
      <c r="D536" t="inlineStr">
        <is>
          <t>charge</t>
        </is>
      </c>
      <c r="E536" s="5" t="n">
        <v>46227</v>
      </c>
      <c r="F536" s="9" t="n">
        <v>110</v>
      </c>
      <c r="G536" s="9" t="n">
        <v>2.23</v>
      </c>
      <c r="H536" s="9" t="n">
        <v>107.77</v>
      </c>
      <c r="I536" t="inlineStr">
        <is>
          <t>INV/2026/04156</t>
        </is>
      </c>
      <c r="J536" s="9">
        <f>ROUND(F536-G536-H536,2)</f>
        <v>0</v>
      </c>
    </row>
    <row r="537">
      <c r="A537" t="inlineStr">
        <is>
          <t>po_1Q0020KX</t>
        </is>
      </c>
      <c r="B537" s="5" t="n">
        <v>46231</v>
      </c>
      <c r="C537" t="inlineStr">
        <is>
          <t>ch_3Q000532</t>
        </is>
      </c>
      <c r="D537" t="inlineStr">
        <is>
          <t>charge</t>
        </is>
      </c>
      <c r="E537" s="5" t="n">
        <v>46227</v>
      </c>
      <c r="F537" s="9" t="n">
        <v>220</v>
      </c>
      <c r="G537" s="9" t="n">
        <v>4.15</v>
      </c>
      <c r="H537" s="9" t="n">
        <v>215.85</v>
      </c>
      <c r="I537" t="inlineStr">
        <is>
          <t>INV/2026/04157</t>
        </is>
      </c>
      <c r="J537" s="9">
        <f>ROUND(F537-G537-H537,2)</f>
        <v>0</v>
      </c>
    </row>
    <row r="538">
      <c r="A538" t="inlineStr">
        <is>
          <t>po_1Q0020KX</t>
        </is>
      </c>
      <c r="B538" s="5" t="n">
        <v>46231</v>
      </c>
      <c r="C538" t="inlineStr">
        <is>
          <t>ch_3Q000533</t>
        </is>
      </c>
      <c r="D538" t="inlineStr">
        <is>
          <t>charge</t>
        </is>
      </c>
      <c r="E538" s="5" t="n">
        <v>46227</v>
      </c>
      <c r="F538" s="9" t="n">
        <v>95</v>
      </c>
      <c r="G538" s="9" t="n">
        <v>1.96</v>
      </c>
      <c r="H538" s="9" t="n">
        <v>93.04000000000001</v>
      </c>
      <c r="I538" t="inlineStr">
        <is>
          <t>INV/2026/04158</t>
        </is>
      </c>
      <c r="J538" s="9">
        <f>ROUND(F538-G538-H538,2)</f>
        <v>0</v>
      </c>
    </row>
    <row r="539">
      <c r="A539" t="inlineStr">
        <is>
          <t>po_1Q0020KX</t>
        </is>
      </c>
      <c r="B539" s="5" t="n">
        <v>46231</v>
      </c>
      <c r="C539" t="inlineStr">
        <is>
          <t>ch_3Q000534</t>
        </is>
      </c>
      <c r="D539" t="inlineStr">
        <is>
          <t>charge</t>
        </is>
      </c>
      <c r="E539" s="5" t="n">
        <v>46227</v>
      </c>
      <c r="F539" s="9" t="n">
        <v>95</v>
      </c>
      <c r="G539" s="9" t="n">
        <v>1.96</v>
      </c>
      <c r="H539" s="9" t="n">
        <v>93.04000000000001</v>
      </c>
      <c r="I539" t="inlineStr">
        <is>
          <t>INV/2026/04159</t>
        </is>
      </c>
      <c r="J539" s="9">
        <f>ROUND(F539-G539-H539,2)</f>
        <v>0</v>
      </c>
    </row>
    <row r="540">
      <c r="A540" t="inlineStr">
        <is>
          <t>po_1Q0020KX</t>
        </is>
      </c>
      <c r="B540" s="5" t="n">
        <v>46231</v>
      </c>
      <c r="C540" t="inlineStr">
        <is>
          <t>ch_3Q000535</t>
        </is>
      </c>
      <c r="D540" t="inlineStr">
        <is>
          <t>charge</t>
        </is>
      </c>
      <c r="E540" s="5" t="n">
        <v>46227</v>
      </c>
      <c r="F540" s="9" t="n">
        <v>135</v>
      </c>
      <c r="G540" s="9" t="n">
        <v>2.66</v>
      </c>
      <c r="H540" s="9" t="n">
        <v>132.34</v>
      </c>
      <c r="I540" t="inlineStr">
        <is>
          <t>INV/2026/04160</t>
        </is>
      </c>
      <c r="J540" s="9">
        <f>ROUND(F540-G540-H540,2)</f>
        <v>0</v>
      </c>
    </row>
    <row r="541">
      <c r="A541" t="inlineStr">
        <is>
          <t>po_1Q0020KX</t>
        </is>
      </c>
      <c r="B541" s="5" t="n">
        <v>46231</v>
      </c>
      <c r="C541" t="inlineStr">
        <is>
          <t>ch_3Q000536</t>
        </is>
      </c>
      <c r="D541" t="inlineStr">
        <is>
          <t>charge</t>
        </is>
      </c>
      <c r="E541" s="5" t="n">
        <v>46227</v>
      </c>
      <c r="F541" s="9" t="n">
        <v>150</v>
      </c>
      <c r="G541" s="9" t="n">
        <v>2.93</v>
      </c>
      <c r="H541" s="9" t="n">
        <v>147.07</v>
      </c>
      <c r="I541" t="inlineStr">
        <is>
          <t>INV/2026/04161</t>
        </is>
      </c>
      <c r="J541" s="9">
        <f>ROUND(F541-G541-H541,2)</f>
        <v>0</v>
      </c>
    </row>
    <row r="542">
      <c r="A542" t="inlineStr">
        <is>
          <t>po_1Q0020KX</t>
        </is>
      </c>
      <c r="B542" s="5" t="n">
        <v>46231</v>
      </c>
      <c r="C542" t="inlineStr">
        <is>
          <t>ch_3Q000537</t>
        </is>
      </c>
      <c r="D542" t="inlineStr">
        <is>
          <t>charge</t>
        </is>
      </c>
      <c r="E542" s="5" t="n">
        <v>46227</v>
      </c>
      <c r="F542" s="9" t="n">
        <v>65</v>
      </c>
      <c r="G542" s="9" t="n">
        <v>1.44</v>
      </c>
      <c r="H542" s="9" t="n">
        <v>63.56</v>
      </c>
      <c r="I542" t="inlineStr">
        <is>
          <t>INV/2026/04162</t>
        </is>
      </c>
      <c r="J542" s="9">
        <f>ROUND(F542-G542-H542,2)</f>
        <v>0</v>
      </c>
    </row>
    <row r="543">
      <c r="A543" t="inlineStr">
        <is>
          <t>po_1Q0020KX</t>
        </is>
      </c>
      <c r="B543" s="5" t="n">
        <v>46231</v>
      </c>
      <c r="C543" t="inlineStr">
        <is>
          <t>ch_3Q000538</t>
        </is>
      </c>
      <c r="D543" t="inlineStr">
        <is>
          <t>charge</t>
        </is>
      </c>
      <c r="E543" s="5" t="n">
        <v>46227</v>
      </c>
      <c r="F543" s="9" t="n">
        <v>135</v>
      </c>
      <c r="G543" s="9" t="n">
        <v>2.66</v>
      </c>
      <c r="H543" s="9" t="n">
        <v>132.34</v>
      </c>
      <c r="I543" t="inlineStr">
        <is>
          <t>INV/2026/04163</t>
        </is>
      </c>
      <c r="J543" s="9">
        <f>ROUND(F543-G543-H543,2)</f>
        <v>0</v>
      </c>
    </row>
    <row r="544">
      <c r="A544" t="inlineStr">
        <is>
          <t>po_1Q0020KX</t>
        </is>
      </c>
      <c r="B544" s="5" t="n">
        <v>46231</v>
      </c>
      <c r="C544" t="inlineStr">
        <is>
          <t>ch_3Q000539</t>
        </is>
      </c>
      <c r="D544" t="inlineStr">
        <is>
          <t>charge</t>
        </is>
      </c>
      <c r="E544" s="5" t="n">
        <v>46227</v>
      </c>
      <c r="F544" s="9" t="n">
        <v>120</v>
      </c>
      <c r="G544" s="9" t="n">
        <v>2.4</v>
      </c>
      <c r="H544" s="9" t="n">
        <v>117.6</v>
      </c>
      <c r="I544" t="inlineStr">
        <is>
          <t>INV/2026/04164</t>
        </is>
      </c>
      <c r="J544" s="9">
        <f>ROUND(F544-G544-H544,2)</f>
        <v>0</v>
      </c>
    </row>
    <row r="545">
      <c r="A545" t="inlineStr">
        <is>
          <t>po_1Q0020KX</t>
        </is>
      </c>
      <c r="B545" s="5" t="n">
        <v>46231</v>
      </c>
      <c r="C545" t="inlineStr">
        <is>
          <t>ch_3Q000540</t>
        </is>
      </c>
      <c r="D545" t="inlineStr">
        <is>
          <t>charge</t>
        </is>
      </c>
      <c r="E545" s="5" t="n">
        <v>46227</v>
      </c>
      <c r="F545" s="9" t="n">
        <v>120</v>
      </c>
      <c r="G545" s="9" t="n">
        <v>2.4</v>
      </c>
      <c r="H545" s="9" t="n">
        <v>117.6</v>
      </c>
      <c r="I545" t="inlineStr">
        <is>
          <t>INV/2026/04165</t>
        </is>
      </c>
      <c r="J545" s="9">
        <f>ROUND(F545-G545-H545,2)</f>
        <v>0</v>
      </c>
    </row>
    <row r="546">
      <c r="A546" t="inlineStr">
        <is>
          <t>po_1Q0020KX</t>
        </is>
      </c>
      <c r="B546" s="5" t="n">
        <v>46231</v>
      </c>
      <c r="C546" t="inlineStr">
        <is>
          <t>ch_3Q000541</t>
        </is>
      </c>
      <c r="D546" t="inlineStr">
        <is>
          <t>charge</t>
        </is>
      </c>
      <c r="E546" s="5" t="n">
        <v>46227</v>
      </c>
      <c r="F546" s="9" t="n">
        <v>95</v>
      </c>
      <c r="G546" s="9" t="n">
        <v>1.96</v>
      </c>
      <c r="H546" s="9" t="n">
        <v>93.04000000000001</v>
      </c>
      <c r="I546" t="inlineStr">
        <is>
          <t>INV/2026/04166</t>
        </is>
      </c>
      <c r="J546" s="9">
        <f>ROUND(F546-G546-H546,2)</f>
        <v>0</v>
      </c>
    </row>
    <row r="547">
      <c r="A547" t="inlineStr">
        <is>
          <t>po_1Q0020KX</t>
        </is>
      </c>
      <c r="B547" s="5" t="n">
        <v>46231</v>
      </c>
      <c r="C547" t="inlineStr">
        <is>
          <t>ch_3Q000542</t>
        </is>
      </c>
      <c r="D547" t="inlineStr">
        <is>
          <t>charge</t>
        </is>
      </c>
      <c r="E547" s="5" t="n">
        <v>46227</v>
      </c>
      <c r="F547" s="9" t="n">
        <v>95</v>
      </c>
      <c r="G547" s="9" t="n">
        <v>1.96</v>
      </c>
      <c r="H547" s="9" t="n">
        <v>93.04000000000001</v>
      </c>
      <c r="I547" t="inlineStr">
        <is>
          <t>INV/2026/04167</t>
        </is>
      </c>
      <c r="J547" s="9">
        <f>ROUND(F547-G547-H547,2)</f>
        <v>0</v>
      </c>
    </row>
    <row r="548">
      <c r="A548" t="inlineStr">
        <is>
          <t>po_1Q0020KX</t>
        </is>
      </c>
      <c r="B548" s="5" t="n">
        <v>46231</v>
      </c>
      <c r="C548" t="inlineStr">
        <is>
          <t>ch_3Q000543</t>
        </is>
      </c>
      <c r="D548" t="inlineStr">
        <is>
          <t>charge</t>
        </is>
      </c>
      <c r="E548" s="5" t="n">
        <v>46227</v>
      </c>
      <c r="F548" s="9" t="n">
        <v>135</v>
      </c>
      <c r="G548" s="9" t="n">
        <v>2.66</v>
      </c>
      <c r="H548" s="9" t="n">
        <v>132.34</v>
      </c>
      <c r="I548" t="inlineStr">
        <is>
          <t>INV/2026/04168</t>
        </is>
      </c>
      <c r="J548" s="9">
        <f>ROUND(F548-G548-H548,2)</f>
        <v>0</v>
      </c>
    </row>
    <row r="549">
      <c r="A549" t="inlineStr">
        <is>
          <t>po_1Q0020KX</t>
        </is>
      </c>
      <c r="B549" s="5" t="n">
        <v>46231</v>
      </c>
      <c r="C549" t="inlineStr">
        <is>
          <t>ch_3Q000544</t>
        </is>
      </c>
      <c r="D549" t="inlineStr">
        <is>
          <t>charge</t>
        </is>
      </c>
      <c r="E549" s="5" t="n">
        <v>46227</v>
      </c>
      <c r="F549" s="9" t="n">
        <v>110</v>
      </c>
      <c r="G549" s="9" t="n">
        <v>2.23</v>
      </c>
      <c r="H549" s="9" t="n">
        <v>107.77</v>
      </c>
      <c r="I549" t="inlineStr">
        <is>
          <t>INV/2026/04169</t>
        </is>
      </c>
      <c r="J549" s="9">
        <f>ROUND(F549-G549-H549,2)</f>
        <v>0</v>
      </c>
    </row>
    <row r="550">
      <c r="A550" t="inlineStr">
        <is>
          <t>po_1Q0020KX</t>
        </is>
      </c>
      <c r="B550" s="5" t="n">
        <v>46231</v>
      </c>
      <c r="C550" t="inlineStr">
        <is>
          <t>ch_3Q000545</t>
        </is>
      </c>
      <c r="D550" t="inlineStr">
        <is>
          <t>charge</t>
        </is>
      </c>
      <c r="E550" s="5" t="n">
        <v>46227</v>
      </c>
      <c r="F550" s="9" t="n">
        <v>180</v>
      </c>
      <c r="G550" s="9" t="n">
        <v>3.45</v>
      </c>
      <c r="H550" s="9" t="n">
        <v>176.55</v>
      </c>
      <c r="I550" t="inlineStr">
        <is>
          <t>INV/2026/04170</t>
        </is>
      </c>
      <c r="J550" s="9">
        <f>ROUND(F550-G550-H550,2)</f>
        <v>0</v>
      </c>
    </row>
    <row r="551">
      <c r="A551" t="inlineStr">
        <is>
          <t>po_1Q0020KX</t>
        </is>
      </c>
      <c r="B551" s="5" t="n">
        <v>46231</v>
      </c>
      <c r="C551" t="inlineStr">
        <is>
          <t>ch_3Q000546</t>
        </is>
      </c>
      <c r="D551" t="inlineStr">
        <is>
          <t>charge</t>
        </is>
      </c>
      <c r="E551" s="5" t="n">
        <v>46227</v>
      </c>
      <c r="F551" s="9" t="n">
        <v>220</v>
      </c>
      <c r="G551" s="9" t="n">
        <v>4.15</v>
      </c>
      <c r="H551" s="9" t="n">
        <v>215.85</v>
      </c>
      <c r="I551" t="inlineStr">
        <is>
          <t>INV/2026/04171</t>
        </is>
      </c>
      <c r="J551" s="9">
        <f>ROUND(F551-G551-H551,2)</f>
        <v>0</v>
      </c>
    </row>
    <row r="552">
      <c r="A552" t="inlineStr">
        <is>
          <t>po_1Q0020KX</t>
        </is>
      </c>
      <c r="B552" s="5" t="n">
        <v>46231</v>
      </c>
      <c r="C552" t="inlineStr">
        <is>
          <t>ch_3Q000547</t>
        </is>
      </c>
      <c r="D552" t="inlineStr">
        <is>
          <t>charge</t>
        </is>
      </c>
      <c r="E552" s="5" t="n">
        <v>46227</v>
      </c>
      <c r="F552" s="9" t="n">
        <v>180</v>
      </c>
      <c r="G552" s="9" t="n">
        <v>3.45</v>
      </c>
      <c r="H552" s="9" t="n">
        <v>176.55</v>
      </c>
      <c r="I552" t="inlineStr">
        <is>
          <t>INV/2026/04172</t>
        </is>
      </c>
      <c r="J552" s="9">
        <f>ROUND(F552-G552-H552,2)</f>
        <v>0</v>
      </c>
    </row>
    <row r="553">
      <c r="A553" t="inlineStr">
        <is>
          <t>po_1Q0020KX</t>
        </is>
      </c>
      <c r="B553" s="5" t="n">
        <v>46231</v>
      </c>
      <c r="C553" t="inlineStr">
        <is>
          <t>ch_3Q000548</t>
        </is>
      </c>
      <c r="D553" t="inlineStr">
        <is>
          <t>charge</t>
        </is>
      </c>
      <c r="E553" s="5" t="n">
        <v>46227</v>
      </c>
      <c r="F553" s="9" t="n">
        <v>95</v>
      </c>
      <c r="G553" s="9" t="n">
        <v>1.96</v>
      </c>
      <c r="H553" s="9" t="n">
        <v>93.04000000000001</v>
      </c>
      <c r="I553" t="inlineStr">
        <is>
          <t>INV/2026/04173</t>
        </is>
      </c>
      <c r="J553" s="9">
        <f>ROUND(F553-G553-H553,2)</f>
        <v>0</v>
      </c>
    </row>
    <row r="554">
      <c r="A554" t="inlineStr">
        <is>
          <t>po_1Q0020KX</t>
        </is>
      </c>
      <c r="B554" s="5" t="n">
        <v>46231</v>
      </c>
      <c r="C554" t="inlineStr">
        <is>
          <t>ch_3Q000549</t>
        </is>
      </c>
      <c r="D554" t="inlineStr">
        <is>
          <t>charge</t>
        </is>
      </c>
      <c r="E554" s="5" t="n">
        <v>46227</v>
      </c>
      <c r="F554" s="9" t="n">
        <v>120</v>
      </c>
      <c r="G554" s="9" t="n">
        <v>2.4</v>
      </c>
      <c r="H554" s="9" t="n">
        <v>117.6</v>
      </c>
      <c r="I554" t="inlineStr">
        <is>
          <t>INV/2026/04174</t>
        </is>
      </c>
      <c r="J554" s="9">
        <f>ROUND(F554-G554-H554,2)</f>
        <v>0</v>
      </c>
    </row>
    <row r="555">
      <c r="A555" t="inlineStr">
        <is>
          <t>po_1Q0020KX</t>
        </is>
      </c>
      <c r="B555" s="5" t="n">
        <v>46231</v>
      </c>
      <c r="C555" t="inlineStr">
        <is>
          <t>ch_3Q000550</t>
        </is>
      </c>
      <c r="D555" t="inlineStr">
        <is>
          <t>charge</t>
        </is>
      </c>
      <c r="E555" s="5" t="n">
        <v>46227</v>
      </c>
      <c r="F555" s="9" t="n">
        <v>135</v>
      </c>
      <c r="G555" s="9" t="n">
        <v>2.66</v>
      </c>
      <c r="H555" s="9" t="n">
        <v>132.34</v>
      </c>
      <c r="I555" t="inlineStr">
        <is>
          <t>INV/2026/04175</t>
        </is>
      </c>
      <c r="J555" s="9">
        <f>ROUND(F555-G555-H555,2)</f>
        <v>0</v>
      </c>
    </row>
    <row r="556">
      <c r="A556" t="inlineStr">
        <is>
          <t>po_1Q0020KX</t>
        </is>
      </c>
      <c r="B556" s="5" t="n">
        <v>46231</v>
      </c>
      <c r="C556" t="inlineStr">
        <is>
          <t>ch_3Q000551</t>
        </is>
      </c>
      <c r="D556" t="inlineStr">
        <is>
          <t>charge</t>
        </is>
      </c>
      <c r="E556" s="5" t="n">
        <v>46227</v>
      </c>
      <c r="F556" s="9" t="n">
        <v>85</v>
      </c>
      <c r="G556" s="9" t="n">
        <v>1.79</v>
      </c>
      <c r="H556" s="9" t="n">
        <v>83.20999999999999</v>
      </c>
      <c r="I556" t="inlineStr">
        <is>
          <t>INV/2026/04176</t>
        </is>
      </c>
      <c r="J556" s="9">
        <f>ROUND(F556-G556-H556,2)</f>
        <v>0</v>
      </c>
    </row>
    <row r="557">
      <c r="A557" t="inlineStr">
        <is>
          <t>po_1Q0020KX</t>
        </is>
      </c>
      <c r="B557" s="5" t="n">
        <v>46231</v>
      </c>
      <c r="C557" t="inlineStr">
        <is>
          <t>ch_3Q000552</t>
        </is>
      </c>
      <c r="D557" t="inlineStr">
        <is>
          <t>charge</t>
        </is>
      </c>
      <c r="E557" s="5" t="n">
        <v>46227</v>
      </c>
      <c r="F557" s="9" t="n">
        <v>135</v>
      </c>
      <c r="G557" s="9" t="n">
        <v>2.66</v>
      </c>
      <c r="H557" s="9" t="n">
        <v>132.34</v>
      </c>
      <c r="I557" t="inlineStr">
        <is>
          <t>INV/2026/04177</t>
        </is>
      </c>
      <c r="J557" s="9">
        <f>ROUND(F557-G557-H557,2)</f>
        <v>0</v>
      </c>
    </row>
    <row r="558">
      <c r="A558" t="inlineStr">
        <is>
          <t>po_1Q0020KX</t>
        </is>
      </c>
      <c r="B558" s="5" t="n">
        <v>46231</v>
      </c>
      <c r="C558" t="inlineStr">
        <is>
          <t>ch_3Q000553</t>
        </is>
      </c>
      <c r="D558" t="inlineStr">
        <is>
          <t>charge</t>
        </is>
      </c>
      <c r="E558" s="5" t="n">
        <v>46227</v>
      </c>
      <c r="F558" s="9" t="n">
        <v>220</v>
      </c>
      <c r="G558" s="9" t="n">
        <v>4.15</v>
      </c>
      <c r="H558" s="9" t="n">
        <v>215.85</v>
      </c>
      <c r="I558" t="inlineStr">
        <is>
          <t>INV/2026/04178</t>
        </is>
      </c>
      <c r="J558" s="9">
        <f>ROUND(F558-G558-H558,2)</f>
        <v>0</v>
      </c>
    </row>
    <row r="559">
      <c r="A559" t="inlineStr">
        <is>
          <t>po_1Q0020KX</t>
        </is>
      </c>
      <c r="B559" s="5" t="n">
        <v>46231</v>
      </c>
      <c r="C559" t="inlineStr">
        <is>
          <t>ch_3Q000554</t>
        </is>
      </c>
      <c r="D559" t="inlineStr">
        <is>
          <t>charge</t>
        </is>
      </c>
      <c r="E559" s="5" t="n">
        <v>46227</v>
      </c>
      <c r="F559" s="9" t="n">
        <v>220</v>
      </c>
      <c r="G559" s="9" t="n">
        <v>4.15</v>
      </c>
      <c r="H559" s="9" t="n">
        <v>215.85</v>
      </c>
      <c r="I559" t="inlineStr">
        <is>
          <t>INV/2026/04179</t>
        </is>
      </c>
      <c r="J559" s="9">
        <f>ROUND(F559-G559-H559,2)</f>
        <v>0</v>
      </c>
    </row>
    <row r="560">
      <c r="A560" t="inlineStr">
        <is>
          <t>po_1Q0020KX</t>
        </is>
      </c>
      <c r="B560" s="5" t="n">
        <v>46231</v>
      </c>
      <c r="C560" t="inlineStr">
        <is>
          <t>ch_3Q000555</t>
        </is>
      </c>
      <c r="D560" t="inlineStr">
        <is>
          <t>charge</t>
        </is>
      </c>
      <c r="E560" s="5" t="n">
        <v>46227</v>
      </c>
      <c r="F560" s="9" t="n">
        <v>110</v>
      </c>
      <c r="G560" s="9" t="n">
        <v>2.23</v>
      </c>
      <c r="H560" s="9" t="n">
        <v>107.77</v>
      </c>
      <c r="I560" t="inlineStr">
        <is>
          <t>INV/2026/04180</t>
        </is>
      </c>
      <c r="J560" s="9">
        <f>ROUND(F560-G560-H560,2)</f>
        <v>0</v>
      </c>
    </row>
    <row r="561">
      <c r="A561" t="inlineStr">
        <is>
          <t>po_1Q0020KX</t>
        </is>
      </c>
      <c r="B561" s="5" t="n">
        <v>46231</v>
      </c>
      <c r="C561" t="inlineStr">
        <is>
          <t>ch_3Q000556</t>
        </is>
      </c>
      <c r="D561" t="inlineStr">
        <is>
          <t>charge</t>
        </is>
      </c>
      <c r="E561" s="5" t="n">
        <v>46227</v>
      </c>
      <c r="F561" s="9" t="n">
        <v>120</v>
      </c>
      <c r="G561" s="9" t="n">
        <v>2.4</v>
      </c>
      <c r="H561" s="9" t="n">
        <v>117.6</v>
      </c>
      <c r="I561" t="inlineStr">
        <is>
          <t>INV/2026/04181</t>
        </is>
      </c>
      <c r="J561" s="9">
        <f>ROUND(F561-G561-H561,2)</f>
        <v>0</v>
      </c>
    </row>
    <row r="562">
      <c r="A562" t="inlineStr">
        <is>
          <t>po_1Q0020KX</t>
        </is>
      </c>
      <c r="B562" s="5" t="n">
        <v>46231</v>
      </c>
      <c r="C562" t="inlineStr">
        <is>
          <t>ch_3Q000557</t>
        </is>
      </c>
      <c r="D562" t="inlineStr">
        <is>
          <t>charge</t>
        </is>
      </c>
      <c r="E562" s="5" t="n">
        <v>46227</v>
      </c>
      <c r="F562" s="9" t="n">
        <v>180</v>
      </c>
      <c r="G562" s="9" t="n">
        <v>3.45</v>
      </c>
      <c r="H562" s="9" t="n">
        <v>176.55</v>
      </c>
      <c r="I562" t="inlineStr">
        <is>
          <t>INV/2026/04182</t>
        </is>
      </c>
      <c r="J562" s="9">
        <f>ROUND(F562-G562-H562,2)</f>
        <v>0</v>
      </c>
    </row>
    <row r="563">
      <c r="A563" t="inlineStr">
        <is>
          <t>po_1Q0020KX</t>
        </is>
      </c>
      <c r="B563" s="5" t="n">
        <v>46231</v>
      </c>
      <c r="C563" t="inlineStr">
        <is>
          <t>ch_3Q000558</t>
        </is>
      </c>
      <c r="D563" t="inlineStr">
        <is>
          <t>charge</t>
        </is>
      </c>
      <c r="E563" s="5" t="n">
        <v>46228</v>
      </c>
      <c r="F563" s="9" t="n">
        <v>135</v>
      </c>
      <c r="G563" s="9" t="n">
        <v>2.66</v>
      </c>
      <c r="H563" s="9" t="n">
        <v>132.34</v>
      </c>
      <c r="I563" t="inlineStr">
        <is>
          <t>INV/2026/04183</t>
        </is>
      </c>
      <c r="J563" s="9">
        <f>ROUND(F563-G563-H563,2)</f>
        <v>0</v>
      </c>
    </row>
    <row r="564">
      <c r="A564" t="inlineStr">
        <is>
          <t>po_1Q0020KX</t>
        </is>
      </c>
      <c r="B564" s="5" t="n">
        <v>46231</v>
      </c>
      <c r="C564" t="inlineStr">
        <is>
          <t>ch_3Q000559</t>
        </is>
      </c>
      <c r="D564" t="inlineStr">
        <is>
          <t>charge</t>
        </is>
      </c>
      <c r="E564" s="5" t="n">
        <v>46228</v>
      </c>
      <c r="F564" s="9" t="n">
        <v>120</v>
      </c>
      <c r="G564" s="9" t="n">
        <v>2.4</v>
      </c>
      <c r="H564" s="9" t="n">
        <v>117.6</v>
      </c>
      <c r="I564" t="inlineStr">
        <is>
          <t>INV/2026/04184</t>
        </is>
      </c>
      <c r="J564" s="9">
        <f>ROUND(F564-G564-H564,2)</f>
        <v>0</v>
      </c>
    </row>
    <row r="565">
      <c r="A565" t="inlineStr">
        <is>
          <t>po_1Q0020KX</t>
        </is>
      </c>
      <c r="B565" s="5" t="n">
        <v>46231</v>
      </c>
      <c r="C565" t="inlineStr">
        <is>
          <t>ch_3Q000560</t>
        </is>
      </c>
      <c r="D565" t="inlineStr">
        <is>
          <t>charge</t>
        </is>
      </c>
      <c r="E565" s="5" t="n">
        <v>46228</v>
      </c>
      <c r="F565" s="9" t="n">
        <v>110</v>
      </c>
      <c r="G565" s="9" t="n">
        <v>2.23</v>
      </c>
      <c r="H565" s="9" t="n">
        <v>107.77</v>
      </c>
      <c r="I565" t="inlineStr">
        <is>
          <t>INV/2026/04185</t>
        </is>
      </c>
      <c r="J565" s="9">
        <f>ROUND(F565-G565-H565,2)</f>
        <v>0</v>
      </c>
    </row>
    <row r="566">
      <c r="A566" t="inlineStr">
        <is>
          <t>po_1Q0020KX</t>
        </is>
      </c>
      <c r="B566" s="5" t="n">
        <v>46231</v>
      </c>
      <c r="C566" t="inlineStr">
        <is>
          <t>ch_3Q000561</t>
        </is>
      </c>
      <c r="D566" t="inlineStr">
        <is>
          <t>charge</t>
        </is>
      </c>
      <c r="E566" s="5" t="n">
        <v>46228</v>
      </c>
      <c r="F566" s="9" t="n">
        <v>150</v>
      </c>
      <c r="G566" s="9" t="n">
        <v>2.93</v>
      </c>
      <c r="H566" s="9" t="n">
        <v>147.07</v>
      </c>
      <c r="I566" t="inlineStr">
        <is>
          <t>INV/2026/04186</t>
        </is>
      </c>
      <c r="J566" s="9">
        <f>ROUND(F566-G566-H566,2)</f>
        <v>0</v>
      </c>
    </row>
    <row r="567">
      <c r="A567" t="inlineStr">
        <is>
          <t>po_1Q0020KX</t>
        </is>
      </c>
      <c r="B567" s="5" t="n">
        <v>46231</v>
      </c>
      <c r="C567" t="inlineStr">
        <is>
          <t>ch_3Q000562</t>
        </is>
      </c>
      <c r="D567" t="inlineStr">
        <is>
          <t>charge</t>
        </is>
      </c>
      <c r="E567" s="5" t="n">
        <v>46228</v>
      </c>
      <c r="F567" s="9" t="n">
        <v>120</v>
      </c>
      <c r="G567" s="9" t="n">
        <v>2.4</v>
      </c>
      <c r="H567" s="9" t="n">
        <v>117.6</v>
      </c>
      <c r="I567" t="inlineStr">
        <is>
          <t>INV/2026/04187</t>
        </is>
      </c>
      <c r="J567" s="9">
        <f>ROUND(F567-G567-H567,2)</f>
        <v>0</v>
      </c>
    </row>
    <row r="568">
      <c r="A568" t="inlineStr">
        <is>
          <t>po_1Q0020KX</t>
        </is>
      </c>
      <c r="B568" s="5" t="n">
        <v>46231</v>
      </c>
      <c r="C568" t="inlineStr">
        <is>
          <t>ch_3Q000563</t>
        </is>
      </c>
      <c r="D568" t="inlineStr">
        <is>
          <t>charge</t>
        </is>
      </c>
      <c r="E568" s="5" t="n">
        <v>46228</v>
      </c>
      <c r="F568" s="9" t="n">
        <v>120</v>
      </c>
      <c r="G568" s="9" t="n">
        <v>2.4</v>
      </c>
      <c r="H568" s="9" t="n">
        <v>117.6</v>
      </c>
      <c r="I568" t="inlineStr">
        <is>
          <t>INV/2026/04188</t>
        </is>
      </c>
      <c r="J568" s="9">
        <f>ROUND(F568-G568-H568,2)</f>
        <v>0</v>
      </c>
    </row>
    <row r="569">
      <c r="A569" t="inlineStr">
        <is>
          <t>po_1Q0020KX</t>
        </is>
      </c>
      <c r="B569" s="5" t="n">
        <v>46231</v>
      </c>
      <c r="C569" t="inlineStr">
        <is>
          <t>ch_3Q000564</t>
        </is>
      </c>
      <c r="D569" t="inlineStr">
        <is>
          <t>charge</t>
        </is>
      </c>
      <c r="E569" s="5" t="n">
        <v>46228</v>
      </c>
      <c r="F569" s="9" t="n">
        <v>120</v>
      </c>
      <c r="G569" s="9" t="n">
        <v>2.4</v>
      </c>
      <c r="H569" s="9" t="n">
        <v>117.6</v>
      </c>
      <c r="I569" t="inlineStr">
        <is>
          <t>INV/2026/04189</t>
        </is>
      </c>
      <c r="J569" s="9">
        <f>ROUND(F569-G569-H569,2)</f>
        <v>0</v>
      </c>
    </row>
    <row r="570">
      <c r="A570" t="inlineStr">
        <is>
          <t>po_1Q0021KX</t>
        </is>
      </c>
      <c r="B570" s="5" t="n">
        <v>46232</v>
      </c>
      <c r="C570" t="inlineStr">
        <is>
          <t>ch_3Q000565</t>
        </is>
      </c>
      <c r="D570" t="inlineStr">
        <is>
          <t>charge</t>
        </is>
      </c>
      <c r="E570" s="5" t="n">
        <v>46230</v>
      </c>
      <c r="F570" s="9" t="n">
        <v>65</v>
      </c>
      <c r="G570" s="9" t="n">
        <v>1.44</v>
      </c>
      <c r="H570" s="9" t="n">
        <v>63.56</v>
      </c>
      <c r="I570" t="inlineStr">
        <is>
          <t>INV/2026/04190</t>
        </is>
      </c>
      <c r="J570" s="9">
        <f>ROUND(F570-G570-H570,2)</f>
        <v>0</v>
      </c>
    </row>
    <row r="571">
      <c r="A571" t="inlineStr">
        <is>
          <t>po_1Q0021KX</t>
        </is>
      </c>
      <c r="B571" s="5" t="n">
        <v>46232</v>
      </c>
      <c r="C571" t="inlineStr">
        <is>
          <t>ch_3Q000566</t>
        </is>
      </c>
      <c r="D571" t="inlineStr">
        <is>
          <t>charge</t>
        </is>
      </c>
      <c r="E571" s="5" t="n">
        <v>46230</v>
      </c>
      <c r="F571" s="9" t="n">
        <v>180</v>
      </c>
      <c r="G571" s="9" t="n">
        <v>3.45</v>
      </c>
      <c r="H571" s="9" t="n">
        <v>176.55</v>
      </c>
      <c r="I571" t="inlineStr">
        <is>
          <t>INV/2026/04191</t>
        </is>
      </c>
      <c r="J571" s="9">
        <f>ROUND(F571-G571-H571,2)</f>
        <v>0</v>
      </c>
    </row>
    <row r="572">
      <c r="A572" t="inlineStr">
        <is>
          <t>po_1Q0021KX</t>
        </is>
      </c>
      <c r="B572" s="5" t="n">
        <v>46232</v>
      </c>
      <c r="C572" t="inlineStr">
        <is>
          <t>ch_3Q000567</t>
        </is>
      </c>
      <c r="D572" t="inlineStr">
        <is>
          <t>charge</t>
        </is>
      </c>
      <c r="E572" s="5" t="n">
        <v>46230</v>
      </c>
      <c r="F572" s="9" t="n">
        <v>120</v>
      </c>
      <c r="G572" s="9" t="n">
        <v>2.4</v>
      </c>
      <c r="H572" s="9" t="n">
        <v>117.6</v>
      </c>
      <c r="I572" t="inlineStr">
        <is>
          <t>INV/2026/04192</t>
        </is>
      </c>
      <c r="J572" s="9">
        <f>ROUND(F572-G572-H572,2)</f>
        <v>0</v>
      </c>
    </row>
    <row r="573">
      <c r="A573" t="inlineStr">
        <is>
          <t>po_1Q0021KX</t>
        </is>
      </c>
      <c r="B573" s="5" t="n">
        <v>46232</v>
      </c>
      <c r="C573" t="inlineStr">
        <is>
          <t>ch_3Q000568</t>
        </is>
      </c>
      <c r="D573" t="inlineStr">
        <is>
          <t>charge</t>
        </is>
      </c>
      <c r="E573" s="5" t="n">
        <v>46230</v>
      </c>
      <c r="F573" s="9" t="n">
        <v>220</v>
      </c>
      <c r="G573" s="9" t="n">
        <v>4.15</v>
      </c>
      <c r="H573" s="9" t="n">
        <v>215.85</v>
      </c>
      <c r="I573" t="inlineStr">
        <is>
          <t>INV/2026/04193</t>
        </is>
      </c>
      <c r="J573" s="9">
        <f>ROUND(F573-G573-H573,2)</f>
        <v>0</v>
      </c>
    </row>
    <row r="574">
      <c r="A574" t="inlineStr">
        <is>
          <t>po_1Q0021KX</t>
        </is>
      </c>
      <c r="B574" s="5" t="n">
        <v>46232</v>
      </c>
      <c r="C574" t="inlineStr">
        <is>
          <t>ch_3Q000569</t>
        </is>
      </c>
      <c r="D574" t="inlineStr">
        <is>
          <t>charge</t>
        </is>
      </c>
      <c r="E574" s="5" t="n">
        <v>46230</v>
      </c>
      <c r="F574" s="9" t="n">
        <v>135</v>
      </c>
      <c r="G574" s="9" t="n">
        <v>2.66</v>
      </c>
      <c r="H574" s="9" t="n">
        <v>132.34</v>
      </c>
      <c r="I574" t="inlineStr">
        <is>
          <t>INV/2026/04194</t>
        </is>
      </c>
      <c r="J574" s="9">
        <f>ROUND(F574-G574-H574,2)</f>
        <v>0</v>
      </c>
    </row>
    <row r="575">
      <c r="A575" t="inlineStr">
        <is>
          <t>po_1Q0021KX</t>
        </is>
      </c>
      <c r="B575" s="5" t="n">
        <v>46232</v>
      </c>
      <c r="C575" t="inlineStr">
        <is>
          <t>ch_3Q000570</t>
        </is>
      </c>
      <c r="D575" t="inlineStr">
        <is>
          <t>charge</t>
        </is>
      </c>
      <c r="E575" s="5" t="n">
        <v>46230</v>
      </c>
      <c r="F575" s="9" t="n">
        <v>220</v>
      </c>
      <c r="G575" s="9" t="n">
        <v>4.15</v>
      </c>
      <c r="H575" s="9" t="n">
        <v>215.85</v>
      </c>
      <c r="I575" t="inlineStr">
        <is>
          <t>INV/2026/04195</t>
        </is>
      </c>
      <c r="J575" s="9">
        <f>ROUND(F575-G575-H575,2)</f>
        <v>0</v>
      </c>
    </row>
    <row r="576">
      <c r="A576" t="inlineStr">
        <is>
          <t>po_1Q0021KX</t>
        </is>
      </c>
      <c r="B576" s="5" t="n">
        <v>46232</v>
      </c>
      <c r="C576" t="inlineStr">
        <is>
          <t>ch_3Q000571</t>
        </is>
      </c>
      <c r="D576" t="inlineStr">
        <is>
          <t>charge</t>
        </is>
      </c>
      <c r="E576" s="5" t="n">
        <v>46230</v>
      </c>
      <c r="F576" s="9" t="n">
        <v>135</v>
      </c>
      <c r="G576" s="9" t="n">
        <v>2.66</v>
      </c>
      <c r="H576" s="9" t="n">
        <v>132.34</v>
      </c>
      <c r="I576" t="inlineStr">
        <is>
          <t>INV/2026/04196</t>
        </is>
      </c>
      <c r="J576" s="9">
        <f>ROUND(F576-G576-H576,2)</f>
        <v>0</v>
      </c>
    </row>
    <row r="577">
      <c r="A577" t="inlineStr">
        <is>
          <t>po_1Q0021KX</t>
        </is>
      </c>
      <c r="B577" s="5" t="n">
        <v>46232</v>
      </c>
      <c r="C577" t="inlineStr">
        <is>
          <t>ch_3Q000572</t>
        </is>
      </c>
      <c r="D577" t="inlineStr">
        <is>
          <t>charge</t>
        </is>
      </c>
      <c r="E577" s="5" t="n">
        <v>46230</v>
      </c>
      <c r="F577" s="9" t="n">
        <v>85</v>
      </c>
      <c r="G577" s="9" t="n">
        <v>1.79</v>
      </c>
      <c r="H577" s="9" t="n">
        <v>83.20999999999999</v>
      </c>
      <c r="I577" t="inlineStr">
        <is>
          <t>INV/2026/04197</t>
        </is>
      </c>
      <c r="J577" s="9">
        <f>ROUND(F577-G577-H577,2)</f>
        <v>0</v>
      </c>
    </row>
    <row r="578">
      <c r="A578" t="inlineStr">
        <is>
          <t>po_1Q0021KX</t>
        </is>
      </c>
      <c r="B578" s="5" t="n">
        <v>46232</v>
      </c>
      <c r="C578" t="inlineStr">
        <is>
          <t>ch_3Q000573</t>
        </is>
      </c>
      <c r="D578" t="inlineStr">
        <is>
          <t>charge</t>
        </is>
      </c>
      <c r="E578" s="5" t="n">
        <v>46230</v>
      </c>
      <c r="F578" s="9" t="n">
        <v>65</v>
      </c>
      <c r="G578" s="9" t="n">
        <v>1.44</v>
      </c>
      <c r="H578" s="9" t="n">
        <v>63.56</v>
      </c>
      <c r="I578" t="inlineStr">
        <is>
          <t>INV/2026/04198</t>
        </is>
      </c>
      <c r="J578" s="9">
        <f>ROUND(F578-G578-H578,2)</f>
        <v>0</v>
      </c>
    </row>
    <row r="579">
      <c r="A579" t="inlineStr">
        <is>
          <t>po_1Q0021KX</t>
        </is>
      </c>
      <c r="B579" s="5" t="n">
        <v>46232</v>
      </c>
      <c r="C579" t="inlineStr">
        <is>
          <t>ch_3Q000574</t>
        </is>
      </c>
      <c r="D579" t="inlineStr">
        <is>
          <t>charge</t>
        </is>
      </c>
      <c r="E579" s="5" t="n">
        <v>46230</v>
      </c>
      <c r="F579" s="9" t="n">
        <v>120</v>
      </c>
      <c r="G579" s="9" t="n">
        <v>2.4</v>
      </c>
      <c r="H579" s="9" t="n">
        <v>117.6</v>
      </c>
      <c r="I579" t="inlineStr">
        <is>
          <t>INV/2026/04199</t>
        </is>
      </c>
      <c r="J579" s="9">
        <f>ROUND(F579-G579-H579,2)</f>
        <v>0</v>
      </c>
    </row>
    <row r="580">
      <c r="A580" t="inlineStr">
        <is>
          <t>po_1Q0021KX</t>
        </is>
      </c>
      <c r="B580" s="5" t="n">
        <v>46232</v>
      </c>
      <c r="C580" t="inlineStr">
        <is>
          <t>ch_3Q000575</t>
        </is>
      </c>
      <c r="D580" t="inlineStr">
        <is>
          <t>charge</t>
        </is>
      </c>
      <c r="E580" s="5" t="n">
        <v>46230</v>
      </c>
      <c r="F580" s="9" t="n">
        <v>180</v>
      </c>
      <c r="G580" s="9" t="n">
        <v>3.45</v>
      </c>
      <c r="H580" s="9" t="n">
        <v>176.55</v>
      </c>
      <c r="I580" t="inlineStr">
        <is>
          <t>INV/2026/04200</t>
        </is>
      </c>
      <c r="J580" s="9">
        <f>ROUND(F580-G580-H580,2)</f>
        <v>0</v>
      </c>
    </row>
    <row r="581">
      <c r="A581" t="inlineStr">
        <is>
          <t>po_1Q0021KX</t>
        </is>
      </c>
      <c r="B581" s="5" t="n">
        <v>46232</v>
      </c>
      <c r="C581" t="inlineStr">
        <is>
          <t>ch_3Q000576</t>
        </is>
      </c>
      <c r="D581" t="inlineStr">
        <is>
          <t>charge</t>
        </is>
      </c>
      <c r="E581" s="5" t="n">
        <v>46230</v>
      </c>
      <c r="F581" s="9" t="n">
        <v>110</v>
      </c>
      <c r="G581" s="9" t="n">
        <v>2.23</v>
      </c>
      <c r="H581" s="9" t="n">
        <v>107.77</v>
      </c>
      <c r="I581" t="inlineStr">
        <is>
          <t>INV/2026/04201</t>
        </is>
      </c>
      <c r="J581" s="9">
        <f>ROUND(F581-G581-H581,2)</f>
        <v>0</v>
      </c>
    </row>
    <row r="582">
      <c r="A582" t="inlineStr">
        <is>
          <t>po_1Q0021KX</t>
        </is>
      </c>
      <c r="B582" s="5" t="n">
        <v>46232</v>
      </c>
      <c r="C582" t="inlineStr">
        <is>
          <t>ch_3Q000577</t>
        </is>
      </c>
      <c r="D582" t="inlineStr">
        <is>
          <t>charge</t>
        </is>
      </c>
      <c r="E582" s="5" t="n">
        <v>46230</v>
      </c>
      <c r="F582" s="9" t="n">
        <v>110</v>
      </c>
      <c r="G582" s="9" t="n">
        <v>2.23</v>
      </c>
      <c r="H582" s="9" t="n">
        <v>107.77</v>
      </c>
      <c r="I582" t="inlineStr">
        <is>
          <t>INV/2026/04202</t>
        </is>
      </c>
      <c r="J582" s="9">
        <f>ROUND(F582-G582-H582,2)</f>
        <v>0</v>
      </c>
    </row>
    <row r="583">
      <c r="A583" t="inlineStr">
        <is>
          <t>po_1Q0021KX</t>
        </is>
      </c>
      <c r="B583" s="5" t="n">
        <v>46232</v>
      </c>
      <c r="C583" t="inlineStr">
        <is>
          <t>ch_3Q000578</t>
        </is>
      </c>
      <c r="D583" t="inlineStr">
        <is>
          <t>charge</t>
        </is>
      </c>
      <c r="E583" s="5" t="n">
        <v>46230</v>
      </c>
      <c r="F583" s="9" t="n">
        <v>220</v>
      </c>
      <c r="G583" s="9" t="n">
        <v>4.15</v>
      </c>
      <c r="H583" s="9" t="n">
        <v>215.85</v>
      </c>
      <c r="I583" t="inlineStr">
        <is>
          <t>INV/2026/04203</t>
        </is>
      </c>
      <c r="J583" s="9">
        <f>ROUND(F583-G583-H583,2)</f>
        <v>0</v>
      </c>
    </row>
    <row r="584">
      <c r="A584" t="inlineStr">
        <is>
          <t>po_1Q0021KX</t>
        </is>
      </c>
      <c r="B584" s="5" t="n">
        <v>46232</v>
      </c>
      <c r="C584" t="inlineStr">
        <is>
          <t>ch_3Q000579</t>
        </is>
      </c>
      <c r="D584" t="inlineStr">
        <is>
          <t>charge</t>
        </is>
      </c>
      <c r="E584" s="5" t="n">
        <v>46230</v>
      </c>
      <c r="F584" s="9" t="n">
        <v>220</v>
      </c>
      <c r="G584" s="9" t="n">
        <v>4.15</v>
      </c>
      <c r="H584" s="9" t="n">
        <v>215.85</v>
      </c>
      <c r="I584" t="inlineStr">
        <is>
          <t>INV/2026/04204</t>
        </is>
      </c>
      <c r="J584" s="9">
        <f>ROUND(F584-G584-H584,2)</f>
        <v>0</v>
      </c>
    </row>
    <row r="585">
      <c r="A585" t="inlineStr">
        <is>
          <t>po_1Q0021KX</t>
        </is>
      </c>
      <c r="B585" s="5" t="n">
        <v>46232</v>
      </c>
      <c r="C585" t="inlineStr">
        <is>
          <t>ch_3Q000580</t>
        </is>
      </c>
      <c r="D585" t="inlineStr">
        <is>
          <t>charge</t>
        </is>
      </c>
      <c r="E585" s="5" t="n">
        <v>46230</v>
      </c>
      <c r="F585" s="9" t="n">
        <v>65</v>
      </c>
      <c r="G585" s="9" t="n">
        <v>1.44</v>
      </c>
      <c r="H585" s="9" t="n">
        <v>63.56</v>
      </c>
      <c r="I585" t="inlineStr">
        <is>
          <t>INV/2026/04205</t>
        </is>
      </c>
      <c r="J585" s="9">
        <f>ROUND(F585-G585-H585,2)</f>
        <v>0</v>
      </c>
    </row>
    <row r="586">
      <c r="A586" t="inlineStr">
        <is>
          <t>po_1Q0021KX</t>
        </is>
      </c>
      <c r="B586" s="5" t="n">
        <v>46232</v>
      </c>
      <c r="C586" t="inlineStr">
        <is>
          <t>ch_3Q000581</t>
        </is>
      </c>
      <c r="D586" t="inlineStr">
        <is>
          <t>charge</t>
        </is>
      </c>
      <c r="E586" s="5" t="n">
        <v>46230</v>
      </c>
      <c r="F586" s="9" t="n">
        <v>220</v>
      </c>
      <c r="G586" s="9" t="n">
        <v>4.15</v>
      </c>
      <c r="H586" s="9" t="n">
        <v>215.85</v>
      </c>
      <c r="I586" t="inlineStr">
        <is>
          <t>INV/2026/04206</t>
        </is>
      </c>
      <c r="J586" s="9">
        <f>ROUND(F586-G586-H586,2)</f>
        <v>0</v>
      </c>
    </row>
    <row r="587">
      <c r="A587" t="inlineStr">
        <is>
          <t>po_1Q0021KX</t>
        </is>
      </c>
      <c r="B587" s="5" t="n">
        <v>46232</v>
      </c>
      <c r="C587" t="inlineStr">
        <is>
          <t>ch_3Q000582</t>
        </is>
      </c>
      <c r="D587" t="inlineStr">
        <is>
          <t>charge</t>
        </is>
      </c>
      <c r="E587" s="5" t="n">
        <v>46230</v>
      </c>
      <c r="F587" s="9" t="n">
        <v>150</v>
      </c>
      <c r="G587" s="9" t="n">
        <v>2.93</v>
      </c>
      <c r="H587" s="9" t="n">
        <v>147.07</v>
      </c>
      <c r="I587" t="inlineStr">
        <is>
          <t>INV/2026/04207</t>
        </is>
      </c>
      <c r="J587" s="9">
        <f>ROUND(F587-G587-H587,2)</f>
        <v>0</v>
      </c>
    </row>
    <row r="588">
      <c r="A588" t="inlineStr">
        <is>
          <t>po_1Q0021KX</t>
        </is>
      </c>
      <c r="B588" s="5" t="n">
        <v>46232</v>
      </c>
      <c r="C588" t="inlineStr">
        <is>
          <t>ch_3Q000583</t>
        </is>
      </c>
      <c r="D588" t="inlineStr">
        <is>
          <t>charge</t>
        </is>
      </c>
      <c r="E588" s="5" t="n">
        <v>46230</v>
      </c>
      <c r="F588" s="9" t="n">
        <v>120</v>
      </c>
      <c r="G588" s="9" t="n">
        <v>2.4</v>
      </c>
      <c r="H588" s="9" t="n">
        <v>117.6</v>
      </c>
      <c r="I588" t="inlineStr">
        <is>
          <t>INV/2026/04208</t>
        </is>
      </c>
      <c r="J588" s="9">
        <f>ROUND(F588-G588-H588,2)</f>
        <v>0</v>
      </c>
    </row>
    <row r="589">
      <c r="A589" t="inlineStr">
        <is>
          <t>po_1Q0021KX</t>
        </is>
      </c>
      <c r="B589" s="5" t="n">
        <v>46232</v>
      </c>
      <c r="C589" t="inlineStr">
        <is>
          <t>ch_3Q000584</t>
        </is>
      </c>
      <c r="D589" t="inlineStr">
        <is>
          <t>charge</t>
        </is>
      </c>
      <c r="E589" s="5" t="n">
        <v>46230</v>
      </c>
      <c r="F589" s="9" t="n">
        <v>135</v>
      </c>
      <c r="G589" s="9" t="n">
        <v>2.66</v>
      </c>
      <c r="H589" s="9" t="n">
        <v>132.34</v>
      </c>
      <c r="I589" t="inlineStr">
        <is>
          <t>INV/2026/04209</t>
        </is>
      </c>
      <c r="J589" s="9">
        <f>ROUND(F589-G589-H589,2)</f>
        <v>0</v>
      </c>
    </row>
    <row r="590">
      <c r="A590" t="inlineStr">
        <is>
          <t>po_1Q0021KX</t>
        </is>
      </c>
      <c r="B590" s="5" t="n">
        <v>46232</v>
      </c>
      <c r="C590" t="inlineStr">
        <is>
          <t>ch_3Q000585</t>
        </is>
      </c>
      <c r="D590" t="inlineStr">
        <is>
          <t>charge</t>
        </is>
      </c>
      <c r="E590" s="5" t="n">
        <v>46230</v>
      </c>
      <c r="F590" s="9" t="n">
        <v>65</v>
      </c>
      <c r="G590" s="9" t="n">
        <v>1.44</v>
      </c>
      <c r="H590" s="9" t="n">
        <v>63.56</v>
      </c>
      <c r="I590" t="inlineStr">
        <is>
          <t>INV/2026/04210</t>
        </is>
      </c>
      <c r="J590" s="9">
        <f>ROUND(F590-G590-H590,2)</f>
        <v>0</v>
      </c>
    </row>
    <row r="591">
      <c r="A591" t="inlineStr">
        <is>
          <t>po_1Q0021KX</t>
        </is>
      </c>
      <c r="B591" s="5" t="n">
        <v>46232</v>
      </c>
      <c r="C591" t="inlineStr">
        <is>
          <t>ch_3Q000586</t>
        </is>
      </c>
      <c r="D591" t="inlineStr">
        <is>
          <t>charge</t>
        </is>
      </c>
      <c r="E591" s="5" t="n">
        <v>46230</v>
      </c>
      <c r="F591" s="9" t="n">
        <v>65</v>
      </c>
      <c r="G591" s="9" t="n">
        <v>1.44</v>
      </c>
      <c r="H591" s="9" t="n">
        <v>63.56</v>
      </c>
      <c r="I591" t="inlineStr">
        <is>
          <t>INV/2026/04211</t>
        </is>
      </c>
      <c r="J591" s="9">
        <f>ROUND(F591-G591-H591,2)</f>
        <v>0</v>
      </c>
    </row>
    <row r="592">
      <c r="A592" t="inlineStr">
        <is>
          <t>po_1Q0021KX</t>
        </is>
      </c>
      <c r="B592" s="5" t="n">
        <v>46232</v>
      </c>
      <c r="C592" t="inlineStr">
        <is>
          <t>ch_3Q000587</t>
        </is>
      </c>
      <c r="D592" t="inlineStr">
        <is>
          <t>charge</t>
        </is>
      </c>
      <c r="E592" s="5" t="n">
        <v>46230</v>
      </c>
      <c r="F592" s="9" t="n">
        <v>220</v>
      </c>
      <c r="G592" s="9" t="n">
        <v>4.15</v>
      </c>
      <c r="H592" s="9" t="n">
        <v>215.85</v>
      </c>
      <c r="I592" t="inlineStr">
        <is>
          <t>INV/2026/04212</t>
        </is>
      </c>
      <c r="J592" s="9">
        <f>ROUND(F592-G592-H592,2)</f>
        <v>0</v>
      </c>
    </row>
    <row r="593">
      <c r="A593" t="inlineStr">
        <is>
          <t>po_1Q0021KX</t>
        </is>
      </c>
      <c r="B593" s="5" t="n">
        <v>46232</v>
      </c>
      <c r="C593" t="inlineStr">
        <is>
          <t>ch_3Q000588</t>
        </is>
      </c>
      <c r="D593" t="inlineStr">
        <is>
          <t>charge</t>
        </is>
      </c>
      <c r="E593" s="5" t="n">
        <v>46230</v>
      </c>
      <c r="F593" s="9" t="n">
        <v>85</v>
      </c>
      <c r="G593" s="9" t="n">
        <v>1.79</v>
      </c>
      <c r="H593" s="9" t="n">
        <v>83.20999999999999</v>
      </c>
      <c r="I593" t="inlineStr">
        <is>
          <t>INV/2026/04213</t>
        </is>
      </c>
      <c r="J593" s="9">
        <f>ROUND(F593-G593-H593,2)</f>
        <v>0</v>
      </c>
    </row>
    <row r="594">
      <c r="A594" t="inlineStr">
        <is>
          <t>po_1Q0021KX</t>
        </is>
      </c>
      <c r="B594" s="5" t="n">
        <v>46232</v>
      </c>
      <c r="C594" t="inlineStr">
        <is>
          <t>ch_3Q000589</t>
        </is>
      </c>
      <c r="D594" t="inlineStr">
        <is>
          <t>charge</t>
        </is>
      </c>
      <c r="E594" s="5" t="n">
        <v>46230</v>
      </c>
      <c r="F594" s="9" t="n">
        <v>65</v>
      </c>
      <c r="G594" s="9" t="n">
        <v>1.44</v>
      </c>
      <c r="H594" s="9" t="n">
        <v>63.56</v>
      </c>
      <c r="I594" t="inlineStr">
        <is>
          <t>INV/2026/04214</t>
        </is>
      </c>
      <c r="J594" s="9">
        <f>ROUND(F594-G594-H594,2)</f>
        <v>0</v>
      </c>
    </row>
    <row r="595">
      <c r="A595" t="inlineStr">
        <is>
          <t>po_1Q0021KX</t>
        </is>
      </c>
      <c r="B595" s="5" t="n">
        <v>46232</v>
      </c>
      <c r="C595" t="inlineStr">
        <is>
          <t>ch_3Q000590</t>
        </is>
      </c>
      <c r="D595" t="inlineStr">
        <is>
          <t>charge</t>
        </is>
      </c>
      <c r="E595" s="5" t="n">
        <v>46230</v>
      </c>
      <c r="F595" s="9" t="n">
        <v>120</v>
      </c>
      <c r="G595" s="9" t="n">
        <v>2.4</v>
      </c>
      <c r="H595" s="9" t="n">
        <v>117.6</v>
      </c>
      <c r="I595" t="inlineStr">
        <is>
          <t>INV/2026/04215</t>
        </is>
      </c>
      <c r="J595" s="9">
        <f>ROUND(F595-G595-H595,2)</f>
        <v>0</v>
      </c>
    </row>
    <row r="596">
      <c r="A596" t="inlineStr">
        <is>
          <t>po_1Q0021KX</t>
        </is>
      </c>
      <c r="B596" s="5" t="n">
        <v>46232</v>
      </c>
      <c r="C596" t="inlineStr">
        <is>
          <t>ch_3Q000591</t>
        </is>
      </c>
      <c r="D596" t="inlineStr">
        <is>
          <t>charge</t>
        </is>
      </c>
      <c r="E596" s="5" t="n">
        <v>46230</v>
      </c>
      <c r="F596" s="9" t="n">
        <v>220</v>
      </c>
      <c r="G596" s="9" t="n">
        <v>4.15</v>
      </c>
      <c r="H596" s="9" t="n">
        <v>215.85</v>
      </c>
      <c r="I596" t="inlineStr">
        <is>
          <t>INV/2026/04216</t>
        </is>
      </c>
      <c r="J596" s="9">
        <f>ROUND(F596-G596-H596,2)</f>
        <v>0</v>
      </c>
    </row>
    <row r="597">
      <c r="A597" t="inlineStr">
        <is>
          <t>po_1Q0021KX</t>
        </is>
      </c>
      <c r="B597" s="5" t="n">
        <v>46232</v>
      </c>
      <c r="C597" t="inlineStr">
        <is>
          <t>ch_3Q000592</t>
        </is>
      </c>
      <c r="D597" t="inlineStr">
        <is>
          <t>charge</t>
        </is>
      </c>
      <c r="E597" s="5" t="n">
        <v>46230</v>
      </c>
      <c r="F597" s="9" t="n">
        <v>180</v>
      </c>
      <c r="G597" s="9" t="n">
        <v>3.45</v>
      </c>
      <c r="H597" s="9" t="n">
        <v>176.55</v>
      </c>
      <c r="I597" t="inlineStr">
        <is>
          <t>INV/2026/04217</t>
        </is>
      </c>
      <c r="J597" s="9">
        <f>ROUND(F597-G597-H597,2)</f>
        <v>0</v>
      </c>
    </row>
    <row r="598">
      <c r="A598" t="inlineStr">
        <is>
          <t>po_1Q0021KX</t>
        </is>
      </c>
      <c r="B598" s="5" t="n">
        <v>46232</v>
      </c>
      <c r="C598" t="inlineStr">
        <is>
          <t>ch_3Q000593</t>
        </is>
      </c>
      <c r="D598" t="inlineStr">
        <is>
          <t>charge</t>
        </is>
      </c>
      <c r="E598" s="5" t="n">
        <v>46230</v>
      </c>
      <c r="F598" s="9" t="n">
        <v>85</v>
      </c>
      <c r="G598" s="9" t="n">
        <v>1.79</v>
      </c>
      <c r="H598" s="9" t="n">
        <v>83.20999999999999</v>
      </c>
      <c r="I598" t="inlineStr">
        <is>
          <t>INV/2026/04218</t>
        </is>
      </c>
      <c r="J598" s="9">
        <f>ROUND(F598-G598-H598,2)</f>
        <v>0</v>
      </c>
    </row>
    <row r="599">
      <c r="A599" t="inlineStr">
        <is>
          <t>po_1Q0022KX</t>
        </is>
      </c>
      <c r="B599" s="5" t="n">
        <v>46233</v>
      </c>
      <c r="C599" t="inlineStr">
        <is>
          <t>ch_3Q000594</t>
        </is>
      </c>
      <c r="D599" t="inlineStr">
        <is>
          <t>charge</t>
        </is>
      </c>
      <c r="E599" s="5" t="n">
        <v>46231</v>
      </c>
      <c r="F599" s="9" t="n">
        <v>65</v>
      </c>
      <c r="G599" s="9" t="n">
        <v>1.44</v>
      </c>
      <c r="H599" s="9" t="n">
        <v>63.56</v>
      </c>
      <c r="I599" t="inlineStr">
        <is>
          <t>INV/2026/04219</t>
        </is>
      </c>
      <c r="J599" s="9">
        <f>ROUND(F599-G599-H599,2)</f>
        <v>0</v>
      </c>
    </row>
    <row r="600">
      <c r="A600" t="inlineStr">
        <is>
          <t>po_1Q0022KX</t>
        </is>
      </c>
      <c r="B600" s="5" t="n">
        <v>46233</v>
      </c>
      <c r="C600" t="inlineStr">
        <is>
          <t>ch_3Q000595</t>
        </is>
      </c>
      <c r="D600" t="inlineStr">
        <is>
          <t>charge</t>
        </is>
      </c>
      <c r="E600" s="5" t="n">
        <v>46231</v>
      </c>
      <c r="F600" s="9" t="n">
        <v>180</v>
      </c>
      <c r="G600" s="9" t="n">
        <v>3.45</v>
      </c>
      <c r="H600" s="9" t="n">
        <v>176.55</v>
      </c>
      <c r="I600" t="inlineStr">
        <is>
          <t>INV/2026/04220</t>
        </is>
      </c>
      <c r="J600" s="9">
        <f>ROUND(F600-G600-H600,2)</f>
        <v>0</v>
      </c>
    </row>
    <row r="601">
      <c r="A601" t="inlineStr">
        <is>
          <t>po_1Q0022KX</t>
        </is>
      </c>
      <c r="B601" s="5" t="n">
        <v>46233</v>
      </c>
      <c r="C601" t="inlineStr">
        <is>
          <t>ch_3Q000596</t>
        </is>
      </c>
      <c r="D601" t="inlineStr">
        <is>
          <t>charge</t>
        </is>
      </c>
      <c r="E601" s="5" t="n">
        <v>46231</v>
      </c>
      <c r="F601" s="9" t="n">
        <v>85</v>
      </c>
      <c r="G601" s="9" t="n">
        <v>1.79</v>
      </c>
      <c r="H601" s="9" t="n">
        <v>83.20999999999999</v>
      </c>
      <c r="I601" t="inlineStr">
        <is>
          <t>INV/2026/04221</t>
        </is>
      </c>
      <c r="J601" s="9">
        <f>ROUND(F601-G601-H601,2)</f>
        <v>0</v>
      </c>
    </row>
    <row r="602">
      <c r="A602" t="inlineStr">
        <is>
          <t>po_1Q0022KX</t>
        </is>
      </c>
      <c r="B602" s="5" t="n">
        <v>46233</v>
      </c>
      <c r="C602" t="inlineStr">
        <is>
          <t>ch_3Q000597</t>
        </is>
      </c>
      <c r="D602" t="inlineStr">
        <is>
          <t>charge</t>
        </is>
      </c>
      <c r="E602" s="5" t="n">
        <v>46231</v>
      </c>
      <c r="F602" s="9" t="n">
        <v>120</v>
      </c>
      <c r="G602" s="9" t="n">
        <v>2.4</v>
      </c>
      <c r="H602" s="9" t="n">
        <v>117.6</v>
      </c>
      <c r="I602" t="inlineStr">
        <is>
          <t>INV/2026/04222</t>
        </is>
      </c>
      <c r="J602" s="9">
        <f>ROUND(F602-G602-H602,2)</f>
        <v>0</v>
      </c>
    </row>
    <row r="603">
      <c r="A603" t="inlineStr">
        <is>
          <t>po_1Q0022KX</t>
        </is>
      </c>
      <c r="B603" s="5" t="n">
        <v>46233</v>
      </c>
      <c r="C603" t="inlineStr">
        <is>
          <t>ch_3Q000598</t>
        </is>
      </c>
      <c r="D603" t="inlineStr">
        <is>
          <t>charge</t>
        </is>
      </c>
      <c r="E603" s="5" t="n">
        <v>46231</v>
      </c>
      <c r="F603" s="9" t="n">
        <v>120</v>
      </c>
      <c r="G603" s="9" t="n">
        <v>2.4</v>
      </c>
      <c r="H603" s="9" t="n">
        <v>117.6</v>
      </c>
      <c r="I603" t="inlineStr">
        <is>
          <t>INV/2026/04223</t>
        </is>
      </c>
      <c r="J603" s="9">
        <f>ROUND(F603-G603-H603,2)</f>
        <v>0</v>
      </c>
    </row>
    <row r="604">
      <c r="A604" t="inlineStr">
        <is>
          <t>po_1Q0022KX</t>
        </is>
      </c>
      <c r="B604" s="5" t="n">
        <v>46233</v>
      </c>
      <c r="C604" t="inlineStr">
        <is>
          <t>ch_3Q000599</t>
        </is>
      </c>
      <c r="D604" t="inlineStr">
        <is>
          <t>charge</t>
        </is>
      </c>
      <c r="E604" s="5" t="n">
        <v>46231</v>
      </c>
      <c r="F604" s="9" t="n">
        <v>85</v>
      </c>
      <c r="G604" s="9" t="n">
        <v>1.79</v>
      </c>
      <c r="H604" s="9" t="n">
        <v>83.20999999999999</v>
      </c>
      <c r="I604" t="inlineStr">
        <is>
          <t>INV/2026/04224</t>
        </is>
      </c>
      <c r="J604" s="9">
        <f>ROUND(F604-G604-H604,2)</f>
        <v>0</v>
      </c>
    </row>
    <row r="605">
      <c r="A605" t="inlineStr">
        <is>
          <t>po_1Q0022KX</t>
        </is>
      </c>
      <c r="B605" s="5" t="n">
        <v>46233</v>
      </c>
      <c r="C605" t="inlineStr">
        <is>
          <t>ch_3Q000600</t>
        </is>
      </c>
      <c r="D605" t="inlineStr">
        <is>
          <t>charge</t>
        </is>
      </c>
      <c r="E605" s="5" t="n">
        <v>46231</v>
      </c>
      <c r="F605" s="9" t="n">
        <v>120</v>
      </c>
      <c r="G605" s="9" t="n">
        <v>2.4</v>
      </c>
      <c r="H605" s="9" t="n">
        <v>117.6</v>
      </c>
      <c r="I605" t="inlineStr">
        <is>
          <t>INV/2026/04225</t>
        </is>
      </c>
      <c r="J605" s="9">
        <f>ROUND(F605-G605-H605,2)</f>
        <v>0</v>
      </c>
    </row>
    <row r="606">
      <c r="A606" t="inlineStr">
        <is>
          <t>po_1Q0022KX</t>
        </is>
      </c>
      <c r="B606" s="5" t="n">
        <v>46233</v>
      </c>
      <c r="C606" t="inlineStr">
        <is>
          <t>ch_3Q000601</t>
        </is>
      </c>
      <c r="D606" t="inlineStr">
        <is>
          <t>charge</t>
        </is>
      </c>
      <c r="E606" s="5" t="n">
        <v>46231</v>
      </c>
      <c r="F606" s="9" t="n">
        <v>120</v>
      </c>
      <c r="G606" s="9" t="n">
        <v>2.4</v>
      </c>
      <c r="H606" s="9" t="n">
        <v>117.6</v>
      </c>
      <c r="I606" t="inlineStr">
        <is>
          <t>INV/2026/04226</t>
        </is>
      </c>
      <c r="J606" s="9">
        <f>ROUND(F606-G606-H606,2)</f>
        <v>0</v>
      </c>
    </row>
    <row r="607">
      <c r="A607" t="inlineStr">
        <is>
          <t>po_1Q0022KX</t>
        </is>
      </c>
      <c r="B607" s="5" t="n">
        <v>46233</v>
      </c>
      <c r="C607" t="inlineStr">
        <is>
          <t>ch_3Q000602</t>
        </is>
      </c>
      <c r="D607" t="inlineStr">
        <is>
          <t>charge</t>
        </is>
      </c>
      <c r="E607" s="5" t="n">
        <v>46231</v>
      </c>
      <c r="F607" s="9" t="n">
        <v>220</v>
      </c>
      <c r="G607" s="9" t="n">
        <v>4.15</v>
      </c>
      <c r="H607" s="9" t="n">
        <v>215.85</v>
      </c>
      <c r="I607" t="inlineStr">
        <is>
          <t>INV/2026/04227</t>
        </is>
      </c>
      <c r="J607" s="9">
        <f>ROUND(F607-G607-H607,2)</f>
        <v>0</v>
      </c>
    </row>
    <row r="608">
      <c r="A608" t="inlineStr">
        <is>
          <t>po_1Q0022KX</t>
        </is>
      </c>
      <c r="B608" s="5" t="n">
        <v>46233</v>
      </c>
      <c r="C608" t="inlineStr">
        <is>
          <t>ch_3Q000603</t>
        </is>
      </c>
      <c r="D608" t="inlineStr">
        <is>
          <t>charge</t>
        </is>
      </c>
      <c r="E608" s="5" t="n">
        <v>46231</v>
      </c>
      <c r="F608" s="9" t="n">
        <v>65</v>
      </c>
      <c r="G608" s="9" t="n">
        <v>1.44</v>
      </c>
      <c r="H608" s="9" t="n">
        <v>63.56</v>
      </c>
      <c r="I608" t="inlineStr">
        <is>
          <t>INV/2026/04228</t>
        </is>
      </c>
      <c r="J608" s="9">
        <f>ROUND(F608-G608-H608,2)</f>
        <v>0</v>
      </c>
    </row>
    <row r="609">
      <c r="A609" t="inlineStr">
        <is>
          <t>po_1Q0022KX</t>
        </is>
      </c>
      <c r="B609" s="5" t="n">
        <v>46233</v>
      </c>
      <c r="C609" t="inlineStr">
        <is>
          <t>ch_3Q000604</t>
        </is>
      </c>
      <c r="D609" t="inlineStr">
        <is>
          <t>charge</t>
        </is>
      </c>
      <c r="E609" s="5" t="n">
        <v>46231</v>
      </c>
      <c r="F609" s="9" t="n">
        <v>120</v>
      </c>
      <c r="G609" s="9" t="n">
        <v>2.4</v>
      </c>
      <c r="H609" s="9" t="n">
        <v>117.6</v>
      </c>
      <c r="I609" t="inlineStr">
        <is>
          <t>INV/2026/04229</t>
        </is>
      </c>
      <c r="J609" s="9">
        <f>ROUND(F609-G609-H609,2)</f>
        <v>0</v>
      </c>
    </row>
    <row r="610">
      <c r="A610" t="inlineStr">
        <is>
          <t>po_1Q0022KX</t>
        </is>
      </c>
      <c r="B610" s="5" t="n">
        <v>46233</v>
      </c>
      <c r="C610" t="inlineStr">
        <is>
          <t>ch_3Q000605</t>
        </is>
      </c>
      <c r="D610" t="inlineStr">
        <is>
          <t>charge</t>
        </is>
      </c>
      <c r="E610" s="5" t="n">
        <v>46231</v>
      </c>
      <c r="F610" s="9" t="n">
        <v>220</v>
      </c>
      <c r="G610" s="9" t="n">
        <v>4.15</v>
      </c>
      <c r="H610" s="9" t="n">
        <v>215.85</v>
      </c>
      <c r="I610" t="inlineStr">
        <is>
          <t>INV/2026/04230</t>
        </is>
      </c>
      <c r="J610" s="9">
        <f>ROUND(F610-G610-H610,2)</f>
        <v>0</v>
      </c>
    </row>
    <row r="611">
      <c r="A611" t="inlineStr">
        <is>
          <t>po_1Q0022KX</t>
        </is>
      </c>
      <c r="B611" s="5" t="n">
        <v>46233</v>
      </c>
      <c r="C611" t="inlineStr">
        <is>
          <t>ch_3Q000606</t>
        </is>
      </c>
      <c r="D611" t="inlineStr">
        <is>
          <t>charge</t>
        </is>
      </c>
      <c r="E611" s="5" t="n">
        <v>46231</v>
      </c>
      <c r="F611" s="9" t="n">
        <v>180</v>
      </c>
      <c r="G611" s="9" t="n">
        <v>3.45</v>
      </c>
      <c r="H611" s="9" t="n">
        <v>176.55</v>
      </c>
      <c r="I611" t="inlineStr">
        <is>
          <t>INV/2026/04231</t>
        </is>
      </c>
      <c r="J611" s="9">
        <f>ROUND(F611-G611-H611,2)</f>
        <v>0</v>
      </c>
    </row>
    <row r="612">
      <c r="A612" t="inlineStr">
        <is>
          <t>po_1Q0022KX</t>
        </is>
      </c>
      <c r="B612" s="5" t="n">
        <v>46233</v>
      </c>
      <c r="C612" t="inlineStr">
        <is>
          <t>ch_3Q000607</t>
        </is>
      </c>
      <c r="D612" t="inlineStr">
        <is>
          <t>charge</t>
        </is>
      </c>
      <c r="E612" s="5" t="n">
        <v>46231</v>
      </c>
      <c r="F612" s="9" t="n">
        <v>110</v>
      </c>
      <c r="G612" s="9" t="n">
        <v>2.23</v>
      </c>
      <c r="H612" s="9" t="n">
        <v>107.77</v>
      </c>
      <c r="I612" t="inlineStr">
        <is>
          <t>INV/2026/04232</t>
        </is>
      </c>
      <c r="J612" s="9">
        <f>ROUND(F612-G612-H612,2)</f>
        <v>0</v>
      </c>
    </row>
    <row r="613">
      <c r="A613" t="inlineStr">
        <is>
          <t>po_1Q0022KX</t>
        </is>
      </c>
      <c r="B613" s="5" t="n">
        <v>46233</v>
      </c>
      <c r="C613" t="inlineStr">
        <is>
          <t>ch_3Q000608</t>
        </is>
      </c>
      <c r="D613" t="inlineStr">
        <is>
          <t>charge</t>
        </is>
      </c>
      <c r="E613" s="5" t="n">
        <v>46231</v>
      </c>
      <c r="F613" s="9" t="n">
        <v>150</v>
      </c>
      <c r="G613" s="9" t="n">
        <v>2.93</v>
      </c>
      <c r="H613" s="9" t="n">
        <v>147.07</v>
      </c>
      <c r="I613" t="inlineStr">
        <is>
          <t>INV/2026/04233</t>
        </is>
      </c>
      <c r="J613" s="9">
        <f>ROUND(F613-G613-H613,2)</f>
        <v>0</v>
      </c>
    </row>
    <row r="614">
      <c r="A614" t="inlineStr">
        <is>
          <t>po_1Q0022KX</t>
        </is>
      </c>
      <c r="B614" s="5" t="n">
        <v>46233</v>
      </c>
      <c r="C614" t="inlineStr">
        <is>
          <t>ch_3Q000609</t>
        </is>
      </c>
      <c r="D614" t="inlineStr">
        <is>
          <t>charge</t>
        </is>
      </c>
      <c r="E614" s="5" t="n">
        <v>46231</v>
      </c>
      <c r="F614" s="9" t="n">
        <v>150</v>
      </c>
      <c r="G614" s="9" t="n">
        <v>2.93</v>
      </c>
      <c r="H614" s="9" t="n">
        <v>147.07</v>
      </c>
      <c r="I614" t="inlineStr">
        <is>
          <t>INV/2026/04234</t>
        </is>
      </c>
      <c r="J614" s="9">
        <f>ROUND(F614-G614-H614,2)</f>
        <v>0</v>
      </c>
    </row>
    <row r="615">
      <c r="A615" t="inlineStr">
        <is>
          <t>po_1Q0022KX</t>
        </is>
      </c>
      <c r="B615" s="5" t="n">
        <v>46233</v>
      </c>
      <c r="C615" t="inlineStr">
        <is>
          <t>ch_3Q000610</t>
        </is>
      </c>
      <c r="D615" t="inlineStr">
        <is>
          <t>charge</t>
        </is>
      </c>
      <c r="E615" s="5" t="n">
        <v>46231</v>
      </c>
      <c r="F615" s="9" t="n">
        <v>110</v>
      </c>
      <c r="G615" s="9" t="n">
        <v>2.23</v>
      </c>
      <c r="H615" s="9" t="n">
        <v>107.77</v>
      </c>
      <c r="I615" t="inlineStr">
        <is>
          <t>INV/2026/04235</t>
        </is>
      </c>
      <c r="J615" s="9">
        <f>ROUND(F615-G615-H615,2)</f>
        <v>0</v>
      </c>
    </row>
    <row r="616">
      <c r="A616" t="inlineStr">
        <is>
          <t>po_1Q0022KX</t>
        </is>
      </c>
      <c r="B616" s="5" t="n">
        <v>46233</v>
      </c>
      <c r="C616" t="inlineStr">
        <is>
          <t>ch_3Q000611</t>
        </is>
      </c>
      <c r="D616" t="inlineStr">
        <is>
          <t>charge</t>
        </is>
      </c>
      <c r="E616" s="5" t="n">
        <v>46231</v>
      </c>
      <c r="F616" s="9" t="n">
        <v>180</v>
      </c>
      <c r="G616" s="9" t="n">
        <v>3.45</v>
      </c>
      <c r="H616" s="9" t="n">
        <v>176.55</v>
      </c>
      <c r="I616" t="inlineStr">
        <is>
          <t>INV/2026/04236</t>
        </is>
      </c>
      <c r="J616" s="9">
        <f>ROUND(F616-G616-H616,2)</f>
        <v>0</v>
      </c>
    </row>
    <row r="617">
      <c r="A617" t="inlineStr">
        <is>
          <t>po_1Q0022KX</t>
        </is>
      </c>
      <c r="B617" s="5" t="n">
        <v>46233</v>
      </c>
      <c r="C617" t="inlineStr">
        <is>
          <t>ch_3Q000612</t>
        </is>
      </c>
      <c r="D617" t="inlineStr">
        <is>
          <t>charge</t>
        </is>
      </c>
      <c r="E617" s="5" t="n">
        <v>46231</v>
      </c>
      <c r="F617" s="9" t="n">
        <v>95</v>
      </c>
      <c r="G617" s="9" t="n">
        <v>1.96</v>
      </c>
      <c r="H617" s="9" t="n">
        <v>93.04000000000001</v>
      </c>
      <c r="I617" t="inlineStr">
        <is>
          <t>INV/2026/04237</t>
        </is>
      </c>
      <c r="J617" s="9">
        <f>ROUND(F617-G617-H617,2)</f>
        <v>0</v>
      </c>
    </row>
    <row r="618">
      <c r="A618" t="inlineStr">
        <is>
          <t>po_1Q0022KX</t>
        </is>
      </c>
      <c r="B618" s="5" t="n">
        <v>46233</v>
      </c>
      <c r="C618" t="inlineStr">
        <is>
          <t>ch_3Q000613</t>
        </is>
      </c>
      <c r="D618" t="inlineStr">
        <is>
          <t>charge</t>
        </is>
      </c>
      <c r="E618" s="5" t="n">
        <v>46231</v>
      </c>
      <c r="F618" s="9" t="n">
        <v>65</v>
      </c>
      <c r="G618" s="9" t="n">
        <v>1.44</v>
      </c>
      <c r="H618" s="9" t="n">
        <v>63.56</v>
      </c>
      <c r="I618" t="inlineStr">
        <is>
          <t>INV/2026/04238</t>
        </is>
      </c>
      <c r="J618" s="9">
        <f>ROUND(F618-G618-H618,2)</f>
        <v>0</v>
      </c>
    </row>
    <row r="619">
      <c r="A619" t="inlineStr">
        <is>
          <t>po_1Q0023KX</t>
        </is>
      </c>
      <c r="B619" s="5" t="n">
        <v>46234</v>
      </c>
      <c r="C619" t="inlineStr">
        <is>
          <t>ch_3Q000614</t>
        </is>
      </c>
      <c r="D619" t="inlineStr">
        <is>
          <t>charge</t>
        </is>
      </c>
      <c r="E619" s="5" t="n">
        <v>46232</v>
      </c>
      <c r="F619" s="9" t="n">
        <v>95</v>
      </c>
      <c r="G619" s="9" t="n">
        <v>1.96</v>
      </c>
      <c r="H619" s="9" t="n">
        <v>93.04000000000001</v>
      </c>
      <c r="I619" t="inlineStr">
        <is>
          <t>INV/2026/04239</t>
        </is>
      </c>
      <c r="J619" s="9">
        <f>ROUND(F619-G619-H619,2)</f>
        <v>0</v>
      </c>
    </row>
    <row r="620">
      <c r="A620" t="inlineStr">
        <is>
          <t>po_1Q0023KX</t>
        </is>
      </c>
      <c r="B620" s="5" t="n">
        <v>46234</v>
      </c>
      <c r="C620" t="inlineStr">
        <is>
          <t>ch_3Q000615</t>
        </is>
      </c>
      <c r="D620" t="inlineStr">
        <is>
          <t>charge</t>
        </is>
      </c>
      <c r="E620" s="5" t="n">
        <v>46232</v>
      </c>
      <c r="F620" s="9" t="n">
        <v>95</v>
      </c>
      <c r="G620" s="9" t="n">
        <v>1.96</v>
      </c>
      <c r="H620" s="9" t="n">
        <v>93.04000000000001</v>
      </c>
      <c r="I620" t="inlineStr">
        <is>
          <t>INV/2026/04240</t>
        </is>
      </c>
      <c r="J620" s="9">
        <f>ROUND(F620-G620-H620,2)</f>
        <v>0</v>
      </c>
    </row>
    <row r="621">
      <c r="A621" t="inlineStr">
        <is>
          <t>po_1Q0023KX</t>
        </is>
      </c>
      <c r="B621" s="5" t="n">
        <v>46234</v>
      </c>
      <c r="C621" t="inlineStr">
        <is>
          <t>ch_3Q000616</t>
        </is>
      </c>
      <c r="D621" t="inlineStr">
        <is>
          <t>charge</t>
        </is>
      </c>
      <c r="E621" s="5" t="n">
        <v>46232</v>
      </c>
      <c r="F621" s="9" t="n">
        <v>135</v>
      </c>
      <c r="G621" s="9" t="n">
        <v>2.66</v>
      </c>
      <c r="H621" s="9" t="n">
        <v>132.34</v>
      </c>
      <c r="I621" t="inlineStr">
        <is>
          <t>INV/2026/04241</t>
        </is>
      </c>
      <c r="J621" s="9">
        <f>ROUND(F621-G621-H621,2)</f>
        <v>0</v>
      </c>
    </row>
    <row r="622">
      <c r="A622" t="inlineStr">
        <is>
          <t>po_1Q0023KX</t>
        </is>
      </c>
      <c r="B622" s="5" t="n">
        <v>46234</v>
      </c>
      <c r="C622" t="inlineStr">
        <is>
          <t>ch_3Q000617</t>
        </is>
      </c>
      <c r="D622" t="inlineStr">
        <is>
          <t>charge</t>
        </is>
      </c>
      <c r="E622" s="5" t="n">
        <v>46232</v>
      </c>
      <c r="F622" s="9" t="n">
        <v>150</v>
      </c>
      <c r="G622" s="9" t="n">
        <v>2.93</v>
      </c>
      <c r="H622" s="9" t="n">
        <v>147.07</v>
      </c>
      <c r="I622" t="inlineStr">
        <is>
          <t>INV/2026/04242</t>
        </is>
      </c>
      <c r="J622" s="9">
        <f>ROUND(F622-G622-H622,2)</f>
        <v>0</v>
      </c>
    </row>
    <row r="623">
      <c r="A623" t="inlineStr">
        <is>
          <t>po_1Q0023KX</t>
        </is>
      </c>
      <c r="B623" s="5" t="n">
        <v>46234</v>
      </c>
      <c r="C623" t="inlineStr">
        <is>
          <t>ch_3Q000618</t>
        </is>
      </c>
      <c r="D623" t="inlineStr">
        <is>
          <t>charge</t>
        </is>
      </c>
      <c r="E623" s="5" t="n">
        <v>46232</v>
      </c>
      <c r="F623" s="9" t="n">
        <v>220</v>
      </c>
      <c r="G623" s="9" t="n">
        <v>4.15</v>
      </c>
      <c r="H623" s="9" t="n">
        <v>215.85</v>
      </c>
      <c r="I623" t="inlineStr">
        <is>
          <t>INV/2026/04243</t>
        </is>
      </c>
      <c r="J623" s="9">
        <f>ROUND(F623-G623-H623,2)</f>
        <v>0</v>
      </c>
    </row>
    <row r="624">
      <c r="A624" t="inlineStr">
        <is>
          <t>po_1Q0023KX</t>
        </is>
      </c>
      <c r="B624" s="5" t="n">
        <v>46234</v>
      </c>
      <c r="C624" t="inlineStr">
        <is>
          <t>ch_3Q000619</t>
        </is>
      </c>
      <c r="D624" t="inlineStr">
        <is>
          <t>charge</t>
        </is>
      </c>
      <c r="E624" s="5" t="n">
        <v>46232</v>
      </c>
      <c r="F624" s="9" t="n">
        <v>95</v>
      </c>
      <c r="G624" s="9" t="n">
        <v>1.96</v>
      </c>
      <c r="H624" s="9" t="n">
        <v>93.04000000000001</v>
      </c>
      <c r="I624" t="inlineStr">
        <is>
          <t>INV/2026/04244</t>
        </is>
      </c>
      <c r="J624" s="9">
        <f>ROUND(F624-G624-H624,2)</f>
        <v>0</v>
      </c>
    </row>
    <row r="625">
      <c r="A625" t="inlineStr">
        <is>
          <t>po_1Q0023KX</t>
        </is>
      </c>
      <c r="B625" s="5" t="n">
        <v>46234</v>
      </c>
      <c r="C625" t="inlineStr">
        <is>
          <t>ch_3Q000620</t>
        </is>
      </c>
      <c r="D625" t="inlineStr">
        <is>
          <t>charge</t>
        </is>
      </c>
      <c r="E625" s="5" t="n">
        <v>46232</v>
      </c>
      <c r="F625" s="9" t="n">
        <v>120</v>
      </c>
      <c r="G625" s="9" t="n">
        <v>2.4</v>
      </c>
      <c r="H625" s="9" t="n">
        <v>117.6</v>
      </c>
      <c r="I625" t="inlineStr">
        <is>
          <t>INV/2026/04245</t>
        </is>
      </c>
      <c r="J625" s="9">
        <f>ROUND(F625-G625-H625,2)</f>
        <v>0</v>
      </c>
    </row>
    <row r="626">
      <c r="A626" t="inlineStr">
        <is>
          <t>po_1Q0023KX</t>
        </is>
      </c>
      <c r="B626" s="5" t="n">
        <v>46234</v>
      </c>
      <c r="C626" t="inlineStr">
        <is>
          <t>ch_3Q000621</t>
        </is>
      </c>
      <c r="D626" t="inlineStr">
        <is>
          <t>charge</t>
        </is>
      </c>
      <c r="E626" s="5" t="n">
        <v>46232</v>
      </c>
      <c r="F626" s="9" t="n">
        <v>65</v>
      </c>
      <c r="G626" s="9" t="n">
        <v>1.44</v>
      </c>
      <c r="H626" s="9" t="n">
        <v>63.56</v>
      </c>
      <c r="I626" t="inlineStr">
        <is>
          <t>INV/2026/04246</t>
        </is>
      </c>
      <c r="J626" s="9">
        <f>ROUND(F626-G626-H626,2)</f>
        <v>0</v>
      </c>
    </row>
    <row r="627">
      <c r="A627" t="inlineStr">
        <is>
          <t>po_1Q0023KX</t>
        </is>
      </c>
      <c r="B627" s="5" t="n">
        <v>46234</v>
      </c>
      <c r="C627" t="inlineStr">
        <is>
          <t>ch_3Q000622</t>
        </is>
      </c>
      <c r="D627" t="inlineStr">
        <is>
          <t>charge</t>
        </is>
      </c>
      <c r="E627" s="5" t="n">
        <v>46232</v>
      </c>
      <c r="F627" s="9" t="n">
        <v>120</v>
      </c>
      <c r="G627" s="9" t="n">
        <v>2.4</v>
      </c>
      <c r="H627" s="9" t="n">
        <v>117.6</v>
      </c>
      <c r="I627" t="inlineStr">
        <is>
          <t>INV/2026/04247</t>
        </is>
      </c>
      <c r="J627" s="9">
        <f>ROUND(F627-G627-H627,2)</f>
        <v>0</v>
      </c>
    </row>
    <row r="628">
      <c r="A628" t="inlineStr">
        <is>
          <t>po_1Q0023KX</t>
        </is>
      </c>
      <c r="B628" s="5" t="n">
        <v>46234</v>
      </c>
      <c r="C628" t="inlineStr">
        <is>
          <t>ch_3Q000623</t>
        </is>
      </c>
      <c r="D628" t="inlineStr">
        <is>
          <t>charge</t>
        </is>
      </c>
      <c r="E628" s="5" t="n">
        <v>46232</v>
      </c>
      <c r="F628" s="9" t="n">
        <v>120</v>
      </c>
      <c r="G628" s="9" t="n">
        <v>2.4</v>
      </c>
      <c r="H628" s="9" t="n">
        <v>117.6</v>
      </c>
      <c r="I628" t="inlineStr">
        <is>
          <t>INV/2026/04248</t>
        </is>
      </c>
      <c r="J628" s="9">
        <f>ROUND(F628-G628-H628,2)</f>
        <v>0</v>
      </c>
    </row>
    <row r="629">
      <c r="A629" t="inlineStr">
        <is>
          <t>po_1Q0023KX</t>
        </is>
      </c>
      <c r="B629" s="5" t="n">
        <v>46234</v>
      </c>
      <c r="C629" t="inlineStr">
        <is>
          <t>ch_3Q000624</t>
        </is>
      </c>
      <c r="D629" t="inlineStr">
        <is>
          <t>charge</t>
        </is>
      </c>
      <c r="E629" s="5" t="n">
        <v>46232</v>
      </c>
      <c r="F629" s="9" t="n">
        <v>150</v>
      </c>
      <c r="G629" s="9" t="n">
        <v>2.93</v>
      </c>
      <c r="H629" s="9" t="n">
        <v>147.07</v>
      </c>
      <c r="I629" t="inlineStr">
        <is>
          <t>INV/2026/04249</t>
        </is>
      </c>
      <c r="J629" s="9">
        <f>ROUND(F629-G629-H629,2)</f>
        <v>0</v>
      </c>
    </row>
    <row r="630">
      <c r="A630" t="inlineStr">
        <is>
          <t>po_1Q0023KX</t>
        </is>
      </c>
      <c r="B630" s="5" t="n">
        <v>46234</v>
      </c>
      <c r="C630" t="inlineStr">
        <is>
          <t>ch_3Q000625</t>
        </is>
      </c>
      <c r="D630" t="inlineStr">
        <is>
          <t>charge</t>
        </is>
      </c>
      <c r="E630" s="5" t="n">
        <v>46232</v>
      </c>
      <c r="F630" s="9" t="n">
        <v>135</v>
      </c>
      <c r="G630" s="9" t="n">
        <v>2.66</v>
      </c>
      <c r="H630" s="9" t="n">
        <v>132.34</v>
      </c>
      <c r="I630" t="inlineStr">
        <is>
          <t>INV/2026/04250</t>
        </is>
      </c>
      <c r="J630" s="9">
        <f>ROUND(F630-G630-H630,2)</f>
        <v>0</v>
      </c>
    </row>
    <row r="631">
      <c r="A631" t="inlineStr">
        <is>
          <t>po_1Q0023KX</t>
        </is>
      </c>
      <c r="B631" s="5" t="n">
        <v>46234</v>
      </c>
      <c r="C631" t="inlineStr">
        <is>
          <t>ch_3Q000626</t>
        </is>
      </c>
      <c r="D631" t="inlineStr">
        <is>
          <t>charge</t>
        </is>
      </c>
      <c r="E631" s="5" t="n">
        <v>46232</v>
      </c>
      <c r="F631" s="9" t="n">
        <v>120</v>
      </c>
      <c r="G631" s="9" t="n">
        <v>2.4</v>
      </c>
      <c r="H631" s="9" t="n">
        <v>117.6</v>
      </c>
      <c r="I631" t="inlineStr">
        <is>
          <t>INV/2026/04251</t>
        </is>
      </c>
      <c r="J631" s="9">
        <f>ROUND(F631-G631-H631,2)</f>
        <v>0</v>
      </c>
    </row>
    <row r="632">
      <c r="A632" t="inlineStr">
        <is>
          <t>po_1Q0023KX</t>
        </is>
      </c>
      <c r="B632" s="5" t="n">
        <v>46234</v>
      </c>
      <c r="C632" t="inlineStr">
        <is>
          <t>ch_3Q000627</t>
        </is>
      </c>
      <c r="D632" t="inlineStr">
        <is>
          <t>charge</t>
        </is>
      </c>
      <c r="E632" s="5" t="n">
        <v>46232</v>
      </c>
      <c r="F632" s="9" t="n">
        <v>135</v>
      </c>
      <c r="G632" s="9" t="n">
        <v>2.66</v>
      </c>
      <c r="H632" s="9" t="n">
        <v>132.34</v>
      </c>
      <c r="I632" t="inlineStr">
        <is>
          <t>INV/2026/04252</t>
        </is>
      </c>
      <c r="J632" s="9">
        <f>ROUND(F632-G632-H632,2)</f>
        <v>0</v>
      </c>
    </row>
    <row r="633">
      <c r="A633" t="inlineStr">
        <is>
          <t>po_1Q0023KX</t>
        </is>
      </c>
      <c r="B633" s="5" t="n">
        <v>46234</v>
      </c>
      <c r="C633" t="inlineStr">
        <is>
          <t>ch_3Q000628</t>
        </is>
      </c>
      <c r="D633" t="inlineStr">
        <is>
          <t>charge</t>
        </is>
      </c>
      <c r="E633" s="5" t="n">
        <v>46232</v>
      </c>
      <c r="F633" s="9" t="n">
        <v>150</v>
      </c>
      <c r="G633" s="9" t="n">
        <v>2.93</v>
      </c>
      <c r="H633" s="9" t="n">
        <v>147.07</v>
      </c>
      <c r="I633" t="inlineStr">
        <is>
          <t>INV/2026/04253</t>
        </is>
      </c>
      <c r="J633" s="9">
        <f>ROUND(F633-G633-H633,2)</f>
        <v>0</v>
      </c>
    </row>
    <row r="634">
      <c r="A634" t="inlineStr">
        <is>
          <t>po_1Q0023KX</t>
        </is>
      </c>
      <c r="B634" s="5" t="n">
        <v>46234</v>
      </c>
      <c r="C634" t="inlineStr">
        <is>
          <t>ch_3Q000629</t>
        </is>
      </c>
      <c r="D634" t="inlineStr">
        <is>
          <t>charge</t>
        </is>
      </c>
      <c r="E634" s="5" t="n">
        <v>46232</v>
      </c>
      <c r="F634" s="9" t="n">
        <v>120</v>
      </c>
      <c r="G634" s="9" t="n">
        <v>2.4</v>
      </c>
      <c r="H634" s="9" t="n">
        <v>117.6</v>
      </c>
      <c r="I634" t="inlineStr">
        <is>
          <t>INV/2026/04254</t>
        </is>
      </c>
      <c r="J634" s="9">
        <f>ROUND(F634-G634-H634,2)</f>
        <v>0</v>
      </c>
    </row>
    <row r="635">
      <c r="A635" t="inlineStr">
        <is>
          <t>po_1Q0023KX</t>
        </is>
      </c>
      <c r="B635" s="5" t="n">
        <v>46234</v>
      </c>
      <c r="C635" t="inlineStr">
        <is>
          <t>ch_3Q000630</t>
        </is>
      </c>
      <c r="D635" t="inlineStr">
        <is>
          <t>charge</t>
        </is>
      </c>
      <c r="E635" s="5" t="n">
        <v>46232</v>
      </c>
      <c r="F635" s="9" t="n">
        <v>110</v>
      </c>
      <c r="G635" s="9" t="n">
        <v>2.23</v>
      </c>
      <c r="H635" s="9" t="n">
        <v>107.77</v>
      </c>
      <c r="I635" t="inlineStr">
        <is>
          <t>INV/2026/04255</t>
        </is>
      </c>
      <c r="J635" s="9">
        <f>ROUND(F635-G635-H635,2)</f>
        <v>0</v>
      </c>
    </row>
    <row r="636">
      <c r="A636" t="inlineStr">
        <is>
          <t>po_1Q0023KX</t>
        </is>
      </c>
      <c r="B636" s="5" t="n">
        <v>46234</v>
      </c>
      <c r="C636" t="inlineStr">
        <is>
          <t>ch_3Q000631</t>
        </is>
      </c>
      <c r="D636" t="inlineStr">
        <is>
          <t>charge</t>
        </is>
      </c>
      <c r="E636" s="5" t="n">
        <v>46232</v>
      </c>
      <c r="F636" s="9" t="n">
        <v>120</v>
      </c>
      <c r="G636" s="9" t="n">
        <v>2.4</v>
      </c>
      <c r="H636" s="9" t="n">
        <v>117.6</v>
      </c>
      <c r="I636" t="inlineStr">
        <is>
          <t>INV/2026/04256</t>
        </is>
      </c>
      <c r="J636" s="9">
        <f>ROUND(F636-G636-H636,2)</f>
        <v>0</v>
      </c>
    </row>
    <row r="637">
      <c r="A637" t="inlineStr">
        <is>
          <t>po_1Q0023KX</t>
        </is>
      </c>
      <c r="B637" s="5" t="n">
        <v>46234</v>
      </c>
      <c r="C637" t="inlineStr">
        <is>
          <t>ch_3Q000632</t>
        </is>
      </c>
      <c r="D637" t="inlineStr">
        <is>
          <t>charge</t>
        </is>
      </c>
      <c r="E637" s="5" t="n">
        <v>46232</v>
      </c>
      <c r="F637" s="9" t="n">
        <v>120</v>
      </c>
      <c r="G637" s="9" t="n">
        <v>2.4</v>
      </c>
      <c r="H637" s="9" t="n">
        <v>117.6</v>
      </c>
      <c r="I637" t="inlineStr">
        <is>
          <t>INV/2026/04257</t>
        </is>
      </c>
      <c r="J637" s="9">
        <f>ROUND(F637-G637-H637,2)</f>
        <v>0</v>
      </c>
    </row>
    <row r="638">
      <c r="A638" t="inlineStr">
        <is>
          <t>po_1Q0023KX</t>
        </is>
      </c>
      <c r="B638" s="5" t="n">
        <v>46234</v>
      </c>
      <c r="C638" t="inlineStr">
        <is>
          <t>ch_3Q000633</t>
        </is>
      </c>
      <c r="D638" t="inlineStr">
        <is>
          <t>charge</t>
        </is>
      </c>
      <c r="E638" s="5" t="n">
        <v>46232</v>
      </c>
      <c r="F638" s="9" t="n">
        <v>150</v>
      </c>
      <c r="G638" s="9" t="n">
        <v>2.93</v>
      </c>
      <c r="H638" s="9" t="n">
        <v>147.07</v>
      </c>
      <c r="I638" t="inlineStr">
        <is>
          <t>INV/2026/04258</t>
        </is>
      </c>
      <c r="J638" s="9">
        <f>ROUND(F638-G638-H638,2)</f>
        <v>0</v>
      </c>
    </row>
    <row r="639">
      <c r="A639" t="inlineStr">
        <is>
          <t>po_1Q0023KX</t>
        </is>
      </c>
      <c r="B639" s="5" t="n">
        <v>46234</v>
      </c>
      <c r="C639" t="inlineStr">
        <is>
          <t>ch_3Q000634</t>
        </is>
      </c>
      <c r="D639" t="inlineStr">
        <is>
          <t>charge</t>
        </is>
      </c>
      <c r="E639" s="5" t="n">
        <v>46232</v>
      </c>
      <c r="F639" s="9" t="n">
        <v>180</v>
      </c>
      <c r="G639" s="9" t="n">
        <v>3.45</v>
      </c>
      <c r="H639" s="9" t="n">
        <v>176.55</v>
      </c>
      <c r="I639" t="inlineStr">
        <is>
          <t>INV/2026/04259</t>
        </is>
      </c>
      <c r="J639" s="9">
        <f>ROUND(F639-G639-H639,2)</f>
        <v>0</v>
      </c>
    </row>
    <row r="640">
      <c r="A640" t="inlineStr">
        <is>
          <t>po_1Q0023KX</t>
        </is>
      </c>
      <c r="B640" s="5" t="n">
        <v>46234</v>
      </c>
      <c r="C640" t="inlineStr">
        <is>
          <t>ch_3Q000635</t>
        </is>
      </c>
      <c r="D640" t="inlineStr">
        <is>
          <t>charge</t>
        </is>
      </c>
      <c r="E640" s="5" t="n">
        <v>46232</v>
      </c>
      <c r="F640" s="9" t="n">
        <v>95</v>
      </c>
      <c r="G640" s="9" t="n">
        <v>1.96</v>
      </c>
      <c r="H640" s="9" t="n">
        <v>93.04000000000001</v>
      </c>
      <c r="I640" t="inlineStr">
        <is>
          <t>INV/2026/04260</t>
        </is>
      </c>
      <c r="J640" s="9">
        <f>ROUND(F640-G640-H640,2)</f>
        <v>0</v>
      </c>
    </row>
    <row r="641">
      <c r="A641" t="inlineStr">
        <is>
          <t>po_1Q0023KX</t>
        </is>
      </c>
      <c r="B641" s="5" t="n">
        <v>46234</v>
      </c>
      <c r="C641" t="inlineStr">
        <is>
          <t>ch_3Q000636</t>
        </is>
      </c>
      <c r="D641" t="inlineStr">
        <is>
          <t>charge</t>
        </is>
      </c>
      <c r="E641" s="5" t="n">
        <v>46232</v>
      </c>
      <c r="F641" s="9" t="n">
        <v>110</v>
      </c>
      <c r="G641" s="9" t="n">
        <v>2.23</v>
      </c>
      <c r="H641" s="9" t="n">
        <v>107.77</v>
      </c>
      <c r="I641" t="inlineStr">
        <is>
          <t>INV/2026/04261</t>
        </is>
      </c>
      <c r="J641" s="9">
        <f>ROUND(F641-G641-H641,2)</f>
        <v>0</v>
      </c>
    </row>
    <row r="642">
      <c r="A642" t="inlineStr">
        <is>
          <t>po_1Q0023KX</t>
        </is>
      </c>
      <c r="B642" s="5" t="n">
        <v>46234</v>
      </c>
      <c r="C642" t="inlineStr">
        <is>
          <t>ch_3Q000637</t>
        </is>
      </c>
      <c r="D642" t="inlineStr">
        <is>
          <t>charge</t>
        </is>
      </c>
      <c r="E642" s="5" t="n">
        <v>46232</v>
      </c>
      <c r="F642" s="9" t="n">
        <v>110</v>
      </c>
      <c r="G642" s="9" t="n">
        <v>2.23</v>
      </c>
      <c r="H642" s="9" t="n">
        <v>107.77</v>
      </c>
      <c r="I642" t="inlineStr">
        <is>
          <t>INV/2026/04262</t>
        </is>
      </c>
      <c r="J642" s="9">
        <f>ROUND(F642-G642-H642,2)</f>
        <v>0</v>
      </c>
    </row>
    <row r="643">
      <c r="A643" t="inlineStr">
        <is>
          <t>po_1Q0023KX</t>
        </is>
      </c>
      <c r="B643" s="5" t="n">
        <v>46234</v>
      </c>
      <c r="C643" t="inlineStr">
        <is>
          <t>ch_3Q000638</t>
        </is>
      </c>
      <c r="D643" t="inlineStr">
        <is>
          <t>charge</t>
        </is>
      </c>
      <c r="E643" s="5" t="n">
        <v>46232</v>
      </c>
      <c r="F643" s="9" t="n">
        <v>65</v>
      </c>
      <c r="G643" s="9" t="n">
        <v>1.44</v>
      </c>
      <c r="H643" s="9" t="n">
        <v>63.56</v>
      </c>
      <c r="I643" t="inlineStr">
        <is>
          <t>INV/2026/04263</t>
        </is>
      </c>
      <c r="J643" s="9">
        <f>ROUND(F643-G643-H643,2)</f>
        <v>0</v>
      </c>
    </row>
    <row r="644">
      <c r="A644" t="inlineStr">
        <is>
          <t>po_1Q0024KX</t>
        </is>
      </c>
      <c r="B644" s="5" t="n">
        <v>46237</v>
      </c>
      <c r="C644" t="inlineStr">
        <is>
          <t>ch_3Q000639</t>
        </is>
      </c>
      <c r="D644" t="inlineStr">
        <is>
          <t>charge</t>
        </is>
      </c>
      <c r="E644" s="5" t="n">
        <v>46233</v>
      </c>
      <c r="F644" s="9" t="n">
        <v>85</v>
      </c>
      <c r="G644" s="9" t="n">
        <v>1.79</v>
      </c>
      <c r="H644" s="9" t="n">
        <v>83.20999999999999</v>
      </c>
      <c r="I644" t="inlineStr">
        <is>
          <t>INV/2026/04264</t>
        </is>
      </c>
      <c r="J644" s="9">
        <f>ROUND(F644-G644-H644,2)</f>
        <v>0</v>
      </c>
    </row>
    <row r="645">
      <c r="A645" t="inlineStr">
        <is>
          <t>po_1Q0024KX</t>
        </is>
      </c>
      <c r="B645" s="5" t="n">
        <v>46237</v>
      </c>
      <c r="C645" t="inlineStr">
        <is>
          <t>ch_3Q000640</t>
        </is>
      </c>
      <c r="D645" t="inlineStr">
        <is>
          <t>charge</t>
        </is>
      </c>
      <c r="E645" s="5" t="n">
        <v>46233</v>
      </c>
      <c r="F645" s="9" t="n">
        <v>65</v>
      </c>
      <c r="G645" s="9" t="n">
        <v>1.44</v>
      </c>
      <c r="H645" s="9" t="n">
        <v>63.56</v>
      </c>
      <c r="I645" t="inlineStr">
        <is>
          <t>INV/2026/04265</t>
        </is>
      </c>
      <c r="J645" s="9">
        <f>ROUND(F645-G645-H645,2)</f>
        <v>0</v>
      </c>
    </row>
    <row r="646">
      <c r="A646" t="inlineStr">
        <is>
          <t>po_1Q0024KX</t>
        </is>
      </c>
      <c r="B646" s="5" t="n">
        <v>46237</v>
      </c>
      <c r="C646" t="inlineStr">
        <is>
          <t>ch_3Q000641</t>
        </is>
      </c>
      <c r="D646" t="inlineStr">
        <is>
          <t>charge</t>
        </is>
      </c>
      <c r="E646" s="5" t="n">
        <v>46233</v>
      </c>
      <c r="F646" s="9" t="n">
        <v>220</v>
      </c>
      <c r="G646" s="9" t="n">
        <v>4.15</v>
      </c>
      <c r="H646" s="9" t="n">
        <v>215.85</v>
      </c>
      <c r="I646" t="inlineStr">
        <is>
          <t>INV/2026/04266</t>
        </is>
      </c>
      <c r="J646" s="9">
        <f>ROUND(F646-G646-H646,2)</f>
        <v>0</v>
      </c>
    </row>
    <row r="647">
      <c r="A647" t="inlineStr">
        <is>
          <t>po_1Q0024KX</t>
        </is>
      </c>
      <c r="B647" s="5" t="n">
        <v>46237</v>
      </c>
      <c r="C647" t="inlineStr">
        <is>
          <t>ch_3Q000642</t>
        </is>
      </c>
      <c r="D647" t="inlineStr">
        <is>
          <t>charge</t>
        </is>
      </c>
      <c r="E647" s="5" t="n">
        <v>46233</v>
      </c>
      <c r="F647" s="9" t="n">
        <v>150</v>
      </c>
      <c r="G647" s="9" t="n">
        <v>2.93</v>
      </c>
      <c r="H647" s="9" t="n">
        <v>147.07</v>
      </c>
      <c r="I647" t="inlineStr">
        <is>
          <t>INV/2026/04267</t>
        </is>
      </c>
      <c r="J647" s="9">
        <f>ROUND(F647-G647-H647,2)</f>
        <v>0</v>
      </c>
    </row>
    <row r="648">
      <c r="A648" t="inlineStr">
        <is>
          <t>po_1Q0024KX</t>
        </is>
      </c>
      <c r="B648" s="5" t="n">
        <v>46237</v>
      </c>
      <c r="C648" t="inlineStr">
        <is>
          <t>ch_3Q000643</t>
        </is>
      </c>
      <c r="D648" t="inlineStr">
        <is>
          <t>charge</t>
        </is>
      </c>
      <c r="E648" s="5" t="n">
        <v>46233</v>
      </c>
      <c r="F648" s="9" t="n">
        <v>220</v>
      </c>
      <c r="G648" s="9" t="n">
        <v>4.15</v>
      </c>
      <c r="H648" s="9" t="n">
        <v>215.85</v>
      </c>
      <c r="I648" t="inlineStr">
        <is>
          <t>INV/2026/04268</t>
        </is>
      </c>
      <c r="J648" s="9">
        <f>ROUND(F648-G648-H648,2)</f>
        <v>0</v>
      </c>
    </row>
    <row r="649">
      <c r="A649" t="inlineStr">
        <is>
          <t>po_1Q0024KX</t>
        </is>
      </c>
      <c r="B649" s="5" t="n">
        <v>46237</v>
      </c>
      <c r="C649" t="inlineStr">
        <is>
          <t>ch_3Q000644</t>
        </is>
      </c>
      <c r="D649" t="inlineStr">
        <is>
          <t>charge</t>
        </is>
      </c>
      <c r="E649" s="5" t="n">
        <v>46233</v>
      </c>
      <c r="F649" s="9" t="n">
        <v>135</v>
      </c>
      <c r="G649" s="9" t="n">
        <v>2.66</v>
      </c>
      <c r="H649" s="9" t="n">
        <v>132.34</v>
      </c>
      <c r="I649" t="inlineStr">
        <is>
          <t>INV/2026/04269</t>
        </is>
      </c>
      <c r="J649" s="9">
        <f>ROUND(F649-G649-H649,2)</f>
        <v>0</v>
      </c>
    </row>
    <row r="650">
      <c r="A650" t="inlineStr">
        <is>
          <t>po_1Q0024KX</t>
        </is>
      </c>
      <c r="B650" s="5" t="n">
        <v>46237</v>
      </c>
      <c r="C650" t="inlineStr">
        <is>
          <t>ch_3Q000645</t>
        </is>
      </c>
      <c r="D650" t="inlineStr">
        <is>
          <t>charge</t>
        </is>
      </c>
      <c r="E650" s="5" t="n">
        <v>46233</v>
      </c>
      <c r="F650" s="9" t="n">
        <v>220</v>
      </c>
      <c r="G650" s="9" t="n">
        <v>4.15</v>
      </c>
      <c r="H650" s="9" t="n">
        <v>215.85</v>
      </c>
      <c r="I650" t="inlineStr">
        <is>
          <t>INV/2026/04270</t>
        </is>
      </c>
      <c r="J650" s="9">
        <f>ROUND(F650-G650-H650,2)</f>
        <v>0</v>
      </c>
    </row>
    <row r="651">
      <c r="A651" t="inlineStr">
        <is>
          <t>po_1Q0024KX</t>
        </is>
      </c>
      <c r="B651" s="5" t="n">
        <v>46237</v>
      </c>
      <c r="C651" t="inlineStr">
        <is>
          <t>ch_3Q000646</t>
        </is>
      </c>
      <c r="D651" t="inlineStr">
        <is>
          <t>charge</t>
        </is>
      </c>
      <c r="E651" s="5" t="n">
        <v>46233</v>
      </c>
      <c r="F651" s="9" t="n">
        <v>180</v>
      </c>
      <c r="G651" s="9" t="n">
        <v>3.45</v>
      </c>
      <c r="H651" s="9" t="n">
        <v>176.55</v>
      </c>
      <c r="I651" t="inlineStr">
        <is>
          <t>INV/2026/04271</t>
        </is>
      </c>
      <c r="J651" s="9">
        <f>ROUND(F651-G651-H651,2)</f>
        <v>0</v>
      </c>
    </row>
    <row r="652">
      <c r="A652" t="inlineStr">
        <is>
          <t>po_1Q0024KX</t>
        </is>
      </c>
      <c r="B652" s="5" t="n">
        <v>46237</v>
      </c>
      <c r="C652" t="inlineStr">
        <is>
          <t>ch_3Q000647</t>
        </is>
      </c>
      <c r="D652" t="inlineStr">
        <is>
          <t>charge</t>
        </is>
      </c>
      <c r="E652" s="5" t="n">
        <v>46233</v>
      </c>
      <c r="F652" s="9" t="n">
        <v>95</v>
      </c>
      <c r="G652" s="9" t="n">
        <v>1.96</v>
      </c>
      <c r="H652" s="9" t="n">
        <v>93.04000000000001</v>
      </c>
      <c r="I652" t="inlineStr">
        <is>
          <t>INV/2026/04272</t>
        </is>
      </c>
      <c r="J652" s="9">
        <f>ROUND(F652-G652-H652,2)</f>
        <v>0</v>
      </c>
    </row>
    <row r="653">
      <c r="A653" t="inlineStr">
        <is>
          <t>po_1Q0024KX</t>
        </is>
      </c>
      <c r="B653" s="5" t="n">
        <v>46237</v>
      </c>
      <c r="C653" t="inlineStr">
        <is>
          <t>ch_3Q000648</t>
        </is>
      </c>
      <c r="D653" t="inlineStr">
        <is>
          <t>charge</t>
        </is>
      </c>
      <c r="E653" s="5" t="n">
        <v>46233</v>
      </c>
      <c r="F653" s="9" t="n">
        <v>120</v>
      </c>
      <c r="G653" s="9" t="n">
        <v>2.4</v>
      </c>
      <c r="H653" s="9" t="n">
        <v>117.6</v>
      </c>
      <c r="I653" t="inlineStr">
        <is>
          <t>INV/2026/04273</t>
        </is>
      </c>
      <c r="J653" s="9">
        <f>ROUND(F653-G653-H653,2)</f>
        <v>0</v>
      </c>
    </row>
    <row r="654">
      <c r="A654" t="inlineStr">
        <is>
          <t>po_1Q0024KX</t>
        </is>
      </c>
      <c r="B654" s="5" t="n">
        <v>46237</v>
      </c>
      <c r="C654" t="inlineStr">
        <is>
          <t>ch_3Q000649</t>
        </is>
      </c>
      <c r="D654" t="inlineStr">
        <is>
          <t>charge</t>
        </is>
      </c>
      <c r="E654" s="5" t="n">
        <v>46233</v>
      </c>
      <c r="F654" s="9" t="n">
        <v>65</v>
      </c>
      <c r="G654" s="9" t="n">
        <v>1.44</v>
      </c>
      <c r="H654" s="9" t="n">
        <v>63.56</v>
      </c>
      <c r="I654" t="inlineStr">
        <is>
          <t>INV/2026/04274</t>
        </is>
      </c>
      <c r="J654" s="9">
        <f>ROUND(F654-G654-H654,2)</f>
        <v>0</v>
      </c>
    </row>
    <row r="655">
      <c r="A655" t="inlineStr">
        <is>
          <t>po_1Q0024KX</t>
        </is>
      </c>
      <c r="B655" s="5" t="n">
        <v>46237</v>
      </c>
      <c r="C655" t="inlineStr">
        <is>
          <t>ch_3Q000650</t>
        </is>
      </c>
      <c r="D655" t="inlineStr">
        <is>
          <t>charge</t>
        </is>
      </c>
      <c r="E655" s="5" t="n">
        <v>46233</v>
      </c>
      <c r="F655" s="9" t="n">
        <v>85</v>
      </c>
      <c r="G655" s="9" t="n">
        <v>1.79</v>
      </c>
      <c r="H655" s="9" t="n">
        <v>83.20999999999999</v>
      </c>
      <c r="I655" t="inlineStr">
        <is>
          <t>INV/2026/04275</t>
        </is>
      </c>
      <c r="J655" s="9">
        <f>ROUND(F655-G655-H655,2)</f>
        <v>0</v>
      </c>
    </row>
    <row r="656">
      <c r="A656" t="inlineStr">
        <is>
          <t>po_1Q0024KX</t>
        </is>
      </c>
      <c r="B656" s="5" t="n">
        <v>46237</v>
      </c>
      <c r="C656" t="inlineStr">
        <is>
          <t>ch_3Q000651</t>
        </is>
      </c>
      <c r="D656" t="inlineStr">
        <is>
          <t>charge</t>
        </is>
      </c>
      <c r="E656" s="5" t="n">
        <v>46233</v>
      </c>
      <c r="F656" s="9" t="n">
        <v>180</v>
      </c>
      <c r="G656" s="9" t="n">
        <v>3.45</v>
      </c>
      <c r="H656" s="9" t="n">
        <v>176.55</v>
      </c>
      <c r="I656" t="inlineStr">
        <is>
          <t>INV/2026/04276</t>
        </is>
      </c>
      <c r="J656" s="9">
        <f>ROUND(F656-G656-H656,2)</f>
        <v>0</v>
      </c>
    </row>
    <row r="657">
      <c r="A657" t="inlineStr">
        <is>
          <t>po_1Q0024KX</t>
        </is>
      </c>
      <c r="B657" s="5" t="n">
        <v>46237</v>
      </c>
      <c r="C657" t="inlineStr">
        <is>
          <t>ch_3Q000652</t>
        </is>
      </c>
      <c r="D657" t="inlineStr">
        <is>
          <t>charge</t>
        </is>
      </c>
      <c r="E657" s="5" t="n">
        <v>46233</v>
      </c>
      <c r="F657" s="9" t="n">
        <v>135</v>
      </c>
      <c r="G657" s="9" t="n">
        <v>2.66</v>
      </c>
      <c r="H657" s="9" t="n">
        <v>132.34</v>
      </c>
      <c r="I657" t="inlineStr">
        <is>
          <t>INV/2026/04277</t>
        </is>
      </c>
      <c r="J657" s="9">
        <f>ROUND(F657-G657-H657,2)</f>
        <v>0</v>
      </c>
    </row>
    <row r="658">
      <c r="A658" t="inlineStr">
        <is>
          <t>po_1Q0024KX</t>
        </is>
      </c>
      <c r="B658" s="5" t="n">
        <v>46237</v>
      </c>
      <c r="C658" t="inlineStr">
        <is>
          <t>ch_3Q000653</t>
        </is>
      </c>
      <c r="D658" t="inlineStr">
        <is>
          <t>charge</t>
        </is>
      </c>
      <c r="E658" s="5" t="n">
        <v>46233</v>
      </c>
      <c r="F658" s="9" t="n">
        <v>180</v>
      </c>
      <c r="G658" s="9" t="n">
        <v>3.45</v>
      </c>
      <c r="H658" s="9" t="n">
        <v>176.55</v>
      </c>
      <c r="I658" t="inlineStr">
        <is>
          <t>INV/2026/04278</t>
        </is>
      </c>
      <c r="J658" s="9">
        <f>ROUND(F658-G658-H658,2)</f>
        <v>0</v>
      </c>
    </row>
    <row r="659">
      <c r="A659" t="inlineStr">
        <is>
          <t>po_1Q0024KX</t>
        </is>
      </c>
      <c r="B659" s="5" t="n">
        <v>46237</v>
      </c>
      <c r="C659" t="inlineStr">
        <is>
          <t>ch_3Q000654</t>
        </is>
      </c>
      <c r="D659" t="inlineStr">
        <is>
          <t>charge</t>
        </is>
      </c>
      <c r="E659" s="5" t="n">
        <v>46233</v>
      </c>
      <c r="F659" s="9" t="n">
        <v>120</v>
      </c>
      <c r="G659" s="9" t="n">
        <v>2.4</v>
      </c>
      <c r="H659" s="9" t="n">
        <v>117.6</v>
      </c>
      <c r="I659" t="inlineStr">
        <is>
          <t>INV/2026/04279</t>
        </is>
      </c>
      <c r="J659" s="9">
        <f>ROUND(F659-G659-H659,2)</f>
        <v>0</v>
      </c>
    </row>
    <row r="660">
      <c r="A660" t="inlineStr">
        <is>
          <t>po_1Q0024KX</t>
        </is>
      </c>
      <c r="B660" s="5" t="n">
        <v>46237</v>
      </c>
      <c r="C660" t="inlineStr">
        <is>
          <t>ch_3Q000655</t>
        </is>
      </c>
      <c r="D660" t="inlineStr">
        <is>
          <t>charge</t>
        </is>
      </c>
      <c r="E660" s="5" t="n">
        <v>46233</v>
      </c>
      <c r="F660" s="9" t="n">
        <v>150</v>
      </c>
      <c r="G660" s="9" t="n">
        <v>2.93</v>
      </c>
      <c r="H660" s="9" t="n">
        <v>147.07</v>
      </c>
      <c r="I660" t="inlineStr">
        <is>
          <t>INV/2026/04280</t>
        </is>
      </c>
      <c r="J660" s="9">
        <f>ROUND(F660-G660-H660,2)</f>
        <v>0</v>
      </c>
    </row>
    <row r="661">
      <c r="A661" t="inlineStr">
        <is>
          <t>po_1Q0024KX</t>
        </is>
      </c>
      <c r="B661" s="5" t="n">
        <v>46237</v>
      </c>
      <c r="C661" t="inlineStr">
        <is>
          <t>ch_3Q000656</t>
        </is>
      </c>
      <c r="D661" t="inlineStr">
        <is>
          <t>charge</t>
        </is>
      </c>
      <c r="E661" s="5" t="n">
        <v>46233</v>
      </c>
      <c r="F661" s="9" t="n">
        <v>110</v>
      </c>
      <c r="G661" s="9" t="n">
        <v>2.23</v>
      </c>
      <c r="H661" s="9" t="n">
        <v>107.77</v>
      </c>
      <c r="I661" t="inlineStr">
        <is>
          <t>INV/2026/04281</t>
        </is>
      </c>
      <c r="J661" s="9">
        <f>ROUND(F661-G661-H661,2)</f>
        <v>0</v>
      </c>
    </row>
    <row r="662">
      <c r="A662" t="inlineStr">
        <is>
          <t>po_1Q0024KX</t>
        </is>
      </c>
      <c r="B662" s="5" t="n">
        <v>46237</v>
      </c>
      <c r="C662" t="inlineStr">
        <is>
          <t>ch_3Q000657</t>
        </is>
      </c>
      <c r="D662" t="inlineStr">
        <is>
          <t>charge</t>
        </is>
      </c>
      <c r="E662" s="5" t="n">
        <v>46233</v>
      </c>
      <c r="F662" s="9" t="n">
        <v>65</v>
      </c>
      <c r="G662" s="9" t="n">
        <v>1.44</v>
      </c>
      <c r="H662" s="9" t="n">
        <v>63.56</v>
      </c>
      <c r="I662" t="inlineStr">
        <is>
          <t>INV/2026/04282</t>
        </is>
      </c>
      <c r="J662" s="9">
        <f>ROUND(F662-G662-H662,2)</f>
        <v>0</v>
      </c>
    </row>
    <row r="663">
      <c r="A663" t="inlineStr">
        <is>
          <t>po_1Q0024KX</t>
        </is>
      </c>
      <c r="B663" s="5" t="n">
        <v>46237</v>
      </c>
      <c r="C663" t="inlineStr">
        <is>
          <t>ch_3Q000658</t>
        </is>
      </c>
      <c r="D663" t="inlineStr">
        <is>
          <t>charge</t>
        </is>
      </c>
      <c r="E663" s="5" t="n">
        <v>46233</v>
      </c>
      <c r="F663" s="9" t="n">
        <v>95</v>
      </c>
      <c r="G663" s="9" t="n">
        <v>1.96</v>
      </c>
      <c r="H663" s="9" t="n">
        <v>93.04000000000001</v>
      </c>
      <c r="I663" t="inlineStr">
        <is>
          <t>INV/2026/04283</t>
        </is>
      </c>
      <c r="J663" s="9">
        <f>ROUND(F663-G663-H663,2)</f>
        <v>0</v>
      </c>
    </row>
    <row r="664">
      <c r="A664" t="inlineStr">
        <is>
          <t>po_1Q0024KX</t>
        </is>
      </c>
      <c r="B664" s="5" t="n">
        <v>46237</v>
      </c>
      <c r="C664" t="inlineStr">
        <is>
          <t>ch_3Q000659</t>
        </is>
      </c>
      <c r="D664" t="inlineStr">
        <is>
          <t>charge</t>
        </is>
      </c>
      <c r="E664" s="5" t="n">
        <v>46233</v>
      </c>
      <c r="F664" s="9" t="n">
        <v>65</v>
      </c>
      <c r="G664" s="9" t="n">
        <v>1.44</v>
      </c>
      <c r="H664" s="9" t="n">
        <v>63.56</v>
      </c>
      <c r="I664" t="inlineStr">
        <is>
          <t>INV/2026/04284</t>
        </is>
      </c>
      <c r="J664" s="9">
        <f>ROUND(F664-G664-H664,2)</f>
        <v>0</v>
      </c>
    </row>
    <row r="665">
      <c r="A665" t="inlineStr">
        <is>
          <t>po_1Q0024KX</t>
        </is>
      </c>
      <c r="B665" s="5" t="n">
        <v>46237</v>
      </c>
      <c r="C665" t="inlineStr">
        <is>
          <t>ch_3Q000660</t>
        </is>
      </c>
      <c r="D665" t="inlineStr">
        <is>
          <t>charge</t>
        </is>
      </c>
      <c r="E665" s="5" t="n">
        <v>46233</v>
      </c>
      <c r="F665" s="9" t="n">
        <v>220</v>
      </c>
      <c r="G665" s="9" t="n">
        <v>4.15</v>
      </c>
      <c r="H665" s="9" t="n">
        <v>215.85</v>
      </c>
      <c r="I665" t="inlineStr">
        <is>
          <t>INV/2026/04285</t>
        </is>
      </c>
      <c r="J665" s="9">
        <f>ROUND(F665-G665-H665,2)</f>
        <v>0</v>
      </c>
    </row>
    <row r="666">
      <c r="A666" t="inlineStr">
        <is>
          <t>po_1Q0024KX</t>
        </is>
      </c>
      <c r="B666" s="5" t="n">
        <v>46237</v>
      </c>
      <c r="C666" t="inlineStr">
        <is>
          <t>ch_3Q000661</t>
        </is>
      </c>
      <c r="D666" t="inlineStr">
        <is>
          <t>charge</t>
        </is>
      </c>
      <c r="E666" s="5" t="n">
        <v>46233</v>
      </c>
      <c r="F666" s="9" t="n">
        <v>220</v>
      </c>
      <c r="G666" s="9" t="n">
        <v>4.15</v>
      </c>
      <c r="H666" s="9" t="n">
        <v>215.85</v>
      </c>
      <c r="I666" t="inlineStr">
        <is>
          <t>INV/2026/04286</t>
        </is>
      </c>
      <c r="J666" s="9">
        <f>ROUND(F666-G666-H666,2)</f>
        <v>0</v>
      </c>
    </row>
    <row r="667">
      <c r="A667" t="inlineStr">
        <is>
          <t>po_1Q0024KX</t>
        </is>
      </c>
      <c r="B667" s="5" t="n">
        <v>46237</v>
      </c>
      <c r="C667" t="inlineStr">
        <is>
          <t>ch_3Q000662</t>
        </is>
      </c>
      <c r="D667" t="inlineStr">
        <is>
          <t>charge</t>
        </is>
      </c>
      <c r="E667" s="5" t="n">
        <v>46233</v>
      </c>
      <c r="F667" s="9" t="n">
        <v>135</v>
      </c>
      <c r="G667" s="9" t="n">
        <v>2.66</v>
      </c>
      <c r="H667" s="9" t="n">
        <v>132.34</v>
      </c>
      <c r="I667" t="inlineStr">
        <is>
          <t>INV/2026/04287</t>
        </is>
      </c>
      <c r="J667" s="9">
        <f>ROUND(F667-G667-H667,2)</f>
        <v>0</v>
      </c>
    </row>
    <row r="668">
      <c r="A668" t="inlineStr">
        <is>
          <t>po_1Q0024KX</t>
        </is>
      </c>
      <c r="B668" s="5" t="n">
        <v>46237</v>
      </c>
      <c r="C668" t="inlineStr">
        <is>
          <t>ch_3Q000663</t>
        </is>
      </c>
      <c r="D668" t="inlineStr">
        <is>
          <t>charge</t>
        </is>
      </c>
      <c r="E668" s="5" t="n">
        <v>46233</v>
      </c>
      <c r="F668" s="9" t="n">
        <v>95</v>
      </c>
      <c r="G668" s="9" t="n">
        <v>1.96</v>
      </c>
      <c r="H668" s="9" t="n">
        <v>93.04000000000001</v>
      </c>
      <c r="I668" t="inlineStr">
        <is>
          <t>INV/2026/04288</t>
        </is>
      </c>
      <c r="J668" s="9">
        <f>ROUND(F668-G668-H668,2)</f>
        <v>0</v>
      </c>
    </row>
    <row r="669">
      <c r="A669" t="inlineStr">
        <is>
          <t>po_1Q0024KX</t>
        </is>
      </c>
      <c r="B669" s="5" t="n">
        <v>46237</v>
      </c>
      <c r="C669" t="inlineStr">
        <is>
          <t>ch_3Q000664</t>
        </is>
      </c>
      <c r="D669" t="inlineStr">
        <is>
          <t>charge</t>
        </is>
      </c>
      <c r="E669" s="5" t="n">
        <v>46233</v>
      </c>
      <c r="F669" s="9" t="n">
        <v>150</v>
      </c>
      <c r="G669" s="9" t="n">
        <v>2.93</v>
      </c>
      <c r="H669" s="9" t="n">
        <v>147.07</v>
      </c>
      <c r="I669" t="inlineStr">
        <is>
          <t>INV/2026/04289</t>
        </is>
      </c>
      <c r="J669" s="9">
        <f>ROUND(F669-G669-H669,2)</f>
        <v>0</v>
      </c>
    </row>
    <row r="670">
      <c r="A670" t="inlineStr">
        <is>
          <t>po_1Q0024KX</t>
        </is>
      </c>
      <c r="B670" s="5" t="n">
        <v>46237</v>
      </c>
      <c r="C670" t="inlineStr">
        <is>
          <t>ch_3Q000665</t>
        </is>
      </c>
      <c r="D670" t="inlineStr">
        <is>
          <t>charge</t>
        </is>
      </c>
      <c r="E670" s="5" t="n">
        <v>46233</v>
      </c>
      <c r="F670" s="9" t="n">
        <v>110</v>
      </c>
      <c r="G670" s="9" t="n">
        <v>2.23</v>
      </c>
      <c r="H670" s="9" t="n">
        <v>107.77</v>
      </c>
      <c r="I670" t="inlineStr">
        <is>
          <t>INV/2026/04290</t>
        </is>
      </c>
      <c r="J670" s="9">
        <f>ROUND(F670-G670-H670,2)</f>
        <v>0</v>
      </c>
    </row>
    <row r="671">
      <c r="A671" t="inlineStr">
        <is>
          <t>po_1Q0024KX</t>
        </is>
      </c>
      <c r="B671" s="5" t="n">
        <v>46237</v>
      </c>
      <c r="C671" t="inlineStr">
        <is>
          <t>ch_3Q000666</t>
        </is>
      </c>
      <c r="D671" t="inlineStr">
        <is>
          <t>charge</t>
        </is>
      </c>
      <c r="E671" s="5" t="n">
        <v>46233</v>
      </c>
      <c r="F671" s="9" t="n">
        <v>120</v>
      </c>
      <c r="G671" s="9" t="n">
        <v>2.4</v>
      </c>
      <c r="H671" s="9" t="n">
        <v>117.6</v>
      </c>
      <c r="I671" t="inlineStr">
        <is>
          <t>INV/2026/04291</t>
        </is>
      </c>
      <c r="J671" s="9">
        <f>ROUND(F671-G671-H671,2)</f>
        <v>0</v>
      </c>
    </row>
    <row r="672">
      <c r="A672" t="inlineStr">
        <is>
          <t>po_1Q0024KX</t>
        </is>
      </c>
      <c r="B672" s="5" t="n">
        <v>46237</v>
      </c>
      <c r="C672" t="inlineStr">
        <is>
          <t>ch_3Q000667</t>
        </is>
      </c>
      <c r="D672" t="inlineStr">
        <is>
          <t>charge</t>
        </is>
      </c>
      <c r="E672" s="5" t="n">
        <v>46233</v>
      </c>
      <c r="F672" s="9" t="n">
        <v>150</v>
      </c>
      <c r="G672" s="9" t="n">
        <v>2.93</v>
      </c>
      <c r="H672" s="9" t="n">
        <v>147.07</v>
      </c>
      <c r="I672" t="inlineStr">
        <is>
          <t>INV/2026/04292</t>
        </is>
      </c>
      <c r="J672" s="9">
        <f>ROUND(F672-G672-H672,2)</f>
        <v>0</v>
      </c>
    </row>
    <row r="673">
      <c r="A673" t="inlineStr">
        <is>
          <t>po_1Q0024KX</t>
        </is>
      </c>
      <c r="B673" s="5" t="n">
        <v>46237</v>
      </c>
      <c r="C673" t="inlineStr">
        <is>
          <t>ch_3Q000668</t>
        </is>
      </c>
      <c r="D673" t="inlineStr">
        <is>
          <t>charge</t>
        </is>
      </c>
      <c r="E673" s="5" t="n">
        <v>46233</v>
      </c>
      <c r="F673" s="9" t="n">
        <v>95</v>
      </c>
      <c r="G673" s="9" t="n">
        <v>1.96</v>
      </c>
      <c r="H673" s="9" t="n">
        <v>93.04000000000001</v>
      </c>
      <c r="I673" t="inlineStr">
        <is>
          <t>INV/2026/04293</t>
        </is>
      </c>
      <c r="J673" s="9">
        <f>ROUND(F673-G673-H673,2)</f>
        <v>0</v>
      </c>
    </row>
    <row r="674">
      <c r="A674" t="inlineStr">
        <is>
          <t>po_1Q0025KX</t>
        </is>
      </c>
      <c r="B674" s="5" t="n">
        <v>46238</v>
      </c>
      <c r="C674" t="inlineStr">
        <is>
          <t>ch_3Q000669</t>
        </is>
      </c>
      <c r="D674" t="inlineStr">
        <is>
          <t>charge</t>
        </is>
      </c>
      <c r="E674" s="5" t="n">
        <v>46234</v>
      </c>
      <c r="F674" s="9" t="n">
        <v>150</v>
      </c>
      <c r="G674" s="9" t="n">
        <v>2.93</v>
      </c>
      <c r="H674" s="9" t="n">
        <v>147.07</v>
      </c>
      <c r="I674" t="inlineStr">
        <is>
          <t>INV/2026/04294</t>
        </is>
      </c>
      <c r="J674" s="9">
        <f>ROUND(F674-G674-H674,2)</f>
        <v>0</v>
      </c>
    </row>
    <row r="675">
      <c r="A675" t="inlineStr">
        <is>
          <t>po_1Q0025KX</t>
        </is>
      </c>
      <c r="B675" s="5" t="n">
        <v>46238</v>
      </c>
      <c r="C675" t="inlineStr">
        <is>
          <t>ch_3Q000670</t>
        </is>
      </c>
      <c r="D675" t="inlineStr">
        <is>
          <t>charge</t>
        </is>
      </c>
      <c r="E675" s="5" t="n">
        <v>46234</v>
      </c>
      <c r="F675" s="9" t="n">
        <v>95</v>
      </c>
      <c r="G675" s="9" t="n">
        <v>1.96</v>
      </c>
      <c r="H675" s="9" t="n">
        <v>93.04000000000001</v>
      </c>
      <c r="I675" t="inlineStr">
        <is>
          <t>INV/2026/04295</t>
        </is>
      </c>
      <c r="J675" s="9">
        <f>ROUND(F675-G675-H675,2)</f>
        <v>0</v>
      </c>
    </row>
    <row r="676">
      <c r="A676" t="inlineStr">
        <is>
          <t>po_1Q0025KX</t>
        </is>
      </c>
      <c r="B676" s="5" t="n">
        <v>46238</v>
      </c>
      <c r="C676" t="inlineStr">
        <is>
          <t>ch_3Q000671</t>
        </is>
      </c>
      <c r="D676" t="inlineStr">
        <is>
          <t>charge</t>
        </is>
      </c>
      <c r="E676" s="5" t="n">
        <v>46234</v>
      </c>
      <c r="F676" s="9" t="n">
        <v>135</v>
      </c>
      <c r="G676" s="9" t="n">
        <v>2.66</v>
      </c>
      <c r="H676" s="9" t="n">
        <v>132.34</v>
      </c>
      <c r="I676" t="inlineStr">
        <is>
          <t>INV/2026/04296</t>
        </is>
      </c>
      <c r="J676" s="9">
        <f>ROUND(F676-G676-H676,2)</f>
        <v>0</v>
      </c>
    </row>
    <row r="677">
      <c r="A677" t="inlineStr">
        <is>
          <t>po_1Q0025KX</t>
        </is>
      </c>
      <c r="B677" s="5" t="n">
        <v>46238</v>
      </c>
      <c r="C677" t="inlineStr">
        <is>
          <t>ch_3Q000672</t>
        </is>
      </c>
      <c r="D677" t="inlineStr">
        <is>
          <t>charge</t>
        </is>
      </c>
      <c r="E677" s="5" t="n">
        <v>46234</v>
      </c>
      <c r="F677" s="9" t="n">
        <v>135</v>
      </c>
      <c r="G677" s="9" t="n">
        <v>2.66</v>
      </c>
      <c r="H677" s="9" t="n">
        <v>132.34</v>
      </c>
      <c r="I677" t="inlineStr">
        <is>
          <t>INV/2026/04297</t>
        </is>
      </c>
      <c r="J677" s="9">
        <f>ROUND(F677-G677-H677,2)</f>
        <v>0</v>
      </c>
    </row>
    <row r="678">
      <c r="A678" t="inlineStr">
        <is>
          <t>po_1Q0025KX</t>
        </is>
      </c>
      <c r="B678" s="5" t="n">
        <v>46238</v>
      </c>
      <c r="C678" t="inlineStr">
        <is>
          <t>ch_3Q000673</t>
        </is>
      </c>
      <c r="D678" t="inlineStr">
        <is>
          <t>charge</t>
        </is>
      </c>
      <c r="E678" s="5" t="n">
        <v>46234</v>
      </c>
      <c r="F678" s="9" t="n">
        <v>220</v>
      </c>
      <c r="G678" s="9" t="n">
        <v>4.15</v>
      </c>
      <c r="H678" s="9" t="n">
        <v>215.85</v>
      </c>
      <c r="I678" t="inlineStr">
        <is>
          <t>INV/2026/04298</t>
        </is>
      </c>
      <c r="J678" s="9">
        <f>ROUND(F678-G678-H678,2)</f>
        <v>0</v>
      </c>
    </row>
    <row r="679">
      <c r="A679" t="inlineStr">
        <is>
          <t>po_1Q0025KX</t>
        </is>
      </c>
      <c r="B679" s="5" t="n">
        <v>46238</v>
      </c>
      <c r="C679" t="inlineStr">
        <is>
          <t>ch_3Q000674</t>
        </is>
      </c>
      <c r="D679" t="inlineStr">
        <is>
          <t>charge</t>
        </is>
      </c>
      <c r="E679" s="5" t="n">
        <v>46234</v>
      </c>
      <c r="F679" s="9" t="n">
        <v>110</v>
      </c>
      <c r="G679" s="9" t="n">
        <v>2.23</v>
      </c>
      <c r="H679" s="9" t="n">
        <v>107.77</v>
      </c>
      <c r="I679" t="inlineStr">
        <is>
          <t>INV/2026/04299</t>
        </is>
      </c>
      <c r="J679" s="9">
        <f>ROUND(F679-G679-H679,2)</f>
        <v>0</v>
      </c>
    </row>
    <row r="680">
      <c r="A680" t="inlineStr">
        <is>
          <t>po_1Q0025KX</t>
        </is>
      </c>
      <c r="B680" s="5" t="n">
        <v>46238</v>
      </c>
      <c r="C680" t="inlineStr">
        <is>
          <t>ch_3Q000675</t>
        </is>
      </c>
      <c r="D680" t="inlineStr">
        <is>
          <t>charge</t>
        </is>
      </c>
      <c r="E680" s="5" t="n">
        <v>46234</v>
      </c>
      <c r="F680" s="9" t="n">
        <v>150</v>
      </c>
      <c r="G680" s="9" t="n">
        <v>2.93</v>
      </c>
      <c r="H680" s="9" t="n">
        <v>147.07</v>
      </c>
      <c r="I680" t="inlineStr">
        <is>
          <t>INV/2026/04300</t>
        </is>
      </c>
      <c r="J680" s="9">
        <f>ROUND(F680-G680-H680,2)</f>
        <v>0</v>
      </c>
    </row>
    <row r="681">
      <c r="A681" t="inlineStr">
        <is>
          <t>po_1Q0025KX</t>
        </is>
      </c>
      <c r="B681" s="5" t="n">
        <v>46238</v>
      </c>
      <c r="C681" t="inlineStr">
        <is>
          <t>ch_3Q000676</t>
        </is>
      </c>
      <c r="D681" t="inlineStr">
        <is>
          <t>charge</t>
        </is>
      </c>
      <c r="E681" s="5" t="n">
        <v>46234</v>
      </c>
      <c r="F681" s="9" t="n">
        <v>110</v>
      </c>
      <c r="G681" s="9" t="n">
        <v>2.23</v>
      </c>
      <c r="H681" s="9" t="n">
        <v>107.77</v>
      </c>
      <c r="I681" t="inlineStr">
        <is>
          <t>INV/2026/04301</t>
        </is>
      </c>
      <c r="J681" s="9">
        <f>ROUND(F681-G681-H681,2)</f>
        <v>0</v>
      </c>
    </row>
    <row r="682">
      <c r="A682" t="inlineStr">
        <is>
          <t>po_1Q0025KX</t>
        </is>
      </c>
      <c r="B682" s="5" t="n">
        <v>46238</v>
      </c>
      <c r="C682" t="inlineStr">
        <is>
          <t>ch_3Q000677</t>
        </is>
      </c>
      <c r="D682" t="inlineStr">
        <is>
          <t>charge</t>
        </is>
      </c>
      <c r="E682" s="5" t="n">
        <v>46234</v>
      </c>
      <c r="F682" s="9" t="n">
        <v>120</v>
      </c>
      <c r="G682" s="9" t="n">
        <v>2.4</v>
      </c>
      <c r="H682" s="9" t="n">
        <v>117.6</v>
      </c>
      <c r="I682" t="inlineStr">
        <is>
          <t>INV/2026/04302</t>
        </is>
      </c>
      <c r="J682" s="9">
        <f>ROUND(F682-G682-H682,2)</f>
        <v>0</v>
      </c>
    </row>
    <row r="683">
      <c r="A683" t="inlineStr">
        <is>
          <t>po_1Q0025KX</t>
        </is>
      </c>
      <c r="B683" s="5" t="n">
        <v>46238</v>
      </c>
      <c r="C683" t="inlineStr">
        <is>
          <t>ch_3Q000678</t>
        </is>
      </c>
      <c r="D683" t="inlineStr">
        <is>
          <t>charge</t>
        </is>
      </c>
      <c r="E683" s="5" t="n">
        <v>46234</v>
      </c>
      <c r="F683" s="9" t="n">
        <v>85</v>
      </c>
      <c r="G683" s="9" t="n">
        <v>1.79</v>
      </c>
      <c r="H683" s="9" t="n">
        <v>83.20999999999999</v>
      </c>
      <c r="I683" t="inlineStr">
        <is>
          <t>INV/2026/04303</t>
        </is>
      </c>
      <c r="J683" s="9">
        <f>ROUND(F683-G683-H683,2)</f>
        <v>0</v>
      </c>
    </row>
    <row r="684">
      <c r="A684" t="inlineStr">
        <is>
          <t>po_1Q0025KX</t>
        </is>
      </c>
      <c r="B684" s="5" t="n">
        <v>46238</v>
      </c>
      <c r="C684" t="inlineStr">
        <is>
          <t>ch_3Q000679</t>
        </is>
      </c>
      <c r="D684" t="inlineStr">
        <is>
          <t>charge</t>
        </is>
      </c>
      <c r="E684" s="5" t="n">
        <v>46234</v>
      </c>
      <c r="F684" s="9" t="n">
        <v>85</v>
      </c>
      <c r="G684" s="9" t="n">
        <v>1.79</v>
      </c>
      <c r="H684" s="9" t="n">
        <v>83.20999999999999</v>
      </c>
      <c r="I684" t="inlineStr">
        <is>
          <t>INV/2026/04304</t>
        </is>
      </c>
      <c r="J684" s="9">
        <f>ROUND(F684-G684-H684,2)</f>
        <v>0</v>
      </c>
    </row>
    <row r="685">
      <c r="A685" t="inlineStr">
        <is>
          <t>po_1Q0025KX</t>
        </is>
      </c>
      <c r="B685" s="5" t="n">
        <v>46238</v>
      </c>
      <c r="C685" t="inlineStr">
        <is>
          <t>ch_3Q000680</t>
        </is>
      </c>
      <c r="D685" t="inlineStr">
        <is>
          <t>charge</t>
        </is>
      </c>
      <c r="E685" s="5" t="n">
        <v>46234</v>
      </c>
      <c r="F685" s="9" t="n">
        <v>180</v>
      </c>
      <c r="G685" s="9" t="n">
        <v>3.45</v>
      </c>
      <c r="H685" s="9" t="n">
        <v>176.55</v>
      </c>
      <c r="I685" t="inlineStr">
        <is>
          <t>INV/2026/04305</t>
        </is>
      </c>
      <c r="J685" s="9">
        <f>ROUND(F685-G685-H685,2)</f>
        <v>0</v>
      </c>
    </row>
    <row r="686">
      <c r="A686" t="inlineStr">
        <is>
          <t>po_1Q0025KX</t>
        </is>
      </c>
      <c r="B686" s="5" t="n">
        <v>46238</v>
      </c>
      <c r="C686" t="inlineStr">
        <is>
          <t>ch_3Q000681</t>
        </is>
      </c>
      <c r="D686" t="inlineStr">
        <is>
          <t>charge</t>
        </is>
      </c>
      <c r="E686" s="5" t="n">
        <v>46234</v>
      </c>
      <c r="F686" s="9" t="n">
        <v>150</v>
      </c>
      <c r="G686" s="9" t="n">
        <v>2.93</v>
      </c>
      <c r="H686" s="9" t="n">
        <v>147.07</v>
      </c>
      <c r="I686" t="inlineStr">
        <is>
          <t>INV/2026/04306</t>
        </is>
      </c>
      <c r="J686" s="9">
        <f>ROUND(F686-G686-H686,2)</f>
        <v>0</v>
      </c>
    </row>
    <row r="687">
      <c r="A687" t="inlineStr">
        <is>
          <t>po_1Q0025KX</t>
        </is>
      </c>
      <c r="B687" s="5" t="n">
        <v>46238</v>
      </c>
      <c r="C687" t="inlineStr">
        <is>
          <t>ch_3Q000682</t>
        </is>
      </c>
      <c r="D687" t="inlineStr">
        <is>
          <t>charge</t>
        </is>
      </c>
      <c r="E687" s="5" t="n">
        <v>46234</v>
      </c>
      <c r="F687" s="9" t="n">
        <v>65</v>
      </c>
      <c r="G687" s="9" t="n">
        <v>1.44</v>
      </c>
      <c r="H687" s="9" t="n">
        <v>63.56</v>
      </c>
      <c r="I687" t="inlineStr">
        <is>
          <t>INV/2026/04307</t>
        </is>
      </c>
      <c r="J687" s="9">
        <f>ROUND(F687-G687-H687,2)</f>
        <v>0</v>
      </c>
    </row>
    <row r="688">
      <c r="A688" t="inlineStr">
        <is>
          <t>po_1Q0025KX</t>
        </is>
      </c>
      <c r="B688" s="5" t="n">
        <v>46238</v>
      </c>
      <c r="C688" t="inlineStr">
        <is>
          <t>ch_3Q000683</t>
        </is>
      </c>
      <c r="D688" t="inlineStr">
        <is>
          <t>charge</t>
        </is>
      </c>
      <c r="E688" s="5" t="n">
        <v>46234</v>
      </c>
      <c r="F688" s="9" t="n">
        <v>180</v>
      </c>
      <c r="G688" s="9" t="n">
        <v>3.45</v>
      </c>
      <c r="H688" s="9" t="n">
        <v>176.55</v>
      </c>
      <c r="I688" t="inlineStr">
        <is>
          <t>INV/2026/04308</t>
        </is>
      </c>
      <c r="J688" s="9">
        <f>ROUND(F688-G688-H688,2)</f>
        <v>0</v>
      </c>
    </row>
    <row r="689">
      <c r="A689" t="inlineStr">
        <is>
          <t>po_1Q0025KX</t>
        </is>
      </c>
      <c r="B689" s="5" t="n">
        <v>46238</v>
      </c>
      <c r="C689" t="inlineStr">
        <is>
          <t>ch_3Q000684</t>
        </is>
      </c>
      <c r="D689" t="inlineStr">
        <is>
          <t>charge</t>
        </is>
      </c>
      <c r="E689" s="5" t="n">
        <v>46234</v>
      </c>
      <c r="F689" s="9" t="n">
        <v>120</v>
      </c>
      <c r="G689" s="9" t="n">
        <v>2.4</v>
      </c>
      <c r="H689" s="9" t="n">
        <v>117.6</v>
      </c>
      <c r="I689" t="inlineStr">
        <is>
          <t>INV/2026/04309</t>
        </is>
      </c>
      <c r="J689" s="9">
        <f>ROUND(F689-G689-H689,2)</f>
        <v>0</v>
      </c>
    </row>
    <row r="690">
      <c r="A690" t="inlineStr">
        <is>
          <t>po_1Q0025KX</t>
        </is>
      </c>
      <c r="B690" s="5" t="n">
        <v>46238</v>
      </c>
      <c r="C690" t="inlineStr">
        <is>
          <t>ch_3Q000685</t>
        </is>
      </c>
      <c r="D690" t="inlineStr">
        <is>
          <t>charge</t>
        </is>
      </c>
      <c r="E690" s="5" t="n">
        <v>46234</v>
      </c>
      <c r="F690" s="9" t="n">
        <v>65</v>
      </c>
      <c r="G690" s="9" t="n">
        <v>1.44</v>
      </c>
      <c r="H690" s="9" t="n">
        <v>63.56</v>
      </c>
      <c r="I690" t="inlineStr">
        <is>
          <t>INV/2026/04310</t>
        </is>
      </c>
      <c r="J690" s="9">
        <f>ROUND(F690-G690-H690,2)</f>
        <v>0</v>
      </c>
    </row>
    <row r="691">
      <c r="A691" t="inlineStr">
        <is>
          <t>po_1Q0025KX</t>
        </is>
      </c>
      <c r="B691" s="5" t="n">
        <v>46238</v>
      </c>
      <c r="C691" t="inlineStr">
        <is>
          <t>ch_3Q000686</t>
        </is>
      </c>
      <c r="D691" t="inlineStr">
        <is>
          <t>charge</t>
        </is>
      </c>
      <c r="E691" s="5" t="n">
        <v>46234</v>
      </c>
      <c r="F691" s="9" t="n">
        <v>150</v>
      </c>
      <c r="G691" s="9" t="n">
        <v>2.93</v>
      </c>
      <c r="H691" s="9" t="n">
        <v>147.07</v>
      </c>
      <c r="I691" t="inlineStr">
        <is>
          <t>INV/2026/04311</t>
        </is>
      </c>
      <c r="J691" s="9">
        <f>ROUND(F691-G691-H691,2)</f>
        <v>0</v>
      </c>
    </row>
    <row r="692">
      <c r="A692" t="inlineStr">
        <is>
          <t>po_1Q0025KX</t>
        </is>
      </c>
      <c r="B692" s="5" t="n">
        <v>46238</v>
      </c>
      <c r="C692" t="inlineStr">
        <is>
          <t>ch_3Q000687</t>
        </is>
      </c>
      <c r="D692" t="inlineStr">
        <is>
          <t>charge</t>
        </is>
      </c>
      <c r="E692" s="5" t="n">
        <v>46235</v>
      </c>
      <c r="F692" s="9" t="n">
        <v>85</v>
      </c>
      <c r="G692" s="9" t="n">
        <v>1.79</v>
      </c>
      <c r="H692" s="9" t="n">
        <v>83.20999999999999</v>
      </c>
      <c r="I692" t="inlineStr">
        <is>
          <t>INV/2026/04312</t>
        </is>
      </c>
      <c r="J692" s="9">
        <f>ROUND(F692-G692-H692,2)</f>
        <v>0</v>
      </c>
    </row>
    <row r="693">
      <c r="A693" t="inlineStr">
        <is>
          <t>po_1Q0025KX</t>
        </is>
      </c>
      <c r="B693" s="5" t="n">
        <v>46238</v>
      </c>
      <c r="C693" t="inlineStr">
        <is>
          <t>ch_3Q000688</t>
        </is>
      </c>
      <c r="D693" t="inlineStr">
        <is>
          <t>charge</t>
        </is>
      </c>
      <c r="E693" s="5" t="n">
        <v>46235</v>
      </c>
      <c r="F693" s="9" t="n">
        <v>180</v>
      </c>
      <c r="G693" s="9" t="n">
        <v>3.45</v>
      </c>
      <c r="H693" s="9" t="n">
        <v>176.55</v>
      </c>
      <c r="I693" t="inlineStr">
        <is>
          <t>INV/2026/04313</t>
        </is>
      </c>
      <c r="J693" s="9">
        <f>ROUND(F693-G693-H693,2)</f>
        <v>0</v>
      </c>
    </row>
    <row r="694">
      <c r="A694" t="inlineStr">
        <is>
          <t>po_1Q0025KX</t>
        </is>
      </c>
      <c r="B694" s="5" t="n">
        <v>46238</v>
      </c>
      <c r="C694" t="inlineStr">
        <is>
          <t>ch_3Q000689</t>
        </is>
      </c>
      <c r="D694" t="inlineStr">
        <is>
          <t>charge</t>
        </is>
      </c>
      <c r="E694" s="5" t="n">
        <v>46235</v>
      </c>
      <c r="F694" s="9" t="n">
        <v>180</v>
      </c>
      <c r="G694" s="9" t="n">
        <v>3.45</v>
      </c>
      <c r="H694" s="9" t="n">
        <v>176.55</v>
      </c>
      <c r="I694" t="inlineStr">
        <is>
          <t>INV/2026/04314</t>
        </is>
      </c>
      <c r="J694" s="9">
        <f>ROUND(F694-G694-H694,2)</f>
        <v>0</v>
      </c>
    </row>
    <row r="695">
      <c r="A695" t="inlineStr">
        <is>
          <t>po_1Q0025KX</t>
        </is>
      </c>
      <c r="B695" s="5" t="n">
        <v>46238</v>
      </c>
      <c r="C695" t="inlineStr">
        <is>
          <t>ch_3Q000690</t>
        </is>
      </c>
      <c r="D695" t="inlineStr">
        <is>
          <t>charge</t>
        </is>
      </c>
      <c r="E695" s="5" t="n">
        <v>46235</v>
      </c>
      <c r="F695" s="9" t="n">
        <v>65</v>
      </c>
      <c r="G695" s="9" t="n">
        <v>1.44</v>
      </c>
      <c r="H695" s="9" t="n">
        <v>63.56</v>
      </c>
      <c r="I695" t="inlineStr">
        <is>
          <t>INV/2026/04315</t>
        </is>
      </c>
      <c r="J695" s="9">
        <f>ROUND(F695-G695-H695,2)</f>
        <v>0</v>
      </c>
    </row>
    <row r="696">
      <c r="A696" t="inlineStr">
        <is>
          <t>po_1Q0025KX</t>
        </is>
      </c>
      <c r="B696" s="5" t="n">
        <v>46238</v>
      </c>
      <c r="C696" t="inlineStr">
        <is>
          <t>ch_3Q000691</t>
        </is>
      </c>
      <c r="D696" t="inlineStr">
        <is>
          <t>charge</t>
        </is>
      </c>
      <c r="E696" s="5" t="n">
        <v>46235</v>
      </c>
      <c r="F696" s="9" t="n">
        <v>220</v>
      </c>
      <c r="G696" s="9" t="n">
        <v>4.15</v>
      </c>
      <c r="H696" s="9" t="n">
        <v>215.85</v>
      </c>
      <c r="I696" t="inlineStr">
        <is>
          <t>INV/2026/04316</t>
        </is>
      </c>
      <c r="J696" s="9">
        <f>ROUND(F696-G696-H696,2)</f>
        <v>0</v>
      </c>
    </row>
    <row r="697">
      <c r="A697" t="inlineStr">
        <is>
          <t>po_1Q0025KX</t>
        </is>
      </c>
      <c r="B697" s="5" t="n">
        <v>46238</v>
      </c>
      <c r="C697" t="inlineStr">
        <is>
          <t>ch_3Q000692</t>
        </is>
      </c>
      <c r="D697" t="inlineStr">
        <is>
          <t>charge</t>
        </is>
      </c>
      <c r="E697" s="5" t="n">
        <v>46235</v>
      </c>
      <c r="F697" s="9" t="n">
        <v>150</v>
      </c>
      <c r="G697" s="9" t="n">
        <v>2.93</v>
      </c>
      <c r="H697" s="9" t="n">
        <v>147.07</v>
      </c>
      <c r="I697" t="inlineStr">
        <is>
          <t>INV/2026/04317</t>
        </is>
      </c>
      <c r="J697" s="9">
        <f>ROUND(F697-G697-H697,2)</f>
        <v>0</v>
      </c>
    </row>
    <row r="698">
      <c r="A698" t="inlineStr">
        <is>
          <t>po_1Q0025KX</t>
        </is>
      </c>
      <c r="B698" s="5" t="n">
        <v>46238</v>
      </c>
      <c r="C698" t="inlineStr">
        <is>
          <t>ch_3Q000693</t>
        </is>
      </c>
      <c r="D698" t="inlineStr">
        <is>
          <t>charge</t>
        </is>
      </c>
      <c r="E698" s="5" t="n">
        <v>46235</v>
      </c>
      <c r="F698" s="9" t="n">
        <v>65</v>
      </c>
      <c r="G698" s="9" t="n">
        <v>1.44</v>
      </c>
      <c r="H698" s="9" t="n">
        <v>63.56</v>
      </c>
      <c r="I698" t="inlineStr">
        <is>
          <t>INV/2026/04318</t>
        </is>
      </c>
      <c r="J698" s="9">
        <f>ROUND(F698-G698-H698,2)</f>
        <v>0</v>
      </c>
    </row>
    <row r="699">
      <c r="A699" t="inlineStr">
        <is>
          <t>po_1Q0025KX</t>
        </is>
      </c>
      <c r="B699" s="5" t="n">
        <v>46238</v>
      </c>
      <c r="C699" t="inlineStr">
        <is>
          <t>ch_3Q000694</t>
        </is>
      </c>
      <c r="D699" t="inlineStr">
        <is>
          <t>charge</t>
        </is>
      </c>
      <c r="E699" s="5" t="n">
        <v>46235</v>
      </c>
      <c r="F699" s="9" t="n">
        <v>65</v>
      </c>
      <c r="G699" s="9" t="n">
        <v>1.44</v>
      </c>
      <c r="H699" s="9" t="n">
        <v>63.56</v>
      </c>
      <c r="I699" t="inlineStr">
        <is>
          <t>INV/2026/04319</t>
        </is>
      </c>
      <c r="J699" s="9">
        <f>ROUND(F699-G699-H699,2)</f>
        <v>0</v>
      </c>
    </row>
    <row r="700">
      <c r="A700" t="inlineStr">
        <is>
          <t>po_1Q0025KX</t>
        </is>
      </c>
      <c r="B700" s="5" t="n">
        <v>46238</v>
      </c>
      <c r="C700" t="inlineStr">
        <is>
          <t>ch_3Q000695</t>
        </is>
      </c>
      <c r="D700" t="inlineStr">
        <is>
          <t>charge</t>
        </is>
      </c>
      <c r="E700" s="5" t="n">
        <v>46235</v>
      </c>
      <c r="F700" s="9" t="n">
        <v>120</v>
      </c>
      <c r="G700" s="9" t="n">
        <v>2.4</v>
      </c>
      <c r="H700" s="9" t="n">
        <v>117.6</v>
      </c>
      <c r="I700" t="inlineStr">
        <is>
          <t>INV/2026/04320</t>
        </is>
      </c>
      <c r="J700" s="9">
        <f>ROUND(F700-G700-H700,2)</f>
        <v>0</v>
      </c>
    </row>
    <row r="701">
      <c r="A701" t="inlineStr">
        <is>
          <t>po_1Q0025KX</t>
        </is>
      </c>
      <c r="B701" s="5" t="n">
        <v>46238</v>
      </c>
      <c r="C701" t="inlineStr">
        <is>
          <t>ch_3Q000696</t>
        </is>
      </c>
      <c r="D701" t="inlineStr">
        <is>
          <t>charge</t>
        </is>
      </c>
      <c r="E701" s="5" t="n">
        <v>46235</v>
      </c>
      <c r="F701" s="9" t="n">
        <v>65</v>
      </c>
      <c r="G701" s="9" t="n">
        <v>1.44</v>
      </c>
      <c r="H701" s="9" t="n">
        <v>63.56</v>
      </c>
      <c r="I701" t="inlineStr">
        <is>
          <t>INV/2026/04321</t>
        </is>
      </c>
      <c r="J701" s="9">
        <f>ROUND(F701-G701-H701,2)</f>
        <v>0</v>
      </c>
    </row>
    <row r="702">
      <c r="A702" t="inlineStr">
        <is>
          <t>po_1Q0026KX</t>
        </is>
      </c>
      <c r="B702" s="5" t="n">
        <v>46239</v>
      </c>
      <c r="C702" t="inlineStr">
        <is>
          <t>ch_3Q000697</t>
        </is>
      </c>
      <c r="D702" t="inlineStr">
        <is>
          <t>charge</t>
        </is>
      </c>
      <c r="E702" s="5" t="n">
        <v>46237</v>
      </c>
      <c r="F702" s="9" t="n">
        <v>180</v>
      </c>
      <c r="G702" s="9" t="n">
        <v>3.45</v>
      </c>
      <c r="H702" s="9" t="n">
        <v>176.55</v>
      </c>
      <c r="I702" t="inlineStr">
        <is>
          <t>INV/2026/04322</t>
        </is>
      </c>
      <c r="J702" s="9">
        <f>ROUND(F702-G702-H702,2)</f>
        <v>0</v>
      </c>
    </row>
    <row r="703">
      <c r="A703" t="inlineStr">
        <is>
          <t>po_1Q0026KX</t>
        </is>
      </c>
      <c r="B703" s="5" t="n">
        <v>46239</v>
      </c>
      <c r="C703" t="inlineStr">
        <is>
          <t>ch_3Q000698</t>
        </is>
      </c>
      <c r="D703" t="inlineStr">
        <is>
          <t>charge</t>
        </is>
      </c>
      <c r="E703" s="5" t="n">
        <v>46237</v>
      </c>
      <c r="F703" s="9" t="n">
        <v>120</v>
      </c>
      <c r="G703" s="9" t="n">
        <v>2.4</v>
      </c>
      <c r="H703" s="9" t="n">
        <v>117.6</v>
      </c>
      <c r="I703" t="inlineStr">
        <is>
          <t>INV/2026/04323</t>
        </is>
      </c>
      <c r="J703" s="9">
        <f>ROUND(F703-G703-H703,2)</f>
        <v>0</v>
      </c>
    </row>
    <row r="704">
      <c r="A704" t="inlineStr">
        <is>
          <t>po_1Q0026KX</t>
        </is>
      </c>
      <c r="B704" s="5" t="n">
        <v>46239</v>
      </c>
      <c r="C704" t="inlineStr">
        <is>
          <t>ch_3Q000699</t>
        </is>
      </c>
      <c r="D704" t="inlineStr">
        <is>
          <t>charge</t>
        </is>
      </c>
      <c r="E704" s="5" t="n">
        <v>46237</v>
      </c>
      <c r="F704" s="9" t="n">
        <v>120</v>
      </c>
      <c r="G704" s="9" t="n">
        <v>2.4</v>
      </c>
      <c r="H704" s="9" t="n">
        <v>117.6</v>
      </c>
      <c r="I704" t="inlineStr">
        <is>
          <t>INV/2026/04324</t>
        </is>
      </c>
      <c r="J704" s="9">
        <f>ROUND(F704-G704-H704,2)</f>
        <v>0</v>
      </c>
    </row>
    <row r="705">
      <c r="A705" t="inlineStr">
        <is>
          <t>po_1Q0026KX</t>
        </is>
      </c>
      <c r="B705" s="5" t="n">
        <v>46239</v>
      </c>
      <c r="C705" t="inlineStr">
        <is>
          <t>ch_3Q000700</t>
        </is>
      </c>
      <c r="D705" t="inlineStr">
        <is>
          <t>charge</t>
        </is>
      </c>
      <c r="E705" s="5" t="n">
        <v>46237</v>
      </c>
      <c r="F705" s="9" t="n">
        <v>135</v>
      </c>
      <c r="G705" s="9" t="n">
        <v>2.66</v>
      </c>
      <c r="H705" s="9" t="n">
        <v>132.34</v>
      </c>
      <c r="I705" t="inlineStr">
        <is>
          <t>INV/2026/04325</t>
        </is>
      </c>
      <c r="J705" s="9">
        <f>ROUND(F705-G705-H705,2)</f>
        <v>0</v>
      </c>
    </row>
    <row r="706">
      <c r="A706" t="inlineStr">
        <is>
          <t>po_1Q0026KX</t>
        </is>
      </c>
      <c r="B706" s="5" t="n">
        <v>46239</v>
      </c>
      <c r="C706" t="inlineStr">
        <is>
          <t>ch_3Q000701</t>
        </is>
      </c>
      <c r="D706" t="inlineStr">
        <is>
          <t>charge</t>
        </is>
      </c>
      <c r="E706" s="5" t="n">
        <v>46237</v>
      </c>
      <c r="F706" s="9" t="n">
        <v>85</v>
      </c>
      <c r="G706" s="9" t="n">
        <v>1.79</v>
      </c>
      <c r="H706" s="9" t="n">
        <v>83.20999999999999</v>
      </c>
      <c r="I706" t="inlineStr">
        <is>
          <t>INV/2026/04326</t>
        </is>
      </c>
      <c r="J706" s="9">
        <f>ROUND(F706-G706-H706,2)</f>
        <v>0</v>
      </c>
    </row>
    <row r="707">
      <c r="A707" t="inlineStr">
        <is>
          <t>po_1Q0026KX</t>
        </is>
      </c>
      <c r="B707" s="5" t="n">
        <v>46239</v>
      </c>
      <c r="C707" t="inlineStr">
        <is>
          <t>ch_3Q000702</t>
        </is>
      </c>
      <c r="D707" t="inlineStr">
        <is>
          <t>charge</t>
        </is>
      </c>
      <c r="E707" s="5" t="n">
        <v>46237</v>
      </c>
      <c r="F707" s="9" t="n">
        <v>150</v>
      </c>
      <c r="G707" s="9" t="n">
        <v>2.93</v>
      </c>
      <c r="H707" s="9" t="n">
        <v>147.07</v>
      </c>
      <c r="I707" t="inlineStr">
        <is>
          <t>INV/2026/04327</t>
        </is>
      </c>
      <c r="J707" s="9">
        <f>ROUND(F707-G707-H707,2)</f>
        <v>0</v>
      </c>
    </row>
    <row r="708">
      <c r="A708" t="inlineStr">
        <is>
          <t>po_1Q0026KX</t>
        </is>
      </c>
      <c r="B708" s="5" t="n">
        <v>46239</v>
      </c>
      <c r="C708" t="inlineStr">
        <is>
          <t>ch_3Q000703</t>
        </is>
      </c>
      <c r="D708" t="inlineStr">
        <is>
          <t>charge</t>
        </is>
      </c>
      <c r="E708" s="5" t="n">
        <v>46237</v>
      </c>
      <c r="F708" s="9" t="n">
        <v>220</v>
      </c>
      <c r="G708" s="9" t="n">
        <v>4.15</v>
      </c>
      <c r="H708" s="9" t="n">
        <v>215.85</v>
      </c>
      <c r="I708" t="inlineStr">
        <is>
          <t>INV/2026/04328</t>
        </is>
      </c>
      <c r="J708" s="9">
        <f>ROUND(F708-G708-H708,2)</f>
        <v>0</v>
      </c>
    </row>
    <row r="709">
      <c r="A709" t="inlineStr">
        <is>
          <t>po_1Q0026KX</t>
        </is>
      </c>
      <c r="B709" s="5" t="n">
        <v>46239</v>
      </c>
      <c r="C709" t="inlineStr">
        <is>
          <t>ch_3Q000704</t>
        </is>
      </c>
      <c r="D709" t="inlineStr">
        <is>
          <t>charge</t>
        </is>
      </c>
      <c r="E709" s="5" t="n">
        <v>46237</v>
      </c>
      <c r="F709" s="9" t="n">
        <v>95</v>
      </c>
      <c r="G709" s="9" t="n">
        <v>1.96</v>
      </c>
      <c r="H709" s="9" t="n">
        <v>93.04000000000001</v>
      </c>
      <c r="I709" t="inlineStr">
        <is>
          <t>INV/2026/04329</t>
        </is>
      </c>
      <c r="J709" s="9">
        <f>ROUND(F709-G709-H709,2)</f>
        <v>0</v>
      </c>
    </row>
    <row r="710">
      <c r="A710" t="inlineStr">
        <is>
          <t>po_1Q0026KX</t>
        </is>
      </c>
      <c r="B710" s="5" t="n">
        <v>46239</v>
      </c>
      <c r="C710" t="inlineStr">
        <is>
          <t>ch_3Q000705</t>
        </is>
      </c>
      <c r="D710" t="inlineStr">
        <is>
          <t>charge</t>
        </is>
      </c>
      <c r="E710" s="5" t="n">
        <v>46237</v>
      </c>
      <c r="F710" s="9" t="n">
        <v>180</v>
      </c>
      <c r="G710" s="9" t="n">
        <v>3.45</v>
      </c>
      <c r="H710" s="9" t="n">
        <v>176.55</v>
      </c>
      <c r="I710" t="inlineStr">
        <is>
          <t>INV/2026/04330</t>
        </is>
      </c>
      <c r="J710" s="9">
        <f>ROUND(F710-G710-H710,2)</f>
        <v>0</v>
      </c>
    </row>
    <row r="711">
      <c r="A711" t="inlineStr">
        <is>
          <t>po_1Q0026KX</t>
        </is>
      </c>
      <c r="B711" s="5" t="n">
        <v>46239</v>
      </c>
      <c r="C711" t="inlineStr">
        <is>
          <t>ch_3Q000706</t>
        </is>
      </c>
      <c r="D711" t="inlineStr">
        <is>
          <t>charge</t>
        </is>
      </c>
      <c r="E711" s="5" t="n">
        <v>46237</v>
      </c>
      <c r="F711" s="9" t="n">
        <v>95</v>
      </c>
      <c r="G711" s="9" t="n">
        <v>1.96</v>
      </c>
      <c r="H711" s="9" t="n">
        <v>93.04000000000001</v>
      </c>
      <c r="I711" t="inlineStr">
        <is>
          <t>INV/2026/04331</t>
        </is>
      </c>
      <c r="J711" s="9">
        <f>ROUND(F711-G711-H711,2)</f>
        <v>0</v>
      </c>
    </row>
    <row r="712">
      <c r="A712" t="inlineStr">
        <is>
          <t>po_1Q0026KX</t>
        </is>
      </c>
      <c r="B712" s="5" t="n">
        <v>46239</v>
      </c>
      <c r="C712" t="inlineStr">
        <is>
          <t>ch_3Q000707</t>
        </is>
      </c>
      <c r="D712" t="inlineStr">
        <is>
          <t>charge</t>
        </is>
      </c>
      <c r="E712" s="5" t="n">
        <v>46237</v>
      </c>
      <c r="F712" s="9" t="n">
        <v>95</v>
      </c>
      <c r="G712" s="9" t="n">
        <v>1.96</v>
      </c>
      <c r="H712" s="9" t="n">
        <v>93.04000000000001</v>
      </c>
      <c r="I712" t="inlineStr">
        <is>
          <t>INV/2026/04332</t>
        </is>
      </c>
      <c r="J712" s="9">
        <f>ROUND(F712-G712-H712,2)</f>
        <v>0</v>
      </c>
    </row>
    <row r="713">
      <c r="A713" t="inlineStr">
        <is>
          <t>po_1Q0026KX</t>
        </is>
      </c>
      <c r="B713" s="5" t="n">
        <v>46239</v>
      </c>
      <c r="C713" t="inlineStr">
        <is>
          <t>ch_3Q000708</t>
        </is>
      </c>
      <c r="D713" t="inlineStr">
        <is>
          <t>charge</t>
        </is>
      </c>
      <c r="E713" s="5" t="n">
        <v>46237</v>
      </c>
      <c r="F713" s="9" t="n">
        <v>150</v>
      </c>
      <c r="G713" s="9" t="n">
        <v>2.93</v>
      </c>
      <c r="H713" s="9" t="n">
        <v>147.07</v>
      </c>
      <c r="I713" t="inlineStr">
        <is>
          <t>INV/2026/04333</t>
        </is>
      </c>
      <c r="J713" s="9">
        <f>ROUND(F713-G713-H713,2)</f>
        <v>0</v>
      </c>
    </row>
    <row r="714">
      <c r="A714" t="inlineStr">
        <is>
          <t>po_1Q0026KX</t>
        </is>
      </c>
      <c r="B714" s="5" t="n">
        <v>46239</v>
      </c>
      <c r="C714" t="inlineStr">
        <is>
          <t>ch_3Q000709</t>
        </is>
      </c>
      <c r="D714" t="inlineStr">
        <is>
          <t>charge</t>
        </is>
      </c>
      <c r="E714" s="5" t="n">
        <v>46237</v>
      </c>
      <c r="F714" s="9" t="n">
        <v>65</v>
      </c>
      <c r="G714" s="9" t="n">
        <v>1.44</v>
      </c>
      <c r="H714" s="9" t="n">
        <v>63.56</v>
      </c>
      <c r="I714" t="inlineStr">
        <is>
          <t>INV/2026/04334</t>
        </is>
      </c>
      <c r="J714" s="9">
        <f>ROUND(F714-G714-H714,2)</f>
        <v>0</v>
      </c>
    </row>
    <row r="715">
      <c r="A715" t="inlineStr">
        <is>
          <t>po_1Q0026KX</t>
        </is>
      </c>
      <c r="B715" s="5" t="n">
        <v>46239</v>
      </c>
      <c r="C715" t="inlineStr">
        <is>
          <t>ch_3Q000710</t>
        </is>
      </c>
      <c r="D715" t="inlineStr">
        <is>
          <t>charge</t>
        </is>
      </c>
      <c r="E715" s="5" t="n">
        <v>46237</v>
      </c>
      <c r="F715" s="9" t="n">
        <v>85</v>
      </c>
      <c r="G715" s="9" t="n">
        <v>1.79</v>
      </c>
      <c r="H715" s="9" t="n">
        <v>83.20999999999999</v>
      </c>
      <c r="I715" t="inlineStr">
        <is>
          <t>INV/2026/04335</t>
        </is>
      </c>
      <c r="J715" s="9">
        <f>ROUND(F715-G715-H715,2)</f>
        <v>0</v>
      </c>
    </row>
    <row r="716">
      <c r="A716" t="inlineStr">
        <is>
          <t>po_1Q0026KX</t>
        </is>
      </c>
      <c r="B716" s="5" t="n">
        <v>46239</v>
      </c>
      <c r="C716" t="inlineStr">
        <is>
          <t>ch_3Q000711</t>
        </is>
      </c>
      <c r="D716" t="inlineStr">
        <is>
          <t>charge</t>
        </is>
      </c>
      <c r="E716" s="5" t="n">
        <v>46237</v>
      </c>
      <c r="F716" s="9" t="n">
        <v>110</v>
      </c>
      <c r="G716" s="9" t="n">
        <v>2.23</v>
      </c>
      <c r="H716" s="9" t="n">
        <v>107.77</v>
      </c>
      <c r="I716" t="inlineStr">
        <is>
          <t>INV/2026/04336</t>
        </is>
      </c>
      <c r="J716" s="9">
        <f>ROUND(F716-G716-H716,2)</f>
        <v>0</v>
      </c>
    </row>
    <row r="717">
      <c r="A717" t="inlineStr">
        <is>
          <t>po_1Q0026KX</t>
        </is>
      </c>
      <c r="B717" s="5" t="n">
        <v>46239</v>
      </c>
      <c r="C717" t="inlineStr">
        <is>
          <t>ch_3Q000712</t>
        </is>
      </c>
      <c r="D717" t="inlineStr">
        <is>
          <t>charge</t>
        </is>
      </c>
      <c r="E717" s="5" t="n">
        <v>46237</v>
      </c>
      <c r="F717" s="9" t="n">
        <v>220</v>
      </c>
      <c r="G717" s="9" t="n">
        <v>4.15</v>
      </c>
      <c r="H717" s="9" t="n">
        <v>215.85</v>
      </c>
      <c r="I717" t="inlineStr">
        <is>
          <t>INV/2026/04337</t>
        </is>
      </c>
      <c r="J717" s="9">
        <f>ROUND(F717-G717-H717,2)</f>
        <v>0</v>
      </c>
    </row>
    <row r="718">
      <c r="A718" t="inlineStr">
        <is>
          <t>po_1Q0026KX</t>
        </is>
      </c>
      <c r="B718" s="5" t="n">
        <v>46239</v>
      </c>
      <c r="C718" t="inlineStr">
        <is>
          <t>ch_3Q000713</t>
        </is>
      </c>
      <c r="D718" t="inlineStr">
        <is>
          <t>charge</t>
        </is>
      </c>
      <c r="E718" s="5" t="n">
        <v>46237</v>
      </c>
      <c r="F718" s="9" t="n">
        <v>85</v>
      </c>
      <c r="G718" s="9" t="n">
        <v>1.79</v>
      </c>
      <c r="H718" s="9" t="n">
        <v>83.20999999999999</v>
      </c>
      <c r="I718" t="inlineStr">
        <is>
          <t>INV/2026/04338</t>
        </is>
      </c>
      <c r="J718" s="9">
        <f>ROUND(F718-G718-H718,2)</f>
        <v>0</v>
      </c>
    </row>
    <row r="719">
      <c r="A719" t="inlineStr">
        <is>
          <t>po_1Q0026KX</t>
        </is>
      </c>
      <c r="B719" s="5" t="n">
        <v>46239</v>
      </c>
      <c r="C719" t="inlineStr">
        <is>
          <t>ch_3Q000714</t>
        </is>
      </c>
      <c r="D719" t="inlineStr">
        <is>
          <t>charge</t>
        </is>
      </c>
      <c r="E719" s="5" t="n">
        <v>46237</v>
      </c>
      <c r="F719" s="9" t="n">
        <v>220</v>
      </c>
      <c r="G719" s="9" t="n">
        <v>4.15</v>
      </c>
      <c r="H719" s="9" t="n">
        <v>215.85</v>
      </c>
      <c r="I719" t="inlineStr">
        <is>
          <t>INV/2026/04339</t>
        </is>
      </c>
      <c r="J719" s="9">
        <f>ROUND(F719-G719-H719,2)</f>
        <v>0</v>
      </c>
    </row>
    <row r="720">
      <c r="A720" t="inlineStr">
        <is>
          <t>po_1Q0026KX</t>
        </is>
      </c>
      <c r="B720" s="5" t="n">
        <v>46239</v>
      </c>
      <c r="C720" t="inlineStr">
        <is>
          <t>ch_3Q000715</t>
        </is>
      </c>
      <c r="D720" t="inlineStr">
        <is>
          <t>charge</t>
        </is>
      </c>
      <c r="E720" s="5" t="n">
        <v>46237</v>
      </c>
      <c r="F720" s="9" t="n">
        <v>120</v>
      </c>
      <c r="G720" s="9" t="n">
        <v>2.4</v>
      </c>
      <c r="H720" s="9" t="n">
        <v>117.6</v>
      </c>
      <c r="I720" t="inlineStr">
        <is>
          <t>INV/2026/04340</t>
        </is>
      </c>
      <c r="J720" s="9">
        <f>ROUND(F720-G720-H720,2)</f>
        <v>0</v>
      </c>
    </row>
    <row r="721">
      <c r="A721" t="inlineStr">
        <is>
          <t>po_1Q0026KX</t>
        </is>
      </c>
      <c r="B721" s="5" t="n">
        <v>46239</v>
      </c>
      <c r="C721" t="inlineStr">
        <is>
          <t>ch_3Q000716</t>
        </is>
      </c>
      <c r="D721" t="inlineStr">
        <is>
          <t>charge</t>
        </is>
      </c>
      <c r="E721" s="5" t="n">
        <v>46237</v>
      </c>
      <c r="F721" s="9" t="n">
        <v>120</v>
      </c>
      <c r="G721" s="9" t="n">
        <v>2.4</v>
      </c>
      <c r="H721" s="9" t="n">
        <v>117.6</v>
      </c>
      <c r="I721" t="inlineStr">
        <is>
          <t>INV/2026/04341</t>
        </is>
      </c>
      <c r="J721" s="9">
        <f>ROUND(F721-G721-H721,2)</f>
        <v>0</v>
      </c>
    </row>
    <row r="722">
      <c r="A722" t="inlineStr">
        <is>
          <t>po_1Q0026KX</t>
        </is>
      </c>
      <c r="B722" s="5" t="n">
        <v>46239</v>
      </c>
      <c r="C722" t="inlineStr">
        <is>
          <t>ch_3Q000717</t>
        </is>
      </c>
      <c r="D722" t="inlineStr">
        <is>
          <t>charge</t>
        </is>
      </c>
      <c r="E722" s="5" t="n">
        <v>46237</v>
      </c>
      <c r="F722" s="9" t="n">
        <v>95</v>
      </c>
      <c r="G722" s="9" t="n">
        <v>1.96</v>
      </c>
      <c r="H722" s="9" t="n">
        <v>93.04000000000001</v>
      </c>
      <c r="I722" t="inlineStr">
        <is>
          <t>INV/2026/04342</t>
        </is>
      </c>
      <c r="J722" s="9">
        <f>ROUND(F722-G722-H722,2)</f>
        <v>0</v>
      </c>
    </row>
    <row r="723">
      <c r="A723" t="inlineStr">
        <is>
          <t>po_1Q0026KX</t>
        </is>
      </c>
      <c r="B723" s="5" t="n">
        <v>46239</v>
      </c>
      <c r="C723" t="inlineStr">
        <is>
          <t>ch_3Q000718</t>
        </is>
      </c>
      <c r="D723" t="inlineStr">
        <is>
          <t>charge</t>
        </is>
      </c>
      <c r="E723" s="5" t="n">
        <v>46237</v>
      </c>
      <c r="F723" s="9" t="n">
        <v>180</v>
      </c>
      <c r="G723" s="9" t="n">
        <v>3.45</v>
      </c>
      <c r="H723" s="9" t="n">
        <v>176.55</v>
      </c>
      <c r="I723" t="inlineStr">
        <is>
          <t>INV/2026/04343</t>
        </is>
      </c>
      <c r="J723" s="9">
        <f>ROUND(F723-G723-H723,2)</f>
        <v>0</v>
      </c>
    </row>
    <row r="724">
      <c r="A724" t="inlineStr">
        <is>
          <t>po_1Q0026KX</t>
        </is>
      </c>
      <c r="B724" s="5" t="n">
        <v>46239</v>
      </c>
      <c r="C724" t="inlineStr">
        <is>
          <t>ch_3Q000719</t>
        </is>
      </c>
      <c r="D724" t="inlineStr">
        <is>
          <t>charge</t>
        </is>
      </c>
      <c r="E724" s="5" t="n">
        <v>46237</v>
      </c>
      <c r="F724" s="9" t="n">
        <v>95</v>
      </c>
      <c r="G724" s="9" t="n">
        <v>1.96</v>
      </c>
      <c r="H724" s="9" t="n">
        <v>93.04000000000001</v>
      </c>
      <c r="I724" t="inlineStr">
        <is>
          <t>INV/2026/04344</t>
        </is>
      </c>
      <c r="J724" s="9">
        <f>ROUND(F724-G724-H724,2)</f>
        <v>0</v>
      </c>
    </row>
    <row r="725">
      <c r="A725" t="inlineStr">
        <is>
          <t>po_1Q0026KX</t>
        </is>
      </c>
      <c r="B725" s="5" t="n">
        <v>46239</v>
      </c>
      <c r="C725" t="inlineStr">
        <is>
          <t>ch_3Q000720</t>
        </is>
      </c>
      <c r="D725" t="inlineStr">
        <is>
          <t>charge</t>
        </is>
      </c>
      <c r="E725" s="5" t="n">
        <v>46237</v>
      </c>
      <c r="F725" s="9" t="n">
        <v>135</v>
      </c>
      <c r="G725" s="9" t="n">
        <v>2.66</v>
      </c>
      <c r="H725" s="9" t="n">
        <v>132.34</v>
      </c>
      <c r="I725" t="inlineStr">
        <is>
          <t>INV/2026/04345</t>
        </is>
      </c>
      <c r="J725" s="9">
        <f>ROUND(F725-G725-H725,2)</f>
        <v>0</v>
      </c>
    </row>
    <row r="726">
      <c r="A726" t="inlineStr">
        <is>
          <t>po_1Q0026KX</t>
        </is>
      </c>
      <c r="B726" s="5" t="n">
        <v>46239</v>
      </c>
      <c r="C726" t="inlineStr">
        <is>
          <t>ch_3Q000721</t>
        </is>
      </c>
      <c r="D726" t="inlineStr">
        <is>
          <t>charge</t>
        </is>
      </c>
      <c r="E726" s="5" t="n">
        <v>46237</v>
      </c>
      <c r="F726" s="9" t="n">
        <v>85</v>
      </c>
      <c r="G726" s="9" t="n">
        <v>1.79</v>
      </c>
      <c r="H726" s="9" t="n">
        <v>83.20999999999999</v>
      </c>
      <c r="I726" t="inlineStr">
        <is>
          <t>INV/2026/04346</t>
        </is>
      </c>
      <c r="J726" s="9">
        <f>ROUND(F726-G726-H726,2)</f>
        <v>0</v>
      </c>
    </row>
    <row r="727">
      <c r="A727" t="inlineStr">
        <is>
          <t>po_1Q0026KX</t>
        </is>
      </c>
      <c r="B727" s="5" t="n">
        <v>46239</v>
      </c>
      <c r="C727" t="inlineStr">
        <is>
          <t>ch_3Q000722</t>
        </is>
      </c>
      <c r="D727" t="inlineStr">
        <is>
          <t>charge</t>
        </is>
      </c>
      <c r="E727" s="5" t="n">
        <v>46237</v>
      </c>
      <c r="F727" s="9" t="n">
        <v>95</v>
      </c>
      <c r="G727" s="9" t="n">
        <v>1.96</v>
      </c>
      <c r="H727" s="9" t="n">
        <v>93.04000000000001</v>
      </c>
      <c r="I727" t="inlineStr">
        <is>
          <t>INV/2026/04347</t>
        </is>
      </c>
      <c r="J727" s="9">
        <f>ROUND(F727-G727-H727,2)</f>
        <v>0</v>
      </c>
    </row>
    <row r="728">
      <c r="A728" t="inlineStr">
        <is>
          <t>po_1Q0026KX</t>
        </is>
      </c>
      <c r="B728" s="5" t="n">
        <v>46239</v>
      </c>
      <c r="C728" t="inlineStr">
        <is>
          <t>ch_3Q000723</t>
        </is>
      </c>
      <c r="D728" t="inlineStr">
        <is>
          <t>charge</t>
        </is>
      </c>
      <c r="E728" s="5" t="n">
        <v>46237</v>
      </c>
      <c r="F728" s="9" t="n">
        <v>220</v>
      </c>
      <c r="G728" s="9" t="n">
        <v>4.15</v>
      </c>
      <c r="H728" s="9" t="n">
        <v>215.85</v>
      </c>
      <c r="I728" t="inlineStr">
        <is>
          <t>INV/2026/04348</t>
        </is>
      </c>
      <c r="J728" s="9">
        <f>ROUND(F728-G728-H728,2)</f>
        <v>0</v>
      </c>
    </row>
    <row r="729">
      <c r="A729" t="inlineStr">
        <is>
          <t>po_1Q0026KX</t>
        </is>
      </c>
      <c r="B729" s="5" t="n">
        <v>46239</v>
      </c>
      <c r="C729" t="inlineStr">
        <is>
          <t>ch_3Q000724</t>
        </is>
      </c>
      <c r="D729" t="inlineStr">
        <is>
          <t>charge</t>
        </is>
      </c>
      <c r="E729" s="5" t="n">
        <v>46237</v>
      </c>
      <c r="F729" s="9" t="n">
        <v>220</v>
      </c>
      <c r="G729" s="9" t="n">
        <v>4.15</v>
      </c>
      <c r="H729" s="9" t="n">
        <v>215.85</v>
      </c>
      <c r="I729" t="inlineStr">
        <is>
          <t>INV/2026/04349</t>
        </is>
      </c>
      <c r="J729" s="9">
        <f>ROUND(F729-G729-H729,2)</f>
        <v>0</v>
      </c>
    </row>
    <row r="730">
      <c r="A730" t="inlineStr">
        <is>
          <t>po_1Q0027KX</t>
        </is>
      </c>
      <c r="B730" s="5" t="n">
        <v>46240</v>
      </c>
      <c r="C730" t="inlineStr">
        <is>
          <t>ch_3Q000725</t>
        </is>
      </c>
      <c r="D730" t="inlineStr">
        <is>
          <t>charge</t>
        </is>
      </c>
      <c r="E730" s="5" t="n">
        <v>46238</v>
      </c>
      <c r="F730" s="9" t="n">
        <v>110</v>
      </c>
      <c r="G730" s="9" t="n">
        <v>2.23</v>
      </c>
      <c r="H730" s="9" t="n">
        <v>107.77</v>
      </c>
      <c r="I730" t="inlineStr">
        <is>
          <t>INV/2026/04350</t>
        </is>
      </c>
      <c r="J730" s="9">
        <f>ROUND(F730-G730-H730,2)</f>
        <v>0</v>
      </c>
    </row>
    <row r="731">
      <c r="A731" t="inlineStr">
        <is>
          <t>po_1Q0027KX</t>
        </is>
      </c>
      <c r="B731" s="5" t="n">
        <v>46240</v>
      </c>
      <c r="C731" t="inlineStr">
        <is>
          <t>ch_3Q000726</t>
        </is>
      </c>
      <c r="D731" t="inlineStr">
        <is>
          <t>charge</t>
        </is>
      </c>
      <c r="E731" s="5" t="n">
        <v>46238</v>
      </c>
      <c r="F731" s="9" t="n">
        <v>135</v>
      </c>
      <c r="G731" s="9" t="n">
        <v>2.66</v>
      </c>
      <c r="H731" s="9" t="n">
        <v>132.34</v>
      </c>
      <c r="I731" t="inlineStr">
        <is>
          <t>INV/2026/04351</t>
        </is>
      </c>
      <c r="J731" s="9">
        <f>ROUND(F731-G731-H731,2)</f>
        <v>0</v>
      </c>
    </row>
    <row r="732">
      <c r="A732" t="inlineStr">
        <is>
          <t>po_1Q0027KX</t>
        </is>
      </c>
      <c r="B732" s="5" t="n">
        <v>46240</v>
      </c>
      <c r="C732" t="inlineStr">
        <is>
          <t>ch_3Q000727</t>
        </is>
      </c>
      <c r="D732" t="inlineStr">
        <is>
          <t>charge</t>
        </is>
      </c>
      <c r="E732" s="5" t="n">
        <v>46238</v>
      </c>
      <c r="F732" s="9" t="n">
        <v>85</v>
      </c>
      <c r="G732" s="9" t="n">
        <v>1.79</v>
      </c>
      <c r="H732" s="9" t="n">
        <v>83.20999999999999</v>
      </c>
      <c r="I732" t="inlineStr">
        <is>
          <t>INV/2026/04352</t>
        </is>
      </c>
      <c r="J732" s="9">
        <f>ROUND(F732-G732-H732,2)</f>
        <v>0</v>
      </c>
    </row>
    <row r="733">
      <c r="A733" t="inlineStr">
        <is>
          <t>po_1Q0027KX</t>
        </is>
      </c>
      <c r="B733" s="5" t="n">
        <v>46240</v>
      </c>
      <c r="C733" t="inlineStr">
        <is>
          <t>ch_3Q000728</t>
        </is>
      </c>
      <c r="D733" t="inlineStr">
        <is>
          <t>charge</t>
        </is>
      </c>
      <c r="E733" s="5" t="n">
        <v>46238</v>
      </c>
      <c r="F733" s="9" t="n">
        <v>85</v>
      </c>
      <c r="G733" s="9" t="n">
        <v>1.79</v>
      </c>
      <c r="H733" s="9" t="n">
        <v>83.20999999999999</v>
      </c>
      <c r="I733" t="inlineStr">
        <is>
          <t>INV/2026/04353</t>
        </is>
      </c>
      <c r="J733" s="9">
        <f>ROUND(F733-G733-H733,2)</f>
        <v>0</v>
      </c>
    </row>
    <row r="734">
      <c r="A734" t="inlineStr">
        <is>
          <t>po_1Q0027KX</t>
        </is>
      </c>
      <c r="B734" s="5" t="n">
        <v>46240</v>
      </c>
      <c r="C734" t="inlineStr">
        <is>
          <t>ch_3Q000729</t>
        </is>
      </c>
      <c r="D734" t="inlineStr">
        <is>
          <t>charge</t>
        </is>
      </c>
      <c r="E734" s="5" t="n">
        <v>46238</v>
      </c>
      <c r="F734" s="9" t="n">
        <v>220</v>
      </c>
      <c r="G734" s="9" t="n">
        <v>4.15</v>
      </c>
      <c r="H734" s="9" t="n">
        <v>215.85</v>
      </c>
      <c r="I734" t="inlineStr">
        <is>
          <t>INV/2026/04354</t>
        </is>
      </c>
      <c r="J734" s="9">
        <f>ROUND(F734-G734-H734,2)</f>
        <v>0</v>
      </c>
    </row>
    <row r="735">
      <c r="A735" t="inlineStr">
        <is>
          <t>po_1Q0027KX</t>
        </is>
      </c>
      <c r="B735" s="5" t="n">
        <v>46240</v>
      </c>
      <c r="C735" t="inlineStr">
        <is>
          <t>ch_3Q000730</t>
        </is>
      </c>
      <c r="D735" t="inlineStr">
        <is>
          <t>charge</t>
        </is>
      </c>
      <c r="E735" s="5" t="n">
        <v>46238</v>
      </c>
      <c r="F735" s="9" t="n">
        <v>135</v>
      </c>
      <c r="G735" s="9" t="n">
        <v>2.66</v>
      </c>
      <c r="H735" s="9" t="n">
        <v>132.34</v>
      </c>
      <c r="I735" t="inlineStr">
        <is>
          <t>INV/2026/04355</t>
        </is>
      </c>
      <c r="J735" s="9">
        <f>ROUND(F735-G735-H735,2)</f>
        <v>0</v>
      </c>
    </row>
    <row r="736">
      <c r="A736" t="inlineStr">
        <is>
          <t>po_1Q0027KX</t>
        </is>
      </c>
      <c r="B736" s="5" t="n">
        <v>46240</v>
      </c>
      <c r="C736" t="inlineStr">
        <is>
          <t>ch_3Q000731</t>
        </is>
      </c>
      <c r="D736" t="inlineStr">
        <is>
          <t>charge</t>
        </is>
      </c>
      <c r="E736" s="5" t="n">
        <v>46238</v>
      </c>
      <c r="F736" s="9" t="n">
        <v>150</v>
      </c>
      <c r="G736" s="9" t="n">
        <v>2.93</v>
      </c>
      <c r="H736" s="9" t="n">
        <v>147.07</v>
      </c>
      <c r="I736" t="inlineStr">
        <is>
          <t>INV/2026/04356</t>
        </is>
      </c>
      <c r="J736" s="9">
        <f>ROUND(F736-G736-H736,2)</f>
        <v>0</v>
      </c>
    </row>
    <row r="737">
      <c r="A737" t="inlineStr">
        <is>
          <t>po_1Q0027KX</t>
        </is>
      </c>
      <c r="B737" s="5" t="n">
        <v>46240</v>
      </c>
      <c r="C737" t="inlineStr">
        <is>
          <t>ch_3Q000732</t>
        </is>
      </c>
      <c r="D737" t="inlineStr">
        <is>
          <t>charge</t>
        </is>
      </c>
      <c r="E737" s="5" t="n">
        <v>46238</v>
      </c>
      <c r="F737" s="9" t="n">
        <v>65</v>
      </c>
      <c r="G737" s="9" t="n">
        <v>1.44</v>
      </c>
      <c r="H737" s="9" t="n">
        <v>63.56</v>
      </c>
      <c r="I737" t="inlineStr">
        <is>
          <t>INV/2026/04357</t>
        </is>
      </c>
      <c r="J737" s="9">
        <f>ROUND(F737-G737-H737,2)</f>
        <v>0</v>
      </c>
    </row>
    <row r="738">
      <c r="A738" t="inlineStr">
        <is>
          <t>po_1Q0027KX</t>
        </is>
      </c>
      <c r="B738" s="5" t="n">
        <v>46240</v>
      </c>
      <c r="C738" t="inlineStr">
        <is>
          <t>ch_3Q000733</t>
        </is>
      </c>
      <c r="D738" t="inlineStr">
        <is>
          <t>charge</t>
        </is>
      </c>
      <c r="E738" s="5" t="n">
        <v>46238</v>
      </c>
      <c r="F738" s="9" t="n">
        <v>65</v>
      </c>
      <c r="G738" s="9" t="n">
        <v>1.44</v>
      </c>
      <c r="H738" s="9" t="n">
        <v>63.56</v>
      </c>
      <c r="I738" t="inlineStr">
        <is>
          <t>INV/2026/04358</t>
        </is>
      </c>
      <c r="J738" s="9">
        <f>ROUND(F738-G738-H738,2)</f>
        <v>0</v>
      </c>
    </row>
    <row r="739">
      <c r="A739" t="inlineStr">
        <is>
          <t>po_1Q0027KX</t>
        </is>
      </c>
      <c r="B739" s="5" t="n">
        <v>46240</v>
      </c>
      <c r="C739" t="inlineStr">
        <is>
          <t>ch_3Q000734</t>
        </is>
      </c>
      <c r="D739" t="inlineStr">
        <is>
          <t>charge</t>
        </is>
      </c>
      <c r="E739" s="5" t="n">
        <v>46238</v>
      </c>
      <c r="F739" s="9" t="n">
        <v>85</v>
      </c>
      <c r="G739" s="9" t="n">
        <v>1.79</v>
      </c>
      <c r="H739" s="9" t="n">
        <v>83.20999999999999</v>
      </c>
      <c r="I739" t="inlineStr">
        <is>
          <t>INV/2026/04359</t>
        </is>
      </c>
      <c r="J739" s="9">
        <f>ROUND(F739-G739-H739,2)</f>
        <v>0</v>
      </c>
    </row>
    <row r="740">
      <c r="A740" t="inlineStr">
        <is>
          <t>po_1Q0027KX</t>
        </is>
      </c>
      <c r="B740" s="5" t="n">
        <v>46240</v>
      </c>
      <c r="C740" t="inlineStr">
        <is>
          <t>ch_3Q000735</t>
        </is>
      </c>
      <c r="D740" t="inlineStr">
        <is>
          <t>charge</t>
        </is>
      </c>
      <c r="E740" s="5" t="n">
        <v>46238</v>
      </c>
      <c r="F740" s="9" t="n">
        <v>85</v>
      </c>
      <c r="G740" s="9" t="n">
        <v>1.79</v>
      </c>
      <c r="H740" s="9" t="n">
        <v>83.20999999999999</v>
      </c>
      <c r="I740" t="inlineStr">
        <is>
          <t>INV/2026/04360</t>
        </is>
      </c>
      <c r="J740" s="9">
        <f>ROUND(F740-G740-H740,2)</f>
        <v>0</v>
      </c>
    </row>
    <row r="741">
      <c r="A741" t="inlineStr">
        <is>
          <t>po_1Q0027KX</t>
        </is>
      </c>
      <c r="B741" s="5" t="n">
        <v>46240</v>
      </c>
      <c r="C741" t="inlineStr">
        <is>
          <t>ch_3Q000736</t>
        </is>
      </c>
      <c r="D741" t="inlineStr">
        <is>
          <t>charge</t>
        </is>
      </c>
      <c r="E741" s="5" t="n">
        <v>46238</v>
      </c>
      <c r="F741" s="9" t="n">
        <v>220</v>
      </c>
      <c r="G741" s="9" t="n">
        <v>4.15</v>
      </c>
      <c r="H741" s="9" t="n">
        <v>215.85</v>
      </c>
      <c r="I741" t="inlineStr">
        <is>
          <t>INV/2026/04361</t>
        </is>
      </c>
      <c r="J741" s="9">
        <f>ROUND(F741-G741-H741,2)</f>
        <v>0</v>
      </c>
    </row>
    <row r="742">
      <c r="A742" t="inlineStr">
        <is>
          <t>po_1Q0027KX</t>
        </is>
      </c>
      <c r="B742" s="5" t="n">
        <v>46240</v>
      </c>
      <c r="C742" t="inlineStr">
        <is>
          <t>ch_3Q000737</t>
        </is>
      </c>
      <c r="D742" t="inlineStr">
        <is>
          <t>charge</t>
        </is>
      </c>
      <c r="E742" s="5" t="n">
        <v>46238</v>
      </c>
      <c r="F742" s="9" t="n">
        <v>65</v>
      </c>
      <c r="G742" s="9" t="n">
        <v>1.44</v>
      </c>
      <c r="H742" s="9" t="n">
        <v>63.56</v>
      </c>
      <c r="I742" t="inlineStr">
        <is>
          <t>INV/2026/04362</t>
        </is>
      </c>
      <c r="J742" s="9">
        <f>ROUND(F742-G742-H742,2)</f>
        <v>0</v>
      </c>
    </row>
    <row r="743">
      <c r="A743" t="inlineStr">
        <is>
          <t>po_1Q0027KX</t>
        </is>
      </c>
      <c r="B743" s="5" t="n">
        <v>46240</v>
      </c>
      <c r="C743" t="inlineStr">
        <is>
          <t>ch_3Q000738</t>
        </is>
      </c>
      <c r="D743" t="inlineStr">
        <is>
          <t>charge</t>
        </is>
      </c>
      <c r="E743" s="5" t="n">
        <v>46238</v>
      </c>
      <c r="F743" s="9" t="n">
        <v>95</v>
      </c>
      <c r="G743" s="9" t="n">
        <v>1.96</v>
      </c>
      <c r="H743" s="9" t="n">
        <v>93.04000000000001</v>
      </c>
      <c r="I743" t="inlineStr">
        <is>
          <t>INV/2026/04363</t>
        </is>
      </c>
      <c r="J743" s="9">
        <f>ROUND(F743-G743-H743,2)</f>
        <v>0</v>
      </c>
    </row>
    <row r="744">
      <c r="A744" t="inlineStr">
        <is>
          <t>po_1Q0027KX</t>
        </is>
      </c>
      <c r="B744" s="5" t="n">
        <v>46240</v>
      </c>
      <c r="C744" t="inlineStr">
        <is>
          <t>ch_3Q000739</t>
        </is>
      </c>
      <c r="D744" t="inlineStr">
        <is>
          <t>charge</t>
        </is>
      </c>
      <c r="E744" s="5" t="n">
        <v>46238</v>
      </c>
      <c r="F744" s="9" t="n">
        <v>135</v>
      </c>
      <c r="G744" s="9" t="n">
        <v>2.66</v>
      </c>
      <c r="H744" s="9" t="n">
        <v>132.34</v>
      </c>
      <c r="I744" t="inlineStr">
        <is>
          <t>INV/2026/04364</t>
        </is>
      </c>
      <c r="J744" s="9">
        <f>ROUND(F744-G744-H744,2)</f>
        <v>0</v>
      </c>
    </row>
    <row r="745">
      <c r="A745" t="inlineStr">
        <is>
          <t>po_1Q0027KX</t>
        </is>
      </c>
      <c r="B745" s="5" t="n">
        <v>46240</v>
      </c>
      <c r="C745" t="inlineStr">
        <is>
          <t>ch_3Q000740</t>
        </is>
      </c>
      <c r="D745" t="inlineStr">
        <is>
          <t>charge</t>
        </is>
      </c>
      <c r="E745" s="5" t="n">
        <v>46238</v>
      </c>
      <c r="F745" s="9" t="n">
        <v>120</v>
      </c>
      <c r="G745" s="9" t="n">
        <v>2.4</v>
      </c>
      <c r="H745" s="9" t="n">
        <v>117.6</v>
      </c>
      <c r="I745" t="inlineStr">
        <is>
          <t>INV/2026/04365</t>
        </is>
      </c>
      <c r="J745" s="9">
        <f>ROUND(F745-G745-H745,2)</f>
        <v>0</v>
      </c>
    </row>
    <row r="746">
      <c r="A746" t="inlineStr">
        <is>
          <t>po_1Q0027KX</t>
        </is>
      </c>
      <c r="B746" s="5" t="n">
        <v>46240</v>
      </c>
      <c r="C746" t="inlineStr">
        <is>
          <t>ch_3Q000741</t>
        </is>
      </c>
      <c r="D746" t="inlineStr">
        <is>
          <t>charge</t>
        </is>
      </c>
      <c r="E746" s="5" t="n">
        <v>46238</v>
      </c>
      <c r="F746" s="9" t="n">
        <v>180</v>
      </c>
      <c r="G746" s="9" t="n">
        <v>3.45</v>
      </c>
      <c r="H746" s="9" t="n">
        <v>176.55</v>
      </c>
      <c r="I746" t="inlineStr">
        <is>
          <t>INV/2026/04366</t>
        </is>
      </c>
      <c r="J746" s="9">
        <f>ROUND(F746-G746-H746,2)</f>
        <v>0</v>
      </c>
    </row>
    <row r="747">
      <c r="A747" t="inlineStr">
        <is>
          <t>po_1Q0027KX</t>
        </is>
      </c>
      <c r="B747" s="5" t="n">
        <v>46240</v>
      </c>
      <c r="C747" t="inlineStr">
        <is>
          <t>ch_3Q000742</t>
        </is>
      </c>
      <c r="D747" t="inlineStr">
        <is>
          <t>charge</t>
        </is>
      </c>
      <c r="E747" s="5" t="n">
        <v>46238</v>
      </c>
      <c r="F747" s="9" t="n">
        <v>120</v>
      </c>
      <c r="G747" s="9" t="n">
        <v>2.4</v>
      </c>
      <c r="H747" s="9" t="n">
        <v>117.6</v>
      </c>
      <c r="I747" t="inlineStr">
        <is>
          <t>INV/2026/04367</t>
        </is>
      </c>
      <c r="J747" s="9">
        <f>ROUND(F747-G747-H747,2)</f>
        <v>0</v>
      </c>
    </row>
    <row r="748">
      <c r="A748" t="inlineStr">
        <is>
          <t>po_1Q0027KX</t>
        </is>
      </c>
      <c r="B748" s="5" t="n">
        <v>46240</v>
      </c>
      <c r="C748" t="inlineStr">
        <is>
          <t>ch_3Q000743</t>
        </is>
      </c>
      <c r="D748" t="inlineStr">
        <is>
          <t>charge</t>
        </is>
      </c>
      <c r="E748" s="5" t="n">
        <v>46238</v>
      </c>
      <c r="F748" s="9" t="n">
        <v>85</v>
      </c>
      <c r="G748" s="9" t="n">
        <v>1.79</v>
      </c>
      <c r="H748" s="9" t="n">
        <v>83.20999999999999</v>
      </c>
      <c r="I748" t="inlineStr">
        <is>
          <t>INV/2026/04368</t>
        </is>
      </c>
      <c r="J748" s="9">
        <f>ROUND(F748-G748-H748,2)</f>
        <v>0</v>
      </c>
    </row>
    <row r="749">
      <c r="A749" t="inlineStr">
        <is>
          <t>po_1Q0027KX</t>
        </is>
      </c>
      <c r="B749" s="5" t="n">
        <v>46240</v>
      </c>
      <c r="C749" t="inlineStr">
        <is>
          <t>ch_3Q000744</t>
        </is>
      </c>
      <c r="D749" t="inlineStr">
        <is>
          <t>charge</t>
        </is>
      </c>
      <c r="E749" s="5" t="n">
        <v>46238</v>
      </c>
      <c r="F749" s="9" t="n">
        <v>110</v>
      </c>
      <c r="G749" s="9" t="n">
        <v>2.23</v>
      </c>
      <c r="H749" s="9" t="n">
        <v>107.77</v>
      </c>
      <c r="I749" t="inlineStr">
        <is>
          <t>INV/2026/04369</t>
        </is>
      </c>
      <c r="J749" s="9">
        <f>ROUND(F749-G749-H749,2)</f>
        <v>0</v>
      </c>
    </row>
    <row r="750">
      <c r="A750" t="inlineStr">
        <is>
          <t>po_1Q0027KX</t>
        </is>
      </c>
      <c r="B750" s="5" t="n">
        <v>46240</v>
      </c>
      <c r="C750" t="inlineStr">
        <is>
          <t>ch_3Q000745</t>
        </is>
      </c>
      <c r="D750" t="inlineStr">
        <is>
          <t>charge</t>
        </is>
      </c>
      <c r="E750" s="5" t="n">
        <v>46238</v>
      </c>
      <c r="F750" s="9" t="n">
        <v>120</v>
      </c>
      <c r="G750" s="9" t="n">
        <v>2.4</v>
      </c>
      <c r="H750" s="9" t="n">
        <v>117.6</v>
      </c>
      <c r="I750" t="inlineStr">
        <is>
          <t>INV/2026/04370</t>
        </is>
      </c>
      <c r="J750" s="9">
        <f>ROUND(F750-G750-H750,2)</f>
        <v>0</v>
      </c>
    </row>
    <row r="751">
      <c r="A751" t="inlineStr">
        <is>
          <t>po_1Q0027KX</t>
        </is>
      </c>
      <c r="B751" s="5" t="n">
        <v>46240</v>
      </c>
      <c r="C751" t="inlineStr">
        <is>
          <t>ch_3Q000746</t>
        </is>
      </c>
      <c r="D751" t="inlineStr">
        <is>
          <t>charge</t>
        </is>
      </c>
      <c r="E751" s="5" t="n">
        <v>46238</v>
      </c>
      <c r="F751" s="9" t="n">
        <v>135</v>
      </c>
      <c r="G751" s="9" t="n">
        <v>2.66</v>
      </c>
      <c r="H751" s="9" t="n">
        <v>132.34</v>
      </c>
      <c r="I751" t="inlineStr">
        <is>
          <t>INV/2026/04371</t>
        </is>
      </c>
      <c r="J751" s="9">
        <f>ROUND(F751-G751-H751,2)</f>
        <v>0</v>
      </c>
    </row>
    <row r="752">
      <c r="A752" t="inlineStr">
        <is>
          <t>po_1Q0027KX</t>
        </is>
      </c>
      <c r="B752" s="5" t="n">
        <v>46240</v>
      </c>
      <c r="C752" t="inlineStr">
        <is>
          <t>ch_3Q000747</t>
        </is>
      </c>
      <c r="D752" t="inlineStr">
        <is>
          <t>charge</t>
        </is>
      </c>
      <c r="E752" s="5" t="n">
        <v>46238</v>
      </c>
      <c r="F752" s="9" t="n">
        <v>85</v>
      </c>
      <c r="G752" s="9" t="n">
        <v>1.79</v>
      </c>
      <c r="H752" s="9" t="n">
        <v>83.20999999999999</v>
      </c>
      <c r="I752" t="inlineStr">
        <is>
          <t>INV/2026/04372</t>
        </is>
      </c>
      <c r="J752" s="9">
        <f>ROUND(F752-G752-H752,2)</f>
        <v>0</v>
      </c>
    </row>
    <row r="753">
      <c r="A753" t="inlineStr">
        <is>
          <t>po_1Q0027KX</t>
        </is>
      </c>
      <c r="B753" s="5" t="n">
        <v>46240</v>
      </c>
      <c r="C753" t="inlineStr">
        <is>
          <t>ch_3Q000748</t>
        </is>
      </c>
      <c r="D753" t="inlineStr">
        <is>
          <t>charge</t>
        </is>
      </c>
      <c r="E753" s="5" t="n">
        <v>46238</v>
      </c>
      <c r="F753" s="9" t="n">
        <v>135</v>
      </c>
      <c r="G753" s="9" t="n">
        <v>2.66</v>
      </c>
      <c r="H753" s="9" t="n">
        <v>132.34</v>
      </c>
      <c r="I753" t="inlineStr">
        <is>
          <t>INV/2026/04373</t>
        </is>
      </c>
      <c r="J753" s="9">
        <f>ROUND(F753-G753-H753,2)</f>
        <v>0</v>
      </c>
    </row>
    <row r="754">
      <c r="A754" t="inlineStr">
        <is>
          <t>po_1Q0027KX</t>
        </is>
      </c>
      <c r="B754" s="5" t="n">
        <v>46240</v>
      </c>
      <c r="C754" t="inlineStr">
        <is>
          <t>ch_3Q000749</t>
        </is>
      </c>
      <c r="D754" t="inlineStr">
        <is>
          <t>charge</t>
        </is>
      </c>
      <c r="E754" s="5" t="n">
        <v>46238</v>
      </c>
      <c r="F754" s="9" t="n">
        <v>110</v>
      </c>
      <c r="G754" s="9" t="n">
        <v>2.23</v>
      </c>
      <c r="H754" s="9" t="n">
        <v>107.77</v>
      </c>
      <c r="I754" t="inlineStr">
        <is>
          <t>INV/2026/04374</t>
        </is>
      </c>
      <c r="J754" s="9">
        <f>ROUND(F754-G754-H754,2)</f>
        <v>0</v>
      </c>
    </row>
    <row r="755">
      <c r="A755" t="inlineStr">
        <is>
          <t>po_1Q0027KX</t>
        </is>
      </c>
      <c r="B755" s="5" t="n">
        <v>46240</v>
      </c>
      <c r="C755" t="inlineStr">
        <is>
          <t>ch_3Q000750</t>
        </is>
      </c>
      <c r="D755" t="inlineStr">
        <is>
          <t>charge</t>
        </is>
      </c>
      <c r="E755" s="5" t="n">
        <v>46238</v>
      </c>
      <c r="F755" s="9" t="n">
        <v>220</v>
      </c>
      <c r="G755" s="9" t="n">
        <v>4.15</v>
      </c>
      <c r="H755" s="9" t="n">
        <v>215.85</v>
      </c>
      <c r="I755" t="inlineStr">
        <is>
          <t>INV/2026/04375</t>
        </is>
      </c>
      <c r="J755" s="9">
        <f>ROUND(F755-G755-H755,2)</f>
        <v>0</v>
      </c>
    </row>
    <row r="756">
      <c r="A756" t="inlineStr">
        <is>
          <t>po_1Q0027KX</t>
        </is>
      </c>
      <c r="B756" s="5" t="n">
        <v>46240</v>
      </c>
      <c r="C756" t="inlineStr">
        <is>
          <t>ch_3Q000751</t>
        </is>
      </c>
      <c r="D756" t="inlineStr">
        <is>
          <t>charge</t>
        </is>
      </c>
      <c r="E756" s="5" t="n">
        <v>46238</v>
      </c>
      <c r="F756" s="9" t="n">
        <v>135</v>
      </c>
      <c r="G756" s="9" t="n">
        <v>2.66</v>
      </c>
      <c r="H756" s="9" t="n">
        <v>132.34</v>
      </c>
      <c r="I756" t="inlineStr">
        <is>
          <t>INV/2026/04376</t>
        </is>
      </c>
      <c r="J756" s="9">
        <f>ROUND(F756-G756-H756,2)</f>
        <v>0</v>
      </c>
    </row>
    <row r="757">
      <c r="A757" t="inlineStr">
        <is>
          <t>po_1Q0027KX</t>
        </is>
      </c>
      <c r="B757" s="5" t="n">
        <v>46240</v>
      </c>
      <c r="C757" t="inlineStr">
        <is>
          <t>ch_3Q000752</t>
        </is>
      </c>
      <c r="D757" t="inlineStr">
        <is>
          <t>charge</t>
        </is>
      </c>
      <c r="E757" s="5" t="n">
        <v>46238</v>
      </c>
      <c r="F757" s="9" t="n">
        <v>220</v>
      </c>
      <c r="G757" s="9" t="n">
        <v>4.15</v>
      </c>
      <c r="H757" s="9" t="n">
        <v>215.85</v>
      </c>
      <c r="I757" t="inlineStr">
        <is>
          <t>INV/2026/04377</t>
        </is>
      </c>
      <c r="J757" s="9">
        <f>ROUND(F757-G757-H757,2)</f>
        <v>0</v>
      </c>
    </row>
    <row r="758">
      <c r="A758" t="inlineStr">
        <is>
          <t>po_1Q0027KX</t>
        </is>
      </c>
      <c r="B758" s="5" t="n">
        <v>46240</v>
      </c>
      <c r="C758" t="inlineStr">
        <is>
          <t>ch_3Q000753</t>
        </is>
      </c>
      <c r="D758" t="inlineStr">
        <is>
          <t>charge</t>
        </is>
      </c>
      <c r="E758" s="5" t="n">
        <v>46238</v>
      </c>
      <c r="F758" s="9" t="n">
        <v>110</v>
      </c>
      <c r="G758" s="9" t="n">
        <v>2.23</v>
      </c>
      <c r="H758" s="9" t="n">
        <v>107.77</v>
      </c>
      <c r="I758" t="inlineStr">
        <is>
          <t>INV/2026/04378</t>
        </is>
      </c>
      <c r="J758" s="9">
        <f>ROUND(F758-G758-H758,2)</f>
        <v>0</v>
      </c>
    </row>
    <row r="759">
      <c r="A759" t="inlineStr">
        <is>
          <t>po_1Q0027KX</t>
        </is>
      </c>
      <c r="B759" s="5" t="n">
        <v>46240</v>
      </c>
      <c r="C759" t="inlineStr">
        <is>
          <t>ch_3Q000754</t>
        </is>
      </c>
      <c r="D759" t="inlineStr">
        <is>
          <t>charge</t>
        </is>
      </c>
      <c r="E759" s="5" t="n">
        <v>46238</v>
      </c>
      <c r="F759" s="9" t="n">
        <v>110</v>
      </c>
      <c r="G759" s="9" t="n">
        <v>2.23</v>
      </c>
      <c r="H759" s="9" t="n">
        <v>107.77</v>
      </c>
      <c r="I759" t="inlineStr">
        <is>
          <t>INV/2026/04379</t>
        </is>
      </c>
      <c r="J759" s="9">
        <f>ROUND(F759-G759-H759,2)</f>
        <v>0</v>
      </c>
    </row>
    <row r="760">
      <c r="A760" t="inlineStr">
        <is>
          <t>po_1Q0027KX</t>
        </is>
      </c>
      <c r="B760" s="5" t="n">
        <v>46240</v>
      </c>
      <c r="C760" t="inlineStr">
        <is>
          <t>ch_3Q000755</t>
        </is>
      </c>
      <c r="D760" t="inlineStr">
        <is>
          <t>charge</t>
        </is>
      </c>
      <c r="E760" s="5" t="n">
        <v>46238</v>
      </c>
      <c r="F760" s="9" t="n">
        <v>95</v>
      </c>
      <c r="G760" s="9" t="n">
        <v>1.96</v>
      </c>
      <c r="H760" s="9" t="n">
        <v>93.04000000000001</v>
      </c>
      <c r="I760" t="inlineStr">
        <is>
          <t>INV/2026/04380</t>
        </is>
      </c>
      <c r="J760" s="9">
        <f>ROUND(F760-G760-H760,2)</f>
        <v>0</v>
      </c>
    </row>
    <row r="761">
      <c r="A761" t="inlineStr">
        <is>
          <t>po_1Q0027KX</t>
        </is>
      </c>
      <c r="B761" s="5" t="n">
        <v>46240</v>
      </c>
      <c r="C761" t="inlineStr">
        <is>
          <t>ch_3Q000756</t>
        </is>
      </c>
      <c r="D761" t="inlineStr">
        <is>
          <t>charge</t>
        </is>
      </c>
      <c r="E761" s="5" t="n">
        <v>46238</v>
      </c>
      <c r="F761" s="9" t="n">
        <v>180</v>
      </c>
      <c r="G761" s="9" t="n">
        <v>3.45</v>
      </c>
      <c r="H761" s="9" t="n">
        <v>176.55</v>
      </c>
      <c r="I761" t="inlineStr">
        <is>
          <t>INV/2026/04381</t>
        </is>
      </c>
      <c r="J761" s="9">
        <f>ROUND(F761-G761-H761,2)</f>
        <v>0</v>
      </c>
    </row>
    <row r="762">
      <c r="A762" t="inlineStr">
        <is>
          <t>po_1Q0027KX</t>
        </is>
      </c>
      <c r="B762" s="5" t="n">
        <v>46240</v>
      </c>
      <c r="C762" t="inlineStr">
        <is>
          <t>ch_3Q000757</t>
        </is>
      </c>
      <c r="D762" t="inlineStr">
        <is>
          <t>charge</t>
        </is>
      </c>
      <c r="E762" s="5" t="n">
        <v>46238</v>
      </c>
      <c r="F762" s="9" t="n">
        <v>220</v>
      </c>
      <c r="G762" s="9" t="n">
        <v>4.15</v>
      </c>
      <c r="H762" s="9" t="n">
        <v>215.85</v>
      </c>
      <c r="I762" t="inlineStr">
        <is>
          <t>INV/2026/04382</t>
        </is>
      </c>
      <c r="J762" s="9">
        <f>ROUND(F762-G762-H762,2)</f>
        <v>0</v>
      </c>
    </row>
    <row r="763">
      <c r="A763" t="inlineStr">
        <is>
          <t>po_1Q0027KX</t>
        </is>
      </c>
      <c r="B763" s="5" t="n">
        <v>46240</v>
      </c>
      <c r="C763" t="inlineStr">
        <is>
          <t>ch_3Q000758</t>
        </is>
      </c>
      <c r="D763" t="inlineStr">
        <is>
          <t>charge</t>
        </is>
      </c>
      <c r="E763" s="5" t="n">
        <v>46238</v>
      </c>
      <c r="F763" s="9" t="n">
        <v>120</v>
      </c>
      <c r="G763" s="9" t="n">
        <v>2.4</v>
      </c>
      <c r="H763" s="9" t="n">
        <v>117.6</v>
      </c>
      <c r="I763" t="inlineStr">
        <is>
          <t>INV/2026/04383</t>
        </is>
      </c>
      <c r="J763" s="9">
        <f>ROUND(F763-G763-H763,2)</f>
        <v>0</v>
      </c>
    </row>
    <row r="764">
      <c r="A764" t="inlineStr">
        <is>
          <t>po_1Q0028KX</t>
        </is>
      </c>
      <c r="B764" s="5" t="n">
        <v>46241</v>
      </c>
      <c r="C764" t="inlineStr">
        <is>
          <t>ch_3Q000759</t>
        </is>
      </c>
      <c r="D764" t="inlineStr">
        <is>
          <t>charge</t>
        </is>
      </c>
      <c r="E764" s="5" t="n">
        <v>46239</v>
      </c>
      <c r="F764" s="9" t="n">
        <v>180</v>
      </c>
      <c r="G764" s="9" t="n">
        <v>3.45</v>
      </c>
      <c r="H764" s="9" t="n">
        <v>176.55</v>
      </c>
      <c r="I764" t="inlineStr">
        <is>
          <t>INV/2026/04384</t>
        </is>
      </c>
      <c r="J764" s="9">
        <f>ROUND(F764-G764-H764,2)</f>
        <v>0</v>
      </c>
    </row>
    <row r="765">
      <c r="A765" t="inlineStr">
        <is>
          <t>po_1Q0028KX</t>
        </is>
      </c>
      <c r="B765" s="5" t="n">
        <v>46241</v>
      </c>
      <c r="C765" t="inlineStr">
        <is>
          <t>ch_3Q000760</t>
        </is>
      </c>
      <c r="D765" t="inlineStr">
        <is>
          <t>charge</t>
        </is>
      </c>
      <c r="E765" s="5" t="n">
        <v>46239</v>
      </c>
      <c r="F765" s="9" t="n">
        <v>220</v>
      </c>
      <c r="G765" s="9" t="n">
        <v>4.15</v>
      </c>
      <c r="H765" s="9" t="n">
        <v>215.85</v>
      </c>
      <c r="I765" t="inlineStr">
        <is>
          <t>INV/2026/04385</t>
        </is>
      </c>
      <c r="J765" s="9">
        <f>ROUND(F765-G765-H765,2)</f>
        <v>0</v>
      </c>
    </row>
    <row r="766">
      <c r="A766" t="inlineStr">
        <is>
          <t>po_1Q0028KX</t>
        </is>
      </c>
      <c r="B766" s="5" t="n">
        <v>46241</v>
      </c>
      <c r="C766" t="inlineStr">
        <is>
          <t>ch_3Q000761</t>
        </is>
      </c>
      <c r="D766" t="inlineStr">
        <is>
          <t>charge</t>
        </is>
      </c>
      <c r="E766" s="5" t="n">
        <v>46239</v>
      </c>
      <c r="F766" s="9" t="n">
        <v>120</v>
      </c>
      <c r="G766" s="9" t="n">
        <v>2.4</v>
      </c>
      <c r="H766" s="9" t="n">
        <v>117.6</v>
      </c>
      <c r="I766" t="inlineStr">
        <is>
          <t>INV/2026/04386</t>
        </is>
      </c>
      <c r="J766" s="9">
        <f>ROUND(F766-G766-H766,2)</f>
        <v>0</v>
      </c>
    </row>
    <row r="767">
      <c r="A767" t="inlineStr">
        <is>
          <t>po_1Q0028KX</t>
        </is>
      </c>
      <c r="B767" s="5" t="n">
        <v>46241</v>
      </c>
      <c r="C767" t="inlineStr">
        <is>
          <t>ch_3Q000762</t>
        </is>
      </c>
      <c r="D767" t="inlineStr">
        <is>
          <t>charge</t>
        </is>
      </c>
      <c r="E767" s="5" t="n">
        <v>46239</v>
      </c>
      <c r="F767" s="9" t="n">
        <v>65</v>
      </c>
      <c r="G767" s="9" t="n">
        <v>1.44</v>
      </c>
      <c r="H767" s="9" t="n">
        <v>63.56</v>
      </c>
      <c r="I767" t="inlineStr">
        <is>
          <t>INV/2026/04387</t>
        </is>
      </c>
      <c r="J767" s="9">
        <f>ROUND(F767-G767-H767,2)</f>
        <v>0</v>
      </c>
    </row>
    <row r="768">
      <c r="A768" t="inlineStr">
        <is>
          <t>po_1Q0028KX</t>
        </is>
      </c>
      <c r="B768" s="5" t="n">
        <v>46241</v>
      </c>
      <c r="C768" t="inlineStr">
        <is>
          <t>ch_3Q000763</t>
        </is>
      </c>
      <c r="D768" t="inlineStr">
        <is>
          <t>charge</t>
        </is>
      </c>
      <c r="E768" s="5" t="n">
        <v>46239</v>
      </c>
      <c r="F768" s="9" t="n">
        <v>180</v>
      </c>
      <c r="G768" s="9" t="n">
        <v>3.45</v>
      </c>
      <c r="H768" s="9" t="n">
        <v>176.55</v>
      </c>
      <c r="I768" t="inlineStr">
        <is>
          <t>INV/2026/04388</t>
        </is>
      </c>
      <c r="J768" s="9">
        <f>ROUND(F768-G768-H768,2)</f>
        <v>0</v>
      </c>
    </row>
    <row r="769">
      <c r="A769" t="inlineStr">
        <is>
          <t>po_1Q0028KX</t>
        </is>
      </c>
      <c r="B769" s="5" t="n">
        <v>46241</v>
      </c>
      <c r="C769" t="inlineStr">
        <is>
          <t>ch_3Q000764</t>
        </is>
      </c>
      <c r="D769" t="inlineStr">
        <is>
          <t>charge</t>
        </is>
      </c>
      <c r="E769" s="5" t="n">
        <v>46239</v>
      </c>
      <c r="F769" s="9" t="n">
        <v>120</v>
      </c>
      <c r="G769" s="9" t="n">
        <v>2.4</v>
      </c>
      <c r="H769" s="9" t="n">
        <v>117.6</v>
      </c>
      <c r="I769" t="inlineStr">
        <is>
          <t>INV/2026/04389</t>
        </is>
      </c>
      <c r="J769" s="9">
        <f>ROUND(F769-G769-H769,2)</f>
        <v>0</v>
      </c>
    </row>
    <row r="770">
      <c r="A770" t="inlineStr">
        <is>
          <t>po_1Q0028KX</t>
        </is>
      </c>
      <c r="B770" s="5" t="n">
        <v>46241</v>
      </c>
      <c r="C770" t="inlineStr">
        <is>
          <t>ch_3Q000765</t>
        </is>
      </c>
      <c r="D770" t="inlineStr">
        <is>
          <t>charge</t>
        </is>
      </c>
      <c r="E770" s="5" t="n">
        <v>46239</v>
      </c>
      <c r="F770" s="9" t="n">
        <v>120</v>
      </c>
      <c r="G770" s="9" t="n">
        <v>2.4</v>
      </c>
      <c r="H770" s="9" t="n">
        <v>117.6</v>
      </c>
      <c r="I770" t="inlineStr">
        <is>
          <t>INV/2026/04390</t>
        </is>
      </c>
      <c r="J770" s="9">
        <f>ROUND(F770-G770-H770,2)</f>
        <v>0</v>
      </c>
    </row>
    <row r="771">
      <c r="A771" t="inlineStr">
        <is>
          <t>po_1Q0028KX</t>
        </is>
      </c>
      <c r="B771" s="5" t="n">
        <v>46241</v>
      </c>
      <c r="C771" t="inlineStr">
        <is>
          <t>ch_3Q000766</t>
        </is>
      </c>
      <c r="D771" t="inlineStr">
        <is>
          <t>charge</t>
        </is>
      </c>
      <c r="E771" s="5" t="n">
        <v>46239</v>
      </c>
      <c r="F771" s="9" t="n">
        <v>110</v>
      </c>
      <c r="G771" s="9" t="n">
        <v>2.23</v>
      </c>
      <c r="H771" s="9" t="n">
        <v>107.77</v>
      </c>
      <c r="I771" t="inlineStr">
        <is>
          <t>INV/2026/04391</t>
        </is>
      </c>
      <c r="J771" s="9">
        <f>ROUND(F771-G771-H771,2)</f>
        <v>0</v>
      </c>
    </row>
    <row r="772">
      <c r="A772" t="inlineStr">
        <is>
          <t>po_1Q0028KX</t>
        </is>
      </c>
      <c r="B772" s="5" t="n">
        <v>46241</v>
      </c>
      <c r="C772" t="inlineStr">
        <is>
          <t>ch_3Q000767</t>
        </is>
      </c>
      <c r="D772" t="inlineStr">
        <is>
          <t>charge</t>
        </is>
      </c>
      <c r="E772" s="5" t="n">
        <v>46239</v>
      </c>
      <c r="F772" s="9" t="n">
        <v>180</v>
      </c>
      <c r="G772" s="9" t="n">
        <v>3.45</v>
      </c>
      <c r="H772" s="9" t="n">
        <v>176.55</v>
      </c>
      <c r="I772" t="inlineStr">
        <is>
          <t>INV/2026/04392</t>
        </is>
      </c>
      <c r="J772" s="9">
        <f>ROUND(F772-G772-H772,2)</f>
        <v>0</v>
      </c>
    </row>
    <row r="773">
      <c r="A773" t="inlineStr">
        <is>
          <t>po_1Q0028KX</t>
        </is>
      </c>
      <c r="B773" s="5" t="n">
        <v>46241</v>
      </c>
      <c r="C773" t="inlineStr">
        <is>
          <t>ch_3Q000768</t>
        </is>
      </c>
      <c r="D773" t="inlineStr">
        <is>
          <t>charge</t>
        </is>
      </c>
      <c r="E773" s="5" t="n">
        <v>46239</v>
      </c>
      <c r="F773" s="9" t="n">
        <v>150</v>
      </c>
      <c r="G773" s="9" t="n">
        <v>2.93</v>
      </c>
      <c r="H773" s="9" t="n">
        <v>147.07</v>
      </c>
      <c r="I773" t="inlineStr">
        <is>
          <t>INV/2026/04393</t>
        </is>
      </c>
      <c r="J773" s="9">
        <f>ROUND(F773-G773-H773,2)</f>
        <v>0</v>
      </c>
    </row>
    <row r="774">
      <c r="A774" t="inlineStr">
        <is>
          <t>po_1Q0028KX</t>
        </is>
      </c>
      <c r="B774" s="5" t="n">
        <v>46241</v>
      </c>
      <c r="C774" t="inlineStr">
        <is>
          <t>ch_3Q000769</t>
        </is>
      </c>
      <c r="D774" t="inlineStr">
        <is>
          <t>charge</t>
        </is>
      </c>
      <c r="E774" s="5" t="n">
        <v>46239</v>
      </c>
      <c r="F774" s="9" t="n">
        <v>180</v>
      </c>
      <c r="G774" s="9" t="n">
        <v>3.45</v>
      </c>
      <c r="H774" s="9" t="n">
        <v>176.55</v>
      </c>
      <c r="I774" t="inlineStr">
        <is>
          <t>INV/2026/04394</t>
        </is>
      </c>
      <c r="J774" s="9">
        <f>ROUND(F774-G774-H774,2)</f>
        <v>0</v>
      </c>
    </row>
    <row r="775">
      <c r="A775" t="inlineStr">
        <is>
          <t>po_1Q0028KX</t>
        </is>
      </c>
      <c r="B775" s="5" t="n">
        <v>46241</v>
      </c>
      <c r="C775" t="inlineStr">
        <is>
          <t>ch_3Q000770</t>
        </is>
      </c>
      <c r="D775" t="inlineStr">
        <is>
          <t>charge</t>
        </is>
      </c>
      <c r="E775" s="5" t="n">
        <v>46239</v>
      </c>
      <c r="F775" s="9" t="n">
        <v>150</v>
      </c>
      <c r="G775" s="9" t="n">
        <v>2.93</v>
      </c>
      <c r="H775" s="9" t="n">
        <v>147.07</v>
      </c>
      <c r="I775" t="inlineStr">
        <is>
          <t>INV/2026/04395</t>
        </is>
      </c>
      <c r="J775" s="9">
        <f>ROUND(F775-G775-H775,2)</f>
        <v>0</v>
      </c>
    </row>
    <row r="776">
      <c r="A776" t="inlineStr">
        <is>
          <t>po_1Q0028KX</t>
        </is>
      </c>
      <c r="B776" s="5" t="n">
        <v>46241</v>
      </c>
      <c r="C776" t="inlineStr">
        <is>
          <t>ch_3Q000771</t>
        </is>
      </c>
      <c r="D776" t="inlineStr">
        <is>
          <t>charge</t>
        </is>
      </c>
      <c r="E776" s="5" t="n">
        <v>46239</v>
      </c>
      <c r="F776" s="9" t="n">
        <v>120</v>
      </c>
      <c r="G776" s="9" t="n">
        <v>2.4</v>
      </c>
      <c r="H776" s="9" t="n">
        <v>117.6</v>
      </c>
      <c r="I776" t="inlineStr">
        <is>
          <t>INV/2026/04396</t>
        </is>
      </c>
      <c r="J776" s="9">
        <f>ROUND(F776-G776-H776,2)</f>
        <v>0</v>
      </c>
    </row>
    <row r="777">
      <c r="A777" t="inlineStr">
        <is>
          <t>po_1Q0028KX</t>
        </is>
      </c>
      <c r="B777" s="5" t="n">
        <v>46241</v>
      </c>
      <c r="C777" t="inlineStr">
        <is>
          <t>ch_3Q000772</t>
        </is>
      </c>
      <c r="D777" t="inlineStr">
        <is>
          <t>charge</t>
        </is>
      </c>
      <c r="E777" s="5" t="n">
        <v>46239</v>
      </c>
      <c r="F777" s="9" t="n">
        <v>135</v>
      </c>
      <c r="G777" s="9" t="n">
        <v>2.66</v>
      </c>
      <c r="H777" s="9" t="n">
        <v>132.34</v>
      </c>
      <c r="I777" t="inlineStr">
        <is>
          <t>INV/2026/04397</t>
        </is>
      </c>
      <c r="J777" s="9">
        <f>ROUND(F777-G777-H777,2)</f>
        <v>0</v>
      </c>
    </row>
    <row r="778">
      <c r="A778" t="inlineStr">
        <is>
          <t>po_1Q0028KX</t>
        </is>
      </c>
      <c r="B778" s="5" t="n">
        <v>46241</v>
      </c>
      <c r="C778" t="inlineStr">
        <is>
          <t>ch_3Q000773</t>
        </is>
      </c>
      <c r="D778" t="inlineStr">
        <is>
          <t>charge</t>
        </is>
      </c>
      <c r="E778" s="5" t="n">
        <v>46239</v>
      </c>
      <c r="F778" s="9" t="n">
        <v>110</v>
      </c>
      <c r="G778" s="9" t="n">
        <v>2.23</v>
      </c>
      <c r="H778" s="9" t="n">
        <v>107.77</v>
      </c>
      <c r="I778" t="inlineStr">
        <is>
          <t>INV/2026/04398</t>
        </is>
      </c>
      <c r="J778" s="9">
        <f>ROUND(F778-G778-H778,2)</f>
        <v>0</v>
      </c>
    </row>
    <row r="779">
      <c r="A779" t="inlineStr">
        <is>
          <t>po_1Q0028KX</t>
        </is>
      </c>
      <c r="B779" s="5" t="n">
        <v>46241</v>
      </c>
      <c r="C779" t="inlineStr">
        <is>
          <t>ch_3Q000774</t>
        </is>
      </c>
      <c r="D779" t="inlineStr">
        <is>
          <t>charge</t>
        </is>
      </c>
      <c r="E779" s="5" t="n">
        <v>46239</v>
      </c>
      <c r="F779" s="9" t="n">
        <v>110</v>
      </c>
      <c r="G779" s="9" t="n">
        <v>2.23</v>
      </c>
      <c r="H779" s="9" t="n">
        <v>107.77</v>
      </c>
      <c r="I779" t="inlineStr">
        <is>
          <t>INV/2026/04399</t>
        </is>
      </c>
      <c r="J779" s="9">
        <f>ROUND(F779-G779-H779,2)</f>
        <v>0</v>
      </c>
    </row>
    <row r="780">
      <c r="A780" t="inlineStr">
        <is>
          <t>po_1Q0028KX</t>
        </is>
      </c>
      <c r="B780" s="5" t="n">
        <v>46241</v>
      </c>
      <c r="C780" t="inlineStr">
        <is>
          <t>ch_3Q000775</t>
        </is>
      </c>
      <c r="D780" t="inlineStr">
        <is>
          <t>charge</t>
        </is>
      </c>
      <c r="E780" s="5" t="n">
        <v>46239</v>
      </c>
      <c r="F780" s="9" t="n">
        <v>85</v>
      </c>
      <c r="G780" s="9" t="n">
        <v>1.79</v>
      </c>
      <c r="H780" s="9" t="n">
        <v>83.20999999999999</v>
      </c>
      <c r="I780" t="inlineStr">
        <is>
          <t>INV/2026/04400</t>
        </is>
      </c>
      <c r="J780" s="9">
        <f>ROUND(F780-G780-H780,2)</f>
        <v>0</v>
      </c>
    </row>
    <row r="781">
      <c r="A781" t="inlineStr">
        <is>
          <t>po_1Q0028KX</t>
        </is>
      </c>
      <c r="B781" s="5" t="n">
        <v>46241</v>
      </c>
      <c r="C781" t="inlineStr">
        <is>
          <t>ch_3Q000776</t>
        </is>
      </c>
      <c r="D781" t="inlineStr">
        <is>
          <t>charge</t>
        </is>
      </c>
      <c r="E781" s="5" t="n">
        <v>46239</v>
      </c>
      <c r="F781" s="9" t="n">
        <v>95</v>
      </c>
      <c r="G781" s="9" t="n">
        <v>1.96</v>
      </c>
      <c r="H781" s="9" t="n">
        <v>93.04000000000001</v>
      </c>
      <c r="I781" t="inlineStr">
        <is>
          <t>INV/2026/04401</t>
        </is>
      </c>
      <c r="J781" s="9">
        <f>ROUND(F781-G781-H781,2)</f>
        <v>0</v>
      </c>
    </row>
    <row r="782">
      <c r="A782" t="inlineStr">
        <is>
          <t>po_1Q0028KX</t>
        </is>
      </c>
      <c r="B782" s="5" t="n">
        <v>46241</v>
      </c>
      <c r="C782" t="inlineStr">
        <is>
          <t>ch_3Q000777</t>
        </is>
      </c>
      <c r="D782" t="inlineStr">
        <is>
          <t>charge</t>
        </is>
      </c>
      <c r="E782" s="5" t="n">
        <v>46239</v>
      </c>
      <c r="F782" s="9" t="n">
        <v>135</v>
      </c>
      <c r="G782" s="9" t="n">
        <v>2.66</v>
      </c>
      <c r="H782" s="9" t="n">
        <v>132.34</v>
      </c>
      <c r="I782" t="inlineStr">
        <is>
          <t>INV/2026/04402</t>
        </is>
      </c>
      <c r="J782" s="9">
        <f>ROUND(F782-G782-H782,2)</f>
        <v>0</v>
      </c>
    </row>
    <row r="783">
      <c r="A783" t="inlineStr">
        <is>
          <t>po_1Q0028KX</t>
        </is>
      </c>
      <c r="B783" s="5" t="n">
        <v>46241</v>
      </c>
      <c r="C783" t="inlineStr">
        <is>
          <t>ch_3Q000778</t>
        </is>
      </c>
      <c r="D783" t="inlineStr">
        <is>
          <t>charge</t>
        </is>
      </c>
      <c r="E783" s="5" t="n">
        <v>46239</v>
      </c>
      <c r="F783" s="9" t="n">
        <v>85</v>
      </c>
      <c r="G783" s="9" t="n">
        <v>1.79</v>
      </c>
      <c r="H783" s="9" t="n">
        <v>83.20999999999999</v>
      </c>
      <c r="I783" t="inlineStr">
        <is>
          <t>INV/2026/04403</t>
        </is>
      </c>
      <c r="J783" s="9">
        <f>ROUND(F783-G783-H783,2)</f>
        <v>0</v>
      </c>
    </row>
    <row r="784">
      <c r="A784" t="inlineStr">
        <is>
          <t>po_1Q0028KX</t>
        </is>
      </c>
      <c r="B784" s="5" t="n">
        <v>46241</v>
      </c>
      <c r="C784" t="inlineStr">
        <is>
          <t>ch_3Q000779</t>
        </is>
      </c>
      <c r="D784" t="inlineStr">
        <is>
          <t>charge</t>
        </is>
      </c>
      <c r="E784" s="5" t="n">
        <v>46239</v>
      </c>
      <c r="F784" s="9" t="n">
        <v>65</v>
      </c>
      <c r="G784" s="9" t="n">
        <v>1.44</v>
      </c>
      <c r="H784" s="9" t="n">
        <v>63.56</v>
      </c>
      <c r="I784" t="inlineStr">
        <is>
          <t>INV/2026/04404</t>
        </is>
      </c>
      <c r="J784" s="9">
        <f>ROUND(F784-G784-H784,2)</f>
        <v>0</v>
      </c>
    </row>
    <row r="785">
      <c r="A785" t="inlineStr">
        <is>
          <t>po_1Q0028KX</t>
        </is>
      </c>
      <c r="B785" s="5" t="n">
        <v>46241</v>
      </c>
      <c r="C785" t="inlineStr">
        <is>
          <t>ch_3Q000780</t>
        </is>
      </c>
      <c r="D785" t="inlineStr">
        <is>
          <t>charge</t>
        </is>
      </c>
      <c r="E785" s="5" t="n">
        <v>46239</v>
      </c>
      <c r="F785" s="9" t="n">
        <v>120</v>
      </c>
      <c r="G785" s="9" t="n">
        <v>2.4</v>
      </c>
      <c r="H785" s="9" t="n">
        <v>117.6</v>
      </c>
      <c r="I785" t="inlineStr">
        <is>
          <t>INV/2026/04405</t>
        </is>
      </c>
      <c r="J785" s="9">
        <f>ROUND(F785-G785-H785,2)</f>
        <v>0</v>
      </c>
    </row>
    <row r="786">
      <c r="A786" t="inlineStr">
        <is>
          <t>po_1Q0028KX</t>
        </is>
      </c>
      <c r="B786" s="5" t="n">
        <v>46241</v>
      </c>
      <c r="C786" t="inlineStr">
        <is>
          <t>ch_3Q000781</t>
        </is>
      </c>
      <c r="D786" t="inlineStr">
        <is>
          <t>charge</t>
        </is>
      </c>
      <c r="E786" s="5" t="n">
        <v>46239</v>
      </c>
      <c r="F786" s="9" t="n">
        <v>180</v>
      </c>
      <c r="G786" s="9" t="n">
        <v>3.45</v>
      </c>
      <c r="H786" s="9" t="n">
        <v>176.55</v>
      </c>
      <c r="I786" t="inlineStr">
        <is>
          <t>INV/2026/04406</t>
        </is>
      </c>
      <c r="J786" s="9">
        <f>ROUND(F786-G786-H786,2)</f>
        <v>0</v>
      </c>
    </row>
    <row r="787">
      <c r="A787" t="inlineStr">
        <is>
          <t>po_1Q0028KX</t>
        </is>
      </c>
      <c r="B787" s="5" t="n">
        <v>46241</v>
      </c>
      <c r="C787" t="inlineStr">
        <is>
          <t>ch_3Q000782</t>
        </is>
      </c>
      <c r="D787" t="inlineStr">
        <is>
          <t>charge</t>
        </is>
      </c>
      <c r="E787" s="5" t="n">
        <v>46239</v>
      </c>
      <c r="F787" s="9" t="n">
        <v>135</v>
      </c>
      <c r="G787" s="9" t="n">
        <v>2.66</v>
      </c>
      <c r="H787" s="9" t="n">
        <v>132.34</v>
      </c>
      <c r="I787" t="inlineStr">
        <is>
          <t>INV/2026/04407</t>
        </is>
      </c>
      <c r="J787" s="9">
        <f>ROUND(F787-G787-H787,2)</f>
        <v>0</v>
      </c>
    </row>
    <row r="788">
      <c r="A788" t="inlineStr">
        <is>
          <t>po_1Q0028KX</t>
        </is>
      </c>
      <c r="B788" s="5" t="n">
        <v>46241</v>
      </c>
      <c r="C788" t="inlineStr">
        <is>
          <t>ch_3Q000783</t>
        </is>
      </c>
      <c r="D788" t="inlineStr">
        <is>
          <t>charge</t>
        </is>
      </c>
      <c r="E788" s="5" t="n">
        <v>46239</v>
      </c>
      <c r="F788" s="9" t="n">
        <v>135</v>
      </c>
      <c r="G788" s="9" t="n">
        <v>2.66</v>
      </c>
      <c r="H788" s="9" t="n">
        <v>132.34</v>
      </c>
      <c r="I788" t="inlineStr">
        <is>
          <t>INV/2026/04408</t>
        </is>
      </c>
      <c r="J788" s="9">
        <f>ROUND(F788-G788-H788,2)</f>
        <v>0</v>
      </c>
    </row>
    <row r="789">
      <c r="A789" t="inlineStr">
        <is>
          <t>po_1Q0028KX</t>
        </is>
      </c>
      <c r="B789" s="5" t="n">
        <v>46241</v>
      </c>
      <c r="C789" t="inlineStr">
        <is>
          <t>ch_3Q000784</t>
        </is>
      </c>
      <c r="D789" t="inlineStr">
        <is>
          <t>charge</t>
        </is>
      </c>
      <c r="E789" s="5" t="n">
        <v>46239</v>
      </c>
      <c r="F789" s="9" t="n">
        <v>220</v>
      </c>
      <c r="G789" s="9" t="n">
        <v>4.15</v>
      </c>
      <c r="H789" s="9" t="n">
        <v>215.85</v>
      </c>
      <c r="I789" t="inlineStr">
        <is>
          <t>INV/2026/04409</t>
        </is>
      </c>
      <c r="J789" s="9">
        <f>ROUND(F789-G789-H789,2)</f>
        <v>0</v>
      </c>
    </row>
    <row r="790">
      <c r="A790" t="inlineStr">
        <is>
          <t>po_1Q0028KX</t>
        </is>
      </c>
      <c r="B790" s="5" t="n">
        <v>46241</v>
      </c>
      <c r="C790" t="inlineStr">
        <is>
          <t>ch_3Q000785</t>
        </is>
      </c>
      <c r="D790" t="inlineStr">
        <is>
          <t>charge</t>
        </is>
      </c>
      <c r="E790" s="5" t="n">
        <v>46239</v>
      </c>
      <c r="F790" s="9" t="n">
        <v>85</v>
      </c>
      <c r="G790" s="9" t="n">
        <v>1.79</v>
      </c>
      <c r="H790" s="9" t="n">
        <v>83.20999999999999</v>
      </c>
      <c r="I790" t="inlineStr">
        <is>
          <t>INV/2026/04410</t>
        </is>
      </c>
      <c r="J790" s="9">
        <f>ROUND(F790-G790-H790,2)</f>
        <v>0</v>
      </c>
    </row>
    <row r="791">
      <c r="A791" t="inlineStr">
        <is>
          <t>po_1Q0028KX</t>
        </is>
      </c>
      <c r="B791" s="5" t="n">
        <v>46241</v>
      </c>
      <c r="C791" t="inlineStr">
        <is>
          <t>ch_3Q000786</t>
        </is>
      </c>
      <c r="D791" t="inlineStr">
        <is>
          <t>charge</t>
        </is>
      </c>
      <c r="E791" s="5" t="n">
        <v>46239</v>
      </c>
      <c r="F791" s="9" t="n">
        <v>85</v>
      </c>
      <c r="G791" s="9" t="n">
        <v>1.79</v>
      </c>
      <c r="H791" s="9" t="n">
        <v>83.20999999999999</v>
      </c>
      <c r="I791" t="inlineStr">
        <is>
          <t>INV/2026/04411</t>
        </is>
      </c>
      <c r="J791" s="9">
        <f>ROUND(F791-G791-H791,2)</f>
        <v>0</v>
      </c>
    </row>
    <row r="792">
      <c r="A792" t="inlineStr">
        <is>
          <t>po_1Q0028KX</t>
        </is>
      </c>
      <c r="B792" s="5" t="n">
        <v>46241</v>
      </c>
      <c r="C792" t="inlineStr">
        <is>
          <t>ch_3Q000787</t>
        </is>
      </c>
      <c r="D792" t="inlineStr">
        <is>
          <t>charge</t>
        </is>
      </c>
      <c r="E792" s="5" t="n">
        <v>46239</v>
      </c>
      <c r="F792" s="9" t="n">
        <v>135</v>
      </c>
      <c r="G792" s="9" t="n">
        <v>2.66</v>
      </c>
      <c r="H792" s="9" t="n">
        <v>132.34</v>
      </c>
      <c r="I792" t="inlineStr">
        <is>
          <t>INV/2026/04412</t>
        </is>
      </c>
      <c r="J792" s="9">
        <f>ROUND(F792-G792-H792,2)</f>
        <v>0</v>
      </c>
    </row>
    <row r="793">
      <c r="A793" t="inlineStr">
        <is>
          <t>po_1Q0028KX</t>
        </is>
      </c>
      <c r="B793" s="5" t="n">
        <v>46241</v>
      </c>
      <c r="C793" t="inlineStr">
        <is>
          <t>ch_3Q000788</t>
        </is>
      </c>
      <c r="D793" t="inlineStr">
        <is>
          <t>charge</t>
        </is>
      </c>
      <c r="E793" s="5" t="n">
        <v>46239</v>
      </c>
      <c r="F793" s="9" t="n">
        <v>85</v>
      </c>
      <c r="G793" s="9" t="n">
        <v>1.79</v>
      </c>
      <c r="H793" s="9" t="n">
        <v>83.20999999999999</v>
      </c>
      <c r="I793" t="inlineStr">
        <is>
          <t>INV/2026/04413</t>
        </is>
      </c>
      <c r="J793" s="9">
        <f>ROUND(F793-G793-H793,2)</f>
        <v>0</v>
      </c>
    </row>
    <row r="794">
      <c r="A794" t="inlineStr">
        <is>
          <t>po_1Q0029KX</t>
        </is>
      </c>
      <c r="B794" s="5" t="n">
        <v>46244</v>
      </c>
      <c r="C794" t="inlineStr">
        <is>
          <t>ch_3Q000789</t>
        </is>
      </c>
      <c r="D794" t="inlineStr">
        <is>
          <t>charge</t>
        </is>
      </c>
      <c r="E794" s="5" t="n">
        <v>46240</v>
      </c>
      <c r="F794" s="9" t="n">
        <v>135</v>
      </c>
      <c r="G794" s="9" t="n">
        <v>2.66</v>
      </c>
      <c r="H794" s="9" t="n">
        <v>132.34</v>
      </c>
      <c r="I794" t="inlineStr">
        <is>
          <t>INV/2026/04414</t>
        </is>
      </c>
      <c r="J794" s="9">
        <f>ROUND(F794-G794-H794,2)</f>
        <v>0</v>
      </c>
    </row>
    <row r="795">
      <c r="A795" t="inlineStr">
        <is>
          <t>po_1Q0029KX</t>
        </is>
      </c>
      <c r="B795" s="5" t="n">
        <v>46244</v>
      </c>
      <c r="C795" t="inlineStr">
        <is>
          <t>ch_3Q000790</t>
        </is>
      </c>
      <c r="D795" t="inlineStr">
        <is>
          <t>charge</t>
        </is>
      </c>
      <c r="E795" s="5" t="n">
        <v>46240</v>
      </c>
      <c r="F795" s="9" t="n">
        <v>110</v>
      </c>
      <c r="G795" s="9" t="n">
        <v>2.23</v>
      </c>
      <c r="H795" s="9" t="n">
        <v>107.77</v>
      </c>
      <c r="I795" t="inlineStr">
        <is>
          <t>INV/2026/04415</t>
        </is>
      </c>
      <c r="J795" s="9">
        <f>ROUND(F795-G795-H795,2)</f>
        <v>0</v>
      </c>
    </row>
    <row r="796">
      <c r="A796" t="inlineStr">
        <is>
          <t>po_1Q0029KX</t>
        </is>
      </c>
      <c r="B796" s="5" t="n">
        <v>46244</v>
      </c>
      <c r="C796" t="inlineStr">
        <is>
          <t>ch_3Q000791</t>
        </is>
      </c>
      <c r="D796" t="inlineStr">
        <is>
          <t>charge</t>
        </is>
      </c>
      <c r="E796" s="5" t="n">
        <v>46240</v>
      </c>
      <c r="F796" s="9" t="n">
        <v>150</v>
      </c>
      <c r="G796" s="9" t="n">
        <v>2.93</v>
      </c>
      <c r="H796" s="9" t="n">
        <v>147.07</v>
      </c>
      <c r="I796" t="inlineStr">
        <is>
          <t>INV/2026/04416</t>
        </is>
      </c>
      <c r="J796" s="9">
        <f>ROUND(F796-G796-H796,2)</f>
        <v>0</v>
      </c>
    </row>
    <row r="797">
      <c r="A797" t="inlineStr">
        <is>
          <t>po_1Q0029KX</t>
        </is>
      </c>
      <c r="B797" s="5" t="n">
        <v>46244</v>
      </c>
      <c r="C797" t="inlineStr">
        <is>
          <t>ch_3Q000792</t>
        </is>
      </c>
      <c r="D797" t="inlineStr">
        <is>
          <t>charge</t>
        </is>
      </c>
      <c r="E797" s="5" t="n">
        <v>46240</v>
      </c>
      <c r="F797" s="9" t="n">
        <v>85</v>
      </c>
      <c r="G797" s="9" t="n">
        <v>1.79</v>
      </c>
      <c r="H797" s="9" t="n">
        <v>83.20999999999999</v>
      </c>
      <c r="I797" t="inlineStr">
        <is>
          <t>INV/2026/04417</t>
        </is>
      </c>
      <c r="J797" s="9">
        <f>ROUND(F797-G797-H797,2)</f>
        <v>0</v>
      </c>
    </row>
    <row r="798">
      <c r="A798" t="inlineStr">
        <is>
          <t>po_1Q0029KX</t>
        </is>
      </c>
      <c r="B798" s="5" t="n">
        <v>46244</v>
      </c>
      <c r="C798" t="inlineStr">
        <is>
          <t>ch_3Q000793</t>
        </is>
      </c>
      <c r="D798" t="inlineStr">
        <is>
          <t>charge</t>
        </is>
      </c>
      <c r="E798" s="5" t="n">
        <v>46240</v>
      </c>
      <c r="F798" s="9" t="n">
        <v>150</v>
      </c>
      <c r="G798" s="9" t="n">
        <v>2.93</v>
      </c>
      <c r="H798" s="9" t="n">
        <v>147.07</v>
      </c>
      <c r="I798" t="inlineStr">
        <is>
          <t>INV/2026/04418</t>
        </is>
      </c>
      <c r="J798" s="9">
        <f>ROUND(F798-G798-H798,2)</f>
        <v>0</v>
      </c>
    </row>
    <row r="799">
      <c r="A799" t="inlineStr">
        <is>
          <t>po_1Q0029KX</t>
        </is>
      </c>
      <c r="B799" s="5" t="n">
        <v>46244</v>
      </c>
      <c r="C799" t="inlineStr">
        <is>
          <t>ch_3Q000794</t>
        </is>
      </c>
      <c r="D799" t="inlineStr">
        <is>
          <t>charge</t>
        </is>
      </c>
      <c r="E799" s="5" t="n">
        <v>46240</v>
      </c>
      <c r="F799" s="9" t="n">
        <v>85</v>
      </c>
      <c r="G799" s="9" t="n">
        <v>1.79</v>
      </c>
      <c r="H799" s="9" t="n">
        <v>83.20999999999999</v>
      </c>
      <c r="I799" t="inlineStr">
        <is>
          <t>INV/2026/04419</t>
        </is>
      </c>
      <c r="J799" s="9">
        <f>ROUND(F799-G799-H799,2)</f>
        <v>0</v>
      </c>
    </row>
    <row r="800">
      <c r="A800" t="inlineStr">
        <is>
          <t>po_1Q0029KX</t>
        </is>
      </c>
      <c r="B800" s="5" t="n">
        <v>46244</v>
      </c>
      <c r="C800" t="inlineStr">
        <is>
          <t>ch_3Q000795</t>
        </is>
      </c>
      <c r="D800" t="inlineStr">
        <is>
          <t>charge</t>
        </is>
      </c>
      <c r="E800" s="5" t="n">
        <v>46240</v>
      </c>
      <c r="F800" s="9" t="n">
        <v>85</v>
      </c>
      <c r="G800" s="9" t="n">
        <v>1.79</v>
      </c>
      <c r="H800" s="9" t="n">
        <v>83.20999999999999</v>
      </c>
      <c r="I800" t="inlineStr">
        <is>
          <t>INV/2026/04420</t>
        </is>
      </c>
      <c r="J800" s="9">
        <f>ROUND(F800-G800-H800,2)</f>
        <v>0</v>
      </c>
    </row>
    <row r="801">
      <c r="A801" t="inlineStr">
        <is>
          <t>po_1Q0029KX</t>
        </is>
      </c>
      <c r="B801" s="5" t="n">
        <v>46244</v>
      </c>
      <c r="C801" t="inlineStr">
        <is>
          <t>ch_3Q000796</t>
        </is>
      </c>
      <c r="D801" t="inlineStr">
        <is>
          <t>charge</t>
        </is>
      </c>
      <c r="E801" s="5" t="n">
        <v>46240</v>
      </c>
      <c r="F801" s="9" t="n">
        <v>180</v>
      </c>
      <c r="G801" s="9" t="n">
        <v>3.45</v>
      </c>
      <c r="H801" s="9" t="n">
        <v>176.55</v>
      </c>
      <c r="I801" t="inlineStr">
        <is>
          <t>INV/2026/04421</t>
        </is>
      </c>
      <c r="J801" s="9">
        <f>ROUND(F801-G801-H801,2)</f>
        <v>0</v>
      </c>
    </row>
    <row r="802">
      <c r="A802" t="inlineStr">
        <is>
          <t>po_1Q0029KX</t>
        </is>
      </c>
      <c r="B802" s="5" t="n">
        <v>46244</v>
      </c>
      <c r="C802" t="inlineStr">
        <is>
          <t>ch_3Q000797</t>
        </is>
      </c>
      <c r="D802" t="inlineStr">
        <is>
          <t>charge</t>
        </is>
      </c>
      <c r="E802" s="5" t="n">
        <v>46240</v>
      </c>
      <c r="F802" s="9" t="n">
        <v>95</v>
      </c>
      <c r="G802" s="9" t="n">
        <v>1.96</v>
      </c>
      <c r="H802" s="9" t="n">
        <v>93.04000000000001</v>
      </c>
      <c r="I802" t="inlineStr">
        <is>
          <t>INV/2026/04422</t>
        </is>
      </c>
      <c r="J802" s="9">
        <f>ROUND(F802-G802-H802,2)</f>
        <v>0</v>
      </c>
    </row>
    <row r="803">
      <c r="A803" t="inlineStr">
        <is>
          <t>po_1Q0029KX</t>
        </is>
      </c>
      <c r="B803" s="5" t="n">
        <v>46244</v>
      </c>
      <c r="C803" t="inlineStr">
        <is>
          <t>ch_3Q000798</t>
        </is>
      </c>
      <c r="D803" t="inlineStr">
        <is>
          <t>charge</t>
        </is>
      </c>
      <c r="E803" s="5" t="n">
        <v>46240</v>
      </c>
      <c r="F803" s="9" t="n">
        <v>150</v>
      </c>
      <c r="G803" s="9" t="n">
        <v>2.93</v>
      </c>
      <c r="H803" s="9" t="n">
        <v>147.07</v>
      </c>
      <c r="I803" t="inlineStr">
        <is>
          <t>INV/2026/04423</t>
        </is>
      </c>
      <c r="J803" s="9">
        <f>ROUND(F803-G803-H803,2)</f>
        <v>0</v>
      </c>
    </row>
    <row r="804">
      <c r="A804" t="inlineStr">
        <is>
          <t>po_1Q0029KX</t>
        </is>
      </c>
      <c r="B804" s="5" t="n">
        <v>46244</v>
      </c>
      <c r="C804" t="inlineStr">
        <is>
          <t>ch_3Q000799</t>
        </is>
      </c>
      <c r="D804" t="inlineStr">
        <is>
          <t>charge</t>
        </is>
      </c>
      <c r="E804" s="5" t="n">
        <v>46240</v>
      </c>
      <c r="F804" s="9" t="n">
        <v>220</v>
      </c>
      <c r="G804" s="9" t="n">
        <v>4.15</v>
      </c>
      <c r="H804" s="9" t="n">
        <v>215.85</v>
      </c>
      <c r="I804" t="inlineStr">
        <is>
          <t>INV/2026/04424</t>
        </is>
      </c>
      <c r="J804" s="9">
        <f>ROUND(F804-G804-H804,2)</f>
        <v>0</v>
      </c>
    </row>
    <row r="805">
      <c r="A805" t="inlineStr">
        <is>
          <t>po_1Q0029KX</t>
        </is>
      </c>
      <c r="B805" s="5" t="n">
        <v>46244</v>
      </c>
      <c r="C805" t="inlineStr">
        <is>
          <t>ch_3Q000800</t>
        </is>
      </c>
      <c r="D805" t="inlineStr">
        <is>
          <t>charge</t>
        </is>
      </c>
      <c r="E805" s="5" t="n">
        <v>46240</v>
      </c>
      <c r="F805" s="9" t="n">
        <v>65</v>
      </c>
      <c r="G805" s="9" t="n">
        <v>1.44</v>
      </c>
      <c r="H805" s="9" t="n">
        <v>63.56</v>
      </c>
      <c r="I805" t="inlineStr">
        <is>
          <t>INV/2026/04425</t>
        </is>
      </c>
      <c r="J805" s="9">
        <f>ROUND(F805-G805-H805,2)</f>
        <v>0</v>
      </c>
    </row>
    <row r="806">
      <c r="A806" t="inlineStr">
        <is>
          <t>po_1Q0029KX</t>
        </is>
      </c>
      <c r="B806" s="5" t="n">
        <v>46244</v>
      </c>
      <c r="C806" t="inlineStr">
        <is>
          <t>ch_3Q000801</t>
        </is>
      </c>
      <c r="D806" t="inlineStr">
        <is>
          <t>charge</t>
        </is>
      </c>
      <c r="E806" s="5" t="n">
        <v>46240</v>
      </c>
      <c r="F806" s="9" t="n">
        <v>95</v>
      </c>
      <c r="G806" s="9" t="n">
        <v>1.96</v>
      </c>
      <c r="H806" s="9" t="n">
        <v>93.04000000000001</v>
      </c>
      <c r="I806" t="inlineStr">
        <is>
          <t>INV/2026/04426</t>
        </is>
      </c>
      <c r="J806" s="9">
        <f>ROUND(F806-G806-H806,2)</f>
        <v>0</v>
      </c>
    </row>
    <row r="807">
      <c r="A807" t="inlineStr">
        <is>
          <t>po_1Q0029KX</t>
        </is>
      </c>
      <c r="B807" s="5" t="n">
        <v>46244</v>
      </c>
      <c r="C807" t="inlineStr">
        <is>
          <t>ch_3Q000802</t>
        </is>
      </c>
      <c r="D807" t="inlineStr">
        <is>
          <t>charge</t>
        </is>
      </c>
      <c r="E807" s="5" t="n">
        <v>46240</v>
      </c>
      <c r="F807" s="9" t="n">
        <v>65</v>
      </c>
      <c r="G807" s="9" t="n">
        <v>1.44</v>
      </c>
      <c r="H807" s="9" t="n">
        <v>63.56</v>
      </c>
      <c r="I807" t="inlineStr">
        <is>
          <t>INV/2026/04427</t>
        </is>
      </c>
      <c r="J807" s="9">
        <f>ROUND(F807-G807-H807,2)</f>
        <v>0</v>
      </c>
    </row>
    <row r="808">
      <c r="A808" t="inlineStr">
        <is>
          <t>po_1Q0029KX</t>
        </is>
      </c>
      <c r="B808" s="5" t="n">
        <v>46244</v>
      </c>
      <c r="C808" t="inlineStr">
        <is>
          <t>ch_3Q000803</t>
        </is>
      </c>
      <c r="D808" t="inlineStr">
        <is>
          <t>charge</t>
        </is>
      </c>
      <c r="E808" s="5" t="n">
        <v>46240</v>
      </c>
      <c r="F808" s="9" t="n">
        <v>135</v>
      </c>
      <c r="G808" s="9" t="n">
        <v>2.66</v>
      </c>
      <c r="H808" s="9" t="n">
        <v>132.34</v>
      </c>
      <c r="I808" t="inlineStr">
        <is>
          <t>INV/2026/04428</t>
        </is>
      </c>
      <c r="J808" s="9">
        <f>ROUND(F808-G808-H808,2)</f>
        <v>0</v>
      </c>
    </row>
    <row r="809">
      <c r="A809" t="inlineStr">
        <is>
          <t>po_1Q0029KX</t>
        </is>
      </c>
      <c r="B809" s="5" t="n">
        <v>46244</v>
      </c>
      <c r="C809" t="inlineStr">
        <is>
          <t>ch_3Q000804</t>
        </is>
      </c>
      <c r="D809" t="inlineStr">
        <is>
          <t>charge</t>
        </is>
      </c>
      <c r="E809" s="5" t="n">
        <v>46240</v>
      </c>
      <c r="F809" s="9" t="n">
        <v>65</v>
      </c>
      <c r="G809" s="9" t="n">
        <v>1.44</v>
      </c>
      <c r="H809" s="9" t="n">
        <v>63.56</v>
      </c>
      <c r="I809" t="inlineStr">
        <is>
          <t>INV/2026/04429</t>
        </is>
      </c>
      <c r="J809" s="9">
        <f>ROUND(F809-G809-H809,2)</f>
        <v>0</v>
      </c>
    </row>
    <row r="810">
      <c r="A810" t="inlineStr">
        <is>
          <t>po_1Q0029KX</t>
        </is>
      </c>
      <c r="B810" s="5" t="n">
        <v>46244</v>
      </c>
      <c r="C810" t="inlineStr">
        <is>
          <t>ch_3Q000805</t>
        </is>
      </c>
      <c r="D810" t="inlineStr">
        <is>
          <t>charge</t>
        </is>
      </c>
      <c r="E810" s="5" t="n">
        <v>46240</v>
      </c>
      <c r="F810" s="9" t="n">
        <v>220</v>
      </c>
      <c r="G810" s="9" t="n">
        <v>4.15</v>
      </c>
      <c r="H810" s="9" t="n">
        <v>215.85</v>
      </c>
      <c r="I810" t="inlineStr">
        <is>
          <t>INV/2026/04430</t>
        </is>
      </c>
      <c r="J810" s="9">
        <f>ROUND(F810-G810-H810,2)</f>
        <v>0</v>
      </c>
    </row>
    <row r="811">
      <c r="A811" t="inlineStr">
        <is>
          <t>po_1Q0029KX</t>
        </is>
      </c>
      <c r="B811" s="5" t="n">
        <v>46244</v>
      </c>
      <c r="C811" t="inlineStr">
        <is>
          <t>ch_3Q000806</t>
        </is>
      </c>
      <c r="D811" t="inlineStr">
        <is>
          <t>charge</t>
        </is>
      </c>
      <c r="E811" s="5" t="n">
        <v>46240</v>
      </c>
      <c r="F811" s="9" t="n">
        <v>120</v>
      </c>
      <c r="G811" s="9" t="n">
        <v>2.4</v>
      </c>
      <c r="H811" s="9" t="n">
        <v>117.6</v>
      </c>
      <c r="I811" t="inlineStr">
        <is>
          <t>INV/2026/04431</t>
        </is>
      </c>
      <c r="J811" s="9">
        <f>ROUND(F811-G811-H811,2)</f>
        <v>0</v>
      </c>
    </row>
    <row r="812">
      <c r="A812" t="inlineStr">
        <is>
          <t>po_1Q0029KX</t>
        </is>
      </c>
      <c r="B812" s="5" t="n">
        <v>46244</v>
      </c>
      <c r="C812" t="inlineStr">
        <is>
          <t>ch_3Q000807</t>
        </is>
      </c>
      <c r="D812" t="inlineStr">
        <is>
          <t>charge</t>
        </is>
      </c>
      <c r="E812" s="5" t="n">
        <v>46240</v>
      </c>
      <c r="F812" s="9" t="n">
        <v>120</v>
      </c>
      <c r="G812" s="9" t="n">
        <v>2.4</v>
      </c>
      <c r="H812" s="9" t="n">
        <v>117.6</v>
      </c>
      <c r="I812" t="inlineStr">
        <is>
          <t>INV/2026/04432</t>
        </is>
      </c>
      <c r="J812" s="9">
        <f>ROUND(F812-G812-H812,2)</f>
        <v>0</v>
      </c>
    </row>
    <row r="813">
      <c r="A813" t="inlineStr">
        <is>
          <t>po_1Q0029KX</t>
        </is>
      </c>
      <c r="B813" s="5" t="n">
        <v>46244</v>
      </c>
      <c r="C813" t="inlineStr">
        <is>
          <t>ch_3Q000808</t>
        </is>
      </c>
      <c r="D813" t="inlineStr">
        <is>
          <t>charge</t>
        </is>
      </c>
      <c r="E813" s="5" t="n">
        <v>46240</v>
      </c>
      <c r="F813" s="9" t="n">
        <v>110</v>
      </c>
      <c r="G813" s="9" t="n">
        <v>2.23</v>
      </c>
      <c r="H813" s="9" t="n">
        <v>107.77</v>
      </c>
      <c r="I813" t="inlineStr">
        <is>
          <t>INV/2026/04433</t>
        </is>
      </c>
      <c r="J813" s="9">
        <f>ROUND(F813-G813-H813,2)</f>
        <v>0</v>
      </c>
    </row>
    <row r="814">
      <c r="A814" t="inlineStr">
        <is>
          <t>po_1Q0029KX</t>
        </is>
      </c>
      <c r="B814" s="5" t="n">
        <v>46244</v>
      </c>
      <c r="C814" t="inlineStr">
        <is>
          <t>ch_3Q000809</t>
        </is>
      </c>
      <c r="D814" t="inlineStr">
        <is>
          <t>charge</t>
        </is>
      </c>
      <c r="E814" s="5" t="n">
        <v>46240</v>
      </c>
      <c r="F814" s="9" t="n">
        <v>220</v>
      </c>
      <c r="G814" s="9" t="n">
        <v>4.15</v>
      </c>
      <c r="H814" s="9" t="n">
        <v>215.85</v>
      </c>
      <c r="I814" t="inlineStr">
        <is>
          <t>INV/2026/04434</t>
        </is>
      </c>
      <c r="J814" s="9">
        <f>ROUND(F814-G814-H814,2)</f>
        <v>0</v>
      </c>
    </row>
    <row r="815">
      <c r="A815" t="inlineStr">
        <is>
          <t>po_1Q0029KX</t>
        </is>
      </c>
      <c r="B815" s="5" t="n">
        <v>46244</v>
      </c>
      <c r="C815" t="inlineStr">
        <is>
          <t>ch_3Q000810</t>
        </is>
      </c>
      <c r="D815" t="inlineStr">
        <is>
          <t>charge</t>
        </is>
      </c>
      <c r="E815" s="5" t="n">
        <v>46240</v>
      </c>
      <c r="F815" s="9" t="n">
        <v>135</v>
      </c>
      <c r="G815" s="9" t="n">
        <v>2.66</v>
      </c>
      <c r="H815" s="9" t="n">
        <v>132.34</v>
      </c>
      <c r="I815" t="inlineStr">
        <is>
          <t>INV/2026/04435</t>
        </is>
      </c>
      <c r="J815" s="9">
        <f>ROUND(F815-G815-H815,2)</f>
        <v>0</v>
      </c>
    </row>
    <row r="816">
      <c r="A816" t="inlineStr">
        <is>
          <t>po_1Q0029KX</t>
        </is>
      </c>
      <c r="B816" s="5" t="n">
        <v>46244</v>
      </c>
      <c r="C816" t="inlineStr">
        <is>
          <t>ch_3Q000811</t>
        </is>
      </c>
      <c r="D816" t="inlineStr">
        <is>
          <t>charge</t>
        </is>
      </c>
      <c r="E816" s="5" t="n">
        <v>46240</v>
      </c>
      <c r="F816" s="9" t="n">
        <v>95</v>
      </c>
      <c r="G816" s="9" t="n">
        <v>1.96</v>
      </c>
      <c r="H816" s="9" t="n">
        <v>93.04000000000001</v>
      </c>
      <c r="I816" t="inlineStr">
        <is>
          <t>INV/2026/04436</t>
        </is>
      </c>
      <c r="J816" s="9">
        <f>ROUND(F816-G816-H816,2)</f>
        <v>0</v>
      </c>
    </row>
    <row r="817">
      <c r="A817" t="inlineStr">
        <is>
          <t>po_1Q0029KX</t>
        </is>
      </c>
      <c r="B817" s="5" t="n">
        <v>46244</v>
      </c>
      <c r="C817" t="inlineStr">
        <is>
          <t>ch_3Q000812</t>
        </is>
      </c>
      <c r="D817" t="inlineStr">
        <is>
          <t>charge</t>
        </is>
      </c>
      <c r="E817" s="5" t="n">
        <v>46240</v>
      </c>
      <c r="F817" s="9" t="n">
        <v>135</v>
      </c>
      <c r="G817" s="9" t="n">
        <v>2.66</v>
      </c>
      <c r="H817" s="9" t="n">
        <v>132.34</v>
      </c>
      <c r="I817" t="inlineStr">
        <is>
          <t>INV/2026/04437</t>
        </is>
      </c>
      <c r="J817" s="9">
        <f>ROUND(F817-G817-H817,2)</f>
        <v>0</v>
      </c>
    </row>
    <row r="818">
      <c r="A818" t="inlineStr">
        <is>
          <t>po_1Q0029KX</t>
        </is>
      </c>
      <c r="B818" s="5" t="n">
        <v>46244</v>
      </c>
      <c r="C818" t="inlineStr">
        <is>
          <t>ch_3Q000813</t>
        </is>
      </c>
      <c r="D818" t="inlineStr">
        <is>
          <t>charge</t>
        </is>
      </c>
      <c r="E818" s="5" t="n">
        <v>46240</v>
      </c>
      <c r="F818" s="9" t="n">
        <v>65</v>
      </c>
      <c r="G818" s="9" t="n">
        <v>1.44</v>
      </c>
      <c r="H818" s="9" t="n">
        <v>63.56</v>
      </c>
      <c r="I818" t="inlineStr">
        <is>
          <t>INV/2026/04438</t>
        </is>
      </c>
      <c r="J818" s="9">
        <f>ROUND(F818-G818-H818,2)</f>
        <v>0</v>
      </c>
    </row>
    <row r="819">
      <c r="A819" t="inlineStr">
        <is>
          <t>po_1Q0029KX</t>
        </is>
      </c>
      <c r="B819" s="5" t="n">
        <v>46244</v>
      </c>
      <c r="C819" t="inlineStr">
        <is>
          <t>ch_3Q000814</t>
        </is>
      </c>
      <c r="D819" t="inlineStr">
        <is>
          <t>charge</t>
        </is>
      </c>
      <c r="E819" s="5" t="n">
        <v>46240</v>
      </c>
      <c r="F819" s="9" t="n">
        <v>220</v>
      </c>
      <c r="G819" s="9" t="n">
        <v>4.15</v>
      </c>
      <c r="H819" s="9" t="n">
        <v>215.85</v>
      </c>
      <c r="I819" t="inlineStr">
        <is>
          <t>INV/2026/04439</t>
        </is>
      </c>
      <c r="J819" s="9">
        <f>ROUND(F819-G819-H819,2)</f>
        <v>0</v>
      </c>
    </row>
    <row r="820">
      <c r="A820" t="inlineStr">
        <is>
          <t>po_1Q0029KX</t>
        </is>
      </c>
      <c r="B820" s="5" t="n">
        <v>46244</v>
      </c>
      <c r="C820" t="inlineStr">
        <is>
          <t>ch_3Q000815</t>
        </is>
      </c>
      <c r="D820" t="inlineStr">
        <is>
          <t>charge</t>
        </is>
      </c>
      <c r="E820" s="5" t="n">
        <v>46240</v>
      </c>
      <c r="F820" s="9" t="n">
        <v>120</v>
      </c>
      <c r="G820" s="9" t="n">
        <v>2.4</v>
      </c>
      <c r="H820" s="9" t="n">
        <v>117.6</v>
      </c>
      <c r="I820" t="inlineStr">
        <is>
          <t>INV/2026/04440</t>
        </is>
      </c>
      <c r="J820" s="9">
        <f>ROUND(F820-G820-H820,2)</f>
        <v>0</v>
      </c>
    </row>
    <row r="821">
      <c r="A821" t="inlineStr">
        <is>
          <t>po_1Q0029KX</t>
        </is>
      </c>
      <c r="B821" s="5" t="n">
        <v>46244</v>
      </c>
      <c r="C821" t="inlineStr">
        <is>
          <t>ch_3Q000816</t>
        </is>
      </c>
      <c r="D821" t="inlineStr">
        <is>
          <t>charge</t>
        </is>
      </c>
      <c r="E821" s="5" t="n">
        <v>46240</v>
      </c>
      <c r="F821" s="9" t="n">
        <v>65</v>
      </c>
      <c r="G821" s="9" t="n">
        <v>1.44</v>
      </c>
      <c r="H821" s="9" t="n">
        <v>63.56</v>
      </c>
      <c r="I821" t="inlineStr">
        <is>
          <t>INV/2026/04441</t>
        </is>
      </c>
      <c r="J821" s="9">
        <f>ROUND(F821-G821-H821,2)</f>
        <v>0</v>
      </c>
    </row>
    <row r="822">
      <c r="A822" t="inlineStr">
        <is>
          <t>po_1Q0029KX</t>
        </is>
      </c>
      <c r="B822" s="5" t="n">
        <v>46244</v>
      </c>
      <c r="C822" t="inlineStr">
        <is>
          <t>ch_3Q000817</t>
        </is>
      </c>
      <c r="D822" t="inlineStr">
        <is>
          <t>charge</t>
        </is>
      </c>
      <c r="E822" s="5" t="n">
        <v>46240</v>
      </c>
      <c r="F822" s="9" t="n">
        <v>110</v>
      </c>
      <c r="G822" s="9" t="n">
        <v>2.23</v>
      </c>
      <c r="H822" s="9" t="n">
        <v>107.77</v>
      </c>
      <c r="I822" t="inlineStr">
        <is>
          <t>INV/2026/04442</t>
        </is>
      </c>
      <c r="J822" s="9">
        <f>ROUND(F822-G822-H822,2)</f>
        <v>0</v>
      </c>
    </row>
    <row r="823">
      <c r="A823" t="inlineStr">
        <is>
          <t>po_1Q0029KX</t>
        </is>
      </c>
      <c r="B823" s="5" t="n">
        <v>46244</v>
      </c>
      <c r="C823" t="inlineStr">
        <is>
          <t>ch_3Q000818</t>
        </is>
      </c>
      <c r="D823" t="inlineStr">
        <is>
          <t>charge</t>
        </is>
      </c>
      <c r="E823" s="5" t="n">
        <v>46240</v>
      </c>
      <c r="F823" s="9" t="n">
        <v>95</v>
      </c>
      <c r="G823" s="9" t="n">
        <v>1.96</v>
      </c>
      <c r="H823" s="9" t="n">
        <v>93.04000000000001</v>
      </c>
      <c r="I823" t="inlineStr">
        <is>
          <t>INV/2026/04443</t>
        </is>
      </c>
      <c r="J823" s="9">
        <f>ROUND(F823-G823-H823,2)</f>
        <v>0</v>
      </c>
    </row>
    <row r="824">
      <c r="A824" t="inlineStr">
        <is>
          <t>po_1Q0029KX</t>
        </is>
      </c>
      <c r="B824" s="5" t="n">
        <v>46244</v>
      </c>
      <c r="C824" t="inlineStr">
        <is>
          <t>ch_3Q000819</t>
        </is>
      </c>
      <c r="D824" t="inlineStr">
        <is>
          <t>charge</t>
        </is>
      </c>
      <c r="E824" s="5" t="n">
        <v>46240</v>
      </c>
      <c r="F824" s="9" t="n">
        <v>220</v>
      </c>
      <c r="G824" s="9" t="n">
        <v>4.15</v>
      </c>
      <c r="H824" s="9" t="n">
        <v>215.85</v>
      </c>
      <c r="I824" t="inlineStr">
        <is>
          <t>INV/2026/04444</t>
        </is>
      </c>
      <c r="J824" s="9">
        <f>ROUND(F824-G824-H824,2)</f>
        <v>0</v>
      </c>
    </row>
    <row r="825">
      <c r="A825" t="inlineStr">
        <is>
          <t>po_1Q0029KX</t>
        </is>
      </c>
      <c r="B825" s="5" t="n">
        <v>46244</v>
      </c>
      <c r="C825" t="inlineStr">
        <is>
          <t>ch_3Q000820</t>
        </is>
      </c>
      <c r="D825" t="inlineStr">
        <is>
          <t>charge</t>
        </is>
      </c>
      <c r="E825" s="5" t="n">
        <v>46240</v>
      </c>
      <c r="F825" s="9" t="n">
        <v>110</v>
      </c>
      <c r="G825" s="9" t="n">
        <v>2.23</v>
      </c>
      <c r="H825" s="9" t="n">
        <v>107.77</v>
      </c>
      <c r="I825" t="inlineStr">
        <is>
          <t>INV/2026/04445</t>
        </is>
      </c>
      <c r="J825" s="9">
        <f>ROUND(F825-G825-H825,2)</f>
        <v>0</v>
      </c>
    </row>
    <row r="826">
      <c r="A826" t="inlineStr">
        <is>
          <t>po_1Q0029KX</t>
        </is>
      </c>
      <c r="B826" s="5" t="n">
        <v>46244</v>
      </c>
      <c r="C826" t="inlineStr">
        <is>
          <t>ch_3Q000821</t>
        </is>
      </c>
      <c r="D826" t="inlineStr">
        <is>
          <t>charge</t>
        </is>
      </c>
      <c r="E826" s="5" t="n">
        <v>46240</v>
      </c>
      <c r="F826" s="9" t="n">
        <v>135</v>
      </c>
      <c r="G826" s="9" t="n">
        <v>2.66</v>
      </c>
      <c r="H826" s="9" t="n">
        <v>132.34</v>
      </c>
      <c r="I826" t="inlineStr">
        <is>
          <t>INV/2026/04446</t>
        </is>
      </c>
      <c r="J826" s="9">
        <f>ROUND(F826-G826-H826,2)</f>
        <v>0</v>
      </c>
    </row>
    <row r="827">
      <c r="A827" t="inlineStr">
        <is>
          <t>po_1Q0030KX</t>
        </is>
      </c>
      <c r="B827" s="5" t="n">
        <v>46245</v>
      </c>
      <c r="C827" t="inlineStr">
        <is>
          <t>ch_3Q000822</t>
        </is>
      </c>
      <c r="D827" t="inlineStr">
        <is>
          <t>charge</t>
        </is>
      </c>
      <c r="E827" s="5" t="n">
        <v>46241</v>
      </c>
      <c r="F827" s="9" t="n">
        <v>95</v>
      </c>
      <c r="G827" s="9" t="n">
        <v>1.96</v>
      </c>
      <c r="H827" s="9" t="n">
        <v>93.04000000000001</v>
      </c>
      <c r="I827" t="inlineStr">
        <is>
          <t>INV/2026/04447</t>
        </is>
      </c>
      <c r="J827" s="9">
        <f>ROUND(F827-G827-H827,2)</f>
        <v>0</v>
      </c>
    </row>
    <row r="828">
      <c r="A828" t="inlineStr">
        <is>
          <t>po_1Q0030KX</t>
        </is>
      </c>
      <c r="B828" s="5" t="n">
        <v>46245</v>
      </c>
      <c r="C828" t="inlineStr">
        <is>
          <t>ch_3Q000823</t>
        </is>
      </c>
      <c r="D828" t="inlineStr">
        <is>
          <t>charge</t>
        </is>
      </c>
      <c r="E828" s="5" t="n">
        <v>46241</v>
      </c>
      <c r="F828" s="9" t="n">
        <v>180</v>
      </c>
      <c r="G828" s="9" t="n">
        <v>3.45</v>
      </c>
      <c r="H828" s="9" t="n">
        <v>176.55</v>
      </c>
      <c r="I828" t="inlineStr">
        <is>
          <t>INV/2026/04448</t>
        </is>
      </c>
      <c r="J828" s="9">
        <f>ROUND(F828-G828-H828,2)</f>
        <v>0</v>
      </c>
    </row>
    <row r="829">
      <c r="A829" t="inlineStr">
        <is>
          <t>po_1Q0030KX</t>
        </is>
      </c>
      <c r="B829" s="5" t="n">
        <v>46245</v>
      </c>
      <c r="C829" t="inlineStr">
        <is>
          <t>ch_3Q000824</t>
        </is>
      </c>
      <c r="D829" t="inlineStr">
        <is>
          <t>charge</t>
        </is>
      </c>
      <c r="E829" s="5" t="n">
        <v>46241</v>
      </c>
      <c r="F829" s="9" t="n">
        <v>65</v>
      </c>
      <c r="G829" s="9" t="n">
        <v>1.44</v>
      </c>
      <c r="H829" s="9" t="n">
        <v>63.56</v>
      </c>
      <c r="I829" t="inlineStr">
        <is>
          <t>INV/2026/04449</t>
        </is>
      </c>
      <c r="J829" s="9">
        <f>ROUND(F829-G829-H829,2)</f>
        <v>0</v>
      </c>
    </row>
    <row r="830">
      <c r="A830" t="inlineStr">
        <is>
          <t>po_1Q0030KX</t>
        </is>
      </c>
      <c r="B830" s="5" t="n">
        <v>46245</v>
      </c>
      <c r="C830" t="inlineStr">
        <is>
          <t>ch_3Q000825</t>
        </is>
      </c>
      <c r="D830" t="inlineStr">
        <is>
          <t>charge</t>
        </is>
      </c>
      <c r="E830" s="5" t="n">
        <v>46241</v>
      </c>
      <c r="F830" s="9" t="n">
        <v>180</v>
      </c>
      <c r="G830" s="9" t="n">
        <v>3.45</v>
      </c>
      <c r="H830" s="9" t="n">
        <v>176.55</v>
      </c>
      <c r="I830" t="inlineStr">
        <is>
          <t>INV/2026/04450</t>
        </is>
      </c>
      <c r="J830" s="9">
        <f>ROUND(F830-G830-H830,2)</f>
        <v>0</v>
      </c>
    </row>
    <row r="831">
      <c r="A831" t="inlineStr">
        <is>
          <t>po_1Q0030KX</t>
        </is>
      </c>
      <c r="B831" s="5" t="n">
        <v>46245</v>
      </c>
      <c r="C831" t="inlineStr">
        <is>
          <t>ch_3Q000826</t>
        </is>
      </c>
      <c r="D831" t="inlineStr">
        <is>
          <t>charge</t>
        </is>
      </c>
      <c r="E831" s="5" t="n">
        <v>46241</v>
      </c>
      <c r="F831" s="9" t="n">
        <v>120</v>
      </c>
      <c r="G831" s="9" t="n">
        <v>2.4</v>
      </c>
      <c r="H831" s="9" t="n">
        <v>117.6</v>
      </c>
      <c r="I831" t="inlineStr">
        <is>
          <t>INV/2026/04451</t>
        </is>
      </c>
      <c r="J831" s="9">
        <f>ROUND(F831-G831-H831,2)</f>
        <v>0</v>
      </c>
    </row>
    <row r="832">
      <c r="A832" t="inlineStr">
        <is>
          <t>po_1Q0030KX</t>
        </is>
      </c>
      <c r="B832" s="5" t="n">
        <v>46245</v>
      </c>
      <c r="C832" t="inlineStr">
        <is>
          <t>ch_3Q000827</t>
        </is>
      </c>
      <c r="D832" t="inlineStr">
        <is>
          <t>charge</t>
        </is>
      </c>
      <c r="E832" s="5" t="n">
        <v>46241</v>
      </c>
      <c r="F832" s="9" t="n">
        <v>85</v>
      </c>
      <c r="G832" s="9" t="n">
        <v>1.79</v>
      </c>
      <c r="H832" s="9" t="n">
        <v>83.20999999999999</v>
      </c>
      <c r="I832" t="inlineStr">
        <is>
          <t>INV/2026/04452</t>
        </is>
      </c>
      <c r="J832" s="9">
        <f>ROUND(F832-G832-H832,2)</f>
        <v>0</v>
      </c>
    </row>
    <row r="833">
      <c r="A833" t="inlineStr">
        <is>
          <t>po_1Q0030KX</t>
        </is>
      </c>
      <c r="B833" s="5" t="n">
        <v>46245</v>
      </c>
      <c r="C833" t="inlineStr">
        <is>
          <t>ch_3Q000828</t>
        </is>
      </c>
      <c r="D833" t="inlineStr">
        <is>
          <t>charge</t>
        </is>
      </c>
      <c r="E833" s="5" t="n">
        <v>46241</v>
      </c>
      <c r="F833" s="9" t="n">
        <v>135</v>
      </c>
      <c r="G833" s="9" t="n">
        <v>2.66</v>
      </c>
      <c r="H833" s="9" t="n">
        <v>132.34</v>
      </c>
      <c r="I833" t="inlineStr">
        <is>
          <t>INV/2026/04453</t>
        </is>
      </c>
      <c r="J833" s="9">
        <f>ROUND(F833-G833-H833,2)</f>
        <v>0</v>
      </c>
    </row>
    <row r="834">
      <c r="A834" t="inlineStr">
        <is>
          <t>po_1Q0030KX</t>
        </is>
      </c>
      <c r="B834" s="5" t="n">
        <v>46245</v>
      </c>
      <c r="C834" t="inlineStr">
        <is>
          <t>ch_3Q000829</t>
        </is>
      </c>
      <c r="D834" t="inlineStr">
        <is>
          <t>charge</t>
        </is>
      </c>
      <c r="E834" s="5" t="n">
        <v>46241</v>
      </c>
      <c r="F834" s="9" t="n">
        <v>135</v>
      </c>
      <c r="G834" s="9" t="n">
        <v>2.66</v>
      </c>
      <c r="H834" s="9" t="n">
        <v>132.34</v>
      </c>
      <c r="I834" t="inlineStr">
        <is>
          <t>INV/2026/04454</t>
        </is>
      </c>
      <c r="J834" s="9">
        <f>ROUND(F834-G834-H834,2)</f>
        <v>0</v>
      </c>
    </row>
    <row r="835">
      <c r="A835" t="inlineStr">
        <is>
          <t>po_1Q0030KX</t>
        </is>
      </c>
      <c r="B835" s="5" t="n">
        <v>46245</v>
      </c>
      <c r="C835" t="inlineStr">
        <is>
          <t>ch_3Q000830</t>
        </is>
      </c>
      <c r="D835" t="inlineStr">
        <is>
          <t>charge</t>
        </is>
      </c>
      <c r="E835" s="5" t="n">
        <v>46241</v>
      </c>
      <c r="F835" s="9" t="n">
        <v>110</v>
      </c>
      <c r="G835" s="9" t="n">
        <v>2.23</v>
      </c>
      <c r="H835" s="9" t="n">
        <v>107.77</v>
      </c>
      <c r="I835" t="inlineStr">
        <is>
          <t>INV/2026/04455</t>
        </is>
      </c>
      <c r="J835" s="9">
        <f>ROUND(F835-G835-H835,2)</f>
        <v>0</v>
      </c>
    </row>
    <row r="836">
      <c r="A836" t="inlineStr">
        <is>
          <t>po_1Q0030KX</t>
        </is>
      </c>
      <c r="B836" s="5" t="n">
        <v>46245</v>
      </c>
      <c r="C836" t="inlineStr">
        <is>
          <t>ch_3Q000831</t>
        </is>
      </c>
      <c r="D836" t="inlineStr">
        <is>
          <t>charge</t>
        </is>
      </c>
      <c r="E836" s="5" t="n">
        <v>46241</v>
      </c>
      <c r="F836" s="9" t="n">
        <v>180</v>
      </c>
      <c r="G836" s="9" t="n">
        <v>3.45</v>
      </c>
      <c r="H836" s="9" t="n">
        <v>176.55</v>
      </c>
      <c r="I836" t="inlineStr">
        <is>
          <t>INV/2026/04456</t>
        </is>
      </c>
      <c r="J836" s="9">
        <f>ROUND(F836-G836-H836,2)</f>
        <v>0</v>
      </c>
    </row>
    <row r="837">
      <c r="A837" t="inlineStr">
        <is>
          <t>po_1Q0030KX</t>
        </is>
      </c>
      <c r="B837" s="5" t="n">
        <v>46245</v>
      </c>
      <c r="C837" t="inlineStr">
        <is>
          <t>ch_3Q000832</t>
        </is>
      </c>
      <c r="D837" t="inlineStr">
        <is>
          <t>charge</t>
        </is>
      </c>
      <c r="E837" s="5" t="n">
        <v>46241</v>
      </c>
      <c r="F837" s="9" t="n">
        <v>85</v>
      </c>
      <c r="G837" s="9" t="n">
        <v>1.79</v>
      </c>
      <c r="H837" s="9" t="n">
        <v>83.20999999999999</v>
      </c>
      <c r="I837" t="inlineStr">
        <is>
          <t>INV/2026/04457</t>
        </is>
      </c>
      <c r="J837" s="9">
        <f>ROUND(F837-G837-H837,2)</f>
        <v>0</v>
      </c>
    </row>
    <row r="838">
      <c r="A838" t="inlineStr">
        <is>
          <t>po_1Q0030KX</t>
        </is>
      </c>
      <c r="B838" s="5" t="n">
        <v>46245</v>
      </c>
      <c r="C838" t="inlineStr">
        <is>
          <t>ch_3Q000833</t>
        </is>
      </c>
      <c r="D838" t="inlineStr">
        <is>
          <t>charge</t>
        </is>
      </c>
      <c r="E838" s="5" t="n">
        <v>46241</v>
      </c>
      <c r="F838" s="9" t="n">
        <v>220</v>
      </c>
      <c r="G838" s="9" t="n">
        <v>4.15</v>
      </c>
      <c r="H838" s="9" t="n">
        <v>215.85</v>
      </c>
      <c r="I838" t="inlineStr">
        <is>
          <t>INV/2026/04458</t>
        </is>
      </c>
      <c r="J838" s="9">
        <f>ROUND(F838-G838-H838,2)</f>
        <v>0</v>
      </c>
    </row>
    <row r="839">
      <c r="A839" t="inlineStr">
        <is>
          <t>po_1Q0030KX</t>
        </is>
      </c>
      <c r="B839" s="5" t="n">
        <v>46245</v>
      </c>
      <c r="C839" t="inlineStr">
        <is>
          <t>ch_3Q000834</t>
        </is>
      </c>
      <c r="D839" t="inlineStr">
        <is>
          <t>charge</t>
        </is>
      </c>
      <c r="E839" s="5" t="n">
        <v>46241</v>
      </c>
      <c r="F839" s="9" t="n">
        <v>220</v>
      </c>
      <c r="G839" s="9" t="n">
        <v>4.15</v>
      </c>
      <c r="H839" s="9" t="n">
        <v>215.85</v>
      </c>
      <c r="I839" t="inlineStr">
        <is>
          <t>INV/2026/04459</t>
        </is>
      </c>
      <c r="J839" s="9">
        <f>ROUND(F839-G839-H839,2)</f>
        <v>0</v>
      </c>
    </row>
    <row r="840">
      <c r="A840" t="inlineStr">
        <is>
          <t>po_1Q0030KX</t>
        </is>
      </c>
      <c r="B840" s="5" t="n">
        <v>46245</v>
      </c>
      <c r="C840" t="inlineStr">
        <is>
          <t>ch_3Q000835</t>
        </is>
      </c>
      <c r="D840" t="inlineStr">
        <is>
          <t>charge</t>
        </is>
      </c>
      <c r="E840" s="5" t="n">
        <v>46241</v>
      </c>
      <c r="F840" s="9" t="n">
        <v>65</v>
      </c>
      <c r="G840" s="9" t="n">
        <v>1.44</v>
      </c>
      <c r="H840" s="9" t="n">
        <v>63.56</v>
      </c>
      <c r="I840" t="inlineStr">
        <is>
          <t>INV/2026/04460</t>
        </is>
      </c>
      <c r="J840" s="9">
        <f>ROUND(F840-G840-H840,2)</f>
        <v>0</v>
      </c>
    </row>
    <row r="841">
      <c r="A841" t="inlineStr">
        <is>
          <t>po_1Q0030KX</t>
        </is>
      </c>
      <c r="B841" s="5" t="n">
        <v>46245</v>
      </c>
      <c r="C841" t="inlineStr">
        <is>
          <t>ch_3Q000836</t>
        </is>
      </c>
      <c r="D841" t="inlineStr">
        <is>
          <t>charge</t>
        </is>
      </c>
      <c r="E841" s="5" t="n">
        <v>46241</v>
      </c>
      <c r="F841" s="9" t="n">
        <v>110</v>
      </c>
      <c r="G841" s="9" t="n">
        <v>2.23</v>
      </c>
      <c r="H841" s="9" t="n">
        <v>107.77</v>
      </c>
      <c r="I841" t="inlineStr">
        <is>
          <t>INV/2026/04461</t>
        </is>
      </c>
      <c r="J841" s="9">
        <f>ROUND(F841-G841-H841,2)</f>
        <v>0</v>
      </c>
    </row>
    <row r="842">
      <c r="A842" t="inlineStr">
        <is>
          <t>po_1Q0030KX</t>
        </is>
      </c>
      <c r="B842" s="5" t="n">
        <v>46245</v>
      </c>
      <c r="C842" t="inlineStr">
        <is>
          <t>ch_3Q000837</t>
        </is>
      </c>
      <c r="D842" t="inlineStr">
        <is>
          <t>charge</t>
        </is>
      </c>
      <c r="E842" s="5" t="n">
        <v>46241</v>
      </c>
      <c r="F842" s="9" t="n">
        <v>120</v>
      </c>
      <c r="G842" s="9" t="n">
        <v>2.4</v>
      </c>
      <c r="H842" s="9" t="n">
        <v>117.6</v>
      </c>
      <c r="I842" t="inlineStr">
        <is>
          <t>INV/2026/04462</t>
        </is>
      </c>
      <c r="J842" s="9">
        <f>ROUND(F842-G842-H842,2)</f>
        <v>0</v>
      </c>
    </row>
    <row r="843">
      <c r="A843" t="inlineStr">
        <is>
          <t>po_1Q0030KX</t>
        </is>
      </c>
      <c r="B843" s="5" t="n">
        <v>46245</v>
      </c>
      <c r="C843" t="inlineStr">
        <is>
          <t>ch_3Q000838</t>
        </is>
      </c>
      <c r="D843" t="inlineStr">
        <is>
          <t>charge</t>
        </is>
      </c>
      <c r="E843" s="5" t="n">
        <v>46241</v>
      </c>
      <c r="F843" s="9" t="n">
        <v>135</v>
      </c>
      <c r="G843" s="9" t="n">
        <v>2.66</v>
      </c>
      <c r="H843" s="9" t="n">
        <v>132.34</v>
      </c>
      <c r="I843" t="inlineStr">
        <is>
          <t>INV/2026/04463</t>
        </is>
      </c>
      <c r="J843" s="9">
        <f>ROUND(F843-G843-H843,2)</f>
        <v>0</v>
      </c>
    </row>
    <row r="844">
      <c r="A844" t="inlineStr">
        <is>
          <t>po_1Q0030KX</t>
        </is>
      </c>
      <c r="B844" s="5" t="n">
        <v>46245</v>
      </c>
      <c r="C844" t="inlineStr">
        <is>
          <t>ch_3Q000839</t>
        </is>
      </c>
      <c r="D844" t="inlineStr">
        <is>
          <t>charge</t>
        </is>
      </c>
      <c r="E844" s="5" t="n">
        <v>46241</v>
      </c>
      <c r="F844" s="9" t="n">
        <v>120</v>
      </c>
      <c r="G844" s="9" t="n">
        <v>2.4</v>
      </c>
      <c r="H844" s="9" t="n">
        <v>117.6</v>
      </c>
      <c r="I844" t="inlineStr">
        <is>
          <t>INV/2026/04464</t>
        </is>
      </c>
      <c r="J844" s="9">
        <f>ROUND(F844-G844-H844,2)</f>
        <v>0</v>
      </c>
    </row>
    <row r="845">
      <c r="A845" t="inlineStr">
        <is>
          <t>po_1Q0030KX</t>
        </is>
      </c>
      <c r="B845" s="5" t="n">
        <v>46245</v>
      </c>
      <c r="C845" t="inlineStr">
        <is>
          <t>ch_3Q000840</t>
        </is>
      </c>
      <c r="D845" t="inlineStr">
        <is>
          <t>charge</t>
        </is>
      </c>
      <c r="E845" s="5" t="n">
        <v>46241</v>
      </c>
      <c r="F845" s="9" t="n">
        <v>65</v>
      </c>
      <c r="G845" s="9" t="n">
        <v>1.44</v>
      </c>
      <c r="H845" s="9" t="n">
        <v>63.56</v>
      </c>
      <c r="I845" t="inlineStr">
        <is>
          <t>INV/2026/04465</t>
        </is>
      </c>
      <c r="J845" s="9">
        <f>ROUND(F845-G845-H845,2)</f>
        <v>0</v>
      </c>
    </row>
    <row r="846">
      <c r="A846" t="inlineStr">
        <is>
          <t>po_1Q0030KX</t>
        </is>
      </c>
      <c r="B846" s="5" t="n">
        <v>46245</v>
      </c>
      <c r="C846" t="inlineStr">
        <is>
          <t>ch_3Q000841</t>
        </is>
      </c>
      <c r="D846" t="inlineStr">
        <is>
          <t>charge</t>
        </is>
      </c>
      <c r="E846" s="5" t="n">
        <v>46241</v>
      </c>
      <c r="F846" s="9" t="n">
        <v>65</v>
      </c>
      <c r="G846" s="9" t="n">
        <v>1.44</v>
      </c>
      <c r="H846" s="9" t="n">
        <v>63.56</v>
      </c>
      <c r="I846" t="inlineStr">
        <is>
          <t>INV/2026/04466</t>
        </is>
      </c>
      <c r="J846" s="9">
        <f>ROUND(F846-G846-H846,2)</f>
        <v>0</v>
      </c>
    </row>
    <row r="847">
      <c r="A847" t="inlineStr">
        <is>
          <t>po_1Q0030KX</t>
        </is>
      </c>
      <c r="B847" s="5" t="n">
        <v>46245</v>
      </c>
      <c r="C847" t="inlineStr">
        <is>
          <t>ch_3Q000842</t>
        </is>
      </c>
      <c r="D847" t="inlineStr">
        <is>
          <t>charge</t>
        </is>
      </c>
      <c r="E847" s="5" t="n">
        <v>46241</v>
      </c>
      <c r="F847" s="9" t="n">
        <v>150</v>
      </c>
      <c r="G847" s="9" t="n">
        <v>2.93</v>
      </c>
      <c r="H847" s="9" t="n">
        <v>147.07</v>
      </c>
      <c r="I847" t="inlineStr">
        <is>
          <t>INV/2026/04467</t>
        </is>
      </c>
      <c r="J847" s="9">
        <f>ROUND(F847-G847-H847,2)</f>
        <v>0</v>
      </c>
    </row>
    <row r="848">
      <c r="A848" t="inlineStr">
        <is>
          <t>po_1Q0030KX</t>
        </is>
      </c>
      <c r="B848" s="5" t="n">
        <v>46245</v>
      </c>
      <c r="C848" t="inlineStr">
        <is>
          <t>ch_3Q000843</t>
        </is>
      </c>
      <c r="D848" t="inlineStr">
        <is>
          <t>charge</t>
        </is>
      </c>
      <c r="E848" s="5" t="n">
        <v>46241</v>
      </c>
      <c r="F848" s="9" t="n">
        <v>180</v>
      </c>
      <c r="G848" s="9" t="n">
        <v>3.45</v>
      </c>
      <c r="H848" s="9" t="n">
        <v>176.55</v>
      </c>
      <c r="I848" t="inlineStr">
        <is>
          <t>INV/2026/04468</t>
        </is>
      </c>
      <c r="J848" s="9">
        <f>ROUND(F848-G848-H848,2)</f>
        <v>0</v>
      </c>
    </row>
    <row r="849">
      <c r="A849" t="inlineStr">
        <is>
          <t>po_1Q0030KX</t>
        </is>
      </c>
      <c r="B849" s="5" t="n">
        <v>46245</v>
      </c>
      <c r="C849" t="inlineStr">
        <is>
          <t>ch_3Q000844</t>
        </is>
      </c>
      <c r="D849" t="inlineStr">
        <is>
          <t>charge</t>
        </is>
      </c>
      <c r="E849" s="5" t="n">
        <v>46242</v>
      </c>
      <c r="F849" s="9" t="n">
        <v>65</v>
      </c>
      <c r="G849" s="9" t="n">
        <v>1.44</v>
      </c>
      <c r="H849" s="9" t="n">
        <v>63.56</v>
      </c>
      <c r="I849" t="inlineStr">
        <is>
          <t>INV/2026/04469</t>
        </is>
      </c>
      <c r="J849" s="9">
        <f>ROUND(F849-G849-H849,2)</f>
        <v>0</v>
      </c>
    </row>
    <row r="850">
      <c r="A850" t="inlineStr">
        <is>
          <t>po_1Q0030KX</t>
        </is>
      </c>
      <c r="B850" s="5" t="n">
        <v>46245</v>
      </c>
      <c r="C850" t="inlineStr">
        <is>
          <t>ch_3Q000845</t>
        </is>
      </c>
      <c r="D850" t="inlineStr">
        <is>
          <t>charge</t>
        </is>
      </c>
      <c r="E850" s="5" t="n">
        <v>46242</v>
      </c>
      <c r="F850" s="9" t="n">
        <v>150</v>
      </c>
      <c r="G850" s="9" t="n">
        <v>2.93</v>
      </c>
      <c r="H850" s="9" t="n">
        <v>147.07</v>
      </c>
      <c r="I850" t="inlineStr">
        <is>
          <t>INV/2026/04470</t>
        </is>
      </c>
      <c r="J850" s="9">
        <f>ROUND(F850-G850-H850,2)</f>
        <v>0</v>
      </c>
    </row>
    <row r="851">
      <c r="A851" t="inlineStr">
        <is>
          <t>po_1Q0030KX</t>
        </is>
      </c>
      <c r="B851" s="5" t="n">
        <v>46245</v>
      </c>
      <c r="C851" t="inlineStr">
        <is>
          <t>ch_3Q000846</t>
        </is>
      </c>
      <c r="D851" t="inlineStr">
        <is>
          <t>charge</t>
        </is>
      </c>
      <c r="E851" s="5" t="n">
        <v>46242</v>
      </c>
      <c r="F851" s="9" t="n">
        <v>150</v>
      </c>
      <c r="G851" s="9" t="n">
        <v>2.93</v>
      </c>
      <c r="H851" s="9" t="n">
        <v>147.07</v>
      </c>
      <c r="I851" t="inlineStr">
        <is>
          <t>INV/2026/04471</t>
        </is>
      </c>
      <c r="J851" s="9">
        <f>ROUND(F851-G851-H851,2)</f>
        <v>0</v>
      </c>
    </row>
    <row r="852">
      <c r="A852" t="inlineStr">
        <is>
          <t>po_1Q0030KX</t>
        </is>
      </c>
      <c r="B852" s="5" t="n">
        <v>46245</v>
      </c>
      <c r="C852" t="inlineStr">
        <is>
          <t>ch_3Q000847</t>
        </is>
      </c>
      <c r="D852" t="inlineStr">
        <is>
          <t>charge</t>
        </is>
      </c>
      <c r="E852" s="5" t="n">
        <v>46242</v>
      </c>
      <c r="F852" s="9" t="n">
        <v>120</v>
      </c>
      <c r="G852" s="9" t="n">
        <v>2.4</v>
      </c>
      <c r="H852" s="9" t="n">
        <v>117.6</v>
      </c>
      <c r="I852" t="inlineStr">
        <is>
          <t>INV/2026/04472</t>
        </is>
      </c>
      <c r="J852" s="9">
        <f>ROUND(F852-G852-H852,2)</f>
        <v>0</v>
      </c>
    </row>
    <row r="853">
      <c r="A853" t="inlineStr">
        <is>
          <t>po_1Q0030KX</t>
        </is>
      </c>
      <c r="B853" s="5" t="n">
        <v>46245</v>
      </c>
      <c r="C853" t="inlineStr">
        <is>
          <t>ch_3Q000848</t>
        </is>
      </c>
      <c r="D853" t="inlineStr">
        <is>
          <t>charge</t>
        </is>
      </c>
      <c r="E853" s="5" t="n">
        <v>46242</v>
      </c>
      <c r="F853" s="9" t="n">
        <v>95</v>
      </c>
      <c r="G853" s="9" t="n">
        <v>1.96</v>
      </c>
      <c r="H853" s="9" t="n">
        <v>93.04000000000001</v>
      </c>
      <c r="I853" t="inlineStr">
        <is>
          <t>INV/2026/04473</t>
        </is>
      </c>
      <c r="J853" s="9">
        <f>ROUND(F853-G853-H853,2)</f>
        <v>0</v>
      </c>
    </row>
    <row r="854">
      <c r="A854" t="inlineStr">
        <is>
          <t>po_1Q0030KX</t>
        </is>
      </c>
      <c r="B854" s="5" t="n">
        <v>46245</v>
      </c>
      <c r="C854" t="inlineStr">
        <is>
          <t>ch_3Q000849</t>
        </is>
      </c>
      <c r="D854" t="inlineStr">
        <is>
          <t>charge</t>
        </is>
      </c>
      <c r="E854" s="5" t="n">
        <v>46242</v>
      </c>
      <c r="F854" s="9" t="n">
        <v>95</v>
      </c>
      <c r="G854" s="9" t="n">
        <v>1.96</v>
      </c>
      <c r="H854" s="9" t="n">
        <v>93.04000000000001</v>
      </c>
      <c r="I854" t="inlineStr">
        <is>
          <t>INV/2026/04474</t>
        </is>
      </c>
      <c r="J854" s="9">
        <f>ROUND(F854-G854-H854,2)</f>
        <v>0</v>
      </c>
    </row>
    <row r="855">
      <c r="A855" t="inlineStr">
        <is>
          <t>po_1Q0030KX</t>
        </is>
      </c>
      <c r="B855" s="5" t="n">
        <v>46245</v>
      </c>
      <c r="C855" t="inlineStr">
        <is>
          <t>ch_3Q000850</t>
        </is>
      </c>
      <c r="D855" t="inlineStr">
        <is>
          <t>charge</t>
        </is>
      </c>
      <c r="E855" s="5" t="n">
        <v>46242</v>
      </c>
      <c r="F855" s="9" t="n">
        <v>95</v>
      </c>
      <c r="G855" s="9" t="n">
        <v>1.96</v>
      </c>
      <c r="H855" s="9" t="n">
        <v>93.04000000000001</v>
      </c>
      <c r="I855" t="inlineStr">
        <is>
          <t>INV/2026/04475</t>
        </is>
      </c>
      <c r="J855" s="9">
        <f>ROUND(F855-G855-H855,2)</f>
        <v>0</v>
      </c>
    </row>
    <row r="856">
      <c r="A856" t="inlineStr">
        <is>
          <t>po_1Q0030KX</t>
        </is>
      </c>
      <c r="B856" s="5" t="n">
        <v>46245</v>
      </c>
      <c r="C856" t="inlineStr">
        <is>
          <t>ch_3Q000851</t>
        </is>
      </c>
      <c r="D856" t="inlineStr">
        <is>
          <t>charge</t>
        </is>
      </c>
      <c r="E856" s="5" t="n">
        <v>46242</v>
      </c>
      <c r="F856" s="9" t="n">
        <v>150</v>
      </c>
      <c r="G856" s="9" t="n">
        <v>2.93</v>
      </c>
      <c r="H856" s="9" t="n">
        <v>147.07</v>
      </c>
      <c r="I856" t="inlineStr">
        <is>
          <t>INV/2026/04476</t>
        </is>
      </c>
      <c r="J856" s="9">
        <f>ROUND(F856-G856-H856,2)</f>
        <v>0</v>
      </c>
    </row>
    <row r="857">
      <c r="A857" t="inlineStr">
        <is>
          <t>po_1Q0030KX</t>
        </is>
      </c>
      <c r="B857" s="5" t="n">
        <v>46245</v>
      </c>
      <c r="C857" t="inlineStr">
        <is>
          <t>ch_3Q000852</t>
        </is>
      </c>
      <c r="D857" t="inlineStr">
        <is>
          <t>charge</t>
        </is>
      </c>
      <c r="E857" s="5" t="n">
        <v>46242</v>
      </c>
      <c r="F857" s="9" t="n">
        <v>120</v>
      </c>
      <c r="G857" s="9" t="n">
        <v>2.4</v>
      </c>
      <c r="H857" s="9" t="n">
        <v>117.6</v>
      </c>
      <c r="I857" t="inlineStr">
        <is>
          <t>INV/2026/04477</t>
        </is>
      </c>
      <c r="J857" s="9">
        <f>ROUND(F857-G857-H857,2)</f>
        <v>0</v>
      </c>
    </row>
    <row r="858">
      <c r="A858" t="inlineStr">
        <is>
          <t>po_1Q0030KX</t>
        </is>
      </c>
      <c r="B858" s="5" t="n">
        <v>46245</v>
      </c>
      <c r="C858" t="inlineStr">
        <is>
          <t>ch_3Q000853</t>
        </is>
      </c>
      <c r="D858" t="inlineStr">
        <is>
          <t>charge</t>
        </is>
      </c>
      <c r="E858" s="5" t="n">
        <v>46242</v>
      </c>
      <c r="F858" s="9" t="n">
        <v>150</v>
      </c>
      <c r="G858" s="9" t="n">
        <v>2.93</v>
      </c>
      <c r="H858" s="9" t="n">
        <v>147.07</v>
      </c>
      <c r="I858" t="inlineStr">
        <is>
          <t>INV/2026/04478</t>
        </is>
      </c>
      <c r="J858" s="9">
        <f>ROUND(F858-G858-H858,2)</f>
        <v>0</v>
      </c>
    </row>
    <row r="859">
      <c r="A859" t="inlineStr">
        <is>
          <t>po_1Q0030KX</t>
        </is>
      </c>
      <c r="B859" s="5" t="n">
        <v>46245</v>
      </c>
      <c r="C859" t="inlineStr">
        <is>
          <t>ch_3Q000854</t>
        </is>
      </c>
      <c r="D859" t="inlineStr">
        <is>
          <t>charge</t>
        </is>
      </c>
      <c r="E859" s="5" t="n">
        <v>46242</v>
      </c>
      <c r="F859" s="9" t="n">
        <v>110</v>
      </c>
      <c r="G859" s="9" t="n">
        <v>2.23</v>
      </c>
      <c r="H859" s="9" t="n">
        <v>107.77</v>
      </c>
      <c r="I859" t="inlineStr">
        <is>
          <t>INV/2026/04479</t>
        </is>
      </c>
      <c r="J859" s="9">
        <f>ROUND(F859-G859-H859,2)</f>
        <v>0</v>
      </c>
    </row>
    <row r="860">
      <c r="A860" t="inlineStr">
        <is>
          <t>po_1Q0031KX</t>
        </is>
      </c>
      <c r="B860" s="5" t="n">
        <v>46246</v>
      </c>
      <c r="C860" t="inlineStr">
        <is>
          <t>ch_3Q000855</t>
        </is>
      </c>
      <c r="D860" t="inlineStr">
        <is>
          <t>charge</t>
        </is>
      </c>
      <c r="E860" s="5" t="n">
        <v>46244</v>
      </c>
      <c r="F860" s="9" t="n">
        <v>65</v>
      </c>
      <c r="G860" s="9" t="n">
        <v>1.44</v>
      </c>
      <c r="H860" s="9" t="n">
        <v>63.56</v>
      </c>
      <c r="I860" t="inlineStr">
        <is>
          <t>INV/2026/04480</t>
        </is>
      </c>
      <c r="J860" s="9">
        <f>ROUND(F860-G860-H860,2)</f>
        <v>0</v>
      </c>
    </row>
    <row r="861">
      <c r="A861" t="inlineStr">
        <is>
          <t>po_1Q0031KX</t>
        </is>
      </c>
      <c r="B861" s="5" t="n">
        <v>46246</v>
      </c>
      <c r="C861" t="inlineStr">
        <is>
          <t>ch_3Q000856</t>
        </is>
      </c>
      <c r="D861" t="inlineStr">
        <is>
          <t>charge</t>
        </is>
      </c>
      <c r="E861" s="5" t="n">
        <v>46244</v>
      </c>
      <c r="F861" s="9" t="n">
        <v>95</v>
      </c>
      <c r="G861" s="9" t="n">
        <v>1.96</v>
      </c>
      <c r="H861" s="9" t="n">
        <v>93.04000000000001</v>
      </c>
      <c r="I861" t="inlineStr">
        <is>
          <t>INV/2026/04481</t>
        </is>
      </c>
      <c r="J861" s="9">
        <f>ROUND(F861-G861-H861,2)</f>
        <v>0</v>
      </c>
    </row>
    <row r="862">
      <c r="A862" t="inlineStr">
        <is>
          <t>po_1Q0031KX</t>
        </is>
      </c>
      <c r="B862" s="5" t="n">
        <v>46246</v>
      </c>
      <c r="C862" t="inlineStr">
        <is>
          <t>ch_3Q000857</t>
        </is>
      </c>
      <c r="D862" t="inlineStr">
        <is>
          <t>charge</t>
        </is>
      </c>
      <c r="E862" s="5" t="n">
        <v>46244</v>
      </c>
      <c r="F862" s="9" t="n">
        <v>85</v>
      </c>
      <c r="G862" s="9" t="n">
        <v>1.79</v>
      </c>
      <c r="H862" s="9" t="n">
        <v>83.20999999999999</v>
      </c>
      <c r="I862" t="inlineStr">
        <is>
          <t>INV/2026/04482</t>
        </is>
      </c>
      <c r="J862" s="9">
        <f>ROUND(F862-G862-H862,2)</f>
        <v>0</v>
      </c>
    </row>
    <row r="863">
      <c r="A863" t="inlineStr">
        <is>
          <t>po_1Q0031KX</t>
        </is>
      </c>
      <c r="B863" s="5" t="n">
        <v>46246</v>
      </c>
      <c r="C863" t="inlineStr">
        <is>
          <t>ch_3Q000858</t>
        </is>
      </c>
      <c r="D863" t="inlineStr">
        <is>
          <t>charge</t>
        </is>
      </c>
      <c r="E863" s="5" t="n">
        <v>46244</v>
      </c>
      <c r="F863" s="9" t="n">
        <v>150</v>
      </c>
      <c r="G863" s="9" t="n">
        <v>2.93</v>
      </c>
      <c r="H863" s="9" t="n">
        <v>147.07</v>
      </c>
      <c r="I863" t="inlineStr">
        <is>
          <t>INV/2026/04483</t>
        </is>
      </c>
      <c r="J863" s="9">
        <f>ROUND(F863-G863-H863,2)</f>
        <v>0</v>
      </c>
    </row>
    <row r="864">
      <c r="A864" t="inlineStr">
        <is>
          <t>po_1Q0031KX</t>
        </is>
      </c>
      <c r="B864" s="5" t="n">
        <v>46246</v>
      </c>
      <c r="C864" t="inlineStr">
        <is>
          <t>ch_3Q000859</t>
        </is>
      </c>
      <c r="D864" t="inlineStr">
        <is>
          <t>charge</t>
        </is>
      </c>
      <c r="E864" s="5" t="n">
        <v>46244</v>
      </c>
      <c r="F864" s="9" t="n">
        <v>85</v>
      </c>
      <c r="G864" s="9" t="n">
        <v>1.79</v>
      </c>
      <c r="H864" s="9" t="n">
        <v>83.20999999999999</v>
      </c>
      <c r="I864" t="inlineStr">
        <is>
          <t>INV/2026/04484</t>
        </is>
      </c>
      <c r="J864" s="9">
        <f>ROUND(F864-G864-H864,2)</f>
        <v>0</v>
      </c>
    </row>
    <row r="865">
      <c r="A865" t="inlineStr">
        <is>
          <t>po_1Q0031KX</t>
        </is>
      </c>
      <c r="B865" s="5" t="n">
        <v>46246</v>
      </c>
      <c r="C865" t="inlineStr">
        <is>
          <t>ch_3Q000860</t>
        </is>
      </c>
      <c r="D865" t="inlineStr">
        <is>
          <t>charge</t>
        </is>
      </c>
      <c r="E865" s="5" t="n">
        <v>46244</v>
      </c>
      <c r="F865" s="9" t="n">
        <v>110</v>
      </c>
      <c r="G865" s="9" t="n">
        <v>2.23</v>
      </c>
      <c r="H865" s="9" t="n">
        <v>107.77</v>
      </c>
      <c r="I865" t="inlineStr">
        <is>
          <t>INV/2026/04485</t>
        </is>
      </c>
      <c r="J865" s="9">
        <f>ROUND(F865-G865-H865,2)</f>
        <v>0</v>
      </c>
    </row>
    <row r="866">
      <c r="A866" t="inlineStr">
        <is>
          <t>po_1Q0031KX</t>
        </is>
      </c>
      <c r="B866" s="5" t="n">
        <v>46246</v>
      </c>
      <c r="C866" t="inlineStr">
        <is>
          <t>ch_3Q000861</t>
        </is>
      </c>
      <c r="D866" t="inlineStr">
        <is>
          <t>charge</t>
        </is>
      </c>
      <c r="E866" s="5" t="n">
        <v>46244</v>
      </c>
      <c r="F866" s="9" t="n">
        <v>120</v>
      </c>
      <c r="G866" s="9" t="n">
        <v>2.4</v>
      </c>
      <c r="H866" s="9" t="n">
        <v>117.6</v>
      </c>
      <c r="I866" t="inlineStr">
        <is>
          <t>INV/2026/04486</t>
        </is>
      </c>
      <c r="J866" s="9">
        <f>ROUND(F866-G866-H866,2)</f>
        <v>0</v>
      </c>
    </row>
    <row r="867">
      <c r="A867" t="inlineStr">
        <is>
          <t>po_1Q0031KX</t>
        </is>
      </c>
      <c r="B867" s="5" t="n">
        <v>46246</v>
      </c>
      <c r="C867" t="inlineStr">
        <is>
          <t>ch_3Q000862</t>
        </is>
      </c>
      <c r="D867" t="inlineStr">
        <is>
          <t>charge</t>
        </is>
      </c>
      <c r="E867" s="5" t="n">
        <v>46244</v>
      </c>
      <c r="F867" s="9" t="n">
        <v>85</v>
      </c>
      <c r="G867" s="9" t="n">
        <v>1.79</v>
      </c>
      <c r="H867" s="9" t="n">
        <v>83.20999999999999</v>
      </c>
      <c r="I867" t="inlineStr">
        <is>
          <t>INV/2026/04487</t>
        </is>
      </c>
      <c r="J867" s="9">
        <f>ROUND(F867-G867-H867,2)</f>
        <v>0</v>
      </c>
    </row>
    <row r="868">
      <c r="A868" t="inlineStr">
        <is>
          <t>po_1Q0031KX</t>
        </is>
      </c>
      <c r="B868" s="5" t="n">
        <v>46246</v>
      </c>
      <c r="C868" t="inlineStr">
        <is>
          <t>ch_3Q000863</t>
        </is>
      </c>
      <c r="D868" t="inlineStr">
        <is>
          <t>charge</t>
        </is>
      </c>
      <c r="E868" s="5" t="n">
        <v>46244</v>
      </c>
      <c r="F868" s="9" t="n">
        <v>150</v>
      </c>
      <c r="G868" s="9" t="n">
        <v>2.93</v>
      </c>
      <c r="H868" s="9" t="n">
        <v>147.07</v>
      </c>
      <c r="I868" t="inlineStr">
        <is>
          <t>INV/2026/04488</t>
        </is>
      </c>
      <c r="J868" s="9">
        <f>ROUND(F868-G868-H868,2)</f>
        <v>0</v>
      </c>
    </row>
    <row r="869">
      <c r="A869" t="inlineStr">
        <is>
          <t>po_1Q0031KX</t>
        </is>
      </c>
      <c r="B869" s="5" t="n">
        <v>46246</v>
      </c>
      <c r="C869" t="inlineStr">
        <is>
          <t>ch_3Q000864</t>
        </is>
      </c>
      <c r="D869" t="inlineStr">
        <is>
          <t>charge</t>
        </is>
      </c>
      <c r="E869" s="5" t="n">
        <v>46244</v>
      </c>
      <c r="F869" s="9" t="n">
        <v>135</v>
      </c>
      <c r="G869" s="9" t="n">
        <v>2.66</v>
      </c>
      <c r="H869" s="9" t="n">
        <v>132.34</v>
      </c>
      <c r="I869" t="inlineStr">
        <is>
          <t>INV/2026/04489</t>
        </is>
      </c>
      <c r="J869" s="9">
        <f>ROUND(F869-G869-H869,2)</f>
        <v>0</v>
      </c>
    </row>
    <row r="870">
      <c r="A870" t="inlineStr">
        <is>
          <t>po_1Q0031KX</t>
        </is>
      </c>
      <c r="B870" s="5" t="n">
        <v>46246</v>
      </c>
      <c r="C870" t="inlineStr">
        <is>
          <t>ch_3Q000865</t>
        </is>
      </c>
      <c r="D870" t="inlineStr">
        <is>
          <t>charge</t>
        </is>
      </c>
      <c r="E870" s="5" t="n">
        <v>46244</v>
      </c>
      <c r="F870" s="9" t="n">
        <v>65</v>
      </c>
      <c r="G870" s="9" t="n">
        <v>1.44</v>
      </c>
      <c r="H870" s="9" t="n">
        <v>63.56</v>
      </c>
      <c r="I870" t="inlineStr">
        <is>
          <t>INV/2026/04490</t>
        </is>
      </c>
      <c r="J870" s="9">
        <f>ROUND(F870-G870-H870,2)</f>
        <v>0</v>
      </c>
    </row>
    <row r="871">
      <c r="A871" t="inlineStr">
        <is>
          <t>po_1Q0031KX</t>
        </is>
      </c>
      <c r="B871" s="5" t="n">
        <v>46246</v>
      </c>
      <c r="C871" t="inlineStr">
        <is>
          <t>ch_3Q000866</t>
        </is>
      </c>
      <c r="D871" t="inlineStr">
        <is>
          <t>charge</t>
        </is>
      </c>
      <c r="E871" s="5" t="n">
        <v>46244</v>
      </c>
      <c r="F871" s="9" t="n">
        <v>150</v>
      </c>
      <c r="G871" s="9" t="n">
        <v>2.93</v>
      </c>
      <c r="H871" s="9" t="n">
        <v>147.07</v>
      </c>
      <c r="I871" t="inlineStr">
        <is>
          <t>INV/2026/04491</t>
        </is>
      </c>
      <c r="J871" s="9">
        <f>ROUND(F871-G871-H871,2)</f>
        <v>0</v>
      </c>
    </row>
    <row r="872">
      <c r="A872" t="inlineStr">
        <is>
          <t>po_1Q0031KX</t>
        </is>
      </c>
      <c r="B872" s="5" t="n">
        <v>46246</v>
      </c>
      <c r="C872" t="inlineStr">
        <is>
          <t>ch_3Q000867</t>
        </is>
      </c>
      <c r="D872" t="inlineStr">
        <is>
          <t>charge</t>
        </is>
      </c>
      <c r="E872" s="5" t="n">
        <v>46244</v>
      </c>
      <c r="F872" s="9" t="n">
        <v>220</v>
      </c>
      <c r="G872" s="9" t="n">
        <v>4.15</v>
      </c>
      <c r="H872" s="9" t="n">
        <v>215.85</v>
      </c>
      <c r="I872" t="inlineStr">
        <is>
          <t>INV/2026/04492</t>
        </is>
      </c>
      <c r="J872" s="9">
        <f>ROUND(F872-G872-H872,2)</f>
        <v>0</v>
      </c>
    </row>
    <row r="873">
      <c r="A873" t="inlineStr">
        <is>
          <t>po_1Q0031KX</t>
        </is>
      </c>
      <c r="B873" s="5" t="n">
        <v>46246</v>
      </c>
      <c r="C873" t="inlineStr">
        <is>
          <t>ch_3Q000868</t>
        </is>
      </c>
      <c r="D873" t="inlineStr">
        <is>
          <t>charge</t>
        </is>
      </c>
      <c r="E873" s="5" t="n">
        <v>46244</v>
      </c>
      <c r="F873" s="9" t="n">
        <v>150</v>
      </c>
      <c r="G873" s="9" t="n">
        <v>2.93</v>
      </c>
      <c r="H873" s="9" t="n">
        <v>147.07</v>
      </c>
      <c r="I873" t="inlineStr">
        <is>
          <t>INV/2026/04493</t>
        </is>
      </c>
      <c r="J873" s="9">
        <f>ROUND(F873-G873-H873,2)</f>
        <v>0</v>
      </c>
    </row>
    <row r="874">
      <c r="A874" t="inlineStr">
        <is>
          <t>po_1Q0031KX</t>
        </is>
      </c>
      <c r="B874" s="5" t="n">
        <v>46246</v>
      </c>
      <c r="C874" t="inlineStr">
        <is>
          <t>ch_3Q000869</t>
        </is>
      </c>
      <c r="D874" t="inlineStr">
        <is>
          <t>charge</t>
        </is>
      </c>
      <c r="E874" s="5" t="n">
        <v>46244</v>
      </c>
      <c r="F874" s="9" t="n">
        <v>95</v>
      </c>
      <c r="G874" s="9" t="n">
        <v>1.96</v>
      </c>
      <c r="H874" s="9" t="n">
        <v>93.04000000000001</v>
      </c>
      <c r="I874" t="inlineStr">
        <is>
          <t>INV/2026/04494</t>
        </is>
      </c>
      <c r="J874" s="9">
        <f>ROUND(F874-G874-H874,2)</f>
        <v>0</v>
      </c>
    </row>
    <row r="875">
      <c r="A875" t="inlineStr">
        <is>
          <t>po_1Q0031KX</t>
        </is>
      </c>
      <c r="B875" s="5" t="n">
        <v>46246</v>
      </c>
      <c r="C875" t="inlineStr">
        <is>
          <t>ch_3Q000870</t>
        </is>
      </c>
      <c r="D875" t="inlineStr">
        <is>
          <t>charge</t>
        </is>
      </c>
      <c r="E875" s="5" t="n">
        <v>46244</v>
      </c>
      <c r="F875" s="9" t="n">
        <v>65</v>
      </c>
      <c r="G875" s="9" t="n">
        <v>1.44</v>
      </c>
      <c r="H875" s="9" t="n">
        <v>63.56</v>
      </c>
      <c r="I875" t="inlineStr">
        <is>
          <t>INV/2026/04495</t>
        </is>
      </c>
      <c r="J875" s="9">
        <f>ROUND(F875-G875-H875,2)</f>
        <v>0</v>
      </c>
    </row>
    <row r="876">
      <c r="A876" t="inlineStr">
        <is>
          <t>po_1Q0031KX</t>
        </is>
      </c>
      <c r="B876" s="5" t="n">
        <v>46246</v>
      </c>
      <c r="C876" t="inlineStr">
        <is>
          <t>ch_3Q000871</t>
        </is>
      </c>
      <c r="D876" t="inlineStr">
        <is>
          <t>charge</t>
        </is>
      </c>
      <c r="E876" s="5" t="n">
        <v>46244</v>
      </c>
      <c r="F876" s="9" t="n">
        <v>180</v>
      </c>
      <c r="G876" s="9" t="n">
        <v>3.45</v>
      </c>
      <c r="H876" s="9" t="n">
        <v>176.55</v>
      </c>
      <c r="I876" t="inlineStr">
        <is>
          <t>INV/2026/04496</t>
        </is>
      </c>
      <c r="J876" s="9">
        <f>ROUND(F876-G876-H876,2)</f>
        <v>0</v>
      </c>
    </row>
    <row r="877">
      <c r="A877" t="inlineStr">
        <is>
          <t>po_1Q0031KX</t>
        </is>
      </c>
      <c r="B877" s="5" t="n">
        <v>46246</v>
      </c>
      <c r="C877" t="inlineStr">
        <is>
          <t>ch_3Q000872</t>
        </is>
      </c>
      <c r="D877" t="inlineStr">
        <is>
          <t>charge</t>
        </is>
      </c>
      <c r="E877" s="5" t="n">
        <v>46244</v>
      </c>
      <c r="F877" s="9" t="n">
        <v>180</v>
      </c>
      <c r="G877" s="9" t="n">
        <v>3.45</v>
      </c>
      <c r="H877" s="9" t="n">
        <v>176.55</v>
      </c>
      <c r="I877" t="inlineStr">
        <is>
          <t>INV/2026/04497</t>
        </is>
      </c>
      <c r="J877" s="9">
        <f>ROUND(F877-G877-H877,2)</f>
        <v>0</v>
      </c>
    </row>
    <row r="878">
      <c r="A878" t="inlineStr">
        <is>
          <t>po_1Q0031KX</t>
        </is>
      </c>
      <c r="B878" s="5" t="n">
        <v>46246</v>
      </c>
      <c r="C878" t="inlineStr">
        <is>
          <t>ch_3Q000873</t>
        </is>
      </c>
      <c r="D878" t="inlineStr">
        <is>
          <t>charge</t>
        </is>
      </c>
      <c r="E878" s="5" t="n">
        <v>46244</v>
      </c>
      <c r="F878" s="9" t="n">
        <v>95</v>
      </c>
      <c r="G878" s="9" t="n">
        <v>1.96</v>
      </c>
      <c r="H878" s="9" t="n">
        <v>93.04000000000001</v>
      </c>
      <c r="I878" t="inlineStr">
        <is>
          <t>INV/2026/04498</t>
        </is>
      </c>
      <c r="J878" s="9">
        <f>ROUND(F878-G878-H878,2)</f>
        <v>0</v>
      </c>
    </row>
    <row r="879">
      <c r="A879" t="inlineStr">
        <is>
          <t>po_1Q0031KX</t>
        </is>
      </c>
      <c r="B879" s="5" t="n">
        <v>46246</v>
      </c>
      <c r="C879" t="inlineStr">
        <is>
          <t>ch_3Q000874</t>
        </is>
      </c>
      <c r="D879" t="inlineStr">
        <is>
          <t>charge</t>
        </is>
      </c>
      <c r="E879" s="5" t="n">
        <v>46244</v>
      </c>
      <c r="F879" s="9" t="n">
        <v>65</v>
      </c>
      <c r="G879" s="9" t="n">
        <v>1.44</v>
      </c>
      <c r="H879" s="9" t="n">
        <v>63.56</v>
      </c>
      <c r="I879" t="inlineStr">
        <is>
          <t>INV/2026/04499</t>
        </is>
      </c>
      <c r="J879" s="9">
        <f>ROUND(F879-G879-H879,2)</f>
        <v>0</v>
      </c>
    </row>
    <row r="880">
      <c r="A880" t="inlineStr">
        <is>
          <t>po_1Q0031KX</t>
        </is>
      </c>
      <c r="B880" s="5" t="n">
        <v>46246</v>
      </c>
      <c r="C880" t="inlineStr">
        <is>
          <t>ch_3Q000875</t>
        </is>
      </c>
      <c r="D880" t="inlineStr">
        <is>
          <t>charge</t>
        </is>
      </c>
      <c r="E880" s="5" t="n">
        <v>46244</v>
      </c>
      <c r="F880" s="9" t="n">
        <v>220</v>
      </c>
      <c r="G880" s="9" t="n">
        <v>4.15</v>
      </c>
      <c r="H880" s="9" t="n">
        <v>215.85</v>
      </c>
      <c r="I880" t="inlineStr">
        <is>
          <t>INV/2026/04500</t>
        </is>
      </c>
      <c r="J880" s="9">
        <f>ROUND(F880-G880-H880,2)</f>
        <v>0</v>
      </c>
    </row>
    <row r="881">
      <c r="A881" t="inlineStr">
        <is>
          <t>po_1Q0031KX</t>
        </is>
      </c>
      <c r="B881" s="5" t="n">
        <v>46246</v>
      </c>
      <c r="C881" t="inlineStr">
        <is>
          <t>ch_3Q000876</t>
        </is>
      </c>
      <c r="D881" t="inlineStr">
        <is>
          <t>charge</t>
        </is>
      </c>
      <c r="E881" s="5" t="n">
        <v>46244</v>
      </c>
      <c r="F881" s="9" t="n">
        <v>65</v>
      </c>
      <c r="G881" s="9" t="n">
        <v>1.44</v>
      </c>
      <c r="H881" s="9" t="n">
        <v>63.56</v>
      </c>
      <c r="I881" t="inlineStr">
        <is>
          <t>INV/2026/04501</t>
        </is>
      </c>
      <c r="J881" s="9">
        <f>ROUND(F881-G881-H881,2)</f>
        <v>0</v>
      </c>
    </row>
    <row r="882">
      <c r="A882" t="inlineStr">
        <is>
          <t>po_1Q0031KX</t>
        </is>
      </c>
      <c r="B882" s="5" t="n">
        <v>46246</v>
      </c>
      <c r="C882" t="inlineStr">
        <is>
          <t>ch_3Q000877</t>
        </is>
      </c>
      <c r="D882" t="inlineStr">
        <is>
          <t>charge</t>
        </is>
      </c>
      <c r="E882" s="5" t="n">
        <v>46244</v>
      </c>
      <c r="F882" s="9" t="n">
        <v>150</v>
      </c>
      <c r="G882" s="9" t="n">
        <v>2.93</v>
      </c>
      <c r="H882" s="9" t="n">
        <v>147.07</v>
      </c>
      <c r="I882" t="inlineStr">
        <is>
          <t>INV/2026/04502</t>
        </is>
      </c>
      <c r="J882" s="9">
        <f>ROUND(F882-G882-H882,2)</f>
        <v>0</v>
      </c>
    </row>
    <row r="883">
      <c r="A883" t="inlineStr">
        <is>
          <t>po_1Q0031KX</t>
        </is>
      </c>
      <c r="B883" s="5" t="n">
        <v>46246</v>
      </c>
      <c r="C883" t="inlineStr">
        <is>
          <t>ch_3Q000878</t>
        </is>
      </c>
      <c r="D883" t="inlineStr">
        <is>
          <t>charge</t>
        </is>
      </c>
      <c r="E883" s="5" t="n">
        <v>46244</v>
      </c>
      <c r="F883" s="9" t="n">
        <v>85</v>
      </c>
      <c r="G883" s="9" t="n">
        <v>1.79</v>
      </c>
      <c r="H883" s="9" t="n">
        <v>83.20999999999999</v>
      </c>
      <c r="I883" t="inlineStr">
        <is>
          <t>INV/2026/04503</t>
        </is>
      </c>
      <c r="J883" s="9">
        <f>ROUND(F883-G883-H883,2)</f>
        <v>0</v>
      </c>
    </row>
    <row r="884">
      <c r="A884" t="inlineStr">
        <is>
          <t>po_1Q0031KX</t>
        </is>
      </c>
      <c r="B884" s="5" t="n">
        <v>46246</v>
      </c>
      <c r="C884" t="inlineStr">
        <is>
          <t>ch_3Q000879</t>
        </is>
      </c>
      <c r="D884" t="inlineStr">
        <is>
          <t>charge</t>
        </is>
      </c>
      <c r="E884" s="5" t="n">
        <v>46244</v>
      </c>
      <c r="F884" s="9" t="n">
        <v>180</v>
      </c>
      <c r="G884" s="9" t="n">
        <v>3.45</v>
      </c>
      <c r="H884" s="9" t="n">
        <v>176.55</v>
      </c>
      <c r="I884" t="inlineStr">
        <is>
          <t>INV/2026/04504</t>
        </is>
      </c>
      <c r="J884" s="9">
        <f>ROUND(F884-G884-H884,2)</f>
        <v>0</v>
      </c>
    </row>
    <row r="885">
      <c r="A885" t="inlineStr">
        <is>
          <t>po_1Q0031KX</t>
        </is>
      </c>
      <c r="B885" s="5" t="n">
        <v>46246</v>
      </c>
      <c r="C885" t="inlineStr">
        <is>
          <t>ch_3Q000880</t>
        </is>
      </c>
      <c r="D885" t="inlineStr">
        <is>
          <t>charge</t>
        </is>
      </c>
      <c r="E885" s="5" t="n">
        <v>46244</v>
      </c>
      <c r="F885" s="9" t="n">
        <v>135</v>
      </c>
      <c r="G885" s="9" t="n">
        <v>2.66</v>
      </c>
      <c r="H885" s="9" t="n">
        <v>132.34</v>
      </c>
      <c r="I885" t="inlineStr">
        <is>
          <t>INV/2026/04505</t>
        </is>
      </c>
      <c r="J885" s="9">
        <f>ROUND(F885-G885-H885,2)</f>
        <v>0</v>
      </c>
    </row>
    <row r="886">
      <c r="A886" t="inlineStr">
        <is>
          <t>po_1Q0031KX</t>
        </is>
      </c>
      <c r="B886" s="5" t="n">
        <v>46246</v>
      </c>
      <c r="C886" t="inlineStr">
        <is>
          <t>ch_3Q000881</t>
        </is>
      </c>
      <c r="D886" t="inlineStr">
        <is>
          <t>charge</t>
        </is>
      </c>
      <c r="E886" s="5" t="n">
        <v>46244</v>
      </c>
      <c r="F886" s="9" t="n">
        <v>220</v>
      </c>
      <c r="G886" s="9" t="n">
        <v>4.15</v>
      </c>
      <c r="H886" s="9" t="n">
        <v>215.85</v>
      </c>
      <c r="I886" t="inlineStr">
        <is>
          <t>INV/2026/04506</t>
        </is>
      </c>
      <c r="J886" s="9">
        <f>ROUND(F886-G886-H886,2)</f>
        <v>0</v>
      </c>
    </row>
    <row r="887">
      <c r="A887" t="inlineStr">
        <is>
          <t>po_1Q0031KX</t>
        </is>
      </c>
      <c r="B887" s="5" t="n">
        <v>46246</v>
      </c>
      <c r="C887" t="inlineStr">
        <is>
          <t>ch_3Q000882</t>
        </is>
      </c>
      <c r="D887" t="inlineStr">
        <is>
          <t>charge</t>
        </is>
      </c>
      <c r="E887" s="5" t="n">
        <v>46244</v>
      </c>
      <c r="F887" s="9" t="n">
        <v>110</v>
      </c>
      <c r="G887" s="9" t="n">
        <v>2.23</v>
      </c>
      <c r="H887" s="9" t="n">
        <v>107.77</v>
      </c>
      <c r="I887" t="inlineStr">
        <is>
          <t>INV/2026/04507</t>
        </is>
      </c>
      <c r="J887" s="9">
        <f>ROUND(F887-G887-H887,2)</f>
        <v>0</v>
      </c>
    </row>
    <row r="888">
      <c r="A888" t="inlineStr">
        <is>
          <t>po_1Q0031KX</t>
        </is>
      </c>
      <c r="B888" s="5" t="n">
        <v>46246</v>
      </c>
      <c r="C888" t="inlineStr">
        <is>
          <t>ch_3Q000883</t>
        </is>
      </c>
      <c r="D888" t="inlineStr">
        <is>
          <t>charge</t>
        </is>
      </c>
      <c r="E888" s="5" t="n">
        <v>46244</v>
      </c>
      <c r="F888" s="9" t="n">
        <v>220</v>
      </c>
      <c r="G888" s="9" t="n">
        <v>4.15</v>
      </c>
      <c r="H888" s="9" t="n">
        <v>215.85</v>
      </c>
      <c r="I888" t="inlineStr">
        <is>
          <t>INV/2026/04508</t>
        </is>
      </c>
      <c r="J888" s="9">
        <f>ROUND(F888-G888-H888,2)</f>
        <v>0</v>
      </c>
    </row>
    <row r="889">
      <c r="A889" t="inlineStr">
        <is>
          <t>po_1Q0031KX</t>
        </is>
      </c>
      <c r="B889" s="5" t="n">
        <v>46246</v>
      </c>
      <c r="C889" t="inlineStr">
        <is>
          <t>ch_3Q000884</t>
        </is>
      </c>
      <c r="D889" t="inlineStr">
        <is>
          <t>charge</t>
        </is>
      </c>
      <c r="E889" s="5" t="n">
        <v>46244</v>
      </c>
      <c r="F889" s="9" t="n">
        <v>110</v>
      </c>
      <c r="G889" s="9" t="n">
        <v>2.23</v>
      </c>
      <c r="H889" s="9" t="n">
        <v>107.77</v>
      </c>
      <c r="I889" t="inlineStr">
        <is>
          <t>INV/2026/04509</t>
        </is>
      </c>
      <c r="J889" s="9">
        <f>ROUND(F889-G889-H889,2)</f>
        <v>0</v>
      </c>
    </row>
    <row r="890">
      <c r="A890" t="inlineStr">
        <is>
          <t>po_1Q0031KX</t>
        </is>
      </c>
      <c r="B890" s="5" t="n">
        <v>46246</v>
      </c>
      <c r="C890" t="inlineStr">
        <is>
          <t>ch_3Q000885</t>
        </is>
      </c>
      <c r="D890" t="inlineStr">
        <is>
          <t>charge</t>
        </is>
      </c>
      <c r="E890" s="5" t="n">
        <v>46244</v>
      </c>
      <c r="F890" s="9" t="n">
        <v>220</v>
      </c>
      <c r="G890" s="9" t="n">
        <v>4.15</v>
      </c>
      <c r="H890" s="9" t="n">
        <v>215.85</v>
      </c>
      <c r="I890" t="inlineStr">
        <is>
          <t>INV/2026/04510</t>
        </is>
      </c>
      <c r="J890" s="9">
        <f>ROUND(F890-G890-H890,2)</f>
        <v>0</v>
      </c>
    </row>
    <row r="891">
      <c r="A891" t="inlineStr">
        <is>
          <t>po_1Q0031KX</t>
        </is>
      </c>
      <c r="B891" s="5" t="n">
        <v>46246</v>
      </c>
      <c r="C891" t="inlineStr">
        <is>
          <t>ch_3Q000886</t>
        </is>
      </c>
      <c r="D891" t="inlineStr">
        <is>
          <t>charge</t>
        </is>
      </c>
      <c r="E891" s="5" t="n">
        <v>46244</v>
      </c>
      <c r="F891" s="9" t="n">
        <v>65</v>
      </c>
      <c r="G891" s="9" t="n">
        <v>1.44</v>
      </c>
      <c r="H891" s="9" t="n">
        <v>63.56</v>
      </c>
      <c r="I891" t="inlineStr">
        <is>
          <t>INV/2026/04511</t>
        </is>
      </c>
      <c r="J891" s="9">
        <f>ROUND(F891-G891-H891,2)</f>
        <v>0</v>
      </c>
    </row>
    <row r="892">
      <c r="A892" t="inlineStr">
        <is>
          <t>po_1Q0031KX</t>
        </is>
      </c>
      <c r="B892" s="5" t="n">
        <v>46246</v>
      </c>
      <c r="C892" t="inlineStr">
        <is>
          <t>ch_3Q000887</t>
        </is>
      </c>
      <c r="D892" t="inlineStr">
        <is>
          <t>charge</t>
        </is>
      </c>
      <c r="E892" s="5" t="n">
        <v>46244</v>
      </c>
      <c r="F892" s="9" t="n">
        <v>85</v>
      </c>
      <c r="G892" s="9" t="n">
        <v>1.79</v>
      </c>
      <c r="H892" s="9" t="n">
        <v>83.20999999999999</v>
      </c>
      <c r="I892" t="inlineStr">
        <is>
          <t>INV/2026/04512</t>
        </is>
      </c>
      <c r="J892" s="9">
        <f>ROUND(F892-G892-H892,2)</f>
        <v>0</v>
      </c>
    </row>
    <row r="893">
      <c r="A893" t="inlineStr">
        <is>
          <t>po_1Q0031KX</t>
        </is>
      </c>
      <c r="B893" s="5" t="n">
        <v>46246</v>
      </c>
      <c r="C893" t="inlineStr">
        <is>
          <t>ch_3Q000888</t>
        </is>
      </c>
      <c r="D893" t="inlineStr">
        <is>
          <t>charge</t>
        </is>
      </c>
      <c r="E893" s="5" t="n">
        <v>46244</v>
      </c>
      <c r="F893" s="9" t="n">
        <v>95</v>
      </c>
      <c r="G893" s="9" t="n">
        <v>1.96</v>
      </c>
      <c r="H893" s="9" t="n">
        <v>93.04000000000001</v>
      </c>
      <c r="I893" t="inlineStr">
        <is>
          <t>INV/2026/04513</t>
        </is>
      </c>
      <c r="J893" s="9">
        <f>ROUND(F893-G893-H893,2)</f>
        <v>0</v>
      </c>
    </row>
    <row r="894">
      <c r="A894" t="inlineStr">
        <is>
          <t>po_1Q0032KX</t>
        </is>
      </c>
      <c r="B894" s="5" t="n">
        <v>46247</v>
      </c>
      <c r="C894" t="inlineStr">
        <is>
          <t>ch_3Q000889</t>
        </is>
      </c>
      <c r="D894" t="inlineStr">
        <is>
          <t>charge</t>
        </is>
      </c>
      <c r="E894" s="5" t="n">
        <v>46245</v>
      </c>
      <c r="F894" s="9" t="n">
        <v>150</v>
      </c>
      <c r="G894" s="9" t="n">
        <v>2.93</v>
      </c>
      <c r="H894" s="9" t="n">
        <v>147.07</v>
      </c>
      <c r="I894" t="inlineStr">
        <is>
          <t>INV/2026/04514</t>
        </is>
      </c>
      <c r="J894" s="9">
        <f>ROUND(F894-G894-H894,2)</f>
        <v>0</v>
      </c>
    </row>
    <row r="895">
      <c r="A895" t="inlineStr">
        <is>
          <t>po_1Q0032KX</t>
        </is>
      </c>
      <c r="B895" s="5" t="n">
        <v>46247</v>
      </c>
      <c r="C895" t="inlineStr">
        <is>
          <t>ch_3Q000890</t>
        </is>
      </c>
      <c r="D895" t="inlineStr">
        <is>
          <t>charge</t>
        </is>
      </c>
      <c r="E895" s="5" t="n">
        <v>46245</v>
      </c>
      <c r="F895" s="9" t="n">
        <v>220</v>
      </c>
      <c r="G895" s="9" t="n">
        <v>4.15</v>
      </c>
      <c r="H895" s="9" t="n">
        <v>215.85</v>
      </c>
      <c r="I895" t="inlineStr">
        <is>
          <t>INV/2026/04515</t>
        </is>
      </c>
      <c r="J895" s="9">
        <f>ROUND(F895-G895-H895,2)</f>
        <v>0</v>
      </c>
    </row>
    <row r="896">
      <c r="A896" t="inlineStr">
        <is>
          <t>po_1Q0032KX</t>
        </is>
      </c>
      <c r="B896" s="5" t="n">
        <v>46247</v>
      </c>
      <c r="C896" t="inlineStr">
        <is>
          <t>ch_3Q000891</t>
        </is>
      </c>
      <c r="D896" t="inlineStr">
        <is>
          <t>charge</t>
        </is>
      </c>
      <c r="E896" s="5" t="n">
        <v>46245</v>
      </c>
      <c r="F896" s="9" t="n">
        <v>150</v>
      </c>
      <c r="G896" s="9" t="n">
        <v>2.93</v>
      </c>
      <c r="H896" s="9" t="n">
        <v>147.07</v>
      </c>
      <c r="I896" t="inlineStr">
        <is>
          <t>INV/2026/04516</t>
        </is>
      </c>
      <c r="J896" s="9">
        <f>ROUND(F896-G896-H896,2)</f>
        <v>0</v>
      </c>
    </row>
    <row r="897">
      <c r="A897" t="inlineStr">
        <is>
          <t>po_1Q0032KX</t>
        </is>
      </c>
      <c r="B897" s="5" t="n">
        <v>46247</v>
      </c>
      <c r="C897" t="inlineStr">
        <is>
          <t>ch_3Q000892</t>
        </is>
      </c>
      <c r="D897" t="inlineStr">
        <is>
          <t>charge</t>
        </is>
      </c>
      <c r="E897" s="5" t="n">
        <v>46245</v>
      </c>
      <c r="F897" s="9" t="n">
        <v>85</v>
      </c>
      <c r="G897" s="9" t="n">
        <v>1.79</v>
      </c>
      <c r="H897" s="9" t="n">
        <v>83.20999999999999</v>
      </c>
      <c r="I897" t="inlineStr">
        <is>
          <t>INV/2026/04517</t>
        </is>
      </c>
      <c r="J897" s="9">
        <f>ROUND(F897-G897-H897,2)</f>
        <v>0</v>
      </c>
    </row>
    <row r="898">
      <c r="A898" t="inlineStr">
        <is>
          <t>po_1Q0032KX</t>
        </is>
      </c>
      <c r="B898" s="5" t="n">
        <v>46247</v>
      </c>
      <c r="C898" t="inlineStr">
        <is>
          <t>ch_3Q000893</t>
        </is>
      </c>
      <c r="D898" t="inlineStr">
        <is>
          <t>charge</t>
        </is>
      </c>
      <c r="E898" s="5" t="n">
        <v>46245</v>
      </c>
      <c r="F898" s="9" t="n">
        <v>150</v>
      </c>
      <c r="G898" s="9" t="n">
        <v>2.93</v>
      </c>
      <c r="H898" s="9" t="n">
        <v>147.07</v>
      </c>
      <c r="I898" t="inlineStr">
        <is>
          <t>INV/2026/04518</t>
        </is>
      </c>
      <c r="J898" s="9">
        <f>ROUND(F898-G898-H898,2)</f>
        <v>0</v>
      </c>
    </row>
    <row r="899">
      <c r="A899" t="inlineStr">
        <is>
          <t>po_1Q0032KX</t>
        </is>
      </c>
      <c r="B899" s="5" t="n">
        <v>46247</v>
      </c>
      <c r="C899" t="inlineStr">
        <is>
          <t>ch_3Q000894</t>
        </is>
      </c>
      <c r="D899" t="inlineStr">
        <is>
          <t>charge</t>
        </is>
      </c>
      <c r="E899" s="5" t="n">
        <v>46245</v>
      </c>
      <c r="F899" s="9" t="n">
        <v>95</v>
      </c>
      <c r="G899" s="9" t="n">
        <v>1.96</v>
      </c>
      <c r="H899" s="9" t="n">
        <v>93.04000000000001</v>
      </c>
      <c r="I899" t="inlineStr">
        <is>
          <t>INV/2026/04519</t>
        </is>
      </c>
      <c r="J899" s="9">
        <f>ROUND(F899-G899-H899,2)</f>
        <v>0</v>
      </c>
    </row>
    <row r="900">
      <c r="A900" t="inlineStr">
        <is>
          <t>po_1Q0032KX</t>
        </is>
      </c>
      <c r="B900" s="5" t="n">
        <v>46247</v>
      </c>
      <c r="C900" t="inlineStr">
        <is>
          <t>ch_3Q000895</t>
        </is>
      </c>
      <c r="D900" t="inlineStr">
        <is>
          <t>charge</t>
        </is>
      </c>
      <c r="E900" s="5" t="n">
        <v>46245</v>
      </c>
      <c r="F900" s="9" t="n">
        <v>65</v>
      </c>
      <c r="G900" s="9" t="n">
        <v>1.44</v>
      </c>
      <c r="H900" s="9" t="n">
        <v>63.56</v>
      </c>
      <c r="I900" t="inlineStr">
        <is>
          <t>INV/2026/04520</t>
        </is>
      </c>
      <c r="J900" s="9">
        <f>ROUND(F900-G900-H900,2)</f>
        <v>0</v>
      </c>
    </row>
    <row r="901">
      <c r="A901" t="inlineStr">
        <is>
          <t>po_1Q0032KX</t>
        </is>
      </c>
      <c r="B901" s="5" t="n">
        <v>46247</v>
      </c>
      <c r="C901" t="inlineStr">
        <is>
          <t>ch_3Q000896</t>
        </is>
      </c>
      <c r="D901" t="inlineStr">
        <is>
          <t>charge</t>
        </is>
      </c>
      <c r="E901" s="5" t="n">
        <v>46245</v>
      </c>
      <c r="F901" s="9" t="n">
        <v>120</v>
      </c>
      <c r="G901" s="9" t="n">
        <v>2.4</v>
      </c>
      <c r="H901" s="9" t="n">
        <v>117.6</v>
      </c>
      <c r="I901" t="inlineStr">
        <is>
          <t>INV/2026/04521</t>
        </is>
      </c>
      <c r="J901" s="9">
        <f>ROUND(F901-G901-H901,2)</f>
        <v>0</v>
      </c>
    </row>
    <row r="902">
      <c r="A902" t="inlineStr">
        <is>
          <t>po_1Q0032KX</t>
        </is>
      </c>
      <c r="B902" s="5" t="n">
        <v>46247</v>
      </c>
      <c r="C902" t="inlineStr">
        <is>
          <t>ch_3Q000897</t>
        </is>
      </c>
      <c r="D902" t="inlineStr">
        <is>
          <t>charge</t>
        </is>
      </c>
      <c r="E902" s="5" t="n">
        <v>46245</v>
      </c>
      <c r="F902" s="9" t="n">
        <v>95</v>
      </c>
      <c r="G902" s="9" t="n">
        <v>1.96</v>
      </c>
      <c r="H902" s="9" t="n">
        <v>93.04000000000001</v>
      </c>
      <c r="I902" t="inlineStr">
        <is>
          <t>INV/2026/04522</t>
        </is>
      </c>
      <c r="J902" s="9">
        <f>ROUND(F902-G902-H902,2)</f>
        <v>0</v>
      </c>
    </row>
    <row r="903">
      <c r="A903" t="inlineStr">
        <is>
          <t>po_1Q0032KX</t>
        </is>
      </c>
      <c r="B903" s="5" t="n">
        <v>46247</v>
      </c>
      <c r="C903" t="inlineStr">
        <is>
          <t>ch_3Q000898</t>
        </is>
      </c>
      <c r="D903" t="inlineStr">
        <is>
          <t>charge</t>
        </is>
      </c>
      <c r="E903" s="5" t="n">
        <v>46245</v>
      </c>
      <c r="F903" s="9" t="n">
        <v>65</v>
      </c>
      <c r="G903" s="9" t="n">
        <v>1.44</v>
      </c>
      <c r="H903" s="9" t="n">
        <v>63.56</v>
      </c>
      <c r="I903" t="inlineStr">
        <is>
          <t>INV/2026/04523</t>
        </is>
      </c>
      <c r="J903" s="9">
        <f>ROUND(F903-G903-H903,2)</f>
        <v>0</v>
      </c>
    </row>
    <row r="904">
      <c r="A904" t="inlineStr">
        <is>
          <t>po_1Q0032KX</t>
        </is>
      </c>
      <c r="B904" s="5" t="n">
        <v>46247</v>
      </c>
      <c r="C904" t="inlineStr">
        <is>
          <t>ch_3Q000899</t>
        </is>
      </c>
      <c r="D904" t="inlineStr">
        <is>
          <t>charge</t>
        </is>
      </c>
      <c r="E904" s="5" t="n">
        <v>46245</v>
      </c>
      <c r="F904" s="9" t="n">
        <v>150</v>
      </c>
      <c r="G904" s="9" t="n">
        <v>2.93</v>
      </c>
      <c r="H904" s="9" t="n">
        <v>147.07</v>
      </c>
      <c r="I904" t="inlineStr">
        <is>
          <t>INV/2026/04524</t>
        </is>
      </c>
      <c r="J904" s="9">
        <f>ROUND(F904-G904-H904,2)</f>
        <v>0</v>
      </c>
    </row>
    <row r="905">
      <c r="A905" t="inlineStr">
        <is>
          <t>po_1Q0032KX</t>
        </is>
      </c>
      <c r="B905" s="5" t="n">
        <v>46247</v>
      </c>
      <c r="C905" t="inlineStr">
        <is>
          <t>ch_3Q000900</t>
        </is>
      </c>
      <c r="D905" t="inlineStr">
        <is>
          <t>charge</t>
        </is>
      </c>
      <c r="E905" s="5" t="n">
        <v>46245</v>
      </c>
      <c r="F905" s="9" t="n">
        <v>120</v>
      </c>
      <c r="G905" s="9" t="n">
        <v>2.4</v>
      </c>
      <c r="H905" s="9" t="n">
        <v>117.6</v>
      </c>
      <c r="I905" t="inlineStr">
        <is>
          <t>INV/2026/04525</t>
        </is>
      </c>
      <c r="J905" s="9">
        <f>ROUND(F905-G905-H905,2)</f>
        <v>0</v>
      </c>
    </row>
    <row r="906">
      <c r="A906" t="inlineStr">
        <is>
          <t>po_1Q0032KX</t>
        </is>
      </c>
      <c r="B906" s="5" t="n">
        <v>46247</v>
      </c>
      <c r="C906" t="inlineStr">
        <is>
          <t>ch_3Q000901</t>
        </is>
      </c>
      <c r="D906" t="inlineStr">
        <is>
          <t>charge</t>
        </is>
      </c>
      <c r="E906" s="5" t="n">
        <v>46245</v>
      </c>
      <c r="F906" s="9" t="n">
        <v>135</v>
      </c>
      <c r="G906" s="9" t="n">
        <v>2.66</v>
      </c>
      <c r="H906" s="9" t="n">
        <v>132.34</v>
      </c>
      <c r="I906" t="inlineStr">
        <is>
          <t>INV/2026/04526</t>
        </is>
      </c>
      <c r="J906" s="9">
        <f>ROUND(F906-G906-H906,2)</f>
        <v>0</v>
      </c>
    </row>
    <row r="907">
      <c r="A907" t="inlineStr">
        <is>
          <t>po_1Q0032KX</t>
        </is>
      </c>
      <c r="B907" s="5" t="n">
        <v>46247</v>
      </c>
      <c r="C907" t="inlineStr">
        <is>
          <t>ch_3Q000902</t>
        </is>
      </c>
      <c r="D907" t="inlineStr">
        <is>
          <t>charge</t>
        </is>
      </c>
      <c r="E907" s="5" t="n">
        <v>46245</v>
      </c>
      <c r="F907" s="9" t="n">
        <v>95</v>
      </c>
      <c r="G907" s="9" t="n">
        <v>1.96</v>
      </c>
      <c r="H907" s="9" t="n">
        <v>93.04000000000001</v>
      </c>
      <c r="I907" t="inlineStr">
        <is>
          <t>INV/2026/04527</t>
        </is>
      </c>
      <c r="J907" s="9">
        <f>ROUND(F907-G907-H907,2)</f>
        <v>0</v>
      </c>
    </row>
    <row r="908">
      <c r="A908" t="inlineStr">
        <is>
          <t>po_1Q0032KX</t>
        </is>
      </c>
      <c r="B908" s="5" t="n">
        <v>46247</v>
      </c>
      <c r="C908" t="inlineStr">
        <is>
          <t>ch_3Q000903</t>
        </is>
      </c>
      <c r="D908" t="inlineStr">
        <is>
          <t>charge</t>
        </is>
      </c>
      <c r="E908" s="5" t="n">
        <v>46245</v>
      </c>
      <c r="F908" s="9" t="n">
        <v>85</v>
      </c>
      <c r="G908" s="9" t="n">
        <v>1.79</v>
      </c>
      <c r="H908" s="9" t="n">
        <v>83.20999999999999</v>
      </c>
      <c r="I908" t="inlineStr">
        <is>
          <t>INV/2026/04528</t>
        </is>
      </c>
      <c r="J908" s="9">
        <f>ROUND(F908-G908-H908,2)</f>
        <v>0</v>
      </c>
    </row>
    <row r="909">
      <c r="A909" t="inlineStr">
        <is>
          <t>po_1Q0032KX</t>
        </is>
      </c>
      <c r="B909" s="5" t="n">
        <v>46247</v>
      </c>
      <c r="C909" t="inlineStr">
        <is>
          <t>ch_3Q000904</t>
        </is>
      </c>
      <c r="D909" t="inlineStr">
        <is>
          <t>charge</t>
        </is>
      </c>
      <c r="E909" s="5" t="n">
        <v>46245</v>
      </c>
      <c r="F909" s="9" t="n">
        <v>220</v>
      </c>
      <c r="G909" s="9" t="n">
        <v>4.15</v>
      </c>
      <c r="H909" s="9" t="n">
        <v>215.85</v>
      </c>
      <c r="I909" t="inlineStr">
        <is>
          <t>INV/2026/04529</t>
        </is>
      </c>
      <c r="J909" s="9">
        <f>ROUND(F909-G909-H909,2)</f>
        <v>0</v>
      </c>
    </row>
    <row r="910">
      <c r="A910" t="inlineStr">
        <is>
          <t>po_1Q0032KX</t>
        </is>
      </c>
      <c r="B910" s="5" t="n">
        <v>46247</v>
      </c>
      <c r="C910" t="inlineStr">
        <is>
          <t>ch_3Q000905</t>
        </is>
      </c>
      <c r="D910" t="inlineStr">
        <is>
          <t>charge</t>
        </is>
      </c>
      <c r="E910" s="5" t="n">
        <v>46245</v>
      </c>
      <c r="F910" s="9" t="n">
        <v>220</v>
      </c>
      <c r="G910" s="9" t="n">
        <v>4.15</v>
      </c>
      <c r="H910" s="9" t="n">
        <v>215.85</v>
      </c>
      <c r="I910" t="inlineStr">
        <is>
          <t>INV/2026/04530</t>
        </is>
      </c>
      <c r="J910" s="9">
        <f>ROUND(F910-G910-H910,2)</f>
        <v>0</v>
      </c>
    </row>
    <row r="911">
      <c r="A911" t="inlineStr">
        <is>
          <t>po_1Q0032KX</t>
        </is>
      </c>
      <c r="B911" s="5" t="n">
        <v>46247</v>
      </c>
      <c r="C911" t="inlineStr">
        <is>
          <t>ch_3Q000906</t>
        </is>
      </c>
      <c r="D911" t="inlineStr">
        <is>
          <t>charge</t>
        </is>
      </c>
      <c r="E911" s="5" t="n">
        <v>46245</v>
      </c>
      <c r="F911" s="9" t="n">
        <v>85</v>
      </c>
      <c r="G911" s="9" t="n">
        <v>1.79</v>
      </c>
      <c r="H911" s="9" t="n">
        <v>83.20999999999999</v>
      </c>
      <c r="I911" t="inlineStr">
        <is>
          <t>INV/2026/04531</t>
        </is>
      </c>
      <c r="J911" s="9">
        <f>ROUND(F911-G911-H911,2)</f>
        <v>0</v>
      </c>
    </row>
    <row r="912">
      <c r="A912" t="inlineStr">
        <is>
          <t>po_1Q0032KX</t>
        </is>
      </c>
      <c r="B912" s="5" t="n">
        <v>46247</v>
      </c>
      <c r="C912" t="inlineStr">
        <is>
          <t>ch_3Q000907</t>
        </is>
      </c>
      <c r="D912" t="inlineStr">
        <is>
          <t>charge</t>
        </is>
      </c>
      <c r="E912" s="5" t="n">
        <v>46245</v>
      </c>
      <c r="F912" s="9" t="n">
        <v>120</v>
      </c>
      <c r="G912" s="9" t="n">
        <v>2.4</v>
      </c>
      <c r="H912" s="9" t="n">
        <v>117.6</v>
      </c>
      <c r="I912" t="inlineStr">
        <is>
          <t>INV/2026/04532</t>
        </is>
      </c>
      <c r="J912" s="9">
        <f>ROUND(F912-G912-H912,2)</f>
        <v>0</v>
      </c>
    </row>
    <row r="913">
      <c r="A913" t="inlineStr">
        <is>
          <t>po_1Q0032KX</t>
        </is>
      </c>
      <c r="B913" s="5" t="n">
        <v>46247</v>
      </c>
      <c r="C913" t="inlineStr">
        <is>
          <t>ch_3Q000908</t>
        </is>
      </c>
      <c r="D913" t="inlineStr">
        <is>
          <t>charge</t>
        </is>
      </c>
      <c r="E913" s="5" t="n">
        <v>46245</v>
      </c>
      <c r="F913" s="9" t="n">
        <v>220</v>
      </c>
      <c r="G913" s="9" t="n">
        <v>4.15</v>
      </c>
      <c r="H913" s="9" t="n">
        <v>215.85</v>
      </c>
      <c r="I913" t="inlineStr">
        <is>
          <t>INV/2026/04533</t>
        </is>
      </c>
      <c r="J913" s="9">
        <f>ROUND(F913-G913-H913,2)</f>
        <v>0</v>
      </c>
    </row>
    <row r="914">
      <c r="A914" t="inlineStr">
        <is>
          <t>po_1Q0032KX</t>
        </is>
      </c>
      <c r="B914" s="5" t="n">
        <v>46247</v>
      </c>
      <c r="C914" t="inlineStr">
        <is>
          <t>ch_3Q000909</t>
        </is>
      </c>
      <c r="D914" t="inlineStr">
        <is>
          <t>charge</t>
        </is>
      </c>
      <c r="E914" s="5" t="n">
        <v>46245</v>
      </c>
      <c r="F914" s="9" t="n">
        <v>150</v>
      </c>
      <c r="G914" s="9" t="n">
        <v>2.93</v>
      </c>
      <c r="H914" s="9" t="n">
        <v>147.07</v>
      </c>
      <c r="I914" t="inlineStr">
        <is>
          <t>INV/2026/04534</t>
        </is>
      </c>
      <c r="J914" s="9">
        <f>ROUND(F914-G914-H914,2)</f>
        <v>0</v>
      </c>
    </row>
    <row r="915">
      <c r="A915" t="inlineStr">
        <is>
          <t>po_1Q0032KX</t>
        </is>
      </c>
      <c r="B915" s="5" t="n">
        <v>46247</v>
      </c>
      <c r="C915" t="inlineStr">
        <is>
          <t>re_3Q000903</t>
        </is>
      </c>
      <c r="D915" t="inlineStr">
        <is>
          <t>refund</t>
        </is>
      </c>
      <c r="E915" s="5" t="n">
        <v>46247</v>
      </c>
      <c r="F915" s="9" t="n">
        <v>-85</v>
      </c>
      <c r="G915" s="9" t="n">
        <v>0</v>
      </c>
      <c r="H915" s="9" t="n">
        <v>-85</v>
      </c>
      <c r="I915" t="inlineStr">
        <is>
          <t>INV/2026/04528</t>
        </is>
      </c>
      <c r="J915" s="9">
        <f>ROUND(F915-G915-H915,2)</f>
        <v>0</v>
      </c>
    </row>
    <row r="916">
      <c r="A916" t="inlineStr">
        <is>
          <t>po_1Q0033KX</t>
        </is>
      </c>
      <c r="B916" s="5" t="n">
        <v>46248</v>
      </c>
      <c r="C916" t="inlineStr">
        <is>
          <t>ch_3Q000910</t>
        </is>
      </c>
      <c r="D916" t="inlineStr">
        <is>
          <t>charge</t>
        </is>
      </c>
      <c r="E916" s="5" t="n">
        <v>46246</v>
      </c>
      <c r="F916" s="9" t="n">
        <v>110</v>
      </c>
      <c r="G916" s="9" t="n">
        <v>2.23</v>
      </c>
      <c r="H916" s="9" t="n">
        <v>107.77</v>
      </c>
      <c r="I916" t="inlineStr">
        <is>
          <t>INV/2026/04535</t>
        </is>
      </c>
      <c r="J916" s="9">
        <f>ROUND(F916-G916-H916,2)</f>
        <v>0</v>
      </c>
    </row>
    <row r="917">
      <c r="A917" t="inlineStr">
        <is>
          <t>po_1Q0033KX</t>
        </is>
      </c>
      <c r="B917" s="5" t="n">
        <v>46248</v>
      </c>
      <c r="C917" t="inlineStr">
        <is>
          <t>ch_3Q000911</t>
        </is>
      </c>
      <c r="D917" t="inlineStr">
        <is>
          <t>charge</t>
        </is>
      </c>
      <c r="E917" s="5" t="n">
        <v>46246</v>
      </c>
      <c r="F917" s="9" t="n">
        <v>180</v>
      </c>
      <c r="G917" s="9" t="n">
        <v>3.45</v>
      </c>
      <c r="H917" s="9" t="n">
        <v>176.55</v>
      </c>
      <c r="I917" t="inlineStr">
        <is>
          <t>INV/2026/04536</t>
        </is>
      </c>
      <c r="J917" s="9">
        <f>ROUND(F917-G917-H917,2)</f>
        <v>0</v>
      </c>
    </row>
    <row r="918">
      <c r="A918" t="inlineStr">
        <is>
          <t>po_1Q0033KX</t>
        </is>
      </c>
      <c r="B918" s="5" t="n">
        <v>46248</v>
      </c>
      <c r="C918" t="inlineStr">
        <is>
          <t>ch_3Q000912</t>
        </is>
      </c>
      <c r="D918" t="inlineStr">
        <is>
          <t>charge</t>
        </is>
      </c>
      <c r="E918" s="5" t="n">
        <v>46246</v>
      </c>
      <c r="F918" s="9" t="n">
        <v>85</v>
      </c>
      <c r="G918" s="9" t="n">
        <v>1.79</v>
      </c>
      <c r="H918" s="9" t="n">
        <v>83.20999999999999</v>
      </c>
      <c r="I918" t="inlineStr">
        <is>
          <t>INV/2026/04537</t>
        </is>
      </c>
      <c r="J918" s="9">
        <f>ROUND(F918-G918-H918,2)</f>
        <v>0</v>
      </c>
    </row>
    <row r="919">
      <c r="A919" t="inlineStr">
        <is>
          <t>po_1Q0033KX</t>
        </is>
      </c>
      <c r="B919" s="5" t="n">
        <v>46248</v>
      </c>
      <c r="C919" t="inlineStr">
        <is>
          <t>ch_3Q000913</t>
        </is>
      </c>
      <c r="D919" t="inlineStr">
        <is>
          <t>charge</t>
        </is>
      </c>
      <c r="E919" s="5" t="n">
        <v>46246</v>
      </c>
      <c r="F919" s="9" t="n">
        <v>95</v>
      </c>
      <c r="G919" s="9" t="n">
        <v>1.96</v>
      </c>
      <c r="H919" s="9" t="n">
        <v>93.04000000000001</v>
      </c>
      <c r="I919" t="inlineStr">
        <is>
          <t>INV/2026/04538</t>
        </is>
      </c>
      <c r="J919" s="9">
        <f>ROUND(F919-G919-H919,2)</f>
        <v>0</v>
      </c>
    </row>
    <row r="920">
      <c r="A920" t="inlineStr">
        <is>
          <t>po_1Q0033KX</t>
        </is>
      </c>
      <c r="B920" s="5" t="n">
        <v>46248</v>
      </c>
      <c r="C920" t="inlineStr">
        <is>
          <t>ch_3Q000914</t>
        </is>
      </c>
      <c r="D920" t="inlineStr">
        <is>
          <t>charge</t>
        </is>
      </c>
      <c r="E920" s="5" t="n">
        <v>46246</v>
      </c>
      <c r="F920" s="9" t="n">
        <v>95</v>
      </c>
      <c r="G920" s="9" t="n">
        <v>1.96</v>
      </c>
      <c r="H920" s="9" t="n">
        <v>93.04000000000001</v>
      </c>
      <c r="I920" t="inlineStr">
        <is>
          <t>INV/2026/04539</t>
        </is>
      </c>
      <c r="J920" s="9">
        <f>ROUND(F920-G920-H920,2)</f>
        <v>0</v>
      </c>
    </row>
    <row r="921">
      <c r="A921" t="inlineStr">
        <is>
          <t>po_1Q0033KX</t>
        </is>
      </c>
      <c r="B921" s="5" t="n">
        <v>46248</v>
      </c>
      <c r="C921" t="inlineStr">
        <is>
          <t>ch_3Q000915</t>
        </is>
      </c>
      <c r="D921" t="inlineStr">
        <is>
          <t>charge</t>
        </is>
      </c>
      <c r="E921" s="5" t="n">
        <v>46246</v>
      </c>
      <c r="F921" s="9" t="n">
        <v>95</v>
      </c>
      <c r="G921" s="9" t="n">
        <v>1.96</v>
      </c>
      <c r="H921" s="9" t="n">
        <v>93.04000000000001</v>
      </c>
      <c r="I921" t="inlineStr">
        <is>
          <t>INV/2026/04540</t>
        </is>
      </c>
      <c r="J921" s="9">
        <f>ROUND(F921-G921-H921,2)</f>
        <v>0</v>
      </c>
    </row>
    <row r="922">
      <c r="A922" t="inlineStr">
        <is>
          <t>po_1Q0033KX</t>
        </is>
      </c>
      <c r="B922" s="5" t="n">
        <v>46248</v>
      </c>
      <c r="C922" t="inlineStr">
        <is>
          <t>ch_3Q000916</t>
        </is>
      </c>
      <c r="D922" t="inlineStr">
        <is>
          <t>charge</t>
        </is>
      </c>
      <c r="E922" s="5" t="n">
        <v>46246</v>
      </c>
      <c r="F922" s="9" t="n">
        <v>65</v>
      </c>
      <c r="G922" s="9" t="n">
        <v>1.44</v>
      </c>
      <c r="H922" s="9" t="n">
        <v>63.56</v>
      </c>
      <c r="I922" t="inlineStr">
        <is>
          <t>INV/2026/04541</t>
        </is>
      </c>
      <c r="J922" s="9">
        <f>ROUND(F922-G922-H922,2)</f>
        <v>0</v>
      </c>
    </row>
    <row r="923">
      <c r="A923" t="inlineStr">
        <is>
          <t>po_1Q0033KX</t>
        </is>
      </c>
      <c r="B923" s="5" t="n">
        <v>46248</v>
      </c>
      <c r="C923" t="inlineStr">
        <is>
          <t>ch_3Q000917</t>
        </is>
      </c>
      <c r="D923" t="inlineStr">
        <is>
          <t>charge</t>
        </is>
      </c>
      <c r="E923" s="5" t="n">
        <v>46246</v>
      </c>
      <c r="F923" s="9" t="n">
        <v>135</v>
      </c>
      <c r="G923" s="9" t="n">
        <v>2.66</v>
      </c>
      <c r="H923" s="9" t="n">
        <v>132.34</v>
      </c>
      <c r="I923" t="inlineStr">
        <is>
          <t>INV/2026/04542</t>
        </is>
      </c>
      <c r="J923" s="9">
        <f>ROUND(F923-G923-H923,2)</f>
        <v>0</v>
      </c>
    </row>
    <row r="924">
      <c r="A924" t="inlineStr">
        <is>
          <t>po_1Q0033KX</t>
        </is>
      </c>
      <c r="B924" s="5" t="n">
        <v>46248</v>
      </c>
      <c r="C924" t="inlineStr">
        <is>
          <t>ch_3Q000918</t>
        </is>
      </c>
      <c r="D924" t="inlineStr">
        <is>
          <t>charge</t>
        </is>
      </c>
      <c r="E924" s="5" t="n">
        <v>46246</v>
      </c>
      <c r="F924" s="9" t="n">
        <v>180</v>
      </c>
      <c r="G924" s="9" t="n">
        <v>3.45</v>
      </c>
      <c r="H924" s="9" t="n">
        <v>176.55</v>
      </c>
      <c r="I924" t="inlineStr">
        <is>
          <t>INV/2026/04543</t>
        </is>
      </c>
      <c r="J924" s="9">
        <f>ROUND(F924-G924-H924,2)</f>
        <v>0</v>
      </c>
    </row>
    <row r="925">
      <c r="A925" t="inlineStr">
        <is>
          <t>po_1Q0033KX</t>
        </is>
      </c>
      <c r="B925" s="5" t="n">
        <v>46248</v>
      </c>
      <c r="C925" t="inlineStr">
        <is>
          <t>ch_3Q000919</t>
        </is>
      </c>
      <c r="D925" t="inlineStr">
        <is>
          <t>charge</t>
        </is>
      </c>
      <c r="E925" s="5" t="n">
        <v>46246</v>
      </c>
      <c r="F925" s="9" t="n">
        <v>135</v>
      </c>
      <c r="G925" s="9" t="n">
        <v>2.66</v>
      </c>
      <c r="H925" s="9" t="n">
        <v>132.34</v>
      </c>
      <c r="I925" t="inlineStr">
        <is>
          <t>INV/2026/04544</t>
        </is>
      </c>
      <c r="J925" s="9">
        <f>ROUND(F925-G925-H925,2)</f>
        <v>0</v>
      </c>
    </row>
    <row r="926">
      <c r="A926" t="inlineStr">
        <is>
          <t>po_1Q0033KX</t>
        </is>
      </c>
      <c r="B926" s="5" t="n">
        <v>46248</v>
      </c>
      <c r="C926" t="inlineStr">
        <is>
          <t>ch_3Q000920</t>
        </is>
      </c>
      <c r="D926" t="inlineStr">
        <is>
          <t>charge</t>
        </is>
      </c>
      <c r="E926" s="5" t="n">
        <v>46246</v>
      </c>
      <c r="F926" s="9" t="n">
        <v>95</v>
      </c>
      <c r="G926" s="9" t="n">
        <v>1.96</v>
      </c>
      <c r="H926" s="9" t="n">
        <v>93.04000000000001</v>
      </c>
      <c r="I926" t="inlineStr">
        <is>
          <t>INV/2026/04545</t>
        </is>
      </c>
      <c r="J926" s="9">
        <f>ROUND(F926-G926-H926,2)</f>
        <v>0</v>
      </c>
    </row>
    <row r="927">
      <c r="A927" t="inlineStr">
        <is>
          <t>po_1Q0033KX</t>
        </is>
      </c>
      <c r="B927" s="5" t="n">
        <v>46248</v>
      </c>
      <c r="C927" t="inlineStr">
        <is>
          <t>ch_3Q000921</t>
        </is>
      </c>
      <c r="D927" t="inlineStr">
        <is>
          <t>charge</t>
        </is>
      </c>
      <c r="E927" s="5" t="n">
        <v>46246</v>
      </c>
      <c r="F927" s="9" t="n">
        <v>120</v>
      </c>
      <c r="G927" s="9" t="n">
        <v>2.4</v>
      </c>
      <c r="H927" s="9" t="n">
        <v>117.6</v>
      </c>
      <c r="I927" t="inlineStr">
        <is>
          <t>INV/2026/04546</t>
        </is>
      </c>
      <c r="J927" s="9">
        <f>ROUND(F927-G927-H927,2)</f>
        <v>0</v>
      </c>
    </row>
    <row r="928">
      <c r="A928" t="inlineStr">
        <is>
          <t>po_1Q0033KX</t>
        </is>
      </c>
      <c r="B928" s="5" t="n">
        <v>46248</v>
      </c>
      <c r="C928" t="inlineStr">
        <is>
          <t>ch_3Q000922</t>
        </is>
      </c>
      <c r="D928" t="inlineStr">
        <is>
          <t>charge</t>
        </is>
      </c>
      <c r="E928" s="5" t="n">
        <v>46246</v>
      </c>
      <c r="F928" s="9" t="n">
        <v>65</v>
      </c>
      <c r="G928" s="9" t="n">
        <v>1.44</v>
      </c>
      <c r="H928" s="9" t="n">
        <v>63.56</v>
      </c>
      <c r="I928" t="inlineStr">
        <is>
          <t>INV/2026/04547</t>
        </is>
      </c>
      <c r="J928" s="9">
        <f>ROUND(F928-G928-H928,2)</f>
        <v>0</v>
      </c>
    </row>
    <row r="929">
      <c r="A929" t="inlineStr">
        <is>
          <t>po_1Q0033KX</t>
        </is>
      </c>
      <c r="B929" s="5" t="n">
        <v>46248</v>
      </c>
      <c r="C929" t="inlineStr">
        <is>
          <t>ch_3Q000923</t>
        </is>
      </c>
      <c r="D929" t="inlineStr">
        <is>
          <t>charge</t>
        </is>
      </c>
      <c r="E929" s="5" t="n">
        <v>46246</v>
      </c>
      <c r="F929" s="9" t="n">
        <v>95</v>
      </c>
      <c r="G929" s="9" t="n">
        <v>1.96</v>
      </c>
      <c r="H929" s="9" t="n">
        <v>93.04000000000001</v>
      </c>
      <c r="I929" t="inlineStr">
        <is>
          <t>INV/2026/04548</t>
        </is>
      </c>
      <c r="J929" s="9">
        <f>ROUND(F929-G929-H929,2)</f>
        <v>0</v>
      </c>
    </row>
    <row r="930">
      <c r="A930" t="inlineStr">
        <is>
          <t>po_1Q0033KX</t>
        </is>
      </c>
      <c r="B930" s="5" t="n">
        <v>46248</v>
      </c>
      <c r="C930" t="inlineStr">
        <is>
          <t>ch_3Q000924</t>
        </is>
      </c>
      <c r="D930" t="inlineStr">
        <is>
          <t>charge</t>
        </is>
      </c>
      <c r="E930" s="5" t="n">
        <v>46246</v>
      </c>
      <c r="F930" s="9" t="n">
        <v>220</v>
      </c>
      <c r="G930" s="9" t="n">
        <v>4.15</v>
      </c>
      <c r="H930" s="9" t="n">
        <v>215.85</v>
      </c>
      <c r="I930" t="inlineStr">
        <is>
          <t>INV/2026/04549</t>
        </is>
      </c>
      <c r="J930" s="9">
        <f>ROUND(F930-G930-H930,2)</f>
        <v>0</v>
      </c>
    </row>
    <row r="931">
      <c r="A931" t="inlineStr">
        <is>
          <t>po_1Q0033KX</t>
        </is>
      </c>
      <c r="B931" s="5" t="n">
        <v>46248</v>
      </c>
      <c r="C931" t="inlineStr">
        <is>
          <t>ch_3Q000925</t>
        </is>
      </c>
      <c r="D931" t="inlineStr">
        <is>
          <t>charge</t>
        </is>
      </c>
      <c r="E931" s="5" t="n">
        <v>46246</v>
      </c>
      <c r="F931" s="9" t="n">
        <v>65</v>
      </c>
      <c r="G931" s="9" t="n">
        <v>1.44</v>
      </c>
      <c r="H931" s="9" t="n">
        <v>63.56</v>
      </c>
      <c r="I931" t="inlineStr">
        <is>
          <t>INV/2026/04550</t>
        </is>
      </c>
      <c r="J931" s="9">
        <f>ROUND(F931-G931-H931,2)</f>
        <v>0</v>
      </c>
    </row>
    <row r="932">
      <c r="A932" t="inlineStr">
        <is>
          <t>po_1Q0033KX</t>
        </is>
      </c>
      <c r="B932" s="5" t="n">
        <v>46248</v>
      </c>
      <c r="C932" t="inlineStr">
        <is>
          <t>ch_3Q000926</t>
        </is>
      </c>
      <c r="D932" t="inlineStr">
        <is>
          <t>charge</t>
        </is>
      </c>
      <c r="E932" s="5" t="n">
        <v>46246</v>
      </c>
      <c r="F932" s="9" t="n">
        <v>85</v>
      </c>
      <c r="G932" s="9" t="n">
        <v>1.79</v>
      </c>
      <c r="H932" s="9" t="n">
        <v>83.20999999999999</v>
      </c>
      <c r="I932" t="inlineStr">
        <is>
          <t>INV/2026/04551</t>
        </is>
      </c>
      <c r="J932" s="9">
        <f>ROUND(F932-G932-H932,2)</f>
        <v>0</v>
      </c>
    </row>
    <row r="933">
      <c r="A933" t="inlineStr">
        <is>
          <t>po_1Q0033KX</t>
        </is>
      </c>
      <c r="B933" s="5" t="n">
        <v>46248</v>
      </c>
      <c r="C933" t="inlineStr">
        <is>
          <t>ch_3Q000927</t>
        </is>
      </c>
      <c r="D933" t="inlineStr">
        <is>
          <t>charge</t>
        </is>
      </c>
      <c r="E933" s="5" t="n">
        <v>46246</v>
      </c>
      <c r="F933" s="9" t="n">
        <v>220</v>
      </c>
      <c r="G933" s="9" t="n">
        <v>4.15</v>
      </c>
      <c r="H933" s="9" t="n">
        <v>215.85</v>
      </c>
      <c r="I933" t="inlineStr">
        <is>
          <t>INV/2026/04552</t>
        </is>
      </c>
      <c r="J933" s="9">
        <f>ROUND(F933-G933-H933,2)</f>
        <v>0</v>
      </c>
    </row>
    <row r="934">
      <c r="A934" t="inlineStr">
        <is>
          <t>po_1Q0033KX</t>
        </is>
      </c>
      <c r="B934" s="5" t="n">
        <v>46248</v>
      </c>
      <c r="C934" t="inlineStr">
        <is>
          <t>ch_3Q000928</t>
        </is>
      </c>
      <c r="D934" t="inlineStr">
        <is>
          <t>charge</t>
        </is>
      </c>
      <c r="E934" s="5" t="n">
        <v>46246</v>
      </c>
      <c r="F934" s="9" t="n">
        <v>95</v>
      </c>
      <c r="G934" s="9" t="n">
        <v>1.96</v>
      </c>
      <c r="H934" s="9" t="n">
        <v>93.04000000000001</v>
      </c>
      <c r="I934" t="inlineStr">
        <is>
          <t>INV/2026/04553</t>
        </is>
      </c>
      <c r="J934" s="9">
        <f>ROUND(F934-G934-H934,2)</f>
        <v>0</v>
      </c>
    </row>
    <row r="935">
      <c r="A935" t="inlineStr">
        <is>
          <t>po_1Q0033KX</t>
        </is>
      </c>
      <c r="B935" s="5" t="n">
        <v>46248</v>
      </c>
      <c r="C935" t="inlineStr">
        <is>
          <t>ch_3Q000929</t>
        </is>
      </c>
      <c r="D935" t="inlineStr">
        <is>
          <t>charge</t>
        </is>
      </c>
      <c r="E935" s="5" t="n">
        <v>46246</v>
      </c>
      <c r="F935" s="9" t="n">
        <v>220</v>
      </c>
      <c r="G935" s="9" t="n">
        <v>4.15</v>
      </c>
      <c r="H935" s="9" t="n">
        <v>215.85</v>
      </c>
      <c r="I935" t="inlineStr">
        <is>
          <t>INV/2026/04554</t>
        </is>
      </c>
      <c r="J935" s="9">
        <f>ROUND(F935-G935-H935,2)</f>
        <v>0</v>
      </c>
    </row>
    <row r="936">
      <c r="A936" t="inlineStr">
        <is>
          <t>po_1Q0033KX</t>
        </is>
      </c>
      <c r="B936" s="5" t="n">
        <v>46248</v>
      </c>
      <c r="C936" t="inlineStr">
        <is>
          <t>ch_3Q000930</t>
        </is>
      </c>
      <c r="D936" t="inlineStr">
        <is>
          <t>charge</t>
        </is>
      </c>
      <c r="E936" s="5" t="n">
        <v>46246</v>
      </c>
      <c r="F936" s="9" t="n">
        <v>150</v>
      </c>
      <c r="G936" s="9" t="n">
        <v>2.93</v>
      </c>
      <c r="H936" s="9" t="n">
        <v>147.07</v>
      </c>
      <c r="I936" t="inlineStr">
        <is>
          <t>INV/2026/04555</t>
        </is>
      </c>
      <c r="J936" s="9">
        <f>ROUND(F936-G936-H936,2)</f>
        <v>0</v>
      </c>
    </row>
    <row r="937">
      <c r="A937" t="inlineStr">
        <is>
          <t>po_1Q0033KX</t>
        </is>
      </c>
      <c r="B937" s="5" t="n">
        <v>46248</v>
      </c>
      <c r="C937" t="inlineStr">
        <is>
          <t>ch_3Q000931</t>
        </is>
      </c>
      <c r="D937" t="inlineStr">
        <is>
          <t>charge</t>
        </is>
      </c>
      <c r="E937" s="5" t="n">
        <v>46246</v>
      </c>
      <c r="F937" s="9" t="n">
        <v>110</v>
      </c>
      <c r="G937" s="9" t="n">
        <v>2.23</v>
      </c>
      <c r="H937" s="9" t="n">
        <v>107.77</v>
      </c>
      <c r="I937" t="inlineStr">
        <is>
          <t>INV/2026/04556</t>
        </is>
      </c>
      <c r="J937" s="9">
        <f>ROUND(F937-G937-H937,2)</f>
        <v>0</v>
      </c>
    </row>
    <row r="938">
      <c r="A938" t="inlineStr">
        <is>
          <t>po_1Q0033KX</t>
        </is>
      </c>
      <c r="B938" s="5" t="n">
        <v>46248</v>
      </c>
      <c r="C938" t="inlineStr">
        <is>
          <t>ch_3Q000932</t>
        </is>
      </c>
      <c r="D938" t="inlineStr">
        <is>
          <t>charge</t>
        </is>
      </c>
      <c r="E938" s="5" t="n">
        <v>46246</v>
      </c>
      <c r="F938" s="9" t="n">
        <v>120</v>
      </c>
      <c r="G938" s="9" t="n">
        <v>2.4</v>
      </c>
      <c r="H938" s="9" t="n">
        <v>117.6</v>
      </c>
      <c r="I938" t="inlineStr">
        <is>
          <t>INV/2026/04557</t>
        </is>
      </c>
      <c r="J938" s="9">
        <f>ROUND(F938-G938-H938,2)</f>
        <v>0</v>
      </c>
    </row>
    <row r="939">
      <c r="A939" t="inlineStr">
        <is>
          <t>po_1Q0033KX</t>
        </is>
      </c>
      <c r="B939" s="5" t="n">
        <v>46248</v>
      </c>
      <c r="C939" t="inlineStr">
        <is>
          <t>ch_3Q000933</t>
        </is>
      </c>
      <c r="D939" t="inlineStr">
        <is>
          <t>charge</t>
        </is>
      </c>
      <c r="E939" s="5" t="n">
        <v>46246</v>
      </c>
      <c r="F939" s="9" t="n">
        <v>95</v>
      </c>
      <c r="G939" s="9" t="n">
        <v>1.96</v>
      </c>
      <c r="H939" s="9" t="n">
        <v>93.04000000000001</v>
      </c>
      <c r="I939" t="inlineStr">
        <is>
          <t>INV/2026/04558</t>
        </is>
      </c>
      <c r="J939" s="9">
        <f>ROUND(F939-G939-H939,2)</f>
        <v>0</v>
      </c>
    </row>
    <row r="940">
      <c r="A940" t="inlineStr">
        <is>
          <t>po_1Q0034KX</t>
        </is>
      </c>
      <c r="B940" s="5" t="n">
        <v>46251</v>
      </c>
      <c r="C940" t="inlineStr">
        <is>
          <t>ch_3Q000934</t>
        </is>
      </c>
      <c r="D940" t="inlineStr">
        <is>
          <t>charge</t>
        </is>
      </c>
      <c r="E940" s="5" t="n">
        <v>46247</v>
      </c>
      <c r="F940" s="9" t="n">
        <v>135</v>
      </c>
      <c r="G940" s="9" t="n">
        <v>2.66</v>
      </c>
      <c r="H940" s="9" t="n">
        <v>132.34</v>
      </c>
      <c r="I940" t="inlineStr">
        <is>
          <t>INV/2026/04559</t>
        </is>
      </c>
      <c r="J940" s="9">
        <f>ROUND(F940-G940-H940,2)</f>
        <v>0</v>
      </c>
    </row>
    <row r="941">
      <c r="A941" t="inlineStr">
        <is>
          <t>po_1Q0034KX</t>
        </is>
      </c>
      <c r="B941" s="5" t="n">
        <v>46251</v>
      </c>
      <c r="C941" t="inlineStr">
        <is>
          <t>ch_3Q000935</t>
        </is>
      </c>
      <c r="D941" t="inlineStr">
        <is>
          <t>charge</t>
        </is>
      </c>
      <c r="E941" s="5" t="n">
        <v>46247</v>
      </c>
      <c r="F941" s="9" t="n">
        <v>135</v>
      </c>
      <c r="G941" s="9" t="n">
        <v>2.66</v>
      </c>
      <c r="H941" s="9" t="n">
        <v>132.34</v>
      </c>
      <c r="I941" t="inlineStr">
        <is>
          <t>INV/2026/04560</t>
        </is>
      </c>
      <c r="J941" s="9">
        <f>ROUND(F941-G941-H941,2)</f>
        <v>0</v>
      </c>
    </row>
    <row r="942">
      <c r="A942" t="inlineStr">
        <is>
          <t>po_1Q0034KX</t>
        </is>
      </c>
      <c r="B942" s="5" t="n">
        <v>46251</v>
      </c>
      <c r="C942" t="inlineStr">
        <is>
          <t>ch_3Q000936</t>
        </is>
      </c>
      <c r="D942" t="inlineStr">
        <is>
          <t>charge</t>
        </is>
      </c>
      <c r="E942" s="5" t="n">
        <v>46247</v>
      </c>
      <c r="F942" s="9" t="n">
        <v>180</v>
      </c>
      <c r="G942" s="9" t="n">
        <v>3.45</v>
      </c>
      <c r="H942" s="9" t="n">
        <v>176.55</v>
      </c>
      <c r="I942" t="inlineStr">
        <is>
          <t>INV/2026/04561</t>
        </is>
      </c>
      <c r="J942" s="9">
        <f>ROUND(F942-G942-H942,2)</f>
        <v>0</v>
      </c>
    </row>
    <row r="943">
      <c r="A943" t="inlineStr">
        <is>
          <t>po_1Q0034KX</t>
        </is>
      </c>
      <c r="B943" s="5" t="n">
        <v>46251</v>
      </c>
      <c r="C943" t="inlineStr">
        <is>
          <t>ch_3Q000937</t>
        </is>
      </c>
      <c r="D943" t="inlineStr">
        <is>
          <t>charge</t>
        </is>
      </c>
      <c r="E943" s="5" t="n">
        <v>46247</v>
      </c>
      <c r="F943" s="9" t="n">
        <v>135</v>
      </c>
      <c r="G943" s="9" t="n">
        <v>2.66</v>
      </c>
      <c r="H943" s="9" t="n">
        <v>132.34</v>
      </c>
      <c r="I943" t="inlineStr">
        <is>
          <t>INV/2026/04562</t>
        </is>
      </c>
      <c r="J943" s="9">
        <f>ROUND(F943-G943-H943,2)</f>
        <v>0</v>
      </c>
    </row>
    <row r="944">
      <c r="A944" t="inlineStr">
        <is>
          <t>po_1Q0034KX</t>
        </is>
      </c>
      <c r="B944" s="5" t="n">
        <v>46251</v>
      </c>
      <c r="C944" t="inlineStr">
        <is>
          <t>ch_3Q000938</t>
        </is>
      </c>
      <c r="D944" t="inlineStr">
        <is>
          <t>charge</t>
        </is>
      </c>
      <c r="E944" s="5" t="n">
        <v>46247</v>
      </c>
      <c r="F944" s="9" t="n">
        <v>135</v>
      </c>
      <c r="G944" s="9" t="n">
        <v>2.66</v>
      </c>
      <c r="H944" s="9" t="n">
        <v>132.34</v>
      </c>
      <c r="I944" t="inlineStr">
        <is>
          <t>INV/2026/04563</t>
        </is>
      </c>
      <c r="J944" s="9">
        <f>ROUND(F944-G944-H944,2)</f>
        <v>0</v>
      </c>
    </row>
    <row r="945">
      <c r="A945" t="inlineStr">
        <is>
          <t>po_1Q0034KX</t>
        </is>
      </c>
      <c r="B945" s="5" t="n">
        <v>46251</v>
      </c>
      <c r="C945" t="inlineStr">
        <is>
          <t>ch_3Q000939</t>
        </is>
      </c>
      <c r="D945" t="inlineStr">
        <is>
          <t>charge</t>
        </is>
      </c>
      <c r="E945" s="5" t="n">
        <v>46247</v>
      </c>
      <c r="F945" s="9" t="n">
        <v>220</v>
      </c>
      <c r="G945" s="9" t="n">
        <v>4.15</v>
      </c>
      <c r="H945" s="9" t="n">
        <v>215.85</v>
      </c>
      <c r="I945" t="inlineStr">
        <is>
          <t>INV/2026/04564</t>
        </is>
      </c>
      <c r="J945" s="9">
        <f>ROUND(F945-G945-H945,2)</f>
        <v>0</v>
      </c>
    </row>
    <row r="946">
      <c r="A946" t="inlineStr">
        <is>
          <t>po_1Q0034KX</t>
        </is>
      </c>
      <c r="B946" s="5" t="n">
        <v>46251</v>
      </c>
      <c r="C946" t="inlineStr">
        <is>
          <t>ch_3Q000940</t>
        </is>
      </c>
      <c r="D946" t="inlineStr">
        <is>
          <t>charge</t>
        </is>
      </c>
      <c r="E946" s="5" t="n">
        <v>46247</v>
      </c>
      <c r="F946" s="9" t="n">
        <v>85</v>
      </c>
      <c r="G946" s="9" t="n">
        <v>1.79</v>
      </c>
      <c r="H946" s="9" t="n">
        <v>83.20999999999999</v>
      </c>
      <c r="I946" t="inlineStr">
        <is>
          <t>INV/2026/04565</t>
        </is>
      </c>
      <c r="J946" s="9">
        <f>ROUND(F946-G946-H946,2)</f>
        <v>0</v>
      </c>
    </row>
    <row r="947">
      <c r="A947" t="inlineStr">
        <is>
          <t>po_1Q0034KX</t>
        </is>
      </c>
      <c r="B947" s="5" t="n">
        <v>46251</v>
      </c>
      <c r="C947" t="inlineStr">
        <is>
          <t>ch_3Q000941</t>
        </is>
      </c>
      <c r="D947" t="inlineStr">
        <is>
          <t>charge</t>
        </is>
      </c>
      <c r="E947" s="5" t="n">
        <v>46247</v>
      </c>
      <c r="F947" s="9" t="n">
        <v>180</v>
      </c>
      <c r="G947" s="9" t="n">
        <v>3.45</v>
      </c>
      <c r="H947" s="9" t="n">
        <v>176.55</v>
      </c>
      <c r="I947" t="inlineStr">
        <is>
          <t>INV/2026/04566</t>
        </is>
      </c>
      <c r="J947" s="9">
        <f>ROUND(F947-G947-H947,2)</f>
        <v>0</v>
      </c>
    </row>
    <row r="948">
      <c r="A948" t="inlineStr">
        <is>
          <t>po_1Q0034KX</t>
        </is>
      </c>
      <c r="B948" s="5" t="n">
        <v>46251</v>
      </c>
      <c r="C948" t="inlineStr">
        <is>
          <t>ch_3Q000942</t>
        </is>
      </c>
      <c r="D948" t="inlineStr">
        <is>
          <t>charge</t>
        </is>
      </c>
      <c r="E948" s="5" t="n">
        <v>46247</v>
      </c>
      <c r="F948" s="9" t="n">
        <v>220</v>
      </c>
      <c r="G948" s="9" t="n">
        <v>4.15</v>
      </c>
      <c r="H948" s="9" t="n">
        <v>215.85</v>
      </c>
      <c r="I948" t="inlineStr">
        <is>
          <t>INV/2026/04567</t>
        </is>
      </c>
      <c r="J948" s="9">
        <f>ROUND(F948-G948-H948,2)</f>
        <v>0</v>
      </c>
    </row>
    <row r="949">
      <c r="A949" t="inlineStr">
        <is>
          <t>po_1Q0034KX</t>
        </is>
      </c>
      <c r="B949" s="5" t="n">
        <v>46251</v>
      </c>
      <c r="C949" t="inlineStr">
        <is>
          <t>ch_3Q000943</t>
        </is>
      </c>
      <c r="D949" t="inlineStr">
        <is>
          <t>charge</t>
        </is>
      </c>
      <c r="E949" s="5" t="n">
        <v>46247</v>
      </c>
      <c r="F949" s="9" t="n">
        <v>120</v>
      </c>
      <c r="G949" s="9" t="n">
        <v>2.4</v>
      </c>
      <c r="H949" s="9" t="n">
        <v>117.6</v>
      </c>
      <c r="I949" t="inlineStr">
        <is>
          <t>INV/2026/04568</t>
        </is>
      </c>
      <c r="J949" s="9">
        <f>ROUND(F949-G949-H949,2)</f>
        <v>0</v>
      </c>
    </row>
    <row r="950">
      <c r="A950" t="inlineStr">
        <is>
          <t>po_1Q0034KX</t>
        </is>
      </c>
      <c r="B950" s="5" t="n">
        <v>46251</v>
      </c>
      <c r="C950" t="inlineStr">
        <is>
          <t>ch_3Q000944</t>
        </is>
      </c>
      <c r="D950" t="inlineStr">
        <is>
          <t>charge</t>
        </is>
      </c>
      <c r="E950" s="5" t="n">
        <v>46247</v>
      </c>
      <c r="F950" s="9" t="n">
        <v>150</v>
      </c>
      <c r="G950" s="9" t="n">
        <v>2.93</v>
      </c>
      <c r="H950" s="9" t="n">
        <v>147.07</v>
      </c>
      <c r="I950" t="inlineStr">
        <is>
          <t>INV/2026/04569</t>
        </is>
      </c>
      <c r="J950" s="9">
        <f>ROUND(F950-G950-H950,2)</f>
        <v>0</v>
      </c>
    </row>
    <row r="951">
      <c r="A951" t="inlineStr">
        <is>
          <t>po_1Q0034KX</t>
        </is>
      </c>
      <c r="B951" s="5" t="n">
        <v>46251</v>
      </c>
      <c r="C951" t="inlineStr">
        <is>
          <t>ch_3Q000945</t>
        </is>
      </c>
      <c r="D951" t="inlineStr">
        <is>
          <t>charge</t>
        </is>
      </c>
      <c r="E951" s="5" t="n">
        <v>46247</v>
      </c>
      <c r="F951" s="9" t="n">
        <v>180</v>
      </c>
      <c r="G951" s="9" t="n">
        <v>3.45</v>
      </c>
      <c r="H951" s="9" t="n">
        <v>176.55</v>
      </c>
      <c r="I951" t="inlineStr">
        <is>
          <t>INV/2026/04570</t>
        </is>
      </c>
      <c r="J951" s="9">
        <f>ROUND(F951-G951-H951,2)</f>
        <v>0</v>
      </c>
    </row>
    <row r="952">
      <c r="A952" t="inlineStr">
        <is>
          <t>po_1Q0034KX</t>
        </is>
      </c>
      <c r="B952" s="5" t="n">
        <v>46251</v>
      </c>
      <c r="C952" t="inlineStr">
        <is>
          <t>ch_3Q000946</t>
        </is>
      </c>
      <c r="D952" t="inlineStr">
        <is>
          <t>charge</t>
        </is>
      </c>
      <c r="E952" s="5" t="n">
        <v>46247</v>
      </c>
      <c r="F952" s="9" t="n">
        <v>85</v>
      </c>
      <c r="G952" s="9" t="n">
        <v>1.79</v>
      </c>
      <c r="H952" s="9" t="n">
        <v>83.20999999999999</v>
      </c>
      <c r="I952" t="inlineStr">
        <is>
          <t>INV/2026/04571</t>
        </is>
      </c>
      <c r="J952" s="9">
        <f>ROUND(F952-G952-H952,2)</f>
        <v>0</v>
      </c>
    </row>
    <row r="953">
      <c r="A953" t="inlineStr">
        <is>
          <t>po_1Q0034KX</t>
        </is>
      </c>
      <c r="B953" s="5" t="n">
        <v>46251</v>
      </c>
      <c r="C953" t="inlineStr">
        <is>
          <t>ch_3Q000947</t>
        </is>
      </c>
      <c r="D953" t="inlineStr">
        <is>
          <t>charge</t>
        </is>
      </c>
      <c r="E953" s="5" t="n">
        <v>46247</v>
      </c>
      <c r="F953" s="9" t="n">
        <v>135</v>
      </c>
      <c r="G953" s="9" t="n">
        <v>2.66</v>
      </c>
      <c r="H953" s="9" t="n">
        <v>132.34</v>
      </c>
      <c r="I953" t="inlineStr">
        <is>
          <t>INV/2026/04572</t>
        </is>
      </c>
      <c r="J953" s="9">
        <f>ROUND(F953-G953-H953,2)</f>
        <v>0</v>
      </c>
    </row>
    <row r="954">
      <c r="A954" t="inlineStr">
        <is>
          <t>po_1Q0034KX</t>
        </is>
      </c>
      <c r="B954" s="5" t="n">
        <v>46251</v>
      </c>
      <c r="C954" t="inlineStr">
        <is>
          <t>ch_3Q000948</t>
        </is>
      </c>
      <c r="D954" t="inlineStr">
        <is>
          <t>charge</t>
        </is>
      </c>
      <c r="E954" s="5" t="n">
        <v>46247</v>
      </c>
      <c r="F954" s="9" t="n">
        <v>110</v>
      </c>
      <c r="G954" s="9" t="n">
        <v>2.23</v>
      </c>
      <c r="H954" s="9" t="n">
        <v>107.77</v>
      </c>
      <c r="I954" t="inlineStr">
        <is>
          <t>INV/2026/04573</t>
        </is>
      </c>
      <c r="J954" s="9">
        <f>ROUND(F954-G954-H954,2)</f>
        <v>0</v>
      </c>
    </row>
    <row r="955">
      <c r="A955" t="inlineStr">
        <is>
          <t>po_1Q0034KX</t>
        </is>
      </c>
      <c r="B955" s="5" t="n">
        <v>46251</v>
      </c>
      <c r="C955" t="inlineStr">
        <is>
          <t>ch_3Q000949</t>
        </is>
      </c>
      <c r="D955" t="inlineStr">
        <is>
          <t>charge</t>
        </is>
      </c>
      <c r="E955" s="5" t="n">
        <v>46247</v>
      </c>
      <c r="F955" s="9" t="n">
        <v>220</v>
      </c>
      <c r="G955" s="9" t="n">
        <v>4.15</v>
      </c>
      <c r="H955" s="9" t="n">
        <v>215.85</v>
      </c>
      <c r="I955" t="inlineStr">
        <is>
          <t>INV/2026/04574</t>
        </is>
      </c>
      <c r="J955" s="9">
        <f>ROUND(F955-G955-H955,2)</f>
        <v>0</v>
      </c>
    </row>
    <row r="956">
      <c r="A956" t="inlineStr">
        <is>
          <t>po_1Q0034KX</t>
        </is>
      </c>
      <c r="B956" s="5" t="n">
        <v>46251</v>
      </c>
      <c r="C956" t="inlineStr">
        <is>
          <t>ch_3Q000950</t>
        </is>
      </c>
      <c r="D956" t="inlineStr">
        <is>
          <t>charge</t>
        </is>
      </c>
      <c r="E956" s="5" t="n">
        <v>46247</v>
      </c>
      <c r="F956" s="9" t="n">
        <v>150</v>
      </c>
      <c r="G956" s="9" t="n">
        <v>2.93</v>
      </c>
      <c r="H956" s="9" t="n">
        <v>147.07</v>
      </c>
      <c r="I956" t="inlineStr">
        <is>
          <t>INV/2026/04575</t>
        </is>
      </c>
      <c r="J956" s="9">
        <f>ROUND(F956-G956-H956,2)</f>
        <v>0</v>
      </c>
    </row>
    <row r="957">
      <c r="A957" t="inlineStr">
        <is>
          <t>po_1Q0034KX</t>
        </is>
      </c>
      <c r="B957" s="5" t="n">
        <v>46251</v>
      </c>
      <c r="C957" t="inlineStr">
        <is>
          <t>ch_3Q000951</t>
        </is>
      </c>
      <c r="D957" t="inlineStr">
        <is>
          <t>charge</t>
        </is>
      </c>
      <c r="E957" s="5" t="n">
        <v>46247</v>
      </c>
      <c r="F957" s="9" t="n">
        <v>220</v>
      </c>
      <c r="G957" s="9" t="n">
        <v>4.15</v>
      </c>
      <c r="H957" s="9" t="n">
        <v>215.85</v>
      </c>
      <c r="I957" t="inlineStr">
        <is>
          <t>INV/2026/04576</t>
        </is>
      </c>
      <c r="J957" s="9">
        <f>ROUND(F957-G957-H957,2)</f>
        <v>0</v>
      </c>
    </row>
    <row r="958">
      <c r="A958" t="inlineStr">
        <is>
          <t>po_1Q0034KX</t>
        </is>
      </c>
      <c r="B958" s="5" t="n">
        <v>46251</v>
      </c>
      <c r="C958" t="inlineStr">
        <is>
          <t>ch_3Q000952</t>
        </is>
      </c>
      <c r="D958" t="inlineStr">
        <is>
          <t>charge</t>
        </is>
      </c>
      <c r="E958" s="5" t="n">
        <v>46247</v>
      </c>
      <c r="F958" s="9" t="n">
        <v>120</v>
      </c>
      <c r="G958" s="9" t="n">
        <v>2.4</v>
      </c>
      <c r="H958" s="9" t="n">
        <v>117.6</v>
      </c>
      <c r="I958" t="inlineStr">
        <is>
          <t>INV/2026/04577</t>
        </is>
      </c>
      <c r="J958" s="9">
        <f>ROUND(F958-G958-H958,2)</f>
        <v>0</v>
      </c>
    </row>
    <row r="959">
      <c r="A959" t="inlineStr">
        <is>
          <t>po_1Q0034KX</t>
        </is>
      </c>
      <c r="B959" s="5" t="n">
        <v>46251</v>
      </c>
      <c r="C959" t="inlineStr">
        <is>
          <t>ch_3Q000953</t>
        </is>
      </c>
      <c r="D959" t="inlineStr">
        <is>
          <t>charge</t>
        </is>
      </c>
      <c r="E959" s="5" t="n">
        <v>46247</v>
      </c>
      <c r="F959" s="9" t="n">
        <v>85</v>
      </c>
      <c r="G959" s="9" t="n">
        <v>1.79</v>
      </c>
      <c r="H959" s="9" t="n">
        <v>83.20999999999999</v>
      </c>
      <c r="I959" t="inlineStr">
        <is>
          <t>INV/2026/04578</t>
        </is>
      </c>
      <c r="J959" s="9">
        <f>ROUND(F959-G959-H959,2)</f>
        <v>0</v>
      </c>
    </row>
    <row r="960">
      <c r="A960" t="inlineStr">
        <is>
          <t>po_1Q0034KX</t>
        </is>
      </c>
      <c r="B960" s="5" t="n">
        <v>46251</v>
      </c>
      <c r="C960" t="inlineStr">
        <is>
          <t>ch_3Q000954</t>
        </is>
      </c>
      <c r="D960" t="inlineStr">
        <is>
          <t>charge</t>
        </is>
      </c>
      <c r="E960" s="5" t="n">
        <v>46247</v>
      </c>
      <c r="F960" s="9" t="n">
        <v>85</v>
      </c>
      <c r="G960" s="9" t="n">
        <v>1.79</v>
      </c>
      <c r="H960" s="9" t="n">
        <v>83.20999999999999</v>
      </c>
      <c r="I960" t="inlineStr">
        <is>
          <t>INV/2026/04579</t>
        </is>
      </c>
      <c r="J960" s="9">
        <f>ROUND(F960-G960-H960,2)</f>
        <v>0</v>
      </c>
    </row>
    <row r="961">
      <c r="A961" t="inlineStr">
        <is>
          <t>po_1Q0034KX</t>
        </is>
      </c>
      <c r="B961" s="5" t="n">
        <v>46251</v>
      </c>
      <c r="C961" t="inlineStr">
        <is>
          <t>ch_3Q000955</t>
        </is>
      </c>
      <c r="D961" t="inlineStr">
        <is>
          <t>charge</t>
        </is>
      </c>
      <c r="E961" s="5" t="n">
        <v>46247</v>
      </c>
      <c r="F961" s="9" t="n">
        <v>85</v>
      </c>
      <c r="G961" s="9" t="n">
        <v>1.79</v>
      </c>
      <c r="H961" s="9" t="n">
        <v>83.20999999999999</v>
      </c>
      <c r="I961" t="inlineStr">
        <is>
          <t>INV/2026/04580</t>
        </is>
      </c>
      <c r="J961" s="9">
        <f>ROUND(F961-G961-H961,2)</f>
        <v>0</v>
      </c>
    </row>
    <row r="962">
      <c r="A962" t="inlineStr">
        <is>
          <t>po_1Q0034KX</t>
        </is>
      </c>
      <c r="B962" s="5" t="n">
        <v>46251</v>
      </c>
      <c r="C962" t="inlineStr">
        <is>
          <t>ch_3Q000956</t>
        </is>
      </c>
      <c r="D962" t="inlineStr">
        <is>
          <t>charge</t>
        </is>
      </c>
      <c r="E962" s="5" t="n">
        <v>46247</v>
      </c>
      <c r="F962" s="9" t="n">
        <v>95</v>
      </c>
      <c r="G962" s="9" t="n">
        <v>1.96</v>
      </c>
      <c r="H962" s="9" t="n">
        <v>93.04000000000001</v>
      </c>
      <c r="I962" t="inlineStr">
        <is>
          <t>INV/2026/04581</t>
        </is>
      </c>
      <c r="J962" s="9">
        <f>ROUND(F962-G962-H962,2)</f>
        <v>0</v>
      </c>
    </row>
    <row r="963">
      <c r="A963" t="inlineStr">
        <is>
          <t>po_1Q0034KX</t>
        </is>
      </c>
      <c r="B963" s="5" t="n">
        <v>46251</v>
      </c>
      <c r="C963" t="inlineStr">
        <is>
          <t>ch_3Q000957</t>
        </is>
      </c>
      <c r="D963" t="inlineStr">
        <is>
          <t>charge</t>
        </is>
      </c>
      <c r="E963" s="5" t="n">
        <v>46247</v>
      </c>
      <c r="F963" s="9" t="n">
        <v>150</v>
      </c>
      <c r="G963" s="9" t="n">
        <v>2.93</v>
      </c>
      <c r="H963" s="9" t="n">
        <v>147.07</v>
      </c>
      <c r="I963" t="inlineStr">
        <is>
          <t>INV/2026/04582</t>
        </is>
      </c>
      <c r="J963" s="9">
        <f>ROUND(F963-G963-H963,2)</f>
        <v>0</v>
      </c>
    </row>
    <row r="964">
      <c r="A964" t="inlineStr">
        <is>
          <t>po_1Q0034KX</t>
        </is>
      </c>
      <c r="B964" s="5" t="n">
        <v>46251</v>
      </c>
      <c r="C964" t="inlineStr">
        <is>
          <t>ch_3Q000958</t>
        </is>
      </c>
      <c r="D964" t="inlineStr">
        <is>
          <t>charge</t>
        </is>
      </c>
      <c r="E964" s="5" t="n">
        <v>46247</v>
      </c>
      <c r="F964" s="9" t="n">
        <v>135</v>
      </c>
      <c r="G964" s="9" t="n">
        <v>2.66</v>
      </c>
      <c r="H964" s="9" t="n">
        <v>132.34</v>
      </c>
      <c r="I964" t="inlineStr">
        <is>
          <t>INV/2026/04583</t>
        </is>
      </c>
      <c r="J964" s="9">
        <f>ROUND(F964-G964-H964,2)</f>
        <v>0</v>
      </c>
    </row>
    <row r="965">
      <c r="A965" t="inlineStr">
        <is>
          <t>po_1Q0034KX</t>
        </is>
      </c>
      <c r="B965" s="5" t="n">
        <v>46251</v>
      </c>
      <c r="C965" t="inlineStr">
        <is>
          <t>ch_3Q000959</t>
        </is>
      </c>
      <c r="D965" t="inlineStr">
        <is>
          <t>charge</t>
        </is>
      </c>
      <c r="E965" s="5" t="n">
        <v>46247</v>
      </c>
      <c r="F965" s="9" t="n">
        <v>220</v>
      </c>
      <c r="G965" s="9" t="n">
        <v>4.15</v>
      </c>
      <c r="H965" s="9" t="n">
        <v>215.85</v>
      </c>
      <c r="I965" t="inlineStr">
        <is>
          <t>INV/2026/04584</t>
        </is>
      </c>
      <c r="J965" s="9">
        <f>ROUND(F965-G965-H965,2)</f>
        <v>0</v>
      </c>
    </row>
    <row r="966">
      <c r="A966" t="inlineStr">
        <is>
          <t>po_1Q0034KX</t>
        </is>
      </c>
      <c r="B966" s="5" t="n">
        <v>46251</v>
      </c>
      <c r="C966" t="inlineStr">
        <is>
          <t>ch_3Q000960</t>
        </is>
      </c>
      <c r="D966" t="inlineStr">
        <is>
          <t>charge</t>
        </is>
      </c>
      <c r="E966" s="5" t="n">
        <v>46247</v>
      </c>
      <c r="F966" s="9" t="n">
        <v>85</v>
      </c>
      <c r="G966" s="9" t="n">
        <v>1.79</v>
      </c>
      <c r="H966" s="9" t="n">
        <v>83.20999999999999</v>
      </c>
      <c r="I966" t="inlineStr">
        <is>
          <t>INV/2026/04585</t>
        </is>
      </c>
      <c r="J966" s="9">
        <f>ROUND(F966-G966-H966,2)</f>
        <v>0</v>
      </c>
    </row>
    <row r="967">
      <c r="A967" t="inlineStr">
        <is>
          <t>po_1Q0034KX</t>
        </is>
      </c>
      <c r="B967" s="5" t="n">
        <v>46251</v>
      </c>
      <c r="C967" t="inlineStr">
        <is>
          <t>ch_3Q000961</t>
        </is>
      </c>
      <c r="D967" t="inlineStr">
        <is>
          <t>charge</t>
        </is>
      </c>
      <c r="E967" s="5" t="n">
        <v>46247</v>
      </c>
      <c r="F967" s="9" t="n">
        <v>65</v>
      </c>
      <c r="G967" s="9" t="n">
        <v>1.44</v>
      </c>
      <c r="H967" s="9" t="n">
        <v>63.56</v>
      </c>
      <c r="I967" t="inlineStr">
        <is>
          <t>INV/2026/04586</t>
        </is>
      </c>
      <c r="J967" s="9">
        <f>ROUND(F967-G967-H967,2)</f>
        <v>0</v>
      </c>
    </row>
    <row r="968">
      <c r="A968" t="inlineStr">
        <is>
          <t>po_1Q0034KX</t>
        </is>
      </c>
      <c r="B968" s="5" t="n">
        <v>46251</v>
      </c>
      <c r="C968" t="inlineStr">
        <is>
          <t>ch_3Q000962</t>
        </is>
      </c>
      <c r="D968" t="inlineStr">
        <is>
          <t>charge</t>
        </is>
      </c>
      <c r="E968" s="5" t="n">
        <v>46247</v>
      </c>
      <c r="F968" s="9" t="n">
        <v>110</v>
      </c>
      <c r="G968" s="9" t="n">
        <v>2.23</v>
      </c>
      <c r="H968" s="9" t="n">
        <v>107.77</v>
      </c>
      <c r="I968" t="inlineStr">
        <is>
          <t>INV/2026/04587</t>
        </is>
      </c>
      <c r="J968" s="9">
        <f>ROUND(F968-G968-H968,2)</f>
        <v>0</v>
      </c>
    </row>
    <row r="969">
      <c r="A969" t="inlineStr">
        <is>
          <t>po_1Q0034KX</t>
        </is>
      </c>
      <c r="B969" s="5" t="n">
        <v>46251</v>
      </c>
      <c r="C969" t="inlineStr">
        <is>
          <t>ch_3Q000963</t>
        </is>
      </c>
      <c r="D969" t="inlineStr">
        <is>
          <t>charge</t>
        </is>
      </c>
      <c r="E969" s="5" t="n">
        <v>46247</v>
      </c>
      <c r="F969" s="9" t="n">
        <v>85</v>
      </c>
      <c r="G969" s="9" t="n">
        <v>1.79</v>
      </c>
      <c r="H969" s="9" t="n">
        <v>83.20999999999999</v>
      </c>
      <c r="I969" t="inlineStr">
        <is>
          <t>INV/2026/04588</t>
        </is>
      </c>
      <c r="J969" s="9">
        <f>ROUND(F969-G969-H969,2)</f>
        <v>0</v>
      </c>
    </row>
    <row r="970">
      <c r="A970" t="inlineStr">
        <is>
          <t>po_1Q0035KX</t>
        </is>
      </c>
      <c r="B970" s="5" t="n">
        <v>46252</v>
      </c>
      <c r="C970" t="inlineStr">
        <is>
          <t>ch_3Q000964</t>
        </is>
      </c>
      <c r="D970" t="inlineStr">
        <is>
          <t>charge</t>
        </is>
      </c>
      <c r="E970" s="5" t="n">
        <v>46248</v>
      </c>
      <c r="F970" s="9" t="n">
        <v>120</v>
      </c>
      <c r="G970" s="9" t="n">
        <v>2.4</v>
      </c>
      <c r="H970" s="9" t="n">
        <v>117.6</v>
      </c>
      <c r="I970" t="inlineStr">
        <is>
          <t>INV/2026/04589</t>
        </is>
      </c>
      <c r="J970" s="9">
        <f>ROUND(F970-G970-H970,2)</f>
        <v>0</v>
      </c>
    </row>
    <row r="971">
      <c r="A971" t="inlineStr">
        <is>
          <t>po_1Q0035KX</t>
        </is>
      </c>
      <c r="B971" s="5" t="n">
        <v>46252</v>
      </c>
      <c r="C971" t="inlineStr">
        <is>
          <t>ch_3Q000965</t>
        </is>
      </c>
      <c r="D971" t="inlineStr">
        <is>
          <t>charge</t>
        </is>
      </c>
      <c r="E971" s="5" t="n">
        <v>46248</v>
      </c>
      <c r="F971" s="9" t="n">
        <v>85</v>
      </c>
      <c r="G971" s="9" t="n">
        <v>1.79</v>
      </c>
      <c r="H971" s="9" t="n">
        <v>83.20999999999999</v>
      </c>
      <c r="I971" t="inlineStr">
        <is>
          <t>INV/2026/04590</t>
        </is>
      </c>
      <c r="J971" s="9">
        <f>ROUND(F971-G971-H971,2)</f>
        <v>0</v>
      </c>
    </row>
    <row r="972">
      <c r="A972" t="inlineStr">
        <is>
          <t>po_1Q0035KX</t>
        </is>
      </c>
      <c r="B972" s="5" t="n">
        <v>46252</v>
      </c>
      <c r="C972" t="inlineStr">
        <is>
          <t>ch_3Q000966</t>
        </is>
      </c>
      <c r="D972" t="inlineStr">
        <is>
          <t>charge</t>
        </is>
      </c>
      <c r="E972" s="5" t="n">
        <v>46248</v>
      </c>
      <c r="F972" s="9" t="n">
        <v>110</v>
      </c>
      <c r="G972" s="9" t="n">
        <v>2.23</v>
      </c>
      <c r="H972" s="9" t="n">
        <v>107.77</v>
      </c>
      <c r="I972" t="inlineStr">
        <is>
          <t>INV/2026/04591</t>
        </is>
      </c>
      <c r="J972" s="9">
        <f>ROUND(F972-G972-H972,2)</f>
        <v>0</v>
      </c>
    </row>
    <row r="973">
      <c r="A973" t="inlineStr">
        <is>
          <t>po_1Q0035KX</t>
        </is>
      </c>
      <c r="B973" s="5" t="n">
        <v>46252</v>
      </c>
      <c r="C973" t="inlineStr">
        <is>
          <t>ch_3Q000967</t>
        </is>
      </c>
      <c r="D973" t="inlineStr">
        <is>
          <t>charge</t>
        </is>
      </c>
      <c r="E973" s="5" t="n">
        <v>46248</v>
      </c>
      <c r="F973" s="9" t="n">
        <v>110</v>
      </c>
      <c r="G973" s="9" t="n">
        <v>2.23</v>
      </c>
      <c r="H973" s="9" t="n">
        <v>107.77</v>
      </c>
      <c r="I973" t="inlineStr">
        <is>
          <t>INV/2026/04592</t>
        </is>
      </c>
      <c r="J973" s="9">
        <f>ROUND(F973-G973-H973,2)</f>
        <v>0</v>
      </c>
    </row>
    <row r="974">
      <c r="A974" t="inlineStr">
        <is>
          <t>po_1Q0035KX</t>
        </is>
      </c>
      <c r="B974" s="5" t="n">
        <v>46252</v>
      </c>
      <c r="C974" t="inlineStr">
        <is>
          <t>ch_3Q000968</t>
        </is>
      </c>
      <c r="D974" t="inlineStr">
        <is>
          <t>charge</t>
        </is>
      </c>
      <c r="E974" s="5" t="n">
        <v>46248</v>
      </c>
      <c r="F974" s="9" t="n">
        <v>85</v>
      </c>
      <c r="G974" s="9" t="n">
        <v>1.79</v>
      </c>
      <c r="H974" s="9" t="n">
        <v>83.20999999999999</v>
      </c>
      <c r="I974" t="inlineStr">
        <is>
          <t>INV/2026/04593</t>
        </is>
      </c>
      <c r="J974" s="9">
        <f>ROUND(F974-G974-H974,2)</f>
        <v>0</v>
      </c>
    </row>
    <row r="975">
      <c r="A975" t="inlineStr">
        <is>
          <t>po_1Q0035KX</t>
        </is>
      </c>
      <c r="B975" s="5" t="n">
        <v>46252</v>
      </c>
      <c r="C975" t="inlineStr">
        <is>
          <t>ch_3Q000969</t>
        </is>
      </c>
      <c r="D975" t="inlineStr">
        <is>
          <t>charge</t>
        </is>
      </c>
      <c r="E975" s="5" t="n">
        <v>46248</v>
      </c>
      <c r="F975" s="9" t="n">
        <v>65</v>
      </c>
      <c r="G975" s="9" t="n">
        <v>1.44</v>
      </c>
      <c r="H975" s="9" t="n">
        <v>63.56</v>
      </c>
      <c r="I975" t="inlineStr">
        <is>
          <t>INV/2026/04594</t>
        </is>
      </c>
      <c r="J975" s="9">
        <f>ROUND(F975-G975-H975,2)</f>
        <v>0</v>
      </c>
    </row>
    <row r="976">
      <c r="A976" t="inlineStr">
        <is>
          <t>po_1Q0035KX</t>
        </is>
      </c>
      <c r="B976" s="5" t="n">
        <v>46252</v>
      </c>
      <c r="C976" t="inlineStr">
        <is>
          <t>ch_3Q000970</t>
        </is>
      </c>
      <c r="D976" t="inlineStr">
        <is>
          <t>charge</t>
        </is>
      </c>
      <c r="E976" s="5" t="n">
        <v>46248</v>
      </c>
      <c r="F976" s="9" t="n">
        <v>95</v>
      </c>
      <c r="G976" s="9" t="n">
        <v>1.96</v>
      </c>
      <c r="H976" s="9" t="n">
        <v>93.04000000000001</v>
      </c>
      <c r="I976" t="inlineStr">
        <is>
          <t>INV/2026/04595</t>
        </is>
      </c>
      <c r="J976" s="9">
        <f>ROUND(F976-G976-H976,2)</f>
        <v>0</v>
      </c>
    </row>
    <row r="977">
      <c r="A977" t="inlineStr">
        <is>
          <t>po_1Q0035KX</t>
        </is>
      </c>
      <c r="B977" s="5" t="n">
        <v>46252</v>
      </c>
      <c r="C977" t="inlineStr">
        <is>
          <t>ch_3Q000971</t>
        </is>
      </c>
      <c r="D977" t="inlineStr">
        <is>
          <t>charge</t>
        </is>
      </c>
      <c r="E977" s="5" t="n">
        <v>46248</v>
      </c>
      <c r="F977" s="9" t="n">
        <v>135</v>
      </c>
      <c r="G977" s="9" t="n">
        <v>2.66</v>
      </c>
      <c r="H977" s="9" t="n">
        <v>132.34</v>
      </c>
      <c r="I977" t="inlineStr">
        <is>
          <t>INV/2026/04596</t>
        </is>
      </c>
      <c r="J977" s="9">
        <f>ROUND(F977-G977-H977,2)</f>
        <v>0</v>
      </c>
    </row>
    <row r="978">
      <c r="A978" t="inlineStr">
        <is>
          <t>po_1Q0035KX</t>
        </is>
      </c>
      <c r="B978" s="5" t="n">
        <v>46252</v>
      </c>
      <c r="C978" t="inlineStr">
        <is>
          <t>ch_3Q000972</t>
        </is>
      </c>
      <c r="D978" t="inlineStr">
        <is>
          <t>charge</t>
        </is>
      </c>
      <c r="E978" s="5" t="n">
        <v>46248</v>
      </c>
      <c r="F978" s="9" t="n">
        <v>120</v>
      </c>
      <c r="G978" s="9" t="n">
        <v>2.4</v>
      </c>
      <c r="H978" s="9" t="n">
        <v>117.6</v>
      </c>
      <c r="I978" t="inlineStr">
        <is>
          <t>INV/2026/04597</t>
        </is>
      </c>
      <c r="J978" s="9">
        <f>ROUND(F978-G978-H978,2)</f>
        <v>0</v>
      </c>
    </row>
    <row r="979">
      <c r="A979" t="inlineStr">
        <is>
          <t>po_1Q0035KX</t>
        </is>
      </c>
      <c r="B979" s="5" t="n">
        <v>46252</v>
      </c>
      <c r="C979" t="inlineStr">
        <is>
          <t>ch_3Q000973</t>
        </is>
      </c>
      <c r="D979" t="inlineStr">
        <is>
          <t>charge</t>
        </is>
      </c>
      <c r="E979" s="5" t="n">
        <v>46248</v>
      </c>
      <c r="F979" s="9" t="n">
        <v>135</v>
      </c>
      <c r="G979" s="9" t="n">
        <v>2.66</v>
      </c>
      <c r="H979" s="9" t="n">
        <v>132.34</v>
      </c>
      <c r="I979" t="inlineStr">
        <is>
          <t>INV/2026/04598</t>
        </is>
      </c>
      <c r="J979" s="9">
        <f>ROUND(F979-G979-H979,2)</f>
        <v>0</v>
      </c>
    </row>
    <row r="980">
      <c r="A980" t="inlineStr">
        <is>
          <t>po_1Q0035KX</t>
        </is>
      </c>
      <c r="B980" s="5" t="n">
        <v>46252</v>
      </c>
      <c r="C980" t="inlineStr">
        <is>
          <t>ch_3Q000974</t>
        </is>
      </c>
      <c r="D980" t="inlineStr">
        <is>
          <t>charge</t>
        </is>
      </c>
      <c r="E980" s="5" t="n">
        <v>46248</v>
      </c>
      <c r="F980" s="9" t="n">
        <v>150</v>
      </c>
      <c r="G980" s="9" t="n">
        <v>2.93</v>
      </c>
      <c r="H980" s="9" t="n">
        <v>147.07</v>
      </c>
      <c r="I980" t="inlineStr">
        <is>
          <t>INV/2026/04599</t>
        </is>
      </c>
      <c r="J980" s="9">
        <f>ROUND(F980-G980-H980,2)</f>
        <v>0</v>
      </c>
    </row>
    <row r="981">
      <c r="A981" t="inlineStr">
        <is>
          <t>po_1Q0035KX</t>
        </is>
      </c>
      <c r="B981" s="5" t="n">
        <v>46252</v>
      </c>
      <c r="C981" t="inlineStr">
        <is>
          <t>ch_3Q000975</t>
        </is>
      </c>
      <c r="D981" t="inlineStr">
        <is>
          <t>charge</t>
        </is>
      </c>
      <c r="E981" s="5" t="n">
        <v>46248</v>
      </c>
      <c r="F981" s="9" t="n">
        <v>110</v>
      </c>
      <c r="G981" s="9" t="n">
        <v>2.23</v>
      </c>
      <c r="H981" s="9" t="n">
        <v>107.77</v>
      </c>
      <c r="I981" t="inlineStr">
        <is>
          <t>INV/2026/04600</t>
        </is>
      </c>
      <c r="J981" s="9">
        <f>ROUND(F981-G981-H981,2)</f>
        <v>0</v>
      </c>
    </row>
    <row r="982">
      <c r="A982" t="inlineStr">
        <is>
          <t>po_1Q0035KX</t>
        </is>
      </c>
      <c r="B982" s="5" t="n">
        <v>46252</v>
      </c>
      <c r="C982" t="inlineStr">
        <is>
          <t>ch_3Q000976</t>
        </is>
      </c>
      <c r="D982" t="inlineStr">
        <is>
          <t>charge</t>
        </is>
      </c>
      <c r="E982" s="5" t="n">
        <v>46248</v>
      </c>
      <c r="F982" s="9" t="n">
        <v>150</v>
      </c>
      <c r="G982" s="9" t="n">
        <v>2.93</v>
      </c>
      <c r="H982" s="9" t="n">
        <v>147.07</v>
      </c>
      <c r="I982" t="inlineStr">
        <is>
          <t>INV/2026/04601</t>
        </is>
      </c>
      <c r="J982" s="9">
        <f>ROUND(F982-G982-H982,2)</f>
        <v>0</v>
      </c>
    </row>
    <row r="983">
      <c r="A983" t="inlineStr">
        <is>
          <t>po_1Q0035KX</t>
        </is>
      </c>
      <c r="B983" s="5" t="n">
        <v>46252</v>
      </c>
      <c r="C983" t="inlineStr">
        <is>
          <t>ch_3Q000977</t>
        </is>
      </c>
      <c r="D983" t="inlineStr">
        <is>
          <t>charge</t>
        </is>
      </c>
      <c r="E983" s="5" t="n">
        <v>46248</v>
      </c>
      <c r="F983" s="9" t="n">
        <v>95</v>
      </c>
      <c r="G983" s="9" t="n">
        <v>1.96</v>
      </c>
      <c r="H983" s="9" t="n">
        <v>93.04000000000001</v>
      </c>
      <c r="I983" t="inlineStr">
        <is>
          <t>INV/2026/04602</t>
        </is>
      </c>
      <c r="J983" s="9">
        <f>ROUND(F983-G983-H983,2)</f>
        <v>0</v>
      </c>
    </row>
    <row r="984">
      <c r="A984" t="inlineStr">
        <is>
          <t>po_1Q0035KX</t>
        </is>
      </c>
      <c r="B984" s="5" t="n">
        <v>46252</v>
      </c>
      <c r="C984" t="inlineStr">
        <is>
          <t>ch_3Q000978</t>
        </is>
      </c>
      <c r="D984" t="inlineStr">
        <is>
          <t>charge</t>
        </is>
      </c>
      <c r="E984" s="5" t="n">
        <v>46248</v>
      </c>
      <c r="F984" s="9" t="n">
        <v>85</v>
      </c>
      <c r="G984" s="9" t="n">
        <v>1.79</v>
      </c>
      <c r="H984" s="9" t="n">
        <v>83.20999999999999</v>
      </c>
      <c r="I984" t="inlineStr">
        <is>
          <t>INV/2026/04603</t>
        </is>
      </c>
      <c r="J984" s="9">
        <f>ROUND(F984-G984-H984,2)</f>
        <v>0</v>
      </c>
    </row>
    <row r="985">
      <c r="A985" t="inlineStr">
        <is>
          <t>po_1Q0035KX</t>
        </is>
      </c>
      <c r="B985" s="5" t="n">
        <v>46252</v>
      </c>
      <c r="C985" t="inlineStr">
        <is>
          <t>ch_3Q000979</t>
        </is>
      </c>
      <c r="D985" t="inlineStr">
        <is>
          <t>charge</t>
        </is>
      </c>
      <c r="E985" s="5" t="n">
        <v>46248</v>
      </c>
      <c r="F985" s="9" t="n">
        <v>180</v>
      </c>
      <c r="G985" s="9" t="n">
        <v>3.45</v>
      </c>
      <c r="H985" s="9" t="n">
        <v>176.55</v>
      </c>
      <c r="I985" t="inlineStr">
        <is>
          <t>INV/2026/04604</t>
        </is>
      </c>
      <c r="J985" s="9">
        <f>ROUND(F985-G985-H985,2)</f>
        <v>0</v>
      </c>
    </row>
    <row r="986">
      <c r="A986" t="inlineStr">
        <is>
          <t>po_1Q0035KX</t>
        </is>
      </c>
      <c r="B986" s="5" t="n">
        <v>46252</v>
      </c>
      <c r="C986" t="inlineStr">
        <is>
          <t>ch_3Q000980</t>
        </is>
      </c>
      <c r="D986" t="inlineStr">
        <is>
          <t>charge</t>
        </is>
      </c>
      <c r="E986" s="5" t="n">
        <v>46248</v>
      </c>
      <c r="F986" s="9" t="n">
        <v>180</v>
      </c>
      <c r="G986" s="9" t="n">
        <v>3.45</v>
      </c>
      <c r="H986" s="9" t="n">
        <v>176.55</v>
      </c>
      <c r="I986" t="inlineStr">
        <is>
          <t>INV/2026/04605</t>
        </is>
      </c>
      <c r="J986" s="9">
        <f>ROUND(F986-G986-H986,2)</f>
        <v>0</v>
      </c>
    </row>
    <row r="987">
      <c r="A987" t="inlineStr">
        <is>
          <t>po_1Q0035KX</t>
        </is>
      </c>
      <c r="B987" s="5" t="n">
        <v>46252</v>
      </c>
      <c r="C987" t="inlineStr">
        <is>
          <t>ch_3Q000981</t>
        </is>
      </c>
      <c r="D987" t="inlineStr">
        <is>
          <t>charge</t>
        </is>
      </c>
      <c r="E987" s="5" t="n">
        <v>46248</v>
      </c>
      <c r="F987" s="9" t="n">
        <v>220</v>
      </c>
      <c r="G987" s="9" t="n">
        <v>4.15</v>
      </c>
      <c r="H987" s="9" t="n">
        <v>215.85</v>
      </c>
      <c r="I987" t="inlineStr">
        <is>
          <t>INV/2026/04606</t>
        </is>
      </c>
      <c r="J987" s="9">
        <f>ROUND(F987-G987-H987,2)</f>
        <v>0</v>
      </c>
    </row>
    <row r="988">
      <c r="A988" t="inlineStr">
        <is>
          <t>po_1Q0035KX</t>
        </is>
      </c>
      <c r="B988" s="5" t="n">
        <v>46252</v>
      </c>
      <c r="C988" t="inlineStr">
        <is>
          <t>ch_3Q000982</t>
        </is>
      </c>
      <c r="D988" t="inlineStr">
        <is>
          <t>charge</t>
        </is>
      </c>
      <c r="E988" s="5" t="n">
        <v>46248</v>
      </c>
      <c r="F988" s="9" t="n">
        <v>85</v>
      </c>
      <c r="G988" s="9" t="n">
        <v>1.79</v>
      </c>
      <c r="H988" s="9" t="n">
        <v>83.20999999999999</v>
      </c>
      <c r="I988" t="inlineStr">
        <is>
          <t>INV/2026/04607</t>
        </is>
      </c>
      <c r="J988" s="9">
        <f>ROUND(F988-G988-H988,2)</f>
        <v>0</v>
      </c>
    </row>
    <row r="989">
      <c r="A989" t="inlineStr">
        <is>
          <t>po_1Q0035KX</t>
        </is>
      </c>
      <c r="B989" s="5" t="n">
        <v>46252</v>
      </c>
      <c r="C989" t="inlineStr">
        <is>
          <t>ch_3Q000983</t>
        </is>
      </c>
      <c r="D989" t="inlineStr">
        <is>
          <t>charge</t>
        </is>
      </c>
      <c r="E989" s="5" t="n">
        <v>46248</v>
      </c>
      <c r="F989" s="9" t="n">
        <v>220</v>
      </c>
      <c r="G989" s="9" t="n">
        <v>4.15</v>
      </c>
      <c r="H989" s="9" t="n">
        <v>215.85</v>
      </c>
      <c r="I989" t="inlineStr">
        <is>
          <t>INV/2026/04608</t>
        </is>
      </c>
      <c r="J989" s="9">
        <f>ROUND(F989-G989-H989,2)</f>
        <v>0</v>
      </c>
    </row>
    <row r="990">
      <c r="A990" t="inlineStr">
        <is>
          <t>po_1Q0035KX</t>
        </is>
      </c>
      <c r="B990" s="5" t="n">
        <v>46252</v>
      </c>
      <c r="C990" t="inlineStr">
        <is>
          <t>ch_3Q000984</t>
        </is>
      </c>
      <c r="D990" t="inlineStr">
        <is>
          <t>charge</t>
        </is>
      </c>
      <c r="E990" s="5" t="n">
        <v>46248</v>
      </c>
      <c r="F990" s="9" t="n">
        <v>220</v>
      </c>
      <c r="G990" s="9" t="n">
        <v>4.15</v>
      </c>
      <c r="H990" s="9" t="n">
        <v>215.85</v>
      </c>
      <c r="I990" t="inlineStr">
        <is>
          <t>INV/2026/04609</t>
        </is>
      </c>
      <c r="J990" s="9">
        <f>ROUND(F990-G990-H990,2)</f>
        <v>0</v>
      </c>
    </row>
    <row r="991">
      <c r="A991" t="inlineStr">
        <is>
          <t>po_1Q0035KX</t>
        </is>
      </c>
      <c r="B991" s="5" t="n">
        <v>46252</v>
      </c>
      <c r="C991" t="inlineStr">
        <is>
          <t>ch_3Q000985</t>
        </is>
      </c>
      <c r="D991" t="inlineStr">
        <is>
          <t>charge</t>
        </is>
      </c>
      <c r="E991" s="5" t="n">
        <v>46248</v>
      </c>
      <c r="F991" s="9" t="n">
        <v>110</v>
      </c>
      <c r="G991" s="9" t="n">
        <v>2.23</v>
      </c>
      <c r="H991" s="9" t="n">
        <v>107.77</v>
      </c>
      <c r="I991" t="inlineStr">
        <is>
          <t>INV/2026/04610</t>
        </is>
      </c>
      <c r="J991" s="9">
        <f>ROUND(F991-G991-H991,2)</f>
        <v>0</v>
      </c>
    </row>
    <row r="992">
      <c r="A992" t="inlineStr">
        <is>
          <t>po_1Q0035KX</t>
        </is>
      </c>
      <c r="B992" s="5" t="n">
        <v>46252</v>
      </c>
      <c r="C992" t="inlineStr">
        <is>
          <t>ch_3Q000986</t>
        </is>
      </c>
      <c r="D992" t="inlineStr">
        <is>
          <t>charge</t>
        </is>
      </c>
      <c r="E992" s="5" t="n">
        <v>46248</v>
      </c>
      <c r="F992" s="9" t="n">
        <v>95</v>
      </c>
      <c r="G992" s="9" t="n">
        <v>1.96</v>
      </c>
      <c r="H992" s="9" t="n">
        <v>93.04000000000001</v>
      </c>
      <c r="I992" t="inlineStr">
        <is>
          <t>INV/2026/04611</t>
        </is>
      </c>
      <c r="J992" s="9">
        <f>ROUND(F992-G992-H992,2)</f>
        <v>0</v>
      </c>
    </row>
    <row r="993">
      <c r="A993" t="inlineStr">
        <is>
          <t>po_1Q0035KX</t>
        </is>
      </c>
      <c r="B993" s="5" t="n">
        <v>46252</v>
      </c>
      <c r="C993" t="inlineStr">
        <is>
          <t>ch_3Q000987</t>
        </is>
      </c>
      <c r="D993" t="inlineStr">
        <is>
          <t>charge</t>
        </is>
      </c>
      <c r="E993" s="5" t="n">
        <v>46248</v>
      </c>
      <c r="F993" s="9" t="n">
        <v>180</v>
      </c>
      <c r="G993" s="9" t="n">
        <v>3.45</v>
      </c>
      <c r="H993" s="9" t="n">
        <v>176.55</v>
      </c>
      <c r="I993" t="inlineStr">
        <is>
          <t>INV/2026/04612</t>
        </is>
      </c>
      <c r="J993" s="9">
        <f>ROUND(F993-G993-H993,2)</f>
        <v>0</v>
      </c>
    </row>
    <row r="994">
      <c r="A994" t="inlineStr">
        <is>
          <t>po_1Q0035KX</t>
        </is>
      </c>
      <c r="B994" s="5" t="n">
        <v>46252</v>
      </c>
      <c r="C994" t="inlineStr">
        <is>
          <t>ch_3Q000988</t>
        </is>
      </c>
      <c r="D994" t="inlineStr">
        <is>
          <t>charge</t>
        </is>
      </c>
      <c r="E994" s="5" t="n">
        <v>46248</v>
      </c>
      <c r="F994" s="9" t="n">
        <v>135</v>
      </c>
      <c r="G994" s="9" t="n">
        <v>2.66</v>
      </c>
      <c r="H994" s="9" t="n">
        <v>132.34</v>
      </c>
      <c r="I994" t="inlineStr">
        <is>
          <t>INV/2026/04613</t>
        </is>
      </c>
      <c r="J994" s="9">
        <f>ROUND(F994-G994-H994,2)</f>
        <v>0</v>
      </c>
    </row>
    <row r="995">
      <c r="A995" t="inlineStr">
        <is>
          <t>po_1Q0035KX</t>
        </is>
      </c>
      <c r="B995" s="5" t="n">
        <v>46252</v>
      </c>
      <c r="C995" t="inlineStr">
        <is>
          <t>ch_3Q000989</t>
        </is>
      </c>
      <c r="D995" t="inlineStr">
        <is>
          <t>charge</t>
        </is>
      </c>
      <c r="E995" s="5" t="n">
        <v>46248</v>
      </c>
      <c r="F995" s="9" t="n">
        <v>220</v>
      </c>
      <c r="G995" s="9" t="n">
        <v>4.15</v>
      </c>
      <c r="H995" s="9" t="n">
        <v>215.85</v>
      </c>
      <c r="I995" t="inlineStr">
        <is>
          <t>INV/2026/04614</t>
        </is>
      </c>
      <c r="J995" s="9">
        <f>ROUND(F995-G995-H995,2)</f>
        <v>0</v>
      </c>
    </row>
    <row r="996">
      <c r="A996" t="inlineStr">
        <is>
          <t>po_1Q0035KX</t>
        </is>
      </c>
      <c r="B996" s="5" t="n">
        <v>46252</v>
      </c>
      <c r="C996" t="inlineStr">
        <is>
          <t>ch_3Q000990</t>
        </is>
      </c>
      <c r="D996" t="inlineStr">
        <is>
          <t>charge</t>
        </is>
      </c>
      <c r="E996" s="5" t="n">
        <v>46248</v>
      </c>
      <c r="F996" s="9" t="n">
        <v>220</v>
      </c>
      <c r="G996" s="9" t="n">
        <v>4.15</v>
      </c>
      <c r="H996" s="9" t="n">
        <v>215.85</v>
      </c>
      <c r="I996" t="inlineStr">
        <is>
          <t>INV/2026/04615</t>
        </is>
      </c>
      <c r="J996" s="9">
        <f>ROUND(F996-G996-H996,2)</f>
        <v>0</v>
      </c>
    </row>
    <row r="997">
      <c r="A997" t="inlineStr">
        <is>
          <t>po_1Q0035KX</t>
        </is>
      </c>
      <c r="B997" s="5" t="n">
        <v>46252</v>
      </c>
      <c r="C997" t="inlineStr">
        <is>
          <t>ch_3Q000991</t>
        </is>
      </c>
      <c r="D997" t="inlineStr">
        <is>
          <t>charge</t>
        </is>
      </c>
      <c r="E997" s="5" t="n">
        <v>46248</v>
      </c>
      <c r="F997" s="9" t="n">
        <v>220</v>
      </c>
      <c r="G997" s="9" t="n">
        <v>4.15</v>
      </c>
      <c r="H997" s="9" t="n">
        <v>215.85</v>
      </c>
      <c r="I997" t="inlineStr">
        <is>
          <t>INV/2026/04616</t>
        </is>
      </c>
      <c r="J997" s="9">
        <f>ROUND(F997-G997-H997,2)</f>
        <v>0</v>
      </c>
    </row>
    <row r="998">
      <c r="A998" t="inlineStr">
        <is>
          <t>po_1Q0035KX</t>
        </is>
      </c>
      <c r="B998" s="5" t="n">
        <v>46252</v>
      </c>
      <c r="C998" t="inlineStr">
        <is>
          <t>ch_3Q000992</t>
        </is>
      </c>
      <c r="D998" t="inlineStr">
        <is>
          <t>charge</t>
        </is>
      </c>
      <c r="E998" s="5" t="n">
        <v>46248</v>
      </c>
      <c r="F998" s="9" t="n">
        <v>150</v>
      </c>
      <c r="G998" s="9" t="n">
        <v>2.93</v>
      </c>
      <c r="H998" s="9" t="n">
        <v>147.07</v>
      </c>
      <c r="I998" t="inlineStr">
        <is>
          <t>INV/2026/04617</t>
        </is>
      </c>
      <c r="J998" s="9">
        <f>ROUND(F998-G998-H998,2)</f>
        <v>0</v>
      </c>
    </row>
    <row r="999">
      <c r="A999" t="inlineStr">
        <is>
          <t>po_1Q0035KX</t>
        </is>
      </c>
      <c r="B999" s="5" t="n">
        <v>46252</v>
      </c>
      <c r="C999" t="inlineStr">
        <is>
          <t>ch_3Q000993</t>
        </is>
      </c>
      <c r="D999" t="inlineStr">
        <is>
          <t>charge</t>
        </is>
      </c>
      <c r="E999" s="5" t="n">
        <v>46248</v>
      </c>
      <c r="F999" s="9" t="n">
        <v>180</v>
      </c>
      <c r="G999" s="9" t="n">
        <v>3.45</v>
      </c>
      <c r="H999" s="9" t="n">
        <v>176.55</v>
      </c>
      <c r="I999" t="inlineStr">
        <is>
          <t>INV/2026/04618</t>
        </is>
      </c>
      <c r="J999" s="9">
        <f>ROUND(F999-G999-H999,2)</f>
        <v>0</v>
      </c>
    </row>
    <row r="1000">
      <c r="A1000" t="inlineStr">
        <is>
          <t>po_1Q0035KX</t>
        </is>
      </c>
      <c r="B1000" s="5" t="n">
        <v>46252</v>
      </c>
      <c r="C1000" t="inlineStr">
        <is>
          <t>ch_3Q000994</t>
        </is>
      </c>
      <c r="D1000" t="inlineStr">
        <is>
          <t>charge</t>
        </is>
      </c>
      <c r="E1000" s="5" t="n">
        <v>46248</v>
      </c>
      <c r="F1000" s="9" t="n">
        <v>135</v>
      </c>
      <c r="G1000" s="9" t="n">
        <v>2.66</v>
      </c>
      <c r="H1000" s="9" t="n">
        <v>132.34</v>
      </c>
      <c r="I1000" t="inlineStr">
        <is>
          <t>INV/2026/04619</t>
        </is>
      </c>
      <c r="J1000" s="9">
        <f>ROUND(F1000-G1000-H1000,2)</f>
        <v>0</v>
      </c>
    </row>
    <row r="1001">
      <c r="A1001" t="inlineStr">
        <is>
          <t>po_1Q0035KX</t>
        </is>
      </c>
      <c r="B1001" s="5" t="n">
        <v>46252</v>
      </c>
      <c r="C1001" t="inlineStr">
        <is>
          <t>ch_3Q000995</t>
        </is>
      </c>
      <c r="D1001" t="inlineStr">
        <is>
          <t>charge</t>
        </is>
      </c>
      <c r="E1001" s="5" t="n">
        <v>46248</v>
      </c>
      <c r="F1001" s="9" t="n">
        <v>95</v>
      </c>
      <c r="G1001" s="9" t="n">
        <v>1.96</v>
      </c>
      <c r="H1001" s="9" t="n">
        <v>93.04000000000001</v>
      </c>
      <c r="I1001" t="inlineStr">
        <is>
          <t>INV/2026/04620</t>
        </is>
      </c>
      <c r="J1001" s="9">
        <f>ROUND(F1001-G1001-H1001,2)</f>
        <v>0</v>
      </c>
    </row>
    <row r="1002">
      <c r="A1002" t="inlineStr">
        <is>
          <t>po_1Q0035KX</t>
        </is>
      </c>
      <c r="B1002" s="5" t="n">
        <v>46252</v>
      </c>
      <c r="C1002" t="inlineStr">
        <is>
          <t>ch_3Q000996</t>
        </is>
      </c>
      <c r="D1002" t="inlineStr">
        <is>
          <t>charge</t>
        </is>
      </c>
      <c r="E1002" s="5" t="n">
        <v>46248</v>
      </c>
      <c r="F1002" s="9" t="n">
        <v>150</v>
      </c>
      <c r="G1002" s="9" t="n">
        <v>2.93</v>
      </c>
      <c r="H1002" s="9" t="n">
        <v>147.07</v>
      </c>
      <c r="I1002" t="inlineStr">
        <is>
          <t>INV/2026/04621</t>
        </is>
      </c>
      <c r="J1002" s="9">
        <f>ROUND(F1002-G1002-H1002,2)</f>
        <v>0</v>
      </c>
    </row>
    <row r="1003">
      <c r="A1003" t="inlineStr">
        <is>
          <t>po_1Q0035KX</t>
        </is>
      </c>
      <c r="B1003" s="5" t="n">
        <v>46252</v>
      </c>
      <c r="C1003" t="inlineStr">
        <is>
          <t>ch_3Q000997</t>
        </is>
      </c>
      <c r="D1003" t="inlineStr">
        <is>
          <t>charge</t>
        </is>
      </c>
      <c r="E1003" s="5" t="n">
        <v>46249</v>
      </c>
      <c r="F1003" s="9" t="n">
        <v>120</v>
      </c>
      <c r="G1003" s="9" t="n">
        <v>2.4</v>
      </c>
      <c r="H1003" s="9" t="n">
        <v>117.6</v>
      </c>
      <c r="I1003" t="inlineStr">
        <is>
          <t>INV/2026/04622</t>
        </is>
      </c>
      <c r="J1003" s="9">
        <f>ROUND(F1003-G1003-H1003,2)</f>
        <v>0</v>
      </c>
    </row>
    <row r="1004">
      <c r="A1004" t="inlineStr">
        <is>
          <t>po_1Q0035KX</t>
        </is>
      </c>
      <c r="B1004" s="5" t="n">
        <v>46252</v>
      </c>
      <c r="C1004" t="inlineStr">
        <is>
          <t>ch_3Q000998</t>
        </is>
      </c>
      <c r="D1004" t="inlineStr">
        <is>
          <t>charge</t>
        </is>
      </c>
      <c r="E1004" s="5" t="n">
        <v>46249</v>
      </c>
      <c r="F1004" s="9" t="n">
        <v>65</v>
      </c>
      <c r="G1004" s="9" t="n">
        <v>1.44</v>
      </c>
      <c r="H1004" s="9" t="n">
        <v>63.56</v>
      </c>
      <c r="I1004" t="inlineStr">
        <is>
          <t>INV/2026/04623</t>
        </is>
      </c>
      <c r="J1004" s="9">
        <f>ROUND(F1004-G1004-H1004,2)</f>
        <v>0</v>
      </c>
    </row>
    <row r="1005">
      <c r="A1005" t="inlineStr">
        <is>
          <t>po_1Q0035KX</t>
        </is>
      </c>
      <c r="B1005" s="5" t="n">
        <v>46252</v>
      </c>
      <c r="C1005" t="inlineStr">
        <is>
          <t>ch_3Q000999</t>
        </is>
      </c>
      <c r="D1005" t="inlineStr">
        <is>
          <t>charge</t>
        </is>
      </c>
      <c r="E1005" s="5" t="n">
        <v>46249</v>
      </c>
      <c r="F1005" s="9" t="n">
        <v>180</v>
      </c>
      <c r="G1005" s="9" t="n">
        <v>3.45</v>
      </c>
      <c r="H1005" s="9" t="n">
        <v>176.55</v>
      </c>
      <c r="I1005" t="inlineStr">
        <is>
          <t>INV/2026/04624</t>
        </is>
      </c>
      <c r="J1005" s="9">
        <f>ROUND(F1005-G1005-H1005,2)</f>
        <v>0</v>
      </c>
    </row>
    <row r="1006">
      <c r="A1006" t="inlineStr">
        <is>
          <t>po_1Q0035KX</t>
        </is>
      </c>
      <c r="B1006" s="5" t="n">
        <v>46252</v>
      </c>
      <c r="C1006" t="inlineStr">
        <is>
          <t>ch_3Q001000</t>
        </is>
      </c>
      <c r="D1006" t="inlineStr">
        <is>
          <t>charge</t>
        </is>
      </c>
      <c r="E1006" s="5" t="n">
        <v>46249</v>
      </c>
      <c r="F1006" s="9" t="n">
        <v>120</v>
      </c>
      <c r="G1006" s="9" t="n">
        <v>2.4</v>
      </c>
      <c r="H1006" s="9" t="n">
        <v>117.6</v>
      </c>
      <c r="I1006" t="inlineStr">
        <is>
          <t>INV/2026/04625</t>
        </is>
      </c>
      <c r="J1006" s="9">
        <f>ROUND(F1006-G1006-H1006,2)</f>
        <v>0</v>
      </c>
    </row>
    <row r="1007">
      <c r="A1007" t="inlineStr">
        <is>
          <t>po_1Q0035KX</t>
        </is>
      </c>
      <c r="B1007" s="5" t="n">
        <v>46252</v>
      </c>
      <c r="C1007" t="inlineStr">
        <is>
          <t>ch_3Q001001</t>
        </is>
      </c>
      <c r="D1007" t="inlineStr">
        <is>
          <t>charge</t>
        </is>
      </c>
      <c r="E1007" s="5" t="n">
        <v>46249</v>
      </c>
      <c r="F1007" s="9" t="n">
        <v>65</v>
      </c>
      <c r="G1007" s="9" t="n">
        <v>1.44</v>
      </c>
      <c r="H1007" s="9" t="n">
        <v>63.56</v>
      </c>
      <c r="I1007" t="inlineStr">
        <is>
          <t>INV/2026/04626</t>
        </is>
      </c>
      <c r="J1007" s="9">
        <f>ROUND(F1007-G1007-H1007,2)</f>
        <v>0</v>
      </c>
    </row>
    <row r="1008">
      <c r="A1008" t="inlineStr">
        <is>
          <t>po_1Q0035KX</t>
        </is>
      </c>
      <c r="B1008" s="5" t="n">
        <v>46252</v>
      </c>
      <c r="C1008" t="inlineStr">
        <is>
          <t>ch_3Q001002</t>
        </is>
      </c>
      <c r="D1008" t="inlineStr">
        <is>
          <t>charge</t>
        </is>
      </c>
      <c r="E1008" s="5" t="n">
        <v>46249</v>
      </c>
      <c r="F1008" s="9" t="n">
        <v>95</v>
      </c>
      <c r="G1008" s="9" t="n">
        <v>1.96</v>
      </c>
      <c r="H1008" s="9" t="n">
        <v>93.04000000000001</v>
      </c>
      <c r="I1008" t="inlineStr">
        <is>
          <t>INV/2026/04627</t>
        </is>
      </c>
      <c r="J1008" s="9">
        <f>ROUND(F1008-G1008-H1008,2)</f>
        <v>0</v>
      </c>
    </row>
    <row r="1009">
      <c r="A1009" t="inlineStr">
        <is>
          <t>po_1Q0036KX</t>
        </is>
      </c>
      <c r="B1009" s="5" t="n">
        <v>46253</v>
      </c>
      <c r="C1009" t="inlineStr">
        <is>
          <t>ch_3Q001003</t>
        </is>
      </c>
      <c r="D1009" t="inlineStr">
        <is>
          <t>charge</t>
        </is>
      </c>
      <c r="E1009" s="5" t="n">
        <v>46251</v>
      </c>
      <c r="F1009" s="9" t="n">
        <v>120</v>
      </c>
      <c r="G1009" s="9" t="n">
        <v>2.4</v>
      </c>
      <c r="H1009" s="9" t="n">
        <v>117.6</v>
      </c>
      <c r="I1009" t="inlineStr">
        <is>
          <t>INV/2026/04628</t>
        </is>
      </c>
      <c r="J1009" s="9">
        <f>ROUND(F1009-G1009-H1009,2)</f>
        <v>0</v>
      </c>
    </row>
    <row r="1010">
      <c r="A1010" t="inlineStr">
        <is>
          <t>po_1Q0036KX</t>
        </is>
      </c>
      <c r="B1010" s="5" t="n">
        <v>46253</v>
      </c>
      <c r="C1010" t="inlineStr">
        <is>
          <t>ch_3Q001004</t>
        </is>
      </c>
      <c r="D1010" t="inlineStr">
        <is>
          <t>charge</t>
        </is>
      </c>
      <c r="E1010" s="5" t="n">
        <v>46251</v>
      </c>
      <c r="F1010" s="9" t="n">
        <v>220</v>
      </c>
      <c r="G1010" s="9" t="n">
        <v>4.15</v>
      </c>
      <c r="H1010" s="9" t="n">
        <v>215.85</v>
      </c>
      <c r="I1010" t="inlineStr">
        <is>
          <t>INV/2026/04629</t>
        </is>
      </c>
      <c r="J1010" s="9">
        <f>ROUND(F1010-G1010-H1010,2)</f>
        <v>0</v>
      </c>
    </row>
    <row r="1011">
      <c r="A1011" t="inlineStr">
        <is>
          <t>po_1Q0036KX</t>
        </is>
      </c>
      <c r="B1011" s="5" t="n">
        <v>46253</v>
      </c>
      <c r="C1011" t="inlineStr">
        <is>
          <t>ch_3Q001005</t>
        </is>
      </c>
      <c r="D1011" t="inlineStr">
        <is>
          <t>charge</t>
        </is>
      </c>
      <c r="E1011" s="5" t="n">
        <v>46251</v>
      </c>
      <c r="F1011" s="9" t="n">
        <v>135</v>
      </c>
      <c r="G1011" s="9" t="n">
        <v>2.66</v>
      </c>
      <c r="H1011" s="9" t="n">
        <v>132.34</v>
      </c>
      <c r="I1011" t="inlineStr">
        <is>
          <t>INV/2026/04630</t>
        </is>
      </c>
      <c r="J1011" s="9">
        <f>ROUND(F1011-G1011-H1011,2)</f>
        <v>0</v>
      </c>
    </row>
    <row r="1012">
      <c r="A1012" t="inlineStr">
        <is>
          <t>po_1Q0036KX</t>
        </is>
      </c>
      <c r="B1012" s="5" t="n">
        <v>46253</v>
      </c>
      <c r="C1012" t="inlineStr">
        <is>
          <t>ch_3Q001006</t>
        </is>
      </c>
      <c r="D1012" t="inlineStr">
        <is>
          <t>charge</t>
        </is>
      </c>
      <c r="E1012" s="5" t="n">
        <v>46251</v>
      </c>
      <c r="F1012" s="9" t="n">
        <v>135</v>
      </c>
      <c r="G1012" s="9" t="n">
        <v>2.66</v>
      </c>
      <c r="H1012" s="9" t="n">
        <v>132.34</v>
      </c>
      <c r="I1012" t="inlineStr">
        <is>
          <t>INV/2026/04631</t>
        </is>
      </c>
      <c r="J1012" s="9">
        <f>ROUND(F1012-G1012-H1012,2)</f>
        <v>0</v>
      </c>
    </row>
    <row r="1013">
      <c r="A1013" t="inlineStr">
        <is>
          <t>po_1Q0036KX</t>
        </is>
      </c>
      <c r="B1013" s="5" t="n">
        <v>46253</v>
      </c>
      <c r="C1013" t="inlineStr">
        <is>
          <t>ch_3Q001007</t>
        </is>
      </c>
      <c r="D1013" t="inlineStr">
        <is>
          <t>charge</t>
        </is>
      </c>
      <c r="E1013" s="5" t="n">
        <v>46251</v>
      </c>
      <c r="F1013" s="9" t="n">
        <v>220</v>
      </c>
      <c r="G1013" s="9" t="n">
        <v>4.15</v>
      </c>
      <c r="H1013" s="9" t="n">
        <v>215.85</v>
      </c>
      <c r="I1013" t="inlineStr">
        <is>
          <t>INV/2026/04632</t>
        </is>
      </c>
      <c r="J1013" s="9">
        <f>ROUND(F1013-G1013-H1013,2)</f>
        <v>0</v>
      </c>
    </row>
    <row r="1014">
      <c r="A1014" t="inlineStr">
        <is>
          <t>po_1Q0036KX</t>
        </is>
      </c>
      <c r="B1014" s="5" t="n">
        <v>46253</v>
      </c>
      <c r="C1014" t="inlineStr">
        <is>
          <t>ch_3Q001008</t>
        </is>
      </c>
      <c r="D1014" t="inlineStr">
        <is>
          <t>charge</t>
        </is>
      </c>
      <c r="E1014" s="5" t="n">
        <v>46251</v>
      </c>
      <c r="F1014" s="9" t="n">
        <v>95</v>
      </c>
      <c r="G1014" s="9" t="n">
        <v>1.96</v>
      </c>
      <c r="H1014" s="9" t="n">
        <v>93.04000000000001</v>
      </c>
      <c r="I1014" t="inlineStr">
        <is>
          <t>INV/2026/04633</t>
        </is>
      </c>
      <c r="J1014" s="9">
        <f>ROUND(F1014-G1014-H1014,2)</f>
        <v>0</v>
      </c>
    </row>
    <row r="1015">
      <c r="A1015" t="inlineStr">
        <is>
          <t>po_1Q0036KX</t>
        </is>
      </c>
      <c r="B1015" s="5" t="n">
        <v>46253</v>
      </c>
      <c r="C1015" t="inlineStr">
        <is>
          <t>ch_3Q001009</t>
        </is>
      </c>
      <c r="D1015" t="inlineStr">
        <is>
          <t>charge</t>
        </is>
      </c>
      <c r="E1015" s="5" t="n">
        <v>46251</v>
      </c>
      <c r="F1015" s="9" t="n">
        <v>180</v>
      </c>
      <c r="G1015" s="9" t="n">
        <v>3.45</v>
      </c>
      <c r="H1015" s="9" t="n">
        <v>176.55</v>
      </c>
      <c r="I1015" t="inlineStr">
        <is>
          <t>INV/2026/04634</t>
        </is>
      </c>
      <c r="J1015" s="9">
        <f>ROUND(F1015-G1015-H1015,2)</f>
        <v>0</v>
      </c>
    </row>
    <row r="1016">
      <c r="A1016" t="inlineStr">
        <is>
          <t>po_1Q0036KX</t>
        </is>
      </c>
      <c r="B1016" s="5" t="n">
        <v>46253</v>
      </c>
      <c r="C1016" t="inlineStr">
        <is>
          <t>ch_3Q001010</t>
        </is>
      </c>
      <c r="D1016" t="inlineStr">
        <is>
          <t>charge</t>
        </is>
      </c>
      <c r="E1016" s="5" t="n">
        <v>46251</v>
      </c>
      <c r="F1016" s="9" t="n">
        <v>85</v>
      </c>
      <c r="G1016" s="9" t="n">
        <v>1.79</v>
      </c>
      <c r="H1016" s="9" t="n">
        <v>83.20999999999999</v>
      </c>
      <c r="I1016" t="inlineStr">
        <is>
          <t>INV/2026/04635</t>
        </is>
      </c>
      <c r="J1016" s="9">
        <f>ROUND(F1016-G1016-H1016,2)</f>
        <v>0</v>
      </c>
    </row>
    <row r="1017">
      <c r="A1017" t="inlineStr">
        <is>
          <t>po_1Q0036KX</t>
        </is>
      </c>
      <c r="B1017" s="5" t="n">
        <v>46253</v>
      </c>
      <c r="C1017" t="inlineStr">
        <is>
          <t>ch_3Q001011</t>
        </is>
      </c>
      <c r="D1017" t="inlineStr">
        <is>
          <t>charge</t>
        </is>
      </c>
      <c r="E1017" s="5" t="n">
        <v>46251</v>
      </c>
      <c r="F1017" s="9" t="n">
        <v>120</v>
      </c>
      <c r="G1017" s="9" t="n">
        <v>2.4</v>
      </c>
      <c r="H1017" s="9" t="n">
        <v>117.6</v>
      </c>
      <c r="I1017" t="inlineStr">
        <is>
          <t>INV/2026/04636</t>
        </is>
      </c>
      <c r="J1017" s="9">
        <f>ROUND(F1017-G1017-H1017,2)</f>
        <v>0</v>
      </c>
    </row>
    <row r="1018">
      <c r="A1018" t="inlineStr">
        <is>
          <t>po_1Q0036KX</t>
        </is>
      </c>
      <c r="B1018" s="5" t="n">
        <v>46253</v>
      </c>
      <c r="C1018" t="inlineStr">
        <is>
          <t>ch_3Q001012</t>
        </is>
      </c>
      <c r="D1018" t="inlineStr">
        <is>
          <t>charge</t>
        </is>
      </c>
      <c r="E1018" s="5" t="n">
        <v>46251</v>
      </c>
      <c r="F1018" s="9" t="n">
        <v>65</v>
      </c>
      <c r="G1018" s="9" t="n">
        <v>1.44</v>
      </c>
      <c r="H1018" s="9" t="n">
        <v>63.56</v>
      </c>
      <c r="I1018" t="inlineStr">
        <is>
          <t>INV/2026/04637</t>
        </is>
      </c>
      <c r="J1018" s="9">
        <f>ROUND(F1018-G1018-H1018,2)</f>
        <v>0</v>
      </c>
    </row>
    <row r="1019">
      <c r="A1019" t="inlineStr">
        <is>
          <t>po_1Q0036KX</t>
        </is>
      </c>
      <c r="B1019" s="5" t="n">
        <v>46253</v>
      </c>
      <c r="C1019" t="inlineStr">
        <is>
          <t>ch_3Q001013</t>
        </is>
      </c>
      <c r="D1019" t="inlineStr">
        <is>
          <t>charge</t>
        </is>
      </c>
      <c r="E1019" s="5" t="n">
        <v>46251</v>
      </c>
      <c r="F1019" s="9" t="n">
        <v>135</v>
      </c>
      <c r="G1019" s="9" t="n">
        <v>2.66</v>
      </c>
      <c r="H1019" s="9" t="n">
        <v>132.34</v>
      </c>
      <c r="I1019" t="inlineStr">
        <is>
          <t>INV/2026/04638</t>
        </is>
      </c>
      <c r="J1019" s="9">
        <f>ROUND(F1019-G1019-H1019,2)</f>
        <v>0</v>
      </c>
    </row>
    <row r="1020">
      <c r="A1020" t="inlineStr">
        <is>
          <t>po_1Q0036KX</t>
        </is>
      </c>
      <c r="B1020" s="5" t="n">
        <v>46253</v>
      </c>
      <c r="C1020" t="inlineStr">
        <is>
          <t>ch_3Q001014</t>
        </is>
      </c>
      <c r="D1020" t="inlineStr">
        <is>
          <t>charge</t>
        </is>
      </c>
      <c r="E1020" s="5" t="n">
        <v>46251</v>
      </c>
      <c r="F1020" s="9" t="n">
        <v>120</v>
      </c>
      <c r="G1020" s="9" t="n">
        <v>2.4</v>
      </c>
      <c r="H1020" s="9" t="n">
        <v>117.6</v>
      </c>
      <c r="I1020" t="inlineStr">
        <is>
          <t>INV/2026/04639</t>
        </is>
      </c>
      <c r="J1020" s="9">
        <f>ROUND(F1020-G1020-H1020,2)</f>
        <v>0</v>
      </c>
    </row>
    <row r="1021">
      <c r="A1021" t="inlineStr">
        <is>
          <t>po_1Q0036KX</t>
        </is>
      </c>
      <c r="B1021" s="5" t="n">
        <v>46253</v>
      </c>
      <c r="C1021" t="inlineStr">
        <is>
          <t>ch_3Q001015</t>
        </is>
      </c>
      <c r="D1021" t="inlineStr">
        <is>
          <t>charge</t>
        </is>
      </c>
      <c r="E1021" s="5" t="n">
        <v>46251</v>
      </c>
      <c r="F1021" s="9" t="n">
        <v>85</v>
      </c>
      <c r="G1021" s="9" t="n">
        <v>1.79</v>
      </c>
      <c r="H1021" s="9" t="n">
        <v>83.20999999999999</v>
      </c>
      <c r="I1021" t="inlineStr">
        <is>
          <t>INV/2026/04640</t>
        </is>
      </c>
      <c r="J1021" s="9">
        <f>ROUND(F1021-G1021-H1021,2)</f>
        <v>0</v>
      </c>
    </row>
    <row r="1022">
      <c r="A1022" t="inlineStr">
        <is>
          <t>po_1Q0036KX</t>
        </is>
      </c>
      <c r="B1022" s="5" t="n">
        <v>46253</v>
      </c>
      <c r="C1022" t="inlineStr">
        <is>
          <t>ch_3Q001016</t>
        </is>
      </c>
      <c r="D1022" t="inlineStr">
        <is>
          <t>charge</t>
        </is>
      </c>
      <c r="E1022" s="5" t="n">
        <v>46251</v>
      </c>
      <c r="F1022" s="9" t="n">
        <v>95</v>
      </c>
      <c r="G1022" s="9" t="n">
        <v>1.96</v>
      </c>
      <c r="H1022" s="9" t="n">
        <v>93.04000000000001</v>
      </c>
      <c r="I1022" t="inlineStr">
        <is>
          <t>INV/2026/04641</t>
        </is>
      </c>
      <c r="J1022" s="9">
        <f>ROUND(F1022-G1022-H1022,2)</f>
        <v>0</v>
      </c>
    </row>
    <row r="1023">
      <c r="A1023" t="inlineStr">
        <is>
          <t>po_1Q0036KX</t>
        </is>
      </c>
      <c r="B1023" s="5" t="n">
        <v>46253</v>
      </c>
      <c r="C1023" t="inlineStr">
        <is>
          <t>ch_3Q001017</t>
        </is>
      </c>
      <c r="D1023" t="inlineStr">
        <is>
          <t>charge</t>
        </is>
      </c>
      <c r="E1023" s="5" t="n">
        <v>46251</v>
      </c>
      <c r="F1023" s="9" t="n">
        <v>150</v>
      </c>
      <c r="G1023" s="9" t="n">
        <v>2.93</v>
      </c>
      <c r="H1023" s="9" t="n">
        <v>147.07</v>
      </c>
      <c r="I1023" t="inlineStr">
        <is>
          <t>INV/2026/04642</t>
        </is>
      </c>
      <c r="J1023" s="9">
        <f>ROUND(F1023-G1023-H1023,2)</f>
        <v>0</v>
      </c>
    </row>
    <row r="1024">
      <c r="A1024" t="inlineStr">
        <is>
          <t>po_1Q0036KX</t>
        </is>
      </c>
      <c r="B1024" s="5" t="n">
        <v>46253</v>
      </c>
      <c r="C1024" t="inlineStr">
        <is>
          <t>ch_3Q001018</t>
        </is>
      </c>
      <c r="D1024" t="inlineStr">
        <is>
          <t>charge</t>
        </is>
      </c>
      <c r="E1024" s="5" t="n">
        <v>46251</v>
      </c>
      <c r="F1024" s="9" t="n">
        <v>135</v>
      </c>
      <c r="G1024" s="9" t="n">
        <v>2.66</v>
      </c>
      <c r="H1024" s="9" t="n">
        <v>132.34</v>
      </c>
      <c r="I1024" t="inlineStr">
        <is>
          <t>INV/2026/04643</t>
        </is>
      </c>
      <c r="J1024" s="9">
        <f>ROUND(F1024-G1024-H1024,2)</f>
        <v>0</v>
      </c>
    </row>
    <row r="1025">
      <c r="A1025" t="inlineStr">
        <is>
          <t>po_1Q0036KX</t>
        </is>
      </c>
      <c r="B1025" s="5" t="n">
        <v>46253</v>
      </c>
      <c r="C1025" t="inlineStr">
        <is>
          <t>ch_3Q001019</t>
        </is>
      </c>
      <c r="D1025" t="inlineStr">
        <is>
          <t>charge</t>
        </is>
      </c>
      <c r="E1025" s="5" t="n">
        <v>46251</v>
      </c>
      <c r="F1025" s="9" t="n">
        <v>85</v>
      </c>
      <c r="G1025" s="9" t="n">
        <v>1.79</v>
      </c>
      <c r="H1025" s="9" t="n">
        <v>83.20999999999999</v>
      </c>
      <c r="I1025" t="inlineStr">
        <is>
          <t>INV/2026/04644</t>
        </is>
      </c>
      <c r="J1025" s="9">
        <f>ROUND(F1025-G1025-H1025,2)</f>
        <v>0</v>
      </c>
    </row>
    <row r="1026">
      <c r="A1026" t="inlineStr">
        <is>
          <t>po_1Q0036KX</t>
        </is>
      </c>
      <c r="B1026" s="5" t="n">
        <v>46253</v>
      </c>
      <c r="C1026" t="inlineStr">
        <is>
          <t>ch_3Q001020</t>
        </is>
      </c>
      <c r="D1026" t="inlineStr">
        <is>
          <t>charge</t>
        </is>
      </c>
      <c r="E1026" s="5" t="n">
        <v>46251</v>
      </c>
      <c r="F1026" s="9" t="n">
        <v>135</v>
      </c>
      <c r="G1026" s="9" t="n">
        <v>2.66</v>
      </c>
      <c r="H1026" s="9" t="n">
        <v>132.34</v>
      </c>
      <c r="I1026" t="inlineStr">
        <is>
          <t>INV/2026/04645</t>
        </is>
      </c>
      <c r="J1026" s="9">
        <f>ROUND(F1026-G1026-H1026,2)</f>
        <v>0</v>
      </c>
    </row>
    <row r="1027">
      <c r="A1027" t="inlineStr">
        <is>
          <t>po_1Q0036KX</t>
        </is>
      </c>
      <c r="B1027" s="5" t="n">
        <v>46253</v>
      </c>
      <c r="C1027" t="inlineStr">
        <is>
          <t>ch_3Q001021</t>
        </is>
      </c>
      <c r="D1027" t="inlineStr">
        <is>
          <t>charge</t>
        </is>
      </c>
      <c r="E1027" s="5" t="n">
        <v>46251</v>
      </c>
      <c r="F1027" s="9" t="n">
        <v>120</v>
      </c>
      <c r="G1027" s="9" t="n">
        <v>2.4</v>
      </c>
      <c r="H1027" s="9" t="n">
        <v>117.6</v>
      </c>
      <c r="I1027" t="inlineStr">
        <is>
          <t>INV/2026/04646</t>
        </is>
      </c>
      <c r="J1027" s="9">
        <f>ROUND(F1027-G1027-H1027,2)</f>
        <v>0</v>
      </c>
    </row>
    <row r="1028">
      <c r="A1028" t="inlineStr">
        <is>
          <t>po_1Q0036KX</t>
        </is>
      </c>
      <c r="B1028" s="5" t="n">
        <v>46253</v>
      </c>
      <c r="C1028" t="inlineStr">
        <is>
          <t>ch_3Q001022</t>
        </is>
      </c>
      <c r="D1028" t="inlineStr">
        <is>
          <t>charge</t>
        </is>
      </c>
      <c r="E1028" s="5" t="n">
        <v>46251</v>
      </c>
      <c r="F1028" s="9" t="n">
        <v>220</v>
      </c>
      <c r="G1028" s="9" t="n">
        <v>4.15</v>
      </c>
      <c r="H1028" s="9" t="n">
        <v>215.85</v>
      </c>
      <c r="I1028" t="inlineStr">
        <is>
          <t>INV/2026/04647</t>
        </is>
      </c>
      <c r="J1028" s="9">
        <f>ROUND(F1028-G1028-H1028,2)</f>
        <v>0</v>
      </c>
    </row>
    <row r="1029">
      <c r="A1029" t="inlineStr">
        <is>
          <t>po_1Q0036KX</t>
        </is>
      </c>
      <c r="B1029" s="5" t="n">
        <v>46253</v>
      </c>
      <c r="C1029" t="inlineStr">
        <is>
          <t>ch_3Q001023</t>
        </is>
      </c>
      <c r="D1029" t="inlineStr">
        <is>
          <t>charge</t>
        </is>
      </c>
      <c r="E1029" s="5" t="n">
        <v>46251</v>
      </c>
      <c r="F1029" s="9" t="n">
        <v>220</v>
      </c>
      <c r="G1029" s="9" t="n">
        <v>4.15</v>
      </c>
      <c r="H1029" s="9" t="n">
        <v>215.85</v>
      </c>
      <c r="I1029" t="inlineStr">
        <is>
          <t>INV/2026/04648</t>
        </is>
      </c>
      <c r="J1029" s="9">
        <f>ROUND(F1029-G1029-H1029,2)</f>
        <v>0</v>
      </c>
    </row>
    <row r="1030">
      <c r="A1030" t="inlineStr">
        <is>
          <t>po_1Q0036KX</t>
        </is>
      </c>
      <c r="B1030" s="5" t="n">
        <v>46253</v>
      </c>
      <c r="C1030" t="inlineStr">
        <is>
          <t>ch_3Q001024</t>
        </is>
      </c>
      <c r="D1030" t="inlineStr">
        <is>
          <t>charge</t>
        </is>
      </c>
      <c r="E1030" s="5" t="n">
        <v>46251</v>
      </c>
      <c r="F1030" s="9" t="n">
        <v>135</v>
      </c>
      <c r="G1030" s="9" t="n">
        <v>2.66</v>
      </c>
      <c r="H1030" s="9" t="n">
        <v>132.34</v>
      </c>
      <c r="I1030" t="inlineStr">
        <is>
          <t>INV/2026/04649</t>
        </is>
      </c>
      <c r="J1030" s="9">
        <f>ROUND(F1030-G1030-H1030,2)</f>
        <v>0</v>
      </c>
    </row>
    <row r="1031">
      <c r="A1031" t="inlineStr">
        <is>
          <t>po_1Q0036KX</t>
        </is>
      </c>
      <c r="B1031" s="5" t="n">
        <v>46253</v>
      </c>
      <c r="C1031" t="inlineStr">
        <is>
          <t>ch_3Q001025</t>
        </is>
      </c>
      <c r="D1031" t="inlineStr">
        <is>
          <t>charge</t>
        </is>
      </c>
      <c r="E1031" s="5" t="n">
        <v>46251</v>
      </c>
      <c r="F1031" s="9" t="n">
        <v>120</v>
      </c>
      <c r="G1031" s="9" t="n">
        <v>2.4</v>
      </c>
      <c r="H1031" s="9" t="n">
        <v>117.6</v>
      </c>
      <c r="I1031" t="inlineStr">
        <is>
          <t>INV/2026/04650</t>
        </is>
      </c>
      <c r="J1031" s="9">
        <f>ROUND(F1031-G1031-H1031,2)</f>
        <v>0</v>
      </c>
    </row>
    <row r="1032">
      <c r="A1032" t="inlineStr">
        <is>
          <t>po_1Q0037KX</t>
        </is>
      </c>
      <c r="B1032" s="5" t="n">
        <v>46254</v>
      </c>
      <c r="C1032" t="inlineStr">
        <is>
          <t>ch_3Q001026</t>
        </is>
      </c>
      <c r="D1032" t="inlineStr">
        <is>
          <t>charge</t>
        </is>
      </c>
      <c r="E1032" s="5" t="n">
        <v>46252</v>
      </c>
      <c r="F1032" s="9" t="n">
        <v>110</v>
      </c>
      <c r="G1032" s="9" t="n">
        <v>2.23</v>
      </c>
      <c r="H1032" s="9" t="n">
        <v>107.77</v>
      </c>
      <c r="I1032" t="inlineStr">
        <is>
          <t>INV/2026/04651</t>
        </is>
      </c>
      <c r="J1032" s="9">
        <f>ROUND(F1032-G1032-H1032,2)</f>
        <v>0</v>
      </c>
    </row>
    <row r="1033">
      <c r="A1033" t="inlineStr">
        <is>
          <t>po_1Q0037KX</t>
        </is>
      </c>
      <c r="B1033" s="5" t="n">
        <v>46254</v>
      </c>
      <c r="C1033" t="inlineStr">
        <is>
          <t>ch_3Q001027</t>
        </is>
      </c>
      <c r="D1033" t="inlineStr">
        <is>
          <t>charge</t>
        </is>
      </c>
      <c r="E1033" s="5" t="n">
        <v>46252</v>
      </c>
      <c r="F1033" s="9" t="n">
        <v>220</v>
      </c>
      <c r="G1033" s="9" t="n">
        <v>4.15</v>
      </c>
      <c r="H1033" s="9" t="n">
        <v>215.85</v>
      </c>
      <c r="I1033" t="inlineStr">
        <is>
          <t>INV/2026/04652</t>
        </is>
      </c>
      <c r="J1033" s="9">
        <f>ROUND(F1033-G1033-H1033,2)</f>
        <v>0</v>
      </c>
    </row>
    <row r="1034">
      <c r="A1034" t="inlineStr">
        <is>
          <t>po_1Q0037KX</t>
        </is>
      </c>
      <c r="B1034" s="5" t="n">
        <v>46254</v>
      </c>
      <c r="C1034" t="inlineStr">
        <is>
          <t>ch_3Q001028</t>
        </is>
      </c>
      <c r="D1034" t="inlineStr">
        <is>
          <t>charge</t>
        </is>
      </c>
      <c r="E1034" s="5" t="n">
        <v>46252</v>
      </c>
      <c r="F1034" s="9" t="n">
        <v>180</v>
      </c>
      <c r="G1034" s="9" t="n">
        <v>3.45</v>
      </c>
      <c r="H1034" s="9" t="n">
        <v>176.55</v>
      </c>
      <c r="I1034" t="inlineStr">
        <is>
          <t>INV/2026/04653</t>
        </is>
      </c>
      <c r="J1034" s="9">
        <f>ROUND(F1034-G1034-H1034,2)</f>
        <v>0</v>
      </c>
    </row>
    <row r="1035">
      <c r="A1035" t="inlineStr">
        <is>
          <t>po_1Q0037KX</t>
        </is>
      </c>
      <c r="B1035" s="5" t="n">
        <v>46254</v>
      </c>
      <c r="C1035" t="inlineStr">
        <is>
          <t>ch_3Q001029</t>
        </is>
      </c>
      <c r="D1035" t="inlineStr">
        <is>
          <t>charge</t>
        </is>
      </c>
      <c r="E1035" s="5" t="n">
        <v>46252</v>
      </c>
      <c r="F1035" s="9" t="n">
        <v>220</v>
      </c>
      <c r="G1035" s="9" t="n">
        <v>4.15</v>
      </c>
      <c r="H1035" s="9" t="n">
        <v>215.85</v>
      </c>
      <c r="I1035" t="inlineStr">
        <is>
          <t>INV/2026/04654</t>
        </is>
      </c>
      <c r="J1035" s="9">
        <f>ROUND(F1035-G1035-H1035,2)</f>
        <v>0</v>
      </c>
    </row>
    <row r="1036">
      <c r="A1036" t="inlineStr">
        <is>
          <t>po_1Q0037KX</t>
        </is>
      </c>
      <c r="B1036" s="5" t="n">
        <v>46254</v>
      </c>
      <c r="C1036" t="inlineStr">
        <is>
          <t>ch_3Q001030</t>
        </is>
      </c>
      <c r="D1036" t="inlineStr">
        <is>
          <t>charge</t>
        </is>
      </c>
      <c r="E1036" s="5" t="n">
        <v>46252</v>
      </c>
      <c r="F1036" s="9" t="n">
        <v>180</v>
      </c>
      <c r="G1036" s="9" t="n">
        <v>3.45</v>
      </c>
      <c r="H1036" s="9" t="n">
        <v>176.55</v>
      </c>
      <c r="I1036" t="inlineStr">
        <is>
          <t>INV/2026/04655</t>
        </is>
      </c>
      <c r="J1036" s="9">
        <f>ROUND(F1036-G1036-H1036,2)</f>
        <v>0</v>
      </c>
    </row>
    <row r="1037">
      <c r="A1037" t="inlineStr">
        <is>
          <t>po_1Q0037KX</t>
        </is>
      </c>
      <c r="B1037" s="5" t="n">
        <v>46254</v>
      </c>
      <c r="C1037" t="inlineStr">
        <is>
          <t>ch_3Q001031</t>
        </is>
      </c>
      <c r="D1037" t="inlineStr">
        <is>
          <t>charge</t>
        </is>
      </c>
      <c r="E1037" s="5" t="n">
        <v>46252</v>
      </c>
      <c r="F1037" s="9" t="n">
        <v>95</v>
      </c>
      <c r="G1037" s="9" t="n">
        <v>1.96</v>
      </c>
      <c r="H1037" s="9" t="n">
        <v>93.04000000000001</v>
      </c>
      <c r="I1037" t="inlineStr">
        <is>
          <t>INV/2026/04656</t>
        </is>
      </c>
      <c r="J1037" s="9">
        <f>ROUND(F1037-G1037-H1037,2)</f>
        <v>0</v>
      </c>
    </row>
    <row r="1038">
      <c r="A1038" t="inlineStr">
        <is>
          <t>po_1Q0037KX</t>
        </is>
      </c>
      <c r="B1038" s="5" t="n">
        <v>46254</v>
      </c>
      <c r="C1038" t="inlineStr">
        <is>
          <t>ch_3Q001032</t>
        </is>
      </c>
      <c r="D1038" t="inlineStr">
        <is>
          <t>charge</t>
        </is>
      </c>
      <c r="E1038" s="5" t="n">
        <v>46252</v>
      </c>
      <c r="F1038" s="9" t="n">
        <v>120</v>
      </c>
      <c r="G1038" s="9" t="n">
        <v>2.4</v>
      </c>
      <c r="H1038" s="9" t="n">
        <v>117.6</v>
      </c>
      <c r="I1038" t="inlineStr">
        <is>
          <t>INV/2026/04657</t>
        </is>
      </c>
      <c r="J1038" s="9">
        <f>ROUND(F1038-G1038-H1038,2)</f>
        <v>0</v>
      </c>
    </row>
    <row r="1039">
      <c r="A1039" t="inlineStr">
        <is>
          <t>po_1Q0037KX</t>
        </is>
      </c>
      <c r="B1039" s="5" t="n">
        <v>46254</v>
      </c>
      <c r="C1039" t="inlineStr">
        <is>
          <t>ch_3Q001033</t>
        </is>
      </c>
      <c r="D1039" t="inlineStr">
        <is>
          <t>charge</t>
        </is>
      </c>
      <c r="E1039" s="5" t="n">
        <v>46252</v>
      </c>
      <c r="F1039" s="9" t="n">
        <v>150</v>
      </c>
      <c r="G1039" s="9" t="n">
        <v>2.93</v>
      </c>
      <c r="H1039" s="9" t="n">
        <v>147.07</v>
      </c>
      <c r="I1039" t="inlineStr">
        <is>
          <t>INV/2026/04658</t>
        </is>
      </c>
      <c r="J1039" s="9">
        <f>ROUND(F1039-G1039-H1039,2)</f>
        <v>0</v>
      </c>
    </row>
    <row r="1040">
      <c r="A1040" t="inlineStr">
        <is>
          <t>po_1Q0037KX</t>
        </is>
      </c>
      <c r="B1040" s="5" t="n">
        <v>46254</v>
      </c>
      <c r="C1040" t="inlineStr">
        <is>
          <t>ch_3Q001034</t>
        </is>
      </c>
      <c r="D1040" t="inlineStr">
        <is>
          <t>charge</t>
        </is>
      </c>
      <c r="E1040" s="5" t="n">
        <v>46252</v>
      </c>
      <c r="F1040" s="9" t="n">
        <v>120</v>
      </c>
      <c r="G1040" s="9" t="n">
        <v>2.4</v>
      </c>
      <c r="H1040" s="9" t="n">
        <v>117.6</v>
      </c>
      <c r="I1040" t="inlineStr">
        <is>
          <t>INV/2026/04659</t>
        </is>
      </c>
      <c r="J1040" s="9">
        <f>ROUND(F1040-G1040-H1040,2)</f>
        <v>0</v>
      </c>
    </row>
    <row r="1041">
      <c r="A1041" t="inlineStr">
        <is>
          <t>po_1Q0037KX</t>
        </is>
      </c>
      <c r="B1041" s="5" t="n">
        <v>46254</v>
      </c>
      <c r="C1041" t="inlineStr">
        <is>
          <t>ch_3Q001035</t>
        </is>
      </c>
      <c r="D1041" t="inlineStr">
        <is>
          <t>charge</t>
        </is>
      </c>
      <c r="E1041" s="5" t="n">
        <v>46252</v>
      </c>
      <c r="F1041" s="9" t="n">
        <v>120</v>
      </c>
      <c r="G1041" s="9" t="n">
        <v>2.4</v>
      </c>
      <c r="H1041" s="9" t="n">
        <v>117.6</v>
      </c>
      <c r="I1041" t="inlineStr">
        <is>
          <t>INV/2026/04660</t>
        </is>
      </c>
      <c r="J1041" s="9">
        <f>ROUND(F1041-G1041-H1041,2)</f>
        <v>0</v>
      </c>
    </row>
    <row r="1042">
      <c r="A1042" t="inlineStr">
        <is>
          <t>po_1Q0037KX</t>
        </is>
      </c>
      <c r="B1042" s="5" t="n">
        <v>46254</v>
      </c>
      <c r="C1042" t="inlineStr">
        <is>
          <t>ch_3Q001036</t>
        </is>
      </c>
      <c r="D1042" t="inlineStr">
        <is>
          <t>charge</t>
        </is>
      </c>
      <c r="E1042" s="5" t="n">
        <v>46252</v>
      </c>
      <c r="F1042" s="9" t="n">
        <v>95</v>
      </c>
      <c r="G1042" s="9" t="n">
        <v>1.96</v>
      </c>
      <c r="H1042" s="9" t="n">
        <v>93.04000000000001</v>
      </c>
      <c r="I1042" t="inlineStr">
        <is>
          <t>INV/2026/04661</t>
        </is>
      </c>
      <c r="J1042" s="9">
        <f>ROUND(F1042-G1042-H1042,2)</f>
        <v>0</v>
      </c>
    </row>
    <row r="1043">
      <c r="A1043" t="inlineStr">
        <is>
          <t>po_1Q0037KX</t>
        </is>
      </c>
      <c r="B1043" s="5" t="n">
        <v>46254</v>
      </c>
      <c r="C1043" t="inlineStr">
        <is>
          <t>ch_3Q001037</t>
        </is>
      </c>
      <c r="D1043" t="inlineStr">
        <is>
          <t>charge</t>
        </is>
      </c>
      <c r="E1043" s="5" t="n">
        <v>46252</v>
      </c>
      <c r="F1043" s="9" t="n">
        <v>85</v>
      </c>
      <c r="G1043" s="9" t="n">
        <v>1.79</v>
      </c>
      <c r="H1043" s="9" t="n">
        <v>83.20999999999999</v>
      </c>
      <c r="I1043" t="inlineStr">
        <is>
          <t>INV/2026/04662</t>
        </is>
      </c>
      <c r="J1043" s="9">
        <f>ROUND(F1043-G1043-H1043,2)</f>
        <v>0</v>
      </c>
    </row>
    <row r="1044">
      <c r="A1044" t="inlineStr">
        <is>
          <t>po_1Q0037KX</t>
        </is>
      </c>
      <c r="B1044" s="5" t="n">
        <v>46254</v>
      </c>
      <c r="C1044" t="inlineStr">
        <is>
          <t>ch_3Q001038</t>
        </is>
      </c>
      <c r="D1044" t="inlineStr">
        <is>
          <t>charge</t>
        </is>
      </c>
      <c r="E1044" s="5" t="n">
        <v>46252</v>
      </c>
      <c r="F1044" s="9" t="n">
        <v>220</v>
      </c>
      <c r="G1044" s="9" t="n">
        <v>4.15</v>
      </c>
      <c r="H1044" s="9" t="n">
        <v>215.85</v>
      </c>
      <c r="I1044" t="inlineStr">
        <is>
          <t>INV/2026/04663</t>
        </is>
      </c>
      <c r="J1044" s="9">
        <f>ROUND(F1044-G1044-H1044,2)</f>
        <v>0</v>
      </c>
    </row>
    <row r="1045">
      <c r="A1045" t="inlineStr">
        <is>
          <t>po_1Q0037KX</t>
        </is>
      </c>
      <c r="B1045" s="5" t="n">
        <v>46254</v>
      </c>
      <c r="C1045" t="inlineStr">
        <is>
          <t>ch_3Q001039</t>
        </is>
      </c>
      <c r="D1045" t="inlineStr">
        <is>
          <t>charge</t>
        </is>
      </c>
      <c r="E1045" s="5" t="n">
        <v>46252</v>
      </c>
      <c r="F1045" s="9" t="n">
        <v>85</v>
      </c>
      <c r="G1045" s="9" t="n">
        <v>1.79</v>
      </c>
      <c r="H1045" s="9" t="n">
        <v>83.20999999999999</v>
      </c>
      <c r="I1045" t="inlineStr">
        <is>
          <t>INV/2026/04664</t>
        </is>
      </c>
      <c r="J1045" s="9">
        <f>ROUND(F1045-G1045-H1045,2)</f>
        <v>0</v>
      </c>
    </row>
    <row r="1046">
      <c r="A1046" t="inlineStr">
        <is>
          <t>po_1Q0037KX</t>
        </is>
      </c>
      <c r="B1046" s="5" t="n">
        <v>46254</v>
      </c>
      <c r="C1046" t="inlineStr">
        <is>
          <t>ch_3Q001040</t>
        </is>
      </c>
      <c r="D1046" t="inlineStr">
        <is>
          <t>charge</t>
        </is>
      </c>
      <c r="E1046" s="5" t="n">
        <v>46252</v>
      </c>
      <c r="F1046" s="9" t="n">
        <v>110</v>
      </c>
      <c r="G1046" s="9" t="n">
        <v>2.23</v>
      </c>
      <c r="H1046" s="9" t="n">
        <v>107.77</v>
      </c>
      <c r="I1046" t="inlineStr">
        <is>
          <t>INV/2026/04665</t>
        </is>
      </c>
      <c r="J1046" s="9">
        <f>ROUND(F1046-G1046-H1046,2)</f>
        <v>0</v>
      </c>
    </row>
    <row r="1047">
      <c r="A1047" t="inlineStr">
        <is>
          <t>po_1Q0037KX</t>
        </is>
      </c>
      <c r="B1047" s="5" t="n">
        <v>46254</v>
      </c>
      <c r="C1047" t="inlineStr">
        <is>
          <t>ch_3Q001041</t>
        </is>
      </c>
      <c r="D1047" t="inlineStr">
        <is>
          <t>charge</t>
        </is>
      </c>
      <c r="E1047" s="5" t="n">
        <v>46252</v>
      </c>
      <c r="F1047" s="9" t="n">
        <v>95</v>
      </c>
      <c r="G1047" s="9" t="n">
        <v>1.96</v>
      </c>
      <c r="H1047" s="9" t="n">
        <v>93.04000000000001</v>
      </c>
      <c r="I1047" t="inlineStr">
        <is>
          <t>INV/2026/04666</t>
        </is>
      </c>
      <c r="J1047" s="9">
        <f>ROUND(F1047-G1047-H1047,2)</f>
        <v>0</v>
      </c>
    </row>
    <row r="1048">
      <c r="A1048" t="inlineStr">
        <is>
          <t>po_1Q0037KX</t>
        </is>
      </c>
      <c r="B1048" s="5" t="n">
        <v>46254</v>
      </c>
      <c r="C1048" t="inlineStr">
        <is>
          <t>ch_3Q001042</t>
        </is>
      </c>
      <c r="D1048" t="inlineStr">
        <is>
          <t>charge</t>
        </is>
      </c>
      <c r="E1048" s="5" t="n">
        <v>46252</v>
      </c>
      <c r="F1048" s="9" t="n">
        <v>65</v>
      </c>
      <c r="G1048" s="9" t="n">
        <v>1.44</v>
      </c>
      <c r="H1048" s="9" t="n">
        <v>63.56</v>
      </c>
      <c r="I1048" t="inlineStr">
        <is>
          <t>INV/2026/04667</t>
        </is>
      </c>
      <c r="J1048" s="9">
        <f>ROUND(F1048-G1048-H1048,2)</f>
        <v>0</v>
      </c>
    </row>
    <row r="1049">
      <c r="A1049" t="inlineStr">
        <is>
          <t>po_1Q0037KX</t>
        </is>
      </c>
      <c r="B1049" s="5" t="n">
        <v>46254</v>
      </c>
      <c r="C1049" t="inlineStr">
        <is>
          <t>ch_3Q001043</t>
        </is>
      </c>
      <c r="D1049" t="inlineStr">
        <is>
          <t>charge</t>
        </is>
      </c>
      <c r="E1049" s="5" t="n">
        <v>46252</v>
      </c>
      <c r="F1049" s="9" t="n">
        <v>110</v>
      </c>
      <c r="G1049" s="9" t="n">
        <v>2.23</v>
      </c>
      <c r="H1049" s="9" t="n">
        <v>107.77</v>
      </c>
      <c r="I1049" t="inlineStr">
        <is>
          <t>INV/2026/04668</t>
        </is>
      </c>
      <c r="J1049" s="9">
        <f>ROUND(F1049-G1049-H1049,2)</f>
        <v>0</v>
      </c>
    </row>
    <row r="1050">
      <c r="A1050" t="inlineStr">
        <is>
          <t>po_1Q0037KX</t>
        </is>
      </c>
      <c r="B1050" s="5" t="n">
        <v>46254</v>
      </c>
      <c r="C1050" t="inlineStr">
        <is>
          <t>ch_3Q001044</t>
        </is>
      </c>
      <c r="D1050" t="inlineStr">
        <is>
          <t>charge</t>
        </is>
      </c>
      <c r="E1050" s="5" t="n">
        <v>46252</v>
      </c>
      <c r="F1050" s="9" t="n">
        <v>95</v>
      </c>
      <c r="G1050" s="9" t="n">
        <v>1.96</v>
      </c>
      <c r="H1050" s="9" t="n">
        <v>93.04000000000001</v>
      </c>
      <c r="I1050" t="inlineStr">
        <is>
          <t>INV/2026/04669</t>
        </is>
      </c>
      <c r="J1050" s="9">
        <f>ROUND(F1050-G1050-H1050,2)</f>
        <v>0</v>
      </c>
    </row>
    <row r="1051">
      <c r="A1051" t="inlineStr">
        <is>
          <t>po_1Q0037KX</t>
        </is>
      </c>
      <c r="B1051" s="5" t="n">
        <v>46254</v>
      </c>
      <c r="C1051" t="inlineStr">
        <is>
          <t>ch_3Q001045</t>
        </is>
      </c>
      <c r="D1051" t="inlineStr">
        <is>
          <t>charge</t>
        </is>
      </c>
      <c r="E1051" s="5" t="n">
        <v>46252</v>
      </c>
      <c r="F1051" s="9" t="n">
        <v>180</v>
      </c>
      <c r="G1051" s="9" t="n">
        <v>3.45</v>
      </c>
      <c r="H1051" s="9" t="n">
        <v>176.55</v>
      </c>
      <c r="I1051" t="inlineStr">
        <is>
          <t>INV/2026/04670</t>
        </is>
      </c>
      <c r="J1051" s="9">
        <f>ROUND(F1051-G1051-H1051,2)</f>
        <v>0</v>
      </c>
    </row>
    <row r="1052">
      <c r="A1052" t="inlineStr">
        <is>
          <t>po_1Q0037KX</t>
        </is>
      </c>
      <c r="B1052" s="5" t="n">
        <v>46254</v>
      </c>
      <c r="C1052" t="inlineStr">
        <is>
          <t>ch_3Q001046</t>
        </is>
      </c>
      <c r="D1052" t="inlineStr">
        <is>
          <t>charge</t>
        </is>
      </c>
      <c r="E1052" s="5" t="n">
        <v>46252</v>
      </c>
      <c r="F1052" s="9" t="n">
        <v>65</v>
      </c>
      <c r="G1052" s="9" t="n">
        <v>1.44</v>
      </c>
      <c r="H1052" s="9" t="n">
        <v>63.56</v>
      </c>
      <c r="I1052" t="inlineStr">
        <is>
          <t>INV/2026/04671</t>
        </is>
      </c>
      <c r="J1052" s="9">
        <f>ROUND(F1052-G1052-H1052,2)</f>
        <v>0</v>
      </c>
    </row>
    <row r="1053">
      <c r="A1053" t="inlineStr">
        <is>
          <t>po_1Q0037KX</t>
        </is>
      </c>
      <c r="B1053" s="5" t="n">
        <v>46254</v>
      </c>
      <c r="C1053" t="inlineStr">
        <is>
          <t>ch_3Q001047</t>
        </is>
      </c>
      <c r="D1053" t="inlineStr">
        <is>
          <t>charge</t>
        </is>
      </c>
      <c r="E1053" s="5" t="n">
        <v>46252</v>
      </c>
      <c r="F1053" s="9" t="n">
        <v>110</v>
      </c>
      <c r="G1053" s="9" t="n">
        <v>2.23</v>
      </c>
      <c r="H1053" s="9" t="n">
        <v>107.77</v>
      </c>
      <c r="I1053" t="inlineStr">
        <is>
          <t>INV/2026/04672</t>
        </is>
      </c>
      <c r="J1053" s="9">
        <f>ROUND(F1053-G1053-H1053,2)</f>
        <v>0</v>
      </c>
    </row>
    <row r="1054">
      <c r="A1054" t="inlineStr">
        <is>
          <t>po_1Q0037KX</t>
        </is>
      </c>
      <c r="B1054" s="5" t="n">
        <v>46254</v>
      </c>
      <c r="C1054" t="inlineStr">
        <is>
          <t>ch_3Q001048</t>
        </is>
      </c>
      <c r="D1054" t="inlineStr">
        <is>
          <t>charge</t>
        </is>
      </c>
      <c r="E1054" s="5" t="n">
        <v>46252</v>
      </c>
      <c r="F1054" s="9" t="n">
        <v>95</v>
      </c>
      <c r="G1054" s="9" t="n">
        <v>1.96</v>
      </c>
      <c r="H1054" s="9" t="n">
        <v>93.04000000000001</v>
      </c>
      <c r="I1054" t="inlineStr">
        <is>
          <t>INV/2026/04673</t>
        </is>
      </c>
      <c r="J1054" s="9">
        <f>ROUND(F1054-G1054-H1054,2)</f>
        <v>0</v>
      </c>
    </row>
    <row r="1055">
      <c r="A1055" t="inlineStr">
        <is>
          <t>po_1Q0037KX</t>
        </is>
      </c>
      <c r="B1055" s="5" t="n">
        <v>46254</v>
      </c>
      <c r="C1055" t="inlineStr">
        <is>
          <t>ch_3Q001049</t>
        </is>
      </c>
      <c r="D1055" t="inlineStr">
        <is>
          <t>charge</t>
        </is>
      </c>
      <c r="E1055" s="5" t="n">
        <v>46252</v>
      </c>
      <c r="F1055" s="9" t="n">
        <v>110</v>
      </c>
      <c r="G1055" s="9" t="n">
        <v>2.23</v>
      </c>
      <c r="H1055" s="9" t="n">
        <v>107.77</v>
      </c>
      <c r="I1055" t="inlineStr">
        <is>
          <t>INV/2026/04674</t>
        </is>
      </c>
      <c r="J1055" s="9">
        <f>ROUND(F1055-G1055-H1055,2)</f>
        <v>0</v>
      </c>
    </row>
    <row r="1056">
      <c r="A1056" t="inlineStr">
        <is>
          <t>po_1Q0037KX</t>
        </is>
      </c>
      <c r="B1056" s="5" t="n">
        <v>46254</v>
      </c>
      <c r="C1056" t="inlineStr">
        <is>
          <t>ch_3Q001050</t>
        </is>
      </c>
      <c r="D1056" t="inlineStr">
        <is>
          <t>charge</t>
        </is>
      </c>
      <c r="E1056" s="5" t="n">
        <v>46252</v>
      </c>
      <c r="F1056" s="9" t="n">
        <v>180</v>
      </c>
      <c r="G1056" s="9" t="n">
        <v>3.45</v>
      </c>
      <c r="H1056" s="9" t="n">
        <v>176.55</v>
      </c>
      <c r="I1056" t="inlineStr">
        <is>
          <t>INV/2026/04675</t>
        </is>
      </c>
      <c r="J1056" s="9">
        <f>ROUND(F1056-G1056-H1056,2)</f>
        <v>0</v>
      </c>
    </row>
    <row r="1057">
      <c r="A1057" t="inlineStr">
        <is>
          <t>po_1Q0037KX</t>
        </is>
      </c>
      <c r="B1057" s="5" t="n">
        <v>46254</v>
      </c>
      <c r="C1057" t="inlineStr">
        <is>
          <t>ch_3Q001051</t>
        </is>
      </c>
      <c r="D1057" t="inlineStr">
        <is>
          <t>charge</t>
        </is>
      </c>
      <c r="E1057" s="5" t="n">
        <v>46252</v>
      </c>
      <c r="F1057" s="9" t="n">
        <v>120</v>
      </c>
      <c r="G1057" s="9" t="n">
        <v>2.4</v>
      </c>
      <c r="H1057" s="9" t="n">
        <v>117.6</v>
      </c>
      <c r="I1057" t="inlineStr">
        <is>
          <t>INV/2026/04676</t>
        </is>
      </c>
      <c r="J1057" s="9">
        <f>ROUND(F1057-G1057-H1057,2)</f>
        <v>0</v>
      </c>
    </row>
    <row r="1058">
      <c r="A1058" t="inlineStr">
        <is>
          <t>po_1Q0037KX</t>
        </is>
      </c>
      <c r="B1058" s="5" t="n">
        <v>46254</v>
      </c>
      <c r="C1058" t="inlineStr">
        <is>
          <t>ch_3Q001052</t>
        </is>
      </c>
      <c r="D1058" t="inlineStr">
        <is>
          <t>charge</t>
        </is>
      </c>
      <c r="E1058" s="5" t="n">
        <v>46252</v>
      </c>
      <c r="F1058" s="9" t="n">
        <v>120</v>
      </c>
      <c r="G1058" s="9" t="n">
        <v>2.4</v>
      </c>
      <c r="H1058" s="9" t="n">
        <v>117.6</v>
      </c>
      <c r="I1058" t="inlineStr">
        <is>
          <t>INV/2026/04677</t>
        </is>
      </c>
      <c r="J1058" s="9">
        <f>ROUND(F1058-G1058-H1058,2)</f>
        <v>0</v>
      </c>
    </row>
    <row r="1059">
      <c r="A1059" t="inlineStr">
        <is>
          <t>po_1Q0037KX</t>
        </is>
      </c>
      <c r="B1059" s="5" t="n">
        <v>46254</v>
      </c>
      <c r="C1059" t="inlineStr">
        <is>
          <t>ch_3Q001053</t>
        </is>
      </c>
      <c r="D1059" t="inlineStr">
        <is>
          <t>charge</t>
        </is>
      </c>
      <c r="E1059" s="5" t="n">
        <v>46252</v>
      </c>
      <c r="F1059" s="9" t="n">
        <v>65</v>
      </c>
      <c r="G1059" s="9" t="n">
        <v>1.44</v>
      </c>
      <c r="H1059" s="9" t="n">
        <v>63.56</v>
      </c>
      <c r="I1059" t="inlineStr">
        <is>
          <t>INV/2026/04678</t>
        </is>
      </c>
      <c r="J1059" s="9">
        <f>ROUND(F1059-G1059-H1059,2)</f>
        <v>0</v>
      </c>
    </row>
    <row r="1060">
      <c r="A1060" t="inlineStr">
        <is>
          <t>po_1Q0037KX</t>
        </is>
      </c>
      <c r="B1060" s="5" t="n">
        <v>46254</v>
      </c>
      <c r="C1060" t="inlineStr">
        <is>
          <t>ch_3Q001054</t>
        </is>
      </c>
      <c r="D1060" t="inlineStr">
        <is>
          <t>charge</t>
        </is>
      </c>
      <c r="E1060" s="5" t="n">
        <v>46252</v>
      </c>
      <c r="F1060" s="9" t="n">
        <v>180</v>
      </c>
      <c r="G1060" s="9" t="n">
        <v>3.45</v>
      </c>
      <c r="H1060" s="9" t="n">
        <v>176.55</v>
      </c>
      <c r="I1060" t="inlineStr">
        <is>
          <t>INV/2026/04679</t>
        </is>
      </c>
      <c r="J1060" s="9">
        <f>ROUND(F1060-G1060-H1060,2)</f>
        <v>0</v>
      </c>
    </row>
    <row r="1061">
      <c r="A1061" t="inlineStr">
        <is>
          <t>po_1Q0037KX</t>
        </is>
      </c>
      <c r="B1061" s="5" t="n">
        <v>46254</v>
      </c>
      <c r="C1061" t="inlineStr">
        <is>
          <t>ch_3Q001055</t>
        </is>
      </c>
      <c r="D1061" t="inlineStr">
        <is>
          <t>charge</t>
        </is>
      </c>
      <c r="E1061" s="5" t="n">
        <v>46252</v>
      </c>
      <c r="F1061" s="9" t="n">
        <v>85</v>
      </c>
      <c r="G1061" s="9" t="n">
        <v>1.79</v>
      </c>
      <c r="H1061" s="9" t="n">
        <v>83.20999999999999</v>
      </c>
      <c r="I1061" t="inlineStr">
        <is>
          <t>INV/2026/04680</t>
        </is>
      </c>
      <c r="J1061" s="9">
        <f>ROUND(F1061-G1061-H1061,2)</f>
        <v>0</v>
      </c>
    </row>
    <row r="1062">
      <c r="A1062" t="inlineStr">
        <is>
          <t>po_1Q0037KX</t>
        </is>
      </c>
      <c r="B1062" s="5" t="n">
        <v>46254</v>
      </c>
      <c r="C1062" t="inlineStr">
        <is>
          <t>ch_3Q001056</t>
        </is>
      </c>
      <c r="D1062" t="inlineStr">
        <is>
          <t>charge</t>
        </is>
      </c>
      <c r="E1062" s="5" t="n">
        <v>46252</v>
      </c>
      <c r="F1062" s="9" t="n">
        <v>220</v>
      </c>
      <c r="G1062" s="9" t="n">
        <v>4.15</v>
      </c>
      <c r="H1062" s="9" t="n">
        <v>215.85</v>
      </c>
      <c r="I1062" t="inlineStr">
        <is>
          <t>INV/2026/04681</t>
        </is>
      </c>
      <c r="J1062" s="9">
        <f>ROUND(F1062-G1062-H1062,2)</f>
        <v>0</v>
      </c>
    </row>
    <row r="1063">
      <c r="A1063" t="inlineStr">
        <is>
          <t>po_1Q0038KX</t>
        </is>
      </c>
      <c r="B1063" s="5" t="n">
        <v>46255</v>
      </c>
      <c r="C1063" t="inlineStr">
        <is>
          <t>ch_3Q001057</t>
        </is>
      </c>
      <c r="D1063" t="inlineStr">
        <is>
          <t>charge</t>
        </is>
      </c>
      <c r="E1063" s="5" t="n">
        <v>46253</v>
      </c>
      <c r="F1063" s="9" t="n">
        <v>95</v>
      </c>
      <c r="G1063" s="9" t="n">
        <v>1.96</v>
      </c>
      <c r="H1063" s="9" t="n">
        <v>93.04000000000001</v>
      </c>
      <c r="I1063" t="inlineStr">
        <is>
          <t>INV/2026/04682</t>
        </is>
      </c>
      <c r="J1063" s="9">
        <f>ROUND(F1063-G1063-H1063,2)</f>
        <v>0</v>
      </c>
    </row>
    <row r="1064">
      <c r="A1064" t="inlineStr">
        <is>
          <t>po_1Q0038KX</t>
        </is>
      </c>
      <c r="B1064" s="5" t="n">
        <v>46255</v>
      </c>
      <c r="C1064" t="inlineStr">
        <is>
          <t>ch_3Q001058</t>
        </is>
      </c>
      <c r="D1064" t="inlineStr">
        <is>
          <t>charge</t>
        </is>
      </c>
      <c r="E1064" s="5" t="n">
        <v>46253</v>
      </c>
      <c r="F1064" s="9" t="n">
        <v>95</v>
      </c>
      <c r="G1064" s="9" t="n">
        <v>1.96</v>
      </c>
      <c r="H1064" s="9" t="n">
        <v>93.04000000000001</v>
      </c>
      <c r="I1064" t="inlineStr">
        <is>
          <t>INV/2026/04683</t>
        </is>
      </c>
      <c r="J1064" s="9">
        <f>ROUND(F1064-G1064-H1064,2)</f>
        <v>0</v>
      </c>
    </row>
    <row r="1065">
      <c r="A1065" t="inlineStr">
        <is>
          <t>po_1Q0038KX</t>
        </is>
      </c>
      <c r="B1065" s="5" t="n">
        <v>46255</v>
      </c>
      <c r="C1065" t="inlineStr">
        <is>
          <t>ch_3Q001059</t>
        </is>
      </c>
      <c r="D1065" t="inlineStr">
        <is>
          <t>charge</t>
        </is>
      </c>
      <c r="E1065" s="5" t="n">
        <v>46253</v>
      </c>
      <c r="F1065" s="9" t="n">
        <v>110</v>
      </c>
      <c r="G1065" s="9" t="n">
        <v>2.23</v>
      </c>
      <c r="H1065" s="9" t="n">
        <v>107.77</v>
      </c>
      <c r="I1065" t="inlineStr">
        <is>
          <t>INV/2026/04684</t>
        </is>
      </c>
      <c r="J1065" s="9">
        <f>ROUND(F1065-G1065-H1065,2)</f>
        <v>0</v>
      </c>
    </row>
    <row r="1066">
      <c r="A1066" t="inlineStr">
        <is>
          <t>po_1Q0038KX</t>
        </is>
      </c>
      <c r="B1066" s="5" t="n">
        <v>46255</v>
      </c>
      <c r="C1066" t="inlineStr">
        <is>
          <t>ch_3Q001060</t>
        </is>
      </c>
      <c r="D1066" t="inlineStr">
        <is>
          <t>charge</t>
        </is>
      </c>
      <c r="E1066" s="5" t="n">
        <v>46253</v>
      </c>
      <c r="F1066" s="9" t="n">
        <v>110</v>
      </c>
      <c r="G1066" s="9" t="n">
        <v>2.23</v>
      </c>
      <c r="H1066" s="9" t="n">
        <v>107.77</v>
      </c>
      <c r="I1066" t="inlineStr">
        <is>
          <t>INV/2026/04685</t>
        </is>
      </c>
      <c r="J1066" s="9">
        <f>ROUND(F1066-G1066-H1066,2)</f>
        <v>0</v>
      </c>
    </row>
    <row r="1067">
      <c r="A1067" t="inlineStr">
        <is>
          <t>po_1Q0038KX</t>
        </is>
      </c>
      <c r="B1067" s="5" t="n">
        <v>46255</v>
      </c>
      <c r="C1067" t="inlineStr">
        <is>
          <t>ch_3Q001061</t>
        </is>
      </c>
      <c r="D1067" t="inlineStr">
        <is>
          <t>charge</t>
        </is>
      </c>
      <c r="E1067" s="5" t="n">
        <v>46253</v>
      </c>
      <c r="F1067" s="9" t="n">
        <v>110</v>
      </c>
      <c r="G1067" s="9" t="n">
        <v>2.23</v>
      </c>
      <c r="H1067" s="9" t="n">
        <v>107.77</v>
      </c>
      <c r="I1067" t="inlineStr">
        <is>
          <t>INV/2026/04686</t>
        </is>
      </c>
      <c r="J1067" s="9">
        <f>ROUND(F1067-G1067-H1067,2)</f>
        <v>0</v>
      </c>
    </row>
    <row r="1068">
      <c r="A1068" t="inlineStr">
        <is>
          <t>po_1Q0038KX</t>
        </is>
      </c>
      <c r="B1068" s="5" t="n">
        <v>46255</v>
      </c>
      <c r="C1068" t="inlineStr">
        <is>
          <t>ch_3Q001062</t>
        </is>
      </c>
      <c r="D1068" t="inlineStr">
        <is>
          <t>charge</t>
        </is>
      </c>
      <c r="E1068" s="5" t="n">
        <v>46253</v>
      </c>
      <c r="F1068" s="9" t="n">
        <v>65</v>
      </c>
      <c r="G1068" s="9" t="n">
        <v>1.44</v>
      </c>
      <c r="H1068" s="9" t="n">
        <v>63.56</v>
      </c>
      <c r="I1068" t="inlineStr">
        <is>
          <t>INV/2026/04687</t>
        </is>
      </c>
      <c r="J1068" s="9">
        <f>ROUND(F1068-G1068-H1068,2)</f>
        <v>0</v>
      </c>
    </row>
    <row r="1069">
      <c r="A1069" t="inlineStr">
        <is>
          <t>po_1Q0038KX</t>
        </is>
      </c>
      <c r="B1069" s="5" t="n">
        <v>46255</v>
      </c>
      <c r="C1069" t="inlineStr">
        <is>
          <t>ch_3Q001063</t>
        </is>
      </c>
      <c r="D1069" t="inlineStr">
        <is>
          <t>charge</t>
        </is>
      </c>
      <c r="E1069" s="5" t="n">
        <v>46253</v>
      </c>
      <c r="F1069" s="9" t="n">
        <v>85</v>
      </c>
      <c r="G1069" s="9" t="n">
        <v>1.79</v>
      </c>
      <c r="H1069" s="9" t="n">
        <v>83.20999999999999</v>
      </c>
      <c r="I1069" t="inlineStr">
        <is>
          <t>INV/2026/04688</t>
        </is>
      </c>
      <c r="J1069" s="9">
        <f>ROUND(F1069-G1069-H1069,2)</f>
        <v>0</v>
      </c>
    </row>
    <row r="1070">
      <c r="A1070" t="inlineStr">
        <is>
          <t>po_1Q0038KX</t>
        </is>
      </c>
      <c r="B1070" s="5" t="n">
        <v>46255</v>
      </c>
      <c r="C1070" t="inlineStr">
        <is>
          <t>ch_3Q001064</t>
        </is>
      </c>
      <c r="D1070" t="inlineStr">
        <is>
          <t>charge</t>
        </is>
      </c>
      <c r="E1070" s="5" t="n">
        <v>46253</v>
      </c>
      <c r="F1070" s="9" t="n">
        <v>150</v>
      </c>
      <c r="G1070" s="9" t="n">
        <v>2.93</v>
      </c>
      <c r="H1070" s="9" t="n">
        <v>147.07</v>
      </c>
      <c r="I1070" t="inlineStr">
        <is>
          <t>INV/2026/04689</t>
        </is>
      </c>
      <c r="J1070" s="9">
        <f>ROUND(F1070-G1070-H1070,2)</f>
        <v>0</v>
      </c>
    </row>
    <row r="1071">
      <c r="A1071" t="inlineStr">
        <is>
          <t>po_1Q0038KX</t>
        </is>
      </c>
      <c r="B1071" s="5" t="n">
        <v>46255</v>
      </c>
      <c r="C1071" t="inlineStr">
        <is>
          <t>ch_3Q001065</t>
        </is>
      </c>
      <c r="D1071" t="inlineStr">
        <is>
          <t>charge</t>
        </is>
      </c>
      <c r="E1071" s="5" t="n">
        <v>46253</v>
      </c>
      <c r="F1071" s="9" t="n">
        <v>135</v>
      </c>
      <c r="G1071" s="9" t="n">
        <v>2.66</v>
      </c>
      <c r="H1071" s="9" t="n">
        <v>132.34</v>
      </c>
      <c r="I1071" t="inlineStr">
        <is>
          <t>INV/2026/04690</t>
        </is>
      </c>
      <c r="J1071" s="9">
        <f>ROUND(F1071-G1071-H1071,2)</f>
        <v>0</v>
      </c>
    </row>
    <row r="1072">
      <c r="A1072" t="inlineStr">
        <is>
          <t>po_1Q0038KX</t>
        </is>
      </c>
      <c r="B1072" s="5" t="n">
        <v>46255</v>
      </c>
      <c r="C1072" t="inlineStr">
        <is>
          <t>ch_3Q001066</t>
        </is>
      </c>
      <c r="D1072" t="inlineStr">
        <is>
          <t>charge</t>
        </is>
      </c>
      <c r="E1072" s="5" t="n">
        <v>46253</v>
      </c>
      <c r="F1072" s="9" t="n">
        <v>65</v>
      </c>
      <c r="G1072" s="9" t="n">
        <v>1.44</v>
      </c>
      <c r="H1072" s="9" t="n">
        <v>63.56</v>
      </c>
      <c r="I1072" t="inlineStr">
        <is>
          <t>INV/2026/04691</t>
        </is>
      </c>
      <c r="J1072" s="9">
        <f>ROUND(F1072-G1072-H1072,2)</f>
        <v>0</v>
      </c>
    </row>
    <row r="1073">
      <c r="A1073" t="inlineStr">
        <is>
          <t>po_1Q0038KX</t>
        </is>
      </c>
      <c r="B1073" s="5" t="n">
        <v>46255</v>
      </c>
      <c r="C1073" t="inlineStr">
        <is>
          <t>ch_3Q001067</t>
        </is>
      </c>
      <c r="D1073" t="inlineStr">
        <is>
          <t>charge</t>
        </is>
      </c>
      <c r="E1073" s="5" t="n">
        <v>46253</v>
      </c>
      <c r="F1073" s="9" t="n">
        <v>95</v>
      </c>
      <c r="G1073" s="9" t="n">
        <v>1.96</v>
      </c>
      <c r="H1073" s="9" t="n">
        <v>93.04000000000001</v>
      </c>
      <c r="I1073" t="inlineStr">
        <is>
          <t>INV/2026/04692</t>
        </is>
      </c>
      <c r="J1073" s="9">
        <f>ROUND(F1073-G1073-H1073,2)</f>
        <v>0</v>
      </c>
    </row>
    <row r="1074">
      <c r="A1074" t="inlineStr">
        <is>
          <t>po_1Q0038KX</t>
        </is>
      </c>
      <c r="B1074" s="5" t="n">
        <v>46255</v>
      </c>
      <c r="C1074" t="inlineStr">
        <is>
          <t>ch_3Q001068</t>
        </is>
      </c>
      <c r="D1074" t="inlineStr">
        <is>
          <t>charge</t>
        </is>
      </c>
      <c r="E1074" s="5" t="n">
        <v>46253</v>
      </c>
      <c r="F1074" s="9" t="n">
        <v>85</v>
      </c>
      <c r="G1074" s="9" t="n">
        <v>1.79</v>
      </c>
      <c r="H1074" s="9" t="n">
        <v>83.20999999999999</v>
      </c>
      <c r="I1074" t="inlineStr">
        <is>
          <t>INV/2026/04693</t>
        </is>
      </c>
      <c r="J1074" s="9">
        <f>ROUND(F1074-G1074-H1074,2)</f>
        <v>0</v>
      </c>
    </row>
    <row r="1075">
      <c r="A1075" t="inlineStr">
        <is>
          <t>po_1Q0038KX</t>
        </is>
      </c>
      <c r="B1075" s="5" t="n">
        <v>46255</v>
      </c>
      <c r="C1075" t="inlineStr">
        <is>
          <t>ch_3Q001069</t>
        </is>
      </c>
      <c r="D1075" t="inlineStr">
        <is>
          <t>charge</t>
        </is>
      </c>
      <c r="E1075" s="5" t="n">
        <v>46253</v>
      </c>
      <c r="F1075" s="9" t="n">
        <v>220</v>
      </c>
      <c r="G1075" s="9" t="n">
        <v>4.15</v>
      </c>
      <c r="H1075" s="9" t="n">
        <v>215.85</v>
      </c>
      <c r="I1075" t="inlineStr">
        <is>
          <t>INV/2026/04694</t>
        </is>
      </c>
      <c r="J1075" s="9">
        <f>ROUND(F1075-G1075-H1075,2)</f>
        <v>0</v>
      </c>
    </row>
    <row r="1076">
      <c r="A1076" t="inlineStr">
        <is>
          <t>po_1Q0038KX</t>
        </is>
      </c>
      <c r="B1076" s="5" t="n">
        <v>46255</v>
      </c>
      <c r="C1076" t="inlineStr">
        <is>
          <t>ch_3Q001070</t>
        </is>
      </c>
      <c r="D1076" t="inlineStr">
        <is>
          <t>charge</t>
        </is>
      </c>
      <c r="E1076" s="5" t="n">
        <v>46253</v>
      </c>
      <c r="F1076" s="9" t="n">
        <v>220</v>
      </c>
      <c r="G1076" s="9" t="n">
        <v>4.15</v>
      </c>
      <c r="H1076" s="9" t="n">
        <v>215.85</v>
      </c>
      <c r="I1076" t="inlineStr">
        <is>
          <t>INV/2026/04695</t>
        </is>
      </c>
      <c r="J1076" s="9">
        <f>ROUND(F1076-G1076-H1076,2)</f>
        <v>0</v>
      </c>
    </row>
    <row r="1077">
      <c r="A1077" t="inlineStr">
        <is>
          <t>po_1Q0038KX</t>
        </is>
      </c>
      <c r="B1077" s="5" t="n">
        <v>46255</v>
      </c>
      <c r="C1077" t="inlineStr">
        <is>
          <t>ch_3Q001071</t>
        </is>
      </c>
      <c r="D1077" t="inlineStr">
        <is>
          <t>charge</t>
        </is>
      </c>
      <c r="E1077" s="5" t="n">
        <v>46253</v>
      </c>
      <c r="F1077" s="9" t="n">
        <v>85</v>
      </c>
      <c r="G1077" s="9" t="n">
        <v>1.79</v>
      </c>
      <c r="H1077" s="9" t="n">
        <v>83.20999999999999</v>
      </c>
      <c r="I1077" t="inlineStr">
        <is>
          <t>INV/2026/04696</t>
        </is>
      </c>
      <c r="J1077" s="9">
        <f>ROUND(F1077-G1077-H1077,2)</f>
        <v>0</v>
      </c>
    </row>
    <row r="1078">
      <c r="A1078" t="inlineStr">
        <is>
          <t>po_1Q0038KX</t>
        </is>
      </c>
      <c r="B1078" s="5" t="n">
        <v>46255</v>
      </c>
      <c r="C1078" t="inlineStr">
        <is>
          <t>ch_3Q001072</t>
        </is>
      </c>
      <c r="D1078" t="inlineStr">
        <is>
          <t>charge</t>
        </is>
      </c>
      <c r="E1078" s="5" t="n">
        <v>46253</v>
      </c>
      <c r="F1078" s="9" t="n">
        <v>110</v>
      </c>
      <c r="G1078" s="9" t="n">
        <v>2.23</v>
      </c>
      <c r="H1078" s="9" t="n">
        <v>107.77</v>
      </c>
      <c r="I1078" t="inlineStr">
        <is>
          <t>INV/2026/04697</t>
        </is>
      </c>
      <c r="J1078" s="9">
        <f>ROUND(F1078-G1078-H1078,2)</f>
        <v>0</v>
      </c>
    </row>
    <row r="1079">
      <c r="A1079" t="inlineStr">
        <is>
          <t>po_1Q0038KX</t>
        </is>
      </c>
      <c r="B1079" s="5" t="n">
        <v>46255</v>
      </c>
      <c r="C1079" t="inlineStr">
        <is>
          <t>ch_3Q001073</t>
        </is>
      </c>
      <c r="D1079" t="inlineStr">
        <is>
          <t>charge</t>
        </is>
      </c>
      <c r="E1079" s="5" t="n">
        <v>46253</v>
      </c>
      <c r="F1079" s="9" t="n">
        <v>150</v>
      </c>
      <c r="G1079" s="9" t="n">
        <v>2.93</v>
      </c>
      <c r="H1079" s="9" t="n">
        <v>147.07</v>
      </c>
      <c r="I1079" t="inlineStr">
        <is>
          <t>INV/2026/04698</t>
        </is>
      </c>
      <c r="J1079" s="9">
        <f>ROUND(F1079-G1079-H1079,2)</f>
        <v>0</v>
      </c>
    </row>
    <row r="1080">
      <c r="A1080" t="inlineStr">
        <is>
          <t>po_1Q0038KX</t>
        </is>
      </c>
      <c r="B1080" s="5" t="n">
        <v>46255</v>
      </c>
      <c r="C1080" t="inlineStr">
        <is>
          <t>ch_3Q001074</t>
        </is>
      </c>
      <c r="D1080" t="inlineStr">
        <is>
          <t>charge</t>
        </is>
      </c>
      <c r="E1080" s="5" t="n">
        <v>46253</v>
      </c>
      <c r="F1080" s="9" t="n">
        <v>180</v>
      </c>
      <c r="G1080" s="9" t="n">
        <v>3.45</v>
      </c>
      <c r="H1080" s="9" t="n">
        <v>176.55</v>
      </c>
      <c r="I1080" t="inlineStr">
        <is>
          <t>INV/2026/04699</t>
        </is>
      </c>
      <c r="J1080" s="9">
        <f>ROUND(F1080-G1080-H1080,2)</f>
        <v>0</v>
      </c>
    </row>
    <row r="1081">
      <c r="A1081" t="inlineStr">
        <is>
          <t>po_1Q0038KX</t>
        </is>
      </c>
      <c r="B1081" s="5" t="n">
        <v>46255</v>
      </c>
      <c r="C1081" t="inlineStr">
        <is>
          <t>ch_3Q001075</t>
        </is>
      </c>
      <c r="D1081" t="inlineStr">
        <is>
          <t>charge</t>
        </is>
      </c>
      <c r="E1081" s="5" t="n">
        <v>46253</v>
      </c>
      <c r="F1081" s="9" t="n">
        <v>95</v>
      </c>
      <c r="G1081" s="9" t="n">
        <v>1.96</v>
      </c>
      <c r="H1081" s="9" t="n">
        <v>93.04000000000001</v>
      </c>
      <c r="I1081" t="inlineStr">
        <is>
          <t>INV/2026/04700</t>
        </is>
      </c>
      <c r="J1081" s="9">
        <f>ROUND(F1081-G1081-H1081,2)</f>
        <v>0</v>
      </c>
    </row>
    <row r="1082">
      <c r="A1082" t="inlineStr">
        <is>
          <t>po_1Q0038KX</t>
        </is>
      </c>
      <c r="B1082" s="5" t="n">
        <v>46255</v>
      </c>
      <c r="C1082" t="inlineStr">
        <is>
          <t>ch_3Q001076</t>
        </is>
      </c>
      <c r="D1082" t="inlineStr">
        <is>
          <t>charge</t>
        </is>
      </c>
      <c r="E1082" s="5" t="n">
        <v>46253</v>
      </c>
      <c r="F1082" s="9" t="n">
        <v>220</v>
      </c>
      <c r="G1082" s="9" t="n">
        <v>4.15</v>
      </c>
      <c r="H1082" s="9" t="n">
        <v>215.85</v>
      </c>
      <c r="I1082" t="inlineStr">
        <is>
          <t>INV/2026/04701</t>
        </is>
      </c>
      <c r="J1082" s="9">
        <f>ROUND(F1082-G1082-H1082,2)</f>
        <v>0</v>
      </c>
    </row>
    <row r="1083">
      <c r="A1083" t="inlineStr">
        <is>
          <t>po_1Q0038KX</t>
        </is>
      </c>
      <c r="B1083" s="5" t="n">
        <v>46255</v>
      </c>
      <c r="C1083" t="inlineStr">
        <is>
          <t>ch_3Q001077</t>
        </is>
      </c>
      <c r="D1083" t="inlineStr">
        <is>
          <t>charge</t>
        </is>
      </c>
      <c r="E1083" s="5" t="n">
        <v>46253</v>
      </c>
      <c r="F1083" s="9" t="n">
        <v>65</v>
      </c>
      <c r="G1083" s="9" t="n">
        <v>1.44</v>
      </c>
      <c r="H1083" s="9" t="n">
        <v>63.56</v>
      </c>
      <c r="I1083" t="inlineStr">
        <is>
          <t>INV/2026/04702</t>
        </is>
      </c>
      <c r="J1083" s="9">
        <f>ROUND(F1083-G1083-H1083,2)</f>
        <v>0</v>
      </c>
    </row>
    <row r="1084">
      <c r="A1084" t="inlineStr">
        <is>
          <t>po_1Q0038KX</t>
        </is>
      </c>
      <c r="B1084" s="5" t="n">
        <v>46255</v>
      </c>
      <c r="C1084" t="inlineStr">
        <is>
          <t>ch_3Q001078</t>
        </is>
      </c>
      <c r="D1084" t="inlineStr">
        <is>
          <t>charge</t>
        </is>
      </c>
      <c r="E1084" s="5" t="n">
        <v>46253</v>
      </c>
      <c r="F1084" s="9" t="n">
        <v>95</v>
      </c>
      <c r="G1084" s="9" t="n">
        <v>1.96</v>
      </c>
      <c r="H1084" s="9" t="n">
        <v>93.04000000000001</v>
      </c>
      <c r="I1084" t="inlineStr">
        <is>
          <t>INV/2026/04703</t>
        </is>
      </c>
      <c r="J1084" s="9">
        <f>ROUND(F1084-G1084-H1084,2)</f>
        <v>0</v>
      </c>
    </row>
    <row r="1085">
      <c r="A1085" t="inlineStr">
        <is>
          <t>po_1Q0038KX</t>
        </is>
      </c>
      <c r="B1085" s="5" t="n">
        <v>46255</v>
      </c>
      <c r="C1085" t="inlineStr">
        <is>
          <t>ch_3Q001079</t>
        </is>
      </c>
      <c r="D1085" t="inlineStr">
        <is>
          <t>charge</t>
        </is>
      </c>
      <c r="E1085" s="5" t="n">
        <v>46253</v>
      </c>
      <c r="F1085" s="9" t="n">
        <v>220</v>
      </c>
      <c r="G1085" s="9" t="n">
        <v>4.15</v>
      </c>
      <c r="H1085" s="9" t="n">
        <v>215.85</v>
      </c>
      <c r="I1085" t="inlineStr">
        <is>
          <t>INV/2026/04704</t>
        </is>
      </c>
      <c r="J1085" s="9">
        <f>ROUND(F1085-G1085-H1085,2)</f>
        <v>0</v>
      </c>
    </row>
    <row r="1086">
      <c r="A1086" t="inlineStr">
        <is>
          <t>po_1Q0038KX</t>
        </is>
      </c>
      <c r="B1086" s="5" t="n">
        <v>46255</v>
      </c>
      <c r="C1086" t="inlineStr">
        <is>
          <t>ch_3Q001080</t>
        </is>
      </c>
      <c r="D1086" t="inlineStr">
        <is>
          <t>charge</t>
        </is>
      </c>
      <c r="E1086" s="5" t="n">
        <v>46253</v>
      </c>
      <c r="F1086" s="9" t="n">
        <v>135</v>
      </c>
      <c r="G1086" s="9" t="n">
        <v>2.66</v>
      </c>
      <c r="H1086" s="9" t="n">
        <v>132.34</v>
      </c>
      <c r="I1086" t="inlineStr">
        <is>
          <t>INV/2026/04705</t>
        </is>
      </c>
      <c r="J1086" s="9">
        <f>ROUND(F1086-G1086-H1086,2)</f>
        <v>0</v>
      </c>
    </row>
    <row r="1087">
      <c r="A1087" t="inlineStr">
        <is>
          <t>po_1Q0038KX</t>
        </is>
      </c>
      <c r="B1087" s="5" t="n">
        <v>46255</v>
      </c>
      <c r="C1087" t="inlineStr">
        <is>
          <t>ch_3Q001081</t>
        </is>
      </c>
      <c r="D1087" t="inlineStr">
        <is>
          <t>charge</t>
        </is>
      </c>
      <c r="E1087" s="5" t="n">
        <v>46253</v>
      </c>
      <c r="F1087" s="9" t="n">
        <v>180</v>
      </c>
      <c r="G1087" s="9" t="n">
        <v>3.45</v>
      </c>
      <c r="H1087" s="9" t="n">
        <v>176.55</v>
      </c>
      <c r="I1087" t="inlineStr">
        <is>
          <t>INV/2026/04706</t>
        </is>
      </c>
      <c r="J1087" s="9">
        <f>ROUND(F1087-G1087-H1087,2)</f>
        <v>0</v>
      </c>
    </row>
    <row r="1088">
      <c r="A1088" t="inlineStr">
        <is>
          <t>po_1Q0038KX</t>
        </is>
      </c>
      <c r="B1088" s="5" t="n">
        <v>46255</v>
      </c>
      <c r="C1088" t="inlineStr">
        <is>
          <t>ch_3Q001082</t>
        </is>
      </c>
      <c r="D1088" t="inlineStr">
        <is>
          <t>charge</t>
        </is>
      </c>
      <c r="E1088" s="5" t="n">
        <v>46253</v>
      </c>
      <c r="F1088" s="9" t="n">
        <v>95</v>
      </c>
      <c r="G1088" s="9" t="n">
        <v>1.96</v>
      </c>
      <c r="H1088" s="9" t="n">
        <v>93.04000000000001</v>
      </c>
      <c r="I1088" t="inlineStr">
        <is>
          <t>INV/2026/04707</t>
        </is>
      </c>
      <c r="J1088" s="9">
        <f>ROUND(F1088-G1088-H1088,2)</f>
        <v>0</v>
      </c>
    </row>
    <row r="1089">
      <c r="A1089" t="inlineStr">
        <is>
          <t>po_1Q0038KX</t>
        </is>
      </c>
      <c r="B1089" s="5" t="n">
        <v>46255</v>
      </c>
      <c r="C1089" t="inlineStr">
        <is>
          <t>ch_3Q001083</t>
        </is>
      </c>
      <c r="D1089" t="inlineStr">
        <is>
          <t>charge</t>
        </is>
      </c>
      <c r="E1089" s="5" t="n">
        <v>46253</v>
      </c>
      <c r="F1089" s="9" t="n">
        <v>220</v>
      </c>
      <c r="G1089" s="9" t="n">
        <v>4.15</v>
      </c>
      <c r="H1089" s="9" t="n">
        <v>215.85</v>
      </c>
      <c r="I1089" t="inlineStr">
        <is>
          <t>INV/2026/04708</t>
        </is>
      </c>
      <c r="J1089" s="9">
        <f>ROUND(F1089-G1089-H1089,2)</f>
        <v>0</v>
      </c>
    </row>
    <row r="1090">
      <c r="A1090" t="inlineStr">
        <is>
          <t>po_1Q0038KX</t>
        </is>
      </c>
      <c r="B1090" s="5" t="n">
        <v>46255</v>
      </c>
      <c r="C1090" t="inlineStr">
        <is>
          <t>ch_3Q001084</t>
        </is>
      </c>
      <c r="D1090" t="inlineStr">
        <is>
          <t>charge</t>
        </is>
      </c>
      <c r="E1090" s="5" t="n">
        <v>46253</v>
      </c>
      <c r="F1090" s="9" t="n">
        <v>85</v>
      </c>
      <c r="G1090" s="9" t="n">
        <v>1.79</v>
      </c>
      <c r="H1090" s="9" t="n">
        <v>83.20999999999999</v>
      </c>
      <c r="I1090" t="inlineStr">
        <is>
          <t>INV/2026/04709</t>
        </is>
      </c>
      <c r="J1090" s="9">
        <f>ROUND(F1090-G1090-H1090,2)</f>
        <v>0</v>
      </c>
    </row>
    <row r="1091">
      <c r="A1091" t="inlineStr">
        <is>
          <t>po_1Q0038KX</t>
        </is>
      </c>
      <c r="B1091" s="5" t="n">
        <v>46255</v>
      </c>
      <c r="C1091" t="inlineStr">
        <is>
          <t>ch_3Q001085</t>
        </is>
      </c>
      <c r="D1091" t="inlineStr">
        <is>
          <t>charge</t>
        </is>
      </c>
      <c r="E1091" s="5" t="n">
        <v>46253</v>
      </c>
      <c r="F1091" s="9" t="n">
        <v>95</v>
      </c>
      <c r="G1091" s="9" t="n">
        <v>1.96</v>
      </c>
      <c r="H1091" s="9" t="n">
        <v>93.04000000000001</v>
      </c>
      <c r="I1091" t="inlineStr">
        <is>
          <t>INV/2026/04710</t>
        </is>
      </c>
      <c r="J1091" s="9">
        <f>ROUND(F1091-G1091-H1091,2)</f>
        <v>0</v>
      </c>
    </row>
    <row r="1092">
      <c r="A1092" t="inlineStr">
        <is>
          <t>po_1Q0038KX</t>
        </is>
      </c>
      <c r="B1092" s="5" t="n">
        <v>46255</v>
      </c>
      <c r="C1092" t="inlineStr">
        <is>
          <t>ch_3Q001086</t>
        </is>
      </c>
      <c r="D1092" t="inlineStr">
        <is>
          <t>charge</t>
        </is>
      </c>
      <c r="E1092" s="5" t="n">
        <v>46253</v>
      </c>
      <c r="F1092" s="9" t="n">
        <v>85</v>
      </c>
      <c r="G1092" s="9" t="n">
        <v>1.79</v>
      </c>
      <c r="H1092" s="9" t="n">
        <v>83.20999999999999</v>
      </c>
      <c r="I1092" t="inlineStr">
        <is>
          <t>INV/2026/04711</t>
        </is>
      </c>
      <c r="J1092" s="9">
        <f>ROUND(F1092-G1092-H1092,2)</f>
        <v>0</v>
      </c>
    </row>
    <row r="1093">
      <c r="A1093" t="inlineStr">
        <is>
          <t>po_1Q0038KX</t>
        </is>
      </c>
      <c r="B1093" s="5" t="n">
        <v>46255</v>
      </c>
      <c r="C1093" t="inlineStr">
        <is>
          <t>ch_3Q001087</t>
        </is>
      </c>
      <c r="D1093" t="inlineStr">
        <is>
          <t>charge</t>
        </is>
      </c>
      <c r="E1093" s="5" t="n">
        <v>46253</v>
      </c>
      <c r="F1093" s="9" t="n">
        <v>150</v>
      </c>
      <c r="G1093" s="9" t="n">
        <v>2.93</v>
      </c>
      <c r="H1093" s="9" t="n">
        <v>147.07</v>
      </c>
      <c r="I1093" t="inlineStr">
        <is>
          <t>INV/2026/04712</t>
        </is>
      </c>
      <c r="J1093" s="9">
        <f>ROUND(F1093-G1093-H1093,2)</f>
        <v>0</v>
      </c>
    </row>
    <row r="1094">
      <c r="A1094" t="inlineStr">
        <is>
          <t>po_1Q0038KX</t>
        </is>
      </c>
      <c r="B1094" s="5" t="n">
        <v>46255</v>
      </c>
      <c r="C1094" t="inlineStr">
        <is>
          <t>ch_3Q001088</t>
        </is>
      </c>
      <c r="D1094" t="inlineStr">
        <is>
          <t>charge</t>
        </is>
      </c>
      <c r="E1094" s="5" t="n">
        <v>46253</v>
      </c>
      <c r="F1094" s="9" t="n">
        <v>85</v>
      </c>
      <c r="G1094" s="9" t="n">
        <v>1.79</v>
      </c>
      <c r="H1094" s="9" t="n">
        <v>83.20999999999999</v>
      </c>
      <c r="I1094" t="inlineStr">
        <is>
          <t>INV/2026/04713</t>
        </is>
      </c>
      <c r="J1094" s="9">
        <f>ROUND(F1094-G1094-H1094,2)</f>
        <v>0</v>
      </c>
    </row>
    <row r="1095">
      <c r="A1095" t="inlineStr">
        <is>
          <t>po_1Q0038KX</t>
        </is>
      </c>
      <c r="B1095" s="5" t="n">
        <v>46255</v>
      </c>
      <c r="C1095" t="inlineStr">
        <is>
          <t>ch_3Q001089</t>
        </is>
      </c>
      <c r="D1095" t="inlineStr">
        <is>
          <t>charge</t>
        </is>
      </c>
      <c r="E1095" s="5" t="n">
        <v>46253</v>
      </c>
      <c r="F1095" s="9" t="n">
        <v>150</v>
      </c>
      <c r="G1095" s="9" t="n">
        <v>2.93</v>
      </c>
      <c r="H1095" s="9" t="n">
        <v>147.07</v>
      </c>
      <c r="I1095" t="inlineStr">
        <is>
          <t>INV/2026/04714</t>
        </is>
      </c>
      <c r="J1095" s="9">
        <f>ROUND(F1095-G1095-H1095,2)</f>
        <v>0</v>
      </c>
    </row>
    <row r="1096">
      <c r="A1096" t="inlineStr">
        <is>
          <t>po_1Q0038KX</t>
        </is>
      </c>
      <c r="B1096" s="5" t="n">
        <v>46255</v>
      </c>
      <c r="C1096" t="inlineStr">
        <is>
          <t>ch_3Q001090</t>
        </is>
      </c>
      <c r="D1096" t="inlineStr">
        <is>
          <t>charge</t>
        </is>
      </c>
      <c r="E1096" s="5" t="n">
        <v>46253</v>
      </c>
      <c r="F1096" s="9" t="n">
        <v>220</v>
      </c>
      <c r="G1096" s="9" t="n">
        <v>4.15</v>
      </c>
      <c r="H1096" s="9" t="n">
        <v>215.85</v>
      </c>
      <c r="I1096" t="inlineStr">
        <is>
          <t>INV/2026/04715</t>
        </is>
      </c>
      <c r="J1096" s="9">
        <f>ROUND(F1096-G1096-H1096,2)</f>
        <v>0</v>
      </c>
    </row>
    <row r="1097">
      <c r="A1097" t="inlineStr">
        <is>
          <t>po_1Q0039KX</t>
        </is>
      </c>
      <c r="B1097" s="5" t="n">
        <v>46258</v>
      </c>
      <c r="C1097" t="inlineStr">
        <is>
          <t>ch_3Q001091</t>
        </is>
      </c>
      <c r="D1097" t="inlineStr">
        <is>
          <t>charge</t>
        </is>
      </c>
      <c r="E1097" s="5" t="n">
        <v>46254</v>
      </c>
      <c r="F1097" s="9" t="n">
        <v>85</v>
      </c>
      <c r="G1097" s="9" t="n">
        <v>1.79</v>
      </c>
      <c r="H1097" s="9" t="n">
        <v>83.20999999999999</v>
      </c>
      <c r="I1097" t="inlineStr">
        <is>
          <t>INV/2026/04716</t>
        </is>
      </c>
      <c r="J1097" s="9">
        <f>ROUND(F1097-G1097-H1097,2)</f>
        <v>0</v>
      </c>
    </row>
    <row r="1098">
      <c r="A1098" t="inlineStr">
        <is>
          <t>po_1Q0039KX</t>
        </is>
      </c>
      <c r="B1098" s="5" t="n">
        <v>46258</v>
      </c>
      <c r="C1098" t="inlineStr">
        <is>
          <t>ch_3Q001092</t>
        </is>
      </c>
      <c r="D1098" t="inlineStr">
        <is>
          <t>charge</t>
        </is>
      </c>
      <c r="E1098" s="5" t="n">
        <v>46254</v>
      </c>
      <c r="F1098" s="9" t="n">
        <v>110</v>
      </c>
      <c r="G1098" s="9" t="n">
        <v>2.23</v>
      </c>
      <c r="H1098" s="9" t="n">
        <v>107.77</v>
      </c>
      <c r="I1098" t="inlineStr">
        <is>
          <t>INV/2026/04717</t>
        </is>
      </c>
      <c r="J1098" s="9">
        <f>ROUND(F1098-G1098-H1098,2)</f>
        <v>0</v>
      </c>
    </row>
    <row r="1099">
      <c r="A1099" t="inlineStr">
        <is>
          <t>po_1Q0039KX</t>
        </is>
      </c>
      <c r="B1099" s="5" t="n">
        <v>46258</v>
      </c>
      <c r="C1099" t="inlineStr">
        <is>
          <t>ch_3Q001093</t>
        </is>
      </c>
      <c r="D1099" t="inlineStr">
        <is>
          <t>charge</t>
        </is>
      </c>
      <c r="E1099" s="5" t="n">
        <v>46254</v>
      </c>
      <c r="F1099" s="9" t="n">
        <v>135</v>
      </c>
      <c r="G1099" s="9" t="n">
        <v>2.66</v>
      </c>
      <c r="H1099" s="9" t="n">
        <v>132.34</v>
      </c>
      <c r="I1099" t="inlineStr">
        <is>
          <t>INV/2026/04718</t>
        </is>
      </c>
      <c r="J1099" s="9">
        <f>ROUND(F1099-G1099-H1099,2)</f>
        <v>0</v>
      </c>
    </row>
    <row r="1100">
      <c r="A1100" t="inlineStr">
        <is>
          <t>po_1Q0039KX</t>
        </is>
      </c>
      <c r="B1100" s="5" t="n">
        <v>46258</v>
      </c>
      <c r="C1100" t="inlineStr">
        <is>
          <t>ch_3Q001094</t>
        </is>
      </c>
      <c r="D1100" t="inlineStr">
        <is>
          <t>charge</t>
        </is>
      </c>
      <c r="E1100" s="5" t="n">
        <v>46254</v>
      </c>
      <c r="F1100" s="9" t="n">
        <v>95</v>
      </c>
      <c r="G1100" s="9" t="n">
        <v>1.96</v>
      </c>
      <c r="H1100" s="9" t="n">
        <v>93.04000000000001</v>
      </c>
      <c r="I1100" t="inlineStr">
        <is>
          <t>INV/2026/04719</t>
        </is>
      </c>
      <c r="J1100" s="9">
        <f>ROUND(F1100-G1100-H1100,2)</f>
        <v>0</v>
      </c>
    </row>
    <row r="1101">
      <c r="A1101" t="inlineStr">
        <is>
          <t>po_1Q0039KX</t>
        </is>
      </c>
      <c r="B1101" s="5" t="n">
        <v>46258</v>
      </c>
      <c r="C1101" t="inlineStr">
        <is>
          <t>ch_3Q001095</t>
        </is>
      </c>
      <c r="D1101" t="inlineStr">
        <is>
          <t>charge</t>
        </is>
      </c>
      <c r="E1101" s="5" t="n">
        <v>46254</v>
      </c>
      <c r="F1101" s="9" t="n">
        <v>110</v>
      </c>
      <c r="G1101" s="9" t="n">
        <v>2.23</v>
      </c>
      <c r="H1101" s="9" t="n">
        <v>107.77</v>
      </c>
      <c r="I1101" t="inlineStr">
        <is>
          <t>INV/2026/04720</t>
        </is>
      </c>
      <c r="J1101" s="9">
        <f>ROUND(F1101-G1101-H1101,2)</f>
        <v>0</v>
      </c>
    </row>
    <row r="1102">
      <c r="A1102" t="inlineStr">
        <is>
          <t>po_1Q0039KX</t>
        </is>
      </c>
      <c r="B1102" s="5" t="n">
        <v>46258</v>
      </c>
      <c r="C1102" t="inlineStr">
        <is>
          <t>ch_3Q001096</t>
        </is>
      </c>
      <c r="D1102" t="inlineStr">
        <is>
          <t>charge</t>
        </is>
      </c>
      <c r="E1102" s="5" t="n">
        <v>46254</v>
      </c>
      <c r="F1102" s="9" t="n">
        <v>110</v>
      </c>
      <c r="G1102" s="9" t="n">
        <v>2.23</v>
      </c>
      <c r="H1102" s="9" t="n">
        <v>107.77</v>
      </c>
      <c r="I1102" t="inlineStr">
        <is>
          <t>INV/2026/04721</t>
        </is>
      </c>
      <c r="J1102" s="9">
        <f>ROUND(F1102-G1102-H1102,2)</f>
        <v>0</v>
      </c>
    </row>
    <row r="1103">
      <c r="A1103" t="inlineStr">
        <is>
          <t>po_1Q0039KX</t>
        </is>
      </c>
      <c r="B1103" s="5" t="n">
        <v>46258</v>
      </c>
      <c r="C1103" t="inlineStr">
        <is>
          <t>ch_3Q001097</t>
        </is>
      </c>
      <c r="D1103" t="inlineStr">
        <is>
          <t>charge</t>
        </is>
      </c>
      <c r="E1103" s="5" t="n">
        <v>46254</v>
      </c>
      <c r="F1103" s="9" t="n">
        <v>150</v>
      </c>
      <c r="G1103" s="9" t="n">
        <v>2.93</v>
      </c>
      <c r="H1103" s="9" t="n">
        <v>147.07</v>
      </c>
      <c r="I1103" t="inlineStr">
        <is>
          <t>INV/2026/04722</t>
        </is>
      </c>
      <c r="J1103" s="9">
        <f>ROUND(F1103-G1103-H1103,2)</f>
        <v>0</v>
      </c>
    </row>
    <row r="1104">
      <c r="A1104" t="inlineStr">
        <is>
          <t>po_1Q0039KX</t>
        </is>
      </c>
      <c r="B1104" s="5" t="n">
        <v>46258</v>
      </c>
      <c r="C1104" t="inlineStr">
        <is>
          <t>ch_3Q001098</t>
        </is>
      </c>
      <c r="D1104" t="inlineStr">
        <is>
          <t>charge</t>
        </is>
      </c>
      <c r="E1104" s="5" t="n">
        <v>46254</v>
      </c>
      <c r="F1104" s="9" t="n">
        <v>180</v>
      </c>
      <c r="G1104" s="9" t="n">
        <v>3.45</v>
      </c>
      <c r="H1104" s="9" t="n">
        <v>176.55</v>
      </c>
      <c r="I1104" t="inlineStr">
        <is>
          <t>INV/2026/04723</t>
        </is>
      </c>
      <c r="J1104" s="9">
        <f>ROUND(F1104-G1104-H1104,2)</f>
        <v>0</v>
      </c>
    </row>
    <row r="1105">
      <c r="A1105" t="inlineStr">
        <is>
          <t>po_1Q0039KX</t>
        </is>
      </c>
      <c r="B1105" s="5" t="n">
        <v>46258</v>
      </c>
      <c r="C1105" t="inlineStr">
        <is>
          <t>ch_3Q001099</t>
        </is>
      </c>
      <c r="D1105" t="inlineStr">
        <is>
          <t>charge</t>
        </is>
      </c>
      <c r="E1105" s="5" t="n">
        <v>46254</v>
      </c>
      <c r="F1105" s="9" t="n">
        <v>150</v>
      </c>
      <c r="G1105" s="9" t="n">
        <v>2.93</v>
      </c>
      <c r="H1105" s="9" t="n">
        <v>147.07</v>
      </c>
      <c r="I1105" t="inlineStr">
        <is>
          <t>INV/2026/04724</t>
        </is>
      </c>
      <c r="J1105" s="9">
        <f>ROUND(F1105-G1105-H1105,2)</f>
        <v>0</v>
      </c>
    </row>
    <row r="1106">
      <c r="A1106" t="inlineStr">
        <is>
          <t>po_1Q0039KX</t>
        </is>
      </c>
      <c r="B1106" s="5" t="n">
        <v>46258</v>
      </c>
      <c r="C1106" t="inlineStr">
        <is>
          <t>ch_3Q001100</t>
        </is>
      </c>
      <c r="D1106" t="inlineStr">
        <is>
          <t>charge</t>
        </is>
      </c>
      <c r="E1106" s="5" t="n">
        <v>46254</v>
      </c>
      <c r="F1106" s="9" t="n">
        <v>150</v>
      </c>
      <c r="G1106" s="9" t="n">
        <v>2.93</v>
      </c>
      <c r="H1106" s="9" t="n">
        <v>147.07</v>
      </c>
      <c r="I1106" t="inlineStr">
        <is>
          <t>INV/2026/04725</t>
        </is>
      </c>
      <c r="J1106" s="9">
        <f>ROUND(F1106-G1106-H1106,2)</f>
        <v>0</v>
      </c>
    </row>
    <row r="1107">
      <c r="A1107" t="inlineStr">
        <is>
          <t>po_1Q0039KX</t>
        </is>
      </c>
      <c r="B1107" s="5" t="n">
        <v>46258</v>
      </c>
      <c r="C1107" t="inlineStr">
        <is>
          <t>ch_3Q001101</t>
        </is>
      </c>
      <c r="D1107" t="inlineStr">
        <is>
          <t>charge</t>
        </is>
      </c>
      <c r="E1107" s="5" t="n">
        <v>46254</v>
      </c>
      <c r="F1107" s="9" t="n">
        <v>95</v>
      </c>
      <c r="G1107" s="9" t="n">
        <v>1.96</v>
      </c>
      <c r="H1107" s="9" t="n">
        <v>93.04000000000001</v>
      </c>
      <c r="I1107" t="inlineStr">
        <is>
          <t>INV/2026/04726</t>
        </is>
      </c>
      <c r="J1107" s="9">
        <f>ROUND(F1107-G1107-H1107,2)</f>
        <v>0</v>
      </c>
    </row>
    <row r="1108">
      <c r="A1108" t="inlineStr">
        <is>
          <t>po_1Q0039KX</t>
        </is>
      </c>
      <c r="B1108" s="5" t="n">
        <v>46258</v>
      </c>
      <c r="C1108" t="inlineStr">
        <is>
          <t>ch_3Q001102</t>
        </is>
      </c>
      <c r="D1108" t="inlineStr">
        <is>
          <t>charge</t>
        </is>
      </c>
      <c r="E1108" s="5" t="n">
        <v>46254</v>
      </c>
      <c r="F1108" s="9" t="n">
        <v>65</v>
      </c>
      <c r="G1108" s="9" t="n">
        <v>1.44</v>
      </c>
      <c r="H1108" s="9" t="n">
        <v>63.56</v>
      </c>
      <c r="I1108" t="inlineStr">
        <is>
          <t>INV/2026/04727</t>
        </is>
      </c>
      <c r="J1108" s="9">
        <f>ROUND(F1108-G1108-H1108,2)</f>
        <v>0</v>
      </c>
    </row>
    <row r="1109">
      <c r="A1109" t="inlineStr">
        <is>
          <t>po_1Q0039KX</t>
        </is>
      </c>
      <c r="B1109" s="5" t="n">
        <v>46258</v>
      </c>
      <c r="C1109" t="inlineStr">
        <is>
          <t>ch_3Q001103</t>
        </is>
      </c>
      <c r="D1109" t="inlineStr">
        <is>
          <t>charge</t>
        </is>
      </c>
      <c r="E1109" s="5" t="n">
        <v>46254</v>
      </c>
      <c r="F1109" s="9" t="n">
        <v>180</v>
      </c>
      <c r="G1109" s="9" t="n">
        <v>3.45</v>
      </c>
      <c r="H1109" s="9" t="n">
        <v>176.55</v>
      </c>
      <c r="I1109" t="inlineStr">
        <is>
          <t>INV/2026/04728</t>
        </is>
      </c>
      <c r="J1109" s="9">
        <f>ROUND(F1109-G1109-H1109,2)</f>
        <v>0</v>
      </c>
    </row>
    <row r="1110">
      <c r="A1110" t="inlineStr">
        <is>
          <t>po_1Q0039KX</t>
        </is>
      </c>
      <c r="B1110" s="5" t="n">
        <v>46258</v>
      </c>
      <c r="C1110" t="inlineStr">
        <is>
          <t>ch_3Q001104</t>
        </is>
      </c>
      <c r="D1110" t="inlineStr">
        <is>
          <t>charge</t>
        </is>
      </c>
      <c r="E1110" s="5" t="n">
        <v>46254</v>
      </c>
      <c r="F1110" s="9" t="n">
        <v>150</v>
      </c>
      <c r="G1110" s="9" t="n">
        <v>2.93</v>
      </c>
      <c r="H1110" s="9" t="n">
        <v>147.07</v>
      </c>
      <c r="I1110" t="inlineStr">
        <is>
          <t>INV/2026/04729</t>
        </is>
      </c>
      <c r="J1110" s="9">
        <f>ROUND(F1110-G1110-H1110,2)</f>
        <v>0</v>
      </c>
    </row>
    <row r="1111">
      <c r="A1111" t="inlineStr">
        <is>
          <t>po_1Q0039KX</t>
        </is>
      </c>
      <c r="B1111" s="5" t="n">
        <v>46258</v>
      </c>
      <c r="C1111" t="inlineStr">
        <is>
          <t>ch_3Q001105</t>
        </is>
      </c>
      <c r="D1111" t="inlineStr">
        <is>
          <t>charge</t>
        </is>
      </c>
      <c r="E1111" s="5" t="n">
        <v>46254</v>
      </c>
      <c r="F1111" s="9" t="n">
        <v>65</v>
      </c>
      <c r="G1111" s="9" t="n">
        <v>1.44</v>
      </c>
      <c r="H1111" s="9" t="n">
        <v>63.56</v>
      </c>
      <c r="I1111" t="inlineStr">
        <is>
          <t>INV/2026/04730</t>
        </is>
      </c>
      <c r="J1111" s="9">
        <f>ROUND(F1111-G1111-H1111,2)</f>
        <v>0</v>
      </c>
    </row>
    <row r="1112">
      <c r="A1112" t="inlineStr">
        <is>
          <t>po_1Q0039KX</t>
        </is>
      </c>
      <c r="B1112" s="5" t="n">
        <v>46258</v>
      </c>
      <c r="C1112" t="inlineStr">
        <is>
          <t>ch_3Q001106</t>
        </is>
      </c>
      <c r="D1112" t="inlineStr">
        <is>
          <t>charge</t>
        </is>
      </c>
      <c r="E1112" s="5" t="n">
        <v>46254</v>
      </c>
      <c r="F1112" s="9" t="n">
        <v>180</v>
      </c>
      <c r="G1112" s="9" t="n">
        <v>3.45</v>
      </c>
      <c r="H1112" s="9" t="n">
        <v>176.55</v>
      </c>
      <c r="I1112" t="inlineStr">
        <is>
          <t>INV/2026/04731</t>
        </is>
      </c>
      <c r="J1112" s="9">
        <f>ROUND(F1112-G1112-H1112,2)</f>
        <v>0</v>
      </c>
    </row>
    <row r="1113">
      <c r="A1113" t="inlineStr">
        <is>
          <t>po_1Q0039KX</t>
        </is>
      </c>
      <c r="B1113" s="5" t="n">
        <v>46258</v>
      </c>
      <c r="C1113" t="inlineStr">
        <is>
          <t>ch_3Q001107</t>
        </is>
      </c>
      <c r="D1113" t="inlineStr">
        <is>
          <t>charge</t>
        </is>
      </c>
      <c r="E1113" s="5" t="n">
        <v>46254</v>
      </c>
      <c r="F1113" s="9" t="n">
        <v>85</v>
      </c>
      <c r="G1113" s="9" t="n">
        <v>1.79</v>
      </c>
      <c r="H1113" s="9" t="n">
        <v>83.20999999999999</v>
      </c>
      <c r="I1113" t="inlineStr">
        <is>
          <t>INV/2026/04732</t>
        </is>
      </c>
      <c r="J1113" s="9">
        <f>ROUND(F1113-G1113-H1113,2)</f>
        <v>0</v>
      </c>
    </row>
    <row r="1114">
      <c r="A1114" t="inlineStr">
        <is>
          <t>po_1Q0039KX</t>
        </is>
      </c>
      <c r="B1114" s="5" t="n">
        <v>46258</v>
      </c>
      <c r="C1114" t="inlineStr">
        <is>
          <t>ch_3Q001108</t>
        </is>
      </c>
      <c r="D1114" t="inlineStr">
        <is>
          <t>charge</t>
        </is>
      </c>
      <c r="E1114" s="5" t="n">
        <v>46254</v>
      </c>
      <c r="F1114" s="9" t="n">
        <v>65</v>
      </c>
      <c r="G1114" s="9" t="n">
        <v>1.44</v>
      </c>
      <c r="H1114" s="9" t="n">
        <v>63.56</v>
      </c>
      <c r="I1114" t="inlineStr">
        <is>
          <t>INV/2026/04733</t>
        </is>
      </c>
      <c r="J1114" s="9">
        <f>ROUND(F1114-G1114-H1114,2)</f>
        <v>0</v>
      </c>
    </row>
    <row r="1115">
      <c r="A1115" t="inlineStr">
        <is>
          <t>po_1Q0039KX</t>
        </is>
      </c>
      <c r="B1115" s="5" t="n">
        <v>46258</v>
      </c>
      <c r="C1115" t="inlineStr">
        <is>
          <t>ch_3Q001109</t>
        </is>
      </c>
      <c r="D1115" t="inlineStr">
        <is>
          <t>charge</t>
        </is>
      </c>
      <c r="E1115" s="5" t="n">
        <v>46254</v>
      </c>
      <c r="F1115" s="9" t="n">
        <v>220</v>
      </c>
      <c r="G1115" s="9" t="n">
        <v>4.15</v>
      </c>
      <c r="H1115" s="9" t="n">
        <v>215.85</v>
      </c>
      <c r="I1115" t="inlineStr">
        <is>
          <t>INV/2026/04734</t>
        </is>
      </c>
      <c r="J1115" s="9">
        <f>ROUND(F1115-G1115-H1115,2)</f>
        <v>0</v>
      </c>
    </row>
    <row r="1116">
      <c r="A1116" t="inlineStr">
        <is>
          <t>po_1Q0039KX</t>
        </is>
      </c>
      <c r="B1116" s="5" t="n">
        <v>46258</v>
      </c>
      <c r="C1116" t="inlineStr">
        <is>
          <t>ch_3Q001110</t>
        </is>
      </c>
      <c r="D1116" t="inlineStr">
        <is>
          <t>charge</t>
        </is>
      </c>
      <c r="E1116" s="5" t="n">
        <v>46254</v>
      </c>
      <c r="F1116" s="9" t="n">
        <v>120</v>
      </c>
      <c r="G1116" s="9" t="n">
        <v>2.4</v>
      </c>
      <c r="H1116" s="9" t="n">
        <v>117.6</v>
      </c>
      <c r="I1116" t="inlineStr">
        <is>
          <t>INV/2026/04735</t>
        </is>
      </c>
      <c r="J1116" s="9">
        <f>ROUND(F1116-G1116-H1116,2)</f>
        <v>0</v>
      </c>
    </row>
    <row r="1117">
      <c r="A1117" t="inlineStr">
        <is>
          <t>po_1Q0039KX</t>
        </is>
      </c>
      <c r="B1117" s="5" t="n">
        <v>46258</v>
      </c>
      <c r="C1117" t="inlineStr">
        <is>
          <t>ch_3Q001111</t>
        </is>
      </c>
      <c r="D1117" t="inlineStr">
        <is>
          <t>charge</t>
        </is>
      </c>
      <c r="E1117" s="5" t="n">
        <v>46254</v>
      </c>
      <c r="F1117" s="9" t="n">
        <v>180</v>
      </c>
      <c r="G1117" s="9" t="n">
        <v>3.45</v>
      </c>
      <c r="H1117" s="9" t="n">
        <v>176.55</v>
      </c>
      <c r="I1117" t="inlineStr">
        <is>
          <t>INV/2026/04736</t>
        </is>
      </c>
      <c r="J1117" s="9">
        <f>ROUND(F1117-G1117-H1117,2)</f>
        <v>0</v>
      </c>
    </row>
    <row r="1118">
      <c r="A1118" t="inlineStr">
        <is>
          <t>po_1Q0039KX</t>
        </is>
      </c>
      <c r="B1118" s="5" t="n">
        <v>46258</v>
      </c>
      <c r="C1118" t="inlineStr">
        <is>
          <t>ch_3Q001112</t>
        </is>
      </c>
      <c r="D1118" t="inlineStr">
        <is>
          <t>charge</t>
        </is>
      </c>
      <c r="E1118" s="5" t="n">
        <v>46254</v>
      </c>
      <c r="F1118" s="9" t="n">
        <v>120</v>
      </c>
      <c r="G1118" s="9" t="n">
        <v>2.4</v>
      </c>
      <c r="H1118" s="9" t="n">
        <v>117.6</v>
      </c>
      <c r="I1118" t="inlineStr">
        <is>
          <t>INV/2026/04737</t>
        </is>
      </c>
      <c r="J1118" s="9">
        <f>ROUND(F1118-G1118-H1118,2)</f>
        <v>0</v>
      </c>
    </row>
    <row r="1119">
      <c r="A1119" t="inlineStr">
        <is>
          <t>po_1Q0039KX</t>
        </is>
      </c>
      <c r="B1119" s="5" t="n">
        <v>46258</v>
      </c>
      <c r="C1119" t="inlineStr">
        <is>
          <t>ch_3Q001113</t>
        </is>
      </c>
      <c r="D1119" t="inlineStr">
        <is>
          <t>charge</t>
        </is>
      </c>
      <c r="E1119" s="5" t="n">
        <v>46254</v>
      </c>
      <c r="F1119" s="9" t="n">
        <v>65</v>
      </c>
      <c r="G1119" s="9" t="n">
        <v>1.44</v>
      </c>
      <c r="H1119" s="9" t="n">
        <v>63.56</v>
      </c>
      <c r="I1119" t="inlineStr">
        <is>
          <t>INV/2026/04738</t>
        </is>
      </c>
      <c r="J1119" s="9">
        <f>ROUND(F1119-G1119-H1119,2)</f>
        <v>0</v>
      </c>
    </row>
    <row r="1120">
      <c r="A1120" t="inlineStr">
        <is>
          <t>po_1Q0039KX</t>
        </is>
      </c>
      <c r="B1120" s="5" t="n">
        <v>46258</v>
      </c>
      <c r="C1120" t="inlineStr">
        <is>
          <t>ch_3Q001114</t>
        </is>
      </c>
      <c r="D1120" t="inlineStr">
        <is>
          <t>charge</t>
        </is>
      </c>
      <c r="E1120" s="5" t="n">
        <v>46254</v>
      </c>
      <c r="F1120" s="9" t="n">
        <v>85</v>
      </c>
      <c r="G1120" s="9" t="n">
        <v>1.79</v>
      </c>
      <c r="H1120" s="9" t="n">
        <v>83.20999999999999</v>
      </c>
      <c r="I1120" t="inlineStr">
        <is>
          <t>INV/2026/04739</t>
        </is>
      </c>
      <c r="J1120" s="9">
        <f>ROUND(F1120-G1120-H1120,2)</f>
        <v>0</v>
      </c>
    </row>
    <row r="1121">
      <c r="A1121" t="inlineStr">
        <is>
          <t>po_1Q0039KX</t>
        </is>
      </c>
      <c r="B1121" s="5" t="n">
        <v>46258</v>
      </c>
      <c r="C1121" t="inlineStr">
        <is>
          <t>ch_3Q001115</t>
        </is>
      </c>
      <c r="D1121" t="inlineStr">
        <is>
          <t>charge</t>
        </is>
      </c>
      <c r="E1121" s="5" t="n">
        <v>46254</v>
      </c>
      <c r="F1121" s="9" t="n">
        <v>110</v>
      </c>
      <c r="G1121" s="9" t="n">
        <v>2.23</v>
      </c>
      <c r="H1121" s="9" t="n">
        <v>107.77</v>
      </c>
      <c r="I1121" t="inlineStr">
        <is>
          <t>INV/2026/04740</t>
        </is>
      </c>
      <c r="J1121" s="9">
        <f>ROUND(F1121-G1121-H1121,2)</f>
        <v>0</v>
      </c>
    </row>
    <row r="1122">
      <c r="A1122" t="inlineStr">
        <is>
          <t>po_1Q0039KX</t>
        </is>
      </c>
      <c r="B1122" s="5" t="n">
        <v>46258</v>
      </c>
      <c r="C1122" t="inlineStr">
        <is>
          <t>ch_3Q001116</t>
        </is>
      </c>
      <c r="D1122" t="inlineStr">
        <is>
          <t>charge</t>
        </is>
      </c>
      <c r="E1122" s="5" t="n">
        <v>46254</v>
      </c>
      <c r="F1122" s="9" t="n">
        <v>95</v>
      </c>
      <c r="G1122" s="9" t="n">
        <v>1.96</v>
      </c>
      <c r="H1122" s="9" t="n">
        <v>93.04000000000001</v>
      </c>
      <c r="I1122" t="inlineStr">
        <is>
          <t>INV/2026/04741</t>
        </is>
      </c>
      <c r="J1122" s="9">
        <f>ROUND(F1122-G1122-H1122,2)</f>
        <v>0</v>
      </c>
    </row>
    <row r="1123">
      <c r="A1123" t="inlineStr">
        <is>
          <t>po_1Q0039KX</t>
        </is>
      </c>
      <c r="B1123" s="5" t="n">
        <v>46258</v>
      </c>
      <c r="C1123" t="inlineStr">
        <is>
          <t>ch_3Q001117</t>
        </is>
      </c>
      <c r="D1123" t="inlineStr">
        <is>
          <t>charge</t>
        </is>
      </c>
      <c r="E1123" s="5" t="n">
        <v>46254</v>
      </c>
      <c r="F1123" s="9" t="n">
        <v>120</v>
      </c>
      <c r="G1123" s="9" t="n">
        <v>2.4</v>
      </c>
      <c r="H1123" s="9" t="n">
        <v>117.6</v>
      </c>
      <c r="I1123" t="inlineStr">
        <is>
          <t>INV/2026/04742</t>
        </is>
      </c>
      <c r="J1123" s="9">
        <f>ROUND(F1123-G1123-H1123,2)</f>
        <v>0</v>
      </c>
    </row>
    <row r="1124">
      <c r="A1124" t="inlineStr">
        <is>
          <t>po_1Q0039KX</t>
        </is>
      </c>
      <c r="B1124" s="5" t="n">
        <v>46258</v>
      </c>
      <c r="C1124" t="inlineStr">
        <is>
          <t>ch_3Q001118</t>
        </is>
      </c>
      <c r="D1124" t="inlineStr">
        <is>
          <t>charge</t>
        </is>
      </c>
      <c r="E1124" s="5" t="n">
        <v>46254</v>
      </c>
      <c r="F1124" s="9" t="n">
        <v>135</v>
      </c>
      <c r="G1124" s="9" t="n">
        <v>2.66</v>
      </c>
      <c r="H1124" s="9" t="n">
        <v>132.34</v>
      </c>
      <c r="I1124" t="inlineStr">
        <is>
          <t>INV/2026/04743</t>
        </is>
      </c>
      <c r="J1124" s="9">
        <f>ROUND(F1124-G1124-H1124,2)</f>
        <v>0</v>
      </c>
    </row>
    <row r="1125">
      <c r="A1125" t="inlineStr">
        <is>
          <t>po_1Q0039KX</t>
        </is>
      </c>
      <c r="B1125" s="5" t="n">
        <v>46258</v>
      </c>
      <c r="C1125" t="inlineStr">
        <is>
          <t>ch_3Q001119</t>
        </is>
      </c>
      <c r="D1125" t="inlineStr">
        <is>
          <t>charge</t>
        </is>
      </c>
      <c r="E1125" s="5" t="n">
        <v>46254</v>
      </c>
      <c r="F1125" s="9" t="n">
        <v>220</v>
      </c>
      <c r="G1125" s="9" t="n">
        <v>4.15</v>
      </c>
      <c r="H1125" s="9" t="n">
        <v>215.85</v>
      </c>
      <c r="I1125" t="inlineStr">
        <is>
          <t>INV/2026/04744</t>
        </is>
      </c>
      <c r="J1125" s="9">
        <f>ROUND(F1125-G1125-H1125,2)</f>
        <v>0</v>
      </c>
    </row>
    <row r="1126">
      <c r="A1126" t="inlineStr">
        <is>
          <t>po_1Q0039KX</t>
        </is>
      </c>
      <c r="B1126" s="5" t="n">
        <v>46258</v>
      </c>
      <c r="C1126" t="inlineStr">
        <is>
          <t>ch_3Q001120</t>
        </is>
      </c>
      <c r="D1126" t="inlineStr">
        <is>
          <t>charge</t>
        </is>
      </c>
      <c r="E1126" s="5" t="n">
        <v>46254</v>
      </c>
      <c r="F1126" s="9" t="n">
        <v>180</v>
      </c>
      <c r="G1126" s="9" t="n">
        <v>3.45</v>
      </c>
      <c r="H1126" s="9" t="n">
        <v>176.55</v>
      </c>
      <c r="I1126" t="inlineStr">
        <is>
          <t>INV/2026/04745</t>
        </is>
      </c>
      <c r="J1126" s="9">
        <f>ROUND(F1126-G1126-H1126,2)</f>
        <v>0</v>
      </c>
    </row>
    <row r="1127">
      <c r="A1127" t="inlineStr">
        <is>
          <t>po_1Q0039KX</t>
        </is>
      </c>
      <c r="B1127" s="5" t="n">
        <v>46258</v>
      </c>
      <c r="C1127" t="inlineStr">
        <is>
          <t>ch_3Q001121</t>
        </is>
      </c>
      <c r="D1127" t="inlineStr">
        <is>
          <t>charge</t>
        </is>
      </c>
      <c r="E1127" s="5" t="n">
        <v>46254</v>
      </c>
      <c r="F1127" s="9" t="n">
        <v>120</v>
      </c>
      <c r="G1127" s="9" t="n">
        <v>2.4</v>
      </c>
      <c r="H1127" s="9" t="n">
        <v>117.6</v>
      </c>
      <c r="I1127" t="inlineStr">
        <is>
          <t>INV/2026/04746</t>
        </is>
      </c>
      <c r="J1127" s="9">
        <f>ROUND(F1127-G1127-H1127,2)</f>
        <v>0</v>
      </c>
    </row>
    <row r="1128">
      <c r="A1128" t="inlineStr">
        <is>
          <t>po_1Q0039KX</t>
        </is>
      </c>
      <c r="B1128" s="5" t="n">
        <v>46258</v>
      </c>
      <c r="C1128" t="inlineStr">
        <is>
          <t>re_3Q001111</t>
        </is>
      </c>
      <c r="D1128" t="inlineStr">
        <is>
          <t>refund</t>
        </is>
      </c>
      <c r="E1128" s="5" t="n">
        <v>46258</v>
      </c>
      <c r="F1128" s="9" t="n">
        <v>-180</v>
      </c>
      <c r="G1128" s="9" t="n">
        <v>0</v>
      </c>
      <c r="H1128" s="9" t="n">
        <v>-180</v>
      </c>
      <c r="I1128" t="inlineStr">
        <is>
          <t>INV/2026/04736</t>
        </is>
      </c>
      <c r="J1128" s="9">
        <f>ROUND(F1128-G1128-H1128,2)</f>
        <v>0</v>
      </c>
    </row>
    <row r="1129">
      <c r="A1129" t="inlineStr">
        <is>
          <t>po_1Q0040KX</t>
        </is>
      </c>
      <c r="B1129" s="5" t="n">
        <v>46259</v>
      </c>
      <c r="C1129" t="inlineStr">
        <is>
          <t>ch_3Q001122</t>
        </is>
      </c>
      <c r="D1129" t="inlineStr">
        <is>
          <t>charge</t>
        </is>
      </c>
      <c r="E1129" s="5" t="n">
        <v>46255</v>
      </c>
      <c r="F1129" s="9" t="n">
        <v>135</v>
      </c>
      <c r="G1129" s="9" t="n">
        <v>2.66</v>
      </c>
      <c r="H1129" s="9" t="n">
        <v>132.34</v>
      </c>
      <c r="I1129" t="inlineStr">
        <is>
          <t>INV/2026/04747</t>
        </is>
      </c>
      <c r="J1129" s="9">
        <f>ROUND(F1129-G1129-H1129,2)</f>
        <v>0</v>
      </c>
    </row>
    <row r="1130">
      <c r="A1130" t="inlineStr">
        <is>
          <t>po_1Q0040KX</t>
        </is>
      </c>
      <c r="B1130" s="5" t="n">
        <v>46259</v>
      </c>
      <c r="C1130" t="inlineStr">
        <is>
          <t>ch_3Q001123</t>
        </is>
      </c>
      <c r="D1130" t="inlineStr">
        <is>
          <t>charge</t>
        </is>
      </c>
      <c r="E1130" s="5" t="n">
        <v>46255</v>
      </c>
      <c r="F1130" s="9" t="n">
        <v>120</v>
      </c>
      <c r="G1130" s="9" t="n">
        <v>2.4</v>
      </c>
      <c r="H1130" s="9" t="n">
        <v>117.6</v>
      </c>
      <c r="I1130" t="inlineStr">
        <is>
          <t>INV/2026/04748</t>
        </is>
      </c>
      <c r="J1130" s="9">
        <f>ROUND(F1130-G1130-H1130,2)</f>
        <v>0</v>
      </c>
    </row>
    <row r="1131">
      <c r="A1131" t="inlineStr">
        <is>
          <t>po_1Q0040KX</t>
        </is>
      </c>
      <c r="B1131" s="5" t="n">
        <v>46259</v>
      </c>
      <c r="C1131" t="inlineStr">
        <is>
          <t>ch_3Q001124</t>
        </is>
      </c>
      <c r="D1131" t="inlineStr">
        <is>
          <t>charge</t>
        </is>
      </c>
      <c r="E1131" s="5" t="n">
        <v>46255</v>
      </c>
      <c r="F1131" s="9" t="n">
        <v>135</v>
      </c>
      <c r="G1131" s="9" t="n">
        <v>2.66</v>
      </c>
      <c r="H1131" s="9" t="n">
        <v>132.34</v>
      </c>
      <c r="I1131" t="inlineStr">
        <is>
          <t>INV/2026/04749</t>
        </is>
      </c>
      <c r="J1131" s="9">
        <f>ROUND(F1131-G1131-H1131,2)</f>
        <v>0</v>
      </c>
    </row>
    <row r="1132">
      <c r="A1132" t="inlineStr">
        <is>
          <t>po_1Q0040KX</t>
        </is>
      </c>
      <c r="B1132" s="5" t="n">
        <v>46259</v>
      </c>
      <c r="C1132" t="inlineStr">
        <is>
          <t>ch_3Q001125</t>
        </is>
      </c>
      <c r="D1132" t="inlineStr">
        <is>
          <t>charge</t>
        </is>
      </c>
      <c r="E1132" s="5" t="n">
        <v>46255</v>
      </c>
      <c r="F1132" s="9" t="n">
        <v>220</v>
      </c>
      <c r="G1132" s="9" t="n">
        <v>4.15</v>
      </c>
      <c r="H1132" s="9" t="n">
        <v>215.85</v>
      </c>
      <c r="I1132" t="inlineStr">
        <is>
          <t>INV/2026/04750</t>
        </is>
      </c>
      <c r="J1132" s="9">
        <f>ROUND(F1132-G1132-H1132,2)</f>
        <v>0</v>
      </c>
    </row>
    <row r="1133">
      <c r="A1133" t="inlineStr">
        <is>
          <t>po_1Q0040KX</t>
        </is>
      </c>
      <c r="B1133" s="5" t="n">
        <v>46259</v>
      </c>
      <c r="C1133" t="inlineStr">
        <is>
          <t>ch_3Q001126</t>
        </is>
      </c>
      <c r="D1133" t="inlineStr">
        <is>
          <t>charge</t>
        </is>
      </c>
      <c r="E1133" s="5" t="n">
        <v>46255</v>
      </c>
      <c r="F1133" s="9" t="n">
        <v>220</v>
      </c>
      <c r="G1133" s="9" t="n">
        <v>4.15</v>
      </c>
      <c r="H1133" s="9" t="n">
        <v>215.85</v>
      </c>
      <c r="I1133" t="inlineStr">
        <is>
          <t>INV/2026/04751</t>
        </is>
      </c>
      <c r="J1133" s="9">
        <f>ROUND(F1133-G1133-H1133,2)</f>
        <v>0</v>
      </c>
    </row>
    <row r="1134">
      <c r="A1134" t="inlineStr">
        <is>
          <t>po_1Q0040KX</t>
        </is>
      </c>
      <c r="B1134" s="5" t="n">
        <v>46259</v>
      </c>
      <c r="C1134" t="inlineStr">
        <is>
          <t>ch_3Q001127</t>
        </is>
      </c>
      <c r="D1134" t="inlineStr">
        <is>
          <t>charge</t>
        </is>
      </c>
      <c r="E1134" s="5" t="n">
        <v>46255</v>
      </c>
      <c r="F1134" s="9" t="n">
        <v>85</v>
      </c>
      <c r="G1134" s="9" t="n">
        <v>1.79</v>
      </c>
      <c r="H1134" s="9" t="n">
        <v>83.20999999999999</v>
      </c>
      <c r="I1134" t="inlineStr">
        <is>
          <t>INV/2026/04752</t>
        </is>
      </c>
      <c r="J1134" s="9">
        <f>ROUND(F1134-G1134-H1134,2)</f>
        <v>0</v>
      </c>
    </row>
    <row r="1135">
      <c r="A1135" t="inlineStr">
        <is>
          <t>po_1Q0040KX</t>
        </is>
      </c>
      <c r="B1135" s="5" t="n">
        <v>46259</v>
      </c>
      <c r="C1135" t="inlineStr">
        <is>
          <t>ch_3Q001128</t>
        </is>
      </c>
      <c r="D1135" t="inlineStr">
        <is>
          <t>charge</t>
        </is>
      </c>
      <c r="E1135" s="5" t="n">
        <v>46255</v>
      </c>
      <c r="F1135" s="9" t="n">
        <v>150</v>
      </c>
      <c r="G1135" s="9" t="n">
        <v>2.93</v>
      </c>
      <c r="H1135" s="9" t="n">
        <v>147.07</v>
      </c>
      <c r="I1135" t="inlineStr">
        <is>
          <t>INV/2026/04753</t>
        </is>
      </c>
      <c r="J1135" s="9">
        <f>ROUND(F1135-G1135-H1135,2)</f>
        <v>0</v>
      </c>
    </row>
    <row r="1136">
      <c r="A1136" t="inlineStr">
        <is>
          <t>po_1Q0040KX</t>
        </is>
      </c>
      <c r="B1136" s="5" t="n">
        <v>46259</v>
      </c>
      <c r="C1136" t="inlineStr">
        <is>
          <t>ch_3Q001129</t>
        </is>
      </c>
      <c r="D1136" t="inlineStr">
        <is>
          <t>charge</t>
        </is>
      </c>
      <c r="E1136" s="5" t="n">
        <v>46255</v>
      </c>
      <c r="F1136" s="9" t="n">
        <v>135</v>
      </c>
      <c r="G1136" s="9" t="n">
        <v>2.66</v>
      </c>
      <c r="H1136" s="9" t="n">
        <v>132.34</v>
      </c>
      <c r="I1136" t="inlineStr">
        <is>
          <t>INV/2026/04754</t>
        </is>
      </c>
      <c r="J1136" s="9">
        <f>ROUND(F1136-G1136-H1136,2)</f>
        <v>0</v>
      </c>
    </row>
    <row r="1137">
      <c r="A1137" t="inlineStr">
        <is>
          <t>po_1Q0040KX</t>
        </is>
      </c>
      <c r="B1137" s="5" t="n">
        <v>46259</v>
      </c>
      <c r="C1137" t="inlineStr">
        <is>
          <t>ch_3Q001130</t>
        </is>
      </c>
      <c r="D1137" t="inlineStr">
        <is>
          <t>charge</t>
        </is>
      </c>
      <c r="E1137" s="5" t="n">
        <v>46255</v>
      </c>
      <c r="F1137" s="9" t="n">
        <v>120</v>
      </c>
      <c r="G1137" s="9" t="n">
        <v>2.4</v>
      </c>
      <c r="H1137" s="9" t="n">
        <v>117.6</v>
      </c>
      <c r="I1137" t="inlineStr">
        <is>
          <t>INV/2026/04755</t>
        </is>
      </c>
      <c r="J1137" s="9">
        <f>ROUND(F1137-G1137-H1137,2)</f>
        <v>0</v>
      </c>
    </row>
    <row r="1138">
      <c r="A1138" t="inlineStr">
        <is>
          <t>po_1Q0040KX</t>
        </is>
      </c>
      <c r="B1138" s="5" t="n">
        <v>46259</v>
      </c>
      <c r="C1138" t="inlineStr">
        <is>
          <t>ch_3Q001131</t>
        </is>
      </c>
      <c r="D1138" t="inlineStr">
        <is>
          <t>charge</t>
        </is>
      </c>
      <c r="E1138" s="5" t="n">
        <v>46255</v>
      </c>
      <c r="F1138" s="9" t="n">
        <v>85</v>
      </c>
      <c r="G1138" s="9" t="n">
        <v>1.79</v>
      </c>
      <c r="H1138" s="9" t="n">
        <v>83.20999999999999</v>
      </c>
      <c r="I1138" t="inlineStr">
        <is>
          <t>INV/2026/04756</t>
        </is>
      </c>
      <c r="J1138" s="9">
        <f>ROUND(F1138-G1138-H1138,2)</f>
        <v>0</v>
      </c>
    </row>
    <row r="1139">
      <c r="A1139" t="inlineStr">
        <is>
          <t>po_1Q0040KX</t>
        </is>
      </c>
      <c r="B1139" s="5" t="n">
        <v>46259</v>
      </c>
      <c r="C1139" t="inlineStr">
        <is>
          <t>ch_3Q001132</t>
        </is>
      </c>
      <c r="D1139" t="inlineStr">
        <is>
          <t>charge</t>
        </is>
      </c>
      <c r="E1139" s="5" t="n">
        <v>46255</v>
      </c>
      <c r="F1139" s="9" t="n">
        <v>85</v>
      </c>
      <c r="G1139" s="9" t="n">
        <v>1.79</v>
      </c>
      <c r="H1139" s="9" t="n">
        <v>83.20999999999999</v>
      </c>
      <c r="I1139" t="inlineStr">
        <is>
          <t>INV/2026/04757</t>
        </is>
      </c>
      <c r="J1139" s="9">
        <f>ROUND(F1139-G1139-H1139,2)</f>
        <v>0</v>
      </c>
    </row>
    <row r="1140">
      <c r="A1140" t="inlineStr">
        <is>
          <t>po_1Q0040KX</t>
        </is>
      </c>
      <c r="B1140" s="5" t="n">
        <v>46259</v>
      </c>
      <c r="C1140" t="inlineStr">
        <is>
          <t>ch_3Q001133</t>
        </is>
      </c>
      <c r="D1140" t="inlineStr">
        <is>
          <t>charge</t>
        </is>
      </c>
      <c r="E1140" s="5" t="n">
        <v>46255</v>
      </c>
      <c r="F1140" s="9" t="n">
        <v>135</v>
      </c>
      <c r="G1140" s="9" t="n">
        <v>2.66</v>
      </c>
      <c r="H1140" s="9" t="n">
        <v>132.34</v>
      </c>
      <c r="I1140" t="inlineStr">
        <is>
          <t>INV/2026/04758</t>
        </is>
      </c>
      <c r="J1140" s="9">
        <f>ROUND(F1140-G1140-H1140,2)</f>
        <v>0</v>
      </c>
    </row>
    <row r="1141">
      <c r="A1141" t="inlineStr">
        <is>
          <t>po_1Q0040KX</t>
        </is>
      </c>
      <c r="B1141" s="5" t="n">
        <v>46259</v>
      </c>
      <c r="C1141" t="inlineStr">
        <is>
          <t>ch_3Q001134</t>
        </is>
      </c>
      <c r="D1141" t="inlineStr">
        <is>
          <t>charge</t>
        </is>
      </c>
      <c r="E1141" s="5" t="n">
        <v>46255</v>
      </c>
      <c r="F1141" s="9" t="n">
        <v>150</v>
      </c>
      <c r="G1141" s="9" t="n">
        <v>2.93</v>
      </c>
      <c r="H1141" s="9" t="n">
        <v>147.07</v>
      </c>
      <c r="I1141" t="inlineStr">
        <is>
          <t>INV/2026/04759</t>
        </is>
      </c>
      <c r="J1141" s="9">
        <f>ROUND(F1141-G1141-H1141,2)</f>
        <v>0</v>
      </c>
    </row>
    <row r="1142">
      <c r="A1142" t="inlineStr">
        <is>
          <t>po_1Q0040KX</t>
        </is>
      </c>
      <c r="B1142" s="5" t="n">
        <v>46259</v>
      </c>
      <c r="C1142" t="inlineStr">
        <is>
          <t>ch_3Q001135</t>
        </is>
      </c>
      <c r="D1142" t="inlineStr">
        <is>
          <t>charge</t>
        </is>
      </c>
      <c r="E1142" s="5" t="n">
        <v>46255</v>
      </c>
      <c r="F1142" s="9" t="n">
        <v>65</v>
      </c>
      <c r="G1142" s="9" t="n">
        <v>1.44</v>
      </c>
      <c r="H1142" s="9" t="n">
        <v>63.56</v>
      </c>
      <c r="I1142" t="inlineStr">
        <is>
          <t>INV/2026/04760</t>
        </is>
      </c>
      <c r="J1142" s="9">
        <f>ROUND(F1142-G1142-H1142,2)</f>
        <v>0</v>
      </c>
    </row>
    <row r="1143">
      <c r="A1143" t="inlineStr">
        <is>
          <t>po_1Q0040KX</t>
        </is>
      </c>
      <c r="B1143" s="5" t="n">
        <v>46259</v>
      </c>
      <c r="C1143" t="inlineStr">
        <is>
          <t>ch_3Q001136</t>
        </is>
      </c>
      <c r="D1143" t="inlineStr">
        <is>
          <t>charge</t>
        </is>
      </c>
      <c r="E1143" s="5" t="n">
        <v>46255</v>
      </c>
      <c r="F1143" s="9" t="n">
        <v>110</v>
      </c>
      <c r="G1143" s="9" t="n">
        <v>2.23</v>
      </c>
      <c r="H1143" s="9" t="n">
        <v>107.77</v>
      </c>
      <c r="I1143" t="inlineStr">
        <is>
          <t>INV/2026/04761</t>
        </is>
      </c>
      <c r="J1143" s="9">
        <f>ROUND(F1143-G1143-H1143,2)</f>
        <v>0</v>
      </c>
    </row>
    <row r="1144">
      <c r="A1144" t="inlineStr">
        <is>
          <t>po_1Q0040KX</t>
        </is>
      </c>
      <c r="B1144" s="5" t="n">
        <v>46259</v>
      </c>
      <c r="C1144" t="inlineStr">
        <is>
          <t>ch_3Q001137</t>
        </is>
      </c>
      <c r="D1144" t="inlineStr">
        <is>
          <t>charge</t>
        </is>
      </c>
      <c r="E1144" s="5" t="n">
        <v>46255</v>
      </c>
      <c r="F1144" s="9" t="n">
        <v>65</v>
      </c>
      <c r="G1144" s="9" t="n">
        <v>1.44</v>
      </c>
      <c r="H1144" s="9" t="n">
        <v>63.56</v>
      </c>
      <c r="I1144" t="inlineStr">
        <is>
          <t>INV/2026/04762</t>
        </is>
      </c>
      <c r="J1144" s="9">
        <f>ROUND(F1144-G1144-H1144,2)</f>
        <v>0</v>
      </c>
    </row>
    <row r="1145">
      <c r="A1145" t="inlineStr">
        <is>
          <t>po_1Q0040KX</t>
        </is>
      </c>
      <c r="B1145" s="5" t="n">
        <v>46259</v>
      </c>
      <c r="C1145" t="inlineStr">
        <is>
          <t>ch_3Q001138</t>
        </is>
      </c>
      <c r="D1145" t="inlineStr">
        <is>
          <t>charge</t>
        </is>
      </c>
      <c r="E1145" s="5" t="n">
        <v>46255</v>
      </c>
      <c r="F1145" s="9" t="n">
        <v>65</v>
      </c>
      <c r="G1145" s="9" t="n">
        <v>1.44</v>
      </c>
      <c r="H1145" s="9" t="n">
        <v>63.56</v>
      </c>
      <c r="I1145" t="inlineStr">
        <is>
          <t>INV/2026/04763</t>
        </is>
      </c>
      <c r="J1145" s="9">
        <f>ROUND(F1145-G1145-H1145,2)</f>
        <v>0</v>
      </c>
    </row>
    <row r="1146">
      <c r="A1146" t="inlineStr">
        <is>
          <t>po_1Q0040KX</t>
        </is>
      </c>
      <c r="B1146" s="5" t="n">
        <v>46259</v>
      </c>
      <c r="C1146" t="inlineStr">
        <is>
          <t>ch_3Q001139</t>
        </is>
      </c>
      <c r="D1146" t="inlineStr">
        <is>
          <t>charge</t>
        </is>
      </c>
      <c r="E1146" s="5" t="n">
        <v>46255</v>
      </c>
      <c r="F1146" s="9" t="n">
        <v>220</v>
      </c>
      <c r="G1146" s="9" t="n">
        <v>4.15</v>
      </c>
      <c r="H1146" s="9" t="n">
        <v>215.85</v>
      </c>
      <c r="I1146" t="inlineStr">
        <is>
          <t>INV/2026/04764</t>
        </is>
      </c>
      <c r="J1146" s="9">
        <f>ROUND(F1146-G1146-H1146,2)</f>
        <v>0</v>
      </c>
    </row>
    <row r="1147">
      <c r="A1147" t="inlineStr">
        <is>
          <t>po_1Q0040KX</t>
        </is>
      </c>
      <c r="B1147" s="5" t="n">
        <v>46259</v>
      </c>
      <c r="C1147" t="inlineStr">
        <is>
          <t>ch_3Q001140</t>
        </is>
      </c>
      <c r="D1147" t="inlineStr">
        <is>
          <t>charge</t>
        </is>
      </c>
      <c r="E1147" s="5" t="n">
        <v>46255</v>
      </c>
      <c r="F1147" s="9" t="n">
        <v>135</v>
      </c>
      <c r="G1147" s="9" t="n">
        <v>2.66</v>
      </c>
      <c r="H1147" s="9" t="n">
        <v>132.34</v>
      </c>
      <c r="I1147" t="inlineStr">
        <is>
          <t>INV/2026/04765</t>
        </is>
      </c>
      <c r="J1147" s="9">
        <f>ROUND(F1147-G1147-H1147,2)</f>
        <v>0</v>
      </c>
    </row>
    <row r="1148">
      <c r="A1148" t="inlineStr">
        <is>
          <t>po_1Q0040KX</t>
        </is>
      </c>
      <c r="B1148" s="5" t="n">
        <v>46259</v>
      </c>
      <c r="C1148" t="inlineStr">
        <is>
          <t>ch_3Q001141</t>
        </is>
      </c>
      <c r="D1148" t="inlineStr">
        <is>
          <t>charge</t>
        </is>
      </c>
      <c r="E1148" s="5" t="n">
        <v>46255</v>
      </c>
      <c r="F1148" s="9" t="n">
        <v>95</v>
      </c>
      <c r="G1148" s="9" t="n">
        <v>1.96</v>
      </c>
      <c r="H1148" s="9" t="n">
        <v>93.04000000000001</v>
      </c>
      <c r="I1148" t="inlineStr">
        <is>
          <t>INV/2026/04766</t>
        </is>
      </c>
      <c r="J1148" s="9">
        <f>ROUND(F1148-G1148-H1148,2)</f>
        <v>0</v>
      </c>
    </row>
    <row r="1149">
      <c r="A1149" t="inlineStr">
        <is>
          <t>po_1Q0040KX</t>
        </is>
      </c>
      <c r="B1149" s="5" t="n">
        <v>46259</v>
      </c>
      <c r="C1149" t="inlineStr">
        <is>
          <t>ch_3Q001142</t>
        </is>
      </c>
      <c r="D1149" t="inlineStr">
        <is>
          <t>charge</t>
        </is>
      </c>
      <c r="E1149" s="5" t="n">
        <v>46255</v>
      </c>
      <c r="F1149" s="9" t="n">
        <v>120</v>
      </c>
      <c r="G1149" s="9" t="n">
        <v>2.4</v>
      </c>
      <c r="H1149" s="9" t="n">
        <v>117.6</v>
      </c>
      <c r="I1149" t="inlineStr">
        <is>
          <t>INV/2026/04767</t>
        </is>
      </c>
      <c r="J1149" s="9">
        <f>ROUND(F1149-G1149-H1149,2)</f>
        <v>0</v>
      </c>
    </row>
    <row r="1150">
      <c r="A1150" t="inlineStr">
        <is>
          <t>po_1Q0040KX</t>
        </is>
      </c>
      <c r="B1150" s="5" t="n">
        <v>46259</v>
      </c>
      <c r="C1150" t="inlineStr">
        <is>
          <t>ch_3Q001143</t>
        </is>
      </c>
      <c r="D1150" t="inlineStr">
        <is>
          <t>charge</t>
        </is>
      </c>
      <c r="E1150" s="5" t="n">
        <v>46255</v>
      </c>
      <c r="F1150" s="9" t="n">
        <v>150</v>
      </c>
      <c r="G1150" s="9" t="n">
        <v>2.93</v>
      </c>
      <c r="H1150" s="9" t="n">
        <v>147.07</v>
      </c>
      <c r="I1150" t="inlineStr">
        <is>
          <t>INV/2026/04768</t>
        </is>
      </c>
      <c r="J1150" s="9">
        <f>ROUND(F1150-G1150-H1150,2)</f>
        <v>0</v>
      </c>
    </row>
    <row r="1151">
      <c r="A1151" t="inlineStr">
        <is>
          <t>po_1Q0040KX</t>
        </is>
      </c>
      <c r="B1151" s="5" t="n">
        <v>46259</v>
      </c>
      <c r="C1151" t="inlineStr">
        <is>
          <t>ch_3Q001144</t>
        </is>
      </c>
      <c r="D1151" t="inlineStr">
        <is>
          <t>charge</t>
        </is>
      </c>
      <c r="E1151" s="5" t="n">
        <v>46256</v>
      </c>
      <c r="F1151" s="9" t="n">
        <v>180</v>
      </c>
      <c r="G1151" s="9" t="n">
        <v>3.45</v>
      </c>
      <c r="H1151" s="9" t="n">
        <v>176.55</v>
      </c>
      <c r="I1151" t="inlineStr">
        <is>
          <t>INV/2026/04769</t>
        </is>
      </c>
      <c r="J1151" s="9">
        <f>ROUND(F1151-G1151-H1151,2)</f>
        <v>0</v>
      </c>
    </row>
    <row r="1152">
      <c r="A1152" t="inlineStr">
        <is>
          <t>po_1Q0040KX</t>
        </is>
      </c>
      <c r="B1152" s="5" t="n">
        <v>46259</v>
      </c>
      <c r="C1152" t="inlineStr">
        <is>
          <t>ch_3Q001145</t>
        </is>
      </c>
      <c r="D1152" t="inlineStr">
        <is>
          <t>charge</t>
        </is>
      </c>
      <c r="E1152" s="5" t="n">
        <v>46256</v>
      </c>
      <c r="F1152" s="9" t="n">
        <v>65</v>
      </c>
      <c r="G1152" s="9" t="n">
        <v>1.44</v>
      </c>
      <c r="H1152" s="9" t="n">
        <v>63.56</v>
      </c>
      <c r="I1152" t="inlineStr">
        <is>
          <t>INV/2026/04770</t>
        </is>
      </c>
      <c r="J1152" s="9">
        <f>ROUND(F1152-G1152-H1152,2)</f>
        <v>0</v>
      </c>
    </row>
    <row r="1153">
      <c r="A1153" t="inlineStr">
        <is>
          <t>po_1Q0040KX</t>
        </is>
      </c>
      <c r="B1153" s="5" t="n">
        <v>46259</v>
      </c>
      <c r="C1153" t="inlineStr">
        <is>
          <t>ch_3Q001146</t>
        </is>
      </c>
      <c r="D1153" t="inlineStr">
        <is>
          <t>charge</t>
        </is>
      </c>
      <c r="E1153" s="5" t="n">
        <v>46256</v>
      </c>
      <c r="F1153" s="9" t="n">
        <v>180</v>
      </c>
      <c r="G1153" s="9" t="n">
        <v>3.45</v>
      </c>
      <c r="H1153" s="9" t="n">
        <v>176.55</v>
      </c>
      <c r="I1153" t="inlineStr">
        <is>
          <t>INV/2026/04771</t>
        </is>
      </c>
      <c r="J1153" s="9">
        <f>ROUND(F1153-G1153-H1153,2)</f>
        <v>0</v>
      </c>
    </row>
    <row r="1154">
      <c r="A1154" t="inlineStr">
        <is>
          <t>po_1Q0040KX</t>
        </is>
      </c>
      <c r="B1154" s="5" t="n">
        <v>46259</v>
      </c>
      <c r="C1154" t="inlineStr">
        <is>
          <t>ch_3Q001147</t>
        </is>
      </c>
      <c r="D1154" t="inlineStr">
        <is>
          <t>charge</t>
        </is>
      </c>
      <c r="E1154" s="5" t="n">
        <v>46256</v>
      </c>
      <c r="F1154" s="9" t="n">
        <v>85</v>
      </c>
      <c r="G1154" s="9" t="n">
        <v>1.79</v>
      </c>
      <c r="H1154" s="9" t="n">
        <v>83.20999999999999</v>
      </c>
      <c r="I1154" t="inlineStr">
        <is>
          <t>INV/2026/04772</t>
        </is>
      </c>
      <c r="J1154" s="9">
        <f>ROUND(F1154-G1154-H1154,2)</f>
        <v>0</v>
      </c>
    </row>
    <row r="1155">
      <c r="A1155" t="inlineStr">
        <is>
          <t>po_1Q0040KX</t>
        </is>
      </c>
      <c r="B1155" s="5" t="n">
        <v>46259</v>
      </c>
      <c r="C1155" t="inlineStr">
        <is>
          <t>ch_3Q001148</t>
        </is>
      </c>
      <c r="D1155" t="inlineStr">
        <is>
          <t>charge</t>
        </is>
      </c>
      <c r="E1155" s="5" t="n">
        <v>46256</v>
      </c>
      <c r="F1155" s="9" t="n">
        <v>65</v>
      </c>
      <c r="G1155" s="9" t="n">
        <v>1.44</v>
      </c>
      <c r="H1155" s="9" t="n">
        <v>63.56</v>
      </c>
      <c r="I1155" t="inlineStr">
        <is>
          <t>INV/2026/04773</t>
        </is>
      </c>
      <c r="J1155" s="9">
        <f>ROUND(F1155-G1155-H1155,2)</f>
        <v>0</v>
      </c>
    </row>
    <row r="1156">
      <c r="A1156" t="inlineStr">
        <is>
          <t>po_1Q0040KX</t>
        </is>
      </c>
      <c r="B1156" s="5" t="n">
        <v>46259</v>
      </c>
      <c r="C1156" t="inlineStr">
        <is>
          <t>ch_3Q001149</t>
        </is>
      </c>
      <c r="D1156" t="inlineStr">
        <is>
          <t>charge</t>
        </is>
      </c>
      <c r="E1156" s="5" t="n">
        <v>46256</v>
      </c>
      <c r="F1156" s="9" t="n">
        <v>120</v>
      </c>
      <c r="G1156" s="9" t="n">
        <v>2.4</v>
      </c>
      <c r="H1156" s="9" t="n">
        <v>117.6</v>
      </c>
      <c r="I1156" t="inlineStr">
        <is>
          <t>INV/2026/04774</t>
        </is>
      </c>
      <c r="J1156" s="9">
        <f>ROUND(F1156-G1156-H1156,2)</f>
        <v>0</v>
      </c>
    </row>
    <row r="1157">
      <c r="A1157" t="inlineStr">
        <is>
          <t>po_1Q0041KX</t>
        </is>
      </c>
      <c r="B1157" s="5" t="n">
        <v>46260</v>
      </c>
      <c r="C1157" t="inlineStr">
        <is>
          <t>ch_3Q001150</t>
        </is>
      </c>
      <c r="D1157" t="inlineStr">
        <is>
          <t>charge</t>
        </is>
      </c>
      <c r="E1157" s="5" t="n">
        <v>46258</v>
      </c>
      <c r="F1157" s="9" t="n">
        <v>95</v>
      </c>
      <c r="G1157" s="9" t="n">
        <v>1.96</v>
      </c>
      <c r="H1157" s="9" t="n">
        <v>93.04000000000001</v>
      </c>
      <c r="I1157" t="inlineStr">
        <is>
          <t>INV/2026/04775</t>
        </is>
      </c>
      <c r="J1157" s="9">
        <f>ROUND(F1157-G1157-H1157,2)</f>
        <v>0</v>
      </c>
    </row>
    <row r="1158">
      <c r="A1158" t="inlineStr">
        <is>
          <t>po_1Q0041KX</t>
        </is>
      </c>
      <c r="B1158" s="5" t="n">
        <v>46260</v>
      </c>
      <c r="C1158" t="inlineStr">
        <is>
          <t>ch_3Q001151</t>
        </is>
      </c>
      <c r="D1158" t="inlineStr">
        <is>
          <t>charge</t>
        </is>
      </c>
      <c r="E1158" s="5" t="n">
        <v>46258</v>
      </c>
      <c r="F1158" s="9" t="n">
        <v>135</v>
      </c>
      <c r="G1158" s="9" t="n">
        <v>2.66</v>
      </c>
      <c r="H1158" s="9" t="n">
        <v>132.34</v>
      </c>
      <c r="I1158" t="inlineStr">
        <is>
          <t>INV/2026/04776</t>
        </is>
      </c>
      <c r="J1158" s="9">
        <f>ROUND(F1158-G1158-H1158,2)</f>
        <v>0</v>
      </c>
    </row>
    <row r="1159">
      <c r="A1159" t="inlineStr">
        <is>
          <t>po_1Q0041KX</t>
        </is>
      </c>
      <c r="B1159" s="5" t="n">
        <v>46260</v>
      </c>
      <c r="C1159" t="inlineStr">
        <is>
          <t>ch_3Q001152</t>
        </is>
      </c>
      <c r="D1159" t="inlineStr">
        <is>
          <t>charge</t>
        </is>
      </c>
      <c r="E1159" s="5" t="n">
        <v>46258</v>
      </c>
      <c r="F1159" s="9" t="n">
        <v>85</v>
      </c>
      <c r="G1159" s="9" t="n">
        <v>1.79</v>
      </c>
      <c r="H1159" s="9" t="n">
        <v>83.20999999999999</v>
      </c>
      <c r="I1159" t="inlineStr">
        <is>
          <t>INV/2026/04777</t>
        </is>
      </c>
      <c r="J1159" s="9">
        <f>ROUND(F1159-G1159-H1159,2)</f>
        <v>0</v>
      </c>
    </row>
    <row r="1160">
      <c r="A1160" t="inlineStr">
        <is>
          <t>po_1Q0041KX</t>
        </is>
      </c>
      <c r="B1160" s="5" t="n">
        <v>46260</v>
      </c>
      <c r="C1160" t="inlineStr">
        <is>
          <t>ch_3Q001153</t>
        </is>
      </c>
      <c r="D1160" t="inlineStr">
        <is>
          <t>charge</t>
        </is>
      </c>
      <c r="E1160" s="5" t="n">
        <v>46258</v>
      </c>
      <c r="F1160" s="9" t="n">
        <v>95</v>
      </c>
      <c r="G1160" s="9" t="n">
        <v>1.96</v>
      </c>
      <c r="H1160" s="9" t="n">
        <v>93.04000000000001</v>
      </c>
      <c r="I1160" t="inlineStr">
        <is>
          <t>INV/2026/04778</t>
        </is>
      </c>
      <c r="J1160" s="9">
        <f>ROUND(F1160-G1160-H1160,2)</f>
        <v>0</v>
      </c>
    </row>
    <row r="1161">
      <c r="A1161" t="inlineStr">
        <is>
          <t>po_1Q0041KX</t>
        </is>
      </c>
      <c r="B1161" s="5" t="n">
        <v>46260</v>
      </c>
      <c r="C1161" t="inlineStr">
        <is>
          <t>ch_3Q001154</t>
        </is>
      </c>
      <c r="D1161" t="inlineStr">
        <is>
          <t>charge</t>
        </is>
      </c>
      <c r="E1161" s="5" t="n">
        <v>46258</v>
      </c>
      <c r="F1161" s="9" t="n">
        <v>110</v>
      </c>
      <c r="G1161" s="9" t="n">
        <v>2.23</v>
      </c>
      <c r="H1161" s="9" t="n">
        <v>107.77</v>
      </c>
      <c r="I1161" t="inlineStr">
        <is>
          <t>INV/2026/04779</t>
        </is>
      </c>
      <c r="J1161" s="9">
        <f>ROUND(F1161-G1161-H1161,2)</f>
        <v>0</v>
      </c>
    </row>
    <row r="1162">
      <c r="A1162" t="inlineStr">
        <is>
          <t>po_1Q0041KX</t>
        </is>
      </c>
      <c r="B1162" s="5" t="n">
        <v>46260</v>
      </c>
      <c r="C1162" t="inlineStr">
        <is>
          <t>ch_3Q001155</t>
        </is>
      </c>
      <c r="D1162" t="inlineStr">
        <is>
          <t>charge</t>
        </is>
      </c>
      <c r="E1162" s="5" t="n">
        <v>46258</v>
      </c>
      <c r="F1162" s="9" t="n">
        <v>65</v>
      </c>
      <c r="G1162" s="9" t="n">
        <v>1.44</v>
      </c>
      <c r="H1162" s="9" t="n">
        <v>63.56</v>
      </c>
      <c r="I1162" t="inlineStr">
        <is>
          <t>INV/2026/04780</t>
        </is>
      </c>
      <c r="J1162" s="9">
        <f>ROUND(F1162-G1162-H1162,2)</f>
        <v>0</v>
      </c>
    </row>
    <row r="1163">
      <c r="A1163" t="inlineStr">
        <is>
          <t>po_1Q0041KX</t>
        </is>
      </c>
      <c r="B1163" s="5" t="n">
        <v>46260</v>
      </c>
      <c r="C1163" t="inlineStr">
        <is>
          <t>ch_3Q001156</t>
        </is>
      </c>
      <c r="D1163" t="inlineStr">
        <is>
          <t>charge</t>
        </is>
      </c>
      <c r="E1163" s="5" t="n">
        <v>46258</v>
      </c>
      <c r="F1163" s="9" t="n">
        <v>135</v>
      </c>
      <c r="G1163" s="9" t="n">
        <v>2.66</v>
      </c>
      <c r="H1163" s="9" t="n">
        <v>132.34</v>
      </c>
      <c r="I1163" t="inlineStr">
        <is>
          <t>INV/2026/04781</t>
        </is>
      </c>
      <c r="J1163" s="9">
        <f>ROUND(F1163-G1163-H1163,2)</f>
        <v>0</v>
      </c>
    </row>
    <row r="1164">
      <c r="A1164" t="inlineStr">
        <is>
          <t>po_1Q0041KX</t>
        </is>
      </c>
      <c r="B1164" s="5" t="n">
        <v>46260</v>
      </c>
      <c r="C1164" t="inlineStr">
        <is>
          <t>ch_3Q001157</t>
        </is>
      </c>
      <c r="D1164" t="inlineStr">
        <is>
          <t>charge</t>
        </is>
      </c>
      <c r="E1164" s="5" t="n">
        <v>46258</v>
      </c>
      <c r="F1164" s="9" t="n">
        <v>180</v>
      </c>
      <c r="G1164" s="9" t="n">
        <v>3.45</v>
      </c>
      <c r="H1164" s="9" t="n">
        <v>176.55</v>
      </c>
      <c r="I1164" t="inlineStr">
        <is>
          <t>INV/2026/04782</t>
        </is>
      </c>
      <c r="J1164" s="9">
        <f>ROUND(F1164-G1164-H1164,2)</f>
        <v>0</v>
      </c>
    </row>
    <row r="1165">
      <c r="A1165" t="inlineStr">
        <is>
          <t>po_1Q0041KX</t>
        </is>
      </c>
      <c r="B1165" s="5" t="n">
        <v>46260</v>
      </c>
      <c r="C1165" t="inlineStr">
        <is>
          <t>ch_3Q001158</t>
        </is>
      </c>
      <c r="D1165" t="inlineStr">
        <is>
          <t>charge</t>
        </is>
      </c>
      <c r="E1165" s="5" t="n">
        <v>46258</v>
      </c>
      <c r="F1165" s="9" t="n">
        <v>180</v>
      </c>
      <c r="G1165" s="9" t="n">
        <v>3.45</v>
      </c>
      <c r="H1165" s="9" t="n">
        <v>176.55</v>
      </c>
      <c r="I1165" t="inlineStr">
        <is>
          <t>INV/2026/04783</t>
        </is>
      </c>
      <c r="J1165" s="9">
        <f>ROUND(F1165-G1165-H1165,2)</f>
        <v>0</v>
      </c>
    </row>
    <row r="1166">
      <c r="A1166" t="inlineStr">
        <is>
          <t>po_1Q0041KX</t>
        </is>
      </c>
      <c r="B1166" s="5" t="n">
        <v>46260</v>
      </c>
      <c r="C1166" t="inlineStr">
        <is>
          <t>ch_3Q001159</t>
        </is>
      </c>
      <c r="D1166" t="inlineStr">
        <is>
          <t>charge</t>
        </is>
      </c>
      <c r="E1166" s="5" t="n">
        <v>46258</v>
      </c>
      <c r="F1166" s="9" t="n">
        <v>110</v>
      </c>
      <c r="G1166" s="9" t="n">
        <v>2.23</v>
      </c>
      <c r="H1166" s="9" t="n">
        <v>107.77</v>
      </c>
      <c r="I1166" t="inlineStr">
        <is>
          <t>INV/2026/04784</t>
        </is>
      </c>
      <c r="J1166" s="9">
        <f>ROUND(F1166-G1166-H1166,2)</f>
        <v>0</v>
      </c>
    </row>
    <row r="1167">
      <c r="A1167" t="inlineStr">
        <is>
          <t>po_1Q0041KX</t>
        </is>
      </c>
      <c r="B1167" s="5" t="n">
        <v>46260</v>
      </c>
      <c r="C1167" t="inlineStr">
        <is>
          <t>ch_3Q001160</t>
        </is>
      </c>
      <c r="D1167" t="inlineStr">
        <is>
          <t>charge</t>
        </is>
      </c>
      <c r="E1167" s="5" t="n">
        <v>46258</v>
      </c>
      <c r="F1167" s="9" t="n">
        <v>120</v>
      </c>
      <c r="G1167" s="9" t="n">
        <v>2.4</v>
      </c>
      <c r="H1167" s="9" t="n">
        <v>117.6</v>
      </c>
      <c r="I1167" t="inlineStr">
        <is>
          <t>INV/2026/04785</t>
        </is>
      </c>
      <c r="J1167" s="9">
        <f>ROUND(F1167-G1167-H1167,2)</f>
        <v>0</v>
      </c>
    </row>
    <row r="1168">
      <c r="A1168" t="inlineStr">
        <is>
          <t>po_1Q0041KX</t>
        </is>
      </c>
      <c r="B1168" s="5" t="n">
        <v>46260</v>
      </c>
      <c r="C1168" t="inlineStr">
        <is>
          <t>ch_3Q001161</t>
        </is>
      </c>
      <c r="D1168" t="inlineStr">
        <is>
          <t>charge</t>
        </is>
      </c>
      <c r="E1168" s="5" t="n">
        <v>46258</v>
      </c>
      <c r="F1168" s="9" t="n">
        <v>120</v>
      </c>
      <c r="G1168" s="9" t="n">
        <v>2.4</v>
      </c>
      <c r="H1168" s="9" t="n">
        <v>117.6</v>
      </c>
      <c r="I1168" t="inlineStr">
        <is>
          <t>INV/2026/04786</t>
        </is>
      </c>
      <c r="J1168" s="9">
        <f>ROUND(F1168-G1168-H1168,2)</f>
        <v>0</v>
      </c>
    </row>
    <row r="1169">
      <c r="A1169" t="inlineStr">
        <is>
          <t>po_1Q0041KX</t>
        </is>
      </c>
      <c r="B1169" s="5" t="n">
        <v>46260</v>
      </c>
      <c r="C1169" t="inlineStr">
        <is>
          <t>ch_3Q001162</t>
        </is>
      </c>
      <c r="D1169" t="inlineStr">
        <is>
          <t>charge</t>
        </is>
      </c>
      <c r="E1169" s="5" t="n">
        <v>46258</v>
      </c>
      <c r="F1169" s="9" t="n">
        <v>150</v>
      </c>
      <c r="G1169" s="9" t="n">
        <v>2.93</v>
      </c>
      <c r="H1169" s="9" t="n">
        <v>147.07</v>
      </c>
      <c r="I1169" t="inlineStr">
        <is>
          <t>INV/2026/04787</t>
        </is>
      </c>
      <c r="J1169" s="9">
        <f>ROUND(F1169-G1169-H1169,2)</f>
        <v>0</v>
      </c>
    </row>
    <row r="1170">
      <c r="A1170" t="inlineStr">
        <is>
          <t>po_1Q0041KX</t>
        </is>
      </c>
      <c r="B1170" s="5" t="n">
        <v>46260</v>
      </c>
      <c r="C1170" t="inlineStr">
        <is>
          <t>ch_3Q001163</t>
        </is>
      </c>
      <c r="D1170" t="inlineStr">
        <is>
          <t>charge</t>
        </is>
      </c>
      <c r="E1170" s="5" t="n">
        <v>46258</v>
      </c>
      <c r="F1170" s="9" t="n">
        <v>95</v>
      </c>
      <c r="G1170" s="9" t="n">
        <v>1.96</v>
      </c>
      <c r="H1170" s="9" t="n">
        <v>93.04000000000001</v>
      </c>
      <c r="I1170" t="inlineStr">
        <is>
          <t>INV/2026/04788</t>
        </is>
      </c>
      <c r="J1170" s="9">
        <f>ROUND(F1170-G1170-H1170,2)</f>
        <v>0</v>
      </c>
    </row>
    <row r="1171">
      <c r="A1171" t="inlineStr">
        <is>
          <t>po_1Q0041KX</t>
        </is>
      </c>
      <c r="B1171" s="5" t="n">
        <v>46260</v>
      </c>
      <c r="C1171" t="inlineStr">
        <is>
          <t>ch_3Q001164</t>
        </is>
      </c>
      <c r="D1171" t="inlineStr">
        <is>
          <t>charge</t>
        </is>
      </c>
      <c r="E1171" s="5" t="n">
        <v>46258</v>
      </c>
      <c r="F1171" s="9" t="n">
        <v>85</v>
      </c>
      <c r="G1171" s="9" t="n">
        <v>1.79</v>
      </c>
      <c r="H1171" s="9" t="n">
        <v>83.20999999999999</v>
      </c>
      <c r="I1171" t="inlineStr">
        <is>
          <t>INV/2026/04789</t>
        </is>
      </c>
      <c r="J1171" s="9">
        <f>ROUND(F1171-G1171-H1171,2)</f>
        <v>0</v>
      </c>
    </row>
    <row r="1172">
      <c r="A1172" t="inlineStr">
        <is>
          <t>po_1Q0041KX</t>
        </is>
      </c>
      <c r="B1172" s="5" t="n">
        <v>46260</v>
      </c>
      <c r="C1172" t="inlineStr">
        <is>
          <t>ch_3Q001165</t>
        </is>
      </c>
      <c r="D1172" t="inlineStr">
        <is>
          <t>charge</t>
        </is>
      </c>
      <c r="E1172" s="5" t="n">
        <v>46258</v>
      </c>
      <c r="F1172" s="9" t="n">
        <v>135</v>
      </c>
      <c r="G1172" s="9" t="n">
        <v>2.66</v>
      </c>
      <c r="H1172" s="9" t="n">
        <v>132.34</v>
      </c>
      <c r="I1172" t="inlineStr">
        <is>
          <t>INV/2026/04790</t>
        </is>
      </c>
      <c r="J1172" s="9">
        <f>ROUND(F1172-G1172-H1172,2)</f>
        <v>0</v>
      </c>
    </row>
    <row r="1173">
      <c r="A1173" t="inlineStr">
        <is>
          <t>po_1Q0041KX</t>
        </is>
      </c>
      <c r="B1173" s="5" t="n">
        <v>46260</v>
      </c>
      <c r="C1173" t="inlineStr">
        <is>
          <t>ch_3Q001166</t>
        </is>
      </c>
      <c r="D1173" t="inlineStr">
        <is>
          <t>charge</t>
        </is>
      </c>
      <c r="E1173" s="5" t="n">
        <v>46258</v>
      </c>
      <c r="F1173" s="9" t="n">
        <v>95</v>
      </c>
      <c r="G1173" s="9" t="n">
        <v>1.96</v>
      </c>
      <c r="H1173" s="9" t="n">
        <v>93.04000000000001</v>
      </c>
      <c r="I1173" t="inlineStr">
        <is>
          <t>INV/2026/04791</t>
        </is>
      </c>
      <c r="J1173" s="9">
        <f>ROUND(F1173-G1173-H1173,2)</f>
        <v>0</v>
      </c>
    </row>
    <row r="1174">
      <c r="A1174" t="inlineStr">
        <is>
          <t>po_1Q0041KX</t>
        </is>
      </c>
      <c r="B1174" s="5" t="n">
        <v>46260</v>
      </c>
      <c r="C1174" t="inlineStr">
        <is>
          <t>ch_3Q001167</t>
        </is>
      </c>
      <c r="D1174" t="inlineStr">
        <is>
          <t>charge</t>
        </is>
      </c>
      <c r="E1174" s="5" t="n">
        <v>46258</v>
      </c>
      <c r="F1174" s="9" t="n">
        <v>150</v>
      </c>
      <c r="G1174" s="9" t="n">
        <v>2.93</v>
      </c>
      <c r="H1174" s="9" t="n">
        <v>147.07</v>
      </c>
      <c r="I1174" t="inlineStr">
        <is>
          <t>INV/2026/04792</t>
        </is>
      </c>
      <c r="J1174" s="9">
        <f>ROUND(F1174-G1174-H1174,2)</f>
        <v>0</v>
      </c>
    </row>
    <row r="1175">
      <c r="A1175" t="inlineStr">
        <is>
          <t>po_1Q0041KX</t>
        </is>
      </c>
      <c r="B1175" s="5" t="n">
        <v>46260</v>
      </c>
      <c r="C1175" t="inlineStr">
        <is>
          <t>ch_3Q001168</t>
        </is>
      </c>
      <c r="D1175" t="inlineStr">
        <is>
          <t>charge</t>
        </is>
      </c>
      <c r="E1175" s="5" t="n">
        <v>46258</v>
      </c>
      <c r="F1175" s="9" t="n">
        <v>135</v>
      </c>
      <c r="G1175" s="9" t="n">
        <v>2.66</v>
      </c>
      <c r="H1175" s="9" t="n">
        <v>132.34</v>
      </c>
      <c r="I1175" t="inlineStr">
        <is>
          <t>INV/2026/04793</t>
        </is>
      </c>
      <c r="J1175" s="9">
        <f>ROUND(F1175-G1175-H1175,2)</f>
        <v>0</v>
      </c>
    </row>
    <row r="1176">
      <c r="A1176" t="inlineStr">
        <is>
          <t>po_1Q0041KX</t>
        </is>
      </c>
      <c r="B1176" s="5" t="n">
        <v>46260</v>
      </c>
      <c r="C1176" t="inlineStr">
        <is>
          <t>ch_3Q001169</t>
        </is>
      </c>
      <c r="D1176" t="inlineStr">
        <is>
          <t>charge</t>
        </is>
      </c>
      <c r="E1176" s="5" t="n">
        <v>46258</v>
      </c>
      <c r="F1176" s="9" t="n">
        <v>120</v>
      </c>
      <c r="G1176" s="9" t="n">
        <v>2.4</v>
      </c>
      <c r="H1176" s="9" t="n">
        <v>117.6</v>
      </c>
      <c r="I1176" t="inlineStr">
        <is>
          <t>INV/2026/04794</t>
        </is>
      </c>
      <c r="J1176" s="9">
        <f>ROUND(F1176-G1176-H1176,2)</f>
        <v>0</v>
      </c>
    </row>
    <row r="1177">
      <c r="A1177" t="inlineStr">
        <is>
          <t>po_1Q0041KX</t>
        </is>
      </c>
      <c r="B1177" s="5" t="n">
        <v>46260</v>
      </c>
      <c r="C1177" t="inlineStr">
        <is>
          <t>ch_3Q001170</t>
        </is>
      </c>
      <c r="D1177" t="inlineStr">
        <is>
          <t>charge</t>
        </is>
      </c>
      <c r="E1177" s="5" t="n">
        <v>46258</v>
      </c>
      <c r="F1177" s="9" t="n">
        <v>65</v>
      </c>
      <c r="G1177" s="9" t="n">
        <v>1.44</v>
      </c>
      <c r="H1177" s="9" t="n">
        <v>63.56</v>
      </c>
      <c r="I1177" t="inlineStr">
        <is>
          <t>INV/2026/04795</t>
        </is>
      </c>
      <c r="J1177" s="9">
        <f>ROUND(F1177-G1177-H1177,2)</f>
        <v>0</v>
      </c>
    </row>
    <row r="1178">
      <c r="A1178" t="inlineStr">
        <is>
          <t>po_1Q0041KX</t>
        </is>
      </c>
      <c r="B1178" s="5" t="n">
        <v>46260</v>
      </c>
      <c r="C1178" t="inlineStr">
        <is>
          <t>ch_3Q001171</t>
        </is>
      </c>
      <c r="D1178" t="inlineStr">
        <is>
          <t>charge</t>
        </is>
      </c>
      <c r="E1178" s="5" t="n">
        <v>46258</v>
      </c>
      <c r="F1178" s="9" t="n">
        <v>220</v>
      </c>
      <c r="G1178" s="9" t="n">
        <v>4.15</v>
      </c>
      <c r="H1178" s="9" t="n">
        <v>215.85</v>
      </c>
      <c r="I1178" t="inlineStr">
        <is>
          <t>INV/2026/04796</t>
        </is>
      </c>
      <c r="J1178" s="9">
        <f>ROUND(F1178-G1178-H1178,2)</f>
        <v>0</v>
      </c>
    </row>
    <row r="1179">
      <c r="A1179" t="inlineStr">
        <is>
          <t>po_1Q0041KX</t>
        </is>
      </c>
      <c r="B1179" s="5" t="n">
        <v>46260</v>
      </c>
      <c r="C1179" t="inlineStr">
        <is>
          <t>ch_3Q001172</t>
        </is>
      </c>
      <c r="D1179" t="inlineStr">
        <is>
          <t>charge</t>
        </is>
      </c>
      <c r="E1179" s="5" t="n">
        <v>46258</v>
      </c>
      <c r="F1179" s="9" t="n">
        <v>120</v>
      </c>
      <c r="G1179" s="9" t="n">
        <v>2.4</v>
      </c>
      <c r="H1179" s="9" t="n">
        <v>117.6</v>
      </c>
      <c r="I1179" t="inlineStr">
        <is>
          <t>INV/2026/04797</t>
        </is>
      </c>
      <c r="J1179" s="9">
        <f>ROUND(F1179-G1179-H1179,2)</f>
        <v>0</v>
      </c>
    </row>
    <row r="1180">
      <c r="A1180" t="inlineStr">
        <is>
          <t>po_1Q0041KX</t>
        </is>
      </c>
      <c r="B1180" s="5" t="n">
        <v>46260</v>
      </c>
      <c r="C1180" t="inlineStr">
        <is>
          <t>ch_3Q001173</t>
        </is>
      </c>
      <c r="D1180" t="inlineStr">
        <is>
          <t>charge</t>
        </is>
      </c>
      <c r="E1180" s="5" t="n">
        <v>46258</v>
      </c>
      <c r="F1180" s="9" t="n">
        <v>220</v>
      </c>
      <c r="G1180" s="9" t="n">
        <v>4.15</v>
      </c>
      <c r="H1180" s="9" t="n">
        <v>215.85</v>
      </c>
      <c r="I1180" t="inlineStr">
        <is>
          <t>INV/2026/04798</t>
        </is>
      </c>
      <c r="J1180" s="9">
        <f>ROUND(F1180-G1180-H1180,2)</f>
        <v>0</v>
      </c>
    </row>
    <row r="1181">
      <c r="A1181" t="inlineStr">
        <is>
          <t>po_1Q0041KX</t>
        </is>
      </c>
      <c r="B1181" s="5" t="n">
        <v>46260</v>
      </c>
      <c r="C1181" t="inlineStr">
        <is>
          <t>ch_3Q001174</t>
        </is>
      </c>
      <c r="D1181" t="inlineStr">
        <is>
          <t>charge</t>
        </is>
      </c>
      <c r="E1181" s="5" t="n">
        <v>46258</v>
      </c>
      <c r="F1181" s="9" t="n">
        <v>95</v>
      </c>
      <c r="G1181" s="9" t="n">
        <v>1.96</v>
      </c>
      <c r="H1181" s="9" t="n">
        <v>93.04000000000001</v>
      </c>
      <c r="I1181" t="inlineStr">
        <is>
          <t>INV/2026/04799</t>
        </is>
      </c>
      <c r="J1181" s="9">
        <f>ROUND(F1181-G1181-H1181,2)</f>
        <v>0</v>
      </c>
    </row>
    <row r="1182">
      <c r="A1182" t="inlineStr">
        <is>
          <t>po_1Q0041KX</t>
        </is>
      </c>
      <c r="B1182" s="5" t="n">
        <v>46260</v>
      </c>
      <c r="C1182" t="inlineStr">
        <is>
          <t>ch_3Q001175</t>
        </is>
      </c>
      <c r="D1182" t="inlineStr">
        <is>
          <t>charge</t>
        </is>
      </c>
      <c r="E1182" s="5" t="n">
        <v>46258</v>
      </c>
      <c r="F1182" s="9" t="n">
        <v>95</v>
      </c>
      <c r="G1182" s="9" t="n">
        <v>1.96</v>
      </c>
      <c r="H1182" s="9" t="n">
        <v>93.04000000000001</v>
      </c>
      <c r="I1182" t="inlineStr">
        <is>
          <t>INV/2026/04800</t>
        </is>
      </c>
      <c r="J1182" s="9">
        <f>ROUND(F1182-G1182-H1182,2)</f>
        <v>0</v>
      </c>
    </row>
    <row r="1183">
      <c r="A1183" t="inlineStr">
        <is>
          <t>po_1Q0041KX</t>
        </is>
      </c>
      <c r="B1183" s="5" t="n">
        <v>46260</v>
      </c>
      <c r="C1183" t="inlineStr">
        <is>
          <t>ch_3Q001176</t>
        </is>
      </c>
      <c r="D1183" t="inlineStr">
        <is>
          <t>charge</t>
        </is>
      </c>
      <c r="E1183" s="5" t="n">
        <v>46258</v>
      </c>
      <c r="F1183" s="9" t="n">
        <v>150</v>
      </c>
      <c r="G1183" s="9" t="n">
        <v>2.93</v>
      </c>
      <c r="H1183" s="9" t="n">
        <v>147.07</v>
      </c>
      <c r="I1183" t="inlineStr">
        <is>
          <t>INV/2026/04801</t>
        </is>
      </c>
      <c r="J1183" s="9">
        <f>ROUND(F1183-G1183-H1183,2)</f>
        <v>0</v>
      </c>
    </row>
    <row r="1184">
      <c r="A1184" t="inlineStr">
        <is>
          <t>po_1Q0041KX</t>
        </is>
      </c>
      <c r="B1184" s="5" t="n">
        <v>46260</v>
      </c>
      <c r="C1184" t="inlineStr">
        <is>
          <t>ch_3Q001177</t>
        </is>
      </c>
      <c r="D1184" t="inlineStr">
        <is>
          <t>charge</t>
        </is>
      </c>
      <c r="E1184" s="5" t="n">
        <v>46258</v>
      </c>
      <c r="F1184" s="9" t="n">
        <v>135</v>
      </c>
      <c r="G1184" s="9" t="n">
        <v>2.66</v>
      </c>
      <c r="H1184" s="9" t="n">
        <v>132.34</v>
      </c>
      <c r="I1184" t="inlineStr">
        <is>
          <t>INV/2026/04802</t>
        </is>
      </c>
      <c r="J1184" s="9">
        <f>ROUND(F1184-G1184-H1184,2)</f>
        <v>0</v>
      </c>
    </row>
    <row r="1185">
      <c r="A1185" t="inlineStr">
        <is>
          <t>po_1Q0041KX</t>
        </is>
      </c>
      <c r="B1185" s="5" t="n">
        <v>46260</v>
      </c>
      <c r="C1185" t="inlineStr">
        <is>
          <t>dp_3Q001153</t>
        </is>
      </c>
      <c r="D1185" t="inlineStr">
        <is>
          <t>dispute</t>
        </is>
      </c>
      <c r="E1185" s="5" t="n">
        <v>46260</v>
      </c>
      <c r="F1185" s="9" t="n">
        <v>-95</v>
      </c>
      <c r="G1185" s="9" t="n">
        <v>25</v>
      </c>
      <c r="H1185" s="9" t="n">
        <v>-120</v>
      </c>
      <c r="I1185" t="inlineStr">
        <is>
          <t>INV/2026/04778</t>
        </is>
      </c>
      <c r="J1185" s="9">
        <f>ROUND(F1185-G1185-H1185,2)</f>
        <v>0</v>
      </c>
    </row>
    <row r="1186">
      <c r="A1186" t="inlineStr">
        <is>
          <t>po_1Q0042KX</t>
        </is>
      </c>
      <c r="B1186" s="5" t="n">
        <v>46261</v>
      </c>
      <c r="C1186" t="inlineStr">
        <is>
          <t>ch_3Q001178</t>
        </is>
      </c>
      <c r="D1186" t="inlineStr">
        <is>
          <t>charge</t>
        </is>
      </c>
      <c r="E1186" s="5" t="n">
        <v>46259</v>
      </c>
      <c r="F1186" s="9" t="n">
        <v>135</v>
      </c>
      <c r="G1186" s="9" t="n">
        <v>2.66</v>
      </c>
      <c r="H1186" s="9" t="n">
        <v>132.34</v>
      </c>
      <c r="I1186" t="inlineStr">
        <is>
          <t>INV/2026/04803</t>
        </is>
      </c>
      <c r="J1186" s="9">
        <f>ROUND(F1186-G1186-H1186,2)</f>
        <v>0</v>
      </c>
    </row>
    <row r="1187">
      <c r="A1187" t="inlineStr">
        <is>
          <t>po_1Q0042KX</t>
        </is>
      </c>
      <c r="B1187" s="5" t="n">
        <v>46261</v>
      </c>
      <c r="C1187" t="inlineStr">
        <is>
          <t>ch_3Q001179</t>
        </is>
      </c>
      <c r="D1187" t="inlineStr">
        <is>
          <t>charge</t>
        </is>
      </c>
      <c r="E1187" s="5" t="n">
        <v>46259</v>
      </c>
      <c r="F1187" s="9" t="n">
        <v>65</v>
      </c>
      <c r="G1187" s="9" t="n">
        <v>1.44</v>
      </c>
      <c r="H1187" s="9" t="n">
        <v>63.56</v>
      </c>
      <c r="I1187" t="inlineStr">
        <is>
          <t>INV/2026/04804</t>
        </is>
      </c>
      <c r="J1187" s="9">
        <f>ROUND(F1187-G1187-H1187,2)</f>
        <v>0</v>
      </c>
    </row>
    <row r="1188">
      <c r="A1188" t="inlineStr">
        <is>
          <t>po_1Q0042KX</t>
        </is>
      </c>
      <c r="B1188" s="5" t="n">
        <v>46261</v>
      </c>
      <c r="C1188" t="inlineStr">
        <is>
          <t>ch_3Q001180</t>
        </is>
      </c>
      <c r="D1188" t="inlineStr">
        <is>
          <t>charge</t>
        </is>
      </c>
      <c r="E1188" s="5" t="n">
        <v>46259</v>
      </c>
      <c r="F1188" s="9" t="n">
        <v>135</v>
      </c>
      <c r="G1188" s="9" t="n">
        <v>2.66</v>
      </c>
      <c r="H1188" s="9" t="n">
        <v>132.34</v>
      </c>
      <c r="I1188" t="inlineStr">
        <is>
          <t>INV/2026/04805</t>
        </is>
      </c>
      <c r="J1188" s="9">
        <f>ROUND(F1188-G1188-H1188,2)</f>
        <v>0</v>
      </c>
    </row>
    <row r="1189">
      <c r="A1189" t="inlineStr">
        <is>
          <t>po_1Q0042KX</t>
        </is>
      </c>
      <c r="B1189" s="5" t="n">
        <v>46261</v>
      </c>
      <c r="C1189" t="inlineStr">
        <is>
          <t>ch_3Q001181</t>
        </is>
      </c>
      <c r="D1189" t="inlineStr">
        <is>
          <t>charge</t>
        </is>
      </c>
      <c r="E1189" s="5" t="n">
        <v>46259</v>
      </c>
      <c r="F1189" s="9" t="n">
        <v>135</v>
      </c>
      <c r="G1189" s="9" t="n">
        <v>2.66</v>
      </c>
      <c r="H1189" s="9" t="n">
        <v>132.34</v>
      </c>
      <c r="I1189" t="inlineStr">
        <is>
          <t>INV/2026/04806</t>
        </is>
      </c>
      <c r="J1189" s="9">
        <f>ROUND(F1189-G1189-H1189,2)</f>
        <v>0</v>
      </c>
    </row>
    <row r="1190">
      <c r="A1190" t="inlineStr">
        <is>
          <t>po_1Q0042KX</t>
        </is>
      </c>
      <c r="B1190" s="5" t="n">
        <v>46261</v>
      </c>
      <c r="C1190" t="inlineStr">
        <is>
          <t>ch_3Q001182</t>
        </is>
      </c>
      <c r="D1190" t="inlineStr">
        <is>
          <t>charge</t>
        </is>
      </c>
      <c r="E1190" s="5" t="n">
        <v>46259</v>
      </c>
      <c r="F1190" s="9" t="n">
        <v>120</v>
      </c>
      <c r="G1190" s="9" t="n">
        <v>2.4</v>
      </c>
      <c r="H1190" s="9" t="n">
        <v>117.6</v>
      </c>
      <c r="I1190" t="inlineStr">
        <is>
          <t>INV/2026/04807</t>
        </is>
      </c>
      <c r="J1190" s="9">
        <f>ROUND(F1190-G1190-H1190,2)</f>
        <v>0</v>
      </c>
    </row>
    <row r="1191">
      <c r="A1191" t="inlineStr">
        <is>
          <t>po_1Q0042KX</t>
        </is>
      </c>
      <c r="B1191" s="5" t="n">
        <v>46261</v>
      </c>
      <c r="C1191" t="inlineStr">
        <is>
          <t>ch_3Q001183</t>
        </is>
      </c>
      <c r="D1191" t="inlineStr">
        <is>
          <t>charge</t>
        </is>
      </c>
      <c r="E1191" s="5" t="n">
        <v>46259</v>
      </c>
      <c r="F1191" s="9" t="n">
        <v>65</v>
      </c>
      <c r="G1191" s="9" t="n">
        <v>1.44</v>
      </c>
      <c r="H1191" s="9" t="n">
        <v>63.56</v>
      </c>
      <c r="I1191" t="inlineStr">
        <is>
          <t>INV/2026/04808</t>
        </is>
      </c>
      <c r="J1191" s="9">
        <f>ROUND(F1191-G1191-H1191,2)</f>
        <v>0</v>
      </c>
    </row>
    <row r="1192">
      <c r="A1192" t="inlineStr">
        <is>
          <t>po_1Q0042KX</t>
        </is>
      </c>
      <c r="B1192" s="5" t="n">
        <v>46261</v>
      </c>
      <c r="C1192" t="inlineStr">
        <is>
          <t>ch_3Q001184</t>
        </is>
      </c>
      <c r="D1192" t="inlineStr">
        <is>
          <t>charge</t>
        </is>
      </c>
      <c r="E1192" s="5" t="n">
        <v>46259</v>
      </c>
      <c r="F1192" s="9" t="n">
        <v>85</v>
      </c>
      <c r="G1192" s="9" t="n">
        <v>1.79</v>
      </c>
      <c r="H1192" s="9" t="n">
        <v>83.20999999999999</v>
      </c>
      <c r="I1192" t="inlineStr">
        <is>
          <t>INV/2026/04809</t>
        </is>
      </c>
      <c r="J1192" s="9">
        <f>ROUND(F1192-G1192-H1192,2)</f>
        <v>0</v>
      </c>
    </row>
    <row r="1193">
      <c r="A1193" t="inlineStr">
        <is>
          <t>po_1Q0042KX</t>
        </is>
      </c>
      <c r="B1193" s="5" t="n">
        <v>46261</v>
      </c>
      <c r="C1193" t="inlineStr">
        <is>
          <t>ch_3Q001185</t>
        </is>
      </c>
      <c r="D1193" t="inlineStr">
        <is>
          <t>charge</t>
        </is>
      </c>
      <c r="E1193" s="5" t="n">
        <v>46259</v>
      </c>
      <c r="F1193" s="9" t="n">
        <v>220</v>
      </c>
      <c r="G1193" s="9" t="n">
        <v>4.15</v>
      </c>
      <c r="H1193" s="9" t="n">
        <v>215.85</v>
      </c>
      <c r="I1193" t="inlineStr">
        <is>
          <t>INV/2026/04810</t>
        </is>
      </c>
      <c r="J1193" s="9">
        <f>ROUND(F1193-G1193-H1193,2)</f>
        <v>0</v>
      </c>
    </row>
    <row r="1194">
      <c r="A1194" t="inlineStr">
        <is>
          <t>po_1Q0042KX</t>
        </is>
      </c>
      <c r="B1194" s="5" t="n">
        <v>46261</v>
      </c>
      <c r="C1194" t="inlineStr">
        <is>
          <t>ch_3Q001186</t>
        </is>
      </c>
      <c r="D1194" t="inlineStr">
        <is>
          <t>charge</t>
        </is>
      </c>
      <c r="E1194" s="5" t="n">
        <v>46259</v>
      </c>
      <c r="F1194" s="9" t="n">
        <v>120</v>
      </c>
      <c r="G1194" s="9" t="n">
        <v>2.4</v>
      </c>
      <c r="H1194" s="9" t="n">
        <v>117.6</v>
      </c>
      <c r="I1194" t="inlineStr">
        <is>
          <t>INV/2026/04811</t>
        </is>
      </c>
      <c r="J1194" s="9">
        <f>ROUND(F1194-G1194-H1194,2)</f>
        <v>0</v>
      </c>
    </row>
    <row r="1195">
      <c r="A1195" t="inlineStr">
        <is>
          <t>po_1Q0042KX</t>
        </is>
      </c>
      <c r="B1195" s="5" t="n">
        <v>46261</v>
      </c>
      <c r="C1195" t="inlineStr">
        <is>
          <t>ch_3Q001187</t>
        </is>
      </c>
      <c r="D1195" t="inlineStr">
        <is>
          <t>charge</t>
        </is>
      </c>
      <c r="E1195" s="5" t="n">
        <v>46259</v>
      </c>
      <c r="F1195" s="9" t="n">
        <v>135</v>
      </c>
      <c r="G1195" s="9" t="n">
        <v>2.66</v>
      </c>
      <c r="H1195" s="9" t="n">
        <v>132.34</v>
      </c>
      <c r="I1195" t="inlineStr">
        <is>
          <t>INV/2026/04812</t>
        </is>
      </c>
      <c r="J1195" s="9">
        <f>ROUND(F1195-G1195-H1195,2)</f>
        <v>0</v>
      </c>
    </row>
    <row r="1196">
      <c r="A1196" t="inlineStr">
        <is>
          <t>po_1Q0042KX</t>
        </is>
      </c>
      <c r="B1196" s="5" t="n">
        <v>46261</v>
      </c>
      <c r="C1196" t="inlineStr">
        <is>
          <t>ch_3Q001188</t>
        </is>
      </c>
      <c r="D1196" t="inlineStr">
        <is>
          <t>charge</t>
        </is>
      </c>
      <c r="E1196" s="5" t="n">
        <v>46259</v>
      </c>
      <c r="F1196" s="9" t="n">
        <v>150</v>
      </c>
      <c r="G1196" s="9" t="n">
        <v>2.93</v>
      </c>
      <c r="H1196" s="9" t="n">
        <v>147.07</v>
      </c>
      <c r="I1196" t="inlineStr">
        <is>
          <t>INV/2026/04813</t>
        </is>
      </c>
      <c r="J1196" s="9">
        <f>ROUND(F1196-G1196-H1196,2)</f>
        <v>0</v>
      </c>
    </row>
    <row r="1197">
      <c r="A1197" t="inlineStr">
        <is>
          <t>po_1Q0042KX</t>
        </is>
      </c>
      <c r="B1197" s="5" t="n">
        <v>46261</v>
      </c>
      <c r="C1197" t="inlineStr">
        <is>
          <t>ch_3Q001189</t>
        </is>
      </c>
      <c r="D1197" t="inlineStr">
        <is>
          <t>charge</t>
        </is>
      </c>
      <c r="E1197" s="5" t="n">
        <v>46259</v>
      </c>
      <c r="F1197" s="9" t="n">
        <v>120</v>
      </c>
      <c r="G1197" s="9" t="n">
        <v>2.4</v>
      </c>
      <c r="H1197" s="9" t="n">
        <v>117.6</v>
      </c>
      <c r="I1197" t="inlineStr">
        <is>
          <t>INV/2026/04814</t>
        </is>
      </c>
      <c r="J1197" s="9">
        <f>ROUND(F1197-G1197-H1197,2)</f>
        <v>0</v>
      </c>
    </row>
    <row r="1198">
      <c r="A1198" t="inlineStr">
        <is>
          <t>po_1Q0042KX</t>
        </is>
      </c>
      <c r="B1198" s="5" t="n">
        <v>46261</v>
      </c>
      <c r="C1198" t="inlineStr">
        <is>
          <t>ch_3Q001190</t>
        </is>
      </c>
      <c r="D1198" t="inlineStr">
        <is>
          <t>charge</t>
        </is>
      </c>
      <c r="E1198" s="5" t="n">
        <v>46259</v>
      </c>
      <c r="F1198" s="9" t="n">
        <v>220</v>
      </c>
      <c r="G1198" s="9" t="n">
        <v>4.15</v>
      </c>
      <c r="H1198" s="9" t="n">
        <v>215.85</v>
      </c>
      <c r="I1198" t="inlineStr">
        <is>
          <t>INV/2026/04815</t>
        </is>
      </c>
      <c r="J1198" s="9">
        <f>ROUND(F1198-G1198-H1198,2)</f>
        <v>0</v>
      </c>
    </row>
    <row r="1199">
      <c r="A1199" t="inlineStr">
        <is>
          <t>po_1Q0042KX</t>
        </is>
      </c>
      <c r="B1199" s="5" t="n">
        <v>46261</v>
      </c>
      <c r="C1199" t="inlineStr">
        <is>
          <t>ch_3Q001191</t>
        </is>
      </c>
      <c r="D1199" t="inlineStr">
        <is>
          <t>charge</t>
        </is>
      </c>
      <c r="E1199" s="5" t="n">
        <v>46259</v>
      </c>
      <c r="F1199" s="9" t="n">
        <v>220</v>
      </c>
      <c r="G1199" s="9" t="n">
        <v>4.15</v>
      </c>
      <c r="H1199" s="9" t="n">
        <v>215.85</v>
      </c>
      <c r="I1199" t="inlineStr">
        <is>
          <t>INV/2026/04816</t>
        </is>
      </c>
      <c r="J1199" s="9">
        <f>ROUND(F1199-G1199-H1199,2)</f>
        <v>0</v>
      </c>
    </row>
    <row r="1200">
      <c r="A1200" t="inlineStr">
        <is>
          <t>po_1Q0042KX</t>
        </is>
      </c>
      <c r="B1200" s="5" t="n">
        <v>46261</v>
      </c>
      <c r="C1200" t="inlineStr">
        <is>
          <t>ch_3Q001192</t>
        </is>
      </c>
      <c r="D1200" t="inlineStr">
        <is>
          <t>charge</t>
        </is>
      </c>
      <c r="E1200" s="5" t="n">
        <v>46259</v>
      </c>
      <c r="F1200" s="9" t="n">
        <v>135</v>
      </c>
      <c r="G1200" s="9" t="n">
        <v>2.66</v>
      </c>
      <c r="H1200" s="9" t="n">
        <v>132.34</v>
      </c>
      <c r="I1200" t="inlineStr">
        <is>
          <t>INV/2026/04817</t>
        </is>
      </c>
      <c r="J1200" s="9">
        <f>ROUND(F1200-G1200-H1200,2)</f>
        <v>0</v>
      </c>
    </row>
    <row r="1201">
      <c r="A1201" t="inlineStr">
        <is>
          <t>po_1Q0042KX</t>
        </is>
      </c>
      <c r="B1201" s="5" t="n">
        <v>46261</v>
      </c>
      <c r="C1201" t="inlineStr">
        <is>
          <t>ch_3Q001193</t>
        </is>
      </c>
      <c r="D1201" t="inlineStr">
        <is>
          <t>charge</t>
        </is>
      </c>
      <c r="E1201" s="5" t="n">
        <v>46259</v>
      </c>
      <c r="F1201" s="9" t="n">
        <v>110</v>
      </c>
      <c r="G1201" s="9" t="n">
        <v>2.23</v>
      </c>
      <c r="H1201" s="9" t="n">
        <v>107.77</v>
      </c>
      <c r="I1201" t="inlineStr">
        <is>
          <t>INV/2026/04818</t>
        </is>
      </c>
      <c r="J1201" s="9">
        <f>ROUND(F1201-G1201-H1201,2)</f>
        <v>0</v>
      </c>
    </row>
    <row r="1202">
      <c r="A1202" t="inlineStr">
        <is>
          <t>po_1Q0042KX</t>
        </is>
      </c>
      <c r="B1202" s="5" t="n">
        <v>46261</v>
      </c>
      <c r="C1202" t="inlineStr">
        <is>
          <t>ch_3Q001194</t>
        </is>
      </c>
      <c r="D1202" t="inlineStr">
        <is>
          <t>charge</t>
        </is>
      </c>
      <c r="E1202" s="5" t="n">
        <v>46259</v>
      </c>
      <c r="F1202" s="9" t="n">
        <v>95</v>
      </c>
      <c r="G1202" s="9" t="n">
        <v>1.96</v>
      </c>
      <c r="H1202" s="9" t="n">
        <v>93.04000000000001</v>
      </c>
      <c r="I1202" t="inlineStr">
        <is>
          <t>INV/2026/04819</t>
        </is>
      </c>
      <c r="J1202" s="9">
        <f>ROUND(F1202-G1202-H1202,2)</f>
        <v>0</v>
      </c>
    </row>
    <row r="1203">
      <c r="A1203" t="inlineStr">
        <is>
          <t>po_1Q0042KX</t>
        </is>
      </c>
      <c r="B1203" s="5" t="n">
        <v>46261</v>
      </c>
      <c r="C1203" t="inlineStr">
        <is>
          <t>ch_3Q001195</t>
        </is>
      </c>
      <c r="D1203" t="inlineStr">
        <is>
          <t>charge</t>
        </is>
      </c>
      <c r="E1203" s="5" t="n">
        <v>46259</v>
      </c>
      <c r="F1203" s="9" t="n">
        <v>110</v>
      </c>
      <c r="G1203" s="9" t="n">
        <v>2.23</v>
      </c>
      <c r="H1203" s="9" t="n">
        <v>107.77</v>
      </c>
      <c r="I1203" t="inlineStr">
        <is>
          <t>INV/2026/04820</t>
        </is>
      </c>
      <c r="J1203" s="9">
        <f>ROUND(F1203-G1203-H1203,2)</f>
        <v>0</v>
      </c>
    </row>
    <row r="1204">
      <c r="A1204" t="inlineStr">
        <is>
          <t>po_1Q0042KX</t>
        </is>
      </c>
      <c r="B1204" s="5" t="n">
        <v>46261</v>
      </c>
      <c r="C1204" t="inlineStr">
        <is>
          <t>ch_3Q001196</t>
        </is>
      </c>
      <c r="D1204" t="inlineStr">
        <is>
          <t>charge</t>
        </is>
      </c>
      <c r="E1204" s="5" t="n">
        <v>46259</v>
      </c>
      <c r="F1204" s="9" t="n">
        <v>120</v>
      </c>
      <c r="G1204" s="9" t="n">
        <v>2.4</v>
      </c>
      <c r="H1204" s="9" t="n">
        <v>117.6</v>
      </c>
      <c r="I1204" t="inlineStr">
        <is>
          <t>INV/2026/04821</t>
        </is>
      </c>
      <c r="J1204" s="9">
        <f>ROUND(F1204-G1204-H1204,2)</f>
        <v>0</v>
      </c>
    </row>
    <row r="1205">
      <c r="A1205" t="inlineStr">
        <is>
          <t>po_1Q0042KX</t>
        </is>
      </c>
      <c r="B1205" s="5" t="n">
        <v>46261</v>
      </c>
      <c r="C1205" t="inlineStr">
        <is>
          <t>ch_3Q001197</t>
        </is>
      </c>
      <c r="D1205" t="inlineStr">
        <is>
          <t>charge</t>
        </is>
      </c>
      <c r="E1205" s="5" t="n">
        <v>46259</v>
      </c>
      <c r="F1205" s="9" t="n">
        <v>95</v>
      </c>
      <c r="G1205" s="9" t="n">
        <v>1.96</v>
      </c>
      <c r="H1205" s="9" t="n">
        <v>93.04000000000001</v>
      </c>
      <c r="I1205" t="inlineStr">
        <is>
          <t>INV/2026/04822</t>
        </is>
      </c>
      <c r="J1205" s="9">
        <f>ROUND(F1205-G1205-H1205,2)</f>
        <v>0</v>
      </c>
    </row>
    <row r="1206">
      <c r="A1206" t="inlineStr">
        <is>
          <t>po_1Q0043KX</t>
        </is>
      </c>
      <c r="B1206" s="5" t="n">
        <v>46262</v>
      </c>
      <c r="C1206" t="inlineStr">
        <is>
          <t>ch_3Q001198</t>
        </is>
      </c>
      <c r="D1206" t="inlineStr">
        <is>
          <t>charge</t>
        </is>
      </c>
      <c r="E1206" s="5" t="n">
        <v>46260</v>
      </c>
      <c r="F1206" s="9" t="n">
        <v>135</v>
      </c>
      <c r="G1206" s="9" t="n">
        <v>2.66</v>
      </c>
      <c r="H1206" s="9" t="n">
        <v>132.34</v>
      </c>
      <c r="I1206" t="inlineStr">
        <is>
          <t>INV/2026/04823</t>
        </is>
      </c>
      <c r="J1206" s="9">
        <f>ROUND(F1206-G1206-H1206,2)</f>
        <v>0</v>
      </c>
    </row>
    <row r="1207">
      <c r="A1207" t="inlineStr">
        <is>
          <t>po_1Q0043KX</t>
        </is>
      </c>
      <c r="B1207" s="5" t="n">
        <v>46262</v>
      </c>
      <c r="C1207" t="inlineStr">
        <is>
          <t>ch_3Q001199</t>
        </is>
      </c>
      <c r="D1207" t="inlineStr">
        <is>
          <t>charge</t>
        </is>
      </c>
      <c r="E1207" s="5" t="n">
        <v>46260</v>
      </c>
      <c r="F1207" s="9" t="n">
        <v>65</v>
      </c>
      <c r="G1207" s="9" t="n">
        <v>1.44</v>
      </c>
      <c r="H1207" s="9" t="n">
        <v>63.56</v>
      </c>
      <c r="I1207" t="inlineStr">
        <is>
          <t>INV/2026/04824</t>
        </is>
      </c>
      <c r="J1207" s="9">
        <f>ROUND(F1207-G1207-H1207,2)</f>
        <v>0</v>
      </c>
    </row>
    <row r="1208">
      <c r="A1208" t="inlineStr">
        <is>
          <t>po_1Q0043KX</t>
        </is>
      </c>
      <c r="B1208" s="5" t="n">
        <v>46262</v>
      </c>
      <c r="C1208" t="inlineStr">
        <is>
          <t>ch_3Q001200</t>
        </is>
      </c>
      <c r="D1208" t="inlineStr">
        <is>
          <t>charge</t>
        </is>
      </c>
      <c r="E1208" s="5" t="n">
        <v>46260</v>
      </c>
      <c r="F1208" s="9" t="n">
        <v>150</v>
      </c>
      <c r="G1208" s="9" t="n">
        <v>2.93</v>
      </c>
      <c r="H1208" s="9" t="n">
        <v>147.07</v>
      </c>
      <c r="I1208" t="inlineStr">
        <is>
          <t>INV/2026/04825</t>
        </is>
      </c>
      <c r="J1208" s="9">
        <f>ROUND(F1208-G1208-H1208,2)</f>
        <v>0</v>
      </c>
    </row>
    <row r="1209">
      <c r="A1209" t="inlineStr">
        <is>
          <t>po_1Q0043KX</t>
        </is>
      </c>
      <c r="B1209" s="5" t="n">
        <v>46262</v>
      </c>
      <c r="C1209" t="inlineStr">
        <is>
          <t>ch_3Q001201</t>
        </is>
      </c>
      <c r="D1209" t="inlineStr">
        <is>
          <t>charge</t>
        </is>
      </c>
      <c r="E1209" s="5" t="n">
        <v>46260</v>
      </c>
      <c r="F1209" s="9" t="n">
        <v>65</v>
      </c>
      <c r="G1209" s="9" t="n">
        <v>1.44</v>
      </c>
      <c r="H1209" s="9" t="n">
        <v>63.56</v>
      </c>
      <c r="I1209" t="inlineStr">
        <is>
          <t>INV/2026/04826</t>
        </is>
      </c>
      <c r="J1209" s="9">
        <f>ROUND(F1209-G1209-H1209,2)</f>
        <v>0</v>
      </c>
    </row>
    <row r="1210">
      <c r="A1210" t="inlineStr">
        <is>
          <t>po_1Q0043KX</t>
        </is>
      </c>
      <c r="B1210" s="5" t="n">
        <v>46262</v>
      </c>
      <c r="C1210" t="inlineStr">
        <is>
          <t>ch_3Q001202</t>
        </is>
      </c>
      <c r="D1210" t="inlineStr">
        <is>
          <t>charge</t>
        </is>
      </c>
      <c r="E1210" s="5" t="n">
        <v>46260</v>
      </c>
      <c r="F1210" s="9" t="n">
        <v>180</v>
      </c>
      <c r="G1210" s="9" t="n">
        <v>3.45</v>
      </c>
      <c r="H1210" s="9" t="n">
        <v>176.55</v>
      </c>
      <c r="I1210" t="inlineStr">
        <is>
          <t>INV/2026/04827</t>
        </is>
      </c>
      <c r="J1210" s="9">
        <f>ROUND(F1210-G1210-H1210,2)</f>
        <v>0</v>
      </c>
    </row>
    <row r="1211">
      <c r="A1211" t="inlineStr">
        <is>
          <t>po_1Q0043KX</t>
        </is>
      </c>
      <c r="B1211" s="5" t="n">
        <v>46262</v>
      </c>
      <c r="C1211" t="inlineStr">
        <is>
          <t>ch_3Q001203</t>
        </is>
      </c>
      <c r="D1211" t="inlineStr">
        <is>
          <t>charge</t>
        </is>
      </c>
      <c r="E1211" s="5" t="n">
        <v>46260</v>
      </c>
      <c r="F1211" s="9" t="n">
        <v>95</v>
      </c>
      <c r="G1211" s="9" t="n">
        <v>1.96</v>
      </c>
      <c r="H1211" s="9" t="n">
        <v>93.04000000000001</v>
      </c>
      <c r="I1211" t="inlineStr">
        <is>
          <t>INV/2026/04828</t>
        </is>
      </c>
      <c r="J1211" s="9">
        <f>ROUND(F1211-G1211-H1211,2)</f>
        <v>0</v>
      </c>
    </row>
    <row r="1212">
      <c r="A1212" t="inlineStr">
        <is>
          <t>po_1Q0043KX</t>
        </is>
      </c>
      <c r="B1212" s="5" t="n">
        <v>46262</v>
      </c>
      <c r="C1212" t="inlineStr">
        <is>
          <t>ch_3Q001204</t>
        </is>
      </c>
      <c r="D1212" t="inlineStr">
        <is>
          <t>charge</t>
        </is>
      </c>
      <c r="E1212" s="5" t="n">
        <v>46260</v>
      </c>
      <c r="F1212" s="9" t="n">
        <v>95</v>
      </c>
      <c r="G1212" s="9" t="n">
        <v>1.96</v>
      </c>
      <c r="H1212" s="9" t="n">
        <v>93.04000000000001</v>
      </c>
      <c r="I1212" t="inlineStr">
        <is>
          <t>INV/2026/04829</t>
        </is>
      </c>
      <c r="J1212" s="9">
        <f>ROUND(F1212-G1212-H1212,2)</f>
        <v>0</v>
      </c>
    </row>
    <row r="1213">
      <c r="A1213" t="inlineStr">
        <is>
          <t>po_1Q0043KX</t>
        </is>
      </c>
      <c r="B1213" s="5" t="n">
        <v>46262</v>
      </c>
      <c r="C1213" t="inlineStr">
        <is>
          <t>ch_3Q001205</t>
        </is>
      </c>
      <c r="D1213" t="inlineStr">
        <is>
          <t>charge</t>
        </is>
      </c>
      <c r="E1213" s="5" t="n">
        <v>46260</v>
      </c>
      <c r="F1213" s="9" t="n">
        <v>65</v>
      </c>
      <c r="G1213" s="9" t="n">
        <v>1.44</v>
      </c>
      <c r="H1213" s="9" t="n">
        <v>63.56</v>
      </c>
      <c r="I1213" t="inlineStr">
        <is>
          <t>INV/2026/04830</t>
        </is>
      </c>
      <c r="J1213" s="9">
        <f>ROUND(F1213-G1213-H1213,2)</f>
        <v>0</v>
      </c>
    </row>
    <row r="1214">
      <c r="A1214" t="inlineStr">
        <is>
          <t>po_1Q0043KX</t>
        </is>
      </c>
      <c r="B1214" s="5" t="n">
        <v>46262</v>
      </c>
      <c r="C1214" t="inlineStr">
        <is>
          <t>ch_3Q001206</t>
        </is>
      </c>
      <c r="D1214" t="inlineStr">
        <is>
          <t>charge</t>
        </is>
      </c>
      <c r="E1214" s="5" t="n">
        <v>46260</v>
      </c>
      <c r="F1214" s="9" t="n">
        <v>220</v>
      </c>
      <c r="G1214" s="9" t="n">
        <v>4.15</v>
      </c>
      <c r="H1214" s="9" t="n">
        <v>215.85</v>
      </c>
      <c r="I1214" t="inlineStr">
        <is>
          <t>INV/2026/04831</t>
        </is>
      </c>
      <c r="J1214" s="9">
        <f>ROUND(F1214-G1214-H1214,2)</f>
        <v>0</v>
      </c>
    </row>
    <row r="1215">
      <c r="A1215" t="inlineStr">
        <is>
          <t>po_1Q0043KX</t>
        </is>
      </c>
      <c r="B1215" s="5" t="n">
        <v>46262</v>
      </c>
      <c r="C1215" t="inlineStr">
        <is>
          <t>ch_3Q001207</t>
        </is>
      </c>
      <c r="D1215" t="inlineStr">
        <is>
          <t>charge</t>
        </is>
      </c>
      <c r="E1215" s="5" t="n">
        <v>46260</v>
      </c>
      <c r="F1215" s="9" t="n">
        <v>110</v>
      </c>
      <c r="G1215" s="9" t="n">
        <v>2.23</v>
      </c>
      <c r="H1215" s="9" t="n">
        <v>107.77</v>
      </c>
      <c r="I1215" t="inlineStr">
        <is>
          <t>INV/2026/04832</t>
        </is>
      </c>
      <c r="J1215" s="9">
        <f>ROUND(F1215-G1215-H1215,2)</f>
        <v>0</v>
      </c>
    </row>
    <row r="1216">
      <c r="A1216" t="inlineStr">
        <is>
          <t>po_1Q0043KX</t>
        </is>
      </c>
      <c r="B1216" s="5" t="n">
        <v>46262</v>
      </c>
      <c r="C1216" t="inlineStr">
        <is>
          <t>ch_3Q001208</t>
        </is>
      </c>
      <c r="D1216" t="inlineStr">
        <is>
          <t>charge</t>
        </is>
      </c>
      <c r="E1216" s="5" t="n">
        <v>46260</v>
      </c>
      <c r="F1216" s="9" t="n">
        <v>135</v>
      </c>
      <c r="G1216" s="9" t="n">
        <v>2.66</v>
      </c>
      <c r="H1216" s="9" t="n">
        <v>132.34</v>
      </c>
      <c r="I1216" t="inlineStr">
        <is>
          <t>INV/2026/04833</t>
        </is>
      </c>
      <c r="J1216" s="9">
        <f>ROUND(F1216-G1216-H1216,2)</f>
        <v>0</v>
      </c>
    </row>
    <row r="1217">
      <c r="A1217" t="inlineStr">
        <is>
          <t>po_1Q0043KX</t>
        </is>
      </c>
      <c r="B1217" s="5" t="n">
        <v>46262</v>
      </c>
      <c r="C1217" t="inlineStr">
        <is>
          <t>ch_3Q001209</t>
        </is>
      </c>
      <c r="D1217" t="inlineStr">
        <is>
          <t>charge</t>
        </is>
      </c>
      <c r="E1217" s="5" t="n">
        <v>46260</v>
      </c>
      <c r="F1217" s="9" t="n">
        <v>85</v>
      </c>
      <c r="G1217" s="9" t="n">
        <v>1.79</v>
      </c>
      <c r="H1217" s="9" t="n">
        <v>83.20999999999999</v>
      </c>
      <c r="I1217" t="inlineStr">
        <is>
          <t>INV/2026/04834</t>
        </is>
      </c>
      <c r="J1217" s="9">
        <f>ROUND(F1217-G1217-H1217,2)</f>
        <v>0</v>
      </c>
    </row>
    <row r="1218">
      <c r="A1218" t="inlineStr">
        <is>
          <t>po_1Q0043KX</t>
        </is>
      </c>
      <c r="B1218" s="5" t="n">
        <v>46262</v>
      </c>
      <c r="C1218" t="inlineStr">
        <is>
          <t>ch_3Q001210</t>
        </is>
      </c>
      <c r="D1218" t="inlineStr">
        <is>
          <t>charge</t>
        </is>
      </c>
      <c r="E1218" s="5" t="n">
        <v>46260</v>
      </c>
      <c r="F1218" s="9" t="n">
        <v>65</v>
      </c>
      <c r="G1218" s="9" t="n">
        <v>1.44</v>
      </c>
      <c r="H1218" s="9" t="n">
        <v>63.56</v>
      </c>
      <c r="I1218" t="inlineStr">
        <is>
          <t>INV/2026/04835</t>
        </is>
      </c>
      <c r="J1218" s="9">
        <f>ROUND(F1218-G1218-H1218,2)</f>
        <v>0</v>
      </c>
    </row>
    <row r="1219">
      <c r="A1219" t="inlineStr">
        <is>
          <t>po_1Q0043KX</t>
        </is>
      </c>
      <c r="B1219" s="5" t="n">
        <v>46262</v>
      </c>
      <c r="C1219" t="inlineStr">
        <is>
          <t>ch_3Q001211</t>
        </is>
      </c>
      <c r="D1219" t="inlineStr">
        <is>
          <t>charge</t>
        </is>
      </c>
      <c r="E1219" s="5" t="n">
        <v>46260</v>
      </c>
      <c r="F1219" s="9" t="n">
        <v>220</v>
      </c>
      <c r="G1219" s="9" t="n">
        <v>4.15</v>
      </c>
      <c r="H1219" s="9" t="n">
        <v>215.85</v>
      </c>
      <c r="I1219" t="inlineStr">
        <is>
          <t>INV/2026/04836</t>
        </is>
      </c>
      <c r="J1219" s="9">
        <f>ROUND(F1219-G1219-H1219,2)</f>
        <v>0</v>
      </c>
    </row>
    <row r="1220">
      <c r="A1220" t="inlineStr">
        <is>
          <t>po_1Q0043KX</t>
        </is>
      </c>
      <c r="B1220" s="5" t="n">
        <v>46262</v>
      </c>
      <c r="C1220" t="inlineStr">
        <is>
          <t>ch_3Q001212</t>
        </is>
      </c>
      <c r="D1220" t="inlineStr">
        <is>
          <t>charge</t>
        </is>
      </c>
      <c r="E1220" s="5" t="n">
        <v>46260</v>
      </c>
      <c r="F1220" s="9" t="n">
        <v>110</v>
      </c>
      <c r="G1220" s="9" t="n">
        <v>2.23</v>
      </c>
      <c r="H1220" s="9" t="n">
        <v>107.77</v>
      </c>
      <c r="I1220" t="inlineStr">
        <is>
          <t>INV/2026/04837</t>
        </is>
      </c>
      <c r="J1220" s="9">
        <f>ROUND(F1220-G1220-H1220,2)</f>
        <v>0</v>
      </c>
    </row>
    <row r="1221">
      <c r="A1221" t="inlineStr">
        <is>
          <t>po_1Q0043KX</t>
        </is>
      </c>
      <c r="B1221" s="5" t="n">
        <v>46262</v>
      </c>
      <c r="C1221" t="inlineStr">
        <is>
          <t>ch_3Q001213</t>
        </is>
      </c>
      <c r="D1221" t="inlineStr">
        <is>
          <t>charge</t>
        </is>
      </c>
      <c r="E1221" s="5" t="n">
        <v>46260</v>
      </c>
      <c r="F1221" s="9" t="n">
        <v>110</v>
      </c>
      <c r="G1221" s="9" t="n">
        <v>2.23</v>
      </c>
      <c r="H1221" s="9" t="n">
        <v>107.77</v>
      </c>
      <c r="I1221" t="inlineStr">
        <is>
          <t>INV/2026/04838</t>
        </is>
      </c>
      <c r="J1221" s="9">
        <f>ROUND(F1221-G1221-H1221,2)</f>
        <v>0</v>
      </c>
    </row>
    <row r="1222">
      <c r="A1222" t="inlineStr">
        <is>
          <t>po_1Q0043KX</t>
        </is>
      </c>
      <c r="B1222" s="5" t="n">
        <v>46262</v>
      </c>
      <c r="C1222" t="inlineStr">
        <is>
          <t>ch_3Q001214</t>
        </is>
      </c>
      <c r="D1222" t="inlineStr">
        <is>
          <t>charge</t>
        </is>
      </c>
      <c r="E1222" s="5" t="n">
        <v>46260</v>
      </c>
      <c r="F1222" s="9" t="n">
        <v>65</v>
      </c>
      <c r="G1222" s="9" t="n">
        <v>1.44</v>
      </c>
      <c r="H1222" s="9" t="n">
        <v>63.56</v>
      </c>
      <c r="I1222" t="inlineStr">
        <is>
          <t>INV/2026/04839</t>
        </is>
      </c>
      <c r="J1222" s="9">
        <f>ROUND(F1222-G1222-H1222,2)</f>
        <v>0</v>
      </c>
    </row>
    <row r="1223">
      <c r="A1223" t="inlineStr">
        <is>
          <t>po_1Q0043KX</t>
        </is>
      </c>
      <c r="B1223" s="5" t="n">
        <v>46262</v>
      </c>
      <c r="C1223" t="inlineStr">
        <is>
          <t>ch_3Q001215</t>
        </is>
      </c>
      <c r="D1223" t="inlineStr">
        <is>
          <t>charge</t>
        </is>
      </c>
      <c r="E1223" s="5" t="n">
        <v>46260</v>
      </c>
      <c r="F1223" s="9" t="n">
        <v>135</v>
      </c>
      <c r="G1223" s="9" t="n">
        <v>2.66</v>
      </c>
      <c r="H1223" s="9" t="n">
        <v>132.34</v>
      </c>
      <c r="I1223" t="inlineStr">
        <is>
          <t>INV/2026/04840</t>
        </is>
      </c>
      <c r="J1223" s="9">
        <f>ROUND(F1223-G1223-H1223,2)</f>
        <v>0</v>
      </c>
    </row>
    <row r="1224">
      <c r="A1224" t="inlineStr">
        <is>
          <t>po_1Q0043KX</t>
        </is>
      </c>
      <c r="B1224" s="5" t="n">
        <v>46262</v>
      </c>
      <c r="C1224" t="inlineStr">
        <is>
          <t>ch_3Q001216</t>
        </is>
      </c>
      <c r="D1224" t="inlineStr">
        <is>
          <t>charge</t>
        </is>
      </c>
      <c r="E1224" s="5" t="n">
        <v>46260</v>
      </c>
      <c r="F1224" s="9" t="n">
        <v>135</v>
      </c>
      <c r="G1224" s="9" t="n">
        <v>2.66</v>
      </c>
      <c r="H1224" s="9" t="n">
        <v>132.34</v>
      </c>
      <c r="I1224" t="inlineStr">
        <is>
          <t>INV/2026/04841</t>
        </is>
      </c>
      <c r="J1224" s="9">
        <f>ROUND(F1224-G1224-H1224,2)</f>
        <v>0</v>
      </c>
    </row>
    <row r="1225">
      <c r="A1225" t="inlineStr">
        <is>
          <t>po_1Q0043KX</t>
        </is>
      </c>
      <c r="B1225" s="5" t="n">
        <v>46262</v>
      </c>
      <c r="C1225" t="inlineStr">
        <is>
          <t>ch_3Q001217</t>
        </is>
      </c>
      <c r="D1225" t="inlineStr">
        <is>
          <t>charge</t>
        </is>
      </c>
      <c r="E1225" s="5" t="n">
        <v>46260</v>
      </c>
      <c r="F1225" s="9" t="n">
        <v>180</v>
      </c>
      <c r="G1225" s="9" t="n">
        <v>3.45</v>
      </c>
      <c r="H1225" s="9" t="n">
        <v>176.55</v>
      </c>
      <c r="I1225" t="inlineStr">
        <is>
          <t>INV/2026/04842</t>
        </is>
      </c>
      <c r="J1225" s="9">
        <f>ROUND(F1225-G1225-H1225,2)</f>
        <v>0</v>
      </c>
    </row>
    <row r="1226">
      <c r="A1226" t="inlineStr">
        <is>
          <t>po_1Q0043KX</t>
        </is>
      </c>
      <c r="B1226" s="5" t="n">
        <v>46262</v>
      </c>
      <c r="C1226" t="inlineStr">
        <is>
          <t>ch_3Q001218</t>
        </is>
      </c>
      <c r="D1226" t="inlineStr">
        <is>
          <t>charge</t>
        </is>
      </c>
      <c r="E1226" s="5" t="n">
        <v>46260</v>
      </c>
      <c r="F1226" s="9" t="n">
        <v>110</v>
      </c>
      <c r="G1226" s="9" t="n">
        <v>2.23</v>
      </c>
      <c r="H1226" s="9" t="n">
        <v>107.77</v>
      </c>
      <c r="I1226" t="inlineStr">
        <is>
          <t>INV/2026/04843</t>
        </is>
      </c>
      <c r="J1226" s="9">
        <f>ROUND(F1226-G1226-H1226,2)</f>
        <v>0</v>
      </c>
    </row>
    <row r="1227">
      <c r="A1227" t="inlineStr">
        <is>
          <t>po_1Q0043KX</t>
        </is>
      </c>
      <c r="B1227" s="5" t="n">
        <v>46262</v>
      </c>
      <c r="C1227" t="inlineStr">
        <is>
          <t>ch_3Q001219</t>
        </is>
      </c>
      <c r="D1227" t="inlineStr">
        <is>
          <t>charge</t>
        </is>
      </c>
      <c r="E1227" s="5" t="n">
        <v>46260</v>
      </c>
      <c r="F1227" s="9" t="n">
        <v>110</v>
      </c>
      <c r="G1227" s="9" t="n">
        <v>2.23</v>
      </c>
      <c r="H1227" s="9" t="n">
        <v>107.77</v>
      </c>
      <c r="I1227" t="inlineStr">
        <is>
          <t>INV/2026/04844</t>
        </is>
      </c>
      <c r="J1227" s="9">
        <f>ROUND(F1227-G1227-H1227,2)</f>
        <v>0</v>
      </c>
    </row>
    <row r="1228">
      <c r="A1228" t="inlineStr">
        <is>
          <t>po_1Q0043KX</t>
        </is>
      </c>
      <c r="B1228" s="5" t="n">
        <v>46262</v>
      </c>
      <c r="C1228" t="inlineStr">
        <is>
          <t>ch_3Q001220</t>
        </is>
      </c>
      <c r="D1228" t="inlineStr">
        <is>
          <t>charge</t>
        </is>
      </c>
      <c r="E1228" s="5" t="n">
        <v>46260</v>
      </c>
      <c r="F1228" s="9" t="n">
        <v>180</v>
      </c>
      <c r="G1228" s="9" t="n">
        <v>3.45</v>
      </c>
      <c r="H1228" s="9" t="n">
        <v>176.55</v>
      </c>
      <c r="I1228" t="inlineStr">
        <is>
          <t>INV/2026/04845</t>
        </is>
      </c>
      <c r="J1228" s="9">
        <f>ROUND(F1228-G1228-H1228,2)</f>
        <v>0</v>
      </c>
    </row>
    <row r="1229">
      <c r="A1229" t="inlineStr">
        <is>
          <t>po_1Q0043KX</t>
        </is>
      </c>
      <c r="B1229" s="5" t="n">
        <v>46262</v>
      </c>
      <c r="C1229" t="inlineStr">
        <is>
          <t>ch_3Q001221</t>
        </is>
      </c>
      <c r="D1229" t="inlineStr">
        <is>
          <t>charge</t>
        </is>
      </c>
      <c r="E1229" s="5" t="n">
        <v>46260</v>
      </c>
      <c r="F1229" s="9" t="n">
        <v>85</v>
      </c>
      <c r="G1229" s="9" t="n">
        <v>1.79</v>
      </c>
      <c r="H1229" s="9" t="n">
        <v>83.20999999999999</v>
      </c>
      <c r="I1229" t="inlineStr">
        <is>
          <t>INV/2026/04846</t>
        </is>
      </c>
      <c r="J1229" s="9">
        <f>ROUND(F1229-G1229-H1229,2)</f>
        <v>0</v>
      </c>
    </row>
    <row r="1230">
      <c r="A1230" t="inlineStr">
        <is>
          <t>po_1Q0043KX</t>
        </is>
      </c>
      <c r="B1230" s="5" t="n">
        <v>46262</v>
      </c>
      <c r="C1230" t="inlineStr">
        <is>
          <t>ch_3Q001222</t>
        </is>
      </c>
      <c r="D1230" t="inlineStr">
        <is>
          <t>charge</t>
        </is>
      </c>
      <c r="E1230" s="5" t="n">
        <v>46260</v>
      </c>
      <c r="F1230" s="9" t="n">
        <v>110</v>
      </c>
      <c r="G1230" s="9" t="n">
        <v>2.23</v>
      </c>
      <c r="H1230" s="9" t="n">
        <v>107.77</v>
      </c>
      <c r="I1230" t="inlineStr">
        <is>
          <t>INV/2026/04847</t>
        </is>
      </c>
      <c r="J1230" s="9">
        <f>ROUND(F1230-G1230-H1230,2)</f>
        <v>0</v>
      </c>
    </row>
    <row r="1231">
      <c r="A1231" t="inlineStr">
        <is>
          <t>po_1Q0043KX</t>
        </is>
      </c>
      <c r="B1231" s="5" t="n">
        <v>46262</v>
      </c>
      <c r="C1231" t="inlineStr">
        <is>
          <t>ch_3Q001223</t>
        </is>
      </c>
      <c r="D1231" t="inlineStr">
        <is>
          <t>charge</t>
        </is>
      </c>
      <c r="E1231" s="5" t="n">
        <v>46260</v>
      </c>
      <c r="F1231" s="9" t="n">
        <v>110</v>
      </c>
      <c r="G1231" s="9" t="n">
        <v>2.23</v>
      </c>
      <c r="H1231" s="9" t="n">
        <v>107.77</v>
      </c>
      <c r="I1231" t="inlineStr">
        <is>
          <t>INV/2026/04848</t>
        </is>
      </c>
      <c r="J1231" s="9">
        <f>ROUND(F1231-G1231-H1231,2)</f>
        <v>0</v>
      </c>
    </row>
    <row r="1232">
      <c r="A1232" t="inlineStr">
        <is>
          <t>po_1Q0043KX</t>
        </is>
      </c>
      <c r="B1232" s="5" t="n">
        <v>46262</v>
      </c>
      <c r="C1232" t="inlineStr">
        <is>
          <t>ch_3Q001224</t>
        </is>
      </c>
      <c r="D1232" t="inlineStr">
        <is>
          <t>charge</t>
        </is>
      </c>
      <c r="E1232" s="5" t="n">
        <v>46260</v>
      </c>
      <c r="F1232" s="9" t="n">
        <v>85</v>
      </c>
      <c r="G1232" s="9" t="n">
        <v>1.79</v>
      </c>
      <c r="H1232" s="9" t="n">
        <v>83.20999999999999</v>
      </c>
      <c r="I1232" t="inlineStr">
        <is>
          <t>INV/2026/04849</t>
        </is>
      </c>
      <c r="J1232" s="9">
        <f>ROUND(F1232-G1232-H1232,2)</f>
        <v>0</v>
      </c>
    </row>
    <row r="1233">
      <c r="A1233" t="inlineStr">
        <is>
          <t>po_1Q0043KX</t>
        </is>
      </c>
      <c r="B1233" s="5" t="n">
        <v>46262</v>
      </c>
      <c r="C1233" t="inlineStr">
        <is>
          <t>ch_3Q001225</t>
        </is>
      </c>
      <c r="D1233" t="inlineStr">
        <is>
          <t>charge</t>
        </is>
      </c>
      <c r="E1233" s="5" t="n">
        <v>46260</v>
      </c>
      <c r="F1233" s="9" t="n">
        <v>135</v>
      </c>
      <c r="G1233" s="9" t="n">
        <v>2.66</v>
      </c>
      <c r="H1233" s="9" t="n">
        <v>132.34</v>
      </c>
      <c r="I1233" t="inlineStr">
        <is>
          <t>INV/2026/04850</t>
        </is>
      </c>
      <c r="J1233" s="9">
        <f>ROUND(F1233-G1233-H1233,2)</f>
        <v>0</v>
      </c>
    </row>
    <row r="1234">
      <c r="A1234" t="inlineStr">
        <is>
          <t>po_1Q0044KX</t>
        </is>
      </c>
      <c r="B1234" s="5" t="n">
        <v>46265</v>
      </c>
      <c r="C1234" t="inlineStr">
        <is>
          <t>ch_3Q001226</t>
        </is>
      </c>
      <c r="D1234" t="inlineStr">
        <is>
          <t>charge</t>
        </is>
      </c>
      <c r="E1234" s="5" t="n">
        <v>46261</v>
      </c>
      <c r="F1234" s="9" t="n">
        <v>95</v>
      </c>
      <c r="G1234" s="9" t="n">
        <v>1.96</v>
      </c>
      <c r="H1234" s="9" t="n">
        <v>93.04000000000001</v>
      </c>
      <c r="I1234" t="inlineStr">
        <is>
          <t>INV/2026/04851</t>
        </is>
      </c>
      <c r="J1234" s="9">
        <f>ROUND(F1234-G1234-H1234,2)</f>
        <v>0</v>
      </c>
    </row>
    <row r="1235">
      <c r="A1235" t="inlineStr">
        <is>
          <t>po_1Q0044KX</t>
        </is>
      </c>
      <c r="B1235" s="5" t="n">
        <v>46265</v>
      </c>
      <c r="C1235" t="inlineStr">
        <is>
          <t>ch_3Q001227</t>
        </is>
      </c>
      <c r="D1235" t="inlineStr">
        <is>
          <t>charge</t>
        </is>
      </c>
      <c r="E1235" s="5" t="n">
        <v>46261</v>
      </c>
      <c r="F1235" s="9" t="n">
        <v>135</v>
      </c>
      <c r="G1235" s="9" t="n">
        <v>2.66</v>
      </c>
      <c r="H1235" s="9" t="n">
        <v>132.34</v>
      </c>
      <c r="I1235" t="inlineStr">
        <is>
          <t>INV/2026/04852</t>
        </is>
      </c>
      <c r="J1235" s="9">
        <f>ROUND(F1235-G1235-H1235,2)</f>
        <v>0</v>
      </c>
    </row>
    <row r="1236">
      <c r="A1236" t="inlineStr">
        <is>
          <t>po_1Q0044KX</t>
        </is>
      </c>
      <c r="B1236" s="5" t="n">
        <v>46265</v>
      </c>
      <c r="C1236" t="inlineStr">
        <is>
          <t>ch_3Q001228</t>
        </is>
      </c>
      <c r="D1236" t="inlineStr">
        <is>
          <t>charge</t>
        </is>
      </c>
      <c r="E1236" s="5" t="n">
        <v>46261</v>
      </c>
      <c r="F1236" s="9" t="n">
        <v>95</v>
      </c>
      <c r="G1236" s="9" t="n">
        <v>1.96</v>
      </c>
      <c r="H1236" s="9" t="n">
        <v>93.04000000000001</v>
      </c>
      <c r="I1236" t="inlineStr">
        <is>
          <t>INV/2026/04853</t>
        </is>
      </c>
      <c r="J1236" s="9">
        <f>ROUND(F1236-G1236-H1236,2)</f>
        <v>0</v>
      </c>
    </row>
    <row r="1237">
      <c r="A1237" t="inlineStr">
        <is>
          <t>po_1Q0044KX</t>
        </is>
      </c>
      <c r="B1237" s="5" t="n">
        <v>46265</v>
      </c>
      <c r="C1237" t="inlineStr">
        <is>
          <t>ch_3Q001229</t>
        </is>
      </c>
      <c r="D1237" t="inlineStr">
        <is>
          <t>charge</t>
        </is>
      </c>
      <c r="E1237" s="5" t="n">
        <v>46261</v>
      </c>
      <c r="F1237" s="9" t="n">
        <v>95</v>
      </c>
      <c r="G1237" s="9" t="n">
        <v>1.96</v>
      </c>
      <c r="H1237" s="9" t="n">
        <v>93.04000000000001</v>
      </c>
      <c r="I1237" t="inlineStr">
        <is>
          <t>INV/2026/04854</t>
        </is>
      </c>
      <c r="J1237" s="9">
        <f>ROUND(F1237-G1237-H1237,2)</f>
        <v>0</v>
      </c>
    </row>
    <row r="1238">
      <c r="A1238" t="inlineStr">
        <is>
          <t>po_1Q0044KX</t>
        </is>
      </c>
      <c r="B1238" s="5" t="n">
        <v>46265</v>
      </c>
      <c r="C1238" t="inlineStr">
        <is>
          <t>ch_3Q001230</t>
        </is>
      </c>
      <c r="D1238" t="inlineStr">
        <is>
          <t>charge</t>
        </is>
      </c>
      <c r="E1238" s="5" t="n">
        <v>46261</v>
      </c>
      <c r="F1238" s="9" t="n">
        <v>110</v>
      </c>
      <c r="G1238" s="9" t="n">
        <v>2.23</v>
      </c>
      <c r="H1238" s="9" t="n">
        <v>107.77</v>
      </c>
      <c r="I1238" t="inlineStr">
        <is>
          <t>INV/2026/04855</t>
        </is>
      </c>
      <c r="J1238" s="9">
        <f>ROUND(F1238-G1238-H1238,2)</f>
        <v>0</v>
      </c>
    </row>
    <row r="1239">
      <c r="A1239" t="inlineStr">
        <is>
          <t>po_1Q0044KX</t>
        </is>
      </c>
      <c r="B1239" s="5" t="n">
        <v>46265</v>
      </c>
      <c r="C1239" t="inlineStr">
        <is>
          <t>ch_3Q001231</t>
        </is>
      </c>
      <c r="D1239" t="inlineStr">
        <is>
          <t>charge</t>
        </is>
      </c>
      <c r="E1239" s="5" t="n">
        <v>46261</v>
      </c>
      <c r="F1239" s="9" t="n">
        <v>65</v>
      </c>
      <c r="G1239" s="9" t="n">
        <v>1.44</v>
      </c>
      <c r="H1239" s="9" t="n">
        <v>63.56</v>
      </c>
      <c r="I1239" t="inlineStr">
        <is>
          <t>INV/2026/04856</t>
        </is>
      </c>
      <c r="J1239" s="9">
        <f>ROUND(F1239-G1239-H1239,2)</f>
        <v>0</v>
      </c>
    </row>
    <row r="1240">
      <c r="A1240" t="inlineStr">
        <is>
          <t>po_1Q0044KX</t>
        </is>
      </c>
      <c r="B1240" s="5" t="n">
        <v>46265</v>
      </c>
      <c r="C1240" t="inlineStr">
        <is>
          <t>ch_3Q001232</t>
        </is>
      </c>
      <c r="D1240" t="inlineStr">
        <is>
          <t>charge</t>
        </is>
      </c>
      <c r="E1240" s="5" t="n">
        <v>46261</v>
      </c>
      <c r="F1240" s="9" t="n">
        <v>220</v>
      </c>
      <c r="G1240" s="9" t="n">
        <v>4.15</v>
      </c>
      <c r="H1240" s="9" t="n">
        <v>215.85</v>
      </c>
      <c r="I1240" t="inlineStr">
        <is>
          <t>INV/2026/04857</t>
        </is>
      </c>
      <c r="J1240" s="9">
        <f>ROUND(F1240-G1240-H1240,2)</f>
        <v>0</v>
      </c>
    </row>
    <row r="1241">
      <c r="A1241" t="inlineStr">
        <is>
          <t>po_1Q0044KX</t>
        </is>
      </c>
      <c r="B1241" s="5" t="n">
        <v>46265</v>
      </c>
      <c r="C1241" t="inlineStr">
        <is>
          <t>ch_3Q001233</t>
        </is>
      </c>
      <c r="D1241" t="inlineStr">
        <is>
          <t>charge</t>
        </is>
      </c>
      <c r="E1241" s="5" t="n">
        <v>46261</v>
      </c>
      <c r="F1241" s="9" t="n">
        <v>220</v>
      </c>
      <c r="G1241" s="9" t="n">
        <v>4.15</v>
      </c>
      <c r="H1241" s="9" t="n">
        <v>215.85</v>
      </c>
      <c r="I1241" t="inlineStr">
        <is>
          <t>INV/2026/04858</t>
        </is>
      </c>
      <c r="J1241" s="9">
        <f>ROUND(F1241-G1241-H1241,2)</f>
        <v>0</v>
      </c>
    </row>
    <row r="1242">
      <c r="A1242" t="inlineStr">
        <is>
          <t>po_1Q0044KX</t>
        </is>
      </c>
      <c r="B1242" s="5" t="n">
        <v>46265</v>
      </c>
      <c r="C1242" t="inlineStr">
        <is>
          <t>ch_3Q001234</t>
        </is>
      </c>
      <c r="D1242" t="inlineStr">
        <is>
          <t>charge</t>
        </is>
      </c>
      <c r="E1242" s="5" t="n">
        <v>46261</v>
      </c>
      <c r="F1242" s="9" t="n">
        <v>220</v>
      </c>
      <c r="G1242" s="9" t="n">
        <v>4.15</v>
      </c>
      <c r="H1242" s="9" t="n">
        <v>215.85</v>
      </c>
      <c r="I1242" t="inlineStr">
        <is>
          <t>INV/2026/04859</t>
        </is>
      </c>
      <c r="J1242" s="9">
        <f>ROUND(F1242-G1242-H1242,2)</f>
        <v>0</v>
      </c>
    </row>
    <row r="1243">
      <c r="A1243" t="inlineStr">
        <is>
          <t>po_1Q0044KX</t>
        </is>
      </c>
      <c r="B1243" s="5" t="n">
        <v>46265</v>
      </c>
      <c r="C1243" t="inlineStr">
        <is>
          <t>ch_3Q001235</t>
        </is>
      </c>
      <c r="D1243" t="inlineStr">
        <is>
          <t>charge</t>
        </is>
      </c>
      <c r="E1243" s="5" t="n">
        <v>46261</v>
      </c>
      <c r="F1243" s="9" t="n">
        <v>110</v>
      </c>
      <c r="G1243" s="9" t="n">
        <v>2.23</v>
      </c>
      <c r="H1243" s="9" t="n">
        <v>107.77</v>
      </c>
      <c r="I1243" t="inlineStr">
        <is>
          <t>INV/2026/04860</t>
        </is>
      </c>
      <c r="J1243" s="9">
        <f>ROUND(F1243-G1243-H1243,2)</f>
        <v>0</v>
      </c>
    </row>
    <row r="1244">
      <c r="A1244" t="inlineStr">
        <is>
          <t>po_1Q0044KX</t>
        </is>
      </c>
      <c r="B1244" s="5" t="n">
        <v>46265</v>
      </c>
      <c r="C1244" t="inlineStr">
        <is>
          <t>ch_3Q001236</t>
        </is>
      </c>
      <c r="D1244" t="inlineStr">
        <is>
          <t>charge</t>
        </is>
      </c>
      <c r="E1244" s="5" t="n">
        <v>46261</v>
      </c>
      <c r="F1244" s="9" t="n">
        <v>95</v>
      </c>
      <c r="G1244" s="9" t="n">
        <v>1.96</v>
      </c>
      <c r="H1244" s="9" t="n">
        <v>93.04000000000001</v>
      </c>
      <c r="I1244" t="inlineStr">
        <is>
          <t>INV/2026/04861</t>
        </is>
      </c>
      <c r="J1244" s="9">
        <f>ROUND(F1244-G1244-H1244,2)</f>
        <v>0</v>
      </c>
    </row>
    <row r="1245">
      <c r="A1245" t="inlineStr">
        <is>
          <t>po_1Q0044KX</t>
        </is>
      </c>
      <c r="B1245" s="5" t="n">
        <v>46265</v>
      </c>
      <c r="C1245" t="inlineStr">
        <is>
          <t>ch_3Q001237</t>
        </is>
      </c>
      <c r="D1245" t="inlineStr">
        <is>
          <t>charge</t>
        </is>
      </c>
      <c r="E1245" s="5" t="n">
        <v>46261</v>
      </c>
      <c r="F1245" s="9" t="n">
        <v>120</v>
      </c>
      <c r="G1245" s="9" t="n">
        <v>2.4</v>
      </c>
      <c r="H1245" s="9" t="n">
        <v>117.6</v>
      </c>
      <c r="I1245" t="inlineStr">
        <is>
          <t>INV/2026/04862</t>
        </is>
      </c>
      <c r="J1245" s="9">
        <f>ROUND(F1245-G1245-H1245,2)</f>
        <v>0</v>
      </c>
    </row>
    <row r="1246">
      <c r="A1246" t="inlineStr">
        <is>
          <t>po_1Q0044KX</t>
        </is>
      </c>
      <c r="B1246" s="5" t="n">
        <v>46265</v>
      </c>
      <c r="C1246" t="inlineStr">
        <is>
          <t>ch_3Q001238</t>
        </is>
      </c>
      <c r="D1246" t="inlineStr">
        <is>
          <t>charge</t>
        </is>
      </c>
      <c r="E1246" s="5" t="n">
        <v>46261</v>
      </c>
      <c r="F1246" s="9" t="n">
        <v>120</v>
      </c>
      <c r="G1246" s="9" t="n">
        <v>2.4</v>
      </c>
      <c r="H1246" s="9" t="n">
        <v>117.6</v>
      </c>
      <c r="I1246" t="inlineStr">
        <is>
          <t>INV/2026/04863</t>
        </is>
      </c>
      <c r="J1246" s="9">
        <f>ROUND(F1246-G1246-H1246,2)</f>
        <v>0</v>
      </c>
    </row>
    <row r="1247">
      <c r="A1247" t="inlineStr">
        <is>
          <t>po_1Q0044KX</t>
        </is>
      </c>
      <c r="B1247" s="5" t="n">
        <v>46265</v>
      </c>
      <c r="C1247" t="inlineStr">
        <is>
          <t>ch_3Q001239</t>
        </is>
      </c>
      <c r="D1247" t="inlineStr">
        <is>
          <t>charge</t>
        </is>
      </c>
      <c r="E1247" s="5" t="n">
        <v>46261</v>
      </c>
      <c r="F1247" s="9" t="n">
        <v>95</v>
      </c>
      <c r="G1247" s="9" t="n">
        <v>1.96</v>
      </c>
      <c r="H1247" s="9" t="n">
        <v>93.04000000000001</v>
      </c>
      <c r="I1247" t="inlineStr">
        <is>
          <t>INV/2026/04864</t>
        </is>
      </c>
      <c r="J1247" s="9">
        <f>ROUND(F1247-G1247-H1247,2)</f>
        <v>0</v>
      </c>
    </row>
    <row r="1248">
      <c r="A1248" t="inlineStr">
        <is>
          <t>po_1Q0044KX</t>
        </is>
      </c>
      <c r="B1248" s="5" t="n">
        <v>46265</v>
      </c>
      <c r="C1248" t="inlineStr">
        <is>
          <t>ch_3Q001240</t>
        </is>
      </c>
      <c r="D1248" t="inlineStr">
        <is>
          <t>charge</t>
        </is>
      </c>
      <c r="E1248" s="5" t="n">
        <v>46261</v>
      </c>
      <c r="F1248" s="9" t="n">
        <v>65</v>
      </c>
      <c r="G1248" s="9" t="n">
        <v>1.44</v>
      </c>
      <c r="H1248" s="9" t="n">
        <v>63.56</v>
      </c>
      <c r="I1248" t="inlineStr">
        <is>
          <t>INV/2026/04865</t>
        </is>
      </c>
      <c r="J1248" s="9">
        <f>ROUND(F1248-G1248-H1248,2)</f>
        <v>0</v>
      </c>
    </row>
    <row r="1249">
      <c r="A1249" t="inlineStr">
        <is>
          <t>po_1Q0044KX</t>
        </is>
      </c>
      <c r="B1249" s="5" t="n">
        <v>46265</v>
      </c>
      <c r="C1249" t="inlineStr">
        <is>
          <t>ch_3Q001241</t>
        </is>
      </c>
      <c r="D1249" t="inlineStr">
        <is>
          <t>charge</t>
        </is>
      </c>
      <c r="E1249" s="5" t="n">
        <v>46261</v>
      </c>
      <c r="F1249" s="9" t="n">
        <v>135</v>
      </c>
      <c r="G1249" s="9" t="n">
        <v>2.66</v>
      </c>
      <c r="H1249" s="9" t="n">
        <v>132.34</v>
      </c>
      <c r="I1249" t="inlineStr">
        <is>
          <t>INV/2026/04866</t>
        </is>
      </c>
      <c r="J1249" s="9">
        <f>ROUND(F1249-G1249-H1249,2)</f>
        <v>0</v>
      </c>
    </row>
    <row r="1250">
      <c r="A1250" t="inlineStr">
        <is>
          <t>po_1Q0044KX</t>
        </is>
      </c>
      <c r="B1250" s="5" t="n">
        <v>46265</v>
      </c>
      <c r="C1250" t="inlineStr">
        <is>
          <t>ch_3Q001242</t>
        </is>
      </c>
      <c r="D1250" t="inlineStr">
        <is>
          <t>charge</t>
        </is>
      </c>
      <c r="E1250" s="5" t="n">
        <v>46261</v>
      </c>
      <c r="F1250" s="9" t="n">
        <v>220</v>
      </c>
      <c r="G1250" s="9" t="n">
        <v>4.15</v>
      </c>
      <c r="H1250" s="9" t="n">
        <v>215.85</v>
      </c>
      <c r="I1250" t="inlineStr">
        <is>
          <t>INV/2026/04867</t>
        </is>
      </c>
      <c r="J1250" s="9">
        <f>ROUND(F1250-G1250-H1250,2)</f>
        <v>0</v>
      </c>
    </row>
    <row r="1251">
      <c r="A1251" t="inlineStr">
        <is>
          <t>po_1Q0044KX</t>
        </is>
      </c>
      <c r="B1251" s="5" t="n">
        <v>46265</v>
      </c>
      <c r="C1251" t="inlineStr">
        <is>
          <t>ch_3Q001243</t>
        </is>
      </c>
      <c r="D1251" t="inlineStr">
        <is>
          <t>charge</t>
        </is>
      </c>
      <c r="E1251" s="5" t="n">
        <v>46261</v>
      </c>
      <c r="F1251" s="9" t="n">
        <v>65</v>
      </c>
      <c r="G1251" s="9" t="n">
        <v>1.44</v>
      </c>
      <c r="H1251" s="9" t="n">
        <v>63.56</v>
      </c>
      <c r="I1251" t="inlineStr">
        <is>
          <t>INV/2026/04868</t>
        </is>
      </c>
      <c r="J1251" s="9">
        <f>ROUND(F1251-G1251-H1251,2)</f>
        <v>0</v>
      </c>
    </row>
    <row r="1252">
      <c r="A1252" t="inlineStr">
        <is>
          <t>po_1Q0044KX</t>
        </is>
      </c>
      <c r="B1252" s="5" t="n">
        <v>46265</v>
      </c>
      <c r="C1252" t="inlineStr">
        <is>
          <t>ch_3Q001244</t>
        </is>
      </c>
      <c r="D1252" t="inlineStr">
        <is>
          <t>charge</t>
        </is>
      </c>
      <c r="E1252" s="5" t="n">
        <v>46261</v>
      </c>
      <c r="F1252" s="9" t="n">
        <v>110</v>
      </c>
      <c r="G1252" s="9" t="n">
        <v>2.23</v>
      </c>
      <c r="H1252" s="9" t="n">
        <v>107.77</v>
      </c>
      <c r="I1252" t="inlineStr">
        <is>
          <t>INV/2026/04869</t>
        </is>
      </c>
      <c r="J1252" s="9">
        <f>ROUND(F1252-G1252-H1252,2)</f>
        <v>0</v>
      </c>
    </row>
    <row r="1253">
      <c r="A1253" t="inlineStr">
        <is>
          <t>po_1Q0044KX</t>
        </is>
      </c>
      <c r="B1253" s="5" t="n">
        <v>46265</v>
      </c>
      <c r="C1253" t="inlineStr">
        <is>
          <t>ch_3Q001245</t>
        </is>
      </c>
      <c r="D1253" t="inlineStr">
        <is>
          <t>charge</t>
        </is>
      </c>
      <c r="E1253" s="5" t="n">
        <v>46261</v>
      </c>
      <c r="F1253" s="9" t="n">
        <v>180</v>
      </c>
      <c r="G1253" s="9" t="n">
        <v>3.45</v>
      </c>
      <c r="H1253" s="9" t="n">
        <v>176.55</v>
      </c>
      <c r="I1253" t="inlineStr">
        <is>
          <t>INV/2026/04870</t>
        </is>
      </c>
      <c r="J1253" s="9">
        <f>ROUND(F1253-G1253-H1253,2)</f>
        <v>0</v>
      </c>
    </row>
    <row r="1254">
      <c r="A1254" t="inlineStr">
        <is>
          <t>po_1Q0044KX</t>
        </is>
      </c>
      <c r="B1254" s="5" t="n">
        <v>46265</v>
      </c>
      <c r="C1254" t="inlineStr">
        <is>
          <t>ch_3Q001246</t>
        </is>
      </c>
      <c r="D1254" t="inlineStr">
        <is>
          <t>charge</t>
        </is>
      </c>
      <c r="E1254" s="5" t="n">
        <v>46261</v>
      </c>
      <c r="F1254" s="9" t="n">
        <v>120</v>
      </c>
      <c r="G1254" s="9" t="n">
        <v>2.4</v>
      </c>
      <c r="H1254" s="9" t="n">
        <v>117.6</v>
      </c>
      <c r="I1254" t="inlineStr">
        <is>
          <t>INV/2026/04871</t>
        </is>
      </c>
      <c r="J1254" s="9">
        <f>ROUND(F1254-G1254-H1254,2)</f>
        <v>0</v>
      </c>
    </row>
    <row r="1255">
      <c r="A1255" t="inlineStr">
        <is>
          <t>po_1Q0044KX</t>
        </is>
      </c>
      <c r="B1255" s="5" t="n">
        <v>46265</v>
      </c>
      <c r="C1255" t="inlineStr">
        <is>
          <t>ch_3Q001247</t>
        </is>
      </c>
      <c r="D1255" t="inlineStr">
        <is>
          <t>charge</t>
        </is>
      </c>
      <c r="E1255" s="5" t="n">
        <v>46261</v>
      </c>
      <c r="F1255" s="9" t="n">
        <v>95</v>
      </c>
      <c r="G1255" s="9" t="n">
        <v>1.96</v>
      </c>
      <c r="H1255" s="9" t="n">
        <v>93.04000000000001</v>
      </c>
      <c r="I1255" t="inlineStr">
        <is>
          <t>INV/2026/04872</t>
        </is>
      </c>
      <c r="J1255" s="9">
        <f>ROUND(F1255-G1255-H1255,2)</f>
        <v>0</v>
      </c>
    </row>
    <row r="1256">
      <c r="A1256" t="inlineStr">
        <is>
          <t>po_1Q0044KX</t>
        </is>
      </c>
      <c r="B1256" s="5" t="n">
        <v>46265</v>
      </c>
      <c r="C1256" t="inlineStr">
        <is>
          <t>ch_3Q001248</t>
        </is>
      </c>
      <c r="D1256" t="inlineStr">
        <is>
          <t>charge</t>
        </is>
      </c>
      <c r="E1256" s="5" t="n">
        <v>46261</v>
      </c>
      <c r="F1256" s="9" t="n">
        <v>220</v>
      </c>
      <c r="G1256" s="9" t="n">
        <v>4.15</v>
      </c>
      <c r="H1256" s="9" t="n">
        <v>215.85</v>
      </c>
      <c r="I1256" t="inlineStr">
        <is>
          <t>INV/2026/04873</t>
        </is>
      </c>
      <c r="J1256" s="9">
        <f>ROUND(F1256-G1256-H1256,2)</f>
        <v>0</v>
      </c>
    </row>
    <row r="1257">
      <c r="A1257" t="inlineStr">
        <is>
          <t>po_1Q0044KX</t>
        </is>
      </c>
      <c r="B1257" s="5" t="n">
        <v>46265</v>
      </c>
      <c r="C1257" t="inlineStr">
        <is>
          <t>ch_3Q001249</t>
        </is>
      </c>
      <c r="D1257" t="inlineStr">
        <is>
          <t>charge</t>
        </is>
      </c>
      <c r="E1257" s="5" t="n">
        <v>46261</v>
      </c>
      <c r="F1257" s="9" t="n">
        <v>65</v>
      </c>
      <c r="G1257" s="9" t="n">
        <v>1.44</v>
      </c>
      <c r="H1257" s="9" t="n">
        <v>63.56</v>
      </c>
      <c r="I1257" t="inlineStr">
        <is>
          <t>INV/2026/04874</t>
        </is>
      </c>
      <c r="J1257" s="9">
        <f>ROUND(F1257-G1257-H1257,2)</f>
        <v>0</v>
      </c>
    </row>
    <row r="1258">
      <c r="A1258" t="inlineStr">
        <is>
          <t>po_1Q0044KX</t>
        </is>
      </c>
      <c r="B1258" s="5" t="n">
        <v>46265</v>
      </c>
      <c r="C1258" t="inlineStr">
        <is>
          <t>ch_3Q001250</t>
        </is>
      </c>
      <c r="D1258" t="inlineStr">
        <is>
          <t>charge</t>
        </is>
      </c>
      <c r="E1258" s="5" t="n">
        <v>46261</v>
      </c>
      <c r="F1258" s="9" t="n">
        <v>110</v>
      </c>
      <c r="G1258" s="9" t="n">
        <v>2.23</v>
      </c>
      <c r="H1258" s="9" t="n">
        <v>107.77</v>
      </c>
      <c r="I1258" t="inlineStr">
        <is>
          <t>INV/2026/04875</t>
        </is>
      </c>
      <c r="J1258" s="9">
        <f>ROUND(F1258-G1258-H1258,2)</f>
        <v>0</v>
      </c>
    </row>
    <row r="1259">
      <c r="A1259" t="inlineStr">
        <is>
          <t>po_1Q0044KX</t>
        </is>
      </c>
      <c r="B1259" s="5" t="n">
        <v>46265</v>
      </c>
      <c r="C1259" t="inlineStr">
        <is>
          <t>ch_3Q001251</t>
        </is>
      </c>
      <c r="D1259" t="inlineStr">
        <is>
          <t>charge</t>
        </is>
      </c>
      <c r="E1259" s="5" t="n">
        <v>46261</v>
      </c>
      <c r="F1259" s="9" t="n">
        <v>150</v>
      </c>
      <c r="G1259" s="9" t="n">
        <v>2.93</v>
      </c>
      <c r="H1259" s="9" t="n">
        <v>147.07</v>
      </c>
      <c r="I1259" t="inlineStr">
        <is>
          <t>INV/2026/04876</t>
        </is>
      </c>
      <c r="J1259" s="9">
        <f>ROUND(F1259-G1259-H1259,2)</f>
        <v>0</v>
      </c>
    </row>
    <row r="1260">
      <c r="A1260" t="inlineStr">
        <is>
          <t>po_1Q0044KX</t>
        </is>
      </c>
      <c r="B1260" s="5" t="n">
        <v>46265</v>
      </c>
      <c r="C1260" t="inlineStr">
        <is>
          <t>ch_3Q001252</t>
        </is>
      </c>
      <c r="D1260" t="inlineStr">
        <is>
          <t>charge</t>
        </is>
      </c>
      <c r="E1260" s="5" t="n">
        <v>46261</v>
      </c>
      <c r="F1260" s="9" t="n">
        <v>135</v>
      </c>
      <c r="G1260" s="9" t="n">
        <v>2.66</v>
      </c>
      <c r="H1260" s="9" t="n">
        <v>132.34</v>
      </c>
      <c r="I1260" t="inlineStr">
        <is>
          <t>INV/2026/04877</t>
        </is>
      </c>
      <c r="J1260" s="9">
        <f>ROUND(F1260-G1260-H1260,2)</f>
        <v>0</v>
      </c>
    </row>
    <row r="1261">
      <c r="A1261" t="inlineStr">
        <is>
          <t>po_1Q0044KX</t>
        </is>
      </c>
      <c r="B1261" s="5" t="n">
        <v>46265</v>
      </c>
      <c r="C1261" t="inlineStr">
        <is>
          <t>ch_3Q001253</t>
        </is>
      </c>
      <c r="D1261" t="inlineStr">
        <is>
          <t>charge</t>
        </is>
      </c>
      <c r="E1261" s="5" t="n">
        <v>46261</v>
      </c>
      <c r="F1261" s="9" t="n">
        <v>120</v>
      </c>
      <c r="G1261" s="9" t="n">
        <v>2.4</v>
      </c>
      <c r="H1261" s="9" t="n">
        <v>117.6</v>
      </c>
      <c r="I1261" t="inlineStr">
        <is>
          <t>INV/2026/04878</t>
        </is>
      </c>
      <c r="J1261" s="9">
        <f>ROUND(F1261-G1261-H1261,2)</f>
        <v>0</v>
      </c>
    </row>
    <row r="1262">
      <c r="A1262" t="inlineStr">
        <is>
          <t>po_1Q0044KX</t>
        </is>
      </c>
      <c r="B1262" s="5" t="n">
        <v>46265</v>
      </c>
      <c r="C1262" t="inlineStr">
        <is>
          <t>ch_3Q001254</t>
        </is>
      </c>
      <c r="D1262" t="inlineStr">
        <is>
          <t>charge</t>
        </is>
      </c>
      <c r="E1262" s="5" t="n">
        <v>46261</v>
      </c>
      <c r="F1262" s="9" t="n">
        <v>95</v>
      </c>
      <c r="G1262" s="9" t="n">
        <v>1.96</v>
      </c>
      <c r="H1262" s="9" t="n">
        <v>93.04000000000001</v>
      </c>
      <c r="I1262" t="inlineStr">
        <is>
          <t>INV/2026/04879</t>
        </is>
      </c>
      <c r="J1262" s="9">
        <f>ROUND(F1262-G1262-H1262,2)</f>
        <v>0</v>
      </c>
    </row>
    <row r="1263">
      <c r="A1263" t="inlineStr">
        <is>
          <t>po_1Q0045KX</t>
        </is>
      </c>
      <c r="B1263" s="5" t="n">
        <v>46266</v>
      </c>
      <c r="C1263" t="inlineStr">
        <is>
          <t>ch_3Q001255</t>
        </is>
      </c>
      <c r="D1263" t="inlineStr">
        <is>
          <t>charge</t>
        </is>
      </c>
      <c r="E1263" s="5" t="n">
        <v>46262</v>
      </c>
      <c r="F1263" s="9" t="n">
        <v>65</v>
      </c>
      <c r="G1263" s="9" t="n">
        <v>1.44</v>
      </c>
      <c r="H1263" s="9" t="n">
        <v>63.56</v>
      </c>
      <c r="I1263" t="inlineStr">
        <is>
          <t>INV/2026/04880</t>
        </is>
      </c>
      <c r="J1263" s="9">
        <f>ROUND(F1263-G1263-H1263,2)</f>
        <v>0</v>
      </c>
    </row>
    <row r="1264">
      <c r="A1264" t="inlineStr">
        <is>
          <t>po_1Q0045KX</t>
        </is>
      </c>
      <c r="B1264" s="5" t="n">
        <v>46266</v>
      </c>
      <c r="C1264" t="inlineStr">
        <is>
          <t>ch_3Q001256</t>
        </is>
      </c>
      <c r="D1264" t="inlineStr">
        <is>
          <t>charge</t>
        </is>
      </c>
      <c r="E1264" s="5" t="n">
        <v>46262</v>
      </c>
      <c r="F1264" s="9" t="n">
        <v>65</v>
      </c>
      <c r="G1264" s="9" t="n">
        <v>1.44</v>
      </c>
      <c r="H1264" s="9" t="n">
        <v>63.56</v>
      </c>
      <c r="I1264" t="inlineStr">
        <is>
          <t>INV/2026/04881</t>
        </is>
      </c>
      <c r="J1264" s="9">
        <f>ROUND(F1264-G1264-H1264,2)</f>
        <v>0</v>
      </c>
    </row>
    <row r="1265">
      <c r="A1265" t="inlineStr">
        <is>
          <t>po_1Q0045KX</t>
        </is>
      </c>
      <c r="B1265" s="5" t="n">
        <v>46266</v>
      </c>
      <c r="C1265" t="inlineStr">
        <is>
          <t>ch_3Q001257</t>
        </is>
      </c>
      <c r="D1265" t="inlineStr">
        <is>
          <t>charge</t>
        </is>
      </c>
      <c r="E1265" s="5" t="n">
        <v>46262</v>
      </c>
      <c r="F1265" s="9" t="n">
        <v>150</v>
      </c>
      <c r="G1265" s="9" t="n">
        <v>2.93</v>
      </c>
      <c r="H1265" s="9" t="n">
        <v>147.07</v>
      </c>
      <c r="I1265" t="inlineStr">
        <is>
          <t>INV/2026/04882</t>
        </is>
      </c>
      <c r="J1265" s="9">
        <f>ROUND(F1265-G1265-H1265,2)</f>
        <v>0</v>
      </c>
    </row>
    <row r="1266">
      <c r="A1266" t="inlineStr">
        <is>
          <t>po_1Q0045KX</t>
        </is>
      </c>
      <c r="B1266" s="5" t="n">
        <v>46266</v>
      </c>
      <c r="C1266" t="inlineStr">
        <is>
          <t>ch_3Q001258</t>
        </is>
      </c>
      <c r="D1266" t="inlineStr">
        <is>
          <t>charge</t>
        </is>
      </c>
      <c r="E1266" s="5" t="n">
        <v>46262</v>
      </c>
      <c r="F1266" s="9" t="n">
        <v>135</v>
      </c>
      <c r="G1266" s="9" t="n">
        <v>2.66</v>
      </c>
      <c r="H1266" s="9" t="n">
        <v>132.34</v>
      </c>
      <c r="I1266" t="inlineStr">
        <is>
          <t>INV/2026/04883</t>
        </is>
      </c>
      <c r="J1266" s="9">
        <f>ROUND(F1266-G1266-H1266,2)</f>
        <v>0</v>
      </c>
    </row>
    <row r="1267">
      <c r="A1267" t="inlineStr">
        <is>
          <t>po_1Q0045KX</t>
        </is>
      </c>
      <c r="B1267" s="5" t="n">
        <v>46266</v>
      </c>
      <c r="C1267" t="inlineStr">
        <is>
          <t>ch_3Q001259</t>
        </is>
      </c>
      <c r="D1267" t="inlineStr">
        <is>
          <t>charge</t>
        </is>
      </c>
      <c r="E1267" s="5" t="n">
        <v>46262</v>
      </c>
      <c r="F1267" s="9" t="n">
        <v>150</v>
      </c>
      <c r="G1267" s="9" t="n">
        <v>2.93</v>
      </c>
      <c r="H1267" s="9" t="n">
        <v>147.07</v>
      </c>
      <c r="I1267" t="inlineStr">
        <is>
          <t>INV/2026/04884</t>
        </is>
      </c>
      <c r="J1267" s="9">
        <f>ROUND(F1267-G1267-H1267,2)</f>
        <v>0</v>
      </c>
    </row>
    <row r="1268">
      <c r="A1268" t="inlineStr">
        <is>
          <t>po_1Q0045KX</t>
        </is>
      </c>
      <c r="B1268" s="5" t="n">
        <v>46266</v>
      </c>
      <c r="C1268" t="inlineStr">
        <is>
          <t>ch_3Q001260</t>
        </is>
      </c>
      <c r="D1268" t="inlineStr">
        <is>
          <t>charge</t>
        </is>
      </c>
      <c r="E1268" s="5" t="n">
        <v>46262</v>
      </c>
      <c r="F1268" s="9" t="n">
        <v>65</v>
      </c>
      <c r="G1268" s="9" t="n">
        <v>1.44</v>
      </c>
      <c r="H1268" s="9" t="n">
        <v>63.56</v>
      </c>
      <c r="I1268" t="inlineStr">
        <is>
          <t>INV/2026/04885</t>
        </is>
      </c>
      <c r="J1268" s="9">
        <f>ROUND(F1268-G1268-H1268,2)</f>
        <v>0</v>
      </c>
    </row>
    <row r="1269">
      <c r="A1269" t="inlineStr">
        <is>
          <t>po_1Q0045KX</t>
        </is>
      </c>
      <c r="B1269" s="5" t="n">
        <v>46266</v>
      </c>
      <c r="C1269" t="inlineStr">
        <is>
          <t>ch_3Q001261</t>
        </is>
      </c>
      <c r="D1269" t="inlineStr">
        <is>
          <t>charge</t>
        </is>
      </c>
      <c r="E1269" s="5" t="n">
        <v>46262</v>
      </c>
      <c r="F1269" s="9" t="n">
        <v>65</v>
      </c>
      <c r="G1269" s="9" t="n">
        <v>1.44</v>
      </c>
      <c r="H1269" s="9" t="n">
        <v>63.56</v>
      </c>
      <c r="I1269" t="inlineStr">
        <is>
          <t>INV/2026/04886</t>
        </is>
      </c>
      <c r="J1269" s="9">
        <f>ROUND(F1269-G1269-H1269,2)</f>
        <v>0</v>
      </c>
    </row>
    <row r="1270">
      <c r="A1270" t="inlineStr">
        <is>
          <t>po_1Q0045KX</t>
        </is>
      </c>
      <c r="B1270" s="5" t="n">
        <v>46266</v>
      </c>
      <c r="C1270" t="inlineStr">
        <is>
          <t>ch_3Q001262</t>
        </is>
      </c>
      <c r="D1270" t="inlineStr">
        <is>
          <t>charge</t>
        </is>
      </c>
      <c r="E1270" s="5" t="n">
        <v>46262</v>
      </c>
      <c r="F1270" s="9" t="n">
        <v>110</v>
      </c>
      <c r="G1270" s="9" t="n">
        <v>2.23</v>
      </c>
      <c r="H1270" s="9" t="n">
        <v>107.77</v>
      </c>
      <c r="I1270" t="inlineStr">
        <is>
          <t>INV/2026/04887</t>
        </is>
      </c>
      <c r="J1270" s="9">
        <f>ROUND(F1270-G1270-H1270,2)</f>
        <v>0</v>
      </c>
    </row>
    <row r="1271">
      <c r="A1271" t="inlineStr">
        <is>
          <t>po_1Q0045KX</t>
        </is>
      </c>
      <c r="B1271" s="5" t="n">
        <v>46266</v>
      </c>
      <c r="C1271" t="inlineStr">
        <is>
          <t>ch_3Q001263</t>
        </is>
      </c>
      <c r="D1271" t="inlineStr">
        <is>
          <t>charge</t>
        </is>
      </c>
      <c r="E1271" s="5" t="n">
        <v>46262</v>
      </c>
      <c r="F1271" s="9" t="n">
        <v>110</v>
      </c>
      <c r="G1271" s="9" t="n">
        <v>2.23</v>
      </c>
      <c r="H1271" s="9" t="n">
        <v>107.77</v>
      </c>
      <c r="I1271" t="inlineStr">
        <is>
          <t>INV/2026/04888</t>
        </is>
      </c>
      <c r="J1271" s="9">
        <f>ROUND(F1271-G1271-H1271,2)</f>
        <v>0</v>
      </c>
    </row>
    <row r="1272">
      <c r="A1272" t="inlineStr">
        <is>
          <t>po_1Q0045KX</t>
        </is>
      </c>
      <c r="B1272" s="5" t="n">
        <v>46266</v>
      </c>
      <c r="C1272" t="inlineStr">
        <is>
          <t>ch_3Q001264</t>
        </is>
      </c>
      <c r="D1272" t="inlineStr">
        <is>
          <t>charge</t>
        </is>
      </c>
      <c r="E1272" s="5" t="n">
        <v>46262</v>
      </c>
      <c r="F1272" s="9" t="n">
        <v>110</v>
      </c>
      <c r="G1272" s="9" t="n">
        <v>2.23</v>
      </c>
      <c r="H1272" s="9" t="n">
        <v>107.77</v>
      </c>
      <c r="I1272" t="inlineStr">
        <is>
          <t>INV/2026/04889</t>
        </is>
      </c>
      <c r="J1272" s="9">
        <f>ROUND(F1272-G1272-H1272,2)</f>
        <v>0</v>
      </c>
    </row>
    <row r="1273">
      <c r="A1273" t="inlineStr">
        <is>
          <t>po_1Q0045KX</t>
        </is>
      </c>
      <c r="B1273" s="5" t="n">
        <v>46266</v>
      </c>
      <c r="C1273" t="inlineStr">
        <is>
          <t>ch_3Q001265</t>
        </is>
      </c>
      <c r="D1273" t="inlineStr">
        <is>
          <t>charge</t>
        </is>
      </c>
      <c r="E1273" s="5" t="n">
        <v>46262</v>
      </c>
      <c r="F1273" s="9" t="n">
        <v>120</v>
      </c>
      <c r="G1273" s="9" t="n">
        <v>2.4</v>
      </c>
      <c r="H1273" s="9" t="n">
        <v>117.6</v>
      </c>
      <c r="I1273" t="inlineStr">
        <is>
          <t>INV/2026/04890</t>
        </is>
      </c>
      <c r="J1273" s="9">
        <f>ROUND(F1273-G1273-H1273,2)</f>
        <v>0</v>
      </c>
    </row>
    <row r="1274">
      <c r="A1274" t="inlineStr">
        <is>
          <t>po_1Q0045KX</t>
        </is>
      </c>
      <c r="B1274" s="5" t="n">
        <v>46266</v>
      </c>
      <c r="C1274" t="inlineStr">
        <is>
          <t>ch_3Q001266</t>
        </is>
      </c>
      <c r="D1274" t="inlineStr">
        <is>
          <t>charge</t>
        </is>
      </c>
      <c r="E1274" s="5" t="n">
        <v>46262</v>
      </c>
      <c r="F1274" s="9" t="n">
        <v>180</v>
      </c>
      <c r="G1274" s="9" t="n">
        <v>3.45</v>
      </c>
      <c r="H1274" s="9" t="n">
        <v>176.55</v>
      </c>
      <c r="I1274" t="inlineStr">
        <is>
          <t>INV/2026/04891</t>
        </is>
      </c>
      <c r="J1274" s="9">
        <f>ROUND(F1274-G1274-H1274,2)</f>
        <v>0</v>
      </c>
    </row>
    <row r="1275">
      <c r="A1275" t="inlineStr">
        <is>
          <t>po_1Q0045KX</t>
        </is>
      </c>
      <c r="B1275" s="5" t="n">
        <v>46266</v>
      </c>
      <c r="C1275" t="inlineStr">
        <is>
          <t>ch_3Q001267</t>
        </is>
      </c>
      <c r="D1275" t="inlineStr">
        <is>
          <t>charge</t>
        </is>
      </c>
      <c r="E1275" s="5" t="n">
        <v>46262</v>
      </c>
      <c r="F1275" s="9" t="n">
        <v>135</v>
      </c>
      <c r="G1275" s="9" t="n">
        <v>2.66</v>
      </c>
      <c r="H1275" s="9" t="n">
        <v>132.34</v>
      </c>
      <c r="I1275" t="inlineStr">
        <is>
          <t>INV/2026/04892</t>
        </is>
      </c>
      <c r="J1275" s="9">
        <f>ROUND(F1275-G1275-H1275,2)</f>
        <v>0</v>
      </c>
    </row>
    <row r="1276">
      <c r="A1276" t="inlineStr">
        <is>
          <t>po_1Q0045KX</t>
        </is>
      </c>
      <c r="B1276" s="5" t="n">
        <v>46266</v>
      </c>
      <c r="C1276" t="inlineStr">
        <is>
          <t>ch_3Q001268</t>
        </is>
      </c>
      <c r="D1276" t="inlineStr">
        <is>
          <t>charge</t>
        </is>
      </c>
      <c r="E1276" s="5" t="n">
        <v>46262</v>
      </c>
      <c r="F1276" s="9" t="n">
        <v>95</v>
      </c>
      <c r="G1276" s="9" t="n">
        <v>1.96</v>
      </c>
      <c r="H1276" s="9" t="n">
        <v>93.04000000000001</v>
      </c>
      <c r="I1276" t="inlineStr">
        <is>
          <t>INV/2026/04893</t>
        </is>
      </c>
      <c r="J1276" s="9">
        <f>ROUND(F1276-G1276-H1276,2)</f>
        <v>0</v>
      </c>
    </row>
    <row r="1277">
      <c r="A1277" t="inlineStr">
        <is>
          <t>po_1Q0045KX</t>
        </is>
      </c>
      <c r="B1277" s="5" t="n">
        <v>46266</v>
      </c>
      <c r="C1277" t="inlineStr">
        <is>
          <t>ch_3Q001269</t>
        </is>
      </c>
      <c r="D1277" t="inlineStr">
        <is>
          <t>charge</t>
        </is>
      </c>
      <c r="E1277" s="5" t="n">
        <v>46262</v>
      </c>
      <c r="F1277" s="9" t="n">
        <v>95</v>
      </c>
      <c r="G1277" s="9" t="n">
        <v>1.96</v>
      </c>
      <c r="H1277" s="9" t="n">
        <v>93.04000000000001</v>
      </c>
      <c r="I1277" t="inlineStr">
        <is>
          <t>INV/2026/04894</t>
        </is>
      </c>
      <c r="J1277" s="9">
        <f>ROUND(F1277-G1277-H1277,2)</f>
        <v>0</v>
      </c>
    </row>
    <row r="1278">
      <c r="A1278" t="inlineStr">
        <is>
          <t>po_1Q0045KX</t>
        </is>
      </c>
      <c r="B1278" s="5" t="n">
        <v>46266</v>
      </c>
      <c r="C1278" t="inlineStr">
        <is>
          <t>ch_3Q001270</t>
        </is>
      </c>
      <c r="D1278" t="inlineStr">
        <is>
          <t>charge</t>
        </is>
      </c>
      <c r="E1278" s="5" t="n">
        <v>46262</v>
      </c>
      <c r="F1278" s="9" t="n">
        <v>95</v>
      </c>
      <c r="G1278" s="9" t="n">
        <v>1.96</v>
      </c>
      <c r="H1278" s="9" t="n">
        <v>93.04000000000001</v>
      </c>
      <c r="I1278" t="inlineStr">
        <is>
          <t>INV/2026/04895</t>
        </is>
      </c>
      <c r="J1278" s="9">
        <f>ROUND(F1278-G1278-H1278,2)</f>
        <v>0</v>
      </c>
    </row>
    <row r="1279">
      <c r="A1279" t="inlineStr">
        <is>
          <t>po_1Q0045KX</t>
        </is>
      </c>
      <c r="B1279" s="5" t="n">
        <v>46266</v>
      </c>
      <c r="C1279" t="inlineStr">
        <is>
          <t>ch_3Q001271</t>
        </is>
      </c>
      <c r="D1279" t="inlineStr">
        <is>
          <t>charge</t>
        </is>
      </c>
      <c r="E1279" s="5" t="n">
        <v>46262</v>
      </c>
      <c r="F1279" s="9" t="n">
        <v>150</v>
      </c>
      <c r="G1279" s="9" t="n">
        <v>2.93</v>
      </c>
      <c r="H1279" s="9" t="n">
        <v>147.07</v>
      </c>
      <c r="I1279" t="inlineStr">
        <is>
          <t>INV/2026/04896</t>
        </is>
      </c>
      <c r="J1279" s="9">
        <f>ROUND(F1279-G1279-H1279,2)</f>
        <v>0</v>
      </c>
    </row>
    <row r="1280">
      <c r="A1280" t="inlineStr">
        <is>
          <t>po_1Q0045KX</t>
        </is>
      </c>
      <c r="B1280" s="5" t="n">
        <v>46266</v>
      </c>
      <c r="C1280" t="inlineStr">
        <is>
          <t>ch_3Q001272</t>
        </is>
      </c>
      <c r="D1280" t="inlineStr">
        <is>
          <t>charge</t>
        </is>
      </c>
      <c r="E1280" s="5" t="n">
        <v>46262</v>
      </c>
      <c r="F1280" s="9" t="n">
        <v>180</v>
      </c>
      <c r="G1280" s="9" t="n">
        <v>3.45</v>
      </c>
      <c r="H1280" s="9" t="n">
        <v>176.55</v>
      </c>
      <c r="I1280" t="inlineStr">
        <is>
          <t>INV/2026/04897</t>
        </is>
      </c>
      <c r="J1280" s="9">
        <f>ROUND(F1280-G1280-H1280,2)</f>
        <v>0</v>
      </c>
    </row>
    <row r="1281">
      <c r="A1281" t="inlineStr">
        <is>
          <t>po_1Q0045KX</t>
        </is>
      </c>
      <c r="B1281" s="5" t="n">
        <v>46266</v>
      </c>
      <c r="C1281" t="inlineStr">
        <is>
          <t>ch_3Q001273</t>
        </is>
      </c>
      <c r="D1281" t="inlineStr">
        <is>
          <t>charge</t>
        </is>
      </c>
      <c r="E1281" s="5" t="n">
        <v>46262</v>
      </c>
      <c r="F1281" s="9" t="n">
        <v>95</v>
      </c>
      <c r="G1281" s="9" t="n">
        <v>1.96</v>
      </c>
      <c r="H1281" s="9" t="n">
        <v>93.04000000000001</v>
      </c>
      <c r="I1281" t="inlineStr">
        <is>
          <t>INV/2026/04898</t>
        </is>
      </c>
      <c r="J1281" s="9">
        <f>ROUND(F1281-G1281-H1281,2)</f>
        <v>0</v>
      </c>
    </row>
    <row r="1282">
      <c r="A1282" t="inlineStr">
        <is>
          <t>po_1Q0045KX</t>
        </is>
      </c>
      <c r="B1282" s="5" t="n">
        <v>46266</v>
      </c>
      <c r="C1282" t="inlineStr">
        <is>
          <t>ch_3Q001274</t>
        </is>
      </c>
      <c r="D1282" t="inlineStr">
        <is>
          <t>charge</t>
        </is>
      </c>
      <c r="E1282" s="5" t="n">
        <v>46262</v>
      </c>
      <c r="F1282" s="9" t="n">
        <v>110</v>
      </c>
      <c r="G1282" s="9" t="n">
        <v>2.23</v>
      </c>
      <c r="H1282" s="9" t="n">
        <v>107.77</v>
      </c>
      <c r="I1282" t="inlineStr">
        <is>
          <t>INV/2026/04899</t>
        </is>
      </c>
      <c r="J1282" s="9">
        <f>ROUND(F1282-G1282-H1282,2)</f>
        <v>0</v>
      </c>
    </row>
    <row r="1283">
      <c r="A1283" t="inlineStr">
        <is>
          <t>po_1Q0045KX</t>
        </is>
      </c>
      <c r="B1283" s="5" t="n">
        <v>46266</v>
      </c>
      <c r="C1283" t="inlineStr">
        <is>
          <t>ch_3Q001275</t>
        </is>
      </c>
      <c r="D1283" t="inlineStr">
        <is>
          <t>charge</t>
        </is>
      </c>
      <c r="E1283" s="5" t="n">
        <v>46262</v>
      </c>
      <c r="F1283" s="9" t="n">
        <v>135</v>
      </c>
      <c r="G1283" s="9" t="n">
        <v>2.66</v>
      </c>
      <c r="H1283" s="9" t="n">
        <v>132.34</v>
      </c>
      <c r="I1283" t="inlineStr">
        <is>
          <t>INV/2026/04900</t>
        </is>
      </c>
      <c r="J1283" s="9">
        <f>ROUND(F1283-G1283-H1283,2)</f>
        <v>0</v>
      </c>
    </row>
    <row r="1284">
      <c r="A1284" t="inlineStr">
        <is>
          <t>po_1Q0045KX</t>
        </is>
      </c>
      <c r="B1284" s="5" t="n">
        <v>46266</v>
      </c>
      <c r="C1284" t="inlineStr">
        <is>
          <t>ch_3Q001276</t>
        </is>
      </c>
      <c r="D1284" t="inlineStr">
        <is>
          <t>charge</t>
        </is>
      </c>
      <c r="E1284" s="5" t="n">
        <v>46262</v>
      </c>
      <c r="F1284" s="9" t="n">
        <v>85</v>
      </c>
      <c r="G1284" s="9" t="n">
        <v>1.79</v>
      </c>
      <c r="H1284" s="9" t="n">
        <v>83.20999999999999</v>
      </c>
      <c r="I1284" t="inlineStr">
        <is>
          <t>INV/2026/04901</t>
        </is>
      </c>
      <c r="J1284" s="9">
        <f>ROUND(F1284-G1284-H1284,2)</f>
        <v>0</v>
      </c>
    </row>
    <row r="1285">
      <c r="A1285" t="inlineStr">
        <is>
          <t>po_1Q0045KX</t>
        </is>
      </c>
      <c r="B1285" s="5" t="n">
        <v>46266</v>
      </c>
      <c r="C1285" t="inlineStr">
        <is>
          <t>ch_3Q001277</t>
        </is>
      </c>
      <c r="D1285" t="inlineStr">
        <is>
          <t>charge</t>
        </is>
      </c>
      <c r="E1285" s="5" t="n">
        <v>46262</v>
      </c>
      <c r="F1285" s="9" t="n">
        <v>95</v>
      </c>
      <c r="G1285" s="9" t="n">
        <v>1.96</v>
      </c>
      <c r="H1285" s="9" t="n">
        <v>93.04000000000001</v>
      </c>
      <c r="I1285" t="inlineStr">
        <is>
          <t>INV/2026/04902</t>
        </is>
      </c>
      <c r="J1285" s="9">
        <f>ROUND(F1285-G1285-H1285,2)</f>
        <v>0</v>
      </c>
    </row>
    <row r="1286">
      <c r="A1286" t="inlineStr">
        <is>
          <t>po_1Q0045KX</t>
        </is>
      </c>
      <c r="B1286" s="5" t="n">
        <v>46266</v>
      </c>
      <c r="C1286" t="inlineStr">
        <is>
          <t>ch_3Q001278</t>
        </is>
      </c>
      <c r="D1286" t="inlineStr">
        <is>
          <t>charge</t>
        </is>
      </c>
      <c r="E1286" s="5" t="n">
        <v>46262</v>
      </c>
      <c r="F1286" s="9" t="n">
        <v>95</v>
      </c>
      <c r="G1286" s="9" t="n">
        <v>1.96</v>
      </c>
      <c r="H1286" s="9" t="n">
        <v>93.04000000000001</v>
      </c>
      <c r="I1286" t="inlineStr">
        <is>
          <t>INV/2026/04903</t>
        </is>
      </c>
      <c r="J1286" s="9">
        <f>ROUND(F1286-G1286-H1286,2)</f>
        <v>0</v>
      </c>
    </row>
    <row r="1287">
      <c r="A1287" t="inlineStr">
        <is>
          <t>po_1Q0045KX</t>
        </is>
      </c>
      <c r="B1287" s="5" t="n">
        <v>46266</v>
      </c>
      <c r="C1287" t="inlineStr">
        <is>
          <t>ch_3Q001279</t>
        </is>
      </c>
      <c r="D1287" t="inlineStr">
        <is>
          <t>charge</t>
        </is>
      </c>
      <c r="E1287" s="5" t="n">
        <v>46262</v>
      </c>
      <c r="F1287" s="9" t="n">
        <v>135</v>
      </c>
      <c r="G1287" s="9" t="n">
        <v>2.66</v>
      </c>
      <c r="H1287" s="9" t="n">
        <v>132.34</v>
      </c>
      <c r="I1287" t="inlineStr">
        <is>
          <t>INV/2026/04904</t>
        </is>
      </c>
      <c r="J1287" s="9">
        <f>ROUND(F1287-G1287-H1287,2)</f>
        <v>0</v>
      </c>
    </row>
    <row r="1288">
      <c r="A1288" t="inlineStr">
        <is>
          <t>po_1Q0045KX</t>
        </is>
      </c>
      <c r="B1288" s="5" t="n">
        <v>46266</v>
      </c>
      <c r="C1288" t="inlineStr">
        <is>
          <t>ch_3Q001280</t>
        </is>
      </c>
      <c r="D1288" t="inlineStr">
        <is>
          <t>charge</t>
        </is>
      </c>
      <c r="E1288" s="5" t="n">
        <v>46262</v>
      </c>
      <c r="F1288" s="9" t="n">
        <v>150</v>
      </c>
      <c r="G1288" s="9" t="n">
        <v>2.93</v>
      </c>
      <c r="H1288" s="9" t="n">
        <v>147.07</v>
      </c>
      <c r="I1288" t="inlineStr">
        <is>
          <t>INV/2026/04905</t>
        </is>
      </c>
      <c r="J1288" s="9">
        <f>ROUND(F1288-G1288-H1288,2)</f>
        <v>0</v>
      </c>
    </row>
    <row r="1289">
      <c r="A1289" t="inlineStr">
        <is>
          <t>po_1Q0045KX</t>
        </is>
      </c>
      <c r="B1289" s="5" t="n">
        <v>46266</v>
      </c>
      <c r="C1289" t="inlineStr">
        <is>
          <t>ch_3Q001281</t>
        </is>
      </c>
      <c r="D1289" t="inlineStr">
        <is>
          <t>charge</t>
        </is>
      </c>
      <c r="E1289" s="5" t="n">
        <v>46262</v>
      </c>
      <c r="F1289" s="9" t="n">
        <v>95</v>
      </c>
      <c r="G1289" s="9" t="n">
        <v>1.96</v>
      </c>
      <c r="H1289" s="9" t="n">
        <v>93.04000000000001</v>
      </c>
      <c r="I1289" t="inlineStr">
        <is>
          <t>INV/2026/04906</t>
        </is>
      </c>
      <c r="J1289" s="9">
        <f>ROUND(F1289-G1289-H1289,2)</f>
        <v>0</v>
      </c>
    </row>
    <row r="1290">
      <c r="A1290" t="inlineStr">
        <is>
          <t>po_1Q0045KX</t>
        </is>
      </c>
      <c r="B1290" s="5" t="n">
        <v>46266</v>
      </c>
      <c r="C1290" t="inlineStr">
        <is>
          <t>ch_3Q001282</t>
        </is>
      </c>
      <c r="D1290" t="inlineStr">
        <is>
          <t>charge</t>
        </is>
      </c>
      <c r="E1290" s="5" t="n">
        <v>46262</v>
      </c>
      <c r="F1290" s="9" t="n">
        <v>135</v>
      </c>
      <c r="G1290" s="9" t="n">
        <v>2.66</v>
      </c>
      <c r="H1290" s="9" t="n">
        <v>132.34</v>
      </c>
      <c r="I1290" t="inlineStr">
        <is>
          <t>INV/2026/04907</t>
        </is>
      </c>
      <c r="J1290" s="9">
        <f>ROUND(F1290-G1290-H1290,2)</f>
        <v>0</v>
      </c>
    </row>
    <row r="1291">
      <c r="A1291" t="inlineStr">
        <is>
          <t>po_1Q0045KX</t>
        </is>
      </c>
      <c r="B1291" s="5" t="n">
        <v>46266</v>
      </c>
      <c r="C1291" t="inlineStr">
        <is>
          <t>ch_3Q001283</t>
        </is>
      </c>
      <c r="D1291" t="inlineStr">
        <is>
          <t>charge</t>
        </is>
      </c>
      <c r="E1291" s="5" t="n">
        <v>46262</v>
      </c>
      <c r="F1291" s="9" t="n">
        <v>150</v>
      </c>
      <c r="G1291" s="9" t="n">
        <v>2.93</v>
      </c>
      <c r="H1291" s="9" t="n">
        <v>147.07</v>
      </c>
      <c r="I1291" t="inlineStr">
        <is>
          <t>INV/2026/04908</t>
        </is>
      </c>
      <c r="J1291" s="9">
        <f>ROUND(F1291-G1291-H1291,2)</f>
        <v>0</v>
      </c>
    </row>
    <row r="1292">
      <c r="A1292" t="inlineStr">
        <is>
          <t>po_1Q0045KX</t>
        </is>
      </c>
      <c r="B1292" s="5" t="n">
        <v>46266</v>
      </c>
      <c r="C1292" t="inlineStr">
        <is>
          <t>ch_3Q001284</t>
        </is>
      </c>
      <c r="D1292" t="inlineStr">
        <is>
          <t>charge</t>
        </is>
      </c>
      <c r="E1292" s="5" t="n">
        <v>46262</v>
      </c>
      <c r="F1292" s="9" t="n">
        <v>180</v>
      </c>
      <c r="G1292" s="9" t="n">
        <v>3.45</v>
      </c>
      <c r="H1292" s="9" t="n">
        <v>176.55</v>
      </c>
      <c r="I1292" t="inlineStr">
        <is>
          <t>INV/2026/04909</t>
        </is>
      </c>
      <c r="J1292" s="9">
        <f>ROUND(F1292-G1292-H1292,2)</f>
        <v>0</v>
      </c>
    </row>
    <row r="1293">
      <c r="A1293" t="inlineStr">
        <is>
          <t>po_1Q0045KX</t>
        </is>
      </c>
      <c r="B1293" s="5" t="n">
        <v>46266</v>
      </c>
      <c r="C1293" t="inlineStr">
        <is>
          <t>ch_3Q001285</t>
        </is>
      </c>
      <c r="D1293" t="inlineStr">
        <is>
          <t>charge</t>
        </is>
      </c>
      <c r="E1293" s="5" t="n">
        <v>46262</v>
      </c>
      <c r="F1293" s="9" t="n">
        <v>120</v>
      </c>
      <c r="G1293" s="9" t="n">
        <v>2.4</v>
      </c>
      <c r="H1293" s="9" t="n">
        <v>117.6</v>
      </c>
      <c r="I1293" t="inlineStr">
        <is>
          <t>INV/2026/04910</t>
        </is>
      </c>
      <c r="J1293" s="9">
        <f>ROUND(F1293-G1293-H1293,2)</f>
        <v>0</v>
      </c>
    </row>
    <row r="1294">
      <c r="A1294" t="inlineStr">
        <is>
          <t>po_1Q0045KX</t>
        </is>
      </c>
      <c r="B1294" s="5" t="n">
        <v>46266</v>
      </c>
      <c r="C1294" t="inlineStr">
        <is>
          <t>ch_3Q001286</t>
        </is>
      </c>
      <c r="D1294" t="inlineStr">
        <is>
          <t>charge</t>
        </is>
      </c>
      <c r="E1294" s="5" t="n">
        <v>46263</v>
      </c>
      <c r="F1294" s="9" t="n">
        <v>65</v>
      </c>
      <c r="G1294" s="9" t="n">
        <v>1.44</v>
      </c>
      <c r="H1294" s="9" t="n">
        <v>63.56</v>
      </c>
      <c r="I1294" t="inlineStr">
        <is>
          <t>INV/2026/04911</t>
        </is>
      </c>
      <c r="J1294" s="9">
        <f>ROUND(F1294-G1294-H1294,2)</f>
        <v>0</v>
      </c>
    </row>
    <row r="1295">
      <c r="A1295" t="inlineStr">
        <is>
          <t>po_1Q0045KX</t>
        </is>
      </c>
      <c r="B1295" s="5" t="n">
        <v>46266</v>
      </c>
      <c r="C1295" t="inlineStr">
        <is>
          <t>ch_3Q001287</t>
        </is>
      </c>
      <c r="D1295" t="inlineStr">
        <is>
          <t>charge</t>
        </is>
      </c>
      <c r="E1295" s="5" t="n">
        <v>46263</v>
      </c>
      <c r="F1295" s="9" t="n">
        <v>65</v>
      </c>
      <c r="G1295" s="9" t="n">
        <v>1.44</v>
      </c>
      <c r="H1295" s="9" t="n">
        <v>63.56</v>
      </c>
      <c r="I1295" t="inlineStr">
        <is>
          <t>INV/2026/04912</t>
        </is>
      </c>
      <c r="J1295" s="9">
        <f>ROUND(F1295-G1295-H1295,2)</f>
        <v>0</v>
      </c>
    </row>
    <row r="1296">
      <c r="A1296" t="inlineStr">
        <is>
          <t>po_1Q0045KX</t>
        </is>
      </c>
      <c r="B1296" s="5" t="n">
        <v>46266</v>
      </c>
      <c r="C1296" t="inlineStr">
        <is>
          <t>ch_3Q001288</t>
        </is>
      </c>
      <c r="D1296" t="inlineStr">
        <is>
          <t>charge</t>
        </is>
      </c>
      <c r="E1296" s="5" t="n">
        <v>46263</v>
      </c>
      <c r="F1296" s="9" t="n">
        <v>180</v>
      </c>
      <c r="G1296" s="9" t="n">
        <v>3.45</v>
      </c>
      <c r="H1296" s="9" t="n">
        <v>176.55</v>
      </c>
      <c r="I1296" t="inlineStr">
        <is>
          <t>INV/2026/04913</t>
        </is>
      </c>
      <c r="J1296" s="9">
        <f>ROUND(F1296-G1296-H1296,2)</f>
        <v>0</v>
      </c>
    </row>
    <row r="1297">
      <c r="A1297" t="inlineStr">
        <is>
          <t>po_1Q0045KX</t>
        </is>
      </c>
      <c r="B1297" s="5" t="n">
        <v>46266</v>
      </c>
      <c r="C1297" t="inlineStr">
        <is>
          <t>ch_3Q001289</t>
        </is>
      </c>
      <c r="D1297" t="inlineStr">
        <is>
          <t>charge</t>
        </is>
      </c>
      <c r="E1297" s="5" t="n">
        <v>46263</v>
      </c>
      <c r="F1297" s="9" t="n">
        <v>110</v>
      </c>
      <c r="G1297" s="9" t="n">
        <v>2.23</v>
      </c>
      <c r="H1297" s="9" t="n">
        <v>107.77</v>
      </c>
      <c r="I1297" t="inlineStr">
        <is>
          <t>INV/2026/04914</t>
        </is>
      </c>
      <c r="J1297" s="9">
        <f>ROUND(F1297-G1297-H1297,2)</f>
        <v>0</v>
      </c>
    </row>
    <row r="1298">
      <c r="A1298" t="inlineStr">
        <is>
          <t>po_1Q0045KX</t>
        </is>
      </c>
      <c r="B1298" s="5" t="n">
        <v>46266</v>
      </c>
      <c r="C1298" t="inlineStr">
        <is>
          <t>ch_3Q001290</t>
        </is>
      </c>
      <c r="D1298" t="inlineStr">
        <is>
          <t>charge</t>
        </is>
      </c>
      <c r="E1298" s="5" t="n">
        <v>46263</v>
      </c>
      <c r="F1298" s="9" t="n">
        <v>180</v>
      </c>
      <c r="G1298" s="9" t="n">
        <v>3.45</v>
      </c>
      <c r="H1298" s="9" t="n">
        <v>176.55</v>
      </c>
      <c r="I1298" t="inlineStr">
        <is>
          <t>INV/2026/04915</t>
        </is>
      </c>
      <c r="J1298" s="9">
        <f>ROUND(F1298-G1298-H1298,2)</f>
        <v>0</v>
      </c>
    </row>
    <row r="1299">
      <c r="A1299" t="inlineStr">
        <is>
          <t>po_1Q0045KX</t>
        </is>
      </c>
      <c r="B1299" s="5" t="n">
        <v>46266</v>
      </c>
      <c r="C1299" t="inlineStr">
        <is>
          <t>ch_3Q001291</t>
        </is>
      </c>
      <c r="D1299" t="inlineStr">
        <is>
          <t>charge</t>
        </is>
      </c>
      <c r="E1299" s="5" t="n">
        <v>46263</v>
      </c>
      <c r="F1299" s="9" t="n">
        <v>110</v>
      </c>
      <c r="G1299" s="9" t="n">
        <v>2.23</v>
      </c>
      <c r="H1299" s="9" t="n">
        <v>107.77</v>
      </c>
      <c r="I1299" t="inlineStr">
        <is>
          <t>INV/2026/04916</t>
        </is>
      </c>
      <c r="J1299" s="9">
        <f>ROUND(F1299-G1299-H1299,2)</f>
        <v>0</v>
      </c>
    </row>
    <row r="1300">
      <c r="A1300" t="inlineStr">
        <is>
          <t>po_1Q0045KX</t>
        </is>
      </c>
      <c r="B1300" s="5" t="n">
        <v>46266</v>
      </c>
      <c r="C1300" t="inlineStr">
        <is>
          <t>re_3Q001268</t>
        </is>
      </c>
      <c r="D1300" t="inlineStr">
        <is>
          <t>refund</t>
        </is>
      </c>
      <c r="E1300" s="5" t="n">
        <v>46266</v>
      </c>
      <c r="F1300" s="9" t="n">
        <v>-95</v>
      </c>
      <c r="G1300" s="9" t="n">
        <v>0</v>
      </c>
      <c r="H1300" s="9" t="n">
        <v>-95</v>
      </c>
      <c r="I1300" t="inlineStr">
        <is>
          <t>INV/2026/04893</t>
        </is>
      </c>
      <c r="J1300" s="9">
        <f>ROUND(F1300-G1300-H1300,2)</f>
        <v>0</v>
      </c>
    </row>
    <row r="1301">
      <c r="A1301" t="inlineStr">
        <is>
          <t>po_1Q0046KX</t>
        </is>
      </c>
      <c r="B1301" s="5" t="n">
        <v>46267</v>
      </c>
      <c r="C1301" t="inlineStr">
        <is>
          <t>ch_3Q001292</t>
        </is>
      </c>
      <c r="D1301" t="inlineStr">
        <is>
          <t>charge</t>
        </is>
      </c>
      <c r="E1301" s="5" t="n">
        <v>46265</v>
      </c>
      <c r="F1301" s="9" t="n">
        <v>120</v>
      </c>
      <c r="G1301" s="9" t="n">
        <v>2.4</v>
      </c>
      <c r="H1301" s="9" t="n">
        <v>117.6</v>
      </c>
      <c r="I1301" t="inlineStr">
        <is>
          <t>INV/2026/04917</t>
        </is>
      </c>
      <c r="J1301" s="9">
        <f>ROUND(F1301-G1301-H1301,2)</f>
        <v>0</v>
      </c>
    </row>
    <row r="1302">
      <c r="A1302" t="inlineStr">
        <is>
          <t>po_1Q0046KX</t>
        </is>
      </c>
      <c r="B1302" s="5" t="n">
        <v>46267</v>
      </c>
      <c r="C1302" t="inlineStr">
        <is>
          <t>ch_3Q001293</t>
        </is>
      </c>
      <c r="D1302" t="inlineStr">
        <is>
          <t>charge</t>
        </is>
      </c>
      <c r="E1302" s="5" t="n">
        <v>46265</v>
      </c>
      <c r="F1302" s="9" t="n">
        <v>220</v>
      </c>
      <c r="G1302" s="9" t="n">
        <v>4.15</v>
      </c>
      <c r="H1302" s="9" t="n">
        <v>215.85</v>
      </c>
      <c r="I1302" t="inlineStr">
        <is>
          <t>INV/2026/04918</t>
        </is>
      </c>
      <c r="J1302" s="9">
        <f>ROUND(F1302-G1302-H1302,2)</f>
        <v>0</v>
      </c>
    </row>
    <row r="1303">
      <c r="A1303" t="inlineStr">
        <is>
          <t>po_1Q0046KX</t>
        </is>
      </c>
      <c r="B1303" s="5" t="n">
        <v>46267</v>
      </c>
      <c r="C1303" t="inlineStr">
        <is>
          <t>ch_3Q001294</t>
        </is>
      </c>
      <c r="D1303" t="inlineStr">
        <is>
          <t>charge</t>
        </is>
      </c>
      <c r="E1303" s="5" t="n">
        <v>46265</v>
      </c>
      <c r="F1303" s="9" t="n">
        <v>65</v>
      </c>
      <c r="G1303" s="9" t="n">
        <v>1.44</v>
      </c>
      <c r="H1303" s="9" t="n">
        <v>63.56</v>
      </c>
      <c r="I1303" t="inlineStr">
        <is>
          <t>INV/2026/04919</t>
        </is>
      </c>
      <c r="J1303" s="9">
        <f>ROUND(F1303-G1303-H1303,2)</f>
        <v>0</v>
      </c>
    </row>
    <row r="1304">
      <c r="A1304" t="inlineStr">
        <is>
          <t>po_1Q0046KX</t>
        </is>
      </c>
      <c r="B1304" s="5" t="n">
        <v>46267</v>
      </c>
      <c r="C1304" t="inlineStr">
        <is>
          <t>ch_3Q001295</t>
        </is>
      </c>
      <c r="D1304" t="inlineStr">
        <is>
          <t>charge</t>
        </is>
      </c>
      <c r="E1304" s="5" t="n">
        <v>46265</v>
      </c>
      <c r="F1304" s="9" t="n">
        <v>135</v>
      </c>
      <c r="G1304" s="9" t="n">
        <v>2.66</v>
      </c>
      <c r="H1304" s="9" t="n">
        <v>132.34</v>
      </c>
      <c r="I1304" t="inlineStr">
        <is>
          <t>INV/2026/04920</t>
        </is>
      </c>
      <c r="J1304" s="9">
        <f>ROUND(F1304-G1304-H1304,2)</f>
        <v>0</v>
      </c>
    </row>
    <row r="1305">
      <c r="A1305" t="inlineStr">
        <is>
          <t>po_1Q0046KX</t>
        </is>
      </c>
      <c r="B1305" s="5" t="n">
        <v>46267</v>
      </c>
      <c r="C1305" t="inlineStr">
        <is>
          <t>ch_3Q001296</t>
        </is>
      </c>
      <c r="D1305" t="inlineStr">
        <is>
          <t>charge</t>
        </is>
      </c>
      <c r="E1305" s="5" t="n">
        <v>46265</v>
      </c>
      <c r="F1305" s="9" t="n">
        <v>120</v>
      </c>
      <c r="G1305" s="9" t="n">
        <v>2.4</v>
      </c>
      <c r="H1305" s="9" t="n">
        <v>117.6</v>
      </c>
      <c r="I1305" t="inlineStr">
        <is>
          <t>INV/2026/04921</t>
        </is>
      </c>
      <c r="J1305" s="9">
        <f>ROUND(F1305-G1305-H1305,2)</f>
        <v>0</v>
      </c>
    </row>
    <row r="1306">
      <c r="A1306" t="inlineStr">
        <is>
          <t>po_1Q0046KX</t>
        </is>
      </c>
      <c r="B1306" s="5" t="n">
        <v>46267</v>
      </c>
      <c r="C1306" t="inlineStr">
        <is>
          <t>ch_3Q001297</t>
        </is>
      </c>
      <c r="D1306" t="inlineStr">
        <is>
          <t>charge</t>
        </is>
      </c>
      <c r="E1306" s="5" t="n">
        <v>46265</v>
      </c>
      <c r="F1306" s="9" t="n">
        <v>135</v>
      </c>
      <c r="G1306" s="9" t="n">
        <v>2.66</v>
      </c>
      <c r="H1306" s="9" t="n">
        <v>132.34</v>
      </c>
      <c r="I1306" t="inlineStr">
        <is>
          <t>INV/2026/04922</t>
        </is>
      </c>
      <c r="J1306" s="9">
        <f>ROUND(F1306-G1306-H1306,2)</f>
        <v>0</v>
      </c>
    </row>
    <row r="1307">
      <c r="A1307" t="inlineStr">
        <is>
          <t>po_1Q0046KX</t>
        </is>
      </c>
      <c r="B1307" s="5" t="n">
        <v>46267</v>
      </c>
      <c r="C1307" t="inlineStr">
        <is>
          <t>ch_3Q001298</t>
        </is>
      </c>
      <c r="D1307" t="inlineStr">
        <is>
          <t>charge</t>
        </is>
      </c>
      <c r="E1307" s="5" t="n">
        <v>46265</v>
      </c>
      <c r="F1307" s="9" t="n">
        <v>110</v>
      </c>
      <c r="G1307" s="9" t="n">
        <v>2.23</v>
      </c>
      <c r="H1307" s="9" t="n">
        <v>107.77</v>
      </c>
      <c r="I1307" t="inlineStr">
        <is>
          <t>INV/2026/04923</t>
        </is>
      </c>
      <c r="J1307" s="9">
        <f>ROUND(F1307-G1307-H1307,2)</f>
        <v>0</v>
      </c>
    </row>
    <row r="1308">
      <c r="A1308" t="inlineStr">
        <is>
          <t>po_1Q0046KX</t>
        </is>
      </c>
      <c r="B1308" s="5" t="n">
        <v>46267</v>
      </c>
      <c r="C1308" t="inlineStr">
        <is>
          <t>ch_3Q001299</t>
        </is>
      </c>
      <c r="D1308" t="inlineStr">
        <is>
          <t>charge</t>
        </is>
      </c>
      <c r="E1308" s="5" t="n">
        <v>46265</v>
      </c>
      <c r="F1308" s="9" t="n">
        <v>150</v>
      </c>
      <c r="G1308" s="9" t="n">
        <v>2.93</v>
      </c>
      <c r="H1308" s="9" t="n">
        <v>147.07</v>
      </c>
      <c r="I1308" t="inlineStr">
        <is>
          <t>INV/2026/04924</t>
        </is>
      </c>
      <c r="J1308" s="9">
        <f>ROUND(F1308-G1308-H1308,2)</f>
        <v>0</v>
      </c>
    </row>
    <row r="1309">
      <c r="A1309" t="inlineStr">
        <is>
          <t>po_1Q0046KX</t>
        </is>
      </c>
      <c r="B1309" s="5" t="n">
        <v>46267</v>
      </c>
      <c r="C1309" t="inlineStr">
        <is>
          <t>ch_3Q001300</t>
        </is>
      </c>
      <c r="D1309" t="inlineStr">
        <is>
          <t>charge</t>
        </is>
      </c>
      <c r="E1309" s="5" t="n">
        <v>46265</v>
      </c>
      <c r="F1309" s="9" t="n">
        <v>95</v>
      </c>
      <c r="G1309" s="9" t="n">
        <v>1.96</v>
      </c>
      <c r="H1309" s="9" t="n">
        <v>93.04000000000001</v>
      </c>
      <c r="I1309" t="inlineStr">
        <is>
          <t>INV/2026/04925</t>
        </is>
      </c>
      <c r="J1309" s="9">
        <f>ROUND(F1309-G1309-H1309,2)</f>
        <v>0</v>
      </c>
    </row>
    <row r="1310">
      <c r="A1310" t="inlineStr">
        <is>
          <t>po_1Q0046KX</t>
        </is>
      </c>
      <c r="B1310" s="5" t="n">
        <v>46267</v>
      </c>
      <c r="C1310" t="inlineStr">
        <is>
          <t>ch_3Q001301</t>
        </is>
      </c>
      <c r="D1310" t="inlineStr">
        <is>
          <t>charge</t>
        </is>
      </c>
      <c r="E1310" s="5" t="n">
        <v>46265</v>
      </c>
      <c r="F1310" s="9" t="n">
        <v>120</v>
      </c>
      <c r="G1310" s="9" t="n">
        <v>2.4</v>
      </c>
      <c r="H1310" s="9" t="n">
        <v>117.6</v>
      </c>
      <c r="I1310" t="inlineStr">
        <is>
          <t>INV/2026/04926</t>
        </is>
      </c>
      <c r="J1310" s="9">
        <f>ROUND(F1310-G1310-H1310,2)</f>
        <v>0</v>
      </c>
    </row>
    <row r="1311">
      <c r="A1311" t="inlineStr">
        <is>
          <t>po_1Q0046KX</t>
        </is>
      </c>
      <c r="B1311" s="5" t="n">
        <v>46267</v>
      </c>
      <c r="C1311" t="inlineStr">
        <is>
          <t>ch_3Q001302</t>
        </is>
      </c>
      <c r="D1311" t="inlineStr">
        <is>
          <t>charge</t>
        </is>
      </c>
      <c r="E1311" s="5" t="n">
        <v>46265</v>
      </c>
      <c r="F1311" s="9" t="n">
        <v>85</v>
      </c>
      <c r="G1311" s="9" t="n">
        <v>1.79</v>
      </c>
      <c r="H1311" s="9" t="n">
        <v>83.20999999999999</v>
      </c>
      <c r="I1311" t="inlineStr">
        <is>
          <t>INV/2026/04927</t>
        </is>
      </c>
      <c r="J1311" s="9">
        <f>ROUND(F1311-G1311-H1311,2)</f>
        <v>0</v>
      </c>
    </row>
    <row r="1312">
      <c r="A1312" t="inlineStr">
        <is>
          <t>po_1Q0046KX</t>
        </is>
      </c>
      <c r="B1312" s="5" t="n">
        <v>46267</v>
      </c>
      <c r="C1312" t="inlineStr">
        <is>
          <t>ch_3Q001303</t>
        </is>
      </c>
      <c r="D1312" t="inlineStr">
        <is>
          <t>charge</t>
        </is>
      </c>
      <c r="E1312" s="5" t="n">
        <v>46265</v>
      </c>
      <c r="F1312" s="9" t="n">
        <v>110</v>
      </c>
      <c r="G1312" s="9" t="n">
        <v>2.23</v>
      </c>
      <c r="H1312" s="9" t="n">
        <v>107.77</v>
      </c>
      <c r="I1312" t="inlineStr">
        <is>
          <t>INV/2026/04928</t>
        </is>
      </c>
      <c r="J1312" s="9">
        <f>ROUND(F1312-G1312-H1312,2)</f>
        <v>0</v>
      </c>
    </row>
    <row r="1313">
      <c r="A1313" t="inlineStr">
        <is>
          <t>po_1Q0046KX</t>
        </is>
      </c>
      <c r="B1313" s="5" t="n">
        <v>46267</v>
      </c>
      <c r="C1313" t="inlineStr">
        <is>
          <t>ch_3Q001304</t>
        </is>
      </c>
      <c r="D1313" t="inlineStr">
        <is>
          <t>charge</t>
        </is>
      </c>
      <c r="E1313" s="5" t="n">
        <v>46265</v>
      </c>
      <c r="F1313" s="9" t="n">
        <v>120</v>
      </c>
      <c r="G1313" s="9" t="n">
        <v>2.4</v>
      </c>
      <c r="H1313" s="9" t="n">
        <v>117.6</v>
      </c>
      <c r="I1313" t="inlineStr">
        <is>
          <t>INV/2026/04929</t>
        </is>
      </c>
      <c r="J1313" s="9">
        <f>ROUND(F1313-G1313-H1313,2)</f>
        <v>0</v>
      </c>
    </row>
    <row r="1314">
      <c r="A1314" t="inlineStr">
        <is>
          <t>po_1Q0046KX</t>
        </is>
      </c>
      <c r="B1314" s="5" t="n">
        <v>46267</v>
      </c>
      <c r="C1314" t="inlineStr">
        <is>
          <t>ch_3Q001305</t>
        </is>
      </c>
      <c r="D1314" t="inlineStr">
        <is>
          <t>charge</t>
        </is>
      </c>
      <c r="E1314" s="5" t="n">
        <v>46265</v>
      </c>
      <c r="F1314" s="9" t="n">
        <v>120</v>
      </c>
      <c r="G1314" s="9" t="n">
        <v>2.4</v>
      </c>
      <c r="H1314" s="9" t="n">
        <v>117.6</v>
      </c>
      <c r="I1314" t="inlineStr">
        <is>
          <t>INV/2026/04930</t>
        </is>
      </c>
      <c r="J1314" s="9">
        <f>ROUND(F1314-G1314-H1314,2)</f>
        <v>0</v>
      </c>
    </row>
    <row r="1315">
      <c r="A1315" t="inlineStr">
        <is>
          <t>po_1Q0046KX</t>
        </is>
      </c>
      <c r="B1315" s="5" t="n">
        <v>46267</v>
      </c>
      <c r="C1315" t="inlineStr">
        <is>
          <t>ch_3Q001306</t>
        </is>
      </c>
      <c r="D1315" t="inlineStr">
        <is>
          <t>charge</t>
        </is>
      </c>
      <c r="E1315" s="5" t="n">
        <v>46265</v>
      </c>
      <c r="F1315" s="9" t="n">
        <v>95</v>
      </c>
      <c r="G1315" s="9" t="n">
        <v>1.96</v>
      </c>
      <c r="H1315" s="9" t="n">
        <v>93.04000000000001</v>
      </c>
      <c r="I1315" t="inlineStr">
        <is>
          <t>INV/2026/04931</t>
        </is>
      </c>
      <c r="J1315" s="9">
        <f>ROUND(F1315-G1315-H1315,2)</f>
        <v>0</v>
      </c>
    </row>
    <row r="1316">
      <c r="A1316" t="inlineStr">
        <is>
          <t>po_1Q0046KX</t>
        </is>
      </c>
      <c r="B1316" s="5" t="n">
        <v>46267</v>
      </c>
      <c r="C1316" t="inlineStr">
        <is>
          <t>ch_3Q001307</t>
        </is>
      </c>
      <c r="D1316" t="inlineStr">
        <is>
          <t>charge</t>
        </is>
      </c>
      <c r="E1316" s="5" t="n">
        <v>46265</v>
      </c>
      <c r="F1316" s="9" t="n">
        <v>150</v>
      </c>
      <c r="G1316" s="9" t="n">
        <v>2.93</v>
      </c>
      <c r="H1316" s="9" t="n">
        <v>147.07</v>
      </c>
      <c r="I1316" t="inlineStr">
        <is>
          <t>INV/2026/04932</t>
        </is>
      </c>
      <c r="J1316" s="9">
        <f>ROUND(F1316-G1316-H1316,2)</f>
        <v>0</v>
      </c>
    </row>
    <row r="1317">
      <c r="A1317" t="inlineStr">
        <is>
          <t>po_1Q0046KX</t>
        </is>
      </c>
      <c r="B1317" s="5" t="n">
        <v>46267</v>
      </c>
      <c r="C1317" t="inlineStr">
        <is>
          <t>ch_3Q001308</t>
        </is>
      </c>
      <c r="D1317" t="inlineStr">
        <is>
          <t>charge</t>
        </is>
      </c>
      <c r="E1317" s="5" t="n">
        <v>46265</v>
      </c>
      <c r="F1317" s="9" t="n">
        <v>95</v>
      </c>
      <c r="G1317" s="9" t="n">
        <v>1.96</v>
      </c>
      <c r="H1317" s="9" t="n">
        <v>93.04000000000001</v>
      </c>
      <c r="I1317" t="inlineStr">
        <is>
          <t>INV/2026/04933</t>
        </is>
      </c>
      <c r="J1317" s="9">
        <f>ROUND(F1317-G1317-H1317,2)</f>
        <v>0</v>
      </c>
    </row>
    <row r="1318">
      <c r="A1318" t="inlineStr">
        <is>
          <t>po_1Q0046KX</t>
        </is>
      </c>
      <c r="B1318" s="5" t="n">
        <v>46267</v>
      </c>
      <c r="C1318" t="inlineStr">
        <is>
          <t>ch_3Q001309</t>
        </is>
      </c>
      <c r="D1318" t="inlineStr">
        <is>
          <t>charge</t>
        </is>
      </c>
      <c r="E1318" s="5" t="n">
        <v>46265</v>
      </c>
      <c r="F1318" s="9" t="n">
        <v>65</v>
      </c>
      <c r="G1318" s="9" t="n">
        <v>1.44</v>
      </c>
      <c r="H1318" s="9" t="n">
        <v>63.56</v>
      </c>
      <c r="I1318" t="inlineStr">
        <is>
          <t>INV/2026/04934</t>
        </is>
      </c>
      <c r="J1318" s="9">
        <f>ROUND(F1318-G1318-H1318,2)</f>
        <v>0</v>
      </c>
    </row>
    <row r="1319">
      <c r="A1319" t="inlineStr">
        <is>
          <t>po_1Q0046KX</t>
        </is>
      </c>
      <c r="B1319" s="5" t="n">
        <v>46267</v>
      </c>
      <c r="C1319" t="inlineStr">
        <is>
          <t>ch_3Q001310</t>
        </is>
      </c>
      <c r="D1319" t="inlineStr">
        <is>
          <t>charge</t>
        </is>
      </c>
      <c r="E1319" s="5" t="n">
        <v>46265</v>
      </c>
      <c r="F1319" s="9" t="n">
        <v>120</v>
      </c>
      <c r="G1319" s="9" t="n">
        <v>2.4</v>
      </c>
      <c r="H1319" s="9" t="n">
        <v>117.6</v>
      </c>
      <c r="I1319" t="inlineStr">
        <is>
          <t>INV/2026/04935</t>
        </is>
      </c>
      <c r="J1319" s="9">
        <f>ROUND(F1319-G1319-H1319,2)</f>
        <v>0</v>
      </c>
    </row>
    <row r="1320">
      <c r="A1320" t="inlineStr">
        <is>
          <t>po_1Q0046KX</t>
        </is>
      </c>
      <c r="B1320" s="5" t="n">
        <v>46267</v>
      </c>
      <c r="C1320" t="inlineStr">
        <is>
          <t>ch_3Q001311</t>
        </is>
      </c>
      <c r="D1320" t="inlineStr">
        <is>
          <t>charge</t>
        </is>
      </c>
      <c r="E1320" s="5" t="n">
        <v>46265</v>
      </c>
      <c r="F1320" s="9" t="n">
        <v>220</v>
      </c>
      <c r="G1320" s="9" t="n">
        <v>4.15</v>
      </c>
      <c r="H1320" s="9" t="n">
        <v>215.85</v>
      </c>
      <c r="I1320" t="inlineStr">
        <is>
          <t>INV/2026/04936</t>
        </is>
      </c>
      <c r="J1320" s="9">
        <f>ROUND(F1320-G1320-H1320,2)</f>
        <v>0</v>
      </c>
    </row>
    <row r="1321">
      <c r="A1321" t="inlineStr">
        <is>
          <t>po_1Q0046KX</t>
        </is>
      </c>
      <c r="B1321" s="5" t="n">
        <v>46267</v>
      </c>
      <c r="C1321" t="inlineStr">
        <is>
          <t>ch_3Q001312</t>
        </is>
      </c>
      <c r="D1321" t="inlineStr">
        <is>
          <t>charge</t>
        </is>
      </c>
      <c r="E1321" s="5" t="n">
        <v>46265</v>
      </c>
      <c r="F1321" s="9" t="n">
        <v>95</v>
      </c>
      <c r="G1321" s="9" t="n">
        <v>1.96</v>
      </c>
      <c r="H1321" s="9" t="n">
        <v>93.04000000000001</v>
      </c>
      <c r="I1321" t="inlineStr">
        <is>
          <t>INV/2026/04937</t>
        </is>
      </c>
      <c r="J1321" s="9">
        <f>ROUND(F1321-G1321-H1321,2)</f>
        <v>0</v>
      </c>
    </row>
    <row r="1322">
      <c r="A1322" t="inlineStr">
        <is>
          <t>po_1Q0046KX</t>
        </is>
      </c>
      <c r="B1322" s="5" t="n">
        <v>46267</v>
      </c>
      <c r="C1322" t="inlineStr">
        <is>
          <t>ch_3Q001313</t>
        </is>
      </c>
      <c r="D1322" t="inlineStr">
        <is>
          <t>charge</t>
        </is>
      </c>
      <c r="E1322" s="5" t="n">
        <v>46265</v>
      </c>
      <c r="F1322" s="9" t="n">
        <v>120</v>
      </c>
      <c r="G1322" s="9" t="n">
        <v>2.4</v>
      </c>
      <c r="H1322" s="9" t="n">
        <v>117.6</v>
      </c>
      <c r="I1322" t="inlineStr">
        <is>
          <t>INV/2026/04938</t>
        </is>
      </c>
      <c r="J1322" s="9">
        <f>ROUND(F1322-G1322-H1322,2)</f>
        <v>0</v>
      </c>
    </row>
    <row r="1323">
      <c r="A1323" t="inlineStr">
        <is>
          <t>po_1Q0046KX</t>
        </is>
      </c>
      <c r="B1323" s="5" t="n">
        <v>46267</v>
      </c>
      <c r="C1323" t="inlineStr">
        <is>
          <t>ch_3Q001314</t>
        </is>
      </c>
      <c r="D1323" t="inlineStr">
        <is>
          <t>charge</t>
        </is>
      </c>
      <c r="E1323" s="5" t="n">
        <v>46265</v>
      </c>
      <c r="F1323" s="9" t="n">
        <v>95</v>
      </c>
      <c r="G1323" s="9" t="n">
        <v>1.96</v>
      </c>
      <c r="H1323" s="9" t="n">
        <v>93.04000000000001</v>
      </c>
      <c r="I1323" t="inlineStr">
        <is>
          <t>INV/2026/04939</t>
        </is>
      </c>
      <c r="J1323" s="9">
        <f>ROUND(F1323-G1323-H1323,2)</f>
        <v>0</v>
      </c>
    </row>
    <row r="1324">
      <c r="A1324" t="inlineStr">
        <is>
          <t>po_1Q0046KX</t>
        </is>
      </c>
      <c r="B1324" s="5" t="n">
        <v>46267</v>
      </c>
      <c r="C1324" t="inlineStr">
        <is>
          <t>ch_3Q001315</t>
        </is>
      </c>
      <c r="D1324" t="inlineStr">
        <is>
          <t>charge</t>
        </is>
      </c>
      <c r="E1324" s="5" t="n">
        <v>46265</v>
      </c>
      <c r="F1324" s="9" t="n">
        <v>85</v>
      </c>
      <c r="G1324" s="9" t="n">
        <v>1.79</v>
      </c>
      <c r="H1324" s="9" t="n">
        <v>83.20999999999999</v>
      </c>
      <c r="I1324" t="inlineStr">
        <is>
          <t>INV/2026/04940</t>
        </is>
      </c>
      <c r="J1324" s="9">
        <f>ROUND(F1324-G1324-H1324,2)</f>
        <v>0</v>
      </c>
    </row>
    <row r="1325">
      <c r="A1325" t="inlineStr">
        <is>
          <t>po_1Q0046KX</t>
        </is>
      </c>
      <c r="B1325" s="5" t="n">
        <v>46267</v>
      </c>
      <c r="C1325" t="inlineStr">
        <is>
          <t>ch_3Q001316</t>
        </is>
      </c>
      <c r="D1325" t="inlineStr">
        <is>
          <t>charge</t>
        </is>
      </c>
      <c r="E1325" s="5" t="n">
        <v>46265</v>
      </c>
      <c r="F1325" s="9" t="n">
        <v>150</v>
      </c>
      <c r="G1325" s="9" t="n">
        <v>2.93</v>
      </c>
      <c r="H1325" s="9" t="n">
        <v>147.07</v>
      </c>
      <c r="I1325" t="inlineStr">
        <is>
          <t>INV/2026/04941</t>
        </is>
      </c>
      <c r="J1325" s="9">
        <f>ROUND(F1325-G1325-H1325,2)</f>
        <v>0</v>
      </c>
    </row>
    <row r="1326">
      <c r="A1326" t="inlineStr">
        <is>
          <t>po_1Q0046KX</t>
        </is>
      </c>
      <c r="B1326" s="5" t="n">
        <v>46267</v>
      </c>
      <c r="C1326" t="inlineStr">
        <is>
          <t>ch_3Q001317</t>
        </is>
      </c>
      <c r="D1326" t="inlineStr">
        <is>
          <t>charge</t>
        </is>
      </c>
      <c r="E1326" s="5" t="n">
        <v>46265</v>
      </c>
      <c r="F1326" s="9" t="n">
        <v>95</v>
      </c>
      <c r="G1326" s="9" t="n">
        <v>1.96</v>
      </c>
      <c r="H1326" s="9" t="n">
        <v>93.04000000000001</v>
      </c>
      <c r="I1326" t="inlineStr">
        <is>
          <t>INV/2026/04942</t>
        </is>
      </c>
      <c r="J1326" s="9">
        <f>ROUND(F1326-G1326-H1326,2)</f>
        <v>0</v>
      </c>
    </row>
    <row r="1327">
      <c r="A1327" t="inlineStr">
        <is>
          <t>po_1Q0046KX</t>
        </is>
      </c>
      <c r="B1327" s="5" t="n">
        <v>46267</v>
      </c>
      <c r="C1327" t="inlineStr">
        <is>
          <t>ch_3Q001318</t>
        </is>
      </c>
      <c r="D1327" t="inlineStr">
        <is>
          <t>charge</t>
        </is>
      </c>
      <c r="E1327" s="5" t="n">
        <v>46265</v>
      </c>
      <c r="F1327" s="9" t="n">
        <v>85</v>
      </c>
      <c r="G1327" s="9" t="n">
        <v>1.79</v>
      </c>
      <c r="H1327" s="9" t="n">
        <v>83.20999999999999</v>
      </c>
      <c r="I1327" t="inlineStr">
        <is>
          <t>INV/2026/04943</t>
        </is>
      </c>
      <c r="J1327" s="9">
        <f>ROUND(F1327-G1327-H1327,2)</f>
        <v>0</v>
      </c>
    </row>
    <row r="1328">
      <c r="A1328" t="inlineStr">
        <is>
          <t>po_1Q0046KX</t>
        </is>
      </c>
      <c r="B1328" s="5" t="n">
        <v>46267</v>
      </c>
      <c r="C1328" t="inlineStr">
        <is>
          <t>ch_3Q001319</t>
        </is>
      </c>
      <c r="D1328" t="inlineStr">
        <is>
          <t>charge</t>
        </is>
      </c>
      <c r="E1328" s="5" t="n">
        <v>46265</v>
      </c>
      <c r="F1328" s="9" t="n">
        <v>95</v>
      </c>
      <c r="G1328" s="9" t="n">
        <v>1.96</v>
      </c>
      <c r="H1328" s="9" t="n">
        <v>93.04000000000001</v>
      </c>
      <c r="I1328" t="inlineStr">
        <is>
          <t>INV/2026/04944</t>
        </is>
      </c>
      <c r="J1328" s="9">
        <f>ROUND(F1328-G1328-H1328,2)</f>
        <v>0</v>
      </c>
    </row>
    <row r="1329">
      <c r="A1329" t="inlineStr">
        <is>
          <t>po_1Q0046KX</t>
        </is>
      </c>
      <c r="B1329" s="5" t="n">
        <v>46267</v>
      </c>
      <c r="C1329" t="inlineStr">
        <is>
          <t>ch_3Q001320</t>
        </is>
      </c>
      <c r="D1329" t="inlineStr">
        <is>
          <t>charge</t>
        </is>
      </c>
      <c r="E1329" s="5" t="n">
        <v>46265</v>
      </c>
      <c r="F1329" s="9" t="n">
        <v>180</v>
      </c>
      <c r="G1329" s="9" t="n">
        <v>3.45</v>
      </c>
      <c r="H1329" s="9" t="n">
        <v>176.55</v>
      </c>
      <c r="I1329" t="inlineStr">
        <is>
          <t>INV/2026/04945</t>
        </is>
      </c>
      <c r="J1329" s="9">
        <f>ROUND(F1329-G1329-H1329,2)</f>
        <v>0</v>
      </c>
    </row>
    <row r="1330">
      <c r="A1330" t="inlineStr">
        <is>
          <t>po_1Q0046KX</t>
        </is>
      </c>
      <c r="B1330" s="5" t="n">
        <v>46267</v>
      </c>
      <c r="C1330" t="inlineStr">
        <is>
          <t>ch_3Q001321</t>
        </is>
      </c>
      <c r="D1330" t="inlineStr">
        <is>
          <t>charge</t>
        </is>
      </c>
      <c r="E1330" s="5" t="n">
        <v>46265</v>
      </c>
      <c r="F1330" s="9" t="n">
        <v>95</v>
      </c>
      <c r="G1330" s="9" t="n">
        <v>1.96</v>
      </c>
      <c r="H1330" s="9" t="n">
        <v>93.04000000000001</v>
      </c>
      <c r="I1330" t="inlineStr">
        <is>
          <t>INV/2026/04946</t>
        </is>
      </c>
      <c r="J1330" s="9">
        <f>ROUND(F1330-G1330-H1330,2)</f>
        <v>0</v>
      </c>
    </row>
    <row r="1331">
      <c r="A1331" t="inlineStr">
        <is>
          <t>po_1Q0046KX</t>
        </is>
      </c>
      <c r="B1331" s="5" t="n">
        <v>46267</v>
      </c>
      <c r="C1331" t="inlineStr">
        <is>
          <t>ch_3Q001322</t>
        </is>
      </c>
      <c r="D1331" t="inlineStr">
        <is>
          <t>charge</t>
        </is>
      </c>
      <c r="E1331" s="5" t="n">
        <v>46265</v>
      </c>
      <c r="F1331" s="9" t="n">
        <v>180</v>
      </c>
      <c r="G1331" s="9" t="n">
        <v>3.45</v>
      </c>
      <c r="H1331" s="9" t="n">
        <v>176.55</v>
      </c>
      <c r="I1331" t="inlineStr">
        <is>
          <t>INV/2026/04947</t>
        </is>
      </c>
      <c r="J1331" s="9">
        <f>ROUND(F1331-G1331-H1331,2)</f>
        <v>0</v>
      </c>
    </row>
    <row r="1332">
      <c r="A1332" t="inlineStr">
        <is>
          <t>po_1Q0046KX</t>
        </is>
      </c>
      <c r="B1332" s="5" t="n">
        <v>46267</v>
      </c>
      <c r="C1332" t="inlineStr">
        <is>
          <t>ch_3Q001323</t>
        </is>
      </c>
      <c r="D1332" t="inlineStr">
        <is>
          <t>charge</t>
        </is>
      </c>
      <c r="E1332" s="5" t="n">
        <v>46265</v>
      </c>
      <c r="F1332" s="9" t="n">
        <v>150</v>
      </c>
      <c r="G1332" s="9" t="n">
        <v>2.93</v>
      </c>
      <c r="H1332" s="9" t="n">
        <v>147.07</v>
      </c>
      <c r="I1332" t="inlineStr">
        <is>
          <t>INV/2026/04948</t>
        </is>
      </c>
      <c r="J1332" s="9">
        <f>ROUND(F1332-G1332-H1332,2)</f>
        <v>0</v>
      </c>
    </row>
    <row r="1333">
      <c r="A1333" t="inlineStr">
        <is>
          <t>po_1Q0046KX</t>
        </is>
      </c>
      <c r="B1333" s="5" t="n">
        <v>46267</v>
      </c>
      <c r="C1333" t="inlineStr">
        <is>
          <t>ch_3Q001324</t>
        </is>
      </c>
      <c r="D1333" t="inlineStr">
        <is>
          <t>charge</t>
        </is>
      </c>
      <c r="E1333" s="5" t="n">
        <v>46265</v>
      </c>
      <c r="F1333" s="9" t="n">
        <v>110</v>
      </c>
      <c r="G1333" s="9" t="n">
        <v>2.23</v>
      </c>
      <c r="H1333" s="9" t="n">
        <v>107.77</v>
      </c>
      <c r="I1333" t="inlineStr">
        <is>
          <t>INV/2026/04949</t>
        </is>
      </c>
      <c r="J1333" s="9">
        <f>ROUND(F1333-G1333-H1333,2)</f>
        <v>0</v>
      </c>
    </row>
    <row r="1334">
      <c r="A1334" t="inlineStr">
        <is>
          <t>po_1Q0047KX</t>
        </is>
      </c>
      <c r="B1334" s="5" t="n">
        <v>46268</v>
      </c>
      <c r="C1334" t="inlineStr">
        <is>
          <t>ch_3Q001325</t>
        </is>
      </c>
      <c r="D1334" t="inlineStr">
        <is>
          <t>charge</t>
        </is>
      </c>
      <c r="E1334" s="5" t="n">
        <v>46266</v>
      </c>
      <c r="F1334" s="9" t="n">
        <v>120</v>
      </c>
      <c r="G1334" s="9" t="n">
        <v>2.4</v>
      </c>
      <c r="H1334" s="9" t="n">
        <v>117.6</v>
      </c>
      <c r="I1334" t="inlineStr">
        <is>
          <t>INV/2026/04950</t>
        </is>
      </c>
      <c r="J1334" s="9">
        <f>ROUND(F1334-G1334-H1334,2)</f>
        <v>0</v>
      </c>
    </row>
    <row r="1335">
      <c r="A1335" t="inlineStr">
        <is>
          <t>po_1Q0047KX</t>
        </is>
      </c>
      <c r="B1335" s="5" t="n">
        <v>46268</v>
      </c>
      <c r="C1335" t="inlineStr">
        <is>
          <t>ch_3Q001326</t>
        </is>
      </c>
      <c r="D1335" t="inlineStr">
        <is>
          <t>charge</t>
        </is>
      </c>
      <c r="E1335" s="5" t="n">
        <v>46266</v>
      </c>
      <c r="F1335" s="9" t="n">
        <v>95</v>
      </c>
      <c r="G1335" s="9" t="n">
        <v>1.96</v>
      </c>
      <c r="H1335" s="9" t="n">
        <v>93.04000000000001</v>
      </c>
      <c r="I1335" t="inlineStr">
        <is>
          <t>INV/2026/04951</t>
        </is>
      </c>
      <c r="J1335" s="9">
        <f>ROUND(F1335-G1335-H1335,2)</f>
        <v>0</v>
      </c>
    </row>
    <row r="1336">
      <c r="A1336" t="inlineStr">
        <is>
          <t>po_1Q0047KX</t>
        </is>
      </c>
      <c r="B1336" s="5" t="n">
        <v>46268</v>
      </c>
      <c r="C1336" t="inlineStr">
        <is>
          <t>ch_3Q001327</t>
        </is>
      </c>
      <c r="D1336" t="inlineStr">
        <is>
          <t>charge</t>
        </is>
      </c>
      <c r="E1336" s="5" t="n">
        <v>46266</v>
      </c>
      <c r="F1336" s="9" t="n">
        <v>95</v>
      </c>
      <c r="G1336" s="9" t="n">
        <v>1.96</v>
      </c>
      <c r="H1336" s="9" t="n">
        <v>93.04000000000001</v>
      </c>
      <c r="I1336" t="inlineStr">
        <is>
          <t>INV/2026/04952</t>
        </is>
      </c>
      <c r="J1336" s="9">
        <f>ROUND(F1336-G1336-H1336,2)</f>
        <v>0</v>
      </c>
    </row>
    <row r="1337">
      <c r="A1337" t="inlineStr">
        <is>
          <t>po_1Q0047KX</t>
        </is>
      </c>
      <c r="B1337" s="5" t="n">
        <v>46268</v>
      </c>
      <c r="C1337" t="inlineStr">
        <is>
          <t>ch_3Q001328</t>
        </is>
      </c>
      <c r="D1337" t="inlineStr">
        <is>
          <t>charge</t>
        </is>
      </c>
      <c r="E1337" s="5" t="n">
        <v>46266</v>
      </c>
      <c r="F1337" s="9" t="n">
        <v>110</v>
      </c>
      <c r="G1337" s="9" t="n">
        <v>2.23</v>
      </c>
      <c r="H1337" s="9" t="n">
        <v>107.77</v>
      </c>
      <c r="I1337" t="inlineStr">
        <is>
          <t>INV/2026/04953</t>
        </is>
      </c>
      <c r="J1337" s="9">
        <f>ROUND(F1337-G1337-H1337,2)</f>
        <v>0</v>
      </c>
    </row>
    <row r="1338">
      <c r="A1338" t="inlineStr">
        <is>
          <t>po_1Q0047KX</t>
        </is>
      </c>
      <c r="B1338" s="5" t="n">
        <v>46268</v>
      </c>
      <c r="C1338" t="inlineStr">
        <is>
          <t>ch_3Q001329</t>
        </is>
      </c>
      <c r="D1338" t="inlineStr">
        <is>
          <t>charge</t>
        </is>
      </c>
      <c r="E1338" s="5" t="n">
        <v>46266</v>
      </c>
      <c r="F1338" s="9" t="n">
        <v>65</v>
      </c>
      <c r="G1338" s="9" t="n">
        <v>1.44</v>
      </c>
      <c r="H1338" s="9" t="n">
        <v>63.56</v>
      </c>
      <c r="I1338" t="inlineStr">
        <is>
          <t>INV/2026/04954</t>
        </is>
      </c>
      <c r="J1338" s="9">
        <f>ROUND(F1338-G1338-H1338,2)</f>
        <v>0</v>
      </c>
    </row>
    <row r="1339">
      <c r="A1339" t="inlineStr">
        <is>
          <t>po_1Q0047KX</t>
        </is>
      </c>
      <c r="B1339" s="5" t="n">
        <v>46268</v>
      </c>
      <c r="C1339" t="inlineStr">
        <is>
          <t>ch_3Q001330</t>
        </is>
      </c>
      <c r="D1339" t="inlineStr">
        <is>
          <t>charge</t>
        </is>
      </c>
      <c r="E1339" s="5" t="n">
        <v>46266</v>
      </c>
      <c r="F1339" s="9" t="n">
        <v>120</v>
      </c>
      <c r="G1339" s="9" t="n">
        <v>2.4</v>
      </c>
      <c r="H1339" s="9" t="n">
        <v>117.6</v>
      </c>
      <c r="I1339" t="inlineStr">
        <is>
          <t>INV/2026/04955</t>
        </is>
      </c>
      <c r="J1339" s="9">
        <f>ROUND(F1339-G1339-H1339,2)</f>
        <v>0</v>
      </c>
    </row>
    <row r="1340">
      <c r="A1340" t="inlineStr">
        <is>
          <t>po_1Q0047KX</t>
        </is>
      </c>
      <c r="B1340" s="5" t="n">
        <v>46268</v>
      </c>
      <c r="C1340" t="inlineStr">
        <is>
          <t>ch_3Q001331</t>
        </is>
      </c>
      <c r="D1340" t="inlineStr">
        <is>
          <t>charge</t>
        </is>
      </c>
      <c r="E1340" s="5" t="n">
        <v>46266</v>
      </c>
      <c r="F1340" s="9" t="n">
        <v>65</v>
      </c>
      <c r="G1340" s="9" t="n">
        <v>1.44</v>
      </c>
      <c r="H1340" s="9" t="n">
        <v>63.56</v>
      </c>
      <c r="I1340" t="inlineStr">
        <is>
          <t>INV/2026/04956</t>
        </is>
      </c>
      <c r="J1340" s="9">
        <f>ROUND(F1340-G1340-H1340,2)</f>
        <v>0</v>
      </c>
    </row>
    <row r="1341">
      <c r="A1341" t="inlineStr">
        <is>
          <t>po_1Q0047KX</t>
        </is>
      </c>
      <c r="B1341" s="5" t="n">
        <v>46268</v>
      </c>
      <c r="C1341" t="inlineStr">
        <is>
          <t>ch_3Q001332</t>
        </is>
      </c>
      <c r="D1341" t="inlineStr">
        <is>
          <t>charge</t>
        </is>
      </c>
      <c r="E1341" s="5" t="n">
        <v>46266</v>
      </c>
      <c r="F1341" s="9" t="n">
        <v>135</v>
      </c>
      <c r="G1341" s="9" t="n">
        <v>2.66</v>
      </c>
      <c r="H1341" s="9" t="n">
        <v>132.34</v>
      </c>
      <c r="I1341" t="inlineStr">
        <is>
          <t>INV/2026/04957</t>
        </is>
      </c>
      <c r="J1341" s="9">
        <f>ROUND(F1341-G1341-H1341,2)</f>
        <v>0</v>
      </c>
    </row>
    <row r="1342">
      <c r="A1342" t="inlineStr">
        <is>
          <t>po_1Q0047KX</t>
        </is>
      </c>
      <c r="B1342" s="5" t="n">
        <v>46268</v>
      </c>
      <c r="C1342" t="inlineStr">
        <is>
          <t>ch_3Q001333</t>
        </is>
      </c>
      <c r="D1342" t="inlineStr">
        <is>
          <t>charge</t>
        </is>
      </c>
      <c r="E1342" s="5" t="n">
        <v>46266</v>
      </c>
      <c r="F1342" s="9" t="n">
        <v>150</v>
      </c>
      <c r="G1342" s="9" t="n">
        <v>2.93</v>
      </c>
      <c r="H1342" s="9" t="n">
        <v>147.07</v>
      </c>
      <c r="I1342" t="inlineStr">
        <is>
          <t>INV/2026/04958</t>
        </is>
      </c>
      <c r="J1342" s="9">
        <f>ROUND(F1342-G1342-H1342,2)</f>
        <v>0</v>
      </c>
    </row>
    <row r="1343">
      <c r="A1343" t="inlineStr">
        <is>
          <t>po_1Q0047KX</t>
        </is>
      </c>
      <c r="B1343" s="5" t="n">
        <v>46268</v>
      </c>
      <c r="C1343" t="inlineStr">
        <is>
          <t>ch_3Q001334</t>
        </is>
      </c>
      <c r="D1343" t="inlineStr">
        <is>
          <t>charge</t>
        </is>
      </c>
      <c r="E1343" s="5" t="n">
        <v>46266</v>
      </c>
      <c r="F1343" s="9" t="n">
        <v>65</v>
      </c>
      <c r="G1343" s="9" t="n">
        <v>1.44</v>
      </c>
      <c r="H1343" s="9" t="n">
        <v>63.56</v>
      </c>
      <c r="I1343" t="inlineStr">
        <is>
          <t>INV/2026/04959</t>
        </is>
      </c>
      <c r="J1343" s="9">
        <f>ROUND(F1343-G1343-H1343,2)</f>
        <v>0</v>
      </c>
    </row>
    <row r="1344">
      <c r="A1344" t="inlineStr">
        <is>
          <t>po_1Q0047KX</t>
        </is>
      </c>
      <c r="B1344" s="5" t="n">
        <v>46268</v>
      </c>
      <c r="C1344" t="inlineStr">
        <is>
          <t>ch_3Q001335</t>
        </is>
      </c>
      <c r="D1344" t="inlineStr">
        <is>
          <t>charge</t>
        </is>
      </c>
      <c r="E1344" s="5" t="n">
        <v>46266</v>
      </c>
      <c r="F1344" s="9" t="n">
        <v>150</v>
      </c>
      <c r="G1344" s="9" t="n">
        <v>2.93</v>
      </c>
      <c r="H1344" s="9" t="n">
        <v>147.07</v>
      </c>
      <c r="I1344" t="inlineStr">
        <is>
          <t>INV/2026/04960</t>
        </is>
      </c>
      <c r="J1344" s="9">
        <f>ROUND(F1344-G1344-H1344,2)</f>
        <v>0</v>
      </c>
    </row>
    <row r="1345">
      <c r="A1345" t="inlineStr">
        <is>
          <t>po_1Q0047KX</t>
        </is>
      </c>
      <c r="B1345" s="5" t="n">
        <v>46268</v>
      </c>
      <c r="C1345" t="inlineStr">
        <is>
          <t>ch_3Q001336</t>
        </is>
      </c>
      <c r="D1345" t="inlineStr">
        <is>
          <t>charge</t>
        </is>
      </c>
      <c r="E1345" s="5" t="n">
        <v>46266</v>
      </c>
      <c r="F1345" s="9" t="n">
        <v>180</v>
      </c>
      <c r="G1345" s="9" t="n">
        <v>3.45</v>
      </c>
      <c r="H1345" s="9" t="n">
        <v>176.55</v>
      </c>
      <c r="I1345" t="inlineStr">
        <is>
          <t>INV/2026/04961</t>
        </is>
      </c>
      <c r="J1345" s="9">
        <f>ROUND(F1345-G1345-H1345,2)</f>
        <v>0</v>
      </c>
    </row>
    <row r="1346">
      <c r="A1346" t="inlineStr">
        <is>
          <t>po_1Q0047KX</t>
        </is>
      </c>
      <c r="B1346" s="5" t="n">
        <v>46268</v>
      </c>
      <c r="C1346" t="inlineStr">
        <is>
          <t>ch_3Q001337</t>
        </is>
      </c>
      <c r="D1346" t="inlineStr">
        <is>
          <t>charge</t>
        </is>
      </c>
      <c r="E1346" s="5" t="n">
        <v>46266</v>
      </c>
      <c r="F1346" s="9" t="n">
        <v>150</v>
      </c>
      <c r="G1346" s="9" t="n">
        <v>2.93</v>
      </c>
      <c r="H1346" s="9" t="n">
        <v>147.07</v>
      </c>
      <c r="I1346" t="inlineStr">
        <is>
          <t>INV/2026/04962</t>
        </is>
      </c>
      <c r="J1346" s="9">
        <f>ROUND(F1346-G1346-H1346,2)</f>
        <v>0</v>
      </c>
    </row>
    <row r="1347">
      <c r="A1347" t="inlineStr">
        <is>
          <t>po_1Q0047KX</t>
        </is>
      </c>
      <c r="B1347" s="5" t="n">
        <v>46268</v>
      </c>
      <c r="C1347" t="inlineStr">
        <is>
          <t>ch_3Q001338</t>
        </is>
      </c>
      <c r="D1347" t="inlineStr">
        <is>
          <t>charge</t>
        </is>
      </c>
      <c r="E1347" s="5" t="n">
        <v>46266</v>
      </c>
      <c r="F1347" s="9" t="n">
        <v>85</v>
      </c>
      <c r="G1347" s="9" t="n">
        <v>1.79</v>
      </c>
      <c r="H1347" s="9" t="n">
        <v>83.20999999999999</v>
      </c>
      <c r="I1347" t="inlineStr">
        <is>
          <t>INV/2026/04963</t>
        </is>
      </c>
      <c r="J1347" s="9">
        <f>ROUND(F1347-G1347-H1347,2)</f>
        <v>0</v>
      </c>
    </row>
    <row r="1348">
      <c r="A1348" t="inlineStr">
        <is>
          <t>po_1Q0047KX</t>
        </is>
      </c>
      <c r="B1348" s="5" t="n">
        <v>46268</v>
      </c>
      <c r="C1348" t="inlineStr">
        <is>
          <t>ch_3Q001339</t>
        </is>
      </c>
      <c r="D1348" t="inlineStr">
        <is>
          <t>charge</t>
        </is>
      </c>
      <c r="E1348" s="5" t="n">
        <v>46266</v>
      </c>
      <c r="F1348" s="9" t="n">
        <v>110</v>
      </c>
      <c r="G1348" s="9" t="n">
        <v>2.23</v>
      </c>
      <c r="H1348" s="9" t="n">
        <v>107.77</v>
      </c>
      <c r="I1348" t="inlineStr">
        <is>
          <t>INV/2026/04964</t>
        </is>
      </c>
      <c r="J1348" s="9">
        <f>ROUND(F1348-G1348-H1348,2)</f>
        <v>0</v>
      </c>
    </row>
    <row r="1349">
      <c r="A1349" t="inlineStr">
        <is>
          <t>po_1Q0047KX</t>
        </is>
      </c>
      <c r="B1349" s="5" t="n">
        <v>46268</v>
      </c>
      <c r="C1349" t="inlineStr">
        <is>
          <t>ch_3Q001340</t>
        </is>
      </c>
      <c r="D1349" t="inlineStr">
        <is>
          <t>charge</t>
        </is>
      </c>
      <c r="E1349" s="5" t="n">
        <v>46266</v>
      </c>
      <c r="F1349" s="9" t="n">
        <v>150</v>
      </c>
      <c r="G1349" s="9" t="n">
        <v>2.93</v>
      </c>
      <c r="H1349" s="9" t="n">
        <v>147.07</v>
      </c>
      <c r="I1349" t="inlineStr">
        <is>
          <t>INV/2026/04965</t>
        </is>
      </c>
      <c r="J1349" s="9">
        <f>ROUND(F1349-G1349-H1349,2)</f>
        <v>0</v>
      </c>
    </row>
    <row r="1350">
      <c r="A1350" t="inlineStr">
        <is>
          <t>po_1Q0047KX</t>
        </is>
      </c>
      <c r="B1350" s="5" t="n">
        <v>46268</v>
      </c>
      <c r="C1350" t="inlineStr">
        <is>
          <t>ch_3Q001341</t>
        </is>
      </c>
      <c r="D1350" t="inlineStr">
        <is>
          <t>charge</t>
        </is>
      </c>
      <c r="E1350" s="5" t="n">
        <v>46266</v>
      </c>
      <c r="F1350" s="9" t="n">
        <v>110</v>
      </c>
      <c r="G1350" s="9" t="n">
        <v>2.23</v>
      </c>
      <c r="H1350" s="9" t="n">
        <v>107.77</v>
      </c>
      <c r="I1350" t="inlineStr">
        <is>
          <t>INV/2026/04966</t>
        </is>
      </c>
      <c r="J1350" s="9">
        <f>ROUND(F1350-G1350-H1350,2)</f>
        <v>0</v>
      </c>
    </row>
    <row r="1351">
      <c r="A1351" t="inlineStr">
        <is>
          <t>po_1Q0047KX</t>
        </is>
      </c>
      <c r="B1351" s="5" t="n">
        <v>46268</v>
      </c>
      <c r="C1351" t="inlineStr">
        <is>
          <t>ch_3Q001342</t>
        </is>
      </c>
      <c r="D1351" t="inlineStr">
        <is>
          <t>charge</t>
        </is>
      </c>
      <c r="E1351" s="5" t="n">
        <v>46266</v>
      </c>
      <c r="F1351" s="9" t="n">
        <v>135</v>
      </c>
      <c r="G1351" s="9" t="n">
        <v>2.66</v>
      </c>
      <c r="H1351" s="9" t="n">
        <v>132.34</v>
      </c>
      <c r="I1351" t="inlineStr">
        <is>
          <t>INV/2026/04967</t>
        </is>
      </c>
      <c r="J1351" s="9">
        <f>ROUND(F1351-G1351-H1351,2)</f>
        <v>0</v>
      </c>
    </row>
    <row r="1352">
      <c r="A1352" t="inlineStr">
        <is>
          <t>po_1Q0047KX</t>
        </is>
      </c>
      <c r="B1352" s="5" t="n">
        <v>46268</v>
      </c>
      <c r="C1352" t="inlineStr">
        <is>
          <t>ch_3Q001343</t>
        </is>
      </c>
      <c r="D1352" t="inlineStr">
        <is>
          <t>charge</t>
        </is>
      </c>
      <c r="E1352" s="5" t="n">
        <v>46266</v>
      </c>
      <c r="F1352" s="9" t="n">
        <v>110</v>
      </c>
      <c r="G1352" s="9" t="n">
        <v>2.23</v>
      </c>
      <c r="H1352" s="9" t="n">
        <v>107.77</v>
      </c>
      <c r="I1352" t="inlineStr">
        <is>
          <t>INV/2026/04968</t>
        </is>
      </c>
      <c r="J1352" s="9">
        <f>ROUND(F1352-G1352-H1352,2)</f>
        <v>0</v>
      </c>
    </row>
    <row r="1353">
      <c r="A1353" t="inlineStr">
        <is>
          <t>po_1Q0047KX</t>
        </is>
      </c>
      <c r="B1353" s="5" t="n">
        <v>46268</v>
      </c>
      <c r="C1353" t="inlineStr">
        <is>
          <t>ch_3Q001344</t>
        </is>
      </c>
      <c r="D1353" t="inlineStr">
        <is>
          <t>charge</t>
        </is>
      </c>
      <c r="E1353" s="5" t="n">
        <v>46266</v>
      </c>
      <c r="F1353" s="9" t="n">
        <v>135</v>
      </c>
      <c r="G1353" s="9" t="n">
        <v>2.66</v>
      </c>
      <c r="H1353" s="9" t="n">
        <v>132.34</v>
      </c>
      <c r="I1353" t="inlineStr">
        <is>
          <t>INV/2026/04969</t>
        </is>
      </c>
      <c r="J1353" s="9">
        <f>ROUND(F1353-G1353-H1353,2)</f>
        <v>0</v>
      </c>
    </row>
    <row r="1354">
      <c r="A1354" t="inlineStr">
        <is>
          <t>po_1Q0048KX</t>
        </is>
      </c>
      <c r="B1354" s="5" t="n">
        <v>46269</v>
      </c>
      <c r="C1354" t="inlineStr">
        <is>
          <t>ch_3Q001345</t>
        </is>
      </c>
      <c r="D1354" t="inlineStr">
        <is>
          <t>charge</t>
        </is>
      </c>
      <c r="E1354" s="5" t="n">
        <v>46267</v>
      </c>
      <c r="F1354" s="9" t="n">
        <v>135</v>
      </c>
      <c r="G1354" s="9" t="n">
        <v>2.66</v>
      </c>
      <c r="H1354" s="9" t="n">
        <v>132.34</v>
      </c>
      <c r="I1354" t="inlineStr">
        <is>
          <t>INV/2026/04970</t>
        </is>
      </c>
      <c r="J1354" s="9">
        <f>ROUND(F1354-G1354-H1354,2)</f>
        <v>0</v>
      </c>
    </row>
    <row r="1355">
      <c r="A1355" t="inlineStr">
        <is>
          <t>po_1Q0048KX</t>
        </is>
      </c>
      <c r="B1355" s="5" t="n">
        <v>46269</v>
      </c>
      <c r="C1355" t="inlineStr">
        <is>
          <t>ch_3Q001346</t>
        </is>
      </c>
      <c r="D1355" t="inlineStr">
        <is>
          <t>charge</t>
        </is>
      </c>
      <c r="E1355" s="5" t="n">
        <v>46267</v>
      </c>
      <c r="F1355" s="9" t="n">
        <v>65</v>
      </c>
      <c r="G1355" s="9" t="n">
        <v>1.44</v>
      </c>
      <c r="H1355" s="9" t="n">
        <v>63.56</v>
      </c>
      <c r="I1355" t="inlineStr">
        <is>
          <t>INV/2026/04971</t>
        </is>
      </c>
      <c r="J1355" s="9">
        <f>ROUND(F1355-G1355-H1355,2)</f>
        <v>0</v>
      </c>
    </row>
    <row r="1356">
      <c r="A1356" t="inlineStr">
        <is>
          <t>po_1Q0048KX</t>
        </is>
      </c>
      <c r="B1356" s="5" t="n">
        <v>46269</v>
      </c>
      <c r="C1356" t="inlineStr">
        <is>
          <t>ch_3Q001347</t>
        </is>
      </c>
      <c r="D1356" t="inlineStr">
        <is>
          <t>charge</t>
        </is>
      </c>
      <c r="E1356" s="5" t="n">
        <v>46267</v>
      </c>
      <c r="F1356" s="9" t="n">
        <v>120</v>
      </c>
      <c r="G1356" s="9" t="n">
        <v>2.4</v>
      </c>
      <c r="H1356" s="9" t="n">
        <v>117.6</v>
      </c>
      <c r="I1356" t="inlineStr">
        <is>
          <t>INV/2026/04972</t>
        </is>
      </c>
      <c r="J1356" s="9">
        <f>ROUND(F1356-G1356-H1356,2)</f>
        <v>0</v>
      </c>
    </row>
    <row r="1357">
      <c r="A1357" t="inlineStr">
        <is>
          <t>po_1Q0048KX</t>
        </is>
      </c>
      <c r="B1357" s="5" t="n">
        <v>46269</v>
      </c>
      <c r="C1357" t="inlineStr">
        <is>
          <t>ch_3Q001348</t>
        </is>
      </c>
      <c r="D1357" t="inlineStr">
        <is>
          <t>charge</t>
        </is>
      </c>
      <c r="E1357" s="5" t="n">
        <v>46267</v>
      </c>
      <c r="F1357" s="9" t="n">
        <v>95</v>
      </c>
      <c r="G1357" s="9" t="n">
        <v>1.96</v>
      </c>
      <c r="H1357" s="9" t="n">
        <v>93.04000000000001</v>
      </c>
      <c r="I1357" t="inlineStr">
        <is>
          <t>INV/2026/04973</t>
        </is>
      </c>
      <c r="J1357" s="9">
        <f>ROUND(F1357-G1357-H1357,2)</f>
        <v>0</v>
      </c>
    </row>
    <row r="1358">
      <c r="A1358" t="inlineStr">
        <is>
          <t>po_1Q0048KX</t>
        </is>
      </c>
      <c r="B1358" s="5" t="n">
        <v>46269</v>
      </c>
      <c r="C1358" t="inlineStr">
        <is>
          <t>ch_3Q001349</t>
        </is>
      </c>
      <c r="D1358" t="inlineStr">
        <is>
          <t>charge</t>
        </is>
      </c>
      <c r="E1358" s="5" t="n">
        <v>46267</v>
      </c>
      <c r="F1358" s="9" t="n">
        <v>95</v>
      </c>
      <c r="G1358" s="9" t="n">
        <v>1.96</v>
      </c>
      <c r="H1358" s="9" t="n">
        <v>93.04000000000001</v>
      </c>
      <c r="I1358" t="inlineStr">
        <is>
          <t>INV/2026/04974</t>
        </is>
      </c>
      <c r="J1358" s="9">
        <f>ROUND(F1358-G1358-H1358,2)</f>
        <v>0</v>
      </c>
    </row>
    <row r="1359">
      <c r="A1359" t="inlineStr">
        <is>
          <t>po_1Q0048KX</t>
        </is>
      </c>
      <c r="B1359" s="5" t="n">
        <v>46269</v>
      </c>
      <c r="C1359" t="inlineStr">
        <is>
          <t>ch_3Q001350</t>
        </is>
      </c>
      <c r="D1359" t="inlineStr">
        <is>
          <t>charge</t>
        </is>
      </c>
      <c r="E1359" s="5" t="n">
        <v>46267</v>
      </c>
      <c r="F1359" s="9" t="n">
        <v>135</v>
      </c>
      <c r="G1359" s="9" t="n">
        <v>2.66</v>
      </c>
      <c r="H1359" s="9" t="n">
        <v>132.34</v>
      </c>
      <c r="I1359" t="inlineStr">
        <is>
          <t>INV/2026/04975</t>
        </is>
      </c>
      <c r="J1359" s="9">
        <f>ROUND(F1359-G1359-H1359,2)</f>
        <v>0</v>
      </c>
    </row>
    <row r="1360">
      <c r="A1360" t="inlineStr">
        <is>
          <t>po_1Q0048KX</t>
        </is>
      </c>
      <c r="B1360" s="5" t="n">
        <v>46269</v>
      </c>
      <c r="C1360" t="inlineStr">
        <is>
          <t>ch_3Q001351</t>
        </is>
      </c>
      <c r="D1360" t="inlineStr">
        <is>
          <t>charge</t>
        </is>
      </c>
      <c r="E1360" s="5" t="n">
        <v>46267</v>
      </c>
      <c r="F1360" s="9" t="n">
        <v>110</v>
      </c>
      <c r="G1360" s="9" t="n">
        <v>2.23</v>
      </c>
      <c r="H1360" s="9" t="n">
        <v>107.77</v>
      </c>
      <c r="I1360" t="inlineStr">
        <is>
          <t>INV/2026/04976</t>
        </is>
      </c>
      <c r="J1360" s="9">
        <f>ROUND(F1360-G1360-H1360,2)</f>
        <v>0</v>
      </c>
    </row>
    <row r="1361">
      <c r="A1361" t="inlineStr">
        <is>
          <t>po_1Q0048KX</t>
        </is>
      </c>
      <c r="B1361" s="5" t="n">
        <v>46269</v>
      </c>
      <c r="C1361" t="inlineStr">
        <is>
          <t>ch_3Q001352</t>
        </is>
      </c>
      <c r="D1361" t="inlineStr">
        <is>
          <t>charge</t>
        </is>
      </c>
      <c r="E1361" s="5" t="n">
        <v>46267</v>
      </c>
      <c r="F1361" s="9" t="n">
        <v>120</v>
      </c>
      <c r="G1361" s="9" t="n">
        <v>2.4</v>
      </c>
      <c r="H1361" s="9" t="n">
        <v>117.6</v>
      </c>
      <c r="I1361" t="inlineStr">
        <is>
          <t>INV/2026/04977</t>
        </is>
      </c>
      <c r="J1361" s="9">
        <f>ROUND(F1361-G1361-H1361,2)</f>
        <v>0</v>
      </c>
    </row>
    <row r="1362">
      <c r="A1362" t="inlineStr">
        <is>
          <t>po_1Q0048KX</t>
        </is>
      </c>
      <c r="B1362" s="5" t="n">
        <v>46269</v>
      </c>
      <c r="C1362" t="inlineStr">
        <is>
          <t>ch_3Q001353</t>
        </is>
      </c>
      <c r="D1362" t="inlineStr">
        <is>
          <t>charge</t>
        </is>
      </c>
      <c r="E1362" s="5" t="n">
        <v>46267</v>
      </c>
      <c r="F1362" s="9" t="n">
        <v>180</v>
      </c>
      <c r="G1362" s="9" t="n">
        <v>3.45</v>
      </c>
      <c r="H1362" s="9" t="n">
        <v>176.55</v>
      </c>
      <c r="I1362" t="inlineStr">
        <is>
          <t>INV/2026/04978</t>
        </is>
      </c>
      <c r="J1362" s="9">
        <f>ROUND(F1362-G1362-H1362,2)</f>
        <v>0</v>
      </c>
    </row>
    <row r="1363">
      <c r="A1363" t="inlineStr">
        <is>
          <t>po_1Q0048KX</t>
        </is>
      </c>
      <c r="B1363" s="5" t="n">
        <v>46269</v>
      </c>
      <c r="C1363" t="inlineStr">
        <is>
          <t>ch_3Q001354</t>
        </is>
      </c>
      <c r="D1363" t="inlineStr">
        <is>
          <t>charge</t>
        </is>
      </c>
      <c r="E1363" s="5" t="n">
        <v>46267</v>
      </c>
      <c r="F1363" s="9" t="n">
        <v>85</v>
      </c>
      <c r="G1363" s="9" t="n">
        <v>1.79</v>
      </c>
      <c r="H1363" s="9" t="n">
        <v>83.20999999999999</v>
      </c>
      <c r="I1363" t="inlineStr">
        <is>
          <t>INV/2026/04979</t>
        </is>
      </c>
      <c r="J1363" s="9">
        <f>ROUND(F1363-G1363-H1363,2)</f>
        <v>0</v>
      </c>
    </row>
    <row r="1364">
      <c r="A1364" t="inlineStr">
        <is>
          <t>po_1Q0048KX</t>
        </is>
      </c>
      <c r="B1364" s="5" t="n">
        <v>46269</v>
      </c>
      <c r="C1364" t="inlineStr">
        <is>
          <t>ch_3Q001355</t>
        </is>
      </c>
      <c r="D1364" t="inlineStr">
        <is>
          <t>charge</t>
        </is>
      </c>
      <c r="E1364" s="5" t="n">
        <v>46267</v>
      </c>
      <c r="F1364" s="9" t="n">
        <v>95</v>
      </c>
      <c r="G1364" s="9" t="n">
        <v>1.96</v>
      </c>
      <c r="H1364" s="9" t="n">
        <v>93.04000000000001</v>
      </c>
      <c r="I1364" t="inlineStr">
        <is>
          <t>INV/2026/04980</t>
        </is>
      </c>
      <c r="J1364" s="9">
        <f>ROUND(F1364-G1364-H1364,2)</f>
        <v>0</v>
      </c>
    </row>
    <row r="1365">
      <c r="A1365" t="inlineStr">
        <is>
          <t>po_1Q0048KX</t>
        </is>
      </c>
      <c r="B1365" s="5" t="n">
        <v>46269</v>
      </c>
      <c r="C1365" t="inlineStr">
        <is>
          <t>ch_3Q001356</t>
        </is>
      </c>
      <c r="D1365" t="inlineStr">
        <is>
          <t>charge</t>
        </is>
      </c>
      <c r="E1365" s="5" t="n">
        <v>46267</v>
      </c>
      <c r="F1365" s="9" t="n">
        <v>110</v>
      </c>
      <c r="G1365" s="9" t="n">
        <v>2.23</v>
      </c>
      <c r="H1365" s="9" t="n">
        <v>107.77</v>
      </c>
      <c r="I1365" t="inlineStr">
        <is>
          <t>INV/2026/04981</t>
        </is>
      </c>
      <c r="J1365" s="9">
        <f>ROUND(F1365-G1365-H1365,2)</f>
        <v>0</v>
      </c>
    </row>
    <row r="1366">
      <c r="A1366" t="inlineStr">
        <is>
          <t>po_1Q0048KX</t>
        </is>
      </c>
      <c r="B1366" s="5" t="n">
        <v>46269</v>
      </c>
      <c r="C1366" t="inlineStr">
        <is>
          <t>ch_3Q001357</t>
        </is>
      </c>
      <c r="D1366" t="inlineStr">
        <is>
          <t>charge</t>
        </is>
      </c>
      <c r="E1366" s="5" t="n">
        <v>46267</v>
      </c>
      <c r="F1366" s="9" t="n">
        <v>220</v>
      </c>
      <c r="G1366" s="9" t="n">
        <v>4.15</v>
      </c>
      <c r="H1366" s="9" t="n">
        <v>215.85</v>
      </c>
      <c r="I1366" t="inlineStr">
        <is>
          <t>INV/2026/04982</t>
        </is>
      </c>
      <c r="J1366" s="9">
        <f>ROUND(F1366-G1366-H1366,2)</f>
        <v>0</v>
      </c>
    </row>
    <row r="1367">
      <c r="A1367" t="inlineStr">
        <is>
          <t>po_1Q0048KX</t>
        </is>
      </c>
      <c r="B1367" s="5" t="n">
        <v>46269</v>
      </c>
      <c r="C1367" t="inlineStr">
        <is>
          <t>ch_3Q001358</t>
        </is>
      </c>
      <c r="D1367" t="inlineStr">
        <is>
          <t>charge</t>
        </is>
      </c>
      <c r="E1367" s="5" t="n">
        <v>46267</v>
      </c>
      <c r="F1367" s="9" t="n">
        <v>65</v>
      </c>
      <c r="G1367" s="9" t="n">
        <v>1.44</v>
      </c>
      <c r="H1367" s="9" t="n">
        <v>63.56</v>
      </c>
      <c r="I1367" t="inlineStr">
        <is>
          <t>INV/2026/04983</t>
        </is>
      </c>
      <c r="J1367" s="9">
        <f>ROUND(F1367-G1367-H1367,2)</f>
        <v>0</v>
      </c>
    </row>
    <row r="1368">
      <c r="A1368" t="inlineStr">
        <is>
          <t>po_1Q0048KX</t>
        </is>
      </c>
      <c r="B1368" s="5" t="n">
        <v>46269</v>
      </c>
      <c r="C1368" t="inlineStr">
        <is>
          <t>ch_3Q001359</t>
        </is>
      </c>
      <c r="D1368" t="inlineStr">
        <is>
          <t>charge</t>
        </is>
      </c>
      <c r="E1368" s="5" t="n">
        <v>46267</v>
      </c>
      <c r="F1368" s="9" t="n">
        <v>110</v>
      </c>
      <c r="G1368" s="9" t="n">
        <v>2.23</v>
      </c>
      <c r="H1368" s="9" t="n">
        <v>107.77</v>
      </c>
      <c r="I1368" t="inlineStr">
        <is>
          <t>INV/2026/04984</t>
        </is>
      </c>
      <c r="J1368" s="9">
        <f>ROUND(F1368-G1368-H1368,2)</f>
        <v>0</v>
      </c>
    </row>
    <row r="1369">
      <c r="A1369" t="inlineStr">
        <is>
          <t>po_1Q0048KX</t>
        </is>
      </c>
      <c r="B1369" s="5" t="n">
        <v>46269</v>
      </c>
      <c r="C1369" t="inlineStr">
        <is>
          <t>ch_3Q001360</t>
        </is>
      </c>
      <c r="D1369" t="inlineStr">
        <is>
          <t>charge</t>
        </is>
      </c>
      <c r="E1369" s="5" t="n">
        <v>46267</v>
      </c>
      <c r="F1369" s="9" t="n">
        <v>150</v>
      </c>
      <c r="G1369" s="9" t="n">
        <v>2.93</v>
      </c>
      <c r="H1369" s="9" t="n">
        <v>147.07</v>
      </c>
      <c r="I1369" t="inlineStr">
        <is>
          <t>INV/2026/04985</t>
        </is>
      </c>
      <c r="J1369" s="9">
        <f>ROUND(F1369-G1369-H1369,2)</f>
        <v>0</v>
      </c>
    </row>
    <row r="1370">
      <c r="A1370" t="inlineStr">
        <is>
          <t>po_1Q0048KX</t>
        </is>
      </c>
      <c r="B1370" s="5" t="n">
        <v>46269</v>
      </c>
      <c r="C1370" t="inlineStr">
        <is>
          <t>ch_3Q001361</t>
        </is>
      </c>
      <c r="D1370" t="inlineStr">
        <is>
          <t>charge</t>
        </is>
      </c>
      <c r="E1370" s="5" t="n">
        <v>46267</v>
      </c>
      <c r="F1370" s="9" t="n">
        <v>65</v>
      </c>
      <c r="G1370" s="9" t="n">
        <v>1.44</v>
      </c>
      <c r="H1370" s="9" t="n">
        <v>63.56</v>
      </c>
      <c r="I1370" t="inlineStr">
        <is>
          <t>INV/2026/04986</t>
        </is>
      </c>
      <c r="J1370" s="9">
        <f>ROUND(F1370-G1370-H1370,2)</f>
        <v>0</v>
      </c>
    </row>
    <row r="1371">
      <c r="A1371" t="inlineStr">
        <is>
          <t>po_1Q0048KX</t>
        </is>
      </c>
      <c r="B1371" s="5" t="n">
        <v>46269</v>
      </c>
      <c r="C1371" t="inlineStr">
        <is>
          <t>ch_3Q001362</t>
        </is>
      </c>
      <c r="D1371" t="inlineStr">
        <is>
          <t>charge</t>
        </is>
      </c>
      <c r="E1371" s="5" t="n">
        <v>46267</v>
      </c>
      <c r="F1371" s="9" t="n">
        <v>180</v>
      </c>
      <c r="G1371" s="9" t="n">
        <v>3.45</v>
      </c>
      <c r="H1371" s="9" t="n">
        <v>176.55</v>
      </c>
      <c r="I1371" t="inlineStr">
        <is>
          <t>INV/2026/04987</t>
        </is>
      </c>
      <c r="J1371" s="9">
        <f>ROUND(F1371-G1371-H1371,2)</f>
        <v>0</v>
      </c>
    </row>
    <row r="1372">
      <c r="A1372" t="inlineStr">
        <is>
          <t>po_1Q0048KX</t>
        </is>
      </c>
      <c r="B1372" s="5" t="n">
        <v>46269</v>
      </c>
      <c r="C1372" t="inlineStr">
        <is>
          <t>ch_3Q001363</t>
        </is>
      </c>
      <c r="D1372" t="inlineStr">
        <is>
          <t>charge</t>
        </is>
      </c>
      <c r="E1372" s="5" t="n">
        <v>46267</v>
      </c>
      <c r="F1372" s="9" t="n">
        <v>135</v>
      </c>
      <c r="G1372" s="9" t="n">
        <v>2.66</v>
      </c>
      <c r="H1372" s="9" t="n">
        <v>132.34</v>
      </c>
      <c r="I1372" t="inlineStr">
        <is>
          <t>INV/2026/04988</t>
        </is>
      </c>
      <c r="J1372" s="9">
        <f>ROUND(F1372-G1372-H1372,2)</f>
        <v>0</v>
      </c>
    </row>
    <row r="1373">
      <c r="A1373" t="inlineStr">
        <is>
          <t>po_1Q0048KX</t>
        </is>
      </c>
      <c r="B1373" s="5" t="n">
        <v>46269</v>
      </c>
      <c r="C1373" t="inlineStr">
        <is>
          <t>ch_3Q001364</t>
        </is>
      </c>
      <c r="D1373" t="inlineStr">
        <is>
          <t>charge</t>
        </is>
      </c>
      <c r="E1373" s="5" t="n">
        <v>46267</v>
      </c>
      <c r="F1373" s="9" t="n">
        <v>110</v>
      </c>
      <c r="G1373" s="9" t="n">
        <v>2.23</v>
      </c>
      <c r="H1373" s="9" t="n">
        <v>107.77</v>
      </c>
      <c r="I1373" t="inlineStr">
        <is>
          <t>INV/2026/04989</t>
        </is>
      </c>
      <c r="J1373" s="9">
        <f>ROUND(F1373-G1373-H1373,2)</f>
        <v>0</v>
      </c>
    </row>
    <row r="1374">
      <c r="A1374" t="inlineStr">
        <is>
          <t>po_1Q0048KX</t>
        </is>
      </c>
      <c r="B1374" s="5" t="n">
        <v>46269</v>
      </c>
      <c r="C1374" t="inlineStr">
        <is>
          <t>ch_3Q001365</t>
        </is>
      </c>
      <c r="D1374" t="inlineStr">
        <is>
          <t>charge</t>
        </is>
      </c>
      <c r="E1374" s="5" t="n">
        <v>46267</v>
      </c>
      <c r="F1374" s="9" t="n">
        <v>180</v>
      </c>
      <c r="G1374" s="9" t="n">
        <v>3.45</v>
      </c>
      <c r="H1374" s="9" t="n">
        <v>176.55</v>
      </c>
      <c r="I1374" t="inlineStr">
        <is>
          <t>INV/2026/04990</t>
        </is>
      </c>
      <c r="J1374" s="9">
        <f>ROUND(F1374-G1374-H1374,2)</f>
        <v>0</v>
      </c>
    </row>
    <row r="1375">
      <c r="A1375" t="inlineStr">
        <is>
          <t>po_1Q0048KX</t>
        </is>
      </c>
      <c r="B1375" s="5" t="n">
        <v>46269</v>
      </c>
      <c r="C1375" t="inlineStr">
        <is>
          <t>ch_3Q001366</t>
        </is>
      </c>
      <c r="D1375" t="inlineStr">
        <is>
          <t>charge</t>
        </is>
      </c>
      <c r="E1375" s="5" t="n">
        <v>46267</v>
      </c>
      <c r="F1375" s="9" t="n">
        <v>220</v>
      </c>
      <c r="G1375" s="9" t="n">
        <v>4.15</v>
      </c>
      <c r="H1375" s="9" t="n">
        <v>215.85</v>
      </c>
      <c r="I1375" t="inlineStr">
        <is>
          <t>INV/2026/04991</t>
        </is>
      </c>
      <c r="J1375" s="9">
        <f>ROUND(F1375-G1375-H1375,2)</f>
        <v>0</v>
      </c>
    </row>
    <row r="1376">
      <c r="A1376" t="inlineStr">
        <is>
          <t>po_1Q0048KX</t>
        </is>
      </c>
      <c r="B1376" s="5" t="n">
        <v>46269</v>
      </c>
      <c r="C1376" t="inlineStr">
        <is>
          <t>ch_3Q001367</t>
        </is>
      </c>
      <c r="D1376" t="inlineStr">
        <is>
          <t>charge</t>
        </is>
      </c>
      <c r="E1376" s="5" t="n">
        <v>46267</v>
      </c>
      <c r="F1376" s="9" t="n">
        <v>135</v>
      </c>
      <c r="G1376" s="9" t="n">
        <v>2.66</v>
      </c>
      <c r="H1376" s="9" t="n">
        <v>132.34</v>
      </c>
      <c r="I1376" t="inlineStr">
        <is>
          <t>INV/2026/04992</t>
        </is>
      </c>
      <c r="J1376" s="9">
        <f>ROUND(F1376-G1376-H1376,2)</f>
        <v>0</v>
      </c>
    </row>
    <row r="1377">
      <c r="A1377" t="inlineStr">
        <is>
          <t>po_1Q0048KX</t>
        </is>
      </c>
      <c r="B1377" s="5" t="n">
        <v>46269</v>
      </c>
      <c r="C1377" t="inlineStr">
        <is>
          <t>ch_3Q001368</t>
        </is>
      </c>
      <c r="D1377" t="inlineStr">
        <is>
          <t>charge</t>
        </is>
      </c>
      <c r="E1377" s="5" t="n">
        <v>46267</v>
      </c>
      <c r="F1377" s="9" t="n">
        <v>120</v>
      </c>
      <c r="G1377" s="9" t="n">
        <v>2.4</v>
      </c>
      <c r="H1377" s="9" t="n">
        <v>117.6</v>
      </c>
      <c r="I1377" t="inlineStr">
        <is>
          <t>INV/2026/04993</t>
        </is>
      </c>
      <c r="J1377" s="9">
        <f>ROUND(F1377-G1377-H1377,2)</f>
        <v>0</v>
      </c>
    </row>
    <row r="1378">
      <c r="A1378" t="inlineStr">
        <is>
          <t>po_1Q0048KX</t>
        </is>
      </c>
      <c r="B1378" s="5" t="n">
        <v>46269</v>
      </c>
      <c r="C1378" t="inlineStr">
        <is>
          <t>ch_3Q001369</t>
        </is>
      </c>
      <c r="D1378" t="inlineStr">
        <is>
          <t>charge</t>
        </is>
      </c>
      <c r="E1378" s="5" t="n">
        <v>46267</v>
      </c>
      <c r="F1378" s="9" t="n">
        <v>150</v>
      </c>
      <c r="G1378" s="9" t="n">
        <v>2.93</v>
      </c>
      <c r="H1378" s="9" t="n">
        <v>147.07</v>
      </c>
      <c r="I1378" t="inlineStr">
        <is>
          <t>INV/2026/04994</t>
        </is>
      </c>
      <c r="J1378" s="9">
        <f>ROUND(F1378-G1378-H1378,2)</f>
        <v>0</v>
      </c>
    </row>
    <row r="1379">
      <c r="A1379" t="inlineStr">
        <is>
          <t>po_1Q0048KX</t>
        </is>
      </c>
      <c r="B1379" s="5" t="n">
        <v>46269</v>
      </c>
      <c r="C1379" t="inlineStr">
        <is>
          <t>ch_3Q001370</t>
        </is>
      </c>
      <c r="D1379" t="inlineStr">
        <is>
          <t>charge</t>
        </is>
      </c>
      <c r="E1379" s="5" t="n">
        <v>46267</v>
      </c>
      <c r="F1379" s="9" t="n">
        <v>65</v>
      </c>
      <c r="G1379" s="9" t="n">
        <v>1.44</v>
      </c>
      <c r="H1379" s="9" t="n">
        <v>63.56</v>
      </c>
      <c r="I1379" t="inlineStr">
        <is>
          <t>INV/2026/04995</t>
        </is>
      </c>
      <c r="J1379" s="9">
        <f>ROUND(F1379-G1379-H1379,2)</f>
        <v>0</v>
      </c>
    </row>
    <row r="1380">
      <c r="A1380" t="inlineStr">
        <is>
          <t>po_1Q0048KX</t>
        </is>
      </c>
      <c r="B1380" s="5" t="n">
        <v>46269</v>
      </c>
      <c r="C1380" t="inlineStr">
        <is>
          <t>ch_3Q001371</t>
        </is>
      </c>
      <c r="D1380" t="inlineStr">
        <is>
          <t>charge</t>
        </is>
      </c>
      <c r="E1380" s="5" t="n">
        <v>46267</v>
      </c>
      <c r="F1380" s="9" t="n">
        <v>65</v>
      </c>
      <c r="G1380" s="9" t="n">
        <v>1.44</v>
      </c>
      <c r="H1380" s="9" t="n">
        <v>63.56</v>
      </c>
      <c r="I1380" t="inlineStr">
        <is>
          <t>INV/2026/04996</t>
        </is>
      </c>
      <c r="J1380" s="9">
        <f>ROUND(F1380-G1380-H1380,2)</f>
        <v>0</v>
      </c>
    </row>
    <row r="1381">
      <c r="A1381" t="inlineStr">
        <is>
          <t>po_1Q0048KX</t>
        </is>
      </c>
      <c r="B1381" s="5" t="n">
        <v>46269</v>
      </c>
      <c r="C1381" t="inlineStr">
        <is>
          <t>ch_3Q001372</t>
        </is>
      </c>
      <c r="D1381" t="inlineStr">
        <is>
          <t>charge</t>
        </is>
      </c>
      <c r="E1381" s="5" t="n">
        <v>46267</v>
      </c>
      <c r="F1381" s="9" t="n">
        <v>220</v>
      </c>
      <c r="G1381" s="9" t="n">
        <v>4.15</v>
      </c>
      <c r="H1381" s="9" t="n">
        <v>215.85</v>
      </c>
      <c r="I1381" t="inlineStr">
        <is>
          <t>INV/2026/04997</t>
        </is>
      </c>
      <c r="J1381" s="9">
        <f>ROUND(F1381-G1381-H1381,2)</f>
        <v>0</v>
      </c>
    </row>
    <row r="1382">
      <c r="A1382" t="inlineStr">
        <is>
          <t>po_1Q0048KX</t>
        </is>
      </c>
      <c r="B1382" s="5" t="n">
        <v>46269</v>
      </c>
      <c r="C1382" t="inlineStr">
        <is>
          <t>re_3Q001351</t>
        </is>
      </c>
      <c r="D1382" t="inlineStr">
        <is>
          <t>refund</t>
        </is>
      </c>
      <c r="E1382" s="5" t="n">
        <v>46269</v>
      </c>
      <c r="F1382" s="9" t="n">
        <v>-110</v>
      </c>
      <c r="G1382" s="9" t="n">
        <v>0</v>
      </c>
      <c r="H1382" s="9" t="n">
        <v>-110</v>
      </c>
      <c r="I1382" t="inlineStr">
        <is>
          <t>INV/2026/04976</t>
        </is>
      </c>
      <c r="J1382" s="9">
        <f>ROUND(F1382-G1382-H1382,2)</f>
        <v>0</v>
      </c>
    </row>
    <row r="1383">
      <c r="A1383" t="inlineStr">
        <is>
          <t>po_1Q0049KX</t>
        </is>
      </c>
      <c r="B1383" s="5" t="n">
        <v>46272</v>
      </c>
      <c r="C1383" t="inlineStr">
        <is>
          <t>ch_3Q001373</t>
        </is>
      </c>
      <c r="D1383" t="inlineStr">
        <is>
          <t>charge</t>
        </is>
      </c>
      <c r="E1383" s="5" t="n">
        <v>46268</v>
      </c>
      <c r="F1383" s="9" t="n">
        <v>85</v>
      </c>
      <c r="G1383" s="9" t="n">
        <v>1.79</v>
      </c>
      <c r="H1383" s="9" t="n">
        <v>83.20999999999999</v>
      </c>
      <c r="I1383" t="inlineStr">
        <is>
          <t>INV/2026/04998</t>
        </is>
      </c>
      <c r="J1383" s="9">
        <f>ROUND(F1383-G1383-H1383,2)</f>
        <v>0</v>
      </c>
    </row>
    <row r="1384">
      <c r="A1384" t="inlineStr">
        <is>
          <t>po_1Q0049KX</t>
        </is>
      </c>
      <c r="B1384" s="5" t="n">
        <v>46272</v>
      </c>
      <c r="C1384" t="inlineStr">
        <is>
          <t>ch_3Q001374</t>
        </is>
      </c>
      <c r="D1384" t="inlineStr">
        <is>
          <t>charge</t>
        </is>
      </c>
      <c r="E1384" s="5" t="n">
        <v>46268</v>
      </c>
      <c r="F1384" s="9" t="n">
        <v>110</v>
      </c>
      <c r="G1384" s="9" t="n">
        <v>2.23</v>
      </c>
      <c r="H1384" s="9" t="n">
        <v>107.77</v>
      </c>
      <c r="I1384" t="inlineStr">
        <is>
          <t>INV/2026/04999</t>
        </is>
      </c>
      <c r="J1384" s="9">
        <f>ROUND(F1384-G1384-H1384,2)</f>
        <v>0</v>
      </c>
    </row>
    <row r="1385">
      <c r="A1385" t="inlineStr">
        <is>
          <t>po_1Q0049KX</t>
        </is>
      </c>
      <c r="B1385" s="5" t="n">
        <v>46272</v>
      </c>
      <c r="C1385" t="inlineStr">
        <is>
          <t>ch_3Q001375</t>
        </is>
      </c>
      <c r="D1385" t="inlineStr">
        <is>
          <t>charge</t>
        </is>
      </c>
      <c r="E1385" s="5" t="n">
        <v>46268</v>
      </c>
      <c r="F1385" s="9" t="n">
        <v>120</v>
      </c>
      <c r="G1385" s="9" t="n">
        <v>2.4</v>
      </c>
      <c r="H1385" s="9" t="n">
        <v>117.6</v>
      </c>
      <c r="I1385" t="inlineStr">
        <is>
          <t>INV/2026/05000</t>
        </is>
      </c>
      <c r="J1385" s="9">
        <f>ROUND(F1385-G1385-H1385,2)</f>
        <v>0</v>
      </c>
    </row>
    <row r="1386">
      <c r="A1386" t="inlineStr">
        <is>
          <t>po_1Q0049KX</t>
        </is>
      </c>
      <c r="B1386" s="5" t="n">
        <v>46272</v>
      </c>
      <c r="C1386" t="inlineStr">
        <is>
          <t>ch_3Q001376</t>
        </is>
      </c>
      <c r="D1386" t="inlineStr">
        <is>
          <t>charge</t>
        </is>
      </c>
      <c r="E1386" s="5" t="n">
        <v>46268</v>
      </c>
      <c r="F1386" s="9" t="n">
        <v>110</v>
      </c>
      <c r="G1386" s="9" t="n">
        <v>2.23</v>
      </c>
      <c r="H1386" s="9" t="n">
        <v>107.77</v>
      </c>
      <c r="I1386" t="inlineStr">
        <is>
          <t>INV/2026/05001</t>
        </is>
      </c>
      <c r="J1386" s="9">
        <f>ROUND(F1386-G1386-H1386,2)</f>
        <v>0</v>
      </c>
    </row>
    <row r="1387">
      <c r="A1387" t="inlineStr">
        <is>
          <t>po_1Q0049KX</t>
        </is>
      </c>
      <c r="B1387" s="5" t="n">
        <v>46272</v>
      </c>
      <c r="C1387" t="inlineStr">
        <is>
          <t>ch_3Q001377</t>
        </is>
      </c>
      <c r="D1387" t="inlineStr">
        <is>
          <t>charge</t>
        </is>
      </c>
      <c r="E1387" s="5" t="n">
        <v>46268</v>
      </c>
      <c r="F1387" s="9" t="n">
        <v>110</v>
      </c>
      <c r="G1387" s="9" t="n">
        <v>2.23</v>
      </c>
      <c r="H1387" s="9" t="n">
        <v>107.77</v>
      </c>
      <c r="I1387" t="inlineStr">
        <is>
          <t>INV/2026/05002</t>
        </is>
      </c>
      <c r="J1387" s="9">
        <f>ROUND(F1387-G1387-H1387,2)</f>
        <v>0</v>
      </c>
    </row>
    <row r="1388">
      <c r="A1388" t="inlineStr">
        <is>
          <t>po_1Q0049KX</t>
        </is>
      </c>
      <c r="B1388" s="5" t="n">
        <v>46272</v>
      </c>
      <c r="C1388" t="inlineStr">
        <is>
          <t>ch_3Q001378</t>
        </is>
      </c>
      <c r="D1388" t="inlineStr">
        <is>
          <t>charge</t>
        </is>
      </c>
      <c r="E1388" s="5" t="n">
        <v>46268</v>
      </c>
      <c r="F1388" s="9" t="n">
        <v>120</v>
      </c>
      <c r="G1388" s="9" t="n">
        <v>2.4</v>
      </c>
      <c r="H1388" s="9" t="n">
        <v>117.6</v>
      </c>
      <c r="I1388" t="inlineStr">
        <is>
          <t>INV/2026/05003</t>
        </is>
      </c>
      <c r="J1388" s="9">
        <f>ROUND(F1388-G1388-H1388,2)</f>
        <v>0</v>
      </c>
    </row>
    <row r="1389">
      <c r="A1389" t="inlineStr">
        <is>
          <t>po_1Q0049KX</t>
        </is>
      </c>
      <c r="B1389" s="5" t="n">
        <v>46272</v>
      </c>
      <c r="C1389" t="inlineStr">
        <is>
          <t>ch_3Q001379</t>
        </is>
      </c>
      <c r="D1389" t="inlineStr">
        <is>
          <t>charge</t>
        </is>
      </c>
      <c r="E1389" s="5" t="n">
        <v>46268</v>
      </c>
      <c r="F1389" s="9" t="n">
        <v>65</v>
      </c>
      <c r="G1389" s="9" t="n">
        <v>1.44</v>
      </c>
      <c r="H1389" s="9" t="n">
        <v>63.56</v>
      </c>
      <c r="I1389" t="inlineStr">
        <is>
          <t>INV/2026/05004</t>
        </is>
      </c>
      <c r="J1389" s="9">
        <f>ROUND(F1389-G1389-H1389,2)</f>
        <v>0</v>
      </c>
    </row>
    <row r="1390">
      <c r="A1390" t="inlineStr">
        <is>
          <t>po_1Q0049KX</t>
        </is>
      </c>
      <c r="B1390" s="5" t="n">
        <v>46272</v>
      </c>
      <c r="C1390" t="inlineStr">
        <is>
          <t>ch_3Q001380</t>
        </is>
      </c>
      <c r="D1390" t="inlineStr">
        <is>
          <t>charge</t>
        </is>
      </c>
      <c r="E1390" s="5" t="n">
        <v>46268</v>
      </c>
      <c r="F1390" s="9" t="n">
        <v>135</v>
      </c>
      <c r="G1390" s="9" t="n">
        <v>2.66</v>
      </c>
      <c r="H1390" s="9" t="n">
        <v>132.34</v>
      </c>
      <c r="I1390" t="inlineStr">
        <is>
          <t>INV/2026/05005</t>
        </is>
      </c>
      <c r="J1390" s="9">
        <f>ROUND(F1390-G1390-H1390,2)</f>
        <v>0</v>
      </c>
    </row>
    <row r="1391">
      <c r="A1391" t="inlineStr">
        <is>
          <t>po_1Q0049KX</t>
        </is>
      </c>
      <c r="B1391" s="5" t="n">
        <v>46272</v>
      </c>
      <c r="C1391" t="inlineStr">
        <is>
          <t>ch_3Q001381</t>
        </is>
      </c>
      <c r="D1391" t="inlineStr">
        <is>
          <t>charge</t>
        </is>
      </c>
      <c r="E1391" s="5" t="n">
        <v>46268</v>
      </c>
      <c r="F1391" s="9" t="n">
        <v>65</v>
      </c>
      <c r="G1391" s="9" t="n">
        <v>1.44</v>
      </c>
      <c r="H1391" s="9" t="n">
        <v>63.56</v>
      </c>
      <c r="I1391" t="inlineStr">
        <is>
          <t>INV/2026/05006</t>
        </is>
      </c>
      <c r="J1391" s="9">
        <f>ROUND(F1391-G1391-H1391,2)</f>
        <v>0</v>
      </c>
    </row>
    <row r="1392">
      <c r="A1392" t="inlineStr">
        <is>
          <t>po_1Q0049KX</t>
        </is>
      </c>
      <c r="B1392" s="5" t="n">
        <v>46272</v>
      </c>
      <c r="C1392" t="inlineStr">
        <is>
          <t>ch_3Q001382</t>
        </is>
      </c>
      <c r="D1392" t="inlineStr">
        <is>
          <t>charge</t>
        </is>
      </c>
      <c r="E1392" s="5" t="n">
        <v>46268</v>
      </c>
      <c r="F1392" s="9" t="n">
        <v>95</v>
      </c>
      <c r="G1392" s="9" t="n">
        <v>1.96</v>
      </c>
      <c r="H1392" s="9" t="n">
        <v>93.04000000000001</v>
      </c>
      <c r="I1392" t="inlineStr">
        <is>
          <t>INV/2026/05007</t>
        </is>
      </c>
      <c r="J1392" s="9">
        <f>ROUND(F1392-G1392-H1392,2)</f>
        <v>0</v>
      </c>
    </row>
    <row r="1393">
      <c r="A1393" t="inlineStr">
        <is>
          <t>po_1Q0049KX</t>
        </is>
      </c>
      <c r="B1393" s="5" t="n">
        <v>46272</v>
      </c>
      <c r="C1393" t="inlineStr">
        <is>
          <t>ch_3Q001383</t>
        </is>
      </c>
      <c r="D1393" t="inlineStr">
        <is>
          <t>charge</t>
        </is>
      </c>
      <c r="E1393" s="5" t="n">
        <v>46268</v>
      </c>
      <c r="F1393" s="9" t="n">
        <v>95</v>
      </c>
      <c r="G1393" s="9" t="n">
        <v>1.96</v>
      </c>
      <c r="H1393" s="9" t="n">
        <v>93.04000000000001</v>
      </c>
      <c r="I1393" t="inlineStr">
        <is>
          <t>INV/2026/05008</t>
        </is>
      </c>
      <c r="J1393" s="9">
        <f>ROUND(F1393-G1393-H1393,2)</f>
        <v>0</v>
      </c>
    </row>
    <row r="1394">
      <c r="A1394" t="inlineStr">
        <is>
          <t>po_1Q0049KX</t>
        </is>
      </c>
      <c r="B1394" s="5" t="n">
        <v>46272</v>
      </c>
      <c r="C1394" t="inlineStr">
        <is>
          <t>ch_3Q001384</t>
        </is>
      </c>
      <c r="D1394" t="inlineStr">
        <is>
          <t>charge</t>
        </is>
      </c>
      <c r="E1394" s="5" t="n">
        <v>46268</v>
      </c>
      <c r="F1394" s="9" t="n">
        <v>65</v>
      </c>
      <c r="G1394" s="9" t="n">
        <v>1.44</v>
      </c>
      <c r="H1394" s="9" t="n">
        <v>63.56</v>
      </c>
      <c r="I1394" t="inlineStr">
        <is>
          <t>INV/2026/05009</t>
        </is>
      </c>
      <c r="J1394" s="9">
        <f>ROUND(F1394-G1394-H1394,2)</f>
        <v>0</v>
      </c>
    </row>
    <row r="1395">
      <c r="A1395" t="inlineStr">
        <is>
          <t>po_1Q0049KX</t>
        </is>
      </c>
      <c r="B1395" s="5" t="n">
        <v>46272</v>
      </c>
      <c r="C1395" t="inlineStr">
        <is>
          <t>ch_3Q001385</t>
        </is>
      </c>
      <c r="D1395" t="inlineStr">
        <is>
          <t>charge</t>
        </is>
      </c>
      <c r="E1395" s="5" t="n">
        <v>46268</v>
      </c>
      <c r="F1395" s="9" t="n">
        <v>65</v>
      </c>
      <c r="G1395" s="9" t="n">
        <v>1.44</v>
      </c>
      <c r="H1395" s="9" t="n">
        <v>63.56</v>
      </c>
      <c r="I1395" t="inlineStr">
        <is>
          <t>INV/2026/05010</t>
        </is>
      </c>
      <c r="J1395" s="9">
        <f>ROUND(F1395-G1395-H1395,2)</f>
        <v>0</v>
      </c>
    </row>
    <row r="1396">
      <c r="A1396" t="inlineStr">
        <is>
          <t>po_1Q0049KX</t>
        </is>
      </c>
      <c r="B1396" s="5" t="n">
        <v>46272</v>
      </c>
      <c r="C1396" t="inlineStr">
        <is>
          <t>ch_3Q001386</t>
        </is>
      </c>
      <c r="D1396" t="inlineStr">
        <is>
          <t>charge</t>
        </is>
      </c>
      <c r="E1396" s="5" t="n">
        <v>46268</v>
      </c>
      <c r="F1396" s="9" t="n">
        <v>85</v>
      </c>
      <c r="G1396" s="9" t="n">
        <v>1.79</v>
      </c>
      <c r="H1396" s="9" t="n">
        <v>83.20999999999999</v>
      </c>
      <c r="I1396" t="inlineStr">
        <is>
          <t>INV/2026/05011</t>
        </is>
      </c>
      <c r="J1396" s="9">
        <f>ROUND(F1396-G1396-H1396,2)</f>
        <v>0</v>
      </c>
    </row>
    <row r="1397">
      <c r="A1397" t="inlineStr">
        <is>
          <t>po_1Q0049KX</t>
        </is>
      </c>
      <c r="B1397" s="5" t="n">
        <v>46272</v>
      </c>
      <c r="C1397" t="inlineStr">
        <is>
          <t>ch_3Q001387</t>
        </is>
      </c>
      <c r="D1397" t="inlineStr">
        <is>
          <t>charge</t>
        </is>
      </c>
      <c r="E1397" s="5" t="n">
        <v>46268</v>
      </c>
      <c r="F1397" s="9" t="n">
        <v>85</v>
      </c>
      <c r="G1397" s="9" t="n">
        <v>1.79</v>
      </c>
      <c r="H1397" s="9" t="n">
        <v>83.20999999999999</v>
      </c>
      <c r="I1397" t="inlineStr">
        <is>
          <t>INV/2026/05012</t>
        </is>
      </c>
      <c r="J1397" s="9">
        <f>ROUND(F1397-G1397-H1397,2)</f>
        <v>0</v>
      </c>
    </row>
    <row r="1398">
      <c r="A1398" t="inlineStr">
        <is>
          <t>po_1Q0049KX</t>
        </is>
      </c>
      <c r="B1398" s="5" t="n">
        <v>46272</v>
      </c>
      <c r="C1398" t="inlineStr">
        <is>
          <t>ch_3Q001388</t>
        </is>
      </c>
      <c r="D1398" t="inlineStr">
        <is>
          <t>charge</t>
        </is>
      </c>
      <c r="E1398" s="5" t="n">
        <v>46268</v>
      </c>
      <c r="F1398" s="9" t="n">
        <v>65</v>
      </c>
      <c r="G1398" s="9" t="n">
        <v>1.44</v>
      </c>
      <c r="H1398" s="9" t="n">
        <v>63.56</v>
      </c>
      <c r="I1398" t="inlineStr">
        <is>
          <t>INV/2026/05013</t>
        </is>
      </c>
      <c r="J1398" s="9">
        <f>ROUND(F1398-G1398-H1398,2)</f>
        <v>0</v>
      </c>
    </row>
    <row r="1399">
      <c r="A1399" t="inlineStr">
        <is>
          <t>po_1Q0049KX</t>
        </is>
      </c>
      <c r="B1399" s="5" t="n">
        <v>46272</v>
      </c>
      <c r="C1399" t="inlineStr">
        <is>
          <t>ch_3Q001389</t>
        </is>
      </c>
      <c r="D1399" t="inlineStr">
        <is>
          <t>charge</t>
        </is>
      </c>
      <c r="E1399" s="5" t="n">
        <v>46268</v>
      </c>
      <c r="F1399" s="9" t="n">
        <v>85</v>
      </c>
      <c r="G1399" s="9" t="n">
        <v>1.79</v>
      </c>
      <c r="H1399" s="9" t="n">
        <v>83.20999999999999</v>
      </c>
      <c r="I1399" t="inlineStr">
        <is>
          <t>INV/2026/05014</t>
        </is>
      </c>
      <c r="J1399" s="9">
        <f>ROUND(F1399-G1399-H1399,2)</f>
        <v>0</v>
      </c>
    </row>
    <row r="1400">
      <c r="A1400" t="inlineStr">
        <is>
          <t>po_1Q0049KX</t>
        </is>
      </c>
      <c r="B1400" s="5" t="n">
        <v>46272</v>
      </c>
      <c r="C1400" t="inlineStr">
        <is>
          <t>ch_3Q001390</t>
        </is>
      </c>
      <c r="D1400" t="inlineStr">
        <is>
          <t>charge</t>
        </is>
      </c>
      <c r="E1400" s="5" t="n">
        <v>46268</v>
      </c>
      <c r="F1400" s="9" t="n">
        <v>135</v>
      </c>
      <c r="G1400" s="9" t="n">
        <v>2.66</v>
      </c>
      <c r="H1400" s="9" t="n">
        <v>132.34</v>
      </c>
      <c r="I1400" t="inlineStr">
        <is>
          <t>INV/2026/05015</t>
        </is>
      </c>
      <c r="J1400" s="9">
        <f>ROUND(F1400-G1400-H1400,2)</f>
        <v>0</v>
      </c>
    </row>
    <row r="1401">
      <c r="A1401" t="inlineStr">
        <is>
          <t>po_1Q0049KX</t>
        </is>
      </c>
      <c r="B1401" s="5" t="n">
        <v>46272</v>
      </c>
      <c r="C1401" t="inlineStr">
        <is>
          <t>ch_3Q001391</t>
        </is>
      </c>
      <c r="D1401" t="inlineStr">
        <is>
          <t>charge</t>
        </is>
      </c>
      <c r="E1401" s="5" t="n">
        <v>46268</v>
      </c>
      <c r="F1401" s="9" t="n">
        <v>85</v>
      </c>
      <c r="G1401" s="9" t="n">
        <v>1.79</v>
      </c>
      <c r="H1401" s="9" t="n">
        <v>83.20999999999999</v>
      </c>
      <c r="I1401" t="inlineStr">
        <is>
          <t>INV/2026/05016</t>
        </is>
      </c>
      <c r="J1401" s="9">
        <f>ROUND(F1401-G1401-H1401,2)</f>
        <v>0</v>
      </c>
    </row>
    <row r="1402">
      <c r="A1402" t="inlineStr">
        <is>
          <t>po_1Q0049KX</t>
        </is>
      </c>
      <c r="B1402" s="5" t="n">
        <v>46272</v>
      </c>
      <c r="C1402" t="inlineStr">
        <is>
          <t>ch_3Q001392</t>
        </is>
      </c>
      <c r="D1402" t="inlineStr">
        <is>
          <t>charge</t>
        </is>
      </c>
      <c r="E1402" s="5" t="n">
        <v>46268</v>
      </c>
      <c r="F1402" s="9" t="n">
        <v>220</v>
      </c>
      <c r="G1402" s="9" t="n">
        <v>4.15</v>
      </c>
      <c r="H1402" s="9" t="n">
        <v>215.85</v>
      </c>
      <c r="I1402" t="inlineStr">
        <is>
          <t>INV/2026/05017</t>
        </is>
      </c>
      <c r="J1402" s="9">
        <f>ROUND(F1402-G1402-H1402,2)</f>
        <v>0</v>
      </c>
    </row>
    <row r="1403">
      <c r="A1403" t="inlineStr">
        <is>
          <t>po_1Q0049KX</t>
        </is>
      </c>
      <c r="B1403" s="5" t="n">
        <v>46272</v>
      </c>
      <c r="C1403" t="inlineStr">
        <is>
          <t>ch_3Q001393</t>
        </is>
      </c>
      <c r="D1403" t="inlineStr">
        <is>
          <t>charge</t>
        </is>
      </c>
      <c r="E1403" s="5" t="n">
        <v>46268</v>
      </c>
      <c r="F1403" s="9" t="n">
        <v>150</v>
      </c>
      <c r="G1403" s="9" t="n">
        <v>2.93</v>
      </c>
      <c r="H1403" s="9" t="n">
        <v>147.07</v>
      </c>
      <c r="I1403" t="inlineStr">
        <is>
          <t>INV/2026/05018</t>
        </is>
      </c>
      <c r="J1403" s="9">
        <f>ROUND(F1403-G1403-H1403,2)</f>
        <v>0</v>
      </c>
    </row>
    <row r="1404">
      <c r="A1404" t="inlineStr">
        <is>
          <t>po_1Q0049KX</t>
        </is>
      </c>
      <c r="B1404" s="5" t="n">
        <v>46272</v>
      </c>
      <c r="C1404" t="inlineStr">
        <is>
          <t>ch_3Q001394</t>
        </is>
      </c>
      <c r="D1404" t="inlineStr">
        <is>
          <t>charge</t>
        </is>
      </c>
      <c r="E1404" s="5" t="n">
        <v>46268</v>
      </c>
      <c r="F1404" s="9" t="n">
        <v>120</v>
      </c>
      <c r="G1404" s="9" t="n">
        <v>2.4</v>
      </c>
      <c r="H1404" s="9" t="n">
        <v>117.6</v>
      </c>
      <c r="I1404" t="inlineStr">
        <is>
          <t>INV/2026/05019</t>
        </is>
      </c>
      <c r="J1404" s="9">
        <f>ROUND(F1404-G1404-H1404,2)</f>
        <v>0</v>
      </c>
    </row>
    <row r="1405">
      <c r="A1405" t="inlineStr">
        <is>
          <t>po_1Q0049KX</t>
        </is>
      </c>
      <c r="B1405" s="5" t="n">
        <v>46272</v>
      </c>
      <c r="C1405" t="inlineStr">
        <is>
          <t>ch_3Q001395</t>
        </is>
      </c>
      <c r="D1405" t="inlineStr">
        <is>
          <t>charge</t>
        </is>
      </c>
      <c r="E1405" s="5" t="n">
        <v>46268</v>
      </c>
      <c r="F1405" s="9" t="n">
        <v>150</v>
      </c>
      <c r="G1405" s="9" t="n">
        <v>2.93</v>
      </c>
      <c r="H1405" s="9" t="n">
        <v>147.07</v>
      </c>
      <c r="I1405" t="inlineStr">
        <is>
          <t>INV/2026/05020</t>
        </is>
      </c>
      <c r="J1405" s="9">
        <f>ROUND(F1405-G1405-H1405,2)</f>
        <v>0</v>
      </c>
    </row>
    <row r="1406">
      <c r="A1406" t="inlineStr">
        <is>
          <t>po_1Q0049KX</t>
        </is>
      </c>
      <c r="B1406" s="5" t="n">
        <v>46272</v>
      </c>
      <c r="C1406" t="inlineStr">
        <is>
          <t>ch_3Q001396</t>
        </is>
      </c>
      <c r="D1406" t="inlineStr">
        <is>
          <t>charge</t>
        </is>
      </c>
      <c r="E1406" s="5" t="n">
        <v>46268</v>
      </c>
      <c r="F1406" s="9" t="n">
        <v>95</v>
      </c>
      <c r="G1406" s="9" t="n">
        <v>1.96</v>
      </c>
      <c r="H1406" s="9" t="n">
        <v>93.04000000000001</v>
      </c>
      <c r="I1406" t="inlineStr">
        <is>
          <t>INV/2026/05021</t>
        </is>
      </c>
      <c r="J1406" s="9">
        <f>ROUND(F1406-G1406-H1406,2)</f>
        <v>0</v>
      </c>
    </row>
    <row r="1407">
      <c r="A1407" t="inlineStr">
        <is>
          <t>po_1Q0049KX</t>
        </is>
      </c>
      <c r="B1407" s="5" t="n">
        <v>46272</v>
      </c>
      <c r="C1407" t="inlineStr">
        <is>
          <t>ch_3Q001397</t>
        </is>
      </c>
      <c r="D1407" t="inlineStr">
        <is>
          <t>charge</t>
        </is>
      </c>
      <c r="E1407" s="5" t="n">
        <v>46268</v>
      </c>
      <c r="F1407" s="9" t="n">
        <v>150</v>
      </c>
      <c r="G1407" s="9" t="n">
        <v>2.93</v>
      </c>
      <c r="H1407" s="9" t="n">
        <v>147.07</v>
      </c>
      <c r="I1407" t="inlineStr">
        <is>
          <t>INV/2026/05022</t>
        </is>
      </c>
      <c r="J1407" s="9">
        <f>ROUND(F1407-G1407-H1407,2)</f>
        <v>0</v>
      </c>
    </row>
    <row r="1408">
      <c r="A1408" t="inlineStr">
        <is>
          <t>po_1Q0049KX</t>
        </is>
      </c>
      <c r="B1408" s="5" t="n">
        <v>46272</v>
      </c>
      <c r="C1408" t="inlineStr">
        <is>
          <t>ch_3Q001398</t>
        </is>
      </c>
      <c r="D1408" t="inlineStr">
        <is>
          <t>charge</t>
        </is>
      </c>
      <c r="E1408" s="5" t="n">
        <v>46268</v>
      </c>
      <c r="F1408" s="9" t="n">
        <v>135</v>
      </c>
      <c r="G1408" s="9" t="n">
        <v>2.66</v>
      </c>
      <c r="H1408" s="9" t="n">
        <v>132.34</v>
      </c>
      <c r="I1408" t="inlineStr">
        <is>
          <t>INV/2026/05023</t>
        </is>
      </c>
      <c r="J1408" s="9">
        <f>ROUND(F1408-G1408-H1408,2)</f>
        <v>0</v>
      </c>
    </row>
    <row r="1409">
      <c r="A1409" t="inlineStr">
        <is>
          <t>po_1Q0049KX</t>
        </is>
      </c>
      <c r="B1409" s="5" t="n">
        <v>46272</v>
      </c>
      <c r="C1409" t="inlineStr">
        <is>
          <t>ch_3Q001399</t>
        </is>
      </c>
      <c r="D1409" t="inlineStr">
        <is>
          <t>charge</t>
        </is>
      </c>
      <c r="E1409" s="5" t="n">
        <v>46268</v>
      </c>
      <c r="F1409" s="9" t="n">
        <v>150</v>
      </c>
      <c r="G1409" s="9" t="n">
        <v>2.93</v>
      </c>
      <c r="H1409" s="9" t="n">
        <v>147.07</v>
      </c>
      <c r="I1409" t="inlineStr">
        <is>
          <t>INV/2026/05024</t>
        </is>
      </c>
      <c r="J1409" s="9">
        <f>ROUND(F1409-G1409-H1409,2)</f>
        <v>0</v>
      </c>
    </row>
    <row r="1410">
      <c r="A1410" t="inlineStr">
        <is>
          <t>po_1Q0049KX</t>
        </is>
      </c>
      <c r="B1410" s="5" t="n">
        <v>46272</v>
      </c>
      <c r="C1410" t="inlineStr">
        <is>
          <t>ch_3Q001400</t>
        </is>
      </c>
      <c r="D1410" t="inlineStr">
        <is>
          <t>charge</t>
        </is>
      </c>
      <c r="E1410" s="5" t="n">
        <v>46268</v>
      </c>
      <c r="F1410" s="9" t="n">
        <v>85</v>
      </c>
      <c r="G1410" s="9" t="n">
        <v>1.79</v>
      </c>
      <c r="H1410" s="9" t="n">
        <v>83.20999999999999</v>
      </c>
      <c r="I1410" t="inlineStr">
        <is>
          <t>INV/2026/05025</t>
        </is>
      </c>
      <c r="J1410" s="9">
        <f>ROUND(F1410-G1410-H1410,2)</f>
        <v>0</v>
      </c>
    </row>
    <row r="1411">
      <c r="A1411" t="inlineStr">
        <is>
          <t>po_1Q0049KX</t>
        </is>
      </c>
      <c r="B1411" s="5" t="n">
        <v>46272</v>
      </c>
      <c r="C1411" t="inlineStr">
        <is>
          <t>ch_3Q001401</t>
        </is>
      </c>
      <c r="D1411" t="inlineStr">
        <is>
          <t>charge</t>
        </is>
      </c>
      <c r="E1411" s="5" t="n">
        <v>46268</v>
      </c>
      <c r="F1411" s="9" t="n">
        <v>180</v>
      </c>
      <c r="G1411" s="9" t="n">
        <v>3.45</v>
      </c>
      <c r="H1411" s="9" t="n">
        <v>176.55</v>
      </c>
      <c r="I1411" t="inlineStr">
        <is>
          <t>INV/2026/05026</t>
        </is>
      </c>
      <c r="J1411" s="9">
        <f>ROUND(F1411-G1411-H1411,2)</f>
        <v>0</v>
      </c>
    </row>
    <row r="1412">
      <c r="A1412" t="inlineStr">
        <is>
          <t>po_1Q0049KX</t>
        </is>
      </c>
      <c r="B1412" s="5" t="n">
        <v>46272</v>
      </c>
      <c r="C1412" t="inlineStr">
        <is>
          <t>ch_3Q001402</t>
        </is>
      </c>
      <c r="D1412" t="inlineStr">
        <is>
          <t>charge</t>
        </is>
      </c>
      <c r="E1412" s="5" t="n">
        <v>46268</v>
      </c>
      <c r="F1412" s="9" t="n">
        <v>120</v>
      </c>
      <c r="G1412" s="9" t="n">
        <v>2.4</v>
      </c>
      <c r="H1412" s="9" t="n">
        <v>117.6</v>
      </c>
      <c r="I1412" t="inlineStr">
        <is>
          <t>INV/2026/05027</t>
        </is>
      </c>
      <c r="J1412" s="9">
        <f>ROUND(F1412-G1412-H1412,2)</f>
        <v>0</v>
      </c>
    </row>
    <row r="1413">
      <c r="A1413" t="inlineStr">
        <is>
          <t>po_1Q0049KX</t>
        </is>
      </c>
      <c r="B1413" s="5" t="n">
        <v>46272</v>
      </c>
      <c r="C1413" t="inlineStr">
        <is>
          <t>ch_3Q001403</t>
        </is>
      </c>
      <c r="D1413" t="inlineStr">
        <is>
          <t>charge</t>
        </is>
      </c>
      <c r="E1413" s="5" t="n">
        <v>46268</v>
      </c>
      <c r="F1413" s="9" t="n">
        <v>85</v>
      </c>
      <c r="G1413" s="9" t="n">
        <v>1.79</v>
      </c>
      <c r="H1413" s="9" t="n">
        <v>83.20999999999999</v>
      </c>
      <c r="I1413" t="inlineStr">
        <is>
          <t>INV/2026/05028</t>
        </is>
      </c>
      <c r="J1413" s="9">
        <f>ROUND(F1413-G1413-H1413,2)</f>
        <v>0</v>
      </c>
    </row>
    <row r="1414">
      <c r="A1414" t="inlineStr">
        <is>
          <t>po_1Q0049KX</t>
        </is>
      </c>
      <c r="B1414" s="5" t="n">
        <v>46272</v>
      </c>
      <c r="C1414" t="inlineStr">
        <is>
          <t>ch_3Q001404</t>
        </is>
      </c>
      <c r="D1414" t="inlineStr">
        <is>
          <t>charge</t>
        </is>
      </c>
      <c r="E1414" s="5" t="n">
        <v>46268</v>
      </c>
      <c r="F1414" s="9" t="n">
        <v>180</v>
      </c>
      <c r="G1414" s="9" t="n">
        <v>3.45</v>
      </c>
      <c r="H1414" s="9" t="n">
        <v>176.55</v>
      </c>
      <c r="I1414" t="inlineStr">
        <is>
          <t>INV/2026/05029</t>
        </is>
      </c>
      <c r="J1414" s="9">
        <f>ROUND(F1414-G1414-H1414,2)</f>
        <v>0</v>
      </c>
    </row>
    <row r="1415">
      <c r="A1415" t="inlineStr">
        <is>
          <t>po_1Q0049KX</t>
        </is>
      </c>
      <c r="B1415" s="5" t="n">
        <v>46272</v>
      </c>
      <c r="C1415" t="inlineStr">
        <is>
          <t>ch_3Q001405</t>
        </is>
      </c>
      <c r="D1415" t="inlineStr">
        <is>
          <t>charge</t>
        </is>
      </c>
      <c r="E1415" s="5" t="n">
        <v>46268</v>
      </c>
      <c r="F1415" s="9" t="n">
        <v>110</v>
      </c>
      <c r="G1415" s="9" t="n">
        <v>2.23</v>
      </c>
      <c r="H1415" s="9" t="n">
        <v>107.77</v>
      </c>
      <c r="I1415" t="inlineStr">
        <is>
          <t>INV/2026/05030</t>
        </is>
      </c>
      <c r="J1415" s="9">
        <f>ROUND(F1415-G1415-H1415,2)</f>
        <v>0</v>
      </c>
    </row>
    <row r="1416">
      <c r="A1416" t="inlineStr">
        <is>
          <t>po_1Q0049KX</t>
        </is>
      </c>
      <c r="B1416" s="5" t="n">
        <v>46272</v>
      </c>
      <c r="C1416" t="inlineStr">
        <is>
          <t>ch_3Q001406</t>
        </is>
      </c>
      <c r="D1416" t="inlineStr">
        <is>
          <t>charge</t>
        </is>
      </c>
      <c r="E1416" s="5" t="n">
        <v>46268</v>
      </c>
      <c r="F1416" s="9" t="n">
        <v>120</v>
      </c>
      <c r="G1416" s="9" t="n">
        <v>2.4</v>
      </c>
      <c r="H1416" s="9" t="n">
        <v>117.6</v>
      </c>
      <c r="I1416" t="inlineStr">
        <is>
          <t>INV/2026/05031</t>
        </is>
      </c>
      <c r="J1416" s="9">
        <f>ROUND(F1416-G1416-H1416,2)</f>
        <v>0</v>
      </c>
    </row>
    <row r="1417">
      <c r="A1417" t="inlineStr">
        <is>
          <t>po_1Q0050KX</t>
        </is>
      </c>
      <c r="B1417" s="5" t="n">
        <v>46273</v>
      </c>
      <c r="C1417" t="inlineStr">
        <is>
          <t>ch_3Q001407</t>
        </is>
      </c>
      <c r="D1417" t="inlineStr">
        <is>
          <t>charge</t>
        </is>
      </c>
      <c r="E1417" s="5" t="n">
        <v>46269</v>
      </c>
      <c r="F1417" s="9" t="n">
        <v>220</v>
      </c>
      <c r="G1417" s="9" t="n">
        <v>4.15</v>
      </c>
      <c r="H1417" s="9" t="n">
        <v>215.85</v>
      </c>
      <c r="I1417" t="inlineStr">
        <is>
          <t>INV/2026/05032</t>
        </is>
      </c>
      <c r="J1417" s="9">
        <f>ROUND(F1417-G1417-H1417,2)</f>
        <v>0</v>
      </c>
    </row>
    <row r="1418">
      <c r="A1418" t="inlineStr">
        <is>
          <t>po_1Q0050KX</t>
        </is>
      </c>
      <c r="B1418" s="5" t="n">
        <v>46273</v>
      </c>
      <c r="C1418" t="inlineStr">
        <is>
          <t>ch_3Q001408</t>
        </is>
      </c>
      <c r="D1418" t="inlineStr">
        <is>
          <t>charge</t>
        </is>
      </c>
      <c r="E1418" s="5" t="n">
        <v>46269</v>
      </c>
      <c r="F1418" s="9" t="n">
        <v>135</v>
      </c>
      <c r="G1418" s="9" t="n">
        <v>2.66</v>
      </c>
      <c r="H1418" s="9" t="n">
        <v>132.34</v>
      </c>
      <c r="I1418" t="inlineStr">
        <is>
          <t>INV/2026/05033</t>
        </is>
      </c>
      <c r="J1418" s="9">
        <f>ROUND(F1418-G1418-H1418,2)</f>
        <v>0</v>
      </c>
    </row>
    <row r="1419">
      <c r="A1419" t="inlineStr">
        <is>
          <t>po_1Q0050KX</t>
        </is>
      </c>
      <c r="B1419" s="5" t="n">
        <v>46273</v>
      </c>
      <c r="C1419" t="inlineStr">
        <is>
          <t>ch_3Q001409</t>
        </is>
      </c>
      <c r="D1419" t="inlineStr">
        <is>
          <t>charge</t>
        </is>
      </c>
      <c r="E1419" s="5" t="n">
        <v>46269</v>
      </c>
      <c r="F1419" s="9" t="n">
        <v>95</v>
      </c>
      <c r="G1419" s="9" t="n">
        <v>1.96</v>
      </c>
      <c r="H1419" s="9" t="n">
        <v>93.04000000000001</v>
      </c>
      <c r="I1419" t="inlineStr">
        <is>
          <t>INV/2026/05034</t>
        </is>
      </c>
      <c r="J1419" s="9">
        <f>ROUND(F1419-G1419-H1419,2)</f>
        <v>0</v>
      </c>
    </row>
    <row r="1420">
      <c r="A1420" t="inlineStr">
        <is>
          <t>po_1Q0050KX</t>
        </is>
      </c>
      <c r="B1420" s="5" t="n">
        <v>46273</v>
      </c>
      <c r="C1420" t="inlineStr">
        <is>
          <t>ch_3Q001410</t>
        </is>
      </c>
      <c r="D1420" t="inlineStr">
        <is>
          <t>charge</t>
        </is>
      </c>
      <c r="E1420" s="5" t="n">
        <v>46269</v>
      </c>
      <c r="F1420" s="9" t="n">
        <v>180</v>
      </c>
      <c r="G1420" s="9" t="n">
        <v>3.45</v>
      </c>
      <c r="H1420" s="9" t="n">
        <v>176.55</v>
      </c>
      <c r="I1420" t="inlineStr">
        <is>
          <t>INV/2026/05035</t>
        </is>
      </c>
      <c r="J1420" s="9">
        <f>ROUND(F1420-G1420-H1420,2)</f>
        <v>0</v>
      </c>
    </row>
    <row r="1421">
      <c r="A1421" t="inlineStr">
        <is>
          <t>po_1Q0050KX</t>
        </is>
      </c>
      <c r="B1421" s="5" t="n">
        <v>46273</v>
      </c>
      <c r="C1421" t="inlineStr">
        <is>
          <t>ch_3Q001411</t>
        </is>
      </c>
      <c r="D1421" t="inlineStr">
        <is>
          <t>charge</t>
        </is>
      </c>
      <c r="E1421" s="5" t="n">
        <v>46269</v>
      </c>
      <c r="F1421" s="9" t="n">
        <v>95</v>
      </c>
      <c r="G1421" s="9" t="n">
        <v>1.96</v>
      </c>
      <c r="H1421" s="9" t="n">
        <v>93.04000000000001</v>
      </c>
      <c r="I1421" t="inlineStr">
        <is>
          <t>INV/2026/05036</t>
        </is>
      </c>
      <c r="J1421" s="9">
        <f>ROUND(F1421-G1421-H1421,2)</f>
        <v>0</v>
      </c>
    </row>
    <row r="1422">
      <c r="A1422" t="inlineStr">
        <is>
          <t>po_1Q0050KX</t>
        </is>
      </c>
      <c r="B1422" s="5" t="n">
        <v>46273</v>
      </c>
      <c r="C1422" t="inlineStr">
        <is>
          <t>ch_3Q001412</t>
        </is>
      </c>
      <c r="D1422" t="inlineStr">
        <is>
          <t>charge</t>
        </is>
      </c>
      <c r="E1422" s="5" t="n">
        <v>46269</v>
      </c>
      <c r="F1422" s="9" t="n">
        <v>65</v>
      </c>
      <c r="G1422" s="9" t="n">
        <v>1.44</v>
      </c>
      <c r="H1422" s="9" t="n">
        <v>63.56</v>
      </c>
      <c r="I1422" t="inlineStr">
        <is>
          <t>INV/2026/05037</t>
        </is>
      </c>
      <c r="J1422" s="9">
        <f>ROUND(F1422-G1422-H1422,2)</f>
        <v>0</v>
      </c>
    </row>
    <row r="1423">
      <c r="A1423" t="inlineStr">
        <is>
          <t>po_1Q0050KX</t>
        </is>
      </c>
      <c r="B1423" s="5" t="n">
        <v>46273</v>
      </c>
      <c r="C1423" t="inlineStr">
        <is>
          <t>ch_3Q001413</t>
        </is>
      </c>
      <c r="D1423" t="inlineStr">
        <is>
          <t>charge</t>
        </is>
      </c>
      <c r="E1423" s="5" t="n">
        <v>46269</v>
      </c>
      <c r="F1423" s="9" t="n">
        <v>180</v>
      </c>
      <c r="G1423" s="9" t="n">
        <v>3.45</v>
      </c>
      <c r="H1423" s="9" t="n">
        <v>176.55</v>
      </c>
      <c r="I1423" t="inlineStr">
        <is>
          <t>INV/2026/05038</t>
        </is>
      </c>
      <c r="J1423" s="9">
        <f>ROUND(F1423-G1423-H1423,2)</f>
        <v>0</v>
      </c>
    </row>
    <row r="1424">
      <c r="A1424" t="inlineStr">
        <is>
          <t>po_1Q0050KX</t>
        </is>
      </c>
      <c r="B1424" s="5" t="n">
        <v>46273</v>
      </c>
      <c r="C1424" t="inlineStr">
        <is>
          <t>ch_3Q001414</t>
        </is>
      </c>
      <c r="D1424" t="inlineStr">
        <is>
          <t>charge</t>
        </is>
      </c>
      <c r="E1424" s="5" t="n">
        <v>46269</v>
      </c>
      <c r="F1424" s="9" t="n">
        <v>135</v>
      </c>
      <c r="G1424" s="9" t="n">
        <v>2.66</v>
      </c>
      <c r="H1424" s="9" t="n">
        <v>132.34</v>
      </c>
      <c r="I1424" t="inlineStr">
        <is>
          <t>INV/2026/05039</t>
        </is>
      </c>
      <c r="J1424" s="9">
        <f>ROUND(F1424-G1424-H1424,2)</f>
        <v>0</v>
      </c>
    </row>
    <row r="1425">
      <c r="A1425" t="inlineStr">
        <is>
          <t>po_1Q0050KX</t>
        </is>
      </c>
      <c r="B1425" s="5" t="n">
        <v>46273</v>
      </c>
      <c r="C1425" t="inlineStr">
        <is>
          <t>ch_3Q001415</t>
        </is>
      </c>
      <c r="D1425" t="inlineStr">
        <is>
          <t>charge</t>
        </is>
      </c>
      <c r="E1425" s="5" t="n">
        <v>46269</v>
      </c>
      <c r="F1425" s="9" t="n">
        <v>95</v>
      </c>
      <c r="G1425" s="9" t="n">
        <v>1.96</v>
      </c>
      <c r="H1425" s="9" t="n">
        <v>93.04000000000001</v>
      </c>
      <c r="I1425" t="inlineStr">
        <is>
          <t>INV/2026/05040</t>
        </is>
      </c>
      <c r="J1425" s="9">
        <f>ROUND(F1425-G1425-H1425,2)</f>
        <v>0</v>
      </c>
    </row>
    <row r="1426">
      <c r="A1426" t="inlineStr">
        <is>
          <t>po_1Q0050KX</t>
        </is>
      </c>
      <c r="B1426" s="5" t="n">
        <v>46273</v>
      </c>
      <c r="C1426" t="inlineStr">
        <is>
          <t>ch_3Q001416</t>
        </is>
      </c>
      <c r="D1426" t="inlineStr">
        <is>
          <t>charge</t>
        </is>
      </c>
      <c r="E1426" s="5" t="n">
        <v>46269</v>
      </c>
      <c r="F1426" s="9" t="n">
        <v>150</v>
      </c>
      <c r="G1426" s="9" t="n">
        <v>2.93</v>
      </c>
      <c r="H1426" s="9" t="n">
        <v>147.07</v>
      </c>
      <c r="I1426" t="inlineStr">
        <is>
          <t>INV/2026/05041</t>
        </is>
      </c>
      <c r="J1426" s="9">
        <f>ROUND(F1426-G1426-H1426,2)</f>
        <v>0</v>
      </c>
    </row>
    <row r="1427">
      <c r="A1427" t="inlineStr">
        <is>
          <t>po_1Q0050KX</t>
        </is>
      </c>
      <c r="B1427" s="5" t="n">
        <v>46273</v>
      </c>
      <c r="C1427" t="inlineStr">
        <is>
          <t>ch_3Q001417</t>
        </is>
      </c>
      <c r="D1427" t="inlineStr">
        <is>
          <t>charge</t>
        </is>
      </c>
      <c r="E1427" s="5" t="n">
        <v>46269</v>
      </c>
      <c r="F1427" s="9" t="n">
        <v>135</v>
      </c>
      <c r="G1427" s="9" t="n">
        <v>2.66</v>
      </c>
      <c r="H1427" s="9" t="n">
        <v>132.34</v>
      </c>
      <c r="I1427" t="inlineStr">
        <is>
          <t>INV/2026/05042</t>
        </is>
      </c>
      <c r="J1427" s="9">
        <f>ROUND(F1427-G1427-H1427,2)</f>
        <v>0</v>
      </c>
    </row>
    <row r="1428">
      <c r="A1428" t="inlineStr">
        <is>
          <t>po_1Q0050KX</t>
        </is>
      </c>
      <c r="B1428" s="5" t="n">
        <v>46273</v>
      </c>
      <c r="C1428" t="inlineStr">
        <is>
          <t>ch_3Q001418</t>
        </is>
      </c>
      <c r="D1428" t="inlineStr">
        <is>
          <t>charge</t>
        </is>
      </c>
      <c r="E1428" s="5" t="n">
        <v>46269</v>
      </c>
      <c r="F1428" s="9" t="n">
        <v>120</v>
      </c>
      <c r="G1428" s="9" t="n">
        <v>2.4</v>
      </c>
      <c r="H1428" s="9" t="n">
        <v>117.6</v>
      </c>
      <c r="I1428" t="inlineStr">
        <is>
          <t>INV/2026/05043</t>
        </is>
      </c>
      <c r="J1428" s="9">
        <f>ROUND(F1428-G1428-H1428,2)</f>
        <v>0</v>
      </c>
    </row>
    <row r="1429">
      <c r="A1429" t="inlineStr">
        <is>
          <t>po_1Q0050KX</t>
        </is>
      </c>
      <c r="B1429" s="5" t="n">
        <v>46273</v>
      </c>
      <c r="C1429" t="inlineStr">
        <is>
          <t>ch_3Q001419</t>
        </is>
      </c>
      <c r="D1429" t="inlineStr">
        <is>
          <t>charge</t>
        </is>
      </c>
      <c r="E1429" s="5" t="n">
        <v>46269</v>
      </c>
      <c r="F1429" s="9" t="n">
        <v>110</v>
      </c>
      <c r="G1429" s="9" t="n">
        <v>2.23</v>
      </c>
      <c r="H1429" s="9" t="n">
        <v>107.77</v>
      </c>
      <c r="I1429" t="inlineStr">
        <is>
          <t>INV/2026/05044</t>
        </is>
      </c>
      <c r="J1429" s="9">
        <f>ROUND(F1429-G1429-H1429,2)</f>
        <v>0</v>
      </c>
    </row>
    <row r="1430">
      <c r="A1430" t="inlineStr">
        <is>
          <t>po_1Q0050KX</t>
        </is>
      </c>
      <c r="B1430" s="5" t="n">
        <v>46273</v>
      </c>
      <c r="C1430" t="inlineStr">
        <is>
          <t>ch_3Q001420</t>
        </is>
      </c>
      <c r="D1430" t="inlineStr">
        <is>
          <t>charge</t>
        </is>
      </c>
      <c r="E1430" s="5" t="n">
        <v>46269</v>
      </c>
      <c r="F1430" s="9" t="n">
        <v>65</v>
      </c>
      <c r="G1430" s="9" t="n">
        <v>1.44</v>
      </c>
      <c r="H1430" s="9" t="n">
        <v>63.56</v>
      </c>
      <c r="I1430" t="inlineStr">
        <is>
          <t>INV/2026/05045</t>
        </is>
      </c>
      <c r="J1430" s="9">
        <f>ROUND(F1430-G1430-H1430,2)</f>
        <v>0</v>
      </c>
    </row>
    <row r="1431">
      <c r="A1431" t="inlineStr">
        <is>
          <t>po_1Q0050KX</t>
        </is>
      </c>
      <c r="B1431" s="5" t="n">
        <v>46273</v>
      </c>
      <c r="C1431" t="inlineStr">
        <is>
          <t>ch_3Q001421</t>
        </is>
      </c>
      <c r="D1431" t="inlineStr">
        <is>
          <t>charge</t>
        </is>
      </c>
      <c r="E1431" s="5" t="n">
        <v>46269</v>
      </c>
      <c r="F1431" s="9" t="n">
        <v>95</v>
      </c>
      <c r="G1431" s="9" t="n">
        <v>1.96</v>
      </c>
      <c r="H1431" s="9" t="n">
        <v>93.04000000000001</v>
      </c>
      <c r="I1431" t="inlineStr">
        <is>
          <t>INV/2026/05046</t>
        </is>
      </c>
      <c r="J1431" s="9">
        <f>ROUND(F1431-G1431-H1431,2)</f>
        <v>0</v>
      </c>
    </row>
    <row r="1432">
      <c r="A1432" t="inlineStr">
        <is>
          <t>po_1Q0050KX</t>
        </is>
      </c>
      <c r="B1432" s="5" t="n">
        <v>46273</v>
      </c>
      <c r="C1432" t="inlineStr">
        <is>
          <t>ch_3Q001422</t>
        </is>
      </c>
      <c r="D1432" t="inlineStr">
        <is>
          <t>charge</t>
        </is>
      </c>
      <c r="E1432" s="5" t="n">
        <v>46269</v>
      </c>
      <c r="F1432" s="9" t="n">
        <v>95</v>
      </c>
      <c r="G1432" s="9" t="n">
        <v>1.96</v>
      </c>
      <c r="H1432" s="9" t="n">
        <v>93.04000000000001</v>
      </c>
      <c r="I1432" t="inlineStr">
        <is>
          <t>INV/2026/05047</t>
        </is>
      </c>
      <c r="J1432" s="9">
        <f>ROUND(F1432-G1432-H1432,2)</f>
        <v>0</v>
      </c>
    </row>
    <row r="1433">
      <c r="A1433" t="inlineStr">
        <is>
          <t>po_1Q0050KX</t>
        </is>
      </c>
      <c r="B1433" s="5" t="n">
        <v>46273</v>
      </c>
      <c r="C1433" t="inlineStr">
        <is>
          <t>ch_3Q001423</t>
        </is>
      </c>
      <c r="D1433" t="inlineStr">
        <is>
          <t>charge</t>
        </is>
      </c>
      <c r="E1433" s="5" t="n">
        <v>46269</v>
      </c>
      <c r="F1433" s="9" t="n">
        <v>120</v>
      </c>
      <c r="G1433" s="9" t="n">
        <v>2.4</v>
      </c>
      <c r="H1433" s="9" t="n">
        <v>117.6</v>
      </c>
      <c r="I1433" t="inlineStr">
        <is>
          <t>INV/2026/05048</t>
        </is>
      </c>
      <c r="J1433" s="9">
        <f>ROUND(F1433-G1433-H1433,2)</f>
        <v>0</v>
      </c>
    </row>
    <row r="1434">
      <c r="A1434" t="inlineStr">
        <is>
          <t>po_1Q0050KX</t>
        </is>
      </c>
      <c r="B1434" s="5" t="n">
        <v>46273</v>
      </c>
      <c r="C1434" t="inlineStr">
        <is>
          <t>ch_3Q001424</t>
        </is>
      </c>
      <c r="D1434" t="inlineStr">
        <is>
          <t>charge</t>
        </is>
      </c>
      <c r="E1434" s="5" t="n">
        <v>46269</v>
      </c>
      <c r="F1434" s="9" t="n">
        <v>220</v>
      </c>
      <c r="G1434" s="9" t="n">
        <v>4.15</v>
      </c>
      <c r="H1434" s="9" t="n">
        <v>215.85</v>
      </c>
      <c r="I1434" t="inlineStr">
        <is>
          <t>INV/2026/05049</t>
        </is>
      </c>
      <c r="J1434" s="9">
        <f>ROUND(F1434-G1434-H1434,2)</f>
        <v>0</v>
      </c>
    </row>
    <row r="1435">
      <c r="A1435" t="inlineStr">
        <is>
          <t>po_1Q0050KX</t>
        </is>
      </c>
      <c r="B1435" s="5" t="n">
        <v>46273</v>
      </c>
      <c r="C1435" t="inlineStr">
        <is>
          <t>ch_3Q001425</t>
        </is>
      </c>
      <c r="D1435" t="inlineStr">
        <is>
          <t>charge</t>
        </is>
      </c>
      <c r="E1435" s="5" t="n">
        <v>46270</v>
      </c>
      <c r="F1435" s="9" t="n">
        <v>135</v>
      </c>
      <c r="G1435" s="9" t="n">
        <v>2.66</v>
      </c>
      <c r="H1435" s="9" t="n">
        <v>132.34</v>
      </c>
      <c r="I1435" t="inlineStr">
        <is>
          <t>INV/2026/05050</t>
        </is>
      </c>
      <c r="J1435" s="9">
        <f>ROUND(F1435-G1435-H1435,2)</f>
        <v>0</v>
      </c>
    </row>
    <row r="1436">
      <c r="A1436" t="inlineStr">
        <is>
          <t>po_1Q0050KX</t>
        </is>
      </c>
      <c r="B1436" s="5" t="n">
        <v>46273</v>
      </c>
      <c r="C1436" t="inlineStr">
        <is>
          <t>ch_3Q001426</t>
        </is>
      </c>
      <c r="D1436" t="inlineStr">
        <is>
          <t>charge</t>
        </is>
      </c>
      <c r="E1436" s="5" t="n">
        <v>46270</v>
      </c>
      <c r="F1436" s="9" t="n">
        <v>65</v>
      </c>
      <c r="G1436" s="9" t="n">
        <v>1.44</v>
      </c>
      <c r="H1436" s="9" t="n">
        <v>63.56</v>
      </c>
      <c r="I1436" t="inlineStr">
        <is>
          <t>INV/2026/05051</t>
        </is>
      </c>
      <c r="J1436" s="9">
        <f>ROUND(F1436-G1436-H1436,2)</f>
        <v>0</v>
      </c>
    </row>
    <row r="1437">
      <c r="A1437" t="inlineStr">
        <is>
          <t>po_1Q0050KX</t>
        </is>
      </c>
      <c r="B1437" s="5" t="n">
        <v>46273</v>
      </c>
      <c r="C1437" t="inlineStr">
        <is>
          <t>ch_3Q001427</t>
        </is>
      </c>
      <c r="D1437" t="inlineStr">
        <is>
          <t>charge</t>
        </is>
      </c>
      <c r="E1437" s="5" t="n">
        <v>46270</v>
      </c>
      <c r="F1437" s="9" t="n">
        <v>220</v>
      </c>
      <c r="G1437" s="9" t="n">
        <v>4.15</v>
      </c>
      <c r="H1437" s="9" t="n">
        <v>215.85</v>
      </c>
      <c r="I1437" t="inlineStr">
        <is>
          <t>INV/2026/05052</t>
        </is>
      </c>
      <c r="J1437" s="9">
        <f>ROUND(F1437-G1437-H1437,2)</f>
        <v>0</v>
      </c>
    </row>
    <row r="1438">
      <c r="A1438" t="inlineStr">
        <is>
          <t>po_1Q0050KX</t>
        </is>
      </c>
      <c r="B1438" s="5" t="n">
        <v>46273</v>
      </c>
      <c r="C1438" t="inlineStr">
        <is>
          <t>ch_3Q001428</t>
        </is>
      </c>
      <c r="D1438" t="inlineStr">
        <is>
          <t>charge</t>
        </is>
      </c>
      <c r="E1438" s="5" t="n">
        <v>46270</v>
      </c>
      <c r="F1438" s="9" t="n">
        <v>95</v>
      </c>
      <c r="G1438" s="9" t="n">
        <v>1.96</v>
      </c>
      <c r="H1438" s="9" t="n">
        <v>93.04000000000001</v>
      </c>
      <c r="I1438" t="inlineStr">
        <is>
          <t>INV/2026/05053</t>
        </is>
      </c>
      <c r="J1438" s="9">
        <f>ROUND(F1438-G1438-H1438,2)</f>
        <v>0</v>
      </c>
    </row>
    <row r="1439">
      <c r="A1439" t="inlineStr">
        <is>
          <t>po_1Q0050KX</t>
        </is>
      </c>
      <c r="B1439" s="5" t="n">
        <v>46273</v>
      </c>
      <c r="C1439" t="inlineStr">
        <is>
          <t>ch_3Q001429</t>
        </is>
      </c>
      <c r="D1439" t="inlineStr">
        <is>
          <t>charge</t>
        </is>
      </c>
      <c r="E1439" s="5" t="n">
        <v>46270</v>
      </c>
      <c r="F1439" s="9" t="n">
        <v>85</v>
      </c>
      <c r="G1439" s="9" t="n">
        <v>1.79</v>
      </c>
      <c r="H1439" s="9" t="n">
        <v>83.20999999999999</v>
      </c>
      <c r="I1439" t="inlineStr">
        <is>
          <t>INV/2026/05054</t>
        </is>
      </c>
      <c r="J1439" s="9">
        <f>ROUND(F1439-G1439-H1439,2)</f>
        <v>0</v>
      </c>
    </row>
    <row r="1440">
      <c r="A1440" t="inlineStr">
        <is>
          <t>po_1Q0050KX</t>
        </is>
      </c>
      <c r="B1440" s="5" t="n">
        <v>46273</v>
      </c>
      <c r="C1440" t="inlineStr">
        <is>
          <t>ch_3Q001430</t>
        </is>
      </c>
      <c r="D1440" t="inlineStr">
        <is>
          <t>charge</t>
        </is>
      </c>
      <c r="E1440" s="5" t="n">
        <v>46270</v>
      </c>
      <c r="F1440" s="9" t="n">
        <v>120</v>
      </c>
      <c r="G1440" s="9" t="n">
        <v>2.4</v>
      </c>
      <c r="H1440" s="9" t="n">
        <v>117.6</v>
      </c>
      <c r="I1440" t="inlineStr">
        <is>
          <t>INV/2026/05055</t>
        </is>
      </c>
      <c r="J1440" s="9">
        <f>ROUND(F1440-G1440-H1440,2)</f>
        <v>0</v>
      </c>
    </row>
    <row r="1441">
      <c r="A1441" t="inlineStr">
        <is>
          <t>po_1Q0051KX</t>
        </is>
      </c>
      <c r="B1441" s="5" t="n">
        <v>46274</v>
      </c>
      <c r="C1441" t="inlineStr">
        <is>
          <t>ch_3Q001431</t>
        </is>
      </c>
      <c r="D1441" t="inlineStr">
        <is>
          <t>charge</t>
        </is>
      </c>
      <c r="E1441" s="5" t="n">
        <v>46272</v>
      </c>
      <c r="F1441" s="9" t="n">
        <v>180</v>
      </c>
      <c r="G1441" s="9" t="n">
        <v>3.45</v>
      </c>
      <c r="H1441" s="9" t="n">
        <v>176.55</v>
      </c>
      <c r="I1441" t="inlineStr">
        <is>
          <t>INV/2026/05056</t>
        </is>
      </c>
      <c r="J1441" s="9">
        <f>ROUND(F1441-G1441-H1441,2)</f>
        <v>0</v>
      </c>
    </row>
    <row r="1442">
      <c r="A1442" t="inlineStr">
        <is>
          <t>po_1Q0051KX</t>
        </is>
      </c>
      <c r="B1442" s="5" t="n">
        <v>46274</v>
      </c>
      <c r="C1442" t="inlineStr">
        <is>
          <t>ch_3Q001432</t>
        </is>
      </c>
      <c r="D1442" t="inlineStr">
        <is>
          <t>charge</t>
        </is>
      </c>
      <c r="E1442" s="5" t="n">
        <v>46272</v>
      </c>
      <c r="F1442" s="9" t="n">
        <v>220</v>
      </c>
      <c r="G1442" s="9" t="n">
        <v>4.15</v>
      </c>
      <c r="H1442" s="9" t="n">
        <v>215.85</v>
      </c>
      <c r="I1442" t="inlineStr">
        <is>
          <t>INV/2026/05057</t>
        </is>
      </c>
      <c r="J1442" s="9">
        <f>ROUND(F1442-G1442-H1442,2)</f>
        <v>0</v>
      </c>
    </row>
    <row r="1443">
      <c r="A1443" t="inlineStr">
        <is>
          <t>po_1Q0051KX</t>
        </is>
      </c>
      <c r="B1443" s="5" t="n">
        <v>46274</v>
      </c>
      <c r="C1443" t="inlineStr">
        <is>
          <t>ch_3Q001433</t>
        </is>
      </c>
      <c r="D1443" t="inlineStr">
        <is>
          <t>charge</t>
        </is>
      </c>
      <c r="E1443" s="5" t="n">
        <v>46272</v>
      </c>
      <c r="F1443" s="9" t="n">
        <v>220</v>
      </c>
      <c r="G1443" s="9" t="n">
        <v>4.15</v>
      </c>
      <c r="H1443" s="9" t="n">
        <v>215.85</v>
      </c>
      <c r="I1443" t="inlineStr">
        <is>
          <t>INV/2026/05058</t>
        </is>
      </c>
      <c r="J1443" s="9">
        <f>ROUND(F1443-G1443-H1443,2)</f>
        <v>0</v>
      </c>
    </row>
    <row r="1444">
      <c r="A1444" t="inlineStr">
        <is>
          <t>po_1Q0051KX</t>
        </is>
      </c>
      <c r="B1444" s="5" t="n">
        <v>46274</v>
      </c>
      <c r="C1444" t="inlineStr">
        <is>
          <t>ch_3Q001434</t>
        </is>
      </c>
      <c r="D1444" t="inlineStr">
        <is>
          <t>charge</t>
        </is>
      </c>
      <c r="E1444" s="5" t="n">
        <v>46272</v>
      </c>
      <c r="F1444" s="9" t="n">
        <v>150</v>
      </c>
      <c r="G1444" s="9" t="n">
        <v>2.93</v>
      </c>
      <c r="H1444" s="9" t="n">
        <v>147.07</v>
      </c>
      <c r="I1444" t="inlineStr">
        <is>
          <t>INV/2026/05059</t>
        </is>
      </c>
      <c r="J1444" s="9">
        <f>ROUND(F1444-G1444-H1444,2)</f>
        <v>0</v>
      </c>
    </row>
    <row r="1445">
      <c r="A1445" t="inlineStr">
        <is>
          <t>po_1Q0051KX</t>
        </is>
      </c>
      <c r="B1445" s="5" t="n">
        <v>46274</v>
      </c>
      <c r="C1445" t="inlineStr">
        <is>
          <t>ch_3Q001435</t>
        </is>
      </c>
      <c r="D1445" t="inlineStr">
        <is>
          <t>charge</t>
        </is>
      </c>
      <c r="E1445" s="5" t="n">
        <v>46272</v>
      </c>
      <c r="F1445" s="9" t="n">
        <v>95</v>
      </c>
      <c r="G1445" s="9" t="n">
        <v>1.96</v>
      </c>
      <c r="H1445" s="9" t="n">
        <v>93.04000000000001</v>
      </c>
      <c r="I1445" t="inlineStr">
        <is>
          <t>INV/2026/05060</t>
        </is>
      </c>
      <c r="J1445" s="9">
        <f>ROUND(F1445-G1445-H1445,2)</f>
        <v>0</v>
      </c>
    </row>
    <row r="1446">
      <c r="A1446" t="inlineStr">
        <is>
          <t>po_1Q0051KX</t>
        </is>
      </c>
      <c r="B1446" s="5" t="n">
        <v>46274</v>
      </c>
      <c r="C1446" t="inlineStr">
        <is>
          <t>ch_3Q001436</t>
        </is>
      </c>
      <c r="D1446" t="inlineStr">
        <is>
          <t>charge</t>
        </is>
      </c>
      <c r="E1446" s="5" t="n">
        <v>46272</v>
      </c>
      <c r="F1446" s="9" t="n">
        <v>150</v>
      </c>
      <c r="G1446" s="9" t="n">
        <v>2.93</v>
      </c>
      <c r="H1446" s="9" t="n">
        <v>147.07</v>
      </c>
      <c r="I1446" t="inlineStr">
        <is>
          <t>INV/2026/05061</t>
        </is>
      </c>
      <c r="J1446" s="9">
        <f>ROUND(F1446-G1446-H1446,2)</f>
        <v>0</v>
      </c>
    </row>
    <row r="1447">
      <c r="A1447" t="inlineStr">
        <is>
          <t>po_1Q0051KX</t>
        </is>
      </c>
      <c r="B1447" s="5" t="n">
        <v>46274</v>
      </c>
      <c r="C1447" t="inlineStr">
        <is>
          <t>ch_3Q001437</t>
        </is>
      </c>
      <c r="D1447" t="inlineStr">
        <is>
          <t>charge</t>
        </is>
      </c>
      <c r="E1447" s="5" t="n">
        <v>46272</v>
      </c>
      <c r="F1447" s="9" t="n">
        <v>110</v>
      </c>
      <c r="G1447" s="9" t="n">
        <v>2.23</v>
      </c>
      <c r="H1447" s="9" t="n">
        <v>107.77</v>
      </c>
      <c r="I1447" t="inlineStr">
        <is>
          <t>INV/2026/05062</t>
        </is>
      </c>
      <c r="J1447" s="9">
        <f>ROUND(F1447-G1447-H1447,2)</f>
        <v>0</v>
      </c>
    </row>
    <row r="1448">
      <c r="A1448" t="inlineStr">
        <is>
          <t>po_1Q0051KX</t>
        </is>
      </c>
      <c r="B1448" s="5" t="n">
        <v>46274</v>
      </c>
      <c r="C1448" t="inlineStr">
        <is>
          <t>ch_3Q001438</t>
        </is>
      </c>
      <c r="D1448" t="inlineStr">
        <is>
          <t>charge</t>
        </is>
      </c>
      <c r="E1448" s="5" t="n">
        <v>46272</v>
      </c>
      <c r="F1448" s="9" t="n">
        <v>220</v>
      </c>
      <c r="G1448" s="9" t="n">
        <v>4.15</v>
      </c>
      <c r="H1448" s="9" t="n">
        <v>215.85</v>
      </c>
      <c r="I1448" t="inlineStr">
        <is>
          <t>INV/2026/05063</t>
        </is>
      </c>
      <c r="J1448" s="9">
        <f>ROUND(F1448-G1448-H1448,2)</f>
        <v>0</v>
      </c>
    </row>
    <row r="1449">
      <c r="A1449" t="inlineStr">
        <is>
          <t>po_1Q0051KX</t>
        </is>
      </c>
      <c r="B1449" s="5" t="n">
        <v>46274</v>
      </c>
      <c r="C1449" t="inlineStr">
        <is>
          <t>ch_3Q001439</t>
        </is>
      </c>
      <c r="D1449" t="inlineStr">
        <is>
          <t>charge</t>
        </is>
      </c>
      <c r="E1449" s="5" t="n">
        <v>46272</v>
      </c>
      <c r="F1449" s="9" t="n">
        <v>120</v>
      </c>
      <c r="G1449" s="9" t="n">
        <v>2.4</v>
      </c>
      <c r="H1449" s="9" t="n">
        <v>117.6</v>
      </c>
      <c r="I1449" t="inlineStr">
        <is>
          <t>INV/2026/05064</t>
        </is>
      </c>
      <c r="J1449" s="9">
        <f>ROUND(F1449-G1449-H1449,2)</f>
        <v>0</v>
      </c>
    </row>
    <row r="1450">
      <c r="A1450" t="inlineStr">
        <is>
          <t>po_1Q0051KX</t>
        </is>
      </c>
      <c r="B1450" s="5" t="n">
        <v>46274</v>
      </c>
      <c r="C1450" t="inlineStr">
        <is>
          <t>ch_3Q001440</t>
        </is>
      </c>
      <c r="D1450" t="inlineStr">
        <is>
          <t>charge</t>
        </is>
      </c>
      <c r="E1450" s="5" t="n">
        <v>46272</v>
      </c>
      <c r="F1450" s="9" t="n">
        <v>110</v>
      </c>
      <c r="G1450" s="9" t="n">
        <v>2.23</v>
      </c>
      <c r="H1450" s="9" t="n">
        <v>107.77</v>
      </c>
      <c r="I1450" t="inlineStr">
        <is>
          <t>INV/2026/05065</t>
        </is>
      </c>
      <c r="J1450" s="9">
        <f>ROUND(F1450-G1450-H1450,2)</f>
        <v>0</v>
      </c>
    </row>
    <row r="1451">
      <c r="A1451" t="inlineStr">
        <is>
          <t>po_1Q0051KX</t>
        </is>
      </c>
      <c r="B1451" s="5" t="n">
        <v>46274</v>
      </c>
      <c r="C1451" t="inlineStr">
        <is>
          <t>ch_3Q001441</t>
        </is>
      </c>
      <c r="D1451" t="inlineStr">
        <is>
          <t>charge</t>
        </is>
      </c>
      <c r="E1451" s="5" t="n">
        <v>46272</v>
      </c>
      <c r="F1451" s="9" t="n">
        <v>85</v>
      </c>
      <c r="G1451" s="9" t="n">
        <v>1.79</v>
      </c>
      <c r="H1451" s="9" t="n">
        <v>83.20999999999999</v>
      </c>
      <c r="I1451" t="inlineStr">
        <is>
          <t>INV/2026/05066</t>
        </is>
      </c>
      <c r="J1451" s="9">
        <f>ROUND(F1451-G1451-H1451,2)</f>
        <v>0</v>
      </c>
    </row>
    <row r="1452">
      <c r="A1452" t="inlineStr">
        <is>
          <t>po_1Q0051KX</t>
        </is>
      </c>
      <c r="B1452" s="5" t="n">
        <v>46274</v>
      </c>
      <c r="C1452" t="inlineStr">
        <is>
          <t>ch_3Q001442</t>
        </is>
      </c>
      <c r="D1452" t="inlineStr">
        <is>
          <t>charge</t>
        </is>
      </c>
      <c r="E1452" s="5" t="n">
        <v>46272</v>
      </c>
      <c r="F1452" s="9" t="n">
        <v>65</v>
      </c>
      <c r="G1452" s="9" t="n">
        <v>1.44</v>
      </c>
      <c r="H1452" s="9" t="n">
        <v>63.56</v>
      </c>
      <c r="I1452" t="inlineStr">
        <is>
          <t>INV/2026/05067</t>
        </is>
      </c>
      <c r="J1452" s="9">
        <f>ROUND(F1452-G1452-H1452,2)</f>
        <v>0</v>
      </c>
    </row>
    <row r="1453">
      <c r="A1453" t="inlineStr">
        <is>
          <t>po_1Q0051KX</t>
        </is>
      </c>
      <c r="B1453" s="5" t="n">
        <v>46274</v>
      </c>
      <c r="C1453" t="inlineStr">
        <is>
          <t>ch_3Q001443</t>
        </is>
      </c>
      <c r="D1453" t="inlineStr">
        <is>
          <t>charge</t>
        </is>
      </c>
      <c r="E1453" s="5" t="n">
        <v>46272</v>
      </c>
      <c r="F1453" s="9" t="n">
        <v>120</v>
      </c>
      <c r="G1453" s="9" t="n">
        <v>2.4</v>
      </c>
      <c r="H1453" s="9" t="n">
        <v>117.6</v>
      </c>
      <c r="I1453" t="inlineStr">
        <is>
          <t>INV/2026/05068</t>
        </is>
      </c>
      <c r="J1453" s="9">
        <f>ROUND(F1453-G1453-H1453,2)</f>
        <v>0</v>
      </c>
    </row>
    <row r="1454">
      <c r="A1454" t="inlineStr">
        <is>
          <t>po_1Q0051KX</t>
        </is>
      </c>
      <c r="B1454" s="5" t="n">
        <v>46274</v>
      </c>
      <c r="C1454" t="inlineStr">
        <is>
          <t>ch_3Q001444</t>
        </is>
      </c>
      <c r="D1454" t="inlineStr">
        <is>
          <t>charge</t>
        </is>
      </c>
      <c r="E1454" s="5" t="n">
        <v>46272</v>
      </c>
      <c r="F1454" s="9" t="n">
        <v>110</v>
      </c>
      <c r="G1454" s="9" t="n">
        <v>2.23</v>
      </c>
      <c r="H1454" s="9" t="n">
        <v>107.77</v>
      </c>
      <c r="I1454" t="inlineStr">
        <is>
          <t>INV/2026/05069</t>
        </is>
      </c>
      <c r="J1454" s="9">
        <f>ROUND(F1454-G1454-H1454,2)</f>
        <v>0</v>
      </c>
    </row>
    <row r="1455">
      <c r="A1455" t="inlineStr">
        <is>
          <t>po_1Q0051KX</t>
        </is>
      </c>
      <c r="B1455" s="5" t="n">
        <v>46274</v>
      </c>
      <c r="C1455" t="inlineStr">
        <is>
          <t>ch_3Q001445</t>
        </is>
      </c>
      <c r="D1455" t="inlineStr">
        <is>
          <t>charge</t>
        </is>
      </c>
      <c r="E1455" s="5" t="n">
        <v>46272</v>
      </c>
      <c r="F1455" s="9" t="n">
        <v>180</v>
      </c>
      <c r="G1455" s="9" t="n">
        <v>3.45</v>
      </c>
      <c r="H1455" s="9" t="n">
        <v>176.55</v>
      </c>
      <c r="I1455" t="inlineStr">
        <is>
          <t>INV/2026/05070</t>
        </is>
      </c>
      <c r="J1455" s="9">
        <f>ROUND(F1455-G1455-H1455,2)</f>
        <v>0</v>
      </c>
    </row>
    <row r="1456">
      <c r="A1456" t="inlineStr">
        <is>
          <t>po_1Q0051KX</t>
        </is>
      </c>
      <c r="B1456" s="5" t="n">
        <v>46274</v>
      </c>
      <c r="C1456" t="inlineStr">
        <is>
          <t>ch_3Q001446</t>
        </is>
      </c>
      <c r="D1456" t="inlineStr">
        <is>
          <t>charge</t>
        </is>
      </c>
      <c r="E1456" s="5" t="n">
        <v>46272</v>
      </c>
      <c r="F1456" s="9" t="n">
        <v>220</v>
      </c>
      <c r="G1456" s="9" t="n">
        <v>4.15</v>
      </c>
      <c r="H1456" s="9" t="n">
        <v>215.85</v>
      </c>
      <c r="I1456" t="inlineStr">
        <is>
          <t>INV/2026/05071</t>
        </is>
      </c>
      <c r="J1456" s="9">
        <f>ROUND(F1456-G1456-H1456,2)</f>
        <v>0</v>
      </c>
    </row>
    <row r="1457">
      <c r="A1457" t="inlineStr">
        <is>
          <t>po_1Q0051KX</t>
        </is>
      </c>
      <c r="B1457" s="5" t="n">
        <v>46274</v>
      </c>
      <c r="C1457" t="inlineStr">
        <is>
          <t>ch_3Q001447</t>
        </is>
      </c>
      <c r="D1457" t="inlineStr">
        <is>
          <t>charge</t>
        </is>
      </c>
      <c r="E1457" s="5" t="n">
        <v>46272</v>
      </c>
      <c r="F1457" s="9" t="n">
        <v>220</v>
      </c>
      <c r="G1457" s="9" t="n">
        <v>4.15</v>
      </c>
      <c r="H1457" s="9" t="n">
        <v>215.85</v>
      </c>
      <c r="I1457" t="inlineStr">
        <is>
          <t>INV/2026/05072</t>
        </is>
      </c>
      <c r="J1457" s="9">
        <f>ROUND(F1457-G1457-H1457,2)</f>
        <v>0</v>
      </c>
    </row>
    <row r="1458">
      <c r="A1458" t="inlineStr">
        <is>
          <t>po_1Q0051KX</t>
        </is>
      </c>
      <c r="B1458" s="5" t="n">
        <v>46274</v>
      </c>
      <c r="C1458" t="inlineStr">
        <is>
          <t>ch_3Q001448</t>
        </is>
      </c>
      <c r="D1458" t="inlineStr">
        <is>
          <t>charge</t>
        </is>
      </c>
      <c r="E1458" s="5" t="n">
        <v>46272</v>
      </c>
      <c r="F1458" s="9" t="n">
        <v>85</v>
      </c>
      <c r="G1458" s="9" t="n">
        <v>1.79</v>
      </c>
      <c r="H1458" s="9" t="n">
        <v>83.20999999999999</v>
      </c>
      <c r="I1458" t="inlineStr">
        <is>
          <t>INV/2026/05073</t>
        </is>
      </c>
      <c r="J1458" s="9">
        <f>ROUND(F1458-G1458-H1458,2)</f>
        <v>0</v>
      </c>
    </row>
    <row r="1459">
      <c r="A1459" t="inlineStr">
        <is>
          <t>po_1Q0051KX</t>
        </is>
      </c>
      <c r="B1459" s="5" t="n">
        <v>46274</v>
      </c>
      <c r="C1459" t="inlineStr">
        <is>
          <t>ch_3Q001449</t>
        </is>
      </c>
      <c r="D1459" t="inlineStr">
        <is>
          <t>charge</t>
        </is>
      </c>
      <c r="E1459" s="5" t="n">
        <v>46272</v>
      </c>
      <c r="F1459" s="9" t="n">
        <v>120</v>
      </c>
      <c r="G1459" s="9" t="n">
        <v>2.4</v>
      </c>
      <c r="H1459" s="9" t="n">
        <v>117.6</v>
      </c>
      <c r="I1459" t="inlineStr">
        <is>
          <t>INV/2026/05074</t>
        </is>
      </c>
      <c r="J1459" s="9">
        <f>ROUND(F1459-G1459-H1459,2)</f>
        <v>0</v>
      </c>
    </row>
    <row r="1460">
      <c r="A1460" t="inlineStr">
        <is>
          <t>po_1Q0051KX</t>
        </is>
      </c>
      <c r="B1460" s="5" t="n">
        <v>46274</v>
      </c>
      <c r="C1460" t="inlineStr">
        <is>
          <t>ch_3Q001450</t>
        </is>
      </c>
      <c r="D1460" t="inlineStr">
        <is>
          <t>charge</t>
        </is>
      </c>
      <c r="E1460" s="5" t="n">
        <v>46272</v>
      </c>
      <c r="F1460" s="9" t="n">
        <v>110</v>
      </c>
      <c r="G1460" s="9" t="n">
        <v>2.23</v>
      </c>
      <c r="H1460" s="9" t="n">
        <v>107.77</v>
      </c>
      <c r="I1460" t="inlineStr">
        <is>
          <t>INV/2026/05075</t>
        </is>
      </c>
      <c r="J1460" s="9">
        <f>ROUND(F1460-G1460-H1460,2)</f>
        <v>0</v>
      </c>
    </row>
    <row r="1461">
      <c r="A1461" t="inlineStr">
        <is>
          <t>po_1Q0051KX</t>
        </is>
      </c>
      <c r="B1461" s="5" t="n">
        <v>46274</v>
      </c>
      <c r="C1461" t="inlineStr">
        <is>
          <t>ch_3Q001451</t>
        </is>
      </c>
      <c r="D1461" t="inlineStr">
        <is>
          <t>charge</t>
        </is>
      </c>
      <c r="E1461" s="5" t="n">
        <v>46272</v>
      </c>
      <c r="F1461" s="9" t="n">
        <v>110</v>
      </c>
      <c r="G1461" s="9" t="n">
        <v>2.23</v>
      </c>
      <c r="H1461" s="9" t="n">
        <v>107.77</v>
      </c>
      <c r="I1461" t="inlineStr">
        <is>
          <t>INV/2026/05076</t>
        </is>
      </c>
      <c r="J1461" s="9">
        <f>ROUND(F1461-G1461-H1461,2)</f>
        <v>0</v>
      </c>
    </row>
    <row r="1462">
      <c r="A1462" t="inlineStr">
        <is>
          <t>po_1Q0051KX</t>
        </is>
      </c>
      <c r="B1462" s="5" t="n">
        <v>46274</v>
      </c>
      <c r="C1462" t="inlineStr">
        <is>
          <t>ch_3Q001452</t>
        </is>
      </c>
      <c r="D1462" t="inlineStr">
        <is>
          <t>charge</t>
        </is>
      </c>
      <c r="E1462" s="5" t="n">
        <v>46272</v>
      </c>
      <c r="F1462" s="9" t="n">
        <v>220</v>
      </c>
      <c r="G1462" s="9" t="n">
        <v>4.15</v>
      </c>
      <c r="H1462" s="9" t="n">
        <v>215.85</v>
      </c>
      <c r="I1462" t="inlineStr">
        <is>
          <t>INV/2026/05077</t>
        </is>
      </c>
      <c r="J1462" s="9">
        <f>ROUND(F1462-G1462-H1462,2)</f>
        <v>0</v>
      </c>
    </row>
    <row r="1463">
      <c r="A1463" t="inlineStr">
        <is>
          <t>po_1Q0051KX</t>
        </is>
      </c>
      <c r="B1463" s="5" t="n">
        <v>46274</v>
      </c>
      <c r="C1463" t="inlineStr">
        <is>
          <t>re_3Q001439</t>
        </is>
      </c>
      <c r="D1463" t="inlineStr">
        <is>
          <t>refund</t>
        </is>
      </c>
      <c r="E1463" s="5" t="n">
        <v>46274</v>
      </c>
      <c r="F1463" s="9" t="n">
        <v>-120</v>
      </c>
      <c r="G1463" s="9" t="n">
        <v>0</v>
      </c>
      <c r="H1463" s="9" t="n">
        <v>-120</v>
      </c>
      <c r="I1463" t="inlineStr">
        <is>
          <t>INV/2026/05064</t>
        </is>
      </c>
      <c r="J1463" s="9">
        <f>ROUND(F1463-G1463-H1463,2)</f>
        <v>0</v>
      </c>
    </row>
    <row r="1464">
      <c r="A1464" t="inlineStr">
        <is>
          <t>po_1Q0052KX</t>
        </is>
      </c>
      <c r="B1464" s="5" t="n">
        <v>46275</v>
      </c>
      <c r="C1464" t="inlineStr">
        <is>
          <t>ch_3Q001453</t>
        </is>
      </c>
      <c r="D1464" t="inlineStr">
        <is>
          <t>charge</t>
        </is>
      </c>
      <c r="E1464" s="5" t="n">
        <v>46273</v>
      </c>
      <c r="F1464" s="9" t="n">
        <v>135</v>
      </c>
      <c r="G1464" s="9" t="n">
        <v>2.66</v>
      </c>
      <c r="H1464" s="9" t="n">
        <v>132.34</v>
      </c>
      <c r="I1464" t="inlineStr">
        <is>
          <t>INV/2026/05078</t>
        </is>
      </c>
      <c r="J1464" s="9">
        <f>ROUND(F1464-G1464-H1464,2)</f>
        <v>0</v>
      </c>
    </row>
    <row r="1465">
      <c r="A1465" t="inlineStr">
        <is>
          <t>po_1Q0052KX</t>
        </is>
      </c>
      <c r="B1465" s="5" t="n">
        <v>46275</v>
      </c>
      <c r="C1465" t="inlineStr">
        <is>
          <t>ch_3Q001454</t>
        </is>
      </c>
      <c r="D1465" t="inlineStr">
        <is>
          <t>charge</t>
        </is>
      </c>
      <c r="E1465" s="5" t="n">
        <v>46273</v>
      </c>
      <c r="F1465" s="9" t="n">
        <v>120</v>
      </c>
      <c r="G1465" s="9" t="n">
        <v>2.4</v>
      </c>
      <c r="H1465" s="9" t="n">
        <v>117.6</v>
      </c>
      <c r="I1465" t="inlineStr">
        <is>
          <t>INV/2026/05079</t>
        </is>
      </c>
      <c r="J1465" s="9">
        <f>ROUND(F1465-G1465-H1465,2)</f>
        <v>0</v>
      </c>
    </row>
    <row r="1466">
      <c r="A1466" t="inlineStr">
        <is>
          <t>po_1Q0052KX</t>
        </is>
      </c>
      <c r="B1466" s="5" t="n">
        <v>46275</v>
      </c>
      <c r="C1466" t="inlineStr">
        <is>
          <t>ch_3Q001455</t>
        </is>
      </c>
      <c r="D1466" t="inlineStr">
        <is>
          <t>charge</t>
        </is>
      </c>
      <c r="E1466" s="5" t="n">
        <v>46273</v>
      </c>
      <c r="F1466" s="9" t="n">
        <v>150</v>
      </c>
      <c r="G1466" s="9" t="n">
        <v>2.93</v>
      </c>
      <c r="H1466" s="9" t="n">
        <v>147.07</v>
      </c>
      <c r="I1466" t="inlineStr">
        <is>
          <t>INV/2026/05080</t>
        </is>
      </c>
      <c r="J1466" s="9">
        <f>ROUND(F1466-G1466-H1466,2)</f>
        <v>0</v>
      </c>
    </row>
    <row r="1467">
      <c r="A1467" t="inlineStr">
        <is>
          <t>po_1Q0052KX</t>
        </is>
      </c>
      <c r="B1467" s="5" t="n">
        <v>46275</v>
      </c>
      <c r="C1467" t="inlineStr">
        <is>
          <t>ch_3Q001456</t>
        </is>
      </c>
      <c r="D1467" t="inlineStr">
        <is>
          <t>charge</t>
        </is>
      </c>
      <c r="E1467" s="5" t="n">
        <v>46273</v>
      </c>
      <c r="F1467" s="9" t="n">
        <v>85</v>
      </c>
      <c r="G1467" s="9" t="n">
        <v>1.79</v>
      </c>
      <c r="H1467" s="9" t="n">
        <v>83.20999999999999</v>
      </c>
      <c r="I1467" t="inlineStr">
        <is>
          <t>INV/2026/05081</t>
        </is>
      </c>
      <c r="J1467" s="9">
        <f>ROUND(F1467-G1467-H1467,2)</f>
        <v>0</v>
      </c>
    </row>
    <row r="1468">
      <c r="A1468" t="inlineStr">
        <is>
          <t>po_1Q0052KX</t>
        </is>
      </c>
      <c r="B1468" s="5" t="n">
        <v>46275</v>
      </c>
      <c r="C1468" t="inlineStr">
        <is>
          <t>ch_3Q001457</t>
        </is>
      </c>
      <c r="D1468" t="inlineStr">
        <is>
          <t>charge</t>
        </is>
      </c>
      <c r="E1468" s="5" t="n">
        <v>46273</v>
      </c>
      <c r="F1468" s="9" t="n">
        <v>180</v>
      </c>
      <c r="G1468" s="9" t="n">
        <v>3.45</v>
      </c>
      <c r="H1468" s="9" t="n">
        <v>176.55</v>
      </c>
      <c r="I1468" t="inlineStr">
        <is>
          <t>INV/2026/05082</t>
        </is>
      </c>
      <c r="J1468" s="9">
        <f>ROUND(F1468-G1468-H1468,2)</f>
        <v>0</v>
      </c>
    </row>
    <row r="1469">
      <c r="A1469" t="inlineStr">
        <is>
          <t>po_1Q0052KX</t>
        </is>
      </c>
      <c r="B1469" s="5" t="n">
        <v>46275</v>
      </c>
      <c r="C1469" t="inlineStr">
        <is>
          <t>ch_3Q001458</t>
        </is>
      </c>
      <c r="D1469" t="inlineStr">
        <is>
          <t>charge</t>
        </is>
      </c>
      <c r="E1469" s="5" t="n">
        <v>46273</v>
      </c>
      <c r="F1469" s="9" t="n">
        <v>95</v>
      </c>
      <c r="G1469" s="9" t="n">
        <v>1.96</v>
      </c>
      <c r="H1469" s="9" t="n">
        <v>93.04000000000001</v>
      </c>
      <c r="I1469" t="inlineStr">
        <is>
          <t>INV/2026/05083</t>
        </is>
      </c>
      <c r="J1469" s="9">
        <f>ROUND(F1469-G1469-H1469,2)</f>
        <v>0</v>
      </c>
    </row>
    <row r="1470">
      <c r="A1470" t="inlineStr">
        <is>
          <t>po_1Q0052KX</t>
        </is>
      </c>
      <c r="B1470" s="5" t="n">
        <v>46275</v>
      </c>
      <c r="C1470" t="inlineStr">
        <is>
          <t>ch_3Q001459</t>
        </is>
      </c>
      <c r="D1470" t="inlineStr">
        <is>
          <t>charge</t>
        </is>
      </c>
      <c r="E1470" s="5" t="n">
        <v>46273</v>
      </c>
      <c r="F1470" s="9" t="n">
        <v>150</v>
      </c>
      <c r="G1470" s="9" t="n">
        <v>2.93</v>
      </c>
      <c r="H1470" s="9" t="n">
        <v>147.07</v>
      </c>
      <c r="I1470" t="inlineStr">
        <is>
          <t>INV/2026/05084</t>
        </is>
      </c>
      <c r="J1470" s="9">
        <f>ROUND(F1470-G1470-H1470,2)</f>
        <v>0</v>
      </c>
    </row>
    <row r="1471">
      <c r="A1471" t="inlineStr">
        <is>
          <t>po_1Q0052KX</t>
        </is>
      </c>
      <c r="B1471" s="5" t="n">
        <v>46275</v>
      </c>
      <c r="C1471" t="inlineStr">
        <is>
          <t>ch_3Q001460</t>
        </is>
      </c>
      <c r="D1471" t="inlineStr">
        <is>
          <t>charge</t>
        </is>
      </c>
      <c r="E1471" s="5" t="n">
        <v>46273</v>
      </c>
      <c r="F1471" s="9" t="n">
        <v>65</v>
      </c>
      <c r="G1471" s="9" t="n">
        <v>1.44</v>
      </c>
      <c r="H1471" s="9" t="n">
        <v>63.56</v>
      </c>
      <c r="I1471" t="inlineStr">
        <is>
          <t>INV/2026/05085</t>
        </is>
      </c>
      <c r="J1471" s="9">
        <f>ROUND(F1471-G1471-H1471,2)</f>
        <v>0</v>
      </c>
    </row>
    <row r="1472">
      <c r="A1472" t="inlineStr">
        <is>
          <t>po_1Q0052KX</t>
        </is>
      </c>
      <c r="B1472" s="5" t="n">
        <v>46275</v>
      </c>
      <c r="C1472" t="inlineStr">
        <is>
          <t>ch_3Q001461</t>
        </is>
      </c>
      <c r="D1472" t="inlineStr">
        <is>
          <t>charge</t>
        </is>
      </c>
      <c r="E1472" s="5" t="n">
        <v>46273</v>
      </c>
      <c r="F1472" s="9" t="n">
        <v>95</v>
      </c>
      <c r="G1472" s="9" t="n">
        <v>1.96</v>
      </c>
      <c r="H1472" s="9" t="n">
        <v>93.04000000000001</v>
      </c>
      <c r="I1472" t="inlineStr">
        <is>
          <t>INV/2026/05086</t>
        </is>
      </c>
      <c r="J1472" s="9">
        <f>ROUND(F1472-G1472-H1472,2)</f>
        <v>0</v>
      </c>
    </row>
    <row r="1473">
      <c r="A1473" t="inlineStr">
        <is>
          <t>po_1Q0052KX</t>
        </is>
      </c>
      <c r="B1473" s="5" t="n">
        <v>46275</v>
      </c>
      <c r="C1473" t="inlineStr">
        <is>
          <t>ch_3Q001462</t>
        </is>
      </c>
      <c r="D1473" t="inlineStr">
        <is>
          <t>charge</t>
        </is>
      </c>
      <c r="E1473" s="5" t="n">
        <v>46273</v>
      </c>
      <c r="F1473" s="9" t="n">
        <v>150</v>
      </c>
      <c r="G1473" s="9" t="n">
        <v>2.93</v>
      </c>
      <c r="H1473" s="9" t="n">
        <v>147.07</v>
      </c>
      <c r="I1473" t="inlineStr">
        <is>
          <t>INV/2026/05087</t>
        </is>
      </c>
      <c r="J1473" s="9">
        <f>ROUND(F1473-G1473-H1473,2)</f>
        <v>0</v>
      </c>
    </row>
    <row r="1474">
      <c r="A1474" t="inlineStr">
        <is>
          <t>po_1Q0052KX</t>
        </is>
      </c>
      <c r="B1474" s="5" t="n">
        <v>46275</v>
      </c>
      <c r="C1474" t="inlineStr">
        <is>
          <t>ch_3Q001463</t>
        </is>
      </c>
      <c r="D1474" t="inlineStr">
        <is>
          <t>charge</t>
        </is>
      </c>
      <c r="E1474" s="5" t="n">
        <v>46273</v>
      </c>
      <c r="F1474" s="9" t="n">
        <v>65</v>
      </c>
      <c r="G1474" s="9" t="n">
        <v>1.44</v>
      </c>
      <c r="H1474" s="9" t="n">
        <v>63.56</v>
      </c>
      <c r="I1474" t="inlineStr">
        <is>
          <t>INV/2026/05088</t>
        </is>
      </c>
      <c r="J1474" s="9">
        <f>ROUND(F1474-G1474-H1474,2)</f>
        <v>0</v>
      </c>
    </row>
    <row r="1475">
      <c r="A1475" t="inlineStr">
        <is>
          <t>po_1Q0052KX</t>
        </is>
      </c>
      <c r="B1475" s="5" t="n">
        <v>46275</v>
      </c>
      <c r="C1475" t="inlineStr">
        <is>
          <t>ch_3Q001464</t>
        </is>
      </c>
      <c r="D1475" t="inlineStr">
        <is>
          <t>charge</t>
        </is>
      </c>
      <c r="E1475" s="5" t="n">
        <v>46273</v>
      </c>
      <c r="F1475" s="9" t="n">
        <v>110</v>
      </c>
      <c r="G1475" s="9" t="n">
        <v>2.23</v>
      </c>
      <c r="H1475" s="9" t="n">
        <v>107.77</v>
      </c>
      <c r="I1475" t="inlineStr">
        <is>
          <t>INV/2026/05089</t>
        </is>
      </c>
      <c r="J1475" s="9">
        <f>ROUND(F1475-G1475-H1475,2)</f>
        <v>0</v>
      </c>
    </row>
    <row r="1476">
      <c r="A1476" t="inlineStr">
        <is>
          <t>po_1Q0052KX</t>
        </is>
      </c>
      <c r="B1476" s="5" t="n">
        <v>46275</v>
      </c>
      <c r="C1476" t="inlineStr">
        <is>
          <t>ch_3Q001465</t>
        </is>
      </c>
      <c r="D1476" t="inlineStr">
        <is>
          <t>charge</t>
        </is>
      </c>
      <c r="E1476" s="5" t="n">
        <v>46273</v>
      </c>
      <c r="F1476" s="9" t="n">
        <v>65</v>
      </c>
      <c r="G1476" s="9" t="n">
        <v>1.44</v>
      </c>
      <c r="H1476" s="9" t="n">
        <v>63.56</v>
      </c>
      <c r="I1476" t="inlineStr">
        <is>
          <t>INV/2026/05090</t>
        </is>
      </c>
      <c r="J1476" s="9">
        <f>ROUND(F1476-G1476-H1476,2)</f>
        <v>0</v>
      </c>
    </row>
    <row r="1477">
      <c r="A1477" t="inlineStr">
        <is>
          <t>po_1Q0052KX</t>
        </is>
      </c>
      <c r="B1477" s="5" t="n">
        <v>46275</v>
      </c>
      <c r="C1477" t="inlineStr">
        <is>
          <t>ch_3Q001466</t>
        </is>
      </c>
      <c r="D1477" t="inlineStr">
        <is>
          <t>charge</t>
        </is>
      </c>
      <c r="E1477" s="5" t="n">
        <v>46273</v>
      </c>
      <c r="F1477" s="9" t="n">
        <v>95</v>
      </c>
      <c r="G1477" s="9" t="n">
        <v>1.96</v>
      </c>
      <c r="H1477" s="9" t="n">
        <v>93.04000000000001</v>
      </c>
      <c r="I1477" t="inlineStr">
        <is>
          <t>INV/2026/05091</t>
        </is>
      </c>
      <c r="J1477" s="9">
        <f>ROUND(F1477-G1477-H1477,2)</f>
        <v>0</v>
      </c>
    </row>
    <row r="1478">
      <c r="A1478" t="inlineStr">
        <is>
          <t>po_1Q0052KX</t>
        </is>
      </c>
      <c r="B1478" s="5" t="n">
        <v>46275</v>
      </c>
      <c r="C1478" t="inlineStr">
        <is>
          <t>ch_3Q001467</t>
        </is>
      </c>
      <c r="D1478" t="inlineStr">
        <is>
          <t>charge</t>
        </is>
      </c>
      <c r="E1478" s="5" t="n">
        <v>46273</v>
      </c>
      <c r="F1478" s="9" t="n">
        <v>150</v>
      </c>
      <c r="G1478" s="9" t="n">
        <v>2.93</v>
      </c>
      <c r="H1478" s="9" t="n">
        <v>147.07</v>
      </c>
      <c r="I1478" t="inlineStr">
        <is>
          <t>INV/2026/05092</t>
        </is>
      </c>
      <c r="J1478" s="9">
        <f>ROUND(F1478-G1478-H1478,2)</f>
        <v>0</v>
      </c>
    </row>
    <row r="1479">
      <c r="A1479" t="inlineStr">
        <is>
          <t>po_1Q0052KX</t>
        </is>
      </c>
      <c r="B1479" s="5" t="n">
        <v>46275</v>
      </c>
      <c r="C1479" t="inlineStr">
        <is>
          <t>ch_3Q001468</t>
        </is>
      </c>
      <c r="D1479" t="inlineStr">
        <is>
          <t>charge</t>
        </is>
      </c>
      <c r="E1479" s="5" t="n">
        <v>46273</v>
      </c>
      <c r="F1479" s="9" t="n">
        <v>120</v>
      </c>
      <c r="G1479" s="9" t="n">
        <v>2.4</v>
      </c>
      <c r="H1479" s="9" t="n">
        <v>117.6</v>
      </c>
      <c r="I1479" t="inlineStr">
        <is>
          <t>INV/2026/05093</t>
        </is>
      </c>
      <c r="J1479" s="9">
        <f>ROUND(F1479-G1479-H1479,2)</f>
        <v>0</v>
      </c>
    </row>
    <row r="1480">
      <c r="A1480" t="inlineStr">
        <is>
          <t>po_1Q0052KX</t>
        </is>
      </c>
      <c r="B1480" s="5" t="n">
        <v>46275</v>
      </c>
      <c r="C1480" t="inlineStr">
        <is>
          <t>ch_3Q001469</t>
        </is>
      </c>
      <c r="D1480" t="inlineStr">
        <is>
          <t>charge</t>
        </is>
      </c>
      <c r="E1480" s="5" t="n">
        <v>46273</v>
      </c>
      <c r="F1480" s="9" t="n">
        <v>135</v>
      </c>
      <c r="G1480" s="9" t="n">
        <v>2.66</v>
      </c>
      <c r="H1480" s="9" t="n">
        <v>132.34</v>
      </c>
      <c r="I1480" t="inlineStr">
        <is>
          <t>INV/2026/05094</t>
        </is>
      </c>
      <c r="J1480" s="9">
        <f>ROUND(F1480-G1480-H1480,2)</f>
        <v>0</v>
      </c>
    </row>
    <row r="1481">
      <c r="A1481" t="inlineStr">
        <is>
          <t>po_1Q0052KX</t>
        </is>
      </c>
      <c r="B1481" s="5" t="n">
        <v>46275</v>
      </c>
      <c r="C1481" t="inlineStr">
        <is>
          <t>ch_3Q001470</t>
        </is>
      </c>
      <c r="D1481" t="inlineStr">
        <is>
          <t>charge</t>
        </is>
      </c>
      <c r="E1481" s="5" t="n">
        <v>46273</v>
      </c>
      <c r="F1481" s="9" t="n">
        <v>150</v>
      </c>
      <c r="G1481" s="9" t="n">
        <v>2.93</v>
      </c>
      <c r="H1481" s="9" t="n">
        <v>147.07</v>
      </c>
      <c r="I1481" t="inlineStr">
        <is>
          <t>INV/2026/05095</t>
        </is>
      </c>
      <c r="J1481" s="9">
        <f>ROUND(F1481-G1481-H1481,2)</f>
        <v>0</v>
      </c>
    </row>
    <row r="1482">
      <c r="A1482" t="inlineStr">
        <is>
          <t>po_1Q0052KX</t>
        </is>
      </c>
      <c r="B1482" s="5" t="n">
        <v>46275</v>
      </c>
      <c r="C1482" t="inlineStr">
        <is>
          <t>ch_3Q001471</t>
        </is>
      </c>
      <c r="D1482" t="inlineStr">
        <is>
          <t>charge</t>
        </is>
      </c>
      <c r="E1482" s="5" t="n">
        <v>46273</v>
      </c>
      <c r="F1482" s="9" t="n">
        <v>95</v>
      </c>
      <c r="G1482" s="9" t="n">
        <v>1.96</v>
      </c>
      <c r="H1482" s="9" t="n">
        <v>93.04000000000001</v>
      </c>
      <c r="I1482" t="inlineStr">
        <is>
          <t>INV/2026/05096</t>
        </is>
      </c>
      <c r="J1482" s="9">
        <f>ROUND(F1482-G1482-H1482,2)</f>
        <v>0</v>
      </c>
    </row>
    <row r="1483">
      <c r="A1483" t="inlineStr">
        <is>
          <t>po_1Q0052KX</t>
        </is>
      </c>
      <c r="B1483" s="5" t="n">
        <v>46275</v>
      </c>
      <c r="C1483" t="inlineStr">
        <is>
          <t>ch_3Q001472</t>
        </is>
      </c>
      <c r="D1483" t="inlineStr">
        <is>
          <t>charge</t>
        </is>
      </c>
      <c r="E1483" s="5" t="n">
        <v>46273</v>
      </c>
      <c r="F1483" s="9" t="n">
        <v>110</v>
      </c>
      <c r="G1483" s="9" t="n">
        <v>2.23</v>
      </c>
      <c r="H1483" s="9" t="n">
        <v>107.77</v>
      </c>
      <c r="I1483" t="inlineStr">
        <is>
          <t>INV/2026/05097</t>
        </is>
      </c>
      <c r="J1483" s="9">
        <f>ROUND(F1483-G1483-H1483,2)</f>
        <v>0</v>
      </c>
    </row>
    <row r="1484">
      <c r="A1484" t="inlineStr">
        <is>
          <t>po_1Q0053KX</t>
        </is>
      </c>
      <c r="B1484" s="5" t="n">
        <v>46276</v>
      </c>
      <c r="C1484" t="inlineStr">
        <is>
          <t>ch_3Q001473</t>
        </is>
      </c>
      <c r="D1484" t="inlineStr">
        <is>
          <t>charge</t>
        </is>
      </c>
      <c r="E1484" s="5" t="n">
        <v>46274</v>
      </c>
      <c r="F1484" s="9" t="n">
        <v>85</v>
      </c>
      <c r="G1484" s="9" t="n">
        <v>1.79</v>
      </c>
      <c r="H1484" s="9" t="n">
        <v>83.20999999999999</v>
      </c>
      <c r="I1484" t="inlineStr">
        <is>
          <t>INV/2026/05098</t>
        </is>
      </c>
      <c r="J1484" s="9">
        <f>ROUND(F1484-G1484-H1484,2)</f>
        <v>0</v>
      </c>
    </row>
    <row r="1485">
      <c r="A1485" t="inlineStr">
        <is>
          <t>po_1Q0053KX</t>
        </is>
      </c>
      <c r="B1485" s="5" t="n">
        <v>46276</v>
      </c>
      <c r="C1485" t="inlineStr">
        <is>
          <t>ch_3Q001474</t>
        </is>
      </c>
      <c r="D1485" t="inlineStr">
        <is>
          <t>charge</t>
        </is>
      </c>
      <c r="E1485" s="5" t="n">
        <v>46274</v>
      </c>
      <c r="F1485" s="9" t="n">
        <v>85</v>
      </c>
      <c r="G1485" s="9" t="n">
        <v>1.79</v>
      </c>
      <c r="H1485" s="9" t="n">
        <v>83.20999999999999</v>
      </c>
      <c r="I1485" t="inlineStr">
        <is>
          <t>INV/2026/05099</t>
        </is>
      </c>
      <c r="J1485" s="9">
        <f>ROUND(F1485-G1485-H1485,2)</f>
        <v>0</v>
      </c>
    </row>
    <row r="1486">
      <c r="A1486" t="inlineStr">
        <is>
          <t>po_1Q0053KX</t>
        </is>
      </c>
      <c r="B1486" s="5" t="n">
        <v>46276</v>
      </c>
      <c r="C1486" t="inlineStr">
        <is>
          <t>ch_3Q001475</t>
        </is>
      </c>
      <c r="D1486" t="inlineStr">
        <is>
          <t>charge</t>
        </is>
      </c>
      <c r="E1486" s="5" t="n">
        <v>46274</v>
      </c>
      <c r="F1486" s="9" t="n">
        <v>110</v>
      </c>
      <c r="G1486" s="9" t="n">
        <v>2.23</v>
      </c>
      <c r="H1486" s="9" t="n">
        <v>107.77</v>
      </c>
      <c r="I1486" t="inlineStr">
        <is>
          <t>INV/2026/05100</t>
        </is>
      </c>
      <c r="J1486" s="9">
        <f>ROUND(F1486-G1486-H1486,2)</f>
        <v>0</v>
      </c>
    </row>
    <row r="1487">
      <c r="A1487" t="inlineStr">
        <is>
          <t>po_1Q0053KX</t>
        </is>
      </c>
      <c r="B1487" s="5" t="n">
        <v>46276</v>
      </c>
      <c r="C1487" t="inlineStr">
        <is>
          <t>ch_3Q001476</t>
        </is>
      </c>
      <c r="D1487" t="inlineStr">
        <is>
          <t>charge</t>
        </is>
      </c>
      <c r="E1487" s="5" t="n">
        <v>46274</v>
      </c>
      <c r="F1487" s="9" t="n">
        <v>135</v>
      </c>
      <c r="G1487" s="9" t="n">
        <v>2.66</v>
      </c>
      <c r="H1487" s="9" t="n">
        <v>132.34</v>
      </c>
      <c r="I1487" t="inlineStr">
        <is>
          <t>INV/2026/05101</t>
        </is>
      </c>
      <c r="J1487" s="9">
        <f>ROUND(F1487-G1487-H1487,2)</f>
        <v>0</v>
      </c>
    </row>
    <row r="1488">
      <c r="A1488" t="inlineStr">
        <is>
          <t>po_1Q0053KX</t>
        </is>
      </c>
      <c r="B1488" s="5" t="n">
        <v>46276</v>
      </c>
      <c r="C1488" t="inlineStr">
        <is>
          <t>ch_3Q001477</t>
        </is>
      </c>
      <c r="D1488" t="inlineStr">
        <is>
          <t>charge</t>
        </is>
      </c>
      <c r="E1488" s="5" t="n">
        <v>46274</v>
      </c>
      <c r="F1488" s="9" t="n">
        <v>95</v>
      </c>
      <c r="G1488" s="9" t="n">
        <v>1.96</v>
      </c>
      <c r="H1488" s="9" t="n">
        <v>93.04000000000001</v>
      </c>
      <c r="I1488" t="inlineStr">
        <is>
          <t>INV/2026/05102</t>
        </is>
      </c>
      <c r="J1488" s="9">
        <f>ROUND(F1488-G1488-H1488,2)</f>
        <v>0</v>
      </c>
    </row>
    <row r="1489">
      <c r="A1489" t="inlineStr">
        <is>
          <t>po_1Q0053KX</t>
        </is>
      </c>
      <c r="B1489" s="5" t="n">
        <v>46276</v>
      </c>
      <c r="C1489" t="inlineStr">
        <is>
          <t>ch_3Q001478</t>
        </is>
      </c>
      <c r="D1489" t="inlineStr">
        <is>
          <t>charge</t>
        </is>
      </c>
      <c r="E1489" s="5" t="n">
        <v>46274</v>
      </c>
      <c r="F1489" s="9" t="n">
        <v>65</v>
      </c>
      <c r="G1489" s="9" t="n">
        <v>1.44</v>
      </c>
      <c r="H1489" s="9" t="n">
        <v>63.56</v>
      </c>
      <c r="I1489" t="inlineStr">
        <is>
          <t>INV/2026/05103</t>
        </is>
      </c>
      <c r="J1489" s="9">
        <f>ROUND(F1489-G1489-H1489,2)</f>
        <v>0</v>
      </c>
    </row>
    <row r="1490">
      <c r="A1490" t="inlineStr">
        <is>
          <t>po_1Q0053KX</t>
        </is>
      </c>
      <c r="B1490" s="5" t="n">
        <v>46276</v>
      </c>
      <c r="C1490" t="inlineStr">
        <is>
          <t>ch_3Q001479</t>
        </is>
      </c>
      <c r="D1490" t="inlineStr">
        <is>
          <t>charge</t>
        </is>
      </c>
      <c r="E1490" s="5" t="n">
        <v>46274</v>
      </c>
      <c r="F1490" s="9" t="n">
        <v>180</v>
      </c>
      <c r="G1490" s="9" t="n">
        <v>3.45</v>
      </c>
      <c r="H1490" s="9" t="n">
        <v>176.55</v>
      </c>
      <c r="I1490" t="inlineStr">
        <is>
          <t>INV/2026/05104</t>
        </is>
      </c>
      <c r="J1490" s="9">
        <f>ROUND(F1490-G1490-H1490,2)</f>
        <v>0</v>
      </c>
    </row>
    <row r="1491">
      <c r="A1491" t="inlineStr">
        <is>
          <t>po_1Q0053KX</t>
        </is>
      </c>
      <c r="B1491" s="5" t="n">
        <v>46276</v>
      </c>
      <c r="C1491" t="inlineStr">
        <is>
          <t>ch_3Q001480</t>
        </is>
      </c>
      <c r="D1491" t="inlineStr">
        <is>
          <t>charge</t>
        </is>
      </c>
      <c r="E1491" s="5" t="n">
        <v>46274</v>
      </c>
      <c r="F1491" s="9" t="n">
        <v>120</v>
      </c>
      <c r="G1491" s="9" t="n">
        <v>2.4</v>
      </c>
      <c r="H1491" s="9" t="n">
        <v>117.6</v>
      </c>
      <c r="I1491" t="inlineStr">
        <is>
          <t>INV/2026/05105</t>
        </is>
      </c>
      <c r="J1491" s="9">
        <f>ROUND(F1491-G1491-H1491,2)</f>
        <v>0</v>
      </c>
    </row>
    <row r="1492">
      <c r="A1492" t="inlineStr">
        <is>
          <t>po_1Q0053KX</t>
        </is>
      </c>
      <c r="B1492" s="5" t="n">
        <v>46276</v>
      </c>
      <c r="C1492" t="inlineStr">
        <is>
          <t>ch_3Q001481</t>
        </is>
      </c>
      <c r="D1492" t="inlineStr">
        <is>
          <t>charge</t>
        </is>
      </c>
      <c r="E1492" s="5" t="n">
        <v>46274</v>
      </c>
      <c r="F1492" s="9" t="n">
        <v>85</v>
      </c>
      <c r="G1492" s="9" t="n">
        <v>1.79</v>
      </c>
      <c r="H1492" s="9" t="n">
        <v>83.20999999999999</v>
      </c>
      <c r="I1492" t="inlineStr">
        <is>
          <t>INV/2026/05106</t>
        </is>
      </c>
      <c r="J1492" s="9">
        <f>ROUND(F1492-G1492-H1492,2)</f>
        <v>0</v>
      </c>
    </row>
    <row r="1493">
      <c r="A1493" t="inlineStr">
        <is>
          <t>po_1Q0053KX</t>
        </is>
      </c>
      <c r="B1493" s="5" t="n">
        <v>46276</v>
      </c>
      <c r="C1493" t="inlineStr">
        <is>
          <t>ch_3Q001482</t>
        </is>
      </c>
      <c r="D1493" t="inlineStr">
        <is>
          <t>charge</t>
        </is>
      </c>
      <c r="E1493" s="5" t="n">
        <v>46274</v>
      </c>
      <c r="F1493" s="9" t="n">
        <v>120</v>
      </c>
      <c r="G1493" s="9" t="n">
        <v>2.4</v>
      </c>
      <c r="H1493" s="9" t="n">
        <v>117.6</v>
      </c>
      <c r="I1493" t="inlineStr">
        <is>
          <t>INV/2026/05107</t>
        </is>
      </c>
      <c r="J1493" s="9">
        <f>ROUND(F1493-G1493-H1493,2)</f>
        <v>0</v>
      </c>
    </row>
    <row r="1494">
      <c r="A1494" t="inlineStr">
        <is>
          <t>po_1Q0053KX</t>
        </is>
      </c>
      <c r="B1494" s="5" t="n">
        <v>46276</v>
      </c>
      <c r="C1494" t="inlineStr">
        <is>
          <t>ch_3Q001483</t>
        </is>
      </c>
      <c r="D1494" t="inlineStr">
        <is>
          <t>charge</t>
        </is>
      </c>
      <c r="E1494" s="5" t="n">
        <v>46274</v>
      </c>
      <c r="F1494" s="9" t="n">
        <v>220</v>
      </c>
      <c r="G1494" s="9" t="n">
        <v>4.15</v>
      </c>
      <c r="H1494" s="9" t="n">
        <v>215.85</v>
      </c>
      <c r="I1494" t="inlineStr">
        <is>
          <t>INV/2026/05108</t>
        </is>
      </c>
      <c r="J1494" s="9">
        <f>ROUND(F1494-G1494-H1494,2)</f>
        <v>0</v>
      </c>
    </row>
    <row r="1495">
      <c r="A1495" t="inlineStr">
        <is>
          <t>po_1Q0053KX</t>
        </is>
      </c>
      <c r="B1495" s="5" t="n">
        <v>46276</v>
      </c>
      <c r="C1495" t="inlineStr">
        <is>
          <t>ch_3Q001484</t>
        </is>
      </c>
      <c r="D1495" t="inlineStr">
        <is>
          <t>charge</t>
        </is>
      </c>
      <c r="E1495" s="5" t="n">
        <v>46274</v>
      </c>
      <c r="F1495" s="9" t="n">
        <v>150</v>
      </c>
      <c r="G1495" s="9" t="n">
        <v>2.93</v>
      </c>
      <c r="H1495" s="9" t="n">
        <v>147.07</v>
      </c>
      <c r="I1495" t="inlineStr">
        <is>
          <t>INV/2026/05109</t>
        </is>
      </c>
      <c r="J1495" s="9">
        <f>ROUND(F1495-G1495-H1495,2)</f>
        <v>0</v>
      </c>
    </row>
    <row r="1496">
      <c r="A1496" t="inlineStr">
        <is>
          <t>po_1Q0053KX</t>
        </is>
      </c>
      <c r="B1496" s="5" t="n">
        <v>46276</v>
      </c>
      <c r="C1496" t="inlineStr">
        <is>
          <t>ch_3Q001485</t>
        </is>
      </c>
      <c r="D1496" t="inlineStr">
        <is>
          <t>charge</t>
        </is>
      </c>
      <c r="E1496" s="5" t="n">
        <v>46274</v>
      </c>
      <c r="F1496" s="9" t="n">
        <v>135</v>
      </c>
      <c r="G1496" s="9" t="n">
        <v>2.66</v>
      </c>
      <c r="H1496" s="9" t="n">
        <v>132.34</v>
      </c>
      <c r="I1496" t="inlineStr">
        <is>
          <t>INV/2026/05110</t>
        </is>
      </c>
      <c r="J1496" s="9">
        <f>ROUND(F1496-G1496-H1496,2)</f>
        <v>0</v>
      </c>
    </row>
    <row r="1497">
      <c r="A1497" t="inlineStr">
        <is>
          <t>po_1Q0053KX</t>
        </is>
      </c>
      <c r="B1497" s="5" t="n">
        <v>46276</v>
      </c>
      <c r="C1497" t="inlineStr">
        <is>
          <t>ch_3Q001486</t>
        </is>
      </c>
      <c r="D1497" t="inlineStr">
        <is>
          <t>charge</t>
        </is>
      </c>
      <c r="E1497" s="5" t="n">
        <v>46274</v>
      </c>
      <c r="F1497" s="9" t="n">
        <v>110</v>
      </c>
      <c r="G1497" s="9" t="n">
        <v>2.23</v>
      </c>
      <c r="H1497" s="9" t="n">
        <v>107.77</v>
      </c>
      <c r="I1497" t="inlineStr">
        <is>
          <t>INV/2026/05111</t>
        </is>
      </c>
      <c r="J1497" s="9">
        <f>ROUND(F1497-G1497-H1497,2)</f>
        <v>0</v>
      </c>
    </row>
    <row r="1498">
      <c r="A1498" t="inlineStr">
        <is>
          <t>po_1Q0053KX</t>
        </is>
      </c>
      <c r="B1498" s="5" t="n">
        <v>46276</v>
      </c>
      <c r="C1498" t="inlineStr">
        <is>
          <t>ch_3Q001487</t>
        </is>
      </c>
      <c r="D1498" t="inlineStr">
        <is>
          <t>charge</t>
        </is>
      </c>
      <c r="E1498" s="5" t="n">
        <v>46274</v>
      </c>
      <c r="F1498" s="9" t="n">
        <v>95</v>
      </c>
      <c r="G1498" s="9" t="n">
        <v>1.96</v>
      </c>
      <c r="H1498" s="9" t="n">
        <v>93.04000000000001</v>
      </c>
      <c r="I1498" t="inlineStr">
        <is>
          <t>INV/2026/05112</t>
        </is>
      </c>
      <c r="J1498" s="9">
        <f>ROUND(F1498-G1498-H1498,2)</f>
        <v>0</v>
      </c>
    </row>
    <row r="1499">
      <c r="A1499" t="inlineStr">
        <is>
          <t>po_1Q0053KX</t>
        </is>
      </c>
      <c r="B1499" s="5" t="n">
        <v>46276</v>
      </c>
      <c r="C1499" t="inlineStr">
        <is>
          <t>ch_3Q001488</t>
        </is>
      </c>
      <c r="D1499" t="inlineStr">
        <is>
          <t>charge</t>
        </is>
      </c>
      <c r="E1499" s="5" t="n">
        <v>46274</v>
      </c>
      <c r="F1499" s="9" t="n">
        <v>95</v>
      </c>
      <c r="G1499" s="9" t="n">
        <v>1.96</v>
      </c>
      <c r="H1499" s="9" t="n">
        <v>93.04000000000001</v>
      </c>
      <c r="I1499" t="inlineStr">
        <is>
          <t>INV/2026/05113</t>
        </is>
      </c>
      <c r="J1499" s="9">
        <f>ROUND(F1499-G1499-H1499,2)</f>
        <v>0</v>
      </c>
    </row>
    <row r="1500">
      <c r="A1500" t="inlineStr">
        <is>
          <t>po_1Q0053KX</t>
        </is>
      </c>
      <c r="B1500" s="5" t="n">
        <v>46276</v>
      </c>
      <c r="C1500" t="inlineStr">
        <is>
          <t>ch_3Q001489</t>
        </is>
      </c>
      <c r="D1500" t="inlineStr">
        <is>
          <t>charge</t>
        </is>
      </c>
      <c r="E1500" s="5" t="n">
        <v>46274</v>
      </c>
      <c r="F1500" s="9" t="n">
        <v>180</v>
      </c>
      <c r="G1500" s="9" t="n">
        <v>3.45</v>
      </c>
      <c r="H1500" s="9" t="n">
        <v>176.55</v>
      </c>
      <c r="I1500" t="inlineStr">
        <is>
          <t>INV/2026/05114</t>
        </is>
      </c>
      <c r="J1500" s="9">
        <f>ROUND(F1500-G1500-H1500,2)</f>
        <v>0</v>
      </c>
    </row>
    <row r="1501">
      <c r="A1501" t="inlineStr">
        <is>
          <t>po_1Q0053KX</t>
        </is>
      </c>
      <c r="B1501" s="5" t="n">
        <v>46276</v>
      </c>
      <c r="C1501" t="inlineStr">
        <is>
          <t>ch_3Q001490</t>
        </is>
      </c>
      <c r="D1501" t="inlineStr">
        <is>
          <t>charge</t>
        </is>
      </c>
      <c r="E1501" s="5" t="n">
        <v>46274</v>
      </c>
      <c r="F1501" s="9" t="n">
        <v>150</v>
      </c>
      <c r="G1501" s="9" t="n">
        <v>2.93</v>
      </c>
      <c r="H1501" s="9" t="n">
        <v>147.07</v>
      </c>
      <c r="I1501" t="inlineStr">
        <is>
          <t>INV/2026/05115</t>
        </is>
      </c>
      <c r="J1501" s="9">
        <f>ROUND(F1501-G1501-H1501,2)</f>
        <v>0</v>
      </c>
    </row>
    <row r="1502">
      <c r="A1502" t="inlineStr">
        <is>
          <t>po_1Q0053KX</t>
        </is>
      </c>
      <c r="B1502" s="5" t="n">
        <v>46276</v>
      </c>
      <c r="C1502" t="inlineStr">
        <is>
          <t>ch_3Q001491</t>
        </is>
      </c>
      <c r="D1502" t="inlineStr">
        <is>
          <t>charge</t>
        </is>
      </c>
      <c r="E1502" s="5" t="n">
        <v>46274</v>
      </c>
      <c r="F1502" s="9" t="n">
        <v>110</v>
      </c>
      <c r="G1502" s="9" t="n">
        <v>2.23</v>
      </c>
      <c r="H1502" s="9" t="n">
        <v>107.77</v>
      </c>
      <c r="I1502" t="inlineStr">
        <is>
          <t>INV/2026/05116</t>
        </is>
      </c>
      <c r="J1502" s="9">
        <f>ROUND(F1502-G1502-H1502,2)</f>
        <v>0</v>
      </c>
    </row>
    <row r="1503">
      <c r="A1503" t="inlineStr">
        <is>
          <t>po_1Q0053KX</t>
        </is>
      </c>
      <c r="B1503" s="5" t="n">
        <v>46276</v>
      </c>
      <c r="C1503" t="inlineStr">
        <is>
          <t>ch_3Q001492</t>
        </is>
      </c>
      <c r="D1503" t="inlineStr">
        <is>
          <t>charge</t>
        </is>
      </c>
      <c r="E1503" s="5" t="n">
        <v>46274</v>
      </c>
      <c r="F1503" s="9" t="n">
        <v>85</v>
      </c>
      <c r="G1503" s="9" t="n">
        <v>1.79</v>
      </c>
      <c r="H1503" s="9" t="n">
        <v>83.20999999999999</v>
      </c>
      <c r="I1503" t="inlineStr">
        <is>
          <t>INV/2026/05117</t>
        </is>
      </c>
      <c r="J1503" s="9">
        <f>ROUND(F1503-G1503-H1503,2)</f>
        <v>0</v>
      </c>
    </row>
    <row r="1504">
      <c r="A1504" t="inlineStr">
        <is>
          <t>po_1Q0053KX</t>
        </is>
      </c>
      <c r="B1504" s="5" t="n">
        <v>46276</v>
      </c>
      <c r="C1504" t="inlineStr">
        <is>
          <t>ch_3Q001493</t>
        </is>
      </c>
      <c r="D1504" t="inlineStr">
        <is>
          <t>charge</t>
        </is>
      </c>
      <c r="E1504" s="5" t="n">
        <v>46274</v>
      </c>
      <c r="F1504" s="9" t="n">
        <v>110</v>
      </c>
      <c r="G1504" s="9" t="n">
        <v>2.23</v>
      </c>
      <c r="H1504" s="9" t="n">
        <v>107.77</v>
      </c>
      <c r="I1504" t="inlineStr">
        <is>
          <t>INV/2026/05118</t>
        </is>
      </c>
      <c r="J1504" s="9">
        <f>ROUND(F1504-G1504-H1504,2)</f>
        <v>0</v>
      </c>
    </row>
    <row r="1505">
      <c r="A1505" t="inlineStr">
        <is>
          <t>po_1Q0053KX</t>
        </is>
      </c>
      <c r="B1505" s="5" t="n">
        <v>46276</v>
      </c>
      <c r="C1505" t="inlineStr">
        <is>
          <t>ch_3Q001494</t>
        </is>
      </c>
      <c r="D1505" t="inlineStr">
        <is>
          <t>charge</t>
        </is>
      </c>
      <c r="E1505" s="5" t="n">
        <v>46274</v>
      </c>
      <c r="F1505" s="9" t="n">
        <v>65</v>
      </c>
      <c r="G1505" s="9" t="n">
        <v>1.44</v>
      </c>
      <c r="H1505" s="9" t="n">
        <v>63.56</v>
      </c>
      <c r="I1505" t="inlineStr">
        <is>
          <t>INV/2026/05119</t>
        </is>
      </c>
      <c r="J1505" s="9">
        <f>ROUND(F1505-G1505-H1505,2)</f>
        <v>0</v>
      </c>
    </row>
    <row r="1506">
      <c r="A1506" t="inlineStr">
        <is>
          <t>po_1Q0053KX</t>
        </is>
      </c>
      <c r="B1506" s="5" t="n">
        <v>46276</v>
      </c>
      <c r="C1506" t="inlineStr">
        <is>
          <t>ch_3Q001495</t>
        </is>
      </c>
      <c r="D1506" t="inlineStr">
        <is>
          <t>charge</t>
        </is>
      </c>
      <c r="E1506" s="5" t="n">
        <v>46274</v>
      </c>
      <c r="F1506" s="9" t="n">
        <v>180</v>
      </c>
      <c r="G1506" s="9" t="n">
        <v>3.45</v>
      </c>
      <c r="H1506" s="9" t="n">
        <v>176.55</v>
      </c>
      <c r="I1506" t="inlineStr">
        <is>
          <t>INV/2026/05120</t>
        </is>
      </c>
      <c r="J1506" s="9">
        <f>ROUND(F1506-G1506-H1506,2)</f>
        <v>0</v>
      </c>
    </row>
    <row r="1507">
      <c r="A1507" t="inlineStr">
        <is>
          <t>po_1Q0053KX</t>
        </is>
      </c>
      <c r="B1507" s="5" t="n">
        <v>46276</v>
      </c>
      <c r="C1507" t="inlineStr">
        <is>
          <t>ch_3Q001496</t>
        </is>
      </c>
      <c r="D1507" t="inlineStr">
        <is>
          <t>charge</t>
        </is>
      </c>
      <c r="E1507" s="5" t="n">
        <v>46274</v>
      </c>
      <c r="F1507" s="9" t="n">
        <v>135</v>
      </c>
      <c r="G1507" s="9" t="n">
        <v>2.66</v>
      </c>
      <c r="H1507" s="9" t="n">
        <v>132.34</v>
      </c>
      <c r="I1507" t="inlineStr">
        <is>
          <t>INV/2026/05121</t>
        </is>
      </c>
      <c r="J1507" s="9">
        <f>ROUND(F1507-G1507-H1507,2)</f>
        <v>0</v>
      </c>
    </row>
    <row r="1508">
      <c r="A1508" t="inlineStr">
        <is>
          <t>po_1Q0053KX</t>
        </is>
      </c>
      <c r="B1508" s="5" t="n">
        <v>46276</v>
      </c>
      <c r="C1508" t="inlineStr">
        <is>
          <t>ch_3Q001497</t>
        </is>
      </c>
      <c r="D1508" t="inlineStr">
        <is>
          <t>charge</t>
        </is>
      </c>
      <c r="E1508" s="5" t="n">
        <v>46274</v>
      </c>
      <c r="F1508" s="9" t="n">
        <v>110</v>
      </c>
      <c r="G1508" s="9" t="n">
        <v>2.23</v>
      </c>
      <c r="H1508" s="9" t="n">
        <v>107.77</v>
      </c>
      <c r="I1508" t="inlineStr">
        <is>
          <t>INV/2026/05122</t>
        </is>
      </c>
      <c r="J1508" s="9">
        <f>ROUND(F1508-G1508-H1508,2)</f>
        <v>0</v>
      </c>
    </row>
    <row r="1509">
      <c r="A1509" t="inlineStr">
        <is>
          <t>po_1Q0053KX</t>
        </is>
      </c>
      <c r="B1509" s="5" t="n">
        <v>46276</v>
      </c>
      <c r="C1509" t="inlineStr">
        <is>
          <t>ch_3Q001498</t>
        </is>
      </c>
      <c r="D1509" t="inlineStr">
        <is>
          <t>charge</t>
        </is>
      </c>
      <c r="E1509" s="5" t="n">
        <v>46274</v>
      </c>
      <c r="F1509" s="9" t="n">
        <v>135</v>
      </c>
      <c r="G1509" s="9" t="n">
        <v>2.66</v>
      </c>
      <c r="H1509" s="9" t="n">
        <v>132.34</v>
      </c>
      <c r="I1509" t="inlineStr">
        <is>
          <t>INV/2026/05123</t>
        </is>
      </c>
      <c r="J1509" s="9">
        <f>ROUND(F1509-G1509-H1509,2)</f>
        <v>0</v>
      </c>
    </row>
    <row r="1510">
      <c r="A1510" t="inlineStr">
        <is>
          <t>po_1Q0053KX</t>
        </is>
      </c>
      <c r="B1510" s="5" t="n">
        <v>46276</v>
      </c>
      <c r="C1510" t="inlineStr">
        <is>
          <t>ch_3Q001499</t>
        </is>
      </c>
      <c r="D1510" t="inlineStr">
        <is>
          <t>charge</t>
        </is>
      </c>
      <c r="E1510" s="5" t="n">
        <v>46274</v>
      </c>
      <c r="F1510" s="9" t="n">
        <v>85</v>
      </c>
      <c r="G1510" s="9" t="n">
        <v>1.79</v>
      </c>
      <c r="H1510" s="9" t="n">
        <v>83.20999999999999</v>
      </c>
      <c r="I1510" t="inlineStr">
        <is>
          <t>INV/2026/05124</t>
        </is>
      </c>
      <c r="J1510" s="9">
        <f>ROUND(F1510-G1510-H1510,2)</f>
        <v>0</v>
      </c>
    </row>
    <row r="1511">
      <c r="A1511" t="inlineStr">
        <is>
          <t>po_1Q0053KX</t>
        </is>
      </c>
      <c r="B1511" s="5" t="n">
        <v>46276</v>
      </c>
      <c r="C1511" t="inlineStr">
        <is>
          <t>ch_3Q001500</t>
        </is>
      </c>
      <c r="D1511" t="inlineStr">
        <is>
          <t>charge</t>
        </is>
      </c>
      <c r="E1511" s="5" t="n">
        <v>46274</v>
      </c>
      <c r="F1511" s="9" t="n">
        <v>95</v>
      </c>
      <c r="G1511" s="9" t="n">
        <v>1.96</v>
      </c>
      <c r="H1511" s="9" t="n">
        <v>93.04000000000001</v>
      </c>
      <c r="I1511" t="inlineStr">
        <is>
          <t>INV/2026/05125</t>
        </is>
      </c>
      <c r="J1511" s="9">
        <f>ROUND(F1511-G1511-H1511,2)</f>
        <v>0</v>
      </c>
    </row>
    <row r="1512">
      <c r="A1512" t="inlineStr">
        <is>
          <t>po_1Q0053KX</t>
        </is>
      </c>
      <c r="B1512" s="5" t="n">
        <v>46276</v>
      </c>
      <c r="C1512" t="inlineStr">
        <is>
          <t>ch_3Q001501</t>
        </is>
      </c>
      <c r="D1512" t="inlineStr">
        <is>
          <t>charge</t>
        </is>
      </c>
      <c r="E1512" s="5" t="n">
        <v>46274</v>
      </c>
      <c r="F1512" s="9" t="n">
        <v>110</v>
      </c>
      <c r="G1512" s="9" t="n">
        <v>2.23</v>
      </c>
      <c r="H1512" s="9" t="n">
        <v>107.77</v>
      </c>
      <c r="I1512" t="inlineStr">
        <is>
          <t>INV/2026/05126</t>
        </is>
      </c>
      <c r="J1512" s="9">
        <f>ROUND(F1512-G1512-H1512,2)</f>
        <v>0</v>
      </c>
    </row>
    <row r="1513">
      <c r="A1513" t="inlineStr">
        <is>
          <t>po_1Q0054KX</t>
        </is>
      </c>
      <c r="B1513" s="5" t="n">
        <v>46279</v>
      </c>
      <c r="C1513" t="inlineStr">
        <is>
          <t>ch_3Q001502</t>
        </is>
      </c>
      <c r="D1513" t="inlineStr">
        <is>
          <t>charge</t>
        </is>
      </c>
      <c r="E1513" s="5" t="n">
        <v>46275</v>
      </c>
      <c r="F1513" s="9" t="n">
        <v>180</v>
      </c>
      <c r="G1513" s="9" t="n">
        <v>3.45</v>
      </c>
      <c r="H1513" s="9" t="n">
        <v>176.55</v>
      </c>
      <c r="I1513" t="inlineStr">
        <is>
          <t>INV/2026/05127</t>
        </is>
      </c>
      <c r="J1513" s="9">
        <f>ROUND(F1513-G1513-H1513,2)</f>
        <v>0</v>
      </c>
    </row>
    <row r="1514">
      <c r="A1514" t="inlineStr">
        <is>
          <t>po_1Q0054KX</t>
        </is>
      </c>
      <c r="B1514" s="5" t="n">
        <v>46279</v>
      </c>
      <c r="C1514" t="inlineStr">
        <is>
          <t>ch_3Q001503</t>
        </is>
      </c>
      <c r="D1514" t="inlineStr">
        <is>
          <t>charge</t>
        </is>
      </c>
      <c r="E1514" s="5" t="n">
        <v>46275</v>
      </c>
      <c r="F1514" s="9" t="n">
        <v>135</v>
      </c>
      <c r="G1514" s="9" t="n">
        <v>2.66</v>
      </c>
      <c r="H1514" s="9" t="n">
        <v>132.34</v>
      </c>
      <c r="I1514" t="inlineStr">
        <is>
          <t>INV/2026/05128</t>
        </is>
      </c>
      <c r="J1514" s="9">
        <f>ROUND(F1514-G1514-H1514,2)</f>
        <v>0</v>
      </c>
    </row>
    <row r="1515">
      <c r="A1515" t="inlineStr">
        <is>
          <t>po_1Q0054KX</t>
        </is>
      </c>
      <c r="B1515" s="5" t="n">
        <v>46279</v>
      </c>
      <c r="C1515" t="inlineStr">
        <is>
          <t>ch_3Q001504</t>
        </is>
      </c>
      <c r="D1515" t="inlineStr">
        <is>
          <t>charge</t>
        </is>
      </c>
      <c r="E1515" s="5" t="n">
        <v>46275</v>
      </c>
      <c r="F1515" s="9" t="n">
        <v>150</v>
      </c>
      <c r="G1515" s="9" t="n">
        <v>2.93</v>
      </c>
      <c r="H1515" s="9" t="n">
        <v>147.07</v>
      </c>
      <c r="I1515" t="inlineStr">
        <is>
          <t>INV/2026/05129</t>
        </is>
      </c>
      <c r="J1515" s="9">
        <f>ROUND(F1515-G1515-H1515,2)</f>
        <v>0</v>
      </c>
    </row>
    <row r="1516">
      <c r="A1516" t="inlineStr">
        <is>
          <t>po_1Q0054KX</t>
        </is>
      </c>
      <c r="B1516" s="5" t="n">
        <v>46279</v>
      </c>
      <c r="C1516" t="inlineStr">
        <is>
          <t>ch_3Q001505</t>
        </is>
      </c>
      <c r="D1516" t="inlineStr">
        <is>
          <t>charge</t>
        </is>
      </c>
      <c r="E1516" s="5" t="n">
        <v>46275</v>
      </c>
      <c r="F1516" s="9" t="n">
        <v>220</v>
      </c>
      <c r="G1516" s="9" t="n">
        <v>4.15</v>
      </c>
      <c r="H1516" s="9" t="n">
        <v>215.85</v>
      </c>
      <c r="I1516" t="inlineStr">
        <is>
          <t>INV/2026/05130</t>
        </is>
      </c>
      <c r="J1516" s="9">
        <f>ROUND(F1516-G1516-H1516,2)</f>
        <v>0</v>
      </c>
    </row>
    <row r="1517">
      <c r="A1517" t="inlineStr">
        <is>
          <t>po_1Q0054KX</t>
        </is>
      </c>
      <c r="B1517" s="5" t="n">
        <v>46279</v>
      </c>
      <c r="C1517" t="inlineStr">
        <is>
          <t>ch_3Q001506</t>
        </is>
      </c>
      <c r="D1517" t="inlineStr">
        <is>
          <t>charge</t>
        </is>
      </c>
      <c r="E1517" s="5" t="n">
        <v>46275</v>
      </c>
      <c r="F1517" s="9" t="n">
        <v>135</v>
      </c>
      <c r="G1517" s="9" t="n">
        <v>2.66</v>
      </c>
      <c r="H1517" s="9" t="n">
        <v>132.34</v>
      </c>
      <c r="I1517" t="inlineStr">
        <is>
          <t>INV/2026/05131</t>
        </is>
      </c>
      <c r="J1517" s="9">
        <f>ROUND(F1517-G1517-H1517,2)</f>
        <v>0</v>
      </c>
    </row>
    <row r="1518">
      <c r="A1518" t="inlineStr">
        <is>
          <t>po_1Q0054KX</t>
        </is>
      </c>
      <c r="B1518" s="5" t="n">
        <v>46279</v>
      </c>
      <c r="C1518" t="inlineStr">
        <is>
          <t>ch_3Q001507</t>
        </is>
      </c>
      <c r="D1518" t="inlineStr">
        <is>
          <t>charge</t>
        </is>
      </c>
      <c r="E1518" s="5" t="n">
        <v>46275</v>
      </c>
      <c r="F1518" s="9" t="n">
        <v>110</v>
      </c>
      <c r="G1518" s="9" t="n">
        <v>2.23</v>
      </c>
      <c r="H1518" s="9" t="n">
        <v>107.77</v>
      </c>
      <c r="I1518" t="inlineStr">
        <is>
          <t>INV/2026/05132</t>
        </is>
      </c>
      <c r="J1518" s="9">
        <f>ROUND(F1518-G1518-H1518,2)</f>
        <v>0</v>
      </c>
    </row>
    <row r="1519">
      <c r="A1519" t="inlineStr">
        <is>
          <t>po_1Q0054KX</t>
        </is>
      </c>
      <c r="B1519" s="5" t="n">
        <v>46279</v>
      </c>
      <c r="C1519" t="inlineStr">
        <is>
          <t>ch_3Q001508</t>
        </is>
      </c>
      <c r="D1519" t="inlineStr">
        <is>
          <t>charge</t>
        </is>
      </c>
      <c r="E1519" s="5" t="n">
        <v>46275</v>
      </c>
      <c r="F1519" s="9" t="n">
        <v>220</v>
      </c>
      <c r="G1519" s="9" t="n">
        <v>4.15</v>
      </c>
      <c r="H1519" s="9" t="n">
        <v>215.85</v>
      </c>
      <c r="I1519" t="inlineStr">
        <is>
          <t>INV/2026/05133</t>
        </is>
      </c>
      <c r="J1519" s="9">
        <f>ROUND(F1519-G1519-H1519,2)</f>
        <v>0</v>
      </c>
    </row>
    <row r="1520">
      <c r="A1520" t="inlineStr">
        <is>
          <t>po_1Q0054KX</t>
        </is>
      </c>
      <c r="B1520" s="5" t="n">
        <v>46279</v>
      </c>
      <c r="C1520" t="inlineStr">
        <is>
          <t>ch_3Q001509</t>
        </is>
      </c>
      <c r="D1520" t="inlineStr">
        <is>
          <t>charge</t>
        </is>
      </c>
      <c r="E1520" s="5" t="n">
        <v>46275</v>
      </c>
      <c r="F1520" s="9" t="n">
        <v>135</v>
      </c>
      <c r="G1520" s="9" t="n">
        <v>2.66</v>
      </c>
      <c r="H1520" s="9" t="n">
        <v>132.34</v>
      </c>
      <c r="I1520" t="inlineStr">
        <is>
          <t>INV/2026/05134</t>
        </is>
      </c>
      <c r="J1520" s="9">
        <f>ROUND(F1520-G1520-H1520,2)</f>
        <v>0</v>
      </c>
    </row>
    <row r="1521">
      <c r="A1521" t="inlineStr">
        <is>
          <t>po_1Q0054KX</t>
        </is>
      </c>
      <c r="B1521" s="5" t="n">
        <v>46279</v>
      </c>
      <c r="C1521" t="inlineStr">
        <is>
          <t>ch_3Q001510</t>
        </is>
      </c>
      <c r="D1521" t="inlineStr">
        <is>
          <t>charge</t>
        </is>
      </c>
      <c r="E1521" s="5" t="n">
        <v>46275</v>
      </c>
      <c r="F1521" s="9" t="n">
        <v>150</v>
      </c>
      <c r="G1521" s="9" t="n">
        <v>2.93</v>
      </c>
      <c r="H1521" s="9" t="n">
        <v>147.07</v>
      </c>
      <c r="I1521" t="inlineStr">
        <is>
          <t>INV/2026/05135</t>
        </is>
      </c>
      <c r="J1521" s="9">
        <f>ROUND(F1521-G1521-H1521,2)</f>
        <v>0</v>
      </c>
    </row>
    <row r="1522">
      <c r="A1522" t="inlineStr">
        <is>
          <t>po_1Q0054KX</t>
        </is>
      </c>
      <c r="B1522" s="5" t="n">
        <v>46279</v>
      </c>
      <c r="C1522" t="inlineStr">
        <is>
          <t>ch_3Q001511</t>
        </is>
      </c>
      <c r="D1522" t="inlineStr">
        <is>
          <t>charge</t>
        </is>
      </c>
      <c r="E1522" s="5" t="n">
        <v>46275</v>
      </c>
      <c r="F1522" s="9" t="n">
        <v>95</v>
      </c>
      <c r="G1522" s="9" t="n">
        <v>1.96</v>
      </c>
      <c r="H1522" s="9" t="n">
        <v>93.04000000000001</v>
      </c>
      <c r="I1522" t="inlineStr">
        <is>
          <t>INV/2026/05136</t>
        </is>
      </c>
      <c r="J1522" s="9">
        <f>ROUND(F1522-G1522-H1522,2)</f>
        <v>0</v>
      </c>
    </row>
    <row r="1523">
      <c r="A1523" t="inlineStr">
        <is>
          <t>po_1Q0054KX</t>
        </is>
      </c>
      <c r="B1523" s="5" t="n">
        <v>46279</v>
      </c>
      <c r="C1523" t="inlineStr">
        <is>
          <t>ch_3Q001512</t>
        </is>
      </c>
      <c r="D1523" t="inlineStr">
        <is>
          <t>charge</t>
        </is>
      </c>
      <c r="E1523" s="5" t="n">
        <v>46275</v>
      </c>
      <c r="F1523" s="9" t="n">
        <v>180</v>
      </c>
      <c r="G1523" s="9" t="n">
        <v>3.45</v>
      </c>
      <c r="H1523" s="9" t="n">
        <v>176.55</v>
      </c>
      <c r="I1523" t="inlineStr">
        <is>
          <t>INV/2026/05137</t>
        </is>
      </c>
      <c r="J1523" s="9">
        <f>ROUND(F1523-G1523-H1523,2)</f>
        <v>0</v>
      </c>
    </row>
    <row r="1524">
      <c r="A1524" t="inlineStr">
        <is>
          <t>po_1Q0054KX</t>
        </is>
      </c>
      <c r="B1524" s="5" t="n">
        <v>46279</v>
      </c>
      <c r="C1524" t="inlineStr">
        <is>
          <t>ch_3Q001513</t>
        </is>
      </c>
      <c r="D1524" t="inlineStr">
        <is>
          <t>charge</t>
        </is>
      </c>
      <c r="E1524" s="5" t="n">
        <v>46275</v>
      </c>
      <c r="F1524" s="9" t="n">
        <v>120</v>
      </c>
      <c r="G1524" s="9" t="n">
        <v>2.4</v>
      </c>
      <c r="H1524" s="9" t="n">
        <v>117.6</v>
      </c>
      <c r="I1524" t="inlineStr">
        <is>
          <t>INV/2026/05138</t>
        </is>
      </c>
      <c r="J1524" s="9">
        <f>ROUND(F1524-G1524-H1524,2)</f>
        <v>0</v>
      </c>
    </row>
    <row r="1525">
      <c r="A1525" t="inlineStr">
        <is>
          <t>po_1Q0054KX</t>
        </is>
      </c>
      <c r="B1525" s="5" t="n">
        <v>46279</v>
      </c>
      <c r="C1525" t="inlineStr">
        <is>
          <t>ch_3Q001514</t>
        </is>
      </c>
      <c r="D1525" t="inlineStr">
        <is>
          <t>charge</t>
        </is>
      </c>
      <c r="E1525" s="5" t="n">
        <v>46275</v>
      </c>
      <c r="F1525" s="9" t="n">
        <v>220</v>
      </c>
      <c r="G1525" s="9" t="n">
        <v>4.15</v>
      </c>
      <c r="H1525" s="9" t="n">
        <v>215.85</v>
      </c>
      <c r="I1525" t="inlineStr">
        <is>
          <t>INV/2026/05139</t>
        </is>
      </c>
      <c r="J1525" s="9">
        <f>ROUND(F1525-G1525-H1525,2)</f>
        <v>0</v>
      </c>
    </row>
    <row r="1526">
      <c r="A1526" t="inlineStr">
        <is>
          <t>po_1Q0054KX</t>
        </is>
      </c>
      <c r="B1526" s="5" t="n">
        <v>46279</v>
      </c>
      <c r="C1526" t="inlineStr">
        <is>
          <t>ch_3Q001515</t>
        </is>
      </c>
      <c r="D1526" t="inlineStr">
        <is>
          <t>charge</t>
        </is>
      </c>
      <c r="E1526" s="5" t="n">
        <v>46275</v>
      </c>
      <c r="F1526" s="9" t="n">
        <v>135</v>
      </c>
      <c r="G1526" s="9" t="n">
        <v>2.66</v>
      </c>
      <c r="H1526" s="9" t="n">
        <v>132.34</v>
      </c>
      <c r="I1526" t="inlineStr">
        <is>
          <t>INV/2026/05140</t>
        </is>
      </c>
      <c r="J1526" s="9">
        <f>ROUND(F1526-G1526-H1526,2)</f>
        <v>0</v>
      </c>
    </row>
    <row r="1527">
      <c r="A1527" t="inlineStr">
        <is>
          <t>po_1Q0054KX</t>
        </is>
      </c>
      <c r="B1527" s="5" t="n">
        <v>46279</v>
      </c>
      <c r="C1527" t="inlineStr">
        <is>
          <t>ch_3Q001516</t>
        </is>
      </c>
      <c r="D1527" t="inlineStr">
        <is>
          <t>charge</t>
        </is>
      </c>
      <c r="E1527" s="5" t="n">
        <v>46275</v>
      </c>
      <c r="F1527" s="9" t="n">
        <v>95</v>
      </c>
      <c r="G1527" s="9" t="n">
        <v>1.96</v>
      </c>
      <c r="H1527" s="9" t="n">
        <v>93.04000000000001</v>
      </c>
      <c r="I1527" t="inlineStr">
        <is>
          <t>INV/2026/05141</t>
        </is>
      </c>
      <c r="J1527" s="9">
        <f>ROUND(F1527-G1527-H1527,2)</f>
        <v>0</v>
      </c>
    </row>
    <row r="1528">
      <c r="A1528" t="inlineStr">
        <is>
          <t>po_1Q0054KX</t>
        </is>
      </c>
      <c r="B1528" s="5" t="n">
        <v>46279</v>
      </c>
      <c r="C1528" t="inlineStr">
        <is>
          <t>ch_3Q001517</t>
        </is>
      </c>
      <c r="D1528" t="inlineStr">
        <is>
          <t>charge</t>
        </is>
      </c>
      <c r="E1528" s="5" t="n">
        <v>46275</v>
      </c>
      <c r="F1528" s="9" t="n">
        <v>180</v>
      </c>
      <c r="G1528" s="9" t="n">
        <v>3.45</v>
      </c>
      <c r="H1528" s="9" t="n">
        <v>176.55</v>
      </c>
      <c r="I1528" t="inlineStr">
        <is>
          <t>INV/2026/05142</t>
        </is>
      </c>
      <c r="J1528" s="9">
        <f>ROUND(F1528-G1528-H1528,2)</f>
        <v>0</v>
      </c>
    </row>
    <row r="1529">
      <c r="A1529" t="inlineStr">
        <is>
          <t>po_1Q0054KX</t>
        </is>
      </c>
      <c r="B1529" s="5" t="n">
        <v>46279</v>
      </c>
      <c r="C1529" t="inlineStr">
        <is>
          <t>ch_3Q001518</t>
        </is>
      </c>
      <c r="D1529" t="inlineStr">
        <is>
          <t>charge</t>
        </is>
      </c>
      <c r="E1529" s="5" t="n">
        <v>46275</v>
      </c>
      <c r="F1529" s="9" t="n">
        <v>85</v>
      </c>
      <c r="G1529" s="9" t="n">
        <v>1.79</v>
      </c>
      <c r="H1529" s="9" t="n">
        <v>83.20999999999999</v>
      </c>
      <c r="I1529" t="inlineStr">
        <is>
          <t>INV/2026/05143</t>
        </is>
      </c>
      <c r="J1529" s="9">
        <f>ROUND(F1529-G1529-H1529,2)</f>
        <v>0</v>
      </c>
    </row>
    <row r="1530">
      <c r="A1530" t="inlineStr">
        <is>
          <t>po_1Q0054KX</t>
        </is>
      </c>
      <c r="B1530" s="5" t="n">
        <v>46279</v>
      </c>
      <c r="C1530" t="inlineStr">
        <is>
          <t>ch_3Q001519</t>
        </is>
      </c>
      <c r="D1530" t="inlineStr">
        <is>
          <t>charge</t>
        </is>
      </c>
      <c r="E1530" s="5" t="n">
        <v>46275</v>
      </c>
      <c r="F1530" s="9" t="n">
        <v>135</v>
      </c>
      <c r="G1530" s="9" t="n">
        <v>2.66</v>
      </c>
      <c r="H1530" s="9" t="n">
        <v>132.34</v>
      </c>
      <c r="I1530" t="inlineStr">
        <is>
          <t>INV/2026/05144</t>
        </is>
      </c>
      <c r="J1530" s="9">
        <f>ROUND(F1530-G1530-H1530,2)</f>
        <v>0</v>
      </c>
    </row>
    <row r="1531">
      <c r="A1531" t="inlineStr">
        <is>
          <t>po_1Q0054KX</t>
        </is>
      </c>
      <c r="B1531" s="5" t="n">
        <v>46279</v>
      </c>
      <c r="C1531" t="inlineStr">
        <is>
          <t>ch_3Q001520</t>
        </is>
      </c>
      <c r="D1531" t="inlineStr">
        <is>
          <t>charge</t>
        </is>
      </c>
      <c r="E1531" s="5" t="n">
        <v>46275</v>
      </c>
      <c r="F1531" s="9" t="n">
        <v>135</v>
      </c>
      <c r="G1531" s="9" t="n">
        <v>2.66</v>
      </c>
      <c r="H1531" s="9" t="n">
        <v>132.34</v>
      </c>
      <c r="I1531" t="inlineStr">
        <is>
          <t>INV/2026/05145</t>
        </is>
      </c>
      <c r="J1531" s="9">
        <f>ROUND(F1531-G1531-H1531,2)</f>
        <v>0</v>
      </c>
    </row>
    <row r="1532">
      <c r="A1532" t="inlineStr">
        <is>
          <t>po_1Q0054KX</t>
        </is>
      </c>
      <c r="B1532" s="5" t="n">
        <v>46279</v>
      </c>
      <c r="C1532" t="inlineStr">
        <is>
          <t>ch_3Q001521</t>
        </is>
      </c>
      <c r="D1532" t="inlineStr">
        <is>
          <t>charge</t>
        </is>
      </c>
      <c r="E1532" s="5" t="n">
        <v>46275</v>
      </c>
      <c r="F1532" s="9" t="n">
        <v>65</v>
      </c>
      <c r="G1532" s="9" t="n">
        <v>1.44</v>
      </c>
      <c r="H1532" s="9" t="n">
        <v>63.56</v>
      </c>
      <c r="I1532" t="inlineStr">
        <is>
          <t>INV/2026/05146</t>
        </is>
      </c>
      <c r="J1532" s="9">
        <f>ROUND(F1532-G1532-H1532,2)</f>
        <v>0</v>
      </c>
    </row>
    <row r="1533">
      <c r="A1533" t="inlineStr">
        <is>
          <t>po_1Q0054KX</t>
        </is>
      </c>
      <c r="B1533" s="5" t="n">
        <v>46279</v>
      </c>
      <c r="C1533" t="inlineStr">
        <is>
          <t>ch_3Q001522</t>
        </is>
      </c>
      <c r="D1533" t="inlineStr">
        <is>
          <t>charge</t>
        </is>
      </c>
      <c r="E1533" s="5" t="n">
        <v>46275</v>
      </c>
      <c r="F1533" s="9" t="n">
        <v>110</v>
      </c>
      <c r="G1533" s="9" t="n">
        <v>2.23</v>
      </c>
      <c r="H1533" s="9" t="n">
        <v>107.77</v>
      </c>
      <c r="I1533" t="inlineStr">
        <is>
          <t>INV/2026/05147</t>
        </is>
      </c>
      <c r="J1533" s="9">
        <f>ROUND(F1533-G1533-H1533,2)</f>
        <v>0</v>
      </c>
    </row>
    <row r="1534">
      <c r="A1534" t="inlineStr">
        <is>
          <t>po_1Q0054KX</t>
        </is>
      </c>
      <c r="B1534" s="5" t="n">
        <v>46279</v>
      </c>
      <c r="C1534" t="inlineStr">
        <is>
          <t>ch_3Q001523</t>
        </is>
      </c>
      <c r="D1534" t="inlineStr">
        <is>
          <t>charge</t>
        </is>
      </c>
      <c r="E1534" s="5" t="n">
        <v>46275</v>
      </c>
      <c r="F1534" s="9" t="n">
        <v>180</v>
      </c>
      <c r="G1534" s="9" t="n">
        <v>3.45</v>
      </c>
      <c r="H1534" s="9" t="n">
        <v>176.55</v>
      </c>
      <c r="I1534" t="inlineStr">
        <is>
          <t>INV/2026/05148</t>
        </is>
      </c>
      <c r="J1534" s="9">
        <f>ROUND(F1534-G1534-H1534,2)</f>
        <v>0</v>
      </c>
    </row>
    <row r="1535">
      <c r="A1535" t="inlineStr">
        <is>
          <t>po_1Q0054KX</t>
        </is>
      </c>
      <c r="B1535" s="5" t="n">
        <v>46279</v>
      </c>
      <c r="C1535" t="inlineStr">
        <is>
          <t>ch_3Q001524</t>
        </is>
      </c>
      <c r="D1535" t="inlineStr">
        <is>
          <t>charge</t>
        </is>
      </c>
      <c r="E1535" s="5" t="n">
        <v>46275</v>
      </c>
      <c r="F1535" s="9" t="n">
        <v>65</v>
      </c>
      <c r="G1535" s="9" t="n">
        <v>1.44</v>
      </c>
      <c r="H1535" s="9" t="n">
        <v>63.56</v>
      </c>
      <c r="I1535" t="inlineStr">
        <is>
          <t>INV/2026/05149</t>
        </is>
      </c>
      <c r="J1535" s="9">
        <f>ROUND(F1535-G1535-H1535,2)</f>
        <v>0</v>
      </c>
    </row>
    <row r="1536">
      <c r="A1536" t="inlineStr">
        <is>
          <t>po_1Q0054KX</t>
        </is>
      </c>
      <c r="B1536" s="5" t="n">
        <v>46279</v>
      </c>
      <c r="C1536" t="inlineStr">
        <is>
          <t>ch_3Q001525</t>
        </is>
      </c>
      <c r="D1536" t="inlineStr">
        <is>
          <t>charge</t>
        </is>
      </c>
      <c r="E1536" s="5" t="n">
        <v>46275</v>
      </c>
      <c r="F1536" s="9" t="n">
        <v>135</v>
      </c>
      <c r="G1536" s="9" t="n">
        <v>2.66</v>
      </c>
      <c r="H1536" s="9" t="n">
        <v>132.34</v>
      </c>
      <c r="I1536" t="inlineStr">
        <is>
          <t>INV/2026/05150</t>
        </is>
      </c>
      <c r="J1536" s="9">
        <f>ROUND(F1536-G1536-H1536,2)</f>
        <v>0</v>
      </c>
    </row>
    <row r="1537">
      <c r="A1537" t="inlineStr">
        <is>
          <t>po_1Q0055KX</t>
        </is>
      </c>
      <c r="B1537" s="5" t="n">
        <v>46280</v>
      </c>
      <c r="C1537" t="inlineStr">
        <is>
          <t>ch_3Q001526</t>
        </is>
      </c>
      <c r="D1537" t="inlineStr">
        <is>
          <t>charge</t>
        </is>
      </c>
      <c r="E1537" s="5" t="n">
        <v>46276</v>
      </c>
      <c r="F1537" s="9" t="n">
        <v>180</v>
      </c>
      <c r="G1537" s="9" t="n">
        <v>3.45</v>
      </c>
      <c r="H1537" s="9" t="n">
        <v>176.55</v>
      </c>
      <c r="I1537" t="inlineStr">
        <is>
          <t>INV/2026/05151</t>
        </is>
      </c>
      <c r="J1537" s="9">
        <f>ROUND(F1537-G1537-H1537,2)</f>
        <v>0</v>
      </c>
    </row>
    <row r="1538">
      <c r="A1538" t="inlineStr">
        <is>
          <t>po_1Q0055KX</t>
        </is>
      </c>
      <c r="B1538" s="5" t="n">
        <v>46280</v>
      </c>
      <c r="C1538" t="inlineStr">
        <is>
          <t>ch_3Q001527</t>
        </is>
      </c>
      <c r="D1538" t="inlineStr">
        <is>
          <t>charge</t>
        </is>
      </c>
      <c r="E1538" s="5" t="n">
        <v>46276</v>
      </c>
      <c r="F1538" s="9" t="n">
        <v>65</v>
      </c>
      <c r="G1538" s="9" t="n">
        <v>1.44</v>
      </c>
      <c r="H1538" s="9" t="n">
        <v>63.56</v>
      </c>
      <c r="I1538" t="inlineStr">
        <is>
          <t>INV/2026/05152</t>
        </is>
      </c>
      <c r="J1538" s="9">
        <f>ROUND(F1538-G1538-H1538,2)</f>
        <v>0</v>
      </c>
    </row>
    <row r="1539">
      <c r="A1539" t="inlineStr">
        <is>
          <t>po_1Q0055KX</t>
        </is>
      </c>
      <c r="B1539" s="5" t="n">
        <v>46280</v>
      </c>
      <c r="C1539" t="inlineStr">
        <is>
          <t>ch_3Q001528</t>
        </is>
      </c>
      <c r="D1539" t="inlineStr">
        <is>
          <t>charge</t>
        </is>
      </c>
      <c r="E1539" s="5" t="n">
        <v>46276</v>
      </c>
      <c r="F1539" s="9" t="n">
        <v>220</v>
      </c>
      <c r="G1539" s="9" t="n">
        <v>4.15</v>
      </c>
      <c r="H1539" s="9" t="n">
        <v>215.85</v>
      </c>
      <c r="I1539" t="inlineStr">
        <is>
          <t>INV/2026/05153</t>
        </is>
      </c>
      <c r="J1539" s="9">
        <f>ROUND(F1539-G1539-H1539,2)</f>
        <v>0</v>
      </c>
    </row>
    <row r="1540">
      <c r="A1540" t="inlineStr">
        <is>
          <t>po_1Q0055KX</t>
        </is>
      </c>
      <c r="B1540" s="5" t="n">
        <v>46280</v>
      </c>
      <c r="C1540" t="inlineStr">
        <is>
          <t>ch_3Q001529</t>
        </is>
      </c>
      <c r="D1540" t="inlineStr">
        <is>
          <t>charge</t>
        </is>
      </c>
      <c r="E1540" s="5" t="n">
        <v>46276</v>
      </c>
      <c r="F1540" s="9" t="n">
        <v>150</v>
      </c>
      <c r="G1540" s="9" t="n">
        <v>2.93</v>
      </c>
      <c r="H1540" s="9" t="n">
        <v>147.07</v>
      </c>
      <c r="I1540" t="inlineStr">
        <is>
          <t>INV/2026/05154</t>
        </is>
      </c>
      <c r="J1540" s="9">
        <f>ROUND(F1540-G1540-H1540,2)</f>
        <v>0</v>
      </c>
    </row>
    <row r="1541">
      <c r="A1541" t="inlineStr">
        <is>
          <t>po_1Q0055KX</t>
        </is>
      </c>
      <c r="B1541" s="5" t="n">
        <v>46280</v>
      </c>
      <c r="C1541" t="inlineStr">
        <is>
          <t>ch_3Q001530</t>
        </is>
      </c>
      <c r="D1541" t="inlineStr">
        <is>
          <t>charge</t>
        </is>
      </c>
      <c r="E1541" s="5" t="n">
        <v>46276</v>
      </c>
      <c r="F1541" s="9" t="n">
        <v>220</v>
      </c>
      <c r="G1541" s="9" t="n">
        <v>4.15</v>
      </c>
      <c r="H1541" s="9" t="n">
        <v>215.85</v>
      </c>
      <c r="I1541" t="inlineStr">
        <is>
          <t>INV/2026/05155</t>
        </is>
      </c>
      <c r="J1541" s="9">
        <f>ROUND(F1541-G1541-H1541,2)</f>
        <v>0</v>
      </c>
    </row>
    <row r="1542">
      <c r="A1542" t="inlineStr">
        <is>
          <t>po_1Q0055KX</t>
        </is>
      </c>
      <c r="B1542" s="5" t="n">
        <v>46280</v>
      </c>
      <c r="C1542" t="inlineStr">
        <is>
          <t>ch_3Q001531</t>
        </is>
      </c>
      <c r="D1542" t="inlineStr">
        <is>
          <t>charge</t>
        </is>
      </c>
      <c r="E1542" s="5" t="n">
        <v>46276</v>
      </c>
      <c r="F1542" s="9" t="n">
        <v>95</v>
      </c>
      <c r="G1542" s="9" t="n">
        <v>1.96</v>
      </c>
      <c r="H1542" s="9" t="n">
        <v>93.04000000000001</v>
      </c>
      <c r="I1542" t="inlineStr">
        <is>
          <t>INV/2026/05156</t>
        </is>
      </c>
      <c r="J1542" s="9">
        <f>ROUND(F1542-G1542-H1542,2)</f>
        <v>0</v>
      </c>
    </row>
    <row r="1543">
      <c r="A1543" t="inlineStr">
        <is>
          <t>po_1Q0055KX</t>
        </is>
      </c>
      <c r="B1543" s="5" t="n">
        <v>46280</v>
      </c>
      <c r="C1543" t="inlineStr">
        <is>
          <t>ch_3Q001532</t>
        </is>
      </c>
      <c r="D1543" t="inlineStr">
        <is>
          <t>charge</t>
        </is>
      </c>
      <c r="E1543" s="5" t="n">
        <v>46276</v>
      </c>
      <c r="F1543" s="9" t="n">
        <v>85</v>
      </c>
      <c r="G1543" s="9" t="n">
        <v>1.79</v>
      </c>
      <c r="H1543" s="9" t="n">
        <v>83.20999999999999</v>
      </c>
      <c r="I1543" t="inlineStr">
        <is>
          <t>INV/2026/05157</t>
        </is>
      </c>
      <c r="J1543" s="9">
        <f>ROUND(F1543-G1543-H1543,2)</f>
        <v>0</v>
      </c>
    </row>
    <row r="1544">
      <c r="A1544" t="inlineStr">
        <is>
          <t>po_1Q0055KX</t>
        </is>
      </c>
      <c r="B1544" s="5" t="n">
        <v>46280</v>
      </c>
      <c r="C1544" t="inlineStr">
        <is>
          <t>ch_3Q001533</t>
        </is>
      </c>
      <c r="D1544" t="inlineStr">
        <is>
          <t>charge</t>
        </is>
      </c>
      <c r="E1544" s="5" t="n">
        <v>46276</v>
      </c>
      <c r="F1544" s="9" t="n">
        <v>85</v>
      </c>
      <c r="G1544" s="9" t="n">
        <v>1.79</v>
      </c>
      <c r="H1544" s="9" t="n">
        <v>83.20999999999999</v>
      </c>
      <c r="I1544" t="inlineStr">
        <is>
          <t>INV/2026/05158</t>
        </is>
      </c>
      <c r="J1544" s="9">
        <f>ROUND(F1544-G1544-H1544,2)</f>
        <v>0</v>
      </c>
    </row>
    <row r="1545">
      <c r="A1545" t="inlineStr">
        <is>
          <t>po_1Q0055KX</t>
        </is>
      </c>
      <c r="B1545" s="5" t="n">
        <v>46280</v>
      </c>
      <c r="C1545" t="inlineStr">
        <is>
          <t>ch_3Q001534</t>
        </is>
      </c>
      <c r="D1545" t="inlineStr">
        <is>
          <t>charge</t>
        </is>
      </c>
      <c r="E1545" s="5" t="n">
        <v>46276</v>
      </c>
      <c r="F1545" s="9" t="n">
        <v>110</v>
      </c>
      <c r="G1545" s="9" t="n">
        <v>2.23</v>
      </c>
      <c r="H1545" s="9" t="n">
        <v>107.77</v>
      </c>
      <c r="I1545" t="inlineStr">
        <is>
          <t>INV/2026/05159</t>
        </is>
      </c>
      <c r="J1545" s="9">
        <f>ROUND(F1545-G1545-H1545,2)</f>
        <v>0</v>
      </c>
    </row>
    <row r="1546">
      <c r="A1546" t="inlineStr">
        <is>
          <t>po_1Q0055KX</t>
        </is>
      </c>
      <c r="B1546" s="5" t="n">
        <v>46280</v>
      </c>
      <c r="C1546" t="inlineStr">
        <is>
          <t>ch_3Q001535</t>
        </is>
      </c>
      <c r="D1546" t="inlineStr">
        <is>
          <t>charge</t>
        </is>
      </c>
      <c r="E1546" s="5" t="n">
        <v>46276</v>
      </c>
      <c r="F1546" s="9" t="n">
        <v>150</v>
      </c>
      <c r="G1546" s="9" t="n">
        <v>2.93</v>
      </c>
      <c r="H1546" s="9" t="n">
        <v>147.07</v>
      </c>
      <c r="I1546" t="inlineStr">
        <is>
          <t>INV/2026/05160</t>
        </is>
      </c>
      <c r="J1546" s="9">
        <f>ROUND(F1546-G1546-H1546,2)</f>
        <v>0</v>
      </c>
    </row>
    <row r="1547">
      <c r="A1547" t="inlineStr">
        <is>
          <t>po_1Q0055KX</t>
        </is>
      </c>
      <c r="B1547" s="5" t="n">
        <v>46280</v>
      </c>
      <c r="C1547" t="inlineStr">
        <is>
          <t>ch_3Q001536</t>
        </is>
      </c>
      <c r="D1547" t="inlineStr">
        <is>
          <t>charge</t>
        </is>
      </c>
      <c r="E1547" s="5" t="n">
        <v>46276</v>
      </c>
      <c r="F1547" s="9" t="n">
        <v>65</v>
      </c>
      <c r="G1547" s="9" t="n">
        <v>1.44</v>
      </c>
      <c r="H1547" s="9" t="n">
        <v>63.56</v>
      </c>
      <c r="I1547" t="inlineStr">
        <is>
          <t>INV/2026/05161</t>
        </is>
      </c>
      <c r="J1547" s="9">
        <f>ROUND(F1547-G1547-H1547,2)</f>
        <v>0</v>
      </c>
    </row>
    <row r="1548">
      <c r="A1548" t="inlineStr">
        <is>
          <t>po_1Q0055KX</t>
        </is>
      </c>
      <c r="B1548" s="5" t="n">
        <v>46280</v>
      </c>
      <c r="C1548" t="inlineStr">
        <is>
          <t>ch_3Q001537</t>
        </is>
      </c>
      <c r="D1548" t="inlineStr">
        <is>
          <t>charge</t>
        </is>
      </c>
      <c r="E1548" s="5" t="n">
        <v>46276</v>
      </c>
      <c r="F1548" s="9" t="n">
        <v>110</v>
      </c>
      <c r="G1548" s="9" t="n">
        <v>2.23</v>
      </c>
      <c r="H1548" s="9" t="n">
        <v>107.77</v>
      </c>
      <c r="I1548" t="inlineStr">
        <is>
          <t>INV/2026/05162</t>
        </is>
      </c>
      <c r="J1548" s="9">
        <f>ROUND(F1548-G1548-H1548,2)</f>
        <v>0</v>
      </c>
    </row>
    <row r="1549">
      <c r="A1549" t="inlineStr">
        <is>
          <t>po_1Q0055KX</t>
        </is>
      </c>
      <c r="B1549" s="5" t="n">
        <v>46280</v>
      </c>
      <c r="C1549" t="inlineStr">
        <is>
          <t>ch_3Q001538</t>
        </is>
      </c>
      <c r="D1549" t="inlineStr">
        <is>
          <t>charge</t>
        </is>
      </c>
      <c r="E1549" s="5" t="n">
        <v>46276</v>
      </c>
      <c r="F1549" s="9" t="n">
        <v>135</v>
      </c>
      <c r="G1549" s="9" t="n">
        <v>2.66</v>
      </c>
      <c r="H1549" s="9" t="n">
        <v>132.34</v>
      </c>
      <c r="I1549" t="inlineStr">
        <is>
          <t>INV/2026/05163</t>
        </is>
      </c>
      <c r="J1549" s="9">
        <f>ROUND(F1549-G1549-H1549,2)</f>
        <v>0</v>
      </c>
    </row>
    <row r="1550">
      <c r="A1550" t="inlineStr">
        <is>
          <t>po_1Q0055KX</t>
        </is>
      </c>
      <c r="B1550" s="5" t="n">
        <v>46280</v>
      </c>
      <c r="C1550" t="inlineStr">
        <is>
          <t>ch_3Q001539</t>
        </is>
      </c>
      <c r="D1550" t="inlineStr">
        <is>
          <t>charge</t>
        </is>
      </c>
      <c r="E1550" s="5" t="n">
        <v>46276</v>
      </c>
      <c r="F1550" s="9" t="n">
        <v>65</v>
      </c>
      <c r="G1550" s="9" t="n">
        <v>1.44</v>
      </c>
      <c r="H1550" s="9" t="n">
        <v>63.56</v>
      </c>
      <c r="I1550" t="inlineStr">
        <is>
          <t>INV/2026/05164</t>
        </is>
      </c>
      <c r="J1550" s="9">
        <f>ROUND(F1550-G1550-H1550,2)</f>
        <v>0</v>
      </c>
    </row>
    <row r="1551">
      <c r="A1551" t="inlineStr">
        <is>
          <t>po_1Q0055KX</t>
        </is>
      </c>
      <c r="B1551" s="5" t="n">
        <v>46280</v>
      </c>
      <c r="C1551" t="inlineStr">
        <is>
          <t>ch_3Q001540</t>
        </is>
      </c>
      <c r="D1551" t="inlineStr">
        <is>
          <t>charge</t>
        </is>
      </c>
      <c r="E1551" s="5" t="n">
        <v>46276</v>
      </c>
      <c r="F1551" s="9" t="n">
        <v>120</v>
      </c>
      <c r="G1551" s="9" t="n">
        <v>2.4</v>
      </c>
      <c r="H1551" s="9" t="n">
        <v>117.6</v>
      </c>
      <c r="I1551" t="inlineStr">
        <is>
          <t>INV/2026/05165</t>
        </is>
      </c>
      <c r="J1551" s="9">
        <f>ROUND(F1551-G1551-H1551,2)</f>
        <v>0</v>
      </c>
    </row>
    <row r="1552">
      <c r="A1552" t="inlineStr">
        <is>
          <t>po_1Q0055KX</t>
        </is>
      </c>
      <c r="B1552" s="5" t="n">
        <v>46280</v>
      </c>
      <c r="C1552" t="inlineStr">
        <is>
          <t>ch_3Q001541</t>
        </is>
      </c>
      <c r="D1552" t="inlineStr">
        <is>
          <t>charge</t>
        </is>
      </c>
      <c r="E1552" s="5" t="n">
        <v>46276</v>
      </c>
      <c r="F1552" s="9" t="n">
        <v>150</v>
      </c>
      <c r="G1552" s="9" t="n">
        <v>2.93</v>
      </c>
      <c r="H1552" s="9" t="n">
        <v>147.07</v>
      </c>
      <c r="I1552" t="inlineStr">
        <is>
          <t>INV/2026/05166</t>
        </is>
      </c>
      <c r="J1552" s="9">
        <f>ROUND(F1552-G1552-H1552,2)</f>
        <v>0</v>
      </c>
    </row>
    <row r="1553">
      <c r="A1553" t="inlineStr">
        <is>
          <t>po_1Q0055KX</t>
        </is>
      </c>
      <c r="B1553" s="5" t="n">
        <v>46280</v>
      </c>
      <c r="C1553" t="inlineStr">
        <is>
          <t>ch_3Q001542</t>
        </is>
      </c>
      <c r="D1553" t="inlineStr">
        <is>
          <t>charge</t>
        </is>
      </c>
      <c r="E1553" s="5" t="n">
        <v>46276</v>
      </c>
      <c r="F1553" s="9" t="n">
        <v>120</v>
      </c>
      <c r="G1553" s="9" t="n">
        <v>2.4</v>
      </c>
      <c r="H1553" s="9" t="n">
        <v>117.6</v>
      </c>
      <c r="I1553" t="inlineStr">
        <is>
          <t>INV/2026/05167</t>
        </is>
      </c>
      <c r="J1553" s="9">
        <f>ROUND(F1553-G1553-H1553,2)</f>
        <v>0</v>
      </c>
    </row>
    <row r="1554">
      <c r="A1554" t="inlineStr">
        <is>
          <t>po_1Q0055KX</t>
        </is>
      </c>
      <c r="B1554" s="5" t="n">
        <v>46280</v>
      </c>
      <c r="C1554" t="inlineStr">
        <is>
          <t>ch_3Q001543</t>
        </is>
      </c>
      <c r="D1554" t="inlineStr">
        <is>
          <t>charge</t>
        </is>
      </c>
      <c r="E1554" s="5" t="n">
        <v>46276</v>
      </c>
      <c r="F1554" s="9" t="n">
        <v>85</v>
      </c>
      <c r="G1554" s="9" t="n">
        <v>1.79</v>
      </c>
      <c r="H1554" s="9" t="n">
        <v>83.20999999999999</v>
      </c>
      <c r="I1554" t="inlineStr">
        <is>
          <t>INV/2026/05168</t>
        </is>
      </c>
      <c r="J1554" s="9">
        <f>ROUND(F1554-G1554-H1554,2)</f>
        <v>0</v>
      </c>
    </row>
    <row r="1555">
      <c r="A1555" t="inlineStr">
        <is>
          <t>po_1Q0055KX</t>
        </is>
      </c>
      <c r="B1555" s="5" t="n">
        <v>46280</v>
      </c>
      <c r="C1555" t="inlineStr">
        <is>
          <t>ch_3Q001544</t>
        </is>
      </c>
      <c r="D1555" t="inlineStr">
        <is>
          <t>charge</t>
        </is>
      </c>
      <c r="E1555" s="5" t="n">
        <v>46276</v>
      </c>
      <c r="F1555" s="9" t="n">
        <v>180</v>
      </c>
      <c r="G1555" s="9" t="n">
        <v>3.45</v>
      </c>
      <c r="H1555" s="9" t="n">
        <v>176.55</v>
      </c>
      <c r="I1555" t="inlineStr">
        <is>
          <t>INV/2026/05169</t>
        </is>
      </c>
      <c r="J1555" s="9">
        <f>ROUND(F1555-G1555-H1555,2)</f>
        <v>0</v>
      </c>
    </row>
    <row r="1556">
      <c r="A1556" t="inlineStr">
        <is>
          <t>po_1Q0055KX</t>
        </is>
      </c>
      <c r="B1556" s="5" t="n">
        <v>46280</v>
      </c>
      <c r="C1556" t="inlineStr">
        <is>
          <t>ch_3Q001545</t>
        </is>
      </c>
      <c r="D1556" t="inlineStr">
        <is>
          <t>charge</t>
        </is>
      </c>
      <c r="E1556" s="5" t="n">
        <v>46276</v>
      </c>
      <c r="F1556" s="9" t="n">
        <v>180</v>
      </c>
      <c r="G1556" s="9" t="n">
        <v>3.45</v>
      </c>
      <c r="H1556" s="9" t="n">
        <v>176.55</v>
      </c>
      <c r="I1556" t="inlineStr">
        <is>
          <t>INV/2026/05170</t>
        </is>
      </c>
      <c r="J1556" s="9">
        <f>ROUND(F1556-G1556-H1556,2)</f>
        <v>0</v>
      </c>
    </row>
    <row r="1557">
      <c r="A1557" t="inlineStr">
        <is>
          <t>po_1Q0055KX</t>
        </is>
      </c>
      <c r="B1557" s="5" t="n">
        <v>46280</v>
      </c>
      <c r="C1557" t="inlineStr">
        <is>
          <t>ch_3Q001546</t>
        </is>
      </c>
      <c r="D1557" t="inlineStr">
        <is>
          <t>charge</t>
        </is>
      </c>
      <c r="E1557" s="5" t="n">
        <v>46276</v>
      </c>
      <c r="F1557" s="9" t="n">
        <v>110</v>
      </c>
      <c r="G1557" s="9" t="n">
        <v>2.23</v>
      </c>
      <c r="H1557" s="9" t="n">
        <v>107.77</v>
      </c>
      <c r="I1557" t="inlineStr">
        <is>
          <t>INV/2026/05171</t>
        </is>
      </c>
      <c r="J1557" s="9">
        <f>ROUND(F1557-G1557-H1557,2)</f>
        <v>0</v>
      </c>
    </row>
    <row r="1558">
      <c r="A1558" t="inlineStr">
        <is>
          <t>po_1Q0055KX</t>
        </is>
      </c>
      <c r="B1558" s="5" t="n">
        <v>46280</v>
      </c>
      <c r="C1558" t="inlineStr">
        <is>
          <t>ch_3Q001547</t>
        </is>
      </c>
      <c r="D1558" t="inlineStr">
        <is>
          <t>charge</t>
        </is>
      </c>
      <c r="E1558" s="5" t="n">
        <v>46276</v>
      </c>
      <c r="F1558" s="9" t="n">
        <v>95</v>
      </c>
      <c r="G1558" s="9" t="n">
        <v>1.96</v>
      </c>
      <c r="H1558" s="9" t="n">
        <v>93.04000000000001</v>
      </c>
      <c r="I1558" t="inlineStr">
        <is>
          <t>INV/2026/05172</t>
        </is>
      </c>
      <c r="J1558" s="9">
        <f>ROUND(F1558-G1558-H1558,2)</f>
        <v>0</v>
      </c>
    </row>
    <row r="1559">
      <c r="A1559" t="inlineStr">
        <is>
          <t>po_1Q0055KX</t>
        </is>
      </c>
      <c r="B1559" s="5" t="n">
        <v>46280</v>
      </c>
      <c r="C1559" t="inlineStr">
        <is>
          <t>ch_3Q001548</t>
        </is>
      </c>
      <c r="D1559" t="inlineStr">
        <is>
          <t>charge</t>
        </is>
      </c>
      <c r="E1559" s="5" t="n">
        <v>46276</v>
      </c>
      <c r="F1559" s="9" t="n">
        <v>65</v>
      </c>
      <c r="G1559" s="9" t="n">
        <v>1.44</v>
      </c>
      <c r="H1559" s="9" t="n">
        <v>63.56</v>
      </c>
      <c r="I1559" t="inlineStr">
        <is>
          <t>INV/2026/05173</t>
        </is>
      </c>
      <c r="J1559" s="9">
        <f>ROUND(F1559-G1559-H1559,2)</f>
        <v>0</v>
      </c>
    </row>
    <row r="1560">
      <c r="A1560" t="inlineStr">
        <is>
          <t>po_1Q0055KX</t>
        </is>
      </c>
      <c r="B1560" s="5" t="n">
        <v>46280</v>
      </c>
      <c r="C1560" t="inlineStr">
        <is>
          <t>ch_3Q001549</t>
        </is>
      </c>
      <c r="D1560" t="inlineStr">
        <is>
          <t>charge</t>
        </is>
      </c>
      <c r="E1560" s="5" t="n">
        <v>46276</v>
      </c>
      <c r="F1560" s="9" t="n">
        <v>95</v>
      </c>
      <c r="G1560" s="9" t="n">
        <v>1.96</v>
      </c>
      <c r="H1560" s="9" t="n">
        <v>93.04000000000001</v>
      </c>
      <c r="I1560" t="inlineStr">
        <is>
          <t>INV/2026/05174</t>
        </is>
      </c>
      <c r="J1560" s="9">
        <f>ROUND(F1560-G1560-H1560,2)</f>
        <v>0</v>
      </c>
    </row>
    <row r="1561">
      <c r="A1561" t="inlineStr">
        <is>
          <t>po_1Q0055KX</t>
        </is>
      </c>
      <c r="B1561" s="5" t="n">
        <v>46280</v>
      </c>
      <c r="C1561" t="inlineStr">
        <is>
          <t>ch_3Q001550</t>
        </is>
      </c>
      <c r="D1561" t="inlineStr">
        <is>
          <t>charge</t>
        </is>
      </c>
      <c r="E1561" s="5" t="n">
        <v>46276</v>
      </c>
      <c r="F1561" s="9" t="n">
        <v>95</v>
      </c>
      <c r="G1561" s="9" t="n">
        <v>1.96</v>
      </c>
      <c r="H1561" s="9" t="n">
        <v>93.04000000000001</v>
      </c>
      <c r="I1561" t="inlineStr">
        <is>
          <t>INV/2026/05175</t>
        </is>
      </c>
      <c r="J1561" s="9">
        <f>ROUND(F1561-G1561-H1561,2)</f>
        <v>0</v>
      </c>
    </row>
    <row r="1562">
      <c r="A1562" t="inlineStr">
        <is>
          <t>po_1Q0055KX</t>
        </is>
      </c>
      <c r="B1562" s="5" t="n">
        <v>46280</v>
      </c>
      <c r="C1562" t="inlineStr">
        <is>
          <t>ch_3Q001551</t>
        </is>
      </c>
      <c r="D1562" t="inlineStr">
        <is>
          <t>charge</t>
        </is>
      </c>
      <c r="E1562" s="5" t="n">
        <v>46276</v>
      </c>
      <c r="F1562" s="9" t="n">
        <v>220</v>
      </c>
      <c r="G1562" s="9" t="n">
        <v>4.15</v>
      </c>
      <c r="H1562" s="9" t="n">
        <v>215.85</v>
      </c>
      <c r="I1562" t="inlineStr">
        <is>
          <t>INV/2026/05176</t>
        </is>
      </c>
      <c r="J1562" s="9">
        <f>ROUND(F1562-G1562-H1562,2)</f>
        <v>0</v>
      </c>
    </row>
    <row r="1563">
      <c r="A1563" t="inlineStr">
        <is>
          <t>po_1Q0055KX</t>
        </is>
      </c>
      <c r="B1563" s="5" t="n">
        <v>46280</v>
      </c>
      <c r="C1563" t="inlineStr">
        <is>
          <t>ch_3Q001552</t>
        </is>
      </c>
      <c r="D1563" t="inlineStr">
        <is>
          <t>charge</t>
        </is>
      </c>
      <c r="E1563" s="5" t="n">
        <v>46276</v>
      </c>
      <c r="F1563" s="9" t="n">
        <v>95</v>
      </c>
      <c r="G1563" s="9" t="n">
        <v>1.96</v>
      </c>
      <c r="H1563" s="9" t="n">
        <v>93.04000000000001</v>
      </c>
      <c r="I1563" t="inlineStr">
        <is>
          <t>INV/2026/05177</t>
        </is>
      </c>
      <c r="J1563" s="9">
        <f>ROUND(F1563-G1563-H1563,2)</f>
        <v>0</v>
      </c>
    </row>
    <row r="1564">
      <c r="A1564" t="inlineStr">
        <is>
          <t>po_1Q0055KX</t>
        </is>
      </c>
      <c r="B1564" s="5" t="n">
        <v>46280</v>
      </c>
      <c r="C1564" t="inlineStr">
        <is>
          <t>ch_3Q001553</t>
        </is>
      </c>
      <c r="D1564" t="inlineStr">
        <is>
          <t>charge</t>
        </is>
      </c>
      <c r="E1564" s="5" t="n">
        <v>46276</v>
      </c>
      <c r="F1564" s="9" t="n">
        <v>150</v>
      </c>
      <c r="G1564" s="9" t="n">
        <v>2.93</v>
      </c>
      <c r="H1564" s="9" t="n">
        <v>147.07</v>
      </c>
      <c r="I1564" t="inlineStr">
        <is>
          <t>INV/2026/05178</t>
        </is>
      </c>
      <c r="J1564" s="9">
        <f>ROUND(F1564-G1564-H1564,2)</f>
        <v>0</v>
      </c>
    </row>
    <row r="1565">
      <c r="A1565" t="inlineStr">
        <is>
          <t>po_1Q0055KX</t>
        </is>
      </c>
      <c r="B1565" s="5" t="n">
        <v>46280</v>
      </c>
      <c r="C1565" t="inlineStr">
        <is>
          <t>ch_3Q001554</t>
        </is>
      </c>
      <c r="D1565" t="inlineStr">
        <is>
          <t>charge</t>
        </is>
      </c>
      <c r="E1565" s="5" t="n">
        <v>46276</v>
      </c>
      <c r="F1565" s="9" t="n">
        <v>220</v>
      </c>
      <c r="G1565" s="9" t="n">
        <v>4.15</v>
      </c>
      <c r="H1565" s="9" t="n">
        <v>215.85</v>
      </c>
      <c r="I1565" t="inlineStr">
        <is>
          <t>INV/2026/05179</t>
        </is>
      </c>
      <c r="J1565" s="9">
        <f>ROUND(F1565-G1565-H1565,2)</f>
        <v>0</v>
      </c>
    </row>
    <row r="1566">
      <c r="A1566" t="inlineStr">
        <is>
          <t>po_1Q0055KX</t>
        </is>
      </c>
      <c r="B1566" s="5" t="n">
        <v>46280</v>
      </c>
      <c r="C1566" t="inlineStr">
        <is>
          <t>ch_3Q001555</t>
        </is>
      </c>
      <c r="D1566" t="inlineStr">
        <is>
          <t>charge</t>
        </is>
      </c>
      <c r="E1566" s="5" t="n">
        <v>46276</v>
      </c>
      <c r="F1566" s="9" t="n">
        <v>120</v>
      </c>
      <c r="G1566" s="9" t="n">
        <v>2.4</v>
      </c>
      <c r="H1566" s="9" t="n">
        <v>117.6</v>
      </c>
      <c r="I1566" t="inlineStr">
        <is>
          <t>INV/2026/05180</t>
        </is>
      </c>
      <c r="J1566" s="9">
        <f>ROUND(F1566-G1566-H1566,2)</f>
        <v>0</v>
      </c>
    </row>
    <row r="1567">
      <c r="A1567" t="inlineStr">
        <is>
          <t>po_1Q0055KX</t>
        </is>
      </c>
      <c r="B1567" s="5" t="n">
        <v>46280</v>
      </c>
      <c r="C1567" t="inlineStr">
        <is>
          <t>ch_3Q001556</t>
        </is>
      </c>
      <c r="D1567" t="inlineStr">
        <is>
          <t>charge</t>
        </is>
      </c>
      <c r="E1567" s="5" t="n">
        <v>46277</v>
      </c>
      <c r="F1567" s="9" t="n">
        <v>95</v>
      </c>
      <c r="G1567" s="9" t="n">
        <v>1.96</v>
      </c>
      <c r="H1567" s="9" t="n">
        <v>93.04000000000001</v>
      </c>
      <c r="I1567" t="inlineStr">
        <is>
          <t>INV/2026/05181</t>
        </is>
      </c>
      <c r="J1567" s="9">
        <f>ROUND(F1567-G1567-H1567,2)</f>
        <v>0</v>
      </c>
    </row>
    <row r="1568">
      <c r="A1568" t="inlineStr">
        <is>
          <t>po_1Q0055KX</t>
        </is>
      </c>
      <c r="B1568" s="5" t="n">
        <v>46280</v>
      </c>
      <c r="C1568" t="inlineStr">
        <is>
          <t>ch_3Q001557</t>
        </is>
      </c>
      <c r="D1568" t="inlineStr">
        <is>
          <t>charge</t>
        </is>
      </c>
      <c r="E1568" s="5" t="n">
        <v>46277</v>
      </c>
      <c r="F1568" s="9" t="n">
        <v>120</v>
      </c>
      <c r="G1568" s="9" t="n">
        <v>2.4</v>
      </c>
      <c r="H1568" s="9" t="n">
        <v>117.6</v>
      </c>
      <c r="I1568" t="inlineStr">
        <is>
          <t>INV/2026/05182</t>
        </is>
      </c>
      <c r="J1568" s="9">
        <f>ROUND(F1568-G1568-H1568,2)</f>
        <v>0</v>
      </c>
    </row>
    <row r="1569">
      <c r="A1569" t="inlineStr">
        <is>
          <t>po_1Q0055KX</t>
        </is>
      </c>
      <c r="B1569" s="5" t="n">
        <v>46280</v>
      </c>
      <c r="C1569" t="inlineStr">
        <is>
          <t>ch_3Q001558</t>
        </is>
      </c>
      <c r="D1569" t="inlineStr">
        <is>
          <t>charge</t>
        </is>
      </c>
      <c r="E1569" s="5" t="n">
        <v>46277</v>
      </c>
      <c r="F1569" s="9" t="n">
        <v>180</v>
      </c>
      <c r="G1569" s="9" t="n">
        <v>3.45</v>
      </c>
      <c r="H1569" s="9" t="n">
        <v>176.55</v>
      </c>
      <c r="I1569" t="inlineStr">
        <is>
          <t>INV/2026/05183</t>
        </is>
      </c>
      <c r="J1569" s="9">
        <f>ROUND(F1569-G1569-H1569,2)</f>
        <v>0</v>
      </c>
    </row>
    <row r="1570">
      <c r="A1570" t="inlineStr">
        <is>
          <t>po_1Q0055KX</t>
        </is>
      </c>
      <c r="B1570" s="5" t="n">
        <v>46280</v>
      </c>
      <c r="C1570" t="inlineStr">
        <is>
          <t>ch_3Q001559</t>
        </is>
      </c>
      <c r="D1570" t="inlineStr">
        <is>
          <t>charge</t>
        </is>
      </c>
      <c r="E1570" s="5" t="n">
        <v>46277</v>
      </c>
      <c r="F1570" s="9" t="n">
        <v>95</v>
      </c>
      <c r="G1570" s="9" t="n">
        <v>1.96</v>
      </c>
      <c r="H1570" s="9" t="n">
        <v>93.04000000000001</v>
      </c>
      <c r="I1570" t="inlineStr">
        <is>
          <t>INV/2026/05184</t>
        </is>
      </c>
      <c r="J1570" s="9">
        <f>ROUND(F1570-G1570-H1570,2)</f>
        <v>0</v>
      </c>
    </row>
    <row r="1571">
      <c r="A1571" t="inlineStr">
        <is>
          <t>po_1Q0055KX</t>
        </is>
      </c>
      <c r="B1571" s="5" t="n">
        <v>46280</v>
      </c>
      <c r="C1571" t="inlineStr">
        <is>
          <t>ch_3Q001560</t>
        </is>
      </c>
      <c r="D1571" t="inlineStr">
        <is>
          <t>charge</t>
        </is>
      </c>
      <c r="E1571" s="5" t="n">
        <v>46277</v>
      </c>
      <c r="F1571" s="9" t="n">
        <v>135</v>
      </c>
      <c r="G1571" s="9" t="n">
        <v>2.66</v>
      </c>
      <c r="H1571" s="9" t="n">
        <v>132.34</v>
      </c>
      <c r="I1571" t="inlineStr">
        <is>
          <t>INV/2026/05185</t>
        </is>
      </c>
      <c r="J1571" s="9">
        <f>ROUND(F1571-G1571-H1571,2)</f>
        <v>0</v>
      </c>
    </row>
    <row r="1572">
      <c r="A1572" t="inlineStr">
        <is>
          <t>po_1Q0055KX</t>
        </is>
      </c>
      <c r="B1572" s="5" t="n">
        <v>46280</v>
      </c>
      <c r="C1572" t="inlineStr">
        <is>
          <t>ch_3Q001561</t>
        </is>
      </c>
      <c r="D1572" t="inlineStr">
        <is>
          <t>charge</t>
        </is>
      </c>
      <c r="E1572" s="5" t="n">
        <v>46277</v>
      </c>
      <c r="F1572" s="9" t="n">
        <v>95</v>
      </c>
      <c r="G1572" s="9" t="n">
        <v>1.96</v>
      </c>
      <c r="H1572" s="9" t="n">
        <v>93.04000000000001</v>
      </c>
      <c r="I1572" t="inlineStr">
        <is>
          <t>INV/2026/05186</t>
        </is>
      </c>
      <c r="J1572" s="9">
        <f>ROUND(F1572-G1572-H1572,2)</f>
        <v>0</v>
      </c>
    </row>
    <row r="1573">
      <c r="A1573" t="inlineStr">
        <is>
          <t>po_1Q0055KX</t>
        </is>
      </c>
      <c r="B1573" s="5" t="n">
        <v>46280</v>
      </c>
      <c r="C1573" t="inlineStr">
        <is>
          <t>ch_3Q001562</t>
        </is>
      </c>
      <c r="D1573" t="inlineStr">
        <is>
          <t>charge</t>
        </is>
      </c>
      <c r="E1573" s="5" t="n">
        <v>46277</v>
      </c>
      <c r="F1573" s="9" t="n">
        <v>65</v>
      </c>
      <c r="G1573" s="9" t="n">
        <v>1.44</v>
      </c>
      <c r="H1573" s="9" t="n">
        <v>63.56</v>
      </c>
      <c r="I1573" t="inlineStr">
        <is>
          <t>INV/2026/05187</t>
        </is>
      </c>
      <c r="J1573" s="9">
        <f>ROUND(F1573-G1573-H1573,2)</f>
        <v>0</v>
      </c>
    </row>
    <row r="1574">
      <c r="A1574" t="inlineStr">
        <is>
          <t>po_1Q0055KX</t>
        </is>
      </c>
      <c r="B1574" s="5" t="n">
        <v>46280</v>
      </c>
      <c r="C1574" t="inlineStr">
        <is>
          <t>ch_3Q001563</t>
        </is>
      </c>
      <c r="D1574" t="inlineStr">
        <is>
          <t>charge</t>
        </is>
      </c>
      <c r="E1574" s="5" t="n">
        <v>46277</v>
      </c>
      <c r="F1574" s="9" t="n">
        <v>150</v>
      </c>
      <c r="G1574" s="9" t="n">
        <v>2.93</v>
      </c>
      <c r="H1574" s="9" t="n">
        <v>147.07</v>
      </c>
      <c r="I1574" t="inlineStr">
        <is>
          <t>INV/2026/05188</t>
        </is>
      </c>
      <c r="J1574" s="9">
        <f>ROUND(F1574-G1574-H1574,2)</f>
        <v>0</v>
      </c>
    </row>
    <row r="1575">
      <c r="A1575" t="inlineStr">
        <is>
          <t>po_1Q0056KX</t>
        </is>
      </c>
      <c r="B1575" s="5" t="n">
        <v>46281</v>
      </c>
      <c r="C1575" t="inlineStr">
        <is>
          <t>ch_3Q001564</t>
        </is>
      </c>
      <c r="D1575" t="inlineStr">
        <is>
          <t>charge</t>
        </is>
      </c>
      <c r="E1575" s="5" t="n">
        <v>46279</v>
      </c>
      <c r="F1575" s="9" t="n">
        <v>150</v>
      </c>
      <c r="G1575" s="9" t="n">
        <v>2.93</v>
      </c>
      <c r="H1575" s="9" t="n">
        <v>147.07</v>
      </c>
      <c r="I1575" t="inlineStr">
        <is>
          <t>INV/2026/05189</t>
        </is>
      </c>
      <c r="J1575" s="9">
        <f>ROUND(F1575-G1575-H1575,2)</f>
        <v>0</v>
      </c>
    </row>
    <row r="1576">
      <c r="A1576" t="inlineStr">
        <is>
          <t>po_1Q0056KX</t>
        </is>
      </c>
      <c r="B1576" s="5" t="n">
        <v>46281</v>
      </c>
      <c r="C1576" t="inlineStr">
        <is>
          <t>ch_3Q001565</t>
        </is>
      </c>
      <c r="D1576" t="inlineStr">
        <is>
          <t>charge</t>
        </is>
      </c>
      <c r="E1576" s="5" t="n">
        <v>46279</v>
      </c>
      <c r="F1576" s="9" t="n">
        <v>65</v>
      </c>
      <c r="G1576" s="9" t="n">
        <v>1.44</v>
      </c>
      <c r="H1576" s="9" t="n">
        <v>63.56</v>
      </c>
      <c r="I1576" t="inlineStr">
        <is>
          <t>INV/2026/05190</t>
        </is>
      </c>
      <c r="J1576" s="9">
        <f>ROUND(F1576-G1576-H1576,2)</f>
        <v>0</v>
      </c>
    </row>
    <row r="1577">
      <c r="A1577" t="inlineStr">
        <is>
          <t>po_1Q0056KX</t>
        </is>
      </c>
      <c r="B1577" s="5" t="n">
        <v>46281</v>
      </c>
      <c r="C1577" t="inlineStr">
        <is>
          <t>ch_3Q001566</t>
        </is>
      </c>
      <c r="D1577" t="inlineStr">
        <is>
          <t>charge</t>
        </is>
      </c>
      <c r="E1577" s="5" t="n">
        <v>46279</v>
      </c>
      <c r="F1577" s="9" t="n">
        <v>85</v>
      </c>
      <c r="G1577" s="9" t="n">
        <v>1.79</v>
      </c>
      <c r="H1577" s="9" t="n">
        <v>83.20999999999999</v>
      </c>
      <c r="I1577" t="inlineStr">
        <is>
          <t>INV/2026/05191</t>
        </is>
      </c>
      <c r="J1577" s="9">
        <f>ROUND(F1577-G1577-H1577,2)</f>
        <v>0</v>
      </c>
    </row>
    <row r="1578">
      <c r="A1578" t="inlineStr">
        <is>
          <t>po_1Q0056KX</t>
        </is>
      </c>
      <c r="B1578" s="5" t="n">
        <v>46281</v>
      </c>
      <c r="C1578" t="inlineStr">
        <is>
          <t>ch_3Q001567</t>
        </is>
      </c>
      <c r="D1578" t="inlineStr">
        <is>
          <t>charge</t>
        </is>
      </c>
      <c r="E1578" s="5" t="n">
        <v>46279</v>
      </c>
      <c r="F1578" s="9" t="n">
        <v>120</v>
      </c>
      <c r="G1578" s="9" t="n">
        <v>2.4</v>
      </c>
      <c r="H1578" s="9" t="n">
        <v>117.6</v>
      </c>
      <c r="I1578" t="inlineStr">
        <is>
          <t>INV/2026/05192</t>
        </is>
      </c>
      <c r="J1578" s="9">
        <f>ROUND(F1578-G1578-H1578,2)</f>
        <v>0</v>
      </c>
    </row>
    <row r="1579">
      <c r="A1579" t="inlineStr">
        <is>
          <t>po_1Q0056KX</t>
        </is>
      </c>
      <c r="B1579" s="5" t="n">
        <v>46281</v>
      </c>
      <c r="C1579" t="inlineStr">
        <is>
          <t>ch_3Q001568</t>
        </is>
      </c>
      <c r="D1579" t="inlineStr">
        <is>
          <t>charge</t>
        </is>
      </c>
      <c r="E1579" s="5" t="n">
        <v>46279</v>
      </c>
      <c r="F1579" s="9" t="n">
        <v>135</v>
      </c>
      <c r="G1579" s="9" t="n">
        <v>2.66</v>
      </c>
      <c r="H1579" s="9" t="n">
        <v>132.34</v>
      </c>
      <c r="I1579" t="inlineStr">
        <is>
          <t>INV/2026/05193</t>
        </is>
      </c>
      <c r="J1579" s="9">
        <f>ROUND(F1579-G1579-H1579,2)</f>
        <v>0</v>
      </c>
    </row>
    <row r="1580">
      <c r="A1580" t="inlineStr">
        <is>
          <t>po_1Q0056KX</t>
        </is>
      </c>
      <c r="B1580" s="5" t="n">
        <v>46281</v>
      </c>
      <c r="C1580" t="inlineStr">
        <is>
          <t>ch_3Q001569</t>
        </is>
      </c>
      <c r="D1580" t="inlineStr">
        <is>
          <t>charge</t>
        </is>
      </c>
      <c r="E1580" s="5" t="n">
        <v>46279</v>
      </c>
      <c r="F1580" s="9" t="n">
        <v>150</v>
      </c>
      <c r="G1580" s="9" t="n">
        <v>2.93</v>
      </c>
      <c r="H1580" s="9" t="n">
        <v>147.07</v>
      </c>
      <c r="I1580" t="inlineStr">
        <is>
          <t>INV/2026/05194</t>
        </is>
      </c>
      <c r="J1580" s="9">
        <f>ROUND(F1580-G1580-H1580,2)</f>
        <v>0</v>
      </c>
    </row>
    <row r="1581">
      <c r="A1581" t="inlineStr">
        <is>
          <t>po_1Q0056KX</t>
        </is>
      </c>
      <c r="B1581" s="5" t="n">
        <v>46281</v>
      </c>
      <c r="C1581" t="inlineStr">
        <is>
          <t>ch_3Q001570</t>
        </is>
      </c>
      <c r="D1581" t="inlineStr">
        <is>
          <t>charge</t>
        </is>
      </c>
      <c r="E1581" s="5" t="n">
        <v>46279</v>
      </c>
      <c r="F1581" s="9" t="n">
        <v>85</v>
      </c>
      <c r="G1581" s="9" t="n">
        <v>1.79</v>
      </c>
      <c r="H1581" s="9" t="n">
        <v>83.20999999999999</v>
      </c>
      <c r="I1581" t="inlineStr">
        <is>
          <t>INV/2026/05195</t>
        </is>
      </c>
      <c r="J1581" s="9">
        <f>ROUND(F1581-G1581-H1581,2)</f>
        <v>0</v>
      </c>
    </row>
    <row r="1582">
      <c r="A1582" t="inlineStr">
        <is>
          <t>po_1Q0056KX</t>
        </is>
      </c>
      <c r="B1582" s="5" t="n">
        <v>46281</v>
      </c>
      <c r="C1582" t="inlineStr">
        <is>
          <t>ch_3Q001571</t>
        </is>
      </c>
      <c r="D1582" t="inlineStr">
        <is>
          <t>charge</t>
        </is>
      </c>
      <c r="E1582" s="5" t="n">
        <v>46279</v>
      </c>
      <c r="F1582" s="9" t="n">
        <v>110</v>
      </c>
      <c r="G1582" s="9" t="n">
        <v>2.23</v>
      </c>
      <c r="H1582" s="9" t="n">
        <v>107.77</v>
      </c>
      <c r="I1582" t="inlineStr">
        <is>
          <t>INV/2026/05196</t>
        </is>
      </c>
      <c r="J1582" s="9">
        <f>ROUND(F1582-G1582-H1582,2)</f>
        <v>0</v>
      </c>
    </row>
    <row r="1583">
      <c r="A1583" t="inlineStr">
        <is>
          <t>po_1Q0056KX</t>
        </is>
      </c>
      <c r="B1583" s="5" t="n">
        <v>46281</v>
      </c>
      <c r="C1583" t="inlineStr">
        <is>
          <t>ch_3Q001572</t>
        </is>
      </c>
      <c r="D1583" t="inlineStr">
        <is>
          <t>charge</t>
        </is>
      </c>
      <c r="E1583" s="5" t="n">
        <v>46279</v>
      </c>
      <c r="F1583" s="9" t="n">
        <v>110</v>
      </c>
      <c r="G1583" s="9" t="n">
        <v>2.23</v>
      </c>
      <c r="H1583" s="9" t="n">
        <v>107.77</v>
      </c>
      <c r="I1583" t="inlineStr">
        <is>
          <t>INV/2026/05197</t>
        </is>
      </c>
      <c r="J1583" s="9">
        <f>ROUND(F1583-G1583-H1583,2)</f>
        <v>0</v>
      </c>
    </row>
    <row r="1584">
      <c r="A1584" t="inlineStr">
        <is>
          <t>po_1Q0056KX</t>
        </is>
      </c>
      <c r="B1584" s="5" t="n">
        <v>46281</v>
      </c>
      <c r="C1584" t="inlineStr">
        <is>
          <t>ch_3Q001573</t>
        </is>
      </c>
      <c r="D1584" t="inlineStr">
        <is>
          <t>charge</t>
        </is>
      </c>
      <c r="E1584" s="5" t="n">
        <v>46279</v>
      </c>
      <c r="F1584" s="9" t="n">
        <v>65</v>
      </c>
      <c r="G1584" s="9" t="n">
        <v>1.44</v>
      </c>
      <c r="H1584" s="9" t="n">
        <v>63.56</v>
      </c>
      <c r="I1584" t="inlineStr">
        <is>
          <t>INV/2026/05198</t>
        </is>
      </c>
      <c r="J1584" s="9">
        <f>ROUND(F1584-G1584-H1584,2)</f>
        <v>0</v>
      </c>
    </row>
    <row r="1585">
      <c r="A1585" t="inlineStr">
        <is>
          <t>po_1Q0056KX</t>
        </is>
      </c>
      <c r="B1585" s="5" t="n">
        <v>46281</v>
      </c>
      <c r="C1585" t="inlineStr">
        <is>
          <t>ch_3Q001574</t>
        </is>
      </c>
      <c r="D1585" t="inlineStr">
        <is>
          <t>charge</t>
        </is>
      </c>
      <c r="E1585" s="5" t="n">
        <v>46279</v>
      </c>
      <c r="F1585" s="9" t="n">
        <v>150</v>
      </c>
      <c r="G1585" s="9" t="n">
        <v>2.93</v>
      </c>
      <c r="H1585" s="9" t="n">
        <v>147.07</v>
      </c>
      <c r="I1585" t="inlineStr">
        <is>
          <t>INV/2026/05199</t>
        </is>
      </c>
      <c r="J1585" s="9">
        <f>ROUND(F1585-G1585-H1585,2)</f>
        <v>0</v>
      </c>
    </row>
    <row r="1586">
      <c r="A1586" t="inlineStr">
        <is>
          <t>po_1Q0056KX</t>
        </is>
      </c>
      <c r="B1586" s="5" t="n">
        <v>46281</v>
      </c>
      <c r="C1586" t="inlineStr">
        <is>
          <t>ch_3Q001575</t>
        </is>
      </c>
      <c r="D1586" t="inlineStr">
        <is>
          <t>charge</t>
        </is>
      </c>
      <c r="E1586" s="5" t="n">
        <v>46279</v>
      </c>
      <c r="F1586" s="9" t="n">
        <v>150</v>
      </c>
      <c r="G1586" s="9" t="n">
        <v>2.93</v>
      </c>
      <c r="H1586" s="9" t="n">
        <v>147.07</v>
      </c>
      <c r="I1586" t="inlineStr">
        <is>
          <t>INV/2026/05200</t>
        </is>
      </c>
      <c r="J1586" s="9">
        <f>ROUND(F1586-G1586-H1586,2)</f>
        <v>0</v>
      </c>
    </row>
    <row r="1587">
      <c r="A1587" t="inlineStr">
        <is>
          <t>po_1Q0056KX</t>
        </is>
      </c>
      <c r="B1587" s="5" t="n">
        <v>46281</v>
      </c>
      <c r="C1587" t="inlineStr">
        <is>
          <t>ch_3Q001576</t>
        </is>
      </c>
      <c r="D1587" t="inlineStr">
        <is>
          <t>charge</t>
        </is>
      </c>
      <c r="E1587" s="5" t="n">
        <v>46279</v>
      </c>
      <c r="F1587" s="9" t="n">
        <v>65</v>
      </c>
      <c r="G1587" s="9" t="n">
        <v>1.44</v>
      </c>
      <c r="H1587" s="9" t="n">
        <v>63.56</v>
      </c>
      <c r="I1587" t="inlineStr">
        <is>
          <t>INV/2026/05201</t>
        </is>
      </c>
      <c r="J1587" s="9">
        <f>ROUND(F1587-G1587-H1587,2)</f>
        <v>0</v>
      </c>
    </row>
    <row r="1588">
      <c r="A1588" t="inlineStr">
        <is>
          <t>po_1Q0056KX</t>
        </is>
      </c>
      <c r="B1588" s="5" t="n">
        <v>46281</v>
      </c>
      <c r="C1588" t="inlineStr">
        <is>
          <t>ch_3Q001577</t>
        </is>
      </c>
      <c r="D1588" t="inlineStr">
        <is>
          <t>charge</t>
        </is>
      </c>
      <c r="E1588" s="5" t="n">
        <v>46279</v>
      </c>
      <c r="F1588" s="9" t="n">
        <v>135</v>
      </c>
      <c r="G1588" s="9" t="n">
        <v>2.66</v>
      </c>
      <c r="H1588" s="9" t="n">
        <v>132.34</v>
      </c>
      <c r="I1588" t="inlineStr">
        <is>
          <t>INV/2026/05202</t>
        </is>
      </c>
      <c r="J1588" s="9">
        <f>ROUND(F1588-G1588-H1588,2)</f>
        <v>0</v>
      </c>
    </row>
    <row r="1589">
      <c r="A1589" t="inlineStr">
        <is>
          <t>po_1Q0056KX</t>
        </is>
      </c>
      <c r="B1589" s="5" t="n">
        <v>46281</v>
      </c>
      <c r="C1589" t="inlineStr">
        <is>
          <t>ch_3Q001578</t>
        </is>
      </c>
      <c r="D1589" t="inlineStr">
        <is>
          <t>charge</t>
        </is>
      </c>
      <c r="E1589" s="5" t="n">
        <v>46279</v>
      </c>
      <c r="F1589" s="9" t="n">
        <v>110</v>
      </c>
      <c r="G1589" s="9" t="n">
        <v>2.23</v>
      </c>
      <c r="H1589" s="9" t="n">
        <v>107.77</v>
      </c>
      <c r="I1589" t="inlineStr">
        <is>
          <t>INV/2026/05203</t>
        </is>
      </c>
      <c r="J1589" s="9">
        <f>ROUND(F1589-G1589-H1589,2)</f>
        <v>0</v>
      </c>
    </row>
    <row r="1590">
      <c r="A1590" t="inlineStr">
        <is>
          <t>po_1Q0056KX</t>
        </is>
      </c>
      <c r="B1590" s="5" t="n">
        <v>46281</v>
      </c>
      <c r="C1590" t="inlineStr">
        <is>
          <t>ch_3Q001579</t>
        </is>
      </c>
      <c r="D1590" t="inlineStr">
        <is>
          <t>charge</t>
        </is>
      </c>
      <c r="E1590" s="5" t="n">
        <v>46279</v>
      </c>
      <c r="F1590" s="9" t="n">
        <v>110</v>
      </c>
      <c r="G1590" s="9" t="n">
        <v>2.23</v>
      </c>
      <c r="H1590" s="9" t="n">
        <v>107.77</v>
      </c>
      <c r="I1590" t="inlineStr">
        <is>
          <t>INV/2026/05204</t>
        </is>
      </c>
      <c r="J1590" s="9">
        <f>ROUND(F1590-G1590-H1590,2)</f>
        <v>0</v>
      </c>
    </row>
    <row r="1591">
      <c r="A1591" t="inlineStr">
        <is>
          <t>po_1Q0056KX</t>
        </is>
      </c>
      <c r="B1591" s="5" t="n">
        <v>46281</v>
      </c>
      <c r="C1591" t="inlineStr">
        <is>
          <t>ch_3Q001580</t>
        </is>
      </c>
      <c r="D1591" t="inlineStr">
        <is>
          <t>charge</t>
        </is>
      </c>
      <c r="E1591" s="5" t="n">
        <v>46279</v>
      </c>
      <c r="F1591" s="9" t="n">
        <v>180</v>
      </c>
      <c r="G1591" s="9" t="n">
        <v>3.45</v>
      </c>
      <c r="H1591" s="9" t="n">
        <v>176.55</v>
      </c>
      <c r="I1591" t="inlineStr">
        <is>
          <t>INV/2026/05205</t>
        </is>
      </c>
      <c r="J1591" s="9">
        <f>ROUND(F1591-G1591-H1591,2)</f>
        <v>0</v>
      </c>
    </row>
    <row r="1592">
      <c r="A1592" t="inlineStr">
        <is>
          <t>po_1Q0056KX</t>
        </is>
      </c>
      <c r="B1592" s="5" t="n">
        <v>46281</v>
      </c>
      <c r="C1592" t="inlineStr">
        <is>
          <t>ch_3Q001581</t>
        </is>
      </c>
      <c r="D1592" t="inlineStr">
        <is>
          <t>charge</t>
        </is>
      </c>
      <c r="E1592" s="5" t="n">
        <v>46279</v>
      </c>
      <c r="F1592" s="9" t="n">
        <v>135</v>
      </c>
      <c r="G1592" s="9" t="n">
        <v>2.66</v>
      </c>
      <c r="H1592" s="9" t="n">
        <v>132.34</v>
      </c>
      <c r="I1592" t="inlineStr">
        <is>
          <t>INV/2026/05206</t>
        </is>
      </c>
      <c r="J1592" s="9">
        <f>ROUND(F1592-G1592-H1592,2)</f>
        <v>0</v>
      </c>
    </row>
    <row r="1593">
      <c r="A1593" t="inlineStr">
        <is>
          <t>po_1Q0056KX</t>
        </is>
      </c>
      <c r="B1593" s="5" t="n">
        <v>46281</v>
      </c>
      <c r="C1593" t="inlineStr">
        <is>
          <t>ch_3Q001582</t>
        </is>
      </c>
      <c r="D1593" t="inlineStr">
        <is>
          <t>charge</t>
        </is>
      </c>
      <c r="E1593" s="5" t="n">
        <v>46279</v>
      </c>
      <c r="F1593" s="9" t="n">
        <v>85</v>
      </c>
      <c r="G1593" s="9" t="n">
        <v>1.79</v>
      </c>
      <c r="H1593" s="9" t="n">
        <v>83.20999999999999</v>
      </c>
      <c r="I1593" t="inlineStr">
        <is>
          <t>INV/2026/05207</t>
        </is>
      </c>
      <c r="J1593" s="9">
        <f>ROUND(F1593-G1593-H1593,2)</f>
        <v>0</v>
      </c>
    </row>
    <row r="1594">
      <c r="A1594" t="inlineStr">
        <is>
          <t>po_1Q0056KX</t>
        </is>
      </c>
      <c r="B1594" s="5" t="n">
        <v>46281</v>
      </c>
      <c r="C1594" t="inlineStr">
        <is>
          <t>ch_3Q001583</t>
        </is>
      </c>
      <c r="D1594" t="inlineStr">
        <is>
          <t>charge</t>
        </is>
      </c>
      <c r="E1594" s="5" t="n">
        <v>46279</v>
      </c>
      <c r="F1594" s="9" t="n">
        <v>65</v>
      </c>
      <c r="G1594" s="9" t="n">
        <v>1.44</v>
      </c>
      <c r="H1594" s="9" t="n">
        <v>63.56</v>
      </c>
      <c r="I1594" t="inlineStr">
        <is>
          <t>INV/2026/05208</t>
        </is>
      </c>
      <c r="J1594" s="9">
        <f>ROUND(F1594-G1594-H1594,2)</f>
        <v>0</v>
      </c>
    </row>
    <row r="1595">
      <c r="A1595" t="inlineStr">
        <is>
          <t>po_1Q0057KX</t>
        </is>
      </c>
      <c r="B1595" s="5" t="n">
        <v>46282</v>
      </c>
      <c r="C1595" t="inlineStr">
        <is>
          <t>ch_3Q001584</t>
        </is>
      </c>
      <c r="D1595" t="inlineStr">
        <is>
          <t>charge</t>
        </is>
      </c>
      <c r="E1595" s="5" t="n">
        <v>46280</v>
      </c>
      <c r="F1595" s="9" t="n">
        <v>65</v>
      </c>
      <c r="G1595" s="9" t="n">
        <v>1.44</v>
      </c>
      <c r="H1595" s="9" t="n">
        <v>63.56</v>
      </c>
      <c r="I1595" t="inlineStr">
        <is>
          <t>INV/2026/05209</t>
        </is>
      </c>
      <c r="J1595" s="9">
        <f>ROUND(F1595-G1595-H1595,2)</f>
        <v>0</v>
      </c>
    </row>
    <row r="1596">
      <c r="A1596" t="inlineStr">
        <is>
          <t>po_1Q0057KX</t>
        </is>
      </c>
      <c r="B1596" s="5" t="n">
        <v>46282</v>
      </c>
      <c r="C1596" t="inlineStr">
        <is>
          <t>ch_3Q001585</t>
        </is>
      </c>
      <c r="D1596" t="inlineStr">
        <is>
          <t>charge</t>
        </is>
      </c>
      <c r="E1596" s="5" t="n">
        <v>46280</v>
      </c>
      <c r="F1596" s="9" t="n">
        <v>85</v>
      </c>
      <c r="G1596" s="9" t="n">
        <v>1.79</v>
      </c>
      <c r="H1596" s="9" t="n">
        <v>83.20999999999999</v>
      </c>
      <c r="I1596" t="inlineStr">
        <is>
          <t>INV/2026/05210</t>
        </is>
      </c>
      <c r="J1596" s="9">
        <f>ROUND(F1596-G1596-H1596,2)</f>
        <v>0</v>
      </c>
    </row>
    <row r="1597">
      <c r="A1597" t="inlineStr">
        <is>
          <t>po_1Q0057KX</t>
        </is>
      </c>
      <c r="B1597" s="5" t="n">
        <v>46282</v>
      </c>
      <c r="C1597" t="inlineStr">
        <is>
          <t>ch_3Q001586</t>
        </is>
      </c>
      <c r="D1597" t="inlineStr">
        <is>
          <t>charge</t>
        </is>
      </c>
      <c r="E1597" s="5" t="n">
        <v>46280</v>
      </c>
      <c r="F1597" s="9" t="n">
        <v>220</v>
      </c>
      <c r="G1597" s="9" t="n">
        <v>4.15</v>
      </c>
      <c r="H1597" s="9" t="n">
        <v>215.85</v>
      </c>
      <c r="I1597" t="inlineStr">
        <is>
          <t>INV/2026/05211</t>
        </is>
      </c>
      <c r="J1597" s="9">
        <f>ROUND(F1597-G1597-H1597,2)</f>
        <v>0</v>
      </c>
    </row>
    <row r="1598">
      <c r="A1598" t="inlineStr">
        <is>
          <t>po_1Q0057KX</t>
        </is>
      </c>
      <c r="B1598" s="5" t="n">
        <v>46282</v>
      </c>
      <c r="C1598" t="inlineStr">
        <is>
          <t>ch_3Q001587</t>
        </is>
      </c>
      <c r="D1598" t="inlineStr">
        <is>
          <t>charge</t>
        </is>
      </c>
      <c r="E1598" s="5" t="n">
        <v>46280</v>
      </c>
      <c r="F1598" s="9" t="n">
        <v>220</v>
      </c>
      <c r="G1598" s="9" t="n">
        <v>4.15</v>
      </c>
      <c r="H1598" s="9" t="n">
        <v>215.85</v>
      </c>
      <c r="I1598" t="inlineStr">
        <is>
          <t>INV/2026/05212</t>
        </is>
      </c>
      <c r="J1598" s="9">
        <f>ROUND(F1598-G1598-H1598,2)</f>
        <v>0</v>
      </c>
    </row>
    <row r="1599">
      <c r="A1599" t="inlineStr">
        <is>
          <t>po_1Q0057KX</t>
        </is>
      </c>
      <c r="B1599" s="5" t="n">
        <v>46282</v>
      </c>
      <c r="C1599" t="inlineStr">
        <is>
          <t>ch_3Q001588</t>
        </is>
      </c>
      <c r="D1599" t="inlineStr">
        <is>
          <t>charge</t>
        </is>
      </c>
      <c r="E1599" s="5" t="n">
        <v>46280</v>
      </c>
      <c r="F1599" s="9" t="n">
        <v>120</v>
      </c>
      <c r="G1599" s="9" t="n">
        <v>2.4</v>
      </c>
      <c r="H1599" s="9" t="n">
        <v>117.6</v>
      </c>
      <c r="I1599" t="inlineStr">
        <is>
          <t>INV/2026/05213</t>
        </is>
      </c>
      <c r="J1599" s="9">
        <f>ROUND(F1599-G1599-H1599,2)</f>
        <v>0</v>
      </c>
    </row>
    <row r="1600">
      <c r="A1600" t="inlineStr">
        <is>
          <t>po_1Q0057KX</t>
        </is>
      </c>
      <c r="B1600" s="5" t="n">
        <v>46282</v>
      </c>
      <c r="C1600" t="inlineStr">
        <is>
          <t>ch_3Q001589</t>
        </is>
      </c>
      <c r="D1600" t="inlineStr">
        <is>
          <t>charge</t>
        </is>
      </c>
      <c r="E1600" s="5" t="n">
        <v>46280</v>
      </c>
      <c r="F1600" s="9" t="n">
        <v>95</v>
      </c>
      <c r="G1600" s="9" t="n">
        <v>1.96</v>
      </c>
      <c r="H1600" s="9" t="n">
        <v>93.04000000000001</v>
      </c>
      <c r="I1600" t="inlineStr">
        <is>
          <t>INV/2026/05214</t>
        </is>
      </c>
      <c r="J1600" s="9">
        <f>ROUND(F1600-G1600-H1600,2)</f>
        <v>0</v>
      </c>
    </row>
    <row r="1601">
      <c r="A1601" t="inlineStr">
        <is>
          <t>po_1Q0057KX</t>
        </is>
      </c>
      <c r="B1601" s="5" t="n">
        <v>46282</v>
      </c>
      <c r="C1601" t="inlineStr">
        <is>
          <t>ch_3Q001590</t>
        </is>
      </c>
      <c r="D1601" t="inlineStr">
        <is>
          <t>charge</t>
        </is>
      </c>
      <c r="E1601" s="5" t="n">
        <v>46280</v>
      </c>
      <c r="F1601" s="9" t="n">
        <v>85</v>
      </c>
      <c r="G1601" s="9" t="n">
        <v>1.79</v>
      </c>
      <c r="H1601" s="9" t="n">
        <v>83.20999999999999</v>
      </c>
      <c r="I1601" t="inlineStr">
        <is>
          <t>INV/2026/05215</t>
        </is>
      </c>
      <c r="J1601" s="9">
        <f>ROUND(F1601-G1601-H1601,2)</f>
        <v>0</v>
      </c>
    </row>
    <row r="1602">
      <c r="A1602" t="inlineStr">
        <is>
          <t>po_1Q0057KX</t>
        </is>
      </c>
      <c r="B1602" s="5" t="n">
        <v>46282</v>
      </c>
      <c r="C1602" t="inlineStr">
        <is>
          <t>ch_3Q001591</t>
        </is>
      </c>
      <c r="D1602" t="inlineStr">
        <is>
          <t>charge</t>
        </is>
      </c>
      <c r="E1602" s="5" t="n">
        <v>46280</v>
      </c>
      <c r="F1602" s="9" t="n">
        <v>135</v>
      </c>
      <c r="G1602" s="9" t="n">
        <v>2.66</v>
      </c>
      <c r="H1602" s="9" t="n">
        <v>132.34</v>
      </c>
      <c r="I1602" t="inlineStr">
        <is>
          <t>INV/2026/05216</t>
        </is>
      </c>
      <c r="J1602" s="9">
        <f>ROUND(F1602-G1602-H1602,2)</f>
        <v>0</v>
      </c>
    </row>
    <row r="1603">
      <c r="A1603" t="inlineStr">
        <is>
          <t>po_1Q0057KX</t>
        </is>
      </c>
      <c r="B1603" s="5" t="n">
        <v>46282</v>
      </c>
      <c r="C1603" t="inlineStr">
        <is>
          <t>ch_3Q001592</t>
        </is>
      </c>
      <c r="D1603" t="inlineStr">
        <is>
          <t>charge</t>
        </is>
      </c>
      <c r="E1603" s="5" t="n">
        <v>46280</v>
      </c>
      <c r="F1603" s="9" t="n">
        <v>85</v>
      </c>
      <c r="G1603" s="9" t="n">
        <v>1.79</v>
      </c>
      <c r="H1603" s="9" t="n">
        <v>83.20999999999999</v>
      </c>
      <c r="I1603" t="inlineStr">
        <is>
          <t>INV/2026/05217</t>
        </is>
      </c>
      <c r="J1603" s="9">
        <f>ROUND(F1603-G1603-H1603,2)</f>
        <v>0</v>
      </c>
    </row>
    <row r="1604">
      <c r="A1604" t="inlineStr">
        <is>
          <t>po_1Q0057KX</t>
        </is>
      </c>
      <c r="B1604" s="5" t="n">
        <v>46282</v>
      </c>
      <c r="C1604" t="inlineStr">
        <is>
          <t>ch_3Q001593</t>
        </is>
      </c>
      <c r="D1604" t="inlineStr">
        <is>
          <t>charge</t>
        </is>
      </c>
      <c r="E1604" s="5" t="n">
        <v>46280</v>
      </c>
      <c r="F1604" s="9" t="n">
        <v>180</v>
      </c>
      <c r="G1604" s="9" t="n">
        <v>3.45</v>
      </c>
      <c r="H1604" s="9" t="n">
        <v>176.55</v>
      </c>
      <c r="I1604" t="inlineStr">
        <is>
          <t>INV/2026/05218</t>
        </is>
      </c>
      <c r="J1604" s="9">
        <f>ROUND(F1604-G1604-H1604,2)</f>
        <v>0</v>
      </c>
    </row>
    <row r="1605">
      <c r="A1605" t="inlineStr">
        <is>
          <t>po_1Q0057KX</t>
        </is>
      </c>
      <c r="B1605" s="5" t="n">
        <v>46282</v>
      </c>
      <c r="C1605" t="inlineStr">
        <is>
          <t>ch_3Q001594</t>
        </is>
      </c>
      <c r="D1605" t="inlineStr">
        <is>
          <t>charge</t>
        </is>
      </c>
      <c r="E1605" s="5" t="n">
        <v>46280</v>
      </c>
      <c r="F1605" s="9" t="n">
        <v>180</v>
      </c>
      <c r="G1605" s="9" t="n">
        <v>3.45</v>
      </c>
      <c r="H1605" s="9" t="n">
        <v>176.55</v>
      </c>
      <c r="I1605" t="inlineStr">
        <is>
          <t>INV/2026/05219</t>
        </is>
      </c>
      <c r="J1605" s="9">
        <f>ROUND(F1605-G1605-H1605,2)</f>
        <v>0</v>
      </c>
    </row>
    <row r="1606">
      <c r="A1606" t="inlineStr">
        <is>
          <t>po_1Q0057KX</t>
        </is>
      </c>
      <c r="B1606" s="5" t="n">
        <v>46282</v>
      </c>
      <c r="C1606" t="inlineStr">
        <is>
          <t>ch_3Q001595</t>
        </is>
      </c>
      <c r="D1606" t="inlineStr">
        <is>
          <t>charge</t>
        </is>
      </c>
      <c r="E1606" s="5" t="n">
        <v>46280</v>
      </c>
      <c r="F1606" s="9" t="n">
        <v>120</v>
      </c>
      <c r="G1606" s="9" t="n">
        <v>2.4</v>
      </c>
      <c r="H1606" s="9" t="n">
        <v>117.6</v>
      </c>
      <c r="I1606" t="inlineStr">
        <is>
          <t>INV/2026/05220</t>
        </is>
      </c>
      <c r="J1606" s="9">
        <f>ROUND(F1606-G1606-H1606,2)</f>
        <v>0</v>
      </c>
    </row>
    <row r="1607">
      <c r="A1607" t="inlineStr">
        <is>
          <t>po_1Q0057KX</t>
        </is>
      </c>
      <c r="B1607" s="5" t="n">
        <v>46282</v>
      </c>
      <c r="C1607" t="inlineStr">
        <is>
          <t>ch_3Q001596</t>
        </is>
      </c>
      <c r="D1607" t="inlineStr">
        <is>
          <t>charge</t>
        </is>
      </c>
      <c r="E1607" s="5" t="n">
        <v>46280</v>
      </c>
      <c r="F1607" s="9" t="n">
        <v>65</v>
      </c>
      <c r="G1607" s="9" t="n">
        <v>1.44</v>
      </c>
      <c r="H1607" s="9" t="n">
        <v>63.56</v>
      </c>
      <c r="I1607" t="inlineStr">
        <is>
          <t>INV/2026/05221</t>
        </is>
      </c>
      <c r="J1607" s="9">
        <f>ROUND(F1607-G1607-H1607,2)</f>
        <v>0</v>
      </c>
    </row>
    <row r="1608">
      <c r="A1608" t="inlineStr">
        <is>
          <t>po_1Q0057KX</t>
        </is>
      </c>
      <c r="B1608" s="5" t="n">
        <v>46282</v>
      </c>
      <c r="C1608" t="inlineStr">
        <is>
          <t>ch_3Q001597</t>
        </is>
      </c>
      <c r="D1608" t="inlineStr">
        <is>
          <t>charge</t>
        </is>
      </c>
      <c r="E1608" s="5" t="n">
        <v>46280</v>
      </c>
      <c r="F1608" s="9" t="n">
        <v>110</v>
      </c>
      <c r="G1608" s="9" t="n">
        <v>2.23</v>
      </c>
      <c r="H1608" s="9" t="n">
        <v>107.77</v>
      </c>
      <c r="I1608" t="inlineStr">
        <is>
          <t>INV/2026/05222</t>
        </is>
      </c>
      <c r="J1608" s="9">
        <f>ROUND(F1608-G1608-H1608,2)</f>
        <v>0</v>
      </c>
    </row>
    <row r="1609">
      <c r="A1609" t="inlineStr">
        <is>
          <t>po_1Q0057KX</t>
        </is>
      </c>
      <c r="B1609" s="5" t="n">
        <v>46282</v>
      </c>
      <c r="C1609" t="inlineStr">
        <is>
          <t>ch_3Q001598</t>
        </is>
      </c>
      <c r="D1609" t="inlineStr">
        <is>
          <t>charge</t>
        </is>
      </c>
      <c r="E1609" s="5" t="n">
        <v>46280</v>
      </c>
      <c r="F1609" s="9" t="n">
        <v>135</v>
      </c>
      <c r="G1609" s="9" t="n">
        <v>2.66</v>
      </c>
      <c r="H1609" s="9" t="n">
        <v>132.34</v>
      </c>
      <c r="I1609" t="inlineStr">
        <is>
          <t>INV/2026/05223</t>
        </is>
      </c>
      <c r="J1609" s="9">
        <f>ROUND(F1609-G1609-H1609,2)</f>
        <v>0</v>
      </c>
    </row>
    <row r="1610">
      <c r="A1610" t="inlineStr">
        <is>
          <t>po_1Q0057KX</t>
        </is>
      </c>
      <c r="B1610" s="5" t="n">
        <v>46282</v>
      </c>
      <c r="C1610" t="inlineStr">
        <is>
          <t>ch_3Q001599</t>
        </is>
      </c>
      <c r="D1610" t="inlineStr">
        <is>
          <t>charge</t>
        </is>
      </c>
      <c r="E1610" s="5" t="n">
        <v>46280</v>
      </c>
      <c r="F1610" s="9" t="n">
        <v>150</v>
      </c>
      <c r="G1610" s="9" t="n">
        <v>2.93</v>
      </c>
      <c r="H1610" s="9" t="n">
        <v>147.07</v>
      </c>
      <c r="I1610" t="inlineStr">
        <is>
          <t>INV/2026/05224</t>
        </is>
      </c>
      <c r="J1610" s="9">
        <f>ROUND(F1610-G1610-H1610,2)</f>
        <v>0</v>
      </c>
    </row>
    <row r="1611">
      <c r="A1611" t="inlineStr">
        <is>
          <t>po_1Q0057KX</t>
        </is>
      </c>
      <c r="B1611" s="5" t="n">
        <v>46282</v>
      </c>
      <c r="C1611" t="inlineStr">
        <is>
          <t>ch_3Q001600</t>
        </is>
      </c>
      <c r="D1611" t="inlineStr">
        <is>
          <t>charge</t>
        </is>
      </c>
      <c r="E1611" s="5" t="n">
        <v>46280</v>
      </c>
      <c r="F1611" s="9" t="n">
        <v>135</v>
      </c>
      <c r="G1611" s="9" t="n">
        <v>2.66</v>
      </c>
      <c r="H1611" s="9" t="n">
        <v>132.34</v>
      </c>
      <c r="I1611" t="inlineStr">
        <is>
          <t>INV/2026/05225</t>
        </is>
      </c>
      <c r="J1611" s="9">
        <f>ROUND(F1611-G1611-H1611,2)</f>
        <v>0</v>
      </c>
    </row>
    <row r="1612">
      <c r="A1612" t="inlineStr">
        <is>
          <t>po_1Q0057KX</t>
        </is>
      </c>
      <c r="B1612" s="5" t="n">
        <v>46282</v>
      </c>
      <c r="C1612" t="inlineStr">
        <is>
          <t>ch_3Q001601</t>
        </is>
      </c>
      <c r="D1612" t="inlineStr">
        <is>
          <t>charge</t>
        </is>
      </c>
      <c r="E1612" s="5" t="n">
        <v>46280</v>
      </c>
      <c r="F1612" s="9" t="n">
        <v>135</v>
      </c>
      <c r="G1612" s="9" t="n">
        <v>2.66</v>
      </c>
      <c r="H1612" s="9" t="n">
        <v>132.34</v>
      </c>
      <c r="I1612" t="inlineStr">
        <is>
          <t>INV/2026/05226</t>
        </is>
      </c>
      <c r="J1612" s="9">
        <f>ROUND(F1612-G1612-H1612,2)</f>
        <v>0</v>
      </c>
    </row>
    <row r="1613">
      <c r="A1613" t="inlineStr">
        <is>
          <t>po_1Q0057KX</t>
        </is>
      </c>
      <c r="B1613" s="5" t="n">
        <v>46282</v>
      </c>
      <c r="C1613" t="inlineStr">
        <is>
          <t>ch_3Q001602</t>
        </is>
      </c>
      <c r="D1613" t="inlineStr">
        <is>
          <t>charge</t>
        </is>
      </c>
      <c r="E1613" s="5" t="n">
        <v>46280</v>
      </c>
      <c r="F1613" s="9" t="n">
        <v>150</v>
      </c>
      <c r="G1613" s="9" t="n">
        <v>2.93</v>
      </c>
      <c r="H1613" s="9" t="n">
        <v>147.07</v>
      </c>
      <c r="I1613" t="inlineStr">
        <is>
          <t>INV/2026/05227</t>
        </is>
      </c>
      <c r="J1613" s="9">
        <f>ROUND(F1613-G1613-H1613,2)</f>
        <v>0</v>
      </c>
    </row>
    <row r="1614">
      <c r="A1614" t="inlineStr">
        <is>
          <t>po_1Q0057KX</t>
        </is>
      </c>
      <c r="B1614" s="5" t="n">
        <v>46282</v>
      </c>
      <c r="C1614" t="inlineStr">
        <is>
          <t>ch_3Q001603</t>
        </is>
      </c>
      <c r="D1614" t="inlineStr">
        <is>
          <t>charge</t>
        </is>
      </c>
      <c r="E1614" s="5" t="n">
        <v>46280</v>
      </c>
      <c r="F1614" s="9" t="n">
        <v>135</v>
      </c>
      <c r="G1614" s="9" t="n">
        <v>2.66</v>
      </c>
      <c r="H1614" s="9" t="n">
        <v>132.34</v>
      </c>
      <c r="I1614" t="inlineStr">
        <is>
          <t>INV/2026/05228</t>
        </is>
      </c>
      <c r="J1614" s="9">
        <f>ROUND(F1614-G1614-H1614,2)</f>
        <v>0</v>
      </c>
    </row>
    <row r="1615">
      <c r="A1615" t="inlineStr">
        <is>
          <t>po_1Q0057KX</t>
        </is>
      </c>
      <c r="B1615" s="5" t="n">
        <v>46282</v>
      </c>
      <c r="C1615" t="inlineStr">
        <is>
          <t>ch_3Q001604</t>
        </is>
      </c>
      <c r="D1615" t="inlineStr">
        <is>
          <t>charge</t>
        </is>
      </c>
      <c r="E1615" s="5" t="n">
        <v>46280</v>
      </c>
      <c r="F1615" s="9" t="n">
        <v>150</v>
      </c>
      <c r="G1615" s="9" t="n">
        <v>2.93</v>
      </c>
      <c r="H1615" s="9" t="n">
        <v>147.07</v>
      </c>
      <c r="I1615" t="inlineStr">
        <is>
          <t>INV/2026/05229</t>
        </is>
      </c>
      <c r="J1615" s="9">
        <f>ROUND(F1615-G1615-H1615,2)</f>
        <v>0</v>
      </c>
    </row>
    <row r="1616">
      <c r="A1616" t="inlineStr">
        <is>
          <t>po_1Q0057KX</t>
        </is>
      </c>
      <c r="B1616" s="5" t="n">
        <v>46282</v>
      </c>
      <c r="C1616" t="inlineStr">
        <is>
          <t>ch_3Q001605</t>
        </is>
      </c>
      <c r="D1616" t="inlineStr">
        <is>
          <t>charge</t>
        </is>
      </c>
      <c r="E1616" s="5" t="n">
        <v>46280</v>
      </c>
      <c r="F1616" s="9" t="n">
        <v>120</v>
      </c>
      <c r="G1616" s="9" t="n">
        <v>2.4</v>
      </c>
      <c r="H1616" s="9" t="n">
        <v>117.6</v>
      </c>
      <c r="I1616" t="inlineStr">
        <is>
          <t>INV/2026/05230</t>
        </is>
      </c>
      <c r="J1616" s="9">
        <f>ROUND(F1616-G1616-H1616,2)</f>
        <v>0</v>
      </c>
    </row>
    <row r="1617">
      <c r="A1617" t="inlineStr">
        <is>
          <t>po_1Q0057KX</t>
        </is>
      </c>
      <c r="B1617" s="5" t="n">
        <v>46282</v>
      </c>
      <c r="C1617" t="inlineStr">
        <is>
          <t>ch_3Q001606</t>
        </is>
      </c>
      <c r="D1617" t="inlineStr">
        <is>
          <t>charge</t>
        </is>
      </c>
      <c r="E1617" s="5" t="n">
        <v>46280</v>
      </c>
      <c r="F1617" s="9" t="n">
        <v>135</v>
      </c>
      <c r="G1617" s="9" t="n">
        <v>2.66</v>
      </c>
      <c r="H1617" s="9" t="n">
        <v>132.34</v>
      </c>
      <c r="I1617" t="inlineStr">
        <is>
          <t>INV/2026/05231</t>
        </is>
      </c>
      <c r="J1617" s="9">
        <f>ROUND(F1617-G1617-H1617,2)</f>
        <v>0</v>
      </c>
    </row>
    <row r="1618">
      <c r="A1618" t="inlineStr">
        <is>
          <t>po_1Q0057KX</t>
        </is>
      </c>
      <c r="B1618" s="5" t="n">
        <v>46282</v>
      </c>
      <c r="C1618" t="inlineStr">
        <is>
          <t>ch_3Q001607</t>
        </is>
      </c>
      <c r="D1618" t="inlineStr">
        <is>
          <t>charge</t>
        </is>
      </c>
      <c r="E1618" s="5" t="n">
        <v>46280</v>
      </c>
      <c r="F1618" s="9" t="n">
        <v>120</v>
      </c>
      <c r="G1618" s="9" t="n">
        <v>2.4</v>
      </c>
      <c r="H1618" s="9" t="n">
        <v>117.6</v>
      </c>
      <c r="I1618" t="inlineStr">
        <is>
          <t>INV/2026/05232</t>
        </is>
      </c>
      <c r="J1618" s="9">
        <f>ROUND(F1618-G1618-H1618,2)</f>
        <v>0</v>
      </c>
    </row>
    <row r="1619">
      <c r="A1619" t="inlineStr">
        <is>
          <t>po_1Q0057KX</t>
        </is>
      </c>
      <c r="B1619" s="5" t="n">
        <v>46282</v>
      </c>
      <c r="C1619" t="inlineStr">
        <is>
          <t>ch_3Q001608</t>
        </is>
      </c>
      <c r="D1619" t="inlineStr">
        <is>
          <t>charge</t>
        </is>
      </c>
      <c r="E1619" s="5" t="n">
        <v>46280</v>
      </c>
      <c r="F1619" s="9" t="n">
        <v>110</v>
      </c>
      <c r="G1619" s="9" t="n">
        <v>2.23</v>
      </c>
      <c r="H1619" s="9" t="n">
        <v>107.77</v>
      </c>
      <c r="I1619" t="inlineStr">
        <is>
          <t>INV/2026/05233</t>
        </is>
      </c>
      <c r="J1619" s="9">
        <f>ROUND(F1619-G1619-H1619,2)</f>
        <v>0</v>
      </c>
    </row>
    <row r="1620">
      <c r="A1620" t="inlineStr">
        <is>
          <t>po_1Q0057KX</t>
        </is>
      </c>
      <c r="B1620" s="5" t="n">
        <v>46282</v>
      </c>
      <c r="C1620" t="inlineStr">
        <is>
          <t>ch_3Q001609</t>
        </is>
      </c>
      <c r="D1620" t="inlineStr">
        <is>
          <t>charge</t>
        </is>
      </c>
      <c r="E1620" s="5" t="n">
        <v>46280</v>
      </c>
      <c r="F1620" s="9" t="n">
        <v>85</v>
      </c>
      <c r="G1620" s="9" t="n">
        <v>1.79</v>
      </c>
      <c r="H1620" s="9" t="n">
        <v>83.20999999999999</v>
      </c>
      <c r="I1620" t="inlineStr">
        <is>
          <t>INV/2026/05234</t>
        </is>
      </c>
      <c r="J1620" s="9">
        <f>ROUND(F1620-G1620-H1620,2)</f>
        <v>0</v>
      </c>
    </row>
    <row r="1621">
      <c r="A1621" t="inlineStr">
        <is>
          <t>po_1Q0057KX</t>
        </is>
      </c>
      <c r="B1621" s="5" t="n">
        <v>46282</v>
      </c>
      <c r="C1621" t="inlineStr">
        <is>
          <t>ch_3Q001610</t>
        </is>
      </c>
      <c r="D1621" t="inlineStr">
        <is>
          <t>charge</t>
        </is>
      </c>
      <c r="E1621" s="5" t="n">
        <v>46280</v>
      </c>
      <c r="F1621" s="9" t="n">
        <v>150</v>
      </c>
      <c r="G1621" s="9" t="n">
        <v>2.93</v>
      </c>
      <c r="H1621" s="9" t="n">
        <v>147.07</v>
      </c>
      <c r="I1621" t="inlineStr">
        <is>
          <t>INV/2026/05235</t>
        </is>
      </c>
      <c r="J1621" s="9">
        <f>ROUND(F1621-G1621-H1621,2)</f>
        <v>0</v>
      </c>
    </row>
    <row r="1622">
      <c r="A1622" t="inlineStr">
        <is>
          <t>po_1Q0057KX</t>
        </is>
      </c>
      <c r="B1622" s="5" t="n">
        <v>46282</v>
      </c>
      <c r="C1622" t="inlineStr">
        <is>
          <t>ch_3Q001611</t>
        </is>
      </c>
      <c r="D1622" t="inlineStr">
        <is>
          <t>charge</t>
        </is>
      </c>
      <c r="E1622" s="5" t="n">
        <v>46280</v>
      </c>
      <c r="F1622" s="9" t="n">
        <v>135</v>
      </c>
      <c r="G1622" s="9" t="n">
        <v>2.66</v>
      </c>
      <c r="H1622" s="9" t="n">
        <v>132.34</v>
      </c>
      <c r="I1622" t="inlineStr">
        <is>
          <t>INV/2026/05236</t>
        </is>
      </c>
      <c r="J1622" s="9">
        <f>ROUND(F1622-G1622-H1622,2)</f>
        <v>0</v>
      </c>
    </row>
    <row r="1623">
      <c r="A1623" t="inlineStr">
        <is>
          <t>po_1Q0058KX</t>
        </is>
      </c>
      <c r="B1623" s="5" t="n">
        <v>46283</v>
      </c>
      <c r="C1623" t="inlineStr">
        <is>
          <t>ch_3Q001612</t>
        </is>
      </c>
      <c r="D1623" t="inlineStr">
        <is>
          <t>charge</t>
        </is>
      </c>
      <c r="E1623" s="5" t="n">
        <v>46281</v>
      </c>
      <c r="F1623" s="9" t="n">
        <v>65</v>
      </c>
      <c r="G1623" s="9" t="n">
        <v>1.44</v>
      </c>
      <c r="H1623" s="9" t="n">
        <v>63.56</v>
      </c>
      <c r="I1623" t="inlineStr">
        <is>
          <t>INV/2026/05237</t>
        </is>
      </c>
      <c r="J1623" s="9">
        <f>ROUND(F1623-G1623-H1623,2)</f>
        <v>0</v>
      </c>
    </row>
    <row r="1624">
      <c r="A1624" t="inlineStr">
        <is>
          <t>po_1Q0058KX</t>
        </is>
      </c>
      <c r="B1624" s="5" t="n">
        <v>46283</v>
      </c>
      <c r="C1624" t="inlineStr">
        <is>
          <t>ch_3Q001613</t>
        </is>
      </c>
      <c r="D1624" t="inlineStr">
        <is>
          <t>charge</t>
        </is>
      </c>
      <c r="E1624" s="5" t="n">
        <v>46281</v>
      </c>
      <c r="F1624" s="9" t="n">
        <v>85</v>
      </c>
      <c r="G1624" s="9" t="n">
        <v>1.79</v>
      </c>
      <c r="H1624" s="9" t="n">
        <v>83.20999999999999</v>
      </c>
      <c r="I1624" t="inlineStr">
        <is>
          <t>INV/2026/05238</t>
        </is>
      </c>
      <c r="J1624" s="9">
        <f>ROUND(F1624-G1624-H1624,2)</f>
        <v>0</v>
      </c>
    </row>
    <row r="1625">
      <c r="A1625" t="inlineStr">
        <is>
          <t>po_1Q0058KX</t>
        </is>
      </c>
      <c r="B1625" s="5" t="n">
        <v>46283</v>
      </c>
      <c r="C1625" t="inlineStr">
        <is>
          <t>ch_3Q001614</t>
        </is>
      </c>
      <c r="D1625" t="inlineStr">
        <is>
          <t>charge</t>
        </is>
      </c>
      <c r="E1625" s="5" t="n">
        <v>46281</v>
      </c>
      <c r="F1625" s="9" t="n">
        <v>110</v>
      </c>
      <c r="G1625" s="9" t="n">
        <v>2.23</v>
      </c>
      <c r="H1625" s="9" t="n">
        <v>107.77</v>
      </c>
      <c r="I1625" t="inlineStr">
        <is>
          <t>INV/2026/05239</t>
        </is>
      </c>
      <c r="J1625" s="9">
        <f>ROUND(F1625-G1625-H1625,2)</f>
        <v>0</v>
      </c>
    </row>
    <row r="1626">
      <c r="A1626" t="inlineStr">
        <is>
          <t>po_1Q0058KX</t>
        </is>
      </c>
      <c r="B1626" s="5" t="n">
        <v>46283</v>
      </c>
      <c r="C1626" t="inlineStr">
        <is>
          <t>ch_3Q001615</t>
        </is>
      </c>
      <c r="D1626" t="inlineStr">
        <is>
          <t>charge</t>
        </is>
      </c>
      <c r="E1626" s="5" t="n">
        <v>46281</v>
      </c>
      <c r="F1626" s="9" t="n">
        <v>135</v>
      </c>
      <c r="G1626" s="9" t="n">
        <v>2.66</v>
      </c>
      <c r="H1626" s="9" t="n">
        <v>132.34</v>
      </c>
      <c r="I1626" t="inlineStr">
        <is>
          <t>INV/2026/05240</t>
        </is>
      </c>
      <c r="J1626" s="9">
        <f>ROUND(F1626-G1626-H1626,2)</f>
        <v>0</v>
      </c>
    </row>
    <row r="1627">
      <c r="A1627" t="inlineStr">
        <is>
          <t>po_1Q0058KX</t>
        </is>
      </c>
      <c r="B1627" s="5" t="n">
        <v>46283</v>
      </c>
      <c r="C1627" t="inlineStr">
        <is>
          <t>ch_3Q001616</t>
        </is>
      </c>
      <c r="D1627" t="inlineStr">
        <is>
          <t>charge</t>
        </is>
      </c>
      <c r="E1627" s="5" t="n">
        <v>46281</v>
      </c>
      <c r="F1627" s="9" t="n">
        <v>110</v>
      </c>
      <c r="G1627" s="9" t="n">
        <v>2.23</v>
      </c>
      <c r="H1627" s="9" t="n">
        <v>107.77</v>
      </c>
      <c r="I1627" t="inlineStr">
        <is>
          <t>INV/2026/05241</t>
        </is>
      </c>
      <c r="J1627" s="9">
        <f>ROUND(F1627-G1627-H1627,2)</f>
        <v>0</v>
      </c>
    </row>
    <row r="1628">
      <c r="A1628" t="inlineStr">
        <is>
          <t>po_1Q0058KX</t>
        </is>
      </c>
      <c r="B1628" s="5" t="n">
        <v>46283</v>
      </c>
      <c r="C1628" t="inlineStr">
        <is>
          <t>ch_3Q001617</t>
        </is>
      </c>
      <c r="D1628" t="inlineStr">
        <is>
          <t>charge</t>
        </is>
      </c>
      <c r="E1628" s="5" t="n">
        <v>46281</v>
      </c>
      <c r="F1628" s="9" t="n">
        <v>65</v>
      </c>
      <c r="G1628" s="9" t="n">
        <v>1.44</v>
      </c>
      <c r="H1628" s="9" t="n">
        <v>63.56</v>
      </c>
      <c r="I1628" t="inlineStr">
        <is>
          <t>INV/2026/05242</t>
        </is>
      </c>
      <c r="J1628" s="9">
        <f>ROUND(F1628-G1628-H1628,2)</f>
        <v>0</v>
      </c>
    </row>
    <row r="1629">
      <c r="A1629" t="inlineStr">
        <is>
          <t>po_1Q0058KX</t>
        </is>
      </c>
      <c r="B1629" s="5" t="n">
        <v>46283</v>
      </c>
      <c r="C1629" t="inlineStr">
        <is>
          <t>ch_3Q001618</t>
        </is>
      </c>
      <c r="D1629" t="inlineStr">
        <is>
          <t>charge</t>
        </is>
      </c>
      <c r="E1629" s="5" t="n">
        <v>46281</v>
      </c>
      <c r="F1629" s="9" t="n">
        <v>65</v>
      </c>
      <c r="G1629" s="9" t="n">
        <v>1.44</v>
      </c>
      <c r="H1629" s="9" t="n">
        <v>63.56</v>
      </c>
      <c r="I1629" t="inlineStr">
        <is>
          <t>INV/2026/05243</t>
        </is>
      </c>
      <c r="J1629" s="9">
        <f>ROUND(F1629-G1629-H1629,2)</f>
        <v>0</v>
      </c>
    </row>
    <row r="1630">
      <c r="A1630" t="inlineStr">
        <is>
          <t>po_1Q0058KX</t>
        </is>
      </c>
      <c r="B1630" s="5" t="n">
        <v>46283</v>
      </c>
      <c r="C1630" t="inlineStr">
        <is>
          <t>ch_3Q001619</t>
        </is>
      </c>
      <c r="D1630" t="inlineStr">
        <is>
          <t>charge</t>
        </is>
      </c>
      <c r="E1630" s="5" t="n">
        <v>46281</v>
      </c>
      <c r="F1630" s="9" t="n">
        <v>180</v>
      </c>
      <c r="G1630" s="9" t="n">
        <v>3.45</v>
      </c>
      <c r="H1630" s="9" t="n">
        <v>176.55</v>
      </c>
      <c r="I1630" t="inlineStr">
        <is>
          <t>INV/2026/05244</t>
        </is>
      </c>
      <c r="J1630" s="9">
        <f>ROUND(F1630-G1630-H1630,2)</f>
        <v>0</v>
      </c>
    </row>
    <row r="1631">
      <c r="A1631" t="inlineStr">
        <is>
          <t>po_1Q0058KX</t>
        </is>
      </c>
      <c r="B1631" s="5" t="n">
        <v>46283</v>
      </c>
      <c r="C1631" t="inlineStr">
        <is>
          <t>ch_3Q001620</t>
        </is>
      </c>
      <c r="D1631" t="inlineStr">
        <is>
          <t>charge</t>
        </is>
      </c>
      <c r="E1631" s="5" t="n">
        <v>46281</v>
      </c>
      <c r="F1631" s="9" t="n">
        <v>150</v>
      </c>
      <c r="G1631" s="9" t="n">
        <v>2.93</v>
      </c>
      <c r="H1631" s="9" t="n">
        <v>147.07</v>
      </c>
      <c r="I1631" t="inlineStr">
        <is>
          <t>INV/2026/05245</t>
        </is>
      </c>
      <c r="J1631" s="9">
        <f>ROUND(F1631-G1631-H1631,2)</f>
        <v>0</v>
      </c>
    </row>
    <row r="1632">
      <c r="A1632" t="inlineStr">
        <is>
          <t>po_1Q0058KX</t>
        </is>
      </c>
      <c r="B1632" s="5" t="n">
        <v>46283</v>
      </c>
      <c r="C1632" t="inlineStr">
        <is>
          <t>ch_3Q001621</t>
        </is>
      </c>
      <c r="D1632" t="inlineStr">
        <is>
          <t>charge</t>
        </is>
      </c>
      <c r="E1632" s="5" t="n">
        <v>46281</v>
      </c>
      <c r="F1632" s="9" t="n">
        <v>150</v>
      </c>
      <c r="G1632" s="9" t="n">
        <v>2.93</v>
      </c>
      <c r="H1632" s="9" t="n">
        <v>147.07</v>
      </c>
      <c r="I1632" t="inlineStr">
        <is>
          <t>INV/2026/05246</t>
        </is>
      </c>
      <c r="J1632" s="9">
        <f>ROUND(F1632-G1632-H1632,2)</f>
        <v>0</v>
      </c>
    </row>
    <row r="1633">
      <c r="A1633" t="inlineStr">
        <is>
          <t>po_1Q0058KX</t>
        </is>
      </c>
      <c r="B1633" s="5" t="n">
        <v>46283</v>
      </c>
      <c r="C1633" t="inlineStr">
        <is>
          <t>ch_3Q001622</t>
        </is>
      </c>
      <c r="D1633" t="inlineStr">
        <is>
          <t>charge</t>
        </is>
      </c>
      <c r="E1633" s="5" t="n">
        <v>46281</v>
      </c>
      <c r="F1633" s="9" t="n">
        <v>120</v>
      </c>
      <c r="G1633" s="9" t="n">
        <v>2.4</v>
      </c>
      <c r="H1633" s="9" t="n">
        <v>117.6</v>
      </c>
      <c r="I1633" t="inlineStr">
        <is>
          <t>INV/2026/05247</t>
        </is>
      </c>
      <c r="J1633" s="9">
        <f>ROUND(F1633-G1633-H1633,2)</f>
        <v>0</v>
      </c>
    </row>
    <row r="1634">
      <c r="A1634" t="inlineStr">
        <is>
          <t>po_1Q0058KX</t>
        </is>
      </c>
      <c r="B1634" s="5" t="n">
        <v>46283</v>
      </c>
      <c r="C1634" t="inlineStr">
        <is>
          <t>ch_3Q001623</t>
        </is>
      </c>
      <c r="D1634" t="inlineStr">
        <is>
          <t>charge</t>
        </is>
      </c>
      <c r="E1634" s="5" t="n">
        <v>46281</v>
      </c>
      <c r="F1634" s="9" t="n">
        <v>135</v>
      </c>
      <c r="G1634" s="9" t="n">
        <v>2.66</v>
      </c>
      <c r="H1634" s="9" t="n">
        <v>132.34</v>
      </c>
      <c r="I1634" t="inlineStr">
        <is>
          <t>INV/2026/05248</t>
        </is>
      </c>
      <c r="J1634" s="9">
        <f>ROUND(F1634-G1634-H1634,2)</f>
        <v>0</v>
      </c>
    </row>
    <row r="1635">
      <c r="A1635" t="inlineStr">
        <is>
          <t>po_1Q0058KX</t>
        </is>
      </c>
      <c r="B1635" s="5" t="n">
        <v>46283</v>
      </c>
      <c r="C1635" t="inlineStr">
        <is>
          <t>ch_3Q001624</t>
        </is>
      </c>
      <c r="D1635" t="inlineStr">
        <is>
          <t>charge</t>
        </is>
      </c>
      <c r="E1635" s="5" t="n">
        <v>46281</v>
      </c>
      <c r="F1635" s="9" t="n">
        <v>85</v>
      </c>
      <c r="G1635" s="9" t="n">
        <v>1.79</v>
      </c>
      <c r="H1635" s="9" t="n">
        <v>83.20999999999999</v>
      </c>
      <c r="I1635" t="inlineStr">
        <is>
          <t>INV/2026/05249</t>
        </is>
      </c>
      <c r="J1635" s="9">
        <f>ROUND(F1635-G1635-H1635,2)</f>
        <v>0</v>
      </c>
    </row>
    <row r="1636">
      <c r="A1636" t="inlineStr">
        <is>
          <t>po_1Q0058KX</t>
        </is>
      </c>
      <c r="B1636" s="5" t="n">
        <v>46283</v>
      </c>
      <c r="C1636" t="inlineStr">
        <is>
          <t>ch_3Q001625</t>
        </is>
      </c>
      <c r="D1636" t="inlineStr">
        <is>
          <t>charge</t>
        </is>
      </c>
      <c r="E1636" s="5" t="n">
        <v>46281</v>
      </c>
      <c r="F1636" s="9" t="n">
        <v>120</v>
      </c>
      <c r="G1636" s="9" t="n">
        <v>2.4</v>
      </c>
      <c r="H1636" s="9" t="n">
        <v>117.6</v>
      </c>
      <c r="I1636" t="inlineStr">
        <is>
          <t>INV/2026/05250</t>
        </is>
      </c>
      <c r="J1636" s="9">
        <f>ROUND(F1636-G1636-H1636,2)</f>
        <v>0</v>
      </c>
    </row>
    <row r="1637">
      <c r="A1637" t="inlineStr">
        <is>
          <t>po_1Q0058KX</t>
        </is>
      </c>
      <c r="B1637" s="5" t="n">
        <v>46283</v>
      </c>
      <c r="C1637" t="inlineStr">
        <is>
          <t>ch_3Q001626</t>
        </is>
      </c>
      <c r="D1637" t="inlineStr">
        <is>
          <t>charge</t>
        </is>
      </c>
      <c r="E1637" s="5" t="n">
        <v>46281</v>
      </c>
      <c r="F1637" s="9" t="n">
        <v>120</v>
      </c>
      <c r="G1637" s="9" t="n">
        <v>2.4</v>
      </c>
      <c r="H1637" s="9" t="n">
        <v>117.6</v>
      </c>
      <c r="I1637" t="inlineStr">
        <is>
          <t>INV/2026/05251</t>
        </is>
      </c>
      <c r="J1637" s="9">
        <f>ROUND(F1637-G1637-H1637,2)</f>
        <v>0</v>
      </c>
    </row>
    <row r="1638">
      <c r="A1638" t="inlineStr">
        <is>
          <t>po_1Q0058KX</t>
        </is>
      </c>
      <c r="B1638" s="5" t="n">
        <v>46283</v>
      </c>
      <c r="C1638" t="inlineStr">
        <is>
          <t>ch_3Q001627</t>
        </is>
      </c>
      <c r="D1638" t="inlineStr">
        <is>
          <t>charge</t>
        </is>
      </c>
      <c r="E1638" s="5" t="n">
        <v>46281</v>
      </c>
      <c r="F1638" s="9" t="n">
        <v>85</v>
      </c>
      <c r="G1638" s="9" t="n">
        <v>1.79</v>
      </c>
      <c r="H1638" s="9" t="n">
        <v>83.20999999999999</v>
      </c>
      <c r="I1638" t="inlineStr">
        <is>
          <t>INV/2026/05252</t>
        </is>
      </c>
      <c r="J1638" s="9">
        <f>ROUND(F1638-G1638-H1638,2)</f>
        <v>0</v>
      </c>
    </row>
    <row r="1639">
      <c r="A1639" t="inlineStr">
        <is>
          <t>po_1Q0058KX</t>
        </is>
      </c>
      <c r="B1639" s="5" t="n">
        <v>46283</v>
      </c>
      <c r="C1639" t="inlineStr">
        <is>
          <t>ch_3Q001628</t>
        </is>
      </c>
      <c r="D1639" t="inlineStr">
        <is>
          <t>charge</t>
        </is>
      </c>
      <c r="E1639" s="5" t="n">
        <v>46281</v>
      </c>
      <c r="F1639" s="9" t="n">
        <v>220</v>
      </c>
      <c r="G1639" s="9" t="n">
        <v>4.15</v>
      </c>
      <c r="H1639" s="9" t="n">
        <v>215.85</v>
      </c>
      <c r="I1639" t="inlineStr">
        <is>
          <t>INV/2026/05253</t>
        </is>
      </c>
      <c r="J1639" s="9">
        <f>ROUND(F1639-G1639-H1639,2)</f>
        <v>0</v>
      </c>
    </row>
    <row r="1640">
      <c r="A1640" t="inlineStr">
        <is>
          <t>po_1Q0058KX</t>
        </is>
      </c>
      <c r="B1640" s="5" t="n">
        <v>46283</v>
      </c>
      <c r="C1640" t="inlineStr">
        <is>
          <t>ch_3Q001629</t>
        </is>
      </c>
      <c r="D1640" t="inlineStr">
        <is>
          <t>charge</t>
        </is>
      </c>
      <c r="E1640" s="5" t="n">
        <v>46281</v>
      </c>
      <c r="F1640" s="9" t="n">
        <v>180</v>
      </c>
      <c r="G1640" s="9" t="n">
        <v>3.45</v>
      </c>
      <c r="H1640" s="9" t="n">
        <v>176.55</v>
      </c>
      <c r="I1640" t="inlineStr">
        <is>
          <t>INV/2026/05254</t>
        </is>
      </c>
      <c r="J1640" s="9">
        <f>ROUND(F1640-G1640-H1640,2)</f>
        <v>0</v>
      </c>
    </row>
    <row r="1641">
      <c r="A1641" t="inlineStr">
        <is>
          <t>po_1Q0058KX</t>
        </is>
      </c>
      <c r="B1641" s="5" t="n">
        <v>46283</v>
      </c>
      <c r="C1641" t="inlineStr">
        <is>
          <t>ch_3Q001630</t>
        </is>
      </c>
      <c r="D1641" t="inlineStr">
        <is>
          <t>charge</t>
        </is>
      </c>
      <c r="E1641" s="5" t="n">
        <v>46281</v>
      </c>
      <c r="F1641" s="9" t="n">
        <v>220</v>
      </c>
      <c r="G1641" s="9" t="n">
        <v>4.15</v>
      </c>
      <c r="H1641" s="9" t="n">
        <v>215.85</v>
      </c>
      <c r="I1641" t="inlineStr">
        <is>
          <t>INV/2026/05255</t>
        </is>
      </c>
      <c r="J1641" s="9">
        <f>ROUND(F1641-G1641-H1641,2)</f>
        <v>0</v>
      </c>
    </row>
    <row r="1642">
      <c r="A1642" t="inlineStr">
        <is>
          <t>po_1Q0059KX</t>
        </is>
      </c>
      <c r="B1642" s="5" t="n">
        <v>46286</v>
      </c>
      <c r="C1642" t="inlineStr">
        <is>
          <t>ch_3Q001631</t>
        </is>
      </c>
      <c r="D1642" t="inlineStr">
        <is>
          <t>charge</t>
        </is>
      </c>
      <c r="E1642" s="5" t="n">
        <v>46282</v>
      </c>
      <c r="F1642" s="9" t="n">
        <v>85</v>
      </c>
      <c r="G1642" s="9" t="n">
        <v>1.79</v>
      </c>
      <c r="H1642" s="9" t="n">
        <v>83.20999999999999</v>
      </c>
      <c r="I1642" t="inlineStr">
        <is>
          <t>INV/2026/05256</t>
        </is>
      </c>
      <c r="J1642" s="9">
        <f>ROUND(F1642-G1642-H1642,2)</f>
        <v>0</v>
      </c>
    </row>
    <row r="1643">
      <c r="A1643" t="inlineStr">
        <is>
          <t>po_1Q0059KX</t>
        </is>
      </c>
      <c r="B1643" s="5" t="n">
        <v>46286</v>
      </c>
      <c r="C1643" t="inlineStr">
        <is>
          <t>ch_3Q001632</t>
        </is>
      </c>
      <c r="D1643" t="inlineStr">
        <is>
          <t>charge</t>
        </is>
      </c>
      <c r="E1643" s="5" t="n">
        <v>46282</v>
      </c>
      <c r="F1643" s="9" t="n">
        <v>135</v>
      </c>
      <c r="G1643" s="9" t="n">
        <v>2.66</v>
      </c>
      <c r="H1643" s="9" t="n">
        <v>132.34</v>
      </c>
      <c r="I1643" t="inlineStr">
        <is>
          <t>INV/2026/05257</t>
        </is>
      </c>
      <c r="J1643" s="9">
        <f>ROUND(F1643-G1643-H1643,2)</f>
        <v>0</v>
      </c>
    </row>
    <row r="1644">
      <c r="A1644" t="inlineStr">
        <is>
          <t>po_1Q0059KX</t>
        </is>
      </c>
      <c r="B1644" s="5" t="n">
        <v>46286</v>
      </c>
      <c r="C1644" t="inlineStr">
        <is>
          <t>ch_3Q001633</t>
        </is>
      </c>
      <c r="D1644" t="inlineStr">
        <is>
          <t>charge</t>
        </is>
      </c>
      <c r="E1644" s="5" t="n">
        <v>46282</v>
      </c>
      <c r="F1644" s="9" t="n">
        <v>180</v>
      </c>
      <c r="G1644" s="9" t="n">
        <v>3.45</v>
      </c>
      <c r="H1644" s="9" t="n">
        <v>176.55</v>
      </c>
      <c r="I1644" t="inlineStr">
        <is>
          <t>INV/2026/05258</t>
        </is>
      </c>
      <c r="J1644" s="9">
        <f>ROUND(F1644-G1644-H1644,2)</f>
        <v>0</v>
      </c>
    </row>
    <row r="1645">
      <c r="A1645" t="inlineStr">
        <is>
          <t>po_1Q0059KX</t>
        </is>
      </c>
      <c r="B1645" s="5" t="n">
        <v>46286</v>
      </c>
      <c r="C1645" t="inlineStr">
        <is>
          <t>ch_3Q001634</t>
        </is>
      </c>
      <c r="D1645" t="inlineStr">
        <is>
          <t>charge</t>
        </is>
      </c>
      <c r="E1645" s="5" t="n">
        <v>46282</v>
      </c>
      <c r="F1645" s="9" t="n">
        <v>180</v>
      </c>
      <c r="G1645" s="9" t="n">
        <v>3.45</v>
      </c>
      <c r="H1645" s="9" t="n">
        <v>176.55</v>
      </c>
      <c r="I1645" t="inlineStr">
        <is>
          <t>INV/2026/05259</t>
        </is>
      </c>
      <c r="J1645" s="9">
        <f>ROUND(F1645-G1645-H1645,2)</f>
        <v>0</v>
      </c>
    </row>
    <row r="1646">
      <c r="A1646" t="inlineStr">
        <is>
          <t>po_1Q0059KX</t>
        </is>
      </c>
      <c r="B1646" s="5" t="n">
        <v>46286</v>
      </c>
      <c r="C1646" t="inlineStr">
        <is>
          <t>ch_3Q001635</t>
        </is>
      </c>
      <c r="D1646" t="inlineStr">
        <is>
          <t>charge</t>
        </is>
      </c>
      <c r="E1646" s="5" t="n">
        <v>46282</v>
      </c>
      <c r="F1646" s="9" t="n">
        <v>135</v>
      </c>
      <c r="G1646" s="9" t="n">
        <v>2.66</v>
      </c>
      <c r="H1646" s="9" t="n">
        <v>132.34</v>
      </c>
      <c r="I1646" t="inlineStr">
        <is>
          <t>INV/2026/05260</t>
        </is>
      </c>
      <c r="J1646" s="9">
        <f>ROUND(F1646-G1646-H1646,2)</f>
        <v>0</v>
      </c>
    </row>
    <row r="1647">
      <c r="A1647" t="inlineStr">
        <is>
          <t>po_1Q0059KX</t>
        </is>
      </c>
      <c r="B1647" s="5" t="n">
        <v>46286</v>
      </c>
      <c r="C1647" t="inlineStr">
        <is>
          <t>ch_3Q001636</t>
        </is>
      </c>
      <c r="D1647" t="inlineStr">
        <is>
          <t>charge</t>
        </is>
      </c>
      <c r="E1647" s="5" t="n">
        <v>46282</v>
      </c>
      <c r="F1647" s="9" t="n">
        <v>85</v>
      </c>
      <c r="G1647" s="9" t="n">
        <v>1.79</v>
      </c>
      <c r="H1647" s="9" t="n">
        <v>83.20999999999999</v>
      </c>
      <c r="I1647" t="inlineStr">
        <is>
          <t>INV/2026/05261</t>
        </is>
      </c>
      <c r="J1647" s="9">
        <f>ROUND(F1647-G1647-H1647,2)</f>
        <v>0</v>
      </c>
    </row>
    <row r="1648">
      <c r="A1648" t="inlineStr">
        <is>
          <t>po_1Q0059KX</t>
        </is>
      </c>
      <c r="B1648" s="5" t="n">
        <v>46286</v>
      </c>
      <c r="C1648" t="inlineStr">
        <is>
          <t>ch_3Q001637</t>
        </is>
      </c>
      <c r="D1648" t="inlineStr">
        <is>
          <t>charge</t>
        </is>
      </c>
      <c r="E1648" s="5" t="n">
        <v>46282</v>
      </c>
      <c r="F1648" s="9" t="n">
        <v>220</v>
      </c>
      <c r="G1648" s="9" t="n">
        <v>4.15</v>
      </c>
      <c r="H1648" s="9" t="n">
        <v>215.85</v>
      </c>
      <c r="I1648" t="inlineStr">
        <is>
          <t>INV/2026/05262</t>
        </is>
      </c>
      <c r="J1648" s="9">
        <f>ROUND(F1648-G1648-H1648,2)</f>
        <v>0</v>
      </c>
    </row>
    <row r="1649">
      <c r="A1649" t="inlineStr">
        <is>
          <t>po_1Q0059KX</t>
        </is>
      </c>
      <c r="B1649" s="5" t="n">
        <v>46286</v>
      </c>
      <c r="C1649" t="inlineStr">
        <is>
          <t>ch_3Q001638</t>
        </is>
      </c>
      <c r="D1649" t="inlineStr">
        <is>
          <t>charge</t>
        </is>
      </c>
      <c r="E1649" s="5" t="n">
        <v>46282</v>
      </c>
      <c r="F1649" s="9" t="n">
        <v>65</v>
      </c>
      <c r="G1649" s="9" t="n">
        <v>1.44</v>
      </c>
      <c r="H1649" s="9" t="n">
        <v>63.56</v>
      </c>
      <c r="I1649" t="inlineStr">
        <is>
          <t>INV/2026/05263</t>
        </is>
      </c>
      <c r="J1649" s="9">
        <f>ROUND(F1649-G1649-H1649,2)</f>
        <v>0</v>
      </c>
    </row>
    <row r="1650">
      <c r="A1650" t="inlineStr">
        <is>
          <t>po_1Q0059KX</t>
        </is>
      </c>
      <c r="B1650" s="5" t="n">
        <v>46286</v>
      </c>
      <c r="C1650" t="inlineStr">
        <is>
          <t>ch_3Q001639</t>
        </is>
      </c>
      <c r="D1650" t="inlineStr">
        <is>
          <t>charge</t>
        </is>
      </c>
      <c r="E1650" s="5" t="n">
        <v>46282</v>
      </c>
      <c r="F1650" s="9" t="n">
        <v>220</v>
      </c>
      <c r="G1650" s="9" t="n">
        <v>4.15</v>
      </c>
      <c r="H1650" s="9" t="n">
        <v>215.85</v>
      </c>
      <c r="I1650" t="inlineStr">
        <is>
          <t>INV/2026/05264</t>
        </is>
      </c>
      <c r="J1650" s="9">
        <f>ROUND(F1650-G1650-H1650,2)</f>
        <v>0</v>
      </c>
    </row>
    <row r="1651">
      <c r="A1651" t="inlineStr">
        <is>
          <t>po_1Q0059KX</t>
        </is>
      </c>
      <c r="B1651" s="5" t="n">
        <v>46286</v>
      </c>
      <c r="C1651" t="inlineStr">
        <is>
          <t>ch_3Q001640</t>
        </is>
      </c>
      <c r="D1651" t="inlineStr">
        <is>
          <t>charge</t>
        </is>
      </c>
      <c r="E1651" s="5" t="n">
        <v>46282</v>
      </c>
      <c r="F1651" s="9" t="n">
        <v>120</v>
      </c>
      <c r="G1651" s="9" t="n">
        <v>2.4</v>
      </c>
      <c r="H1651" s="9" t="n">
        <v>117.6</v>
      </c>
      <c r="I1651" t="inlineStr">
        <is>
          <t>INV/2026/05265</t>
        </is>
      </c>
      <c r="J1651" s="9">
        <f>ROUND(F1651-G1651-H1651,2)</f>
        <v>0</v>
      </c>
    </row>
    <row r="1652">
      <c r="A1652" t="inlineStr">
        <is>
          <t>po_1Q0059KX</t>
        </is>
      </c>
      <c r="B1652" s="5" t="n">
        <v>46286</v>
      </c>
      <c r="C1652" t="inlineStr">
        <is>
          <t>ch_3Q001641</t>
        </is>
      </c>
      <c r="D1652" t="inlineStr">
        <is>
          <t>charge</t>
        </is>
      </c>
      <c r="E1652" s="5" t="n">
        <v>46282</v>
      </c>
      <c r="F1652" s="9" t="n">
        <v>150</v>
      </c>
      <c r="G1652" s="9" t="n">
        <v>2.93</v>
      </c>
      <c r="H1652" s="9" t="n">
        <v>147.07</v>
      </c>
      <c r="I1652" t="inlineStr">
        <is>
          <t>INV/2026/05266</t>
        </is>
      </c>
      <c r="J1652" s="9">
        <f>ROUND(F1652-G1652-H1652,2)</f>
        <v>0</v>
      </c>
    </row>
    <row r="1653">
      <c r="A1653" t="inlineStr">
        <is>
          <t>po_1Q0059KX</t>
        </is>
      </c>
      <c r="B1653" s="5" t="n">
        <v>46286</v>
      </c>
      <c r="C1653" t="inlineStr">
        <is>
          <t>ch_3Q001642</t>
        </is>
      </c>
      <c r="D1653" t="inlineStr">
        <is>
          <t>charge</t>
        </is>
      </c>
      <c r="E1653" s="5" t="n">
        <v>46282</v>
      </c>
      <c r="F1653" s="9" t="n">
        <v>150</v>
      </c>
      <c r="G1653" s="9" t="n">
        <v>2.93</v>
      </c>
      <c r="H1653" s="9" t="n">
        <v>147.07</v>
      </c>
      <c r="I1653" t="inlineStr">
        <is>
          <t>INV/2026/05267</t>
        </is>
      </c>
      <c r="J1653" s="9">
        <f>ROUND(F1653-G1653-H1653,2)</f>
        <v>0</v>
      </c>
    </row>
    <row r="1654">
      <c r="A1654" t="inlineStr">
        <is>
          <t>po_1Q0059KX</t>
        </is>
      </c>
      <c r="B1654" s="5" t="n">
        <v>46286</v>
      </c>
      <c r="C1654" t="inlineStr">
        <is>
          <t>ch_3Q001643</t>
        </is>
      </c>
      <c r="D1654" t="inlineStr">
        <is>
          <t>charge</t>
        </is>
      </c>
      <c r="E1654" s="5" t="n">
        <v>46282</v>
      </c>
      <c r="F1654" s="9" t="n">
        <v>220</v>
      </c>
      <c r="G1654" s="9" t="n">
        <v>4.15</v>
      </c>
      <c r="H1654" s="9" t="n">
        <v>215.85</v>
      </c>
      <c r="I1654" t="inlineStr">
        <is>
          <t>INV/2026/05268</t>
        </is>
      </c>
      <c r="J1654" s="9">
        <f>ROUND(F1654-G1654-H1654,2)</f>
        <v>0</v>
      </c>
    </row>
    <row r="1655">
      <c r="A1655" t="inlineStr">
        <is>
          <t>po_1Q0059KX</t>
        </is>
      </c>
      <c r="B1655" s="5" t="n">
        <v>46286</v>
      </c>
      <c r="C1655" t="inlineStr">
        <is>
          <t>ch_3Q001644</t>
        </is>
      </c>
      <c r="D1655" t="inlineStr">
        <is>
          <t>charge</t>
        </is>
      </c>
      <c r="E1655" s="5" t="n">
        <v>46282</v>
      </c>
      <c r="F1655" s="9" t="n">
        <v>120</v>
      </c>
      <c r="G1655" s="9" t="n">
        <v>2.4</v>
      </c>
      <c r="H1655" s="9" t="n">
        <v>117.6</v>
      </c>
      <c r="I1655" t="inlineStr">
        <is>
          <t>INV/2026/05269</t>
        </is>
      </c>
      <c r="J1655" s="9">
        <f>ROUND(F1655-G1655-H1655,2)</f>
        <v>0</v>
      </c>
    </row>
    <row r="1656">
      <c r="A1656" t="inlineStr">
        <is>
          <t>po_1Q0059KX</t>
        </is>
      </c>
      <c r="B1656" s="5" t="n">
        <v>46286</v>
      </c>
      <c r="C1656" t="inlineStr">
        <is>
          <t>ch_3Q001645</t>
        </is>
      </c>
      <c r="D1656" t="inlineStr">
        <is>
          <t>charge</t>
        </is>
      </c>
      <c r="E1656" s="5" t="n">
        <v>46282</v>
      </c>
      <c r="F1656" s="9" t="n">
        <v>220</v>
      </c>
      <c r="G1656" s="9" t="n">
        <v>4.15</v>
      </c>
      <c r="H1656" s="9" t="n">
        <v>215.85</v>
      </c>
      <c r="I1656" t="inlineStr">
        <is>
          <t>INV/2026/05270</t>
        </is>
      </c>
      <c r="J1656" s="9">
        <f>ROUND(F1656-G1656-H1656,2)</f>
        <v>0</v>
      </c>
    </row>
    <row r="1657">
      <c r="A1657" t="inlineStr">
        <is>
          <t>po_1Q0059KX</t>
        </is>
      </c>
      <c r="B1657" s="5" t="n">
        <v>46286</v>
      </c>
      <c r="C1657" t="inlineStr">
        <is>
          <t>ch_3Q001646</t>
        </is>
      </c>
      <c r="D1657" t="inlineStr">
        <is>
          <t>charge</t>
        </is>
      </c>
      <c r="E1657" s="5" t="n">
        <v>46282</v>
      </c>
      <c r="F1657" s="9" t="n">
        <v>180</v>
      </c>
      <c r="G1657" s="9" t="n">
        <v>3.45</v>
      </c>
      <c r="H1657" s="9" t="n">
        <v>176.55</v>
      </c>
      <c r="I1657" t="inlineStr">
        <is>
          <t>INV/2026/05271</t>
        </is>
      </c>
      <c r="J1657" s="9">
        <f>ROUND(F1657-G1657-H1657,2)</f>
        <v>0</v>
      </c>
    </row>
    <row r="1658">
      <c r="A1658" t="inlineStr">
        <is>
          <t>po_1Q0059KX</t>
        </is>
      </c>
      <c r="B1658" s="5" t="n">
        <v>46286</v>
      </c>
      <c r="C1658" t="inlineStr">
        <is>
          <t>ch_3Q001647</t>
        </is>
      </c>
      <c r="D1658" t="inlineStr">
        <is>
          <t>charge</t>
        </is>
      </c>
      <c r="E1658" s="5" t="n">
        <v>46282</v>
      </c>
      <c r="F1658" s="9" t="n">
        <v>135</v>
      </c>
      <c r="G1658" s="9" t="n">
        <v>2.66</v>
      </c>
      <c r="H1658" s="9" t="n">
        <v>132.34</v>
      </c>
      <c r="I1658" t="inlineStr">
        <is>
          <t>INV/2026/05272</t>
        </is>
      </c>
      <c r="J1658" s="9">
        <f>ROUND(F1658-G1658-H1658,2)</f>
        <v>0</v>
      </c>
    </row>
    <row r="1659">
      <c r="A1659" t="inlineStr">
        <is>
          <t>po_1Q0059KX</t>
        </is>
      </c>
      <c r="B1659" s="5" t="n">
        <v>46286</v>
      </c>
      <c r="C1659" t="inlineStr">
        <is>
          <t>ch_3Q001648</t>
        </is>
      </c>
      <c r="D1659" t="inlineStr">
        <is>
          <t>charge</t>
        </is>
      </c>
      <c r="E1659" s="5" t="n">
        <v>46282</v>
      </c>
      <c r="F1659" s="9" t="n">
        <v>65</v>
      </c>
      <c r="G1659" s="9" t="n">
        <v>1.44</v>
      </c>
      <c r="H1659" s="9" t="n">
        <v>63.56</v>
      </c>
      <c r="I1659" t="inlineStr">
        <is>
          <t>INV/2026/05273</t>
        </is>
      </c>
      <c r="J1659" s="9">
        <f>ROUND(F1659-G1659-H1659,2)</f>
        <v>0</v>
      </c>
    </row>
    <row r="1660">
      <c r="A1660" t="inlineStr">
        <is>
          <t>po_1Q0059KX</t>
        </is>
      </c>
      <c r="B1660" s="5" t="n">
        <v>46286</v>
      </c>
      <c r="C1660" t="inlineStr">
        <is>
          <t>ch_3Q001649</t>
        </is>
      </c>
      <c r="D1660" t="inlineStr">
        <is>
          <t>charge</t>
        </is>
      </c>
      <c r="E1660" s="5" t="n">
        <v>46282</v>
      </c>
      <c r="F1660" s="9" t="n">
        <v>85</v>
      </c>
      <c r="G1660" s="9" t="n">
        <v>1.79</v>
      </c>
      <c r="H1660" s="9" t="n">
        <v>83.20999999999999</v>
      </c>
      <c r="I1660" t="inlineStr">
        <is>
          <t>INV/2026/05274</t>
        </is>
      </c>
      <c r="J1660" s="9">
        <f>ROUND(F1660-G1660-H1660,2)</f>
        <v>0</v>
      </c>
    </row>
    <row r="1661">
      <c r="A1661" t="inlineStr">
        <is>
          <t>po_1Q0059KX</t>
        </is>
      </c>
      <c r="B1661" s="5" t="n">
        <v>46286</v>
      </c>
      <c r="C1661" t="inlineStr">
        <is>
          <t>ch_3Q001650</t>
        </is>
      </c>
      <c r="D1661" t="inlineStr">
        <is>
          <t>charge</t>
        </is>
      </c>
      <c r="E1661" s="5" t="n">
        <v>46282</v>
      </c>
      <c r="F1661" s="9" t="n">
        <v>150</v>
      </c>
      <c r="G1661" s="9" t="n">
        <v>2.93</v>
      </c>
      <c r="H1661" s="9" t="n">
        <v>147.07</v>
      </c>
      <c r="I1661" t="inlineStr">
        <is>
          <t>INV/2026/05275</t>
        </is>
      </c>
      <c r="J1661" s="9">
        <f>ROUND(F1661-G1661-H1661,2)</f>
        <v>0</v>
      </c>
    </row>
    <row r="1662">
      <c r="A1662" t="inlineStr">
        <is>
          <t>po_1Q0059KX</t>
        </is>
      </c>
      <c r="B1662" s="5" t="n">
        <v>46286</v>
      </c>
      <c r="C1662" t="inlineStr">
        <is>
          <t>ch_3Q001651</t>
        </is>
      </c>
      <c r="D1662" t="inlineStr">
        <is>
          <t>charge</t>
        </is>
      </c>
      <c r="E1662" s="5" t="n">
        <v>46282</v>
      </c>
      <c r="F1662" s="9" t="n">
        <v>120</v>
      </c>
      <c r="G1662" s="9" t="n">
        <v>2.4</v>
      </c>
      <c r="H1662" s="9" t="n">
        <v>117.6</v>
      </c>
      <c r="I1662" t="inlineStr">
        <is>
          <t>INV/2026/05276</t>
        </is>
      </c>
      <c r="J1662" s="9">
        <f>ROUND(F1662-G1662-H1662,2)</f>
        <v>0</v>
      </c>
    </row>
    <row r="1663">
      <c r="A1663" t="inlineStr">
        <is>
          <t>po_1Q0059KX</t>
        </is>
      </c>
      <c r="B1663" s="5" t="n">
        <v>46286</v>
      </c>
      <c r="C1663" t="inlineStr">
        <is>
          <t>ch_3Q001652</t>
        </is>
      </c>
      <c r="D1663" t="inlineStr">
        <is>
          <t>charge</t>
        </is>
      </c>
      <c r="E1663" s="5" t="n">
        <v>46282</v>
      </c>
      <c r="F1663" s="9" t="n">
        <v>95</v>
      </c>
      <c r="G1663" s="9" t="n">
        <v>1.96</v>
      </c>
      <c r="H1663" s="9" t="n">
        <v>93.04000000000001</v>
      </c>
      <c r="I1663" t="inlineStr">
        <is>
          <t>INV/2026/05277</t>
        </is>
      </c>
      <c r="J1663" s="9">
        <f>ROUND(F1663-G1663-H1663,2)</f>
        <v>0</v>
      </c>
    </row>
    <row r="1664">
      <c r="A1664" t="inlineStr">
        <is>
          <t>po_1Q0060KX</t>
        </is>
      </c>
      <c r="B1664" s="5" t="n">
        <v>46287</v>
      </c>
      <c r="C1664" t="inlineStr">
        <is>
          <t>ch_3Q001653</t>
        </is>
      </c>
      <c r="D1664" t="inlineStr">
        <is>
          <t>charge</t>
        </is>
      </c>
      <c r="E1664" s="5" t="n">
        <v>46283</v>
      </c>
      <c r="F1664" s="9" t="n">
        <v>110</v>
      </c>
      <c r="G1664" s="9" t="n">
        <v>2.23</v>
      </c>
      <c r="H1664" s="9" t="n">
        <v>107.77</v>
      </c>
      <c r="I1664" t="inlineStr">
        <is>
          <t>INV/2026/05278</t>
        </is>
      </c>
      <c r="J1664" s="9">
        <f>ROUND(F1664-G1664-H1664,2)</f>
        <v>0</v>
      </c>
    </row>
    <row r="1665">
      <c r="A1665" t="inlineStr">
        <is>
          <t>po_1Q0060KX</t>
        </is>
      </c>
      <c r="B1665" s="5" t="n">
        <v>46287</v>
      </c>
      <c r="C1665" t="inlineStr">
        <is>
          <t>ch_3Q001654</t>
        </is>
      </c>
      <c r="D1665" t="inlineStr">
        <is>
          <t>charge</t>
        </is>
      </c>
      <c r="E1665" s="5" t="n">
        <v>46283</v>
      </c>
      <c r="F1665" s="9" t="n">
        <v>95</v>
      </c>
      <c r="G1665" s="9" t="n">
        <v>1.96</v>
      </c>
      <c r="H1665" s="9" t="n">
        <v>93.04000000000001</v>
      </c>
      <c r="I1665" t="inlineStr">
        <is>
          <t>INV/2026/05279</t>
        </is>
      </c>
      <c r="J1665" s="9">
        <f>ROUND(F1665-G1665-H1665,2)</f>
        <v>0</v>
      </c>
    </row>
    <row r="1666">
      <c r="A1666" t="inlineStr">
        <is>
          <t>po_1Q0060KX</t>
        </is>
      </c>
      <c r="B1666" s="5" t="n">
        <v>46287</v>
      </c>
      <c r="C1666" t="inlineStr">
        <is>
          <t>ch_3Q001655</t>
        </is>
      </c>
      <c r="D1666" t="inlineStr">
        <is>
          <t>charge</t>
        </is>
      </c>
      <c r="E1666" s="5" t="n">
        <v>46283</v>
      </c>
      <c r="F1666" s="9" t="n">
        <v>85</v>
      </c>
      <c r="G1666" s="9" t="n">
        <v>1.79</v>
      </c>
      <c r="H1666" s="9" t="n">
        <v>83.20999999999999</v>
      </c>
      <c r="I1666" t="inlineStr">
        <is>
          <t>INV/2026/05280</t>
        </is>
      </c>
      <c r="J1666" s="9">
        <f>ROUND(F1666-G1666-H1666,2)</f>
        <v>0</v>
      </c>
    </row>
    <row r="1667">
      <c r="A1667" t="inlineStr">
        <is>
          <t>po_1Q0060KX</t>
        </is>
      </c>
      <c r="B1667" s="5" t="n">
        <v>46287</v>
      </c>
      <c r="C1667" t="inlineStr">
        <is>
          <t>ch_3Q001656</t>
        </is>
      </c>
      <c r="D1667" t="inlineStr">
        <is>
          <t>charge</t>
        </is>
      </c>
      <c r="E1667" s="5" t="n">
        <v>46283</v>
      </c>
      <c r="F1667" s="9" t="n">
        <v>135</v>
      </c>
      <c r="G1667" s="9" t="n">
        <v>2.66</v>
      </c>
      <c r="H1667" s="9" t="n">
        <v>132.34</v>
      </c>
      <c r="I1667" t="inlineStr">
        <is>
          <t>INV/2026/05281</t>
        </is>
      </c>
      <c r="J1667" s="9">
        <f>ROUND(F1667-G1667-H1667,2)</f>
        <v>0</v>
      </c>
    </row>
    <row r="1668">
      <c r="A1668" t="inlineStr">
        <is>
          <t>po_1Q0060KX</t>
        </is>
      </c>
      <c r="B1668" s="5" t="n">
        <v>46287</v>
      </c>
      <c r="C1668" t="inlineStr">
        <is>
          <t>ch_3Q001657</t>
        </is>
      </c>
      <c r="D1668" t="inlineStr">
        <is>
          <t>charge</t>
        </is>
      </c>
      <c r="E1668" s="5" t="n">
        <v>46283</v>
      </c>
      <c r="F1668" s="9" t="n">
        <v>150</v>
      </c>
      <c r="G1668" s="9" t="n">
        <v>2.93</v>
      </c>
      <c r="H1668" s="9" t="n">
        <v>147.07</v>
      </c>
      <c r="I1668" t="inlineStr">
        <is>
          <t>INV/2026/05282</t>
        </is>
      </c>
      <c r="J1668" s="9">
        <f>ROUND(F1668-G1668-H1668,2)</f>
        <v>0</v>
      </c>
    </row>
    <row r="1669">
      <c r="A1669" t="inlineStr">
        <is>
          <t>po_1Q0060KX</t>
        </is>
      </c>
      <c r="B1669" s="5" t="n">
        <v>46287</v>
      </c>
      <c r="C1669" t="inlineStr">
        <is>
          <t>ch_3Q001658</t>
        </is>
      </c>
      <c r="D1669" t="inlineStr">
        <is>
          <t>charge</t>
        </is>
      </c>
      <c r="E1669" s="5" t="n">
        <v>46283</v>
      </c>
      <c r="F1669" s="9" t="n">
        <v>85</v>
      </c>
      <c r="G1669" s="9" t="n">
        <v>1.79</v>
      </c>
      <c r="H1669" s="9" t="n">
        <v>83.20999999999999</v>
      </c>
      <c r="I1669" t="inlineStr">
        <is>
          <t>INV/2026/05283</t>
        </is>
      </c>
      <c r="J1669" s="9">
        <f>ROUND(F1669-G1669-H1669,2)</f>
        <v>0</v>
      </c>
    </row>
    <row r="1670">
      <c r="A1670" t="inlineStr">
        <is>
          <t>po_1Q0060KX</t>
        </is>
      </c>
      <c r="B1670" s="5" t="n">
        <v>46287</v>
      </c>
      <c r="C1670" t="inlineStr">
        <is>
          <t>ch_3Q001659</t>
        </is>
      </c>
      <c r="D1670" t="inlineStr">
        <is>
          <t>charge</t>
        </is>
      </c>
      <c r="E1670" s="5" t="n">
        <v>46283</v>
      </c>
      <c r="F1670" s="9" t="n">
        <v>150</v>
      </c>
      <c r="G1670" s="9" t="n">
        <v>2.93</v>
      </c>
      <c r="H1670" s="9" t="n">
        <v>147.07</v>
      </c>
      <c r="I1670" t="inlineStr">
        <is>
          <t>INV/2026/05284</t>
        </is>
      </c>
      <c r="J1670" s="9">
        <f>ROUND(F1670-G1670-H1670,2)</f>
        <v>0</v>
      </c>
    </row>
    <row r="1671">
      <c r="A1671" t="inlineStr">
        <is>
          <t>po_1Q0060KX</t>
        </is>
      </c>
      <c r="B1671" s="5" t="n">
        <v>46287</v>
      </c>
      <c r="C1671" t="inlineStr">
        <is>
          <t>ch_3Q001660</t>
        </is>
      </c>
      <c r="D1671" t="inlineStr">
        <is>
          <t>charge</t>
        </is>
      </c>
      <c r="E1671" s="5" t="n">
        <v>46283</v>
      </c>
      <c r="F1671" s="9" t="n">
        <v>120</v>
      </c>
      <c r="G1671" s="9" t="n">
        <v>2.4</v>
      </c>
      <c r="H1671" s="9" t="n">
        <v>117.6</v>
      </c>
      <c r="I1671" t="inlineStr">
        <is>
          <t>INV/2026/05285</t>
        </is>
      </c>
      <c r="J1671" s="9">
        <f>ROUND(F1671-G1671-H1671,2)</f>
        <v>0</v>
      </c>
    </row>
    <row r="1672">
      <c r="A1672" t="inlineStr">
        <is>
          <t>po_1Q0060KX</t>
        </is>
      </c>
      <c r="B1672" s="5" t="n">
        <v>46287</v>
      </c>
      <c r="C1672" t="inlineStr">
        <is>
          <t>ch_3Q001661</t>
        </is>
      </c>
      <c r="D1672" t="inlineStr">
        <is>
          <t>charge</t>
        </is>
      </c>
      <c r="E1672" s="5" t="n">
        <v>46283</v>
      </c>
      <c r="F1672" s="9" t="n">
        <v>180</v>
      </c>
      <c r="G1672" s="9" t="n">
        <v>3.45</v>
      </c>
      <c r="H1672" s="9" t="n">
        <v>176.55</v>
      </c>
      <c r="I1672" t="inlineStr">
        <is>
          <t>INV/2026/05286</t>
        </is>
      </c>
      <c r="J1672" s="9">
        <f>ROUND(F1672-G1672-H1672,2)</f>
        <v>0</v>
      </c>
    </row>
    <row r="1673">
      <c r="A1673" t="inlineStr">
        <is>
          <t>po_1Q0060KX</t>
        </is>
      </c>
      <c r="B1673" s="5" t="n">
        <v>46287</v>
      </c>
      <c r="C1673" t="inlineStr">
        <is>
          <t>ch_3Q001662</t>
        </is>
      </c>
      <c r="D1673" t="inlineStr">
        <is>
          <t>charge</t>
        </is>
      </c>
      <c r="E1673" s="5" t="n">
        <v>46283</v>
      </c>
      <c r="F1673" s="9" t="n">
        <v>95</v>
      </c>
      <c r="G1673" s="9" t="n">
        <v>1.96</v>
      </c>
      <c r="H1673" s="9" t="n">
        <v>93.04000000000001</v>
      </c>
      <c r="I1673" t="inlineStr">
        <is>
          <t>INV/2026/05287</t>
        </is>
      </c>
      <c r="J1673" s="9">
        <f>ROUND(F1673-G1673-H1673,2)</f>
        <v>0</v>
      </c>
    </row>
    <row r="1674">
      <c r="A1674" t="inlineStr">
        <is>
          <t>po_1Q0060KX</t>
        </is>
      </c>
      <c r="B1674" s="5" t="n">
        <v>46287</v>
      </c>
      <c r="C1674" t="inlineStr">
        <is>
          <t>ch_3Q001663</t>
        </is>
      </c>
      <c r="D1674" t="inlineStr">
        <is>
          <t>charge</t>
        </is>
      </c>
      <c r="E1674" s="5" t="n">
        <v>46283</v>
      </c>
      <c r="F1674" s="9" t="n">
        <v>85</v>
      </c>
      <c r="G1674" s="9" t="n">
        <v>1.79</v>
      </c>
      <c r="H1674" s="9" t="n">
        <v>83.20999999999999</v>
      </c>
      <c r="I1674" t="inlineStr">
        <is>
          <t>INV/2026/05288</t>
        </is>
      </c>
      <c r="J1674" s="9">
        <f>ROUND(F1674-G1674-H1674,2)</f>
        <v>0</v>
      </c>
    </row>
    <row r="1675">
      <c r="A1675" t="inlineStr">
        <is>
          <t>po_1Q0060KX</t>
        </is>
      </c>
      <c r="B1675" s="5" t="n">
        <v>46287</v>
      </c>
      <c r="C1675" t="inlineStr">
        <is>
          <t>ch_3Q001664</t>
        </is>
      </c>
      <c r="D1675" t="inlineStr">
        <is>
          <t>charge</t>
        </is>
      </c>
      <c r="E1675" s="5" t="n">
        <v>46283</v>
      </c>
      <c r="F1675" s="9" t="n">
        <v>95</v>
      </c>
      <c r="G1675" s="9" t="n">
        <v>1.96</v>
      </c>
      <c r="H1675" s="9" t="n">
        <v>93.04000000000001</v>
      </c>
      <c r="I1675" t="inlineStr">
        <is>
          <t>INV/2026/05289</t>
        </is>
      </c>
      <c r="J1675" s="9">
        <f>ROUND(F1675-G1675-H1675,2)</f>
        <v>0</v>
      </c>
    </row>
    <row r="1676">
      <c r="A1676" t="inlineStr">
        <is>
          <t>po_1Q0060KX</t>
        </is>
      </c>
      <c r="B1676" s="5" t="n">
        <v>46287</v>
      </c>
      <c r="C1676" t="inlineStr">
        <is>
          <t>ch_3Q001665</t>
        </is>
      </c>
      <c r="D1676" t="inlineStr">
        <is>
          <t>charge</t>
        </is>
      </c>
      <c r="E1676" s="5" t="n">
        <v>46283</v>
      </c>
      <c r="F1676" s="9" t="n">
        <v>110</v>
      </c>
      <c r="G1676" s="9" t="n">
        <v>2.23</v>
      </c>
      <c r="H1676" s="9" t="n">
        <v>107.77</v>
      </c>
      <c r="I1676" t="inlineStr">
        <is>
          <t>INV/2026/05290</t>
        </is>
      </c>
      <c r="J1676" s="9">
        <f>ROUND(F1676-G1676-H1676,2)</f>
        <v>0</v>
      </c>
    </row>
    <row r="1677">
      <c r="A1677" t="inlineStr">
        <is>
          <t>po_1Q0060KX</t>
        </is>
      </c>
      <c r="B1677" s="5" t="n">
        <v>46287</v>
      </c>
      <c r="C1677" t="inlineStr">
        <is>
          <t>ch_3Q001666</t>
        </is>
      </c>
      <c r="D1677" t="inlineStr">
        <is>
          <t>charge</t>
        </is>
      </c>
      <c r="E1677" s="5" t="n">
        <v>46283</v>
      </c>
      <c r="F1677" s="9" t="n">
        <v>110</v>
      </c>
      <c r="G1677" s="9" t="n">
        <v>2.23</v>
      </c>
      <c r="H1677" s="9" t="n">
        <v>107.77</v>
      </c>
      <c r="I1677" t="inlineStr">
        <is>
          <t>INV/2026/05291</t>
        </is>
      </c>
      <c r="J1677" s="9">
        <f>ROUND(F1677-G1677-H1677,2)</f>
        <v>0</v>
      </c>
    </row>
    <row r="1678">
      <c r="A1678" t="inlineStr">
        <is>
          <t>po_1Q0060KX</t>
        </is>
      </c>
      <c r="B1678" s="5" t="n">
        <v>46287</v>
      </c>
      <c r="C1678" t="inlineStr">
        <is>
          <t>ch_3Q001667</t>
        </is>
      </c>
      <c r="D1678" t="inlineStr">
        <is>
          <t>charge</t>
        </is>
      </c>
      <c r="E1678" s="5" t="n">
        <v>46283</v>
      </c>
      <c r="F1678" s="9" t="n">
        <v>180</v>
      </c>
      <c r="G1678" s="9" t="n">
        <v>3.45</v>
      </c>
      <c r="H1678" s="9" t="n">
        <v>176.55</v>
      </c>
      <c r="I1678" t="inlineStr">
        <is>
          <t>INV/2026/05292</t>
        </is>
      </c>
      <c r="J1678" s="9">
        <f>ROUND(F1678-G1678-H1678,2)</f>
        <v>0</v>
      </c>
    </row>
    <row r="1679">
      <c r="A1679" t="inlineStr">
        <is>
          <t>po_1Q0060KX</t>
        </is>
      </c>
      <c r="B1679" s="5" t="n">
        <v>46287</v>
      </c>
      <c r="C1679" t="inlineStr">
        <is>
          <t>ch_3Q001668</t>
        </is>
      </c>
      <c r="D1679" t="inlineStr">
        <is>
          <t>charge</t>
        </is>
      </c>
      <c r="E1679" s="5" t="n">
        <v>46283</v>
      </c>
      <c r="F1679" s="9" t="n">
        <v>135</v>
      </c>
      <c r="G1679" s="9" t="n">
        <v>2.66</v>
      </c>
      <c r="H1679" s="9" t="n">
        <v>132.34</v>
      </c>
      <c r="I1679" t="inlineStr">
        <is>
          <t>INV/2026/05293</t>
        </is>
      </c>
      <c r="J1679" s="9">
        <f>ROUND(F1679-G1679-H1679,2)</f>
        <v>0</v>
      </c>
    </row>
    <row r="1680">
      <c r="A1680" t="inlineStr">
        <is>
          <t>po_1Q0060KX</t>
        </is>
      </c>
      <c r="B1680" s="5" t="n">
        <v>46287</v>
      </c>
      <c r="C1680" t="inlineStr">
        <is>
          <t>ch_3Q001669</t>
        </is>
      </c>
      <c r="D1680" t="inlineStr">
        <is>
          <t>charge</t>
        </is>
      </c>
      <c r="E1680" s="5" t="n">
        <v>46283</v>
      </c>
      <c r="F1680" s="9" t="n">
        <v>65</v>
      </c>
      <c r="G1680" s="9" t="n">
        <v>1.44</v>
      </c>
      <c r="H1680" s="9" t="n">
        <v>63.56</v>
      </c>
      <c r="I1680" t="inlineStr">
        <is>
          <t>INV/2026/05294</t>
        </is>
      </c>
      <c r="J1680" s="9">
        <f>ROUND(F1680-G1680-H1680,2)</f>
        <v>0</v>
      </c>
    </row>
    <row r="1681">
      <c r="A1681" t="inlineStr">
        <is>
          <t>po_1Q0060KX</t>
        </is>
      </c>
      <c r="B1681" s="5" t="n">
        <v>46287</v>
      </c>
      <c r="C1681" t="inlineStr">
        <is>
          <t>ch_3Q001670</t>
        </is>
      </c>
      <c r="D1681" t="inlineStr">
        <is>
          <t>charge</t>
        </is>
      </c>
      <c r="E1681" s="5" t="n">
        <v>46283</v>
      </c>
      <c r="F1681" s="9" t="n">
        <v>135</v>
      </c>
      <c r="G1681" s="9" t="n">
        <v>2.66</v>
      </c>
      <c r="H1681" s="9" t="n">
        <v>132.34</v>
      </c>
      <c r="I1681" t="inlineStr">
        <is>
          <t>INV/2026/05295</t>
        </is>
      </c>
      <c r="J1681" s="9">
        <f>ROUND(F1681-G1681-H1681,2)</f>
        <v>0</v>
      </c>
    </row>
    <row r="1682">
      <c r="A1682" t="inlineStr">
        <is>
          <t>po_1Q0060KX</t>
        </is>
      </c>
      <c r="B1682" s="5" t="n">
        <v>46287</v>
      </c>
      <c r="C1682" t="inlineStr">
        <is>
          <t>ch_3Q001671</t>
        </is>
      </c>
      <c r="D1682" t="inlineStr">
        <is>
          <t>charge</t>
        </is>
      </c>
      <c r="E1682" s="5" t="n">
        <v>46283</v>
      </c>
      <c r="F1682" s="9" t="n">
        <v>220</v>
      </c>
      <c r="G1682" s="9" t="n">
        <v>4.15</v>
      </c>
      <c r="H1682" s="9" t="n">
        <v>215.85</v>
      </c>
      <c r="I1682" t="inlineStr">
        <is>
          <t>INV/2026/05296</t>
        </is>
      </c>
      <c r="J1682" s="9">
        <f>ROUND(F1682-G1682-H1682,2)</f>
        <v>0</v>
      </c>
    </row>
    <row r="1683">
      <c r="A1683" t="inlineStr">
        <is>
          <t>po_1Q0060KX</t>
        </is>
      </c>
      <c r="B1683" s="5" t="n">
        <v>46287</v>
      </c>
      <c r="C1683" t="inlineStr">
        <is>
          <t>ch_3Q001672</t>
        </is>
      </c>
      <c r="D1683" t="inlineStr">
        <is>
          <t>charge</t>
        </is>
      </c>
      <c r="E1683" s="5" t="n">
        <v>46283</v>
      </c>
      <c r="F1683" s="9" t="n">
        <v>120</v>
      </c>
      <c r="G1683" s="9" t="n">
        <v>2.4</v>
      </c>
      <c r="H1683" s="9" t="n">
        <v>117.6</v>
      </c>
      <c r="I1683" t="inlineStr">
        <is>
          <t>INV/2026/05297</t>
        </is>
      </c>
      <c r="J1683" s="9">
        <f>ROUND(F1683-G1683-H1683,2)</f>
        <v>0</v>
      </c>
    </row>
    <row r="1684">
      <c r="A1684" t="inlineStr">
        <is>
          <t>po_1Q0060KX</t>
        </is>
      </c>
      <c r="B1684" s="5" t="n">
        <v>46287</v>
      </c>
      <c r="C1684" t="inlineStr">
        <is>
          <t>ch_3Q001673</t>
        </is>
      </c>
      <c r="D1684" t="inlineStr">
        <is>
          <t>charge</t>
        </is>
      </c>
      <c r="E1684" s="5" t="n">
        <v>46283</v>
      </c>
      <c r="F1684" s="9" t="n">
        <v>110</v>
      </c>
      <c r="G1684" s="9" t="n">
        <v>2.23</v>
      </c>
      <c r="H1684" s="9" t="n">
        <v>107.77</v>
      </c>
      <c r="I1684" t="inlineStr">
        <is>
          <t>INV/2026/05298</t>
        </is>
      </c>
      <c r="J1684" s="9">
        <f>ROUND(F1684-G1684-H1684,2)</f>
        <v>0</v>
      </c>
    </row>
    <row r="1685">
      <c r="A1685" t="inlineStr">
        <is>
          <t>po_1Q0060KX</t>
        </is>
      </c>
      <c r="B1685" s="5" t="n">
        <v>46287</v>
      </c>
      <c r="C1685" t="inlineStr">
        <is>
          <t>ch_3Q001674</t>
        </is>
      </c>
      <c r="D1685" t="inlineStr">
        <is>
          <t>charge</t>
        </is>
      </c>
      <c r="E1685" s="5" t="n">
        <v>46283</v>
      </c>
      <c r="F1685" s="9" t="n">
        <v>120</v>
      </c>
      <c r="G1685" s="9" t="n">
        <v>2.4</v>
      </c>
      <c r="H1685" s="9" t="n">
        <v>117.6</v>
      </c>
      <c r="I1685" t="inlineStr">
        <is>
          <t>INV/2026/05299</t>
        </is>
      </c>
      <c r="J1685" s="9">
        <f>ROUND(F1685-G1685-H1685,2)</f>
        <v>0</v>
      </c>
    </row>
    <row r="1686">
      <c r="A1686" t="inlineStr">
        <is>
          <t>po_1Q0060KX</t>
        </is>
      </c>
      <c r="B1686" s="5" t="n">
        <v>46287</v>
      </c>
      <c r="C1686" t="inlineStr">
        <is>
          <t>ch_3Q001675</t>
        </is>
      </c>
      <c r="D1686" t="inlineStr">
        <is>
          <t>charge</t>
        </is>
      </c>
      <c r="E1686" s="5" t="n">
        <v>46283</v>
      </c>
      <c r="F1686" s="9" t="n">
        <v>65</v>
      </c>
      <c r="G1686" s="9" t="n">
        <v>1.44</v>
      </c>
      <c r="H1686" s="9" t="n">
        <v>63.56</v>
      </c>
      <c r="I1686" t="inlineStr">
        <is>
          <t>INV/2026/05300</t>
        </is>
      </c>
      <c r="J1686" s="9">
        <f>ROUND(F1686-G1686-H1686,2)</f>
        <v>0</v>
      </c>
    </row>
    <row r="1687">
      <c r="A1687" t="inlineStr">
        <is>
          <t>po_1Q0060KX</t>
        </is>
      </c>
      <c r="B1687" s="5" t="n">
        <v>46287</v>
      </c>
      <c r="C1687" t="inlineStr">
        <is>
          <t>ch_3Q001676</t>
        </is>
      </c>
      <c r="D1687" t="inlineStr">
        <is>
          <t>charge</t>
        </is>
      </c>
      <c r="E1687" s="5" t="n">
        <v>46283</v>
      </c>
      <c r="F1687" s="9" t="n">
        <v>150</v>
      </c>
      <c r="G1687" s="9" t="n">
        <v>2.93</v>
      </c>
      <c r="H1687" s="9" t="n">
        <v>147.07</v>
      </c>
      <c r="I1687" t="inlineStr">
        <is>
          <t>INV/2026/05301</t>
        </is>
      </c>
      <c r="J1687" s="9">
        <f>ROUND(F1687-G1687-H1687,2)</f>
        <v>0</v>
      </c>
    </row>
    <row r="1688">
      <c r="A1688" t="inlineStr">
        <is>
          <t>po_1Q0060KX</t>
        </is>
      </c>
      <c r="B1688" s="5" t="n">
        <v>46287</v>
      </c>
      <c r="C1688" t="inlineStr">
        <is>
          <t>ch_3Q001677</t>
        </is>
      </c>
      <c r="D1688" t="inlineStr">
        <is>
          <t>charge</t>
        </is>
      </c>
      <c r="E1688" s="5" t="n">
        <v>46283</v>
      </c>
      <c r="F1688" s="9" t="n">
        <v>95</v>
      </c>
      <c r="G1688" s="9" t="n">
        <v>1.96</v>
      </c>
      <c r="H1688" s="9" t="n">
        <v>93.04000000000001</v>
      </c>
      <c r="I1688" t="inlineStr">
        <is>
          <t>INV/2026/05302</t>
        </is>
      </c>
      <c r="J1688" s="9">
        <f>ROUND(F1688-G1688-H1688,2)</f>
        <v>0</v>
      </c>
    </row>
    <row r="1689">
      <c r="A1689" t="inlineStr">
        <is>
          <t>po_1Q0060KX</t>
        </is>
      </c>
      <c r="B1689" s="5" t="n">
        <v>46287</v>
      </c>
      <c r="C1689" t="inlineStr">
        <is>
          <t>ch_3Q001678</t>
        </is>
      </c>
      <c r="D1689" t="inlineStr">
        <is>
          <t>charge</t>
        </is>
      </c>
      <c r="E1689" s="5" t="n">
        <v>46283</v>
      </c>
      <c r="F1689" s="9" t="n">
        <v>65</v>
      </c>
      <c r="G1689" s="9" t="n">
        <v>1.44</v>
      </c>
      <c r="H1689" s="9" t="n">
        <v>63.56</v>
      </c>
      <c r="I1689" t="inlineStr">
        <is>
          <t>INV/2026/05303</t>
        </is>
      </c>
      <c r="J1689" s="9">
        <f>ROUND(F1689-G1689-H1689,2)</f>
        <v>0</v>
      </c>
    </row>
    <row r="1690">
      <c r="A1690" t="inlineStr">
        <is>
          <t>po_1Q0060KX</t>
        </is>
      </c>
      <c r="B1690" s="5" t="n">
        <v>46287</v>
      </c>
      <c r="C1690" t="inlineStr">
        <is>
          <t>ch_3Q001679</t>
        </is>
      </c>
      <c r="D1690" t="inlineStr">
        <is>
          <t>charge</t>
        </is>
      </c>
      <c r="E1690" s="5" t="n">
        <v>46283</v>
      </c>
      <c r="F1690" s="9" t="n">
        <v>85</v>
      </c>
      <c r="G1690" s="9" t="n">
        <v>1.79</v>
      </c>
      <c r="H1690" s="9" t="n">
        <v>83.20999999999999</v>
      </c>
      <c r="I1690" t="inlineStr">
        <is>
          <t>INV/2026/05304</t>
        </is>
      </c>
      <c r="J1690" s="9">
        <f>ROUND(F1690-G1690-H1690,2)</f>
        <v>0</v>
      </c>
    </row>
    <row r="1691">
      <c r="A1691" t="inlineStr">
        <is>
          <t>po_1Q0060KX</t>
        </is>
      </c>
      <c r="B1691" s="5" t="n">
        <v>46287</v>
      </c>
      <c r="C1691" t="inlineStr">
        <is>
          <t>ch_3Q001680</t>
        </is>
      </c>
      <c r="D1691" t="inlineStr">
        <is>
          <t>charge</t>
        </is>
      </c>
      <c r="E1691" s="5" t="n">
        <v>46283</v>
      </c>
      <c r="F1691" s="9" t="n">
        <v>180</v>
      </c>
      <c r="G1691" s="9" t="n">
        <v>3.45</v>
      </c>
      <c r="H1691" s="9" t="n">
        <v>176.55</v>
      </c>
      <c r="I1691" t="inlineStr">
        <is>
          <t>INV/2026/05305</t>
        </is>
      </c>
      <c r="J1691" s="9">
        <f>ROUND(F1691-G1691-H1691,2)</f>
        <v>0</v>
      </c>
    </row>
    <row r="1692">
      <c r="A1692" t="inlineStr">
        <is>
          <t>po_1Q0060KX</t>
        </is>
      </c>
      <c r="B1692" s="5" t="n">
        <v>46287</v>
      </c>
      <c r="C1692" t="inlineStr">
        <is>
          <t>ch_3Q001681</t>
        </is>
      </c>
      <c r="D1692" t="inlineStr">
        <is>
          <t>charge</t>
        </is>
      </c>
      <c r="E1692" s="5" t="n">
        <v>46283</v>
      </c>
      <c r="F1692" s="9" t="n">
        <v>95</v>
      </c>
      <c r="G1692" s="9" t="n">
        <v>1.96</v>
      </c>
      <c r="H1692" s="9" t="n">
        <v>93.04000000000001</v>
      </c>
      <c r="I1692" t="inlineStr">
        <is>
          <t>INV/2026/05306</t>
        </is>
      </c>
      <c r="J1692" s="9">
        <f>ROUND(F1692-G1692-H1692,2)</f>
        <v>0</v>
      </c>
    </row>
    <row r="1693">
      <c r="A1693" t="inlineStr">
        <is>
          <t>po_1Q0060KX</t>
        </is>
      </c>
      <c r="B1693" s="5" t="n">
        <v>46287</v>
      </c>
      <c r="C1693" t="inlineStr">
        <is>
          <t>ch_3Q001682</t>
        </is>
      </c>
      <c r="D1693" t="inlineStr">
        <is>
          <t>charge</t>
        </is>
      </c>
      <c r="E1693" s="5" t="n">
        <v>46283</v>
      </c>
      <c r="F1693" s="9" t="n">
        <v>135</v>
      </c>
      <c r="G1693" s="9" t="n">
        <v>2.66</v>
      </c>
      <c r="H1693" s="9" t="n">
        <v>132.34</v>
      </c>
      <c r="I1693" t="inlineStr">
        <is>
          <t>INV/2026/05307</t>
        </is>
      </c>
      <c r="J1693" s="9">
        <f>ROUND(F1693-G1693-H1693,2)</f>
        <v>0</v>
      </c>
    </row>
    <row r="1694">
      <c r="A1694" t="inlineStr">
        <is>
          <t>po_1Q0060KX</t>
        </is>
      </c>
      <c r="B1694" s="5" t="n">
        <v>46287</v>
      </c>
      <c r="C1694" t="inlineStr">
        <is>
          <t>ch_3Q001683</t>
        </is>
      </c>
      <c r="D1694" t="inlineStr">
        <is>
          <t>charge</t>
        </is>
      </c>
      <c r="E1694" s="5" t="n">
        <v>46283</v>
      </c>
      <c r="F1694" s="9" t="n">
        <v>110</v>
      </c>
      <c r="G1694" s="9" t="n">
        <v>2.23</v>
      </c>
      <c r="H1694" s="9" t="n">
        <v>107.77</v>
      </c>
      <c r="I1694" t="inlineStr">
        <is>
          <t>INV/2026/05308</t>
        </is>
      </c>
      <c r="J1694" s="9">
        <f>ROUND(F1694-G1694-H1694,2)</f>
        <v>0</v>
      </c>
    </row>
    <row r="1695">
      <c r="A1695" t="inlineStr">
        <is>
          <t>po_1Q0060KX</t>
        </is>
      </c>
      <c r="B1695" s="5" t="n">
        <v>46287</v>
      </c>
      <c r="C1695" t="inlineStr">
        <is>
          <t>ch_3Q001684</t>
        </is>
      </c>
      <c r="D1695" t="inlineStr">
        <is>
          <t>charge</t>
        </is>
      </c>
      <c r="E1695" s="5" t="n">
        <v>46284</v>
      </c>
      <c r="F1695" s="9" t="n">
        <v>180</v>
      </c>
      <c r="G1695" s="9" t="n">
        <v>3.45</v>
      </c>
      <c r="H1695" s="9" t="n">
        <v>176.55</v>
      </c>
      <c r="I1695" t="inlineStr">
        <is>
          <t>INV/2026/05309</t>
        </is>
      </c>
      <c r="J1695" s="9">
        <f>ROUND(F1695-G1695-H1695,2)</f>
        <v>0</v>
      </c>
    </row>
    <row r="1696">
      <c r="A1696" t="inlineStr">
        <is>
          <t>po_1Q0060KX</t>
        </is>
      </c>
      <c r="B1696" s="5" t="n">
        <v>46287</v>
      </c>
      <c r="C1696" t="inlineStr">
        <is>
          <t>ch_3Q001685</t>
        </is>
      </c>
      <c r="D1696" t="inlineStr">
        <is>
          <t>charge</t>
        </is>
      </c>
      <c r="E1696" s="5" t="n">
        <v>46284</v>
      </c>
      <c r="F1696" s="9" t="n">
        <v>180</v>
      </c>
      <c r="G1696" s="9" t="n">
        <v>3.45</v>
      </c>
      <c r="H1696" s="9" t="n">
        <v>176.55</v>
      </c>
      <c r="I1696" t="inlineStr">
        <is>
          <t>INV/2026/05310</t>
        </is>
      </c>
      <c r="J1696" s="9">
        <f>ROUND(F1696-G1696-H1696,2)</f>
        <v>0</v>
      </c>
    </row>
    <row r="1697">
      <c r="A1697" t="inlineStr">
        <is>
          <t>po_1Q0060KX</t>
        </is>
      </c>
      <c r="B1697" s="5" t="n">
        <v>46287</v>
      </c>
      <c r="C1697" t="inlineStr">
        <is>
          <t>ch_3Q001686</t>
        </is>
      </c>
      <c r="D1697" t="inlineStr">
        <is>
          <t>charge</t>
        </is>
      </c>
      <c r="E1697" s="5" t="n">
        <v>46284</v>
      </c>
      <c r="F1697" s="9" t="n">
        <v>220</v>
      </c>
      <c r="G1697" s="9" t="n">
        <v>4.15</v>
      </c>
      <c r="H1697" s="9" t="n">
        <v>215.85</v>
      </c>
      <c r="I1697" t="inlineStr">
        <is>
          <t>INV/2026/05311</t>
        </is>
      </c>
      <c r="J1697" s="9">
        <f>ROUND(F1697-G1697-H1697,2)</f>
        <v>0</v>
      </c>
    </row>
    <row r="1698">
      <c r="A1698" t="inlineStr">
        <is>
          <t>po_1Q0060KX</t>
        </is>
      </c>
      <c r="B1698" s="5" t="n">
        <v>46287</v>
      </c>
      <c r="C1698" t="inlineStr">
        <is>
          <t>ch_3Q001687</t>
        </is>
      </c>
      <c r="D1698" t="inlineStr">
        <is>
          <t>charge</t>
        </is>
      </c>
      <c r="E1698" s="5" t="n">
        <v>46284</v>
      </c>
      <c r="F1698" s="9" t="n">
        <v>180</v>
      </c>
      <c r="G1698" s="9" t="n">
        <v>3.45</v>
      </c>
      <c r="H1698" s="9" t="n">
        <v>176.55</v>
      </c>
      <c r="I1698" t="inlineStr">
        <is>
          <t>INV/2026/05312</t>
        </is>
      </c>
      <c r="J1698" s="9">
        <f>ROUND(F1698-G1698-H1698,2)</f>
        <v>0</v>
      </c>
    </row>
    <row r="1699">
      <c r="A1699" t="inlineStr">
        <is>
          <t>po_1Q0060KX</t>
        </is>
      </c>
      <c r="B1699" s="5" t="n">
        <v>46287</v>
      </c>
      <c r="C1699" t="inlineStr">
        <is>
          <t>ch_3Q001688</t>
        </is>
      </c>
      <c r="D1699" t="inlineStr">
        <is>
          <t>charge</t>
        </is>
      </c>
      <c r="E1699" s="5" t="n">
        <v>46284</v>
      </c>
      <c r="F1699" s="9" t="n">
        <v>110</v>
      </c>
      <c r="G1699" s="9" t="n">
        <v>2.23</v>
      </c>
      <c r="H1699" s="9" t="n">
        <v>107.77</v>
      </c>
      <c r="I1699" t="inlineStr">
        <is>
          <t>INV/2026/05313</t>
        </is>
      </c>
      <c r="J1699" s="9">
        <f>ROUND(F1699-G1699-H1699,2)</f>
        <v>0</v>
      </c>
    </row>
    <row r="1700">
      <c r="A1700" t="inlineStr">
        <is>
          <t>po_1Q0060KX</t>
        </is>
      </c>
      <c r="B1700" s="5" t="n">
        <v>46287</v>
      </c>
      <c r="C1700" t="inlineStr">
        <is>
          <t>ch_3Q001689</t>
        </is>
      </c>
      <c r="D1700" t="inlineStr">
        <is>
          <t>charge</t>
        </is>
      </c>
      <c r="E1700" s="5" t="n">
        <v>46284</v>
      </c>
      <c r="F1700" s="9" t="n">
        <v>150</v>
      </c>
      <c r="G1700" s="9" t="n">
        <v>2.93</v>
      </c>
      <c r="H1700" s="9" t="n">
        <v>147.07</v>
      </c>
      <c r="I1700" t="inlineStr">
        <is>
          <t>INV/2026/05314</t>
        </is>
      </c>
      <c r="J1700" s="9">
        <f>ROUND(F1700-G1700-H1700,2)</f>
        <v>0</v>
      </c>
    </row>
    <row r="1701">
      <c r="A1701" t="inlineStr">
        <is>
          <t>po_1Q0060KX</t>
        </is>
      </c>
      <c r="B1701" s="5" t="n">
        <v>46287</v>
      </c>
      <c r="C1701" t="inlineStr">
        <is>
          <t>ch_3Q001690</t>
        </is>
      </c>
      <c r="D1701" t="inlineStr">
        <is>
          <t>charge</t>
        </is>
      </c>
      <c r="E1701" s="5" t="n">
        <v>46284</v>
      </c>
      <c r="F1701" s="9" t="n">
        <v>150</v>
      </c>
      <c r="G1701" s="9" t="n">
        <v>2.93</v>
      </c>
      <c r="H1701" s="9" t="n">
        <v>147.07</v>
      </c>
      <c r="I1701" t="inlineStr">
        <is>
          <t>INV/2026/05315</t>
        </is>
      </c>
      <c r="J1701" s="9">
        <f>ROUND(F1701-G1701-H1701,2)</f>
        <v>0</v>
      </c>
    </row>
    <row r="1702">
      <c r="A1702" t="inlineStr">
        <is>
          <t>po_1Q0060KX</t>
        </is>
      </c>
      <c r="B1702" s="5" t="n">
        <v>46287</v>
      </c>
      <c r="C1702" t="inlineStr">
        <is>
          <t>ch_3Q001691</t>
        </is>
      </c>
      <c r="D1702" t="inlineStr">
        <is>
          <t>charge</t>
        </is>
      </c>
      <c r="E1702" s="5" t="n">
        <v>46284</v>
      </c>
      <c r="F1702" s="9" t="n">
        <v>120</v>
      </c>
      <c r="G1702" s="9" t="n">
        <v>2.4</v>
      </c>
      <c r="H1702" s="9" t="n">
        <v>117.6</v>
      </c>
      <c r="I1702" t="inlineStr">
        <is>
          <t>INV/2026/05316</t>
        </is>
      </c>
      <c r="J1702" s="9">
        <f>ROUND(F1702-G1702-H1702,2)</f>
        <v>0</v>
      </c>
    </row>
    <row r="1703">
      <c r="A1703" t="inlineStr">
        <is>
          <t>po_1Q0061KX</t>
        </is>
      </c>
      <c r="B1703" s="5" t="n">
        <v>46288</v>
      </c>
      <c r="C1703" t="inlineStr">
        <is>
          <t>ch_3Q001692</t>
        </is>
      </c>
      <c r="D1703" t="inlineStr">
        <is>
          <t>charge</t>
        </is>
      </c>
      <c r="E1703" s="5" t="n">
        <v>46286</v>
      </c>
      <c r="F1703" s="9" t="n">
        <v>65</v>
      </c>
      <c r="G1703" s="9" t="n">
        <v>1.44</v>
      </c>
      <c r="H1703" s="9" t="n">
        <v>63.56</v>
      </c>
      <c r="I1703" t="inlineStr">
        <is>
          <t>INV/2026/05317</t>
        </is>
      </c>
      <c r="J1703" s="9">
        <f>ROUND(F1703-G1703-H1703,2)</f>
        <v>0</v>
      </c>
    </row>
    <row r="1704">
      <c r="A1704" t="inlineStr">
        <is>
          <t>po_1Q0061KX</t>
        </is>
      </c>
      <c r="B1704" s="5" t="n">
        <v>46288</v>
      </c>
      <c r="C1704" t="inlineStr">
        <is>
          <t>ch_3Q001693</t>
        </is>
      </c>
      <c r="D1704" t="inlineStr">
        <is>
          <t>charge</t>
        </is>
      </c>
      <c r="E1704" s="5" t="n">
        <v>46286</v>
      </c>
      <c r="F1704" s="9" t="n">
        <v>135</v>
      </c>
      <c r="G1704" s="9" t="n">
        <v>2.66</v>
      </c>
      <c r="H1704" s="9" t="n">
        <v>132.34</v>
      </c>
      <c r="I1704" t="inlineStr">
        <is>
          <t>INV/2026/05318</t>
        </is>
      </c>
      <c r="J1704" s="9">
        <f>ROUND(F1704-G1704-H1704,2)</f>
        <v>0</v>
      </c>
    </row>
    <row r="1705">
      <c r="A1705" t="inlineStr">
        <is>
          <t>po_1Q0061KX</t>
        </is>
      </c>
      <c r="B1705" s="5" t="n">
        <v>46288</v>
      </c>
      <c r="C1705" t="inlineStr">
        <is>
          <t>ch_3Q001694</t>
        </is>
      </c>
      <c r="D1705" t="inlineStr">
        <is>
          <t>charge</t>
        </is>
      </c>
      <c r="E1705" s="5" t="n">
        <v>46286</v>
      </c>
      <c r="F1705" s="9" t="n">
        <v>180</v>
      </c>
      <c r="G1705" s="9" t="n">
        <v>3.45</v>
      </c>
      <c r="H1705" s="9" t="n">
        <v>176.55</v>
      </c>
      <c r="I1705" t="inlineStr">
        <is>
          <t>INV/2026/05319</t>
        </is>
      </c>
      <c r="J1705" s="9">
        <f>ROUND(F1705-G1705-H1705,2)</f>
        <v>0</v>
      </c>
    </row>
    <row r="1706">
      <c r="A1706" t="inlineStr">
        <is>
          <t>po_1Q0061KX</t>
        </is>
      </c>
      <c r="B1706" s="5" t="n">
        <v>46288</v>
      </c>
      <c r="C1706" t="inlineStr">
        <is>
          <t>ch_3Q001695</t>
        </is>
      </c>
      <c r="D1706" t="inlineStr">
        <is>
          <t>charge</t>
        </is>
      </c>
      <c r="E1706" s="5" t="n">
        <v>46286</v>
      </c>
      <c r="F1706" s="9" t="n">
        <v>85</v>
      </c>
      <c r="G1706" s="9" t="n">
        <v>1.79</v>
      </c>
      <c r="H1706" s="9" t="n">
        <v>83.20999999999999</v>
      </c>
      <c r="I1706" t="inlineStr">
        <is>
          <t>INV/2026/05320</t>
        </is>
      </c>
      <c r="J1706" s="9">
        <f>ROUND(F1706-G1706-H1706,2)</f>
        <v>0</v>
      </c>
    </row>
    <row r="1707">
      <c r="A1707" t="inlineStr">
        <is>
          <t>po_1Q0061KX</t>
        </is>
      </c>
      <c r="B1707" s="5" t="n">
        <v>46288</v>
      </c>
      <c r="C1707" t="inlineStr">
        <is>
          <t>ch_3Q001696</t>
        </is>
      </c>
      <c r="D1707" t="inlineStr">
        <is>
          <t>charge</t>
        </is>
      </c>
      <c r="E1707" s="5" t="n">
        <v>46286</v>
      </c>
      <c r="F1707" s="9" t="n">
        <v>180</v>
      </c>
      <c r="G1707" s="9" t="n">
        <v>3.45</v>
      </c>
      <c r="H1707" s="9" t="n">
        <v>176.55</v>
      </c>
      <c r="I1707" t="inlineStr">
        <is>
          <t>INV/2026/05321</t>
        </is>
      </c>
      <c r="J1707" s="9">
        <f>ROUND(F1707-G1707-H1707,2)</f>
        <v>0</v>
      </c>
    </row>
    <row r="1708">
      <c r="A1708" t="inlineStr">
        <is>
          <t>po_1Q0061KX</t>
        </is>
      </c>
      <c r="B1708" s="5" t="n">
        <v>46288</v>
      </c>
      <c r="C1708" t="inlineStr">
        <is>
          <t>ch_3Q001697</t>
        </is>
      </c>
      <c r="D1708" t="inlineStr">
        <is>
          <t>charge</t>
        </is>
      </c>
      <c r="E1708" s="5" t="n">
        <v>46286</v>
      </c>
      <c r="F1708" s="9" t="n">
        <v>110</v>
      </c>
      <c r="G1708" s="9" t="n">
        <v>2.23</v>
      </c>
      <c r="H1708" s="9" t="n">
        <v>107.77</v>
      </c>
      <c r="I1708" t="inlineStr">
        <is>
          <t>INV/2026/05322</t>
        </is>
      </c>
      <c r="J1708" s="9">
        <f>ROUND(F1708-G1708-H1708,2)</f>
        <v>0</v>
      </c>
    </row>
    <row r="1709">
      <c r="A1709" t="inlineStr">
        <is>
          <t>po_1Q0061KX</t>
        </is>
      </c>
      <c r="B1709" s="5" t="n">
        <v>46288</v>
      </c>
      <c r="C1709" t="inlineStr">
        <is>
          <t>ch_3Q001698</t>
        </is>
      </c>
      <c r="D1709" t="inlineStr">
        <is>
          <t>charge</t>
        </is>
      </c>
      <c r="E1709" s="5" t="n">
        <v>46286</v>
      </c>
      <c r="F1709" s="9" t="n">
        <v>120</v>
      </c>
      <c r="G1709" s="9" t="n">
        <v>2.4</v>
      </c>
      <c r="H1709" s="9" t="n">
        <v>117.6</v>
      </c>
      <c r="I1709" t="inlineStr">
        <is>
          <t>INV/2026/05323</t>
        </is>
      </c>
      <c r="J1709" s="9">
        <f>ROUND(F1709-G1709-H1709,2)</f>
        <v>0</v>
      </c>
    </row>
    <row r="1710">
      <c r="A1710" t="inlineStr">
        <is>
          <t>po_1Q0061KX</t>
        </is>
      </c>
      <c r="B1710" s="5" t="n">
        <v>46288</v>
      </c>
      <c r="C1710" t="inlineStr">
        <is>
          <t>ch_3Q001699</t>
        </is>
      </c>
      <c r="D1710" t="inlineStr">
        <is>
          <t>charge</t>
        </is>
      </c>
      <c r="E1710" s="5" t="n">
        <v>46286</v>
      </c>
      <c r="F1710" s="9" t="n">
        <v>220</v>
      </c>
      <c r="G1710" s="9" t="n">
        <v>4.15</v>
      </c>
      <c r="H1710" s="9" t="n">
        <v>215.85</v>
      </c>
      <c r="I1710" t="inlineStr">
        <is>
          <t>INV/2026/05324</t>
        </is>
      </c>
      <c r="J1710" s="9">
        <f>ROUND(F1710-G1710-H1710,2)</f>
        <v>0</v>
      </c>
    </row>
    <row r="1711">
      <c r="A1711" t="inlineStr">
        <is>
          <t>po_1Q0061KX</t>
        </is>
      </c>
      <c r="B1711" s="5" t="n">
        <v>46288</v>
      </c>
      <c r="C1711" t="inlineStr">
        <is>
          <t>ch_3Q001700</t>
        </is>
      </c>
      <c r="D1711" t="inlineStr">
        <is>
          <t>charge</t>
        </is>
      </c>
      <c r="E1711" s="5" t="n">
        <v>46286</v>
      </c>
      <c r="F1711" s="9" t="n">
        <v>95</v>
      </c>
      <c r="G1711" s="9" t="n">
        <v>1.96</v>
      </c>
      <c r="H1711" s="9" t="n">
        <v>93.04000000000001</v>
      </c>
      <c r="I1711" t="inlineStr">
        <is>
          <t>INV/2026/05325</t>
        </is>
      </c>
      <c r="J1711" s="9">
        <f>ROUND(F1711-G1711-H1711,2)</f>
        <v>0</v>
      </c>
    </row>
    <row r="1712">
      <c r="A1712" t="inlineStr">
        <is>
          <t>po_1Q0061KX</t>
        </is>
      </c>
      <c r="B1712" s="5" t="n">
        <v>46288</v>
      </c>
      <c r="C1712" t="inlineStr">
        <is>
          <t>ch_3Q001701</t>
        </is>
      </c>
      <c r="D1712" t="inlineStr">
        <is>
          <t>charge</t>
        </is>
      </c>
      <c r="E1712" s="5" t="n">
        <v>46286</v>
      </c>
      <c r="F1712" s="9" t="n">
        <v>150</v>
      </c>
      <c r="G1712" s="9" t="n">
        <v>2.93</v>
      </c>
      <c r="H1712" s="9" t="n">
        <v>147.07</v>
      </c>
      <c r="I1712" t="inlineStr">
        <is>
          <t>INV/2026/05326</t>
        </is>
      </c>
      <c r="J1712" s="9">
        <f>ROUND(F1712-G1712-H1712,2)</f>
        <v>0</v>
      </c>
    </row>
    <row r="1713">
      <c r="A1713" t="inlineStr">
        <is>
          <t>po_1Q0061KX</t>
        </is>
      </c>
      <c r="B1713" s="5" t="n">
        <v>46288</v>
      </c>
      <c r="C1713" t="inlineStr">
        <is>
          <t>ch_3Q001702</t>
        </is>
      </c>
      <c r="D1713" t="inlineStr">
        <is>
          <t>charge</t>
        </is>
      </c>
      <c r="E1713" s="5" t="n">
        <v>46286</v>
      </c>
      <c r="F1713" s="9" t="n">
        <v>65</v>
      </c>
      <c r="G1713" s="9" t="n">
        <v>1.44</v>
      </c>
      <c r="H1713" s="9" t="n">
        <v>63.56</v>
      </c>
      <c r="I1713" t="inlineStr">
        <is>
          <t>INV/2026/05327</t>
        </is>
      </c>
      <c r="J1713" s="9">
        <f>ROUND(F1713-G1713-H1713,2)</f>
        <v>0</v>
      </c>
    </row>
    <row r="1714">
      <c r="A1714" t="inlineStr">
        <is>
          <t>po_1Q0061KX</t>
        </is>
      </c>
      <c r="B1714" s="5" t="n">
        <v>46288</v>
      </c>
      <c r="C1714" t="inlineStr">
        <is>
          <t>ch_3Q001703</t>
        </is>
      </c>
      <c r="D1714" t="inlineStr">
        <is>
          <t>charge</t>
        </is>
      </c>
      <c r="E1714" s="5" t="n">
        <v>46286</v>
      </c>
      <c r="F1714" s="9" t="n">
        <v>85</v>
      </c>
      <c r="G1714" s="9" t="n">
        <v>1.79</v>
      </c>
      <c r="H1714" s="9" t="n">
        <v>83.20999999999999</v>
      </c>
      <c r="I1714" t="inlineStr">
        <is>
          <t>INV/2026/05328</t>
        </is>
      </c>
      <c r="J1714" s="9">
        <f>ROUND(F1714-G1714-H1714,2)</f>
        <v>0</v>
      </c>
    </row>
    <row r="1715">
      <c r="A1715" t="inlineStr">
        <is>
          <t>po_1Q0061KX</t>
        </is>
      </c>
      <c r="B1715" s="5" t="n">
        <v>46288</v>
      </c>
      <c r="C1715" t="inlineStr">
        <is>
          <t>ch_3Q001704</t>
        </is>
      </c>
      <c r="D1715" t="inlineStr">
        <is>
          <t>charge</t>
        </is>
      </c>
      <c r="E1715" s="5" t="n">
        <v>46286</v>
      </c>
      <c r="F1715" s="9" t="n">
        <v>150</v>
      </c>
      <c r="G1715" s="9" t="n">
        <v>2.93</v>
      </c>
      <c r="H1715" s="9" t="n">
        <v>147.07</v>
      </c>
      <c r="I1715" t="inlineStr">
        <is>
          <t>INV/2026/05329</t>
        </is>
      </c>
      <c r="J1715" s="9">
        <f>ROUND(F1715-G1715-H1715,2)</f>
        <v>0</v>
      </c>
    </row>
    <row r="1716">
      <c r="A1716" t="inlineStr">
        <is>
          <t>po_1Q0061KX</t>
        </is>
      </c>
      <c r="B1716" s="5" t="n">
        <v>46288</v>
      </c>
      <c r="C1716" t="inlineStr">
        <is>
          <t>ch_3Q001705</t>
        </is>
      </c>
      <c r="D1716" t="inlineStr">
        <is>
          <t>charge</t>
        </is>
      </c>
      <c r="E1716" s="5" t="n">
        <v>46286</v>
      </c>
      <c r="F1716" s="9" t="n">
        <v>135</v>
      </c>
      <c r="G1716" s="9" t="n">
        <v>2.66</v>
      </c>
      <c r="H1716" s="9" t="n">
        <v>132.34</v>
      </c>
      <c r="I1716" t="inlineStr">
        <is>
          <t>INV/2026/05330</t>
        </is>
      </c>
      <c r="J1716" s="9">
        <f>ROUND(F1716-G1716-H1716,2)</f>
        <v>0</v>
      </c>
    </row>
    <row r="1717">
      <c r="A1717" t="inlineStr">
        <is>
          <t>po_1Q0061KX</t>
        </is>
      </c>
      <c r="B1717" s="5" t="n">
        <v>46288</v>
      </c>
      <c r="C1717" t="inlineStr">
        <is>
          <t>ch_3Q001706</t>
        </is>
      </c>
      <c r="D1717" t="inlineStr">
        <is>
          <t>charge</t>
        </is>
      </c>
      <c r="E1717" s="5" t="n">
        <v>46286</v>
      </c>
      <c r="F1717" s="9" t="n">
        <v>65</v>
      </c>
      <c r="G1717" s="9" t="n">
        <v>1.44</v>
      </c>
      <c r="H1717" s="9" t="n">
        <v>63.56</v>
      </c>
      <c r="I1717" t="inlineStr">
        <is>
          <t>INV/2026/05331</t>
        </is>
      </c>
      <c r="J1717" s="9">
        <f>ROUND(F1717-G1717-H1717,2)</f>
        <v>0</v>
      </c>
    </row>
    <row r="1718">
      <c r="A1718" t="inlineStr">
        <is>
          <t>po_1Q0061KX</t>
        </is>
      </c>
      <c r="B1718" s="5" t="n">
        <v>46288</v>
      </c>
      <c r="C1718" t="inlineStr">
        <is>
          <t>ch_3Q001707</t>
        </is>
      </c>
      <c r="D1718" t="inlineStr">
        <is>
          <t>charge</t>
        </is>
      </c>
      <c r="E1718" s="5" t="n">
        <v>46286</v>
      </c>
      <c r="F1718" s="9" t="n">
        <v>220</v>
      </c>
      <c r="G1718" s="9" t="n">
        <v>4.15</v>
      </c>
      <c r="H1718" s="9" t="n">
        <v>215.85</v>
      </c>
      <c r="I1718" t="inlineStr">
        <is>
          <t>INV/2026/05332</t>
        </is>
      </c>
      <c r="J1718" s="9">
        <f>ROUND(F1718-G1718-H1718,2)</f>
        <v>0</v>
      </c>
    </row>
    <row r="1719">
      <c r="A1719" t="inlineStr">
        <is>
          <t>po_1Q0061KX</t>
        </is>
      </c>
      <c r="B1719" s="5" t="n">
        <v>46288</v>
      </c>
      <c r="C1719" t="inlineStr">
        <is>
          <t>ch_3Q001708</t>
        </is>
      </c>
      <c r="D1719" t="inlineStr">
        <is>
          <t>charge</t>
        </is>
      </c>
      <c r="E1719" s="5" t="n">
        <v>46286</v>
      </c>
      <c r="F1719" s="9" t="n">
        <v>85</v>
      </c>
      <c r="G1719" s="9" t="n">
        <v>1.79</v>
      </c>
      <c r="H1719" s="9" t="n">
        <v>83.20999999999999</v>
      </c>
      <c r="I1719" t="inlineStr">
        <is>
          <t>INV/2026/05333</t>
        </is>
      </c>
      <c r="J1719" s="9">
        <f>ROUND(F1719-G1719-H1719,2)</f>
        <v>0</v>
      </c>
    </row>
    <row r="1720">
      <c r="A1720" t="inlineStr">
        <is>
          <t>po_1Q0061KX</t>
        </is>
      </c>
      <c r="B1720" s="5" t="n">
        <v>46288</v>
      </c>
      <c r="C1720" t="inlineStr">
        <is>
          <t>ch_3Q001709</t>
        </is>
      </c>
      <c r="D1720" t="inlineStr">
        <is>
          <t>charge</t>
        </is>
      </c>
      <c r="E1720" s="5" t="n">
        <v>46286</v>
      </c>
      <c r="F1720" s="9" t="n">
        <v>220</v>
      </c>
      <c r="G1720" s="9" t="n">
        <v>4.15</v>
      </c>
      <c r="H1720" s="9" t="n">
        <v>215.85</v>
      </c>
      <c r="I1720" t="inlineStr">
        <is>
          <t>INV/2026/05334</t>
        </is>
      </c>
      <c r="J1720" s="9">
        <f>ROUND(F1720-G1720-H1720,2)</f>
        <v>0</v>
      </c>
    </row>
    <row r="1721">
      <c r="A1721" t="inlineStr">
        <is>
          <t>po_1Q0061KX</t>
        </is>
      </c>
      <c r="B1721" s="5" t="n">
        <v>46288</v>
      </c>
      <c r="C1721" t="inlineStr">
        <is>
          <t>ch_3Q001710</t>
        </is>
      </c>
      <c r="D1721" t="inlineStr">
        <is>
          <t>charge</t>
        </is>
      </c>
      <c r="E1721" s="5" t="n">
        <v>46286</v>
      </c>
      <c r="F1721" s="9" t="n">
        <v>85</v>
      </c>
      <c r="G1721" s="9" t="n">
        <v>1.79</v>
      </c>
      <c r="H1721" s="9" t="n">
        <v>83.20999999999999</v>
      </c>
      <c r="I1721" t="inlineStr">
        <is>
          <t>INV/2026/05335</t>
        </is>
      </c>
      <c r="J1721" s="9">
        <f>ROUND(F1721-G1721-H1721,2)</f>
        <v>0</v>
      </c>
    </row>
    <row r="1722">
      <c r="A1722" t="inlineStr">
        <is>
          <t>po_1Q0061KX</t>
        </is>
      </c>
      <c r="B1722" s="5" t="n">
        <v>46288</v>
      </c>
      <c r="C1722" t="inlineStr">
        <is>
          <t>ch_3Q001711</t>
        </is>
      </c>
      <c r="D1722" t="inlineStr">
        <is>
          <t>charge</t>
        </is>
      </c>
      <c r="E1722" s="5" t="n">
        <v>46286</v>
      </c>
      <c r="F1722" s="9" t="n">
        <v>150</v>
      </c>
      <c r="G1722" s="9" t="n">
        <v>2.93</v>
      </c>
      <c r="H1722" s="9" t="n">
        <v>147.07</v>
      </c>
      <c r="I1722" t="inlineStr">
        <is>
          <t>INV/2026/05336</t>
        </is>
      </c>
      <c r="J1722" s="9">
        <f>ROUND(F1722-G1722-H1722,2)</f>
        <v>0</v>
      </c>
    </row>
    <row r="1723">
      <c r="A1723" t="inlineStr">
        <is>
          <t>po_1Q0061KX</t>
        </is>
      </c>
      <c r="B1723" s="5" t="n">
        <v>46288</v>
      </c>
      <c r="C1723" t="inlineStr">
        <is>
          <t>ch_3Q001712</t>
        </is>
      </c>
      <c r="D1723" t="inlineStr">
        <is>
          <t>charge</t>
        </is>
      </c>
      <c r="E1723" s="5" t="n">
        <v>46286</v>
      </c>
      <c r="F1723" s="9" t="n">
        <v>95</v>
      </c>
      <c r="G1723" s="9" t="n">
        <v>1.96</v>
      </c>
      <c r="H1723" s="9" t="n">
        <v>93.04000000000001</v>
      </c>
      <c r="I1723" t="inlineStr">
        <is>
          <t>INV/2026/05337</t>
        </is>
      </c>
      <c r="J1723" s="9">
        <f>ROUND(F1723-G1723-H1723,2)</f>
        <v>0</v>
      </c>
    </row>
    <row r="1724">
      <c r="A1724" t="inlineStr">
        <is>
          <t>po_1Q0061KX</t>
        </is>
      </c>
      <c r="B1724" s="5" t="n">
        <v>46288</v>
      </c>
      <c r="C1724" t="inlineStr">
        <is>
          <t>ch_3Q001713</t>
        </is>
      </c>
      <c r="D1724" t="inlineStr">
        <is>
          <t>charge</t>
        </is>
      </c>
      <c r="E1724" s="5" t="n">
        <v>46286</v>
      </c>
      <c r="F1724" s="9" t="n">
        <v>95</v>
      </c>
      <c r="G1724" s="9" t="n">
        <v>1.96</v>
      </c>
      <c r="H1724" s="9" t="n">
        <v>93.04000000000001</v>
      </c>
      <c r="I1724" t="inlineStr">
        <is>
          <t>INV/2026/05338</t>
        </is>
      </c>
      <c r="J1724" s="9">
        <f>ROUND(F1724-G1724-H1724,2)</f>
        <v>0</v>
      </c>
    </row>
    <row r="1725">
      <c r="A1725" t="inlineStr">
        <is>
          <t>po_1Q0061KX</t>
        </is>
      </c>
      <c r="B1725" s="5" t="n">
        <v>46288</v>
      </c>
      <c r="C1725" t="inlineStr">
        <is>
          <t>ch_3Q001714</t>
        </is>
      </c>
      <c r="D1725" t="inlineStr">
        <is>
          <t>charge</t>
        </is>
      </c>
      <c r="E1725" s="5" t="n">
        <v>46286</v>
      </c>
      <c r="F1725" s="9" t="n">
        <v>110</v>
      </c>
      <c r="G1725" s="9" t="n">
        <v>2.23</v>
      </c>
      <c r="H1725" s="9" t="n">
        <v>107.77</v>
      </c>
      <c r="I1725" t="inlineStr">
        <is>
          <t>INV/2026/05339</t>
        </is>
      </c>
      <c r="J1725" s="9">
        <f>ROUND(F1725-G1725-H1725,2)</f>
        <v>0</v>
      </c>
    </row>
    <row r="1726">
      <c r="A1726" t="inlineStr">
        <is>
          <t>po_1Q0061KX</t>
        </is>
      </c>
      <c r="B1726" s="5" t="n">
        <v>46288</v>
      </c>
      <c r="C1726" t="inlineStr">
        <is>
          <t>ch_3Q001715</t>
        </is>
      </c>
      <c r="D1726" t="inlineStr">
        <is>
          <t>charge</t>
        </is>
      </c>
      <c r="E1726" s="5" t="n">
        <v>46286</v>
      </c>
      <c r="F1726" s="9" t="n">
        <v>110</v>
      </c>
      <c r="G1726" s="9" t="n">
        <v>2.23</v>
      </c>
      <c r="H1726" s="9" t="n">
        <v>107.77</v>
      </c>
      <c r="I1726" t="inlineStr">
        <is>
          <t>INV/2026/05340</t>
        </is>
      </c>
      <c r="J1726" s="9">
        <f>ROUND(F1726-G1726-H1726,2)</f>
        <v>0</v>
      </c>
    </row>
    <row r="1727">
      <c r="A1727" t="inlineStr">
        <is>
          <t>po_1Q0061KX</t>
        </is>
      </c>
      <c r="B1727" s="5" t="n">
        <v>46288</v>
      </c>
      <c r="C1727" t="inlineStr">
        <is>
          <t>ch_3Q001716</t>
        </is>
      </c>
      <c r="D1727" t="inlineStr">
        <is>
          <t>charge</t>
        </is>
      </c>
      <c r="E1727" s="5" t="n">
        <v>46286</v>
      </c>
      <c r="F1727" s="9" t="n">
        <v>95</v>
      </c>
      <c r="G1727" s="9" t="n">
        <v>1.96</v>
      </c>
      <c r="H1727" s="9" t="n">
        <v>93.04000000000001</v>
      </c>
      <c r="I1727" t="inlineStr">
        <is>
          <t>INV/2026/05341</t>
        </is>
      </c>
      <c r="J1727" s="9">
        <f>ROUND(F1727-G1727-H1727,2)</f>
        <v>0</v>
      </c>
    </row>
    <row r="1728">
      <c r="A1728" t="inlineStr">
        <is>
          <t>po_1Q0061KX</t>
        </is>
      </c>
      <c r="B1728" s="5" t="n">
        <v>46288</v>
      </c>
      <c r="C1728" t="inlineStr">
        <is>
          <t>ch_3Q001717</t>
        </is>
      </c>
      <c r="D1728" t="inlineStr">
        <is>
          <t>charge</t>
        </is>
      </c>
      <c r="E1728" s="5" t="n">
        <v>46286</v>
      </c>
      <c r="F1728" s="9" t="n">
        <v>135</v>
      </c>
      <c r="G1728" s="9" t="n">
        <v>2.66</v>
      </c>
      <c r="H1728" s="9" t="n">
        <v>132.34</v>
      </c>
      <c r="I1728" t="inlineStr">
        <is>
          <t>INV/2026/05342</t>
        </is>
      </c>
      <c r="J1728" s="9">
        <f>ROUND(F1728-G1728-H1728,2)</f>
        <v>0</v>
      </c>
    </row>
    <row r="1729">
      <c r="A1729" t="inlineStr">
        <is>
          <t>po_1Q0061KX</t>
        </is>
      </c>
      <c r="B1729" s="5" t="n">
        <v>46288</v>
      </c>
      <c r="C1729" t="inlineStr">
        <is>
          <t>ch_3Q001718</t>
        </is>
      </c>
      <c r="D1729" t="inlineStr">
        <is>
          <t>charge</t>
        </is>
      </c>
      <c r="E1729" s="5" t="n">
        <v>46286</v>
      </c>
      <c r="F1729" s="9" t="n">
        <v>120</v>
      </c>
      <c r="G1729" s="9" t="n">
        <v>2.4</v>
      </c>
      <c r="H1729" s="9" t="n">
        <v>117.6</v>
      </c>
      <c r="I1729" t="inlineStr">
        <is>
          <t>INV/2026/05343</t>
        </is>
      </c>
      <c r="J1729" s="9">
        <f>ROUND(F1729-G1729-H1729,2)</f>
        <v>0</v>
      </c>
    </row>
    <row r="1730">
      <c r="A1730" t="inlineStr">
        <is>
          <t>po_1Q0061KX</t>
        </is>
      </c>
      <c r="B1730" s="5" t="n">
        <v>46288</v>
      </c>
      <c r="C1730" t="inlineStr">
        <is>
          <t>ch_3Q001719</t>
        </is>
      </c>
      <c r="D1730" t="inlineStr">
        <is>
          <t>charge</t>
        </is>
      </c>
      <c r="E1730" s="5" t="n">
        <v>46286</v>
      </c>
      <c r="F1730" s="9" t="n">
        <v>135</v>
      </c>
      <c r="G1730" s="9" t="n">
        <v>2.66</v>
      </c>
      <c r="H1730" s="9" t="n">
        <v>132.34</v>
      </c>
      <c r="I1730" t="inlineStr">
        <is>
          <t>INV/2026/05344</t>
        </is>
      </c>
      <c r="J1730" s="9">
        <f>ROUND(F1730-G1730-H1730,2)</f>
        <v>0</v>
      </c>
    </row>
    <row r="1731">
      <c r="A1731" t="inlineStr">
        <is>
          <t>po_1Q0061KX</t>
        </is>
      </c>
      <c r="B1731" s="5" t="n">
        <v>46288</v>
      </c>
      <c r="C1731" t="inlineStr">
        <is>
          <t>ch_3Q001720</t>
        </is>
      </c>
      <c r="D1731" t="inlineStr">
        <is>
          <t>charge</t>
        </is>
      </c>
      <c r="E1731" s="5" t="n">
        <v>46286</v>
      </c>
      <c r="F1731" s="9" t="n">
        <v>220</v>
      </c>
      <c r="G1731" s="9" t="n">
        <v>4.15</v>
      </c>
      <c r="H1731" s="9" t="n">
        <v>215.85</v>
      </c>
      <c r="I1731" t="inlineStr">
        <is>
          <t>INV/2026/05345</t>
        </is>
      </c>
      <c r="J1731" s="9">
        <f>ROUND(F1731-G1731-H1731,2)</f>
        <v>0</v>
      </c>
    </row>
    <row r="1732">
      <c r="A1732" t="inlineStr">
        <is>
          <t>po_1Q0061KX</t>
        </is>
      </c>
      <c r="B1732" s="5" t="n">
        <v>46288</v>
      </c>
      <c r="C1732" t="inlineStr">
        <is>
          <t>ch_3Q001721</t>
        </is>
      </c>
      <c r="D1732" t="inlineStr">
        <is>
          <t>charge</t>
        </is>
      </c>
      <c r="E1732" s="5" t="n">
        <v>46286</v>
      </c>
      <c r="F1732" s="9" t="n">
        <v>110</v>
      </c>
      <c r="G1732" s="9" t="n">
        <v>2.23</v>
      </c>
      <c r="H1732" s="9" t="n">
        <v>107.77</v>
      </c>
      <c r="I1732" t="inlineStr">
        <is>
          <t>INV/2026/05346</t>
        </is>
      </c>
      <c r="J1732" s="9">
        <f>ROUND(F1732-G1732-H1732,2)</f>
        <v>0</v>
      </c>
    </row>
    <row r="1733">
      <c r="A1733" t="inlineStr">
        <is>
          <t>po_1Q0061KX</t>
        </is>
      </c>
      <c r="B1733" s="5" t="n">
        <v>46288</v>
      </c>
      <c r="C1733" t="inlineStr">
        <is>
          <t>ch_3Q001722</t>
        </is>
      </c>
      <c r="D1733" t="inlineStr">
        <is>
          <t>charge</t>
        </is>
      </c>
      <c r="E1733" s="5" t="n">
        <v>46286</v>
      </c>
      <c r="F1733" s="9" t="n">
        <v>110</v>
      </c>
      <c r="G1733" s="9" t="n">
        <v>2.23</v>
      </c>
      <c r="H1733" s="9" t="n">
        <v>107.77</v>
      </c>
      <c r="I1733" t="inlineStr">
        <is>
          <t>INV/2026/05347</t>
        </is>
      </c>
      <c r="J1733" s="9">
        <f>ROUND(F1733-G1733-H1733,2)</f>
        <v>0</v>
      </c>
    </row>
    <row r="1734">
      <c r="A1734" t="inlineStr">
        <is>
          <t>po_1Q0061KX</t>
        </is>
      </c>
      <c r="B1734" s="5" t="n">
        <v>46288</v>
      </c>
      <c r="C1734" t="inlineStr">
        <is>
          <t>ch_3Q001723</t>
        </is>
      </c>
      <c r="D1734" t="inlineStr">
        <is>
          <t>charge</t>
        </is>
      </c>
      <c r="E1734" s="5" t="n">
        <v>46286</v>
      </c>
      <c r="F1734" s="9" t="n">
        <v>65</v>
      </c>
      <c r="G1734" s="9" t="n">
        <v>1.44</v>
      </c>
      <c r="H1734" s="9" t="n">
        <v>63.56</v>
      </c>
      <c r="I1734" t="inlineStr">
        <is>
          <t>INV/2026/05348</t>
        </is>
      </c>
      <c r="J1734" s="9">
        <f>ROUND(F1734-G1734-H1734,2)</f>
        <v>0</v>
      </c>
    </row>
    <row r="1735">
      <c r="A1735" t="inlineStr">
        <is>
          <t>po_1Q0061KX</t>
        </is>
      </c>
      <c r="B1735" s="5" t="n">
        <v>46288</v>
      </c>
      <c r="C1735" t="inlineStr">
        <is>
          <t>ch_3Q001724</t>
        </is>
      </c>
      <c r="D1735" t="inlineStr">
        <is>
          <t>charge</t>
        </is>
      </c>
      <c r="E1735" s="5" t="n">
        <v>46286</v>
      </c>
      <c r="F1735" s="9" t="n">
        <v>220</v>
      </c>
      <c r="G1735" s="9" t="n">
        <v>4.15</v>
      </c>
      <c r="H1735" s="9" t="n">
        <v>215.85</v>
      </c>
      <c r="I1735" t="inlineStr">
        <is>
          <t>INV/2026/05349</t>
        </is>
      </c>
      <c r="J1735" s="9">
        <f>ROUND(F1735-G1735-H1735,2)</f>
        <v>0</v>
      </c>
    </row>
    <row r="1736">
      <c r="A1736" t="inlineStr">
        <is>
          <t>po_1Q0061KX</t>
        </is>
      </c>
      <c r="B1736" s="5" t="n">
        <v>46288</v>
      </c>
      <c r="C1736" t="inlineStr">
        <is>
          <t>ch_3Q001725</t>
        </is>
      </c>
      <c r="D1736" t="inlineStr">
        <is>
          <t>charge</t>
        </is>
      </c>
      <c r="E1736" s="5" t="n">
        <v>46286</v>
      </c>
      <c r="F1736" s="9" t="n">
        <v>120</v>
      </c>
      <c r="G1736" s="9" t="n">
        <v>2.4</v>
      </c>
      <c r="H1736" s="9" t="n">
        <v>117.6</v>
      </c>
      <c r="I1736" t="inlineStr">
        <is>
          <t>INV/2026/05350</t>
        </is>
      </c>
      <c r="J1736" s="9">
        <f>ROUND(F1736-G1736-H1736,2)</f>
        <v>0</v>
      </c>
    </row>
    <row r="1737">
      <c r="A1737" t="inlineStr">
        <is>
          <t>po_1Q0062KX</t>
        </is>
      </c>
      <c r="B1737" s="5" t="n">
        <v>46289</v>
      </c>
      <c r="C1737" t="inlineStr">
        <is>
          <t>ch_3Q001726</t>
        </is>
      </c>
      <c r="D1737" t="inlineStr">
        <is>
          <t>charge</t>
        </is>
      </c>
      <c r="E1737" s="5" t="n">
        <v>46287</v>
      </c>
      <c r="F1737" s="9" t="n">
        <v>180</v>
      </c>
      <c r="G1737" s="9" t="n">
        <v>3.45</v>
      </c>
      <c r="H1737" s="9" t="n">
        <v>176.55</v>
      </c>
      <c r="I1737" t="inlineStr">
        <is>
          <t>INV/2026/05351</t>
        </is>
      </c>
      <c r="J1737" s="9">
        <f>ROUND(F1737-G1737-H1737,2)</f>
        <v>0</v>
      </c>
    </row>
    <row r="1738">
      <c r="A1738" t="inlineStr">
        <is>
          <t>po_1Q0062KX</t>
        </is>
      </c>
      <c r="B1738" s="5" t="n">
        <v>46289</v>
      </c>
      <c r="C1738" t="inlineStr">
        <is>
          <t>ch_3Q001727</t>
        </is>
      </c>
      <c r="D1738" t="inlineStr">
        <is>
          <t>charge</t>
        </is>
      </c>
      <c r="E1738" s="5" t="n">
        <v>46287</v>
      </c>
      <c r="F1738" s="9" t="n">
        <v>220</v>
      </c>
      <c r="G1738" s="9" t="n">
        <v>4.15</v>
      </c>
      <c r="H1738" s="9" t="n">
        <v>215.85</v>
      </c>
      <c r="I1738" t="inlineStr">
        <is>
          <t>INV/2026/05352</t>
        </is>
      </c>
      <c r="J1738" s="9">
        <f>ROUND(F1738-G1738-H1738,2)</f>
        <v>0</v>
      </c>
    </row>
    <row r="1739">
      <c r="A1739" t="inlineStr">
        <is>
          <t>po_1Q0062KX</t>
        </is>
      </c>
      <c r="B1739" s="5" t="n">
        <v>46289</v>
      </c>
      <c r="C1739" t="inlineStr">
        <is>
          <t>ch_3Q001728</t>
        </is>
      </c>
      <c r="D1739" t="inlineStr">
        <is>
          <t>charge</t>
        </is>
      </c>
      <c r="E1739" s="5" t="n">
        <v>46287</v>
      </c>
      <c r="F1739" s="9" t="n">
        <v>65</v>
      </c>
      <c r="G1739" s="9" t="n">
        <v>1.44</v>
      </c>
      <c r="H1739" s="9" t="n">
        <v>63.56</v>
      </c>
      <c r="I1739" t="inlineStr">
        <is>
          <t>INV/2026/05353</t>
        </is>
      </c>
      <c r="J1739" s="9">
        <f>ROUND(F1739-G1739-H1739,2)</f>
        <v>0</v>
      </c>
    </row>
    <row r="1740">
      <c r="A1740" t="inlineStr">
        <is>
          <t>po_1Q0062KX</t>
        </is>
      </c>
      <c r="B1740" s="5" t="n">
        <v>46289</v>
      </c>
      <c r="C1740" t="inlineStr">
        <is>
          <t>ch_3Q001729</t>
        </is>
      </c>
      <c r="D1740" t="inlineStr">
        <is>
          <t>charge</t>
        </is>
      </c>
      <c r="E1740" s="5" t="n">
        <v>46287</v>
      </c>
      <c r="F1740" s="9" t="n">
        <v>220</v>
      </c>
      <c r="G1740" s="9" t="n">
        <v>4.15</v>
      </c>
      <c r="H1740" s="9" t="n">
        <v>215.85</v>
      </c>
      <c r="I1740" t="inlineStr">
        <is>
          <t>INV/2026/05354</t>
        </is>
      </c>
      <c r="J1740" s="9">
        <f>ROUND(F1740-G1740-H1740,2)</f>
        <v>0</v>
      </c>
    </row>
    <row r="1741">
      <c r="A1741" t="inlineStr">
        <is>
          <t>po_1Q0062KX</t>
        </is>
      </c>
      <c r="B1741" s="5" t="n">
        <v>46289</v>
      </c>
      <c r="C1741" t="inlineStr">
        <is>
          <t>ch_3Q001730</t>
        </is>
      </c>
      <c r="D1741" t="inlineStr">
        <is>
          <t>charge</t>
        </is>
      </c>
      <c r="E1741" s="5" t="n">
        <v>46287</v>
      </c>
      <c r="F1741" s="9" t="n">
        <v>135</v>
      </c>
      <c r="G1741" s="9" t="n">
        <v>2.66</v>
      </c>
      <c r="H1741" s="9" t="n">
        <v>132.34</v>
      </c>
      <c r="I1741" t="inlineStr">
        <is>
          <t>INV/2026/05355</t>
        </is>
      </c>
      <c r="J1741" s="9">
        <f>ROUND(F1741-G1741-H1741,2)</f>
        <v>0</v>
      </c>
    </row>
    <row r="1742">
      <c r="A1742" t="inlineStr">
        <is>
          <t>po_1Q0062KX</t>
        </is>
      </c>
      <c r="B1742" s="5" t="n">
        <v>46289</v>
      </c>
      <c r="C1742" t="inlineStr">
        <is>
          <t>ch_3Q001731</t>
        </is>
      </c>
      <c r="D1742" t="inlineStr">
        <is>
          <t>charge</t>
        </is>
      </c>
      <c r="E1742" s="5" t="n">
        <v>46287</v>
      </c>
      <c r="F1742" s="9" t="n">
        <v>95</v>
      </c>
      <c r="G1742" s="9" t="n">
        <v>1.96</v>
      </c>
      <c r="H1742" s="9" t="n">
        <v>93.04000000000001</v>
      </c>
      <c r="I1742" t="inlineStr">
        <is>
          <t>INV/2026/05356</t>
        </is>
      </c>
      <c r="J1742" s="9">
        <f>ROUND(F1742-G1742-H1742,2)</f>
        <v>0</v>
      </c>
    </row>
    <row r="1743">
      <c r="A1743" t="inlineStr">
        <is>
          <t>po_1Q0062KX</t>
        </is>
      </c>
      <c r="B1743" s="5" t="n">
        <v>46289</v>
      </c>
      <c r="C1743" t="inlineStr">
        <is>
          <t>ch_3Q001732</t>
        </is>
      </c>
      <c r="D1743" t="inlineStr">
        <is>
          <t>charge</t>
        </is>
      </c>
      <c r="E1743" s="5" t="n">
        <v>46287</v>
      </c>
      <c r="F1743" s="9" t="n">
        <v>95</v>
      </c>
      <c r="G1743" s="9" t="n">
        <v>1.96</v>
      </c>
      <c r="H1743" s="9" t="n">
        <v>93.04000000000001</v>
      </c>
      <c r="I1743" t="inlineStr">
        <is>
          <t>INV/2026/05357</t>
        </is>
      </c>
      <c r="J1743" s="9">
        <f>ROUND(F1743-G1743-H1743,2)</f>
        <v>0</v>
      </c>
    </row>
    <row r="1744">
      <c r="A1744" t="inlineStr">
        <is>
          <t>po_1Q0062KX</t>
        </is>
      </c>
      <c r="B1744" s="5" t="n">
        <v>46289</v>
      </c>
      <c r="C1744" t="inlineStr">
        <is>
          <t>ch_3Q001733</t>
        </is>
      </c>
      <c r="D1744" t="inlineStr">
        <is>
          <t>charge</t>
        </is>
      </c>
      <c r="E1744" s="5" t="n">
        <v>46287</v>
      </c>
      <c r="F1744" s="9" t="n">
        <v>110</v>
      </c>
      <c r="G1744" s="9" t="n">
        <v>2.23</v>
      </c>
      <c r="H1744" s="9" t="n">
        <v>107.77</v>
      </c>
      <c r="I1744" t="inlineStr">
        <is>
          <t>INV/2026/05358</t>
        </is>
      </c>
      <c r="J1744" s="9">
        <f>ROUND(F1744-G1744-H1744,2)</f>
        <v>0</v>
      </c>
    </row>
    <row r="1745">
      <c r="A1745" t="inlineStr">
        <is>
          <t>po_1Q0062KX</t>
        </is>
      </c>
      <c r="B1745" s="5" t="n">
        <v>46289</v>
      </c>
      <c r="C1745" t="inlineStr">
        <is>
          <t>ch_3Q001734</t>
        </is>
      </c>
      <c r="D1745" t="inlineStr">
        <is>
          <t>charge</t>
        </is>
      </c>
      <c r="E1745" s="5" t="n">
        <v>46287</v>
      </c>
      <c r="F1745" s="9" t="n">
        <v>180</v>
      </c>
      <c r="G1745" s="9" t="n">
        <v>3.45</v>
      </c>
      <c r="H1745" s="9" t="n">
        <v>176.55</v>
      </c>
      <c r="I1745" t="inlineStr">
        <is>
          <t>INV/2026/05359</t>
        </is>
      </c>
      <c r="J1745" s="9">
        <f>ROUND(F1745-G1745-H1745,2)</f>
        <v>0</v>
      </c>
    </row>
    <row r="1746">
      <c r="A1746" t="inlineStr">
        <is>
          <t>po_1Q0062KX</t>
        </is>
      </c>
      <c r="B1746" s="5" t="n">
        <v>46289</v>
      </c>
      <c r="C1746" t="inlineStr">
        <is>
          <t>ch_3Q001735</t>
        </is>
      </c>
      <c r="D1746" t="inlineStr">
        <is>
          <t>charge</t>
        </is>
      </c>
      <c r="E1746" s="5" t="n">
        <v>46287</v>
      </c>
      <c r="F1746" s="9" t="n">
        <v>120</v>
      </c>
      <c r="G1746" s="9" t="n">
        <v>2.4</v>
      </c>
      <c r="H1746" s="9" t="n">
        <v>117.6</v>
      </c>
      <c r="I1746" t="inlineStr">
        <is>
          <t>INV/2026/05360</t>
        </is>
      </c>
      <c r="J1746" s="9">
        <f>ROUND(F1746-G1746-H1746,2)</f>
        <v>0</v>
      </c>
    </row>
    <row r="1747">
      <c r="A1747" t="inlineStr">
        <is>
          <t>po_1Q0062KX</t>
        </is>
      </c>
      <c r="B1747" s="5" t="n">
        <v>46289</v>
      </c>
      <c r="C1747" t="inlineStr">
        <is>
          <t>ch_3Q001736</t>
        </is>
      </c>
      <c r="D1747" t="inlineStr">
        <is>
          <t>charge</t>
        </is>
      </c>
      <c r="E1747" s="5" t="n">
        <v>46287</v>
      </c>
      <c r="F1747" s="9" t="n">
        <v>135</v>
      </c>
      <c r="G1747" s="9" t="n">
        <v>2.66</v>
      </c>
      <c r="H1747" s="9" t="n">
        <v>132.34</v>
      </c>
      <c r="I1747" t="inlineStr">
        <is>
          <t>INV/2026/05361</t>
        </is>
      </c>
      <c r="J1747" s="9">
        <f>ROUND(F1747-G1747-H1747,2)</f>
        <v>0</v>
      </c>
    </row>
    <row r="1748">
      <c r="A1748" t="inlineStr">
        <is>
          <t>po_1Q0062KX</t>
        </is>
      </c>
      <c r="B1748" s="5" t="n">
        <v>46289</v>
      </c>
      <c r="C1748" t="inlineStr">
        <is>
          <t>ch_3Q001737</t>
        </is>
      </c>
      <c r="D1748" t="inlineStr">
        <is>
          <t>charge</t>
        </is>
      </c>
      <c r="E1748" s="5" t="n">
        <v>46287</v>
      </c>
      <c r="F1748" s="9" t="n">
        <v>65</v>
      </c>
      <c r="G1748" s="9" t="n">
        <v>1.44</v>
      </c>
      <c r="H1748" s="9" t="n">
        <v>63.56</v>
      </c>
      <c r="I1748" t="inlineStr">
        <is>
          <t>INV/2026/05362</t>
        </is>
      </c>
      <c r="J1748" s="9">
        <f>ROUND(F1748-G1748-H1748,2)</f>
        <v>0</v>
      </c>
    </row>
    <row r="1749">
      <c r="A1749" t="inlineStr">
        <is>
          <t>po_1Q0062KX</t>
        </is>
      </c>
      <c r="B1749" s="5" t="n">
        <v>46289</v>
      </c>
      <c r="C1749" t="inlineStr">
        <is>
          <t>ch_3Q001738</t>
        </is>
      </c>
      <c r="D1749" t="inlineStr">
        <is>
          <t>charge</t>
        </is>
      </c>
      <c r="E1749" s="5" t="n">
        <v>46287</v>
      </c>
      <c r="F1749" s="9" t="n">
        <v>135</v>
      </c>
      <c r="G1749" s="9" t="n">
        <v>2.66</v>
      </c>
      <c r="H1749" s="9" t="n">
        <v>132.34</v>
      </c>
      <c r="I1749" t="inlineStr">
        <is>
          <t>INV/2026/05363</t>
        </is>
      </c>
      <c r="J1749" s="9">
        <f>ROUND(F1749-G1749-H1749,2)</f>
        <v>0</v>
      </c>
    </row>
    <row r="1750">
      <c r="A1750" t="inlineStr">
        <is>
          <t>po_1Q0062KX</t>
        </is>
      </c>
      <c r="B1750" s="5" t="n">
        <v>46289</v>
      </c>
      <c r="C1750" t="inlineStr">
        <is>
          <t>ch_3Q001739</t>
        </is>
      </c>
      <c r="D1750" t="inlineStr">
        <is>
          <t>charge</t>
        </is>
      </c>
      <c r="E1750" s="5" t="n">
        <v>46287</v>
      </c>
      <c r="F1750" s="9" t="n">
        <v>220</v>
      </c>
      <c r="G1750" s="9" t="n">
        <v>4.15</v>
      </c>
      <c r="H1750" s="9" t="n">
        <v>215.85</v>
      </c>
      <c r="I1750" t="inlineStr">
        <is>
          <t>INV/2026/05364</t>
        </is>
      </c>
      <c r="J1750" s="9">
        <f>ROUND(F1750-G1750-H1750,2)</f>
        <v>0</v>
      </c>
    </row>
    <row r="1751">
      <c r="A1751" t="inlineStr">
        <is>
          <t>po_1Q0062KX</t>
        </is>
      </c>
      <c r="B1751" s="5" t="n">
        <v>46289</v>
      </c>
      <c r="C1751" t="inlineStr">
        <is>
          <t>ch_3Q001740</t>
        </is>
      </c>
      <c r="D1751" t="inlineStr">
        <is>
          <t>charge</t>
        </is>
      </c>
      <c r="E1751" s="5" t="n">
        <v>46287</v>
      </c>
      <c r="F1751" s="9" t="n">
        <v>135</v>
      </c>
      <c r="G1751" s="9" t="n">
        <v>2.66</v>
      </c>
      <c r="H1751" s="9" t="n">
        <v>132.34</v>
      </c>
      <c r="I1751" t="inlineStr">
        <is>
          <t>INV/2026/05365</t>
        </is>
      </c>
      <c r="J1751" s="9">
        <f>ROUND(F1751-G1751-H1751,2)</f>
        <v>0</v>
      </c>
    </row>
    <row r="1752">
      <c r="A1752" t="inlineStr">
        <is>
          <t>po_1Q0062KX</t>
        </is>
      </c>
      <c r="B1752" s="5" t="n">
        <v>46289</v>
      </c>
      <c r="C1752" t="inlineStr">
        <is>
          <t>ch_3Q001741</t>
        </is>
      </c>
      <c r="D1752" t="inlineStr">
        <is>
          <t>charge</t>
        </is>
      </c>
      <c r="E1752" s="5" t="n">
        <v>46287</v>
      </c>
      <c r="F1752" s="9" t="n">
        <v>85</v>
      </c>
      <c r="G1752" s="9" t="n">
        <v>1.79</v>
      </c>
      <c r="H1752" s="9" t="n">
        <v>83.20999999999999</v>
      </c>
      <c r="I1752" t="inlineStr">
        <is>
          <t>INV/2026/05366</t>
        </is>
      </c>
      <c r="J1752" s="9">
        <f>ROUND(F1752-G1752-H1752,2)</f>
        <v>0</v>
      </c>
    </row>
    <row r="1753">
      <c r="A1753" t="inlineStr">
        <is>
          <t>po_1Q0062KX</t>
        </is>
      </c>
      <c r="B1753" s="5" t="n">
        <v>46289</v>
      </c>
      <c r="C1753" t="inlineStr">
        <is>
          <t>ch_3Q001742</t>
        </is>
      </c>
      <c r="D1753" t="inlineStr">
        <is>
          <t>charge</t>
        </is>
      </c>
      <c r="E1753" s="5" t="n">
        <v>46287</v>
      </c>
      <c r="F1753" s="9" t="n">
        <v>220</v>
      </c>
      <c r="G1753" s="9" t="n">
        <v>4.15</v>
      </c>
      <c r="H1753" s="9" t="n">
        <v>215.85</v>
      </c>
      <c r="I1753" t="inlineStr">
        <is>
          <t>INV/2026/05367</t>
        </is>
      </c>
      <c r="J1753" s="9">
        <f>ROUND(F1753-G1753-H1753,2)</f>
        <v>0</v>
      </c>
    </row>
    <row r="1754">
      <c r="A1754" t="inlineStr">
        <is>
          <t>po_1Q0062KX</t>
        </is>
      </c>
      <c r="B1754" s="5" t="n">
        <v>46289</v>
      </c>
      <c r="C1754" t="inlineStr">
        <is>
          <t>ch_3Q001743</t>
        </is>
      </c>
      <c r="D1754" t="inlineStr">
        <is>
          <t>charge</t>
        </is>
      </c>
      <c r="E1754" s="5" t="n">
        <v>46287</v>
      </c>
      <c r="F1754" s="9" t="n">
        <v>110</v>
      </c>
      <c r="G1754" s="9" t="n">
        <v>2.23</v>
      </c>
      <c r="H1754" s="9" t="n">
        <v>107.77</v>
      </c>
      <c r="I1754" t="inlineStr">
        <is>
          <t>INV/2026/05368</t>
        </is>
      </c>
      <c r="J1754" s="9">
        <f>ROUND(F1754-G1754-H1754,2)</f>
        <v>0</v>
      </c>
    </row>
    <row r="1755">
      <c r="A1755" t="inlineStr">
        <is>
          <t>po_1Q0063KX</t>
        </is>
      </c>
      <c r="B1755" s="5" t="n">
        <v>46290</v>
      </c>
      <c r="C1755" t="inlineStr">
        <is>
          <t>ch_3Q001744</t>
        </is>
      </c>
      <c r="D1755" t="inlineStr">
        <is>
          <t>charge</t>
        </is>
      </c>
      <c r="E1755" s="5" t="n">
        <v>46288</v>
      </c>
      <c r="F1755" s="9" t="n">
        <v>120</v>
      </c>
      <c r="G1755" s="9" t="n">
        <v>2.4</v>
      </c>
      <c r="H1755" s="9" t="n">
        <v>117.6</v>
      </c>
      <c r="I1755" t="inlineStr">
        <is>
          <t>INV/2026/05369</t>
        </is>
      </c>
      <c r="J1755" s="9">
        <f>ROUND(F1755-G1755-H1755,2)</f>
        <v>0</v>
      </c>
    </row>
    <row r="1756">
      <c r="A1756" t="inlineStr">
        <is>
          <t>po_1Q0063KX</t>
        </is>
      </c>
      <c r="B1756" s="5" t="n">
        <v>46290</v>
      </c>
      <c r="C1756" t="inlineStr">
        <is>
          <t>ch_3Q001745</t>
        </is>
      </c>
      <c r="D1756" t="inlineStr">
        <is>
          <t>charge</t>
        </is>
      </c>
      <c r="E1756" s="5" t="n">
        <v>46288</v>
      </c>
      <c r="F1756" s="9" t="n">
        <v>150</v>
      </c>
      <c r="G1756" s="9" t="n">
        <v>2.93</v>
      </c>
      <c r="H1756" s="9" t="n">
        <v>147.07</v>
      </c>
      <c r="I1756" t="inlineStr">
        <is>
          <t>INV/2026/05370</t>
        </is>
      </c>
      <c r="J1756" s="9">
        <f>ROUND(F1756-G1756-H1756,2)</f>
        <v>0</v>
      </c>
    </row>
    <row r="1757">
      <c r="A1757" t="inlineStr">
        <is>
          <t>po_1Q0063KX</t>
        </is>
      </c>
      <c r="B1757" s="5" t="n">
        <v>46290</v>
      </c>
      <c r="C1757" t="inlineStr">
        <is>
          <t>ch_3Q001746</t>
        </is>
      </c>
      <c r="D1757" t="inlineStr">
        <is>
          <t>charge</t>
        </is>
      </c>
      <c r="E1757" s="5" t="n">
        <v>46288</v>
      </c>
      <c r="F1757" s="9" t="n">
        <v>220</v>
      </c>
      <c r="G1757" s="9" t="n">
        <v>4.15</v>
      </c>
      <c r="H1757" s="9" t="n">
        <v>215.85</v>
      </c>
      <c r="I1757" t="inlineStr">
        <is>
          <t>INV/2026/05371</t>
        </is>
      </c>
      <c r="J1757" s="9">
        <f>ROUND(F1757-G1757-H1757,2)</f>
        <v>0</v>
      </c>
    </row>
    <row r="1758">
      <c r="A1758" t="inlineStr">
        <is>
          <t>po_1Q0063KX</t>
        </is>
      </c>
      <c r="B1758" s="5" t="n">
        <v>46290</v>
      </c>
      <c r="C1758" t="inlineStr">
        <is>
          <t>ch_3Q001747</t>
        </is>
      </c>
      <c r="D1758" t="inlineStr">
        <is>
          <t>charge</t>
        </is>
      </c>
      <c r="E1758" s="5" t="n">
        <v>46288</v>
      </c>
      <c r="F1758" s="9" t="n">
        <v>135</v>
      </c>
      <c r="G1758" s="9" t="n">
        <v>2.66</v>
      </c>
      <c r="H1758" s="9" t="n">
        <v>132.34</v>
      </c>
      <c r="I1758" t="inlineStr">
        <is>
          <t>INV/2026/05372</t>
        </is>
      </c>
      <c r="J1758" s="9">
        <f>ROUND(F1758-G1758-H1758,2)</f>
        <v>0</v>
      </c>
    </row>
    <row r="1759">
      <c r="A1759" t="inlineStr">
        <is>
          <t>po_1Q0063KX</t>
        </is>
      </c>
      <c r="B1759" s="5" t="n">
        <v>46290</v>
      </c>
      <c r="C1759" t="inlineStr">
        <is>
          <t>ch_3Q001748</t>
        </is>
      </c>
      <c r="D1759" t="inlineStr">
        <is>
          <t>charge</t>
        </is>
      </c>
      <c r="E1759" s="5" t="n">
        <v>46288</v>
      </c>
      <c r="F1759" s="9" t="n">
        <v>220</v>
      </c>
      <c r="G1759" s="9" t="n">
        <v>4.15</v>
      </c>
      <c r="H1759" s="9" t="n">
        <v>215.85</v>
      </c>
      <c r="I1759" t="inlineStr">
        <is>
          <t>INV/2026/05373</t>
        </is>
      </c>
      <c r="J1759" s="9">
        <f>ROUND(F1759-G1759-H1759,2)</f>
        <v>0</v>
      </c>
    </row>
    <row r="1760">
      <c r="A1760" t="inlineStr">
        <is>
          <t>po_1Q0063KX</t>
        </is>
      </c>
      <c r="B1760" s="5" t="n">
        <v>46290</v>
      </c>
      <c r="C1760" t="inlineStr">
        <is>
          <t>ch_3Q001749</t>
        </is>
      </c>
      <c r="D1760" t="inlineStr">
        <is>
          <t>charge</t>
        </is>
      </c>
      <c r="E1760" s="5" t="n">
        <v>46288</v>
      </c>
      <c r="F1760" s="9" t="n">
        <v>95</v>
      </c>
      <c r="G1760" s="9" t="n">
        <v>1.96</v>
      </c>
      <c r="H1760" s="9" t="n">
        <v>93.04000000000001</v>
      </c>
      <c r="I1760" t="inlineStr">
        <is>
          <t>INV/2026/05374</t>
        </is>
      </c>
      <c r="J1760" s="9">
        <f>ROUND(F1760-G1760-H1760,2)</f>
        <v>0</v>
      </c>
    </row>
    <row r="1761">
      <c r="A1761" t="inlineStr">
        <is>
          <t>po_1Q0063KX</t>
        </is>
      </c>
      <c r="B1761" s="5" t="n">
        <v>46290</v>
      </c>
      <c r="C1761" t="inlineStr">
        <is>
          <t>ch_3Q001750</t>
        </is>
      </c>
      <c r="D1761" t="inlineStr">
        <is>
          <t>charge</t>
        </is>
      </c>
      <c r="E1761" s="5" t="n">
        <v>46288</v>
      </c>
      <c r="F1761" s="9" t="n">
        <v>95</v>
      </c>
      <c r="G1761" s="9" t="n">
        <v>1.96</v>
      </c>
      <c r="H1761" s="9" t="n">
        <v>93.04000000000001</v>
      </c>
      <c r="I1761" t="inlineStr">
        <is>
          <t>INV/2026/05375</t>
        </is>
      </c>
      <c r="J1761" s="9">
        <f>ROUND(F1761-G1761-H1761,2)</f>
        <v>0</v>
      </c>
    </row>
    <row r="1762">
      <c r="A1762" t="inlineStr">
        <is>
          <t>po_1Q0063KX</t>
        </is>
      </c>
      <c r="B1762" s="5" t="n">
        <v>46290</v>
      </c>
      <c r="C1762" t="inlineStr">
        <is>
          <t>ch_3Q001751</t>
        </is>
      </c>
      <c r="D1762" t="inlineStr">
        <is>
          <t>charge</t>
        </is>
      </c>
      <c r="E1762" s="5" t="n">
        <v>46288</v>
      </c>
      <c r="F1762" s="9" t="n">
        <v>110</v>
      </c>
      <c r="G1762" s="9" t="n">
        <v>2.23</v>
      </c>
      <c r="H1762" s="9" t="n">
        <v>107.77</v>
      </c>
      <c r="I1762" t="inlineStr">
        <is>
          <t>INV/2026/05376</t>
        </is>
      </c>
      <c r="J1762" s="9">
        <f>ROUND(F1762-G1762-H1762,2)</f>
        <v>0</v>
      </c>
    </row>
    <row r="1763">
      <c r="A1763" t="inlineStr">
        <is>
          <t>po_1Q0063KX</t>
        </is>
      </c>
      <c r="B1763" s="5" t="n">
        <v>46290</v>
      </c>
      <c r="C1763" t="inlineStr">
        <is>
          <t>ch_3Q001752</t>
        </is>
      </c>
      <c r="D1763" t="inlineStr">
        <is>
          <t>charge</t>
        </is>
      </c>
      <c r="E1763" s="5" t="n">
        <v>46288</v>
      </c>
      <c r="F1763" s="9" t="n">
        <v>65</v>
      </c>
      <c r="G1763" s="9" t="n">
        <v>1.44</v>
      </c>
      <c r="H1763" s="9" t="n">
        <v>63.56</v>
      </c>
      <c r="I1763" t="inlineStr">
        <is>
          <t>INV/2026/05377</t>
        </is>
      </c>
      <c r="J1763" s="9">
        <f>ROUND(F1763-G1763-H1763,2)</f>
        <v>0</v>
      </c>
    </row>
    <row r="1764">
      <c r="A1764" t="inlineStr">
        <is>
          <t>po_1Q0063KX</t>
        </is>
      </c>
      <c r="B1764" s="5" t="n">
        <v>46290</v>
      </c>
      <c r="C1764" t="inlineStr">
        <is>
          <t>ch_3Q001753</t>
        </is>
      </c>
      <c r="D1764" t="inlineStr">
        <is>
          <t>charge</t>
        </is>
      </c>
      <c r="E1764" s="5" t="n">
        <v>46288</v>
      </c>
      <c r="F1764" s="9" t="n">
        <v>65</v>
      </c>
      <c r="G1764" s="9" t="n">
        <v>1.44</v>
      </c>
      <c r="H1764" s="9" t="n">
        <v>63.56</v>
      </c>
      <c r="I1764" t="inlineStr">
        <is>
          <t>INV/2026/05378</t>
        </is>
      </c>
      <c r="J1764" s="9">
        <f>ROUND(F1764-G1764-H1764,2)</f>
        <v>0</v>
      </c>
    </row>
    <row r="1765">
      <c r="A1765" t="inlineStr">
        <is>
          <t>po_1Q0063KX</t>
        </is>
      </c>
      <c r="B1765" s="5" t="n">
        <v>46290</v>
      </c>
      <c r="C1765" t="inlineStr">
        <is>
          <t>ch_3Q001754</t>
        </is>
      </c>
      <c r="D1765" t="inlineStr">
        <is>
          <t>charge</t>
        </is>
      </c>
      <c r="E1765" s="5" t="n">
        <v>46288</v>
      </c>
      <c r="F1765" s="9" t="n">
        <v>110</v>
      </c>
      <c r="G1765" s="9" t="n">
        <v>2.23</v>
      </c>
      <c r="H1765" s="9" t="n">
        <v>107.77</v>
      </c>
      <c r="I1765" t="inlineStr">
        <is>
          <t>INV/2026/05379</t>
        </is>
      </c>
      <c r="J1765" s="9">
        <f>ROUND(F1765-G1765-H1765,2)</f>
        <v>0</v>
      </c>
    </row>
    <row r="1766">
      <c r="A1766" t="inlineStr">
        <is>
          <t>po_1Q0063KX</t>
        </is>
      </c>
      <c r="B1766" s="5" t="n">
        <v>46290</v>
      </c>
      <c r="C1766" t="inlineStr">
        <is>
          <t>ch_3Q001755</t>
        </is>
      </c>
      <c r="D1766" t="inlineStr">
        <is>
          <t>charge</t>
        </is>
      </c>
      <c r="E1766" s="5" t="n">
        <v>46288</v>
      </c>
      <c r="F1766" s="9" t="n">
        <v>65</v>
      </c>
      <c r="G1766" s="9" t="n">
        <v>1.44</v>
      </c>
      <c r="H1766" s="9" t="n">
        <v>63.56</v>
      </c>
      <c r="I1766" t="inlineStr">
        <is>
          <t>INV/2026/05380</t>
        </is>
      </c>
      <c r="J1766" s="9">
        <f>ROUND(F1766-G1766-H1766,2)</f>
        <v>0</v>
      </c>
    </row>
    <row r="1767">
      <c r="A1767" t="inlineStr">
        <is>
          <t>po_1Q0063KX</t>
        </is>
      </c>
      <c r="B1767" s="5" t="n">
        <v>46290</v>
      </c>
      <c r="C1767" t="inlineStr">
        <is>
          <t>ch_3Q001756</t>
        </is>
      </c>
      <c r="D1767" t="inlineStr">
        <is>
          <t>charge</t>
        </is>
      </c>
      <c r="E1767" s="5" t="n">
        <v>46288</v>
      </c>
      <c r="F1767" s="9" t="n">
        <v>135</v>
      </c>
      <c r="G1767" s="9" t="n">
        <v>2.66</v>
      </c>
      <c r="H1767" s="9" t="n">
        <v>132.34</v>
      </c>
      <c r="I1767" t="inlineStr">
        <is>
          <t>INV/2026/05381</t>
        </is>
      </c>
      <c r="J1767" s="9">
        <f>ROUND(F1767-G1767-H1767,2)</f>
        <v>0</v>
      </c>
    </row>
    <row r="1768">
      <c r="A1768" t="inlineStr">
        <is>
          <t>po_1Q0063KX</t>
        </is>
      </c>
      <c r="B1768" s="5" t="n">
        <v>46290</v>
      </c>
      <c r="C1768" t="inlineStr">
        <is>
          <t>ch_3Q001757</t>
        </is>
      </c>
      <c r="D1768" t="inlineStr">
        <is>
          <t>charge</t>
        </is>
      </c>
      <c r="E1768" s="5" t="n">
        <v>46288</v>
      </c>
      <c r="F1768" s="9" t="n">
        <v>120</v>
      </c>
      <c r="G1768" s="9" t="n">
        <v>2.4</v>
      </c>
      <c r="H1768" s="9" t="n">
        <v>117.6</v>
      </c>
      <c r="I1768" t="inlineStr">
        <is>
          <t>INV/2026/05382</t>
        </is>
      </c>
      <c r="J1768" s="9">
        <f>ROUND(F1768-G1768-H1768,2)</f>
        <v>0</v>
      </c>
    </row>
    <row r="1769">
      <c r="A1769" t="inlineStr">
        <is>
          <t>po_1Q0063KX</t>
        </is>
      </c>
      <c r="B1769" s="5" t="n">
        <v>46290</v>
      </c>
      <c r="C1769" t="inlineStr">
        <is>
          <t>ch_3Q001758</t>
        </is>
      </c>
      <c r="D1769" t="inlineStr">
        <is>
          <t>charge</t>
        </is>
      </c>
      <c r="E1769" s="5" t="n">
        <v>46288</v>
      </c>
      <c r="F1769" s="9" t="n">
        <v>110</v>
      </c>
      <c r="G1769" s="9" t="n">
        <v>2.23</v>
      </c>
      <c r="H1769" s="9" t="n">
        <v>107.77</v>
      </c>
      <c r="I1769" t="inlineStr">
        <is>
          <t>INV/2026/05383</t>
        </is>
      </c>
      <c r="J1769" s="9">
        <f>ROUND(F1769-G1769-H1769,2)</f>
        <v>0</v>
      </c>
    </row>
    <row r="1770">
      <c r="A1770" t="inlineStr">
        <is>
          <t>po_1Q0063KX</t>
        </is>
      </c>
      <c r="B1770" s="5" t="n">
        <v>46290</v>
      </c>
      <c r="C1770" t="inlineStr">
        <is>
          <t>ch_3Q001759</t>
        </is>
      </c>
      <c r="D1770" t="inlineStr">
        <is>
          <t>charge</t>
        </is>
      </c>
      <c r="E1770" s="5" t="n">
        <v>46288</v>
      </c>
      <c r="F1770" s="9" t="n">
        <v>120</v>
      </c>
      <c r="G1770" s="9" t="n">
        <v>2.4</v>
      </c>
      <c r="H1770" s="9" t="n">
        <v>117.6</v>
      </c>
      <c r="I1770" t="inlineStr">
        <is>
          <t>INV/2026/05384</t>
        </is>
      </c>
      <c r="J1770" s="9">
        <f>ROUND(F1770-G1770-H1770,2)</f>
        <v>0</v>
      </c>
    </row>
    <row r="1771">
      <c r="A1771" t="inlineStr">
        <is>
          <t>po_1Q0063KX</t>
        </is>
      </c>
      <c r="B1771" s="5" t="n">
        <v>46290</v>
      </c>
      <c r="C1771" t="inlineStr">
        <is>
          <t>ch_3Q001760</t>
        </is>
      </c>
      <c r="D1771" t="inlineStr">
        <is>
          <t>charge</t>
        </is>
      </c>
      <c r="E1771" s="5" t="n">
        <v>46288</v>
      </c>
      <c r="F1771" s="9" t="n">
        <v>110</v>
      </c>
      <c r="G1771" s="9" t="n">
        <v>2.23</v>
      </c>
      <c r="H1771" s="9" t="n">
        <v>107.77</v>
      </c>
      <c r="I1771" t="inlineStr">
        <is>
          <t>INV/2026/05385</t>
        </is>
      </c>
      <c r="J1771" s="9">
        <f>ROUND(F1771-G1771-H1771,2)</f>
        <v>0</v>
      </c>
    </row>
    <row r="1772">
      <c r="A1772" t="inlineStr">
        <is>
          <t>po_1Q0063KX</t>
        </is>
      </c>
      <c r="B1772" s="5" t="n">
        <v>46290</v>
      </c>
      <c r="C1772" t="inlineStr">
        <is>
          <t>ch_3Q001761</t>
        </is>
      </c>
      <c r="D1772" t="inlineStr">
        <is>
          <t>charge</t>
        </is>
      </c>
      <c r="E1772" s="5" t="n">
        <v>46288</v>
      </c>
      <c r="F1772" s="9" t="n">
        <v>135</v>
      </c>
      <c r="G1772" s="9" t="n">
        <v>2.66</v>
      </c>
      <c r="H1772" s="9" t="n">
        <v>132.34</v>
      </c>
      <c r="I1772" t="inlineStr">
        <is>
          <t>INV/2026/05386</t>
        </is>
      </c>
      <c r="J1772" s="9">
        <f>ROUND(F1772-G1772-H1772,2)</f>
        <v>0</v>
      </c>
    </row>
    <row r="1773">
      <c r="A1773" t="inlineStr">
        <is>
          <t>po_1Q0063KX</t>
        </is>
      </c>
      <c r="B1773" s="5" t="n">
        <v>46290</v>
      </c>
      <c r="C1773" t="inlineStr">
        <is>
          <t>ch_3Q001762</t>
        </is>
      </c>
      <c r="D1773" t="inlineStr">
        <is>
          <t>charge</t>
        </is>
      </c>
      <c r="E1773" s="5" t="n">
        <v>46288</v>
      </c>
      <c r="F1773" s="9" t="n">
        <v>220</v>
      </c>
      <c r="G1773" s="9" t="n">
        <v>4.15</v>
      </c>
      <c r="H1773" s="9" t="n">
        <v>215.85</v>
      </c>
      <c r="I1773" t="inlineStr">
        <is>
          <t>INV/2026/05387</t>
        </is>
      </c>
      <c r="J1773" s="9">
        <f>ROUND(F1773-G1773-H1773,2)</f>
        <v>0</v>
      </c>
    </row>
    <row r="1774">
      <c r="A1774" t="inlineStr">
        <is>
          <t>po_1Q0063KX</t>
        </is>
      </c>
      <c r="B1774" s="5" t="n">
        <v>46290</v>
      </c>
      <c r="C1774" t="inlineStr">
        <is>
          <t>ch_3Q001763</t>
        </is>
      </c>
      <c r="D1774" t="inlineStr">
        <is>
          <t>charge</t>
        </is>
      </c>
      <c r="E1774" s="5" t="n">
        <v>46288</v>
      </c>
      <c r="F1774" s="9" t="n">
        <v>120</v>
      </c>
      <c r="G1774" s="9" t="n">
        <v>2.4</v>
      </c>
      <c r="H1774" s="9" t="n">
        <v>117.6</v>
      </c>
      <c r="I1774" t="inlineStr">
        <is>
          <t>INV/2026/05388</t>
        </is>
      </c>
      <c r="J1774" s="9">
        <f>ROUND(F1774-G1774-H1774,2)</f>
        <v>0</v>
      </c>
    </row>
    <row r="1775">
      <c r="A1775" t="inlineStr">
        <is>
          <t>po_1Q0063KX</t>
        </is>
      </c>
      <c r="B1775" s="5" t="n">
        <v>46290</v>
      </c>
      <c r="C1775" t="inlineStr">
        <is>
          <t>ch_3Q001764</t>
        </is>
      </c>
      <c r="D1775" t="inlineStr">
        <is>
          <t>charge</t>
        </is>
      </c>
      <c r="E1775" s="5" t="n">
        <v>46288</v>
      </c>
      <c r="F1775" s="9" t="n">
        <v>85</v>
      </c>
      <c r="G1775" s="9" t="n">
        <v>1.79</v>
      </c>
      <c r="H1775" s="9" t="n">
        <v>83.20999999999999</v>
      </c>
      <c r="I1775" t="inlineStr">
        <is>
          <t>INV/2026/05389</t>
        </is>
      </c>
      <c r="J1775" s="9">
        <f>ROUND(F1775-G1775-H1775,2)</f>
        <v>0</v>
      </c>
    </row>
    <row r="1776">
      <c r="A1776" t="inlineStr">
        <is>
          <t>po_1Q0063KX</t>
        </is>
      </c>
      <c r="B1776" s="5" t="n">
        <v>46290</v>
      </c>
      <c r="C1776" t="inlineStr">
        <is>
          <t>ch_3Q001765</t>
        </is>
      </c>
      <c r="D1776" t="inlineStr">
        <is>
          <t>charge</t>
        </is>
      </c>
      <c r="E1776" s="5" t="n">
        <v>46288</v>
      </c>
      <c r="F1776" s="9" t="n">
        <v>95</v>
      </c>
      <c r="G1776" s="9" t="n">
        <v>1.96</v>
      </c>
      <c r="H1776" s="9" t="n">
        <v>93.04000000000001</v>
      </c>
      <c r="I1776" t="inlineStr">
        <is>
          <t>INV/2026/05390</t>
        </is>
      </c>
      <c r="J1776" s="9">
        <f>ROUND(F1776-G1776-H1776,2)</f>
        <v>0</v>
      </c>
    </row>
    <row r="1777">
      <c r="A1777" t="inlineStr">
        <is>
          <t>po_1Q0063KX</t>
        </is>
      </c>
      <c r="B1777" s="5" t="n">
        <v>46290</v>
      </c>
      <c r="C1777" t="inlineStr">
        <is>
          <t>ch_3Q001766</t>
        </is>
      </c>
      <c r="D1777" t="inlineStr">
        <is>
          <t>charge</t>
        </is>
      </c>
      <c r="E1777" s="5" t="n">
        <v>46288</v>
      </c>
      <c r="F1777" s="9" t="n">
        <v>120</v>
      </c>
      <c r="G1777" s="9" t="n">
        <v>2.4</v>
      </c>
      <c r="H1777" s="9" t="n">
        <v>117.6</v>
      </c>
      <c r="I1777" t="inlineStr">
        <is>
          <t>INV/2026/05391</t>
        </is>
      </c>
      <c r="J1777" s="9">
        <f>ROUND(F1777-G1777-H1777,2)</f>
        <v>0</v>
      </c>
    </row>
    <row r="1778">
      <c r="A1778" t="inlineStr">
        <is>
          <t>po_1Q0063KX</t>
        </is>
      </c>
      <c r="B1778" s="5" t="n">
        <v>46290</v>
      </c>
      <c r="C1778" t="inlineStr">
        <is>
          <t>ch_3Q001767</t>
        </is>
      </c>
      <c r="D1778" t="inlineStr">
        <is>
          <t>charge</t>
        </is>
      </c>
      <c r="E1778" s="5" t="n">
        <v>46288</v>
      </c>
      <c r="F1778" s="9" t="n">
        <v>85</v>
      </c>
      <c r="G1778" s="9" t="n">
        <v>1.79</v>
      </c>
      <c r="H1778" s="9" t="n">
        <v>83.20999999999999</v>
      </c>
      <c r="I1778" t="inlineStr">
        <is>
          <t>INV/2026/05392</t>
        </is>
      </c>
      <c r="J1778" s="9">
        <f>ROUND(F1778-G1778-H1778,2)</f>
        <v>0</v>
      </c>
    </row>
    <row r="1779">
      <c r="A1779" t="inlineStr">
        <is>
          <t>po_1Q0063KX</t>
        </is>
      </c>
      <c r="B1779" s="5" t="n">
        <v>46290</v>
      </c>
      <c r="C1779" t="inlineStr">
        <is>
          <t>ch_3Q001768</t>
        </is>
      </c>
      <c r="D1779" t="inlineStr">
        <is>
          <t>charge</t>
        </is>
      </c>
      <c r="E1779" s="5" t="n">
        <v>46288</v>
      </c>
      <c r="F1779" s="9" t="n">
        <v>150</v>
      </c>
      <c r="G1779" s="9" t="n">
        <v>2.93</v>
      </c>
      <c r="H1779" s="9" t="n">
        <v>147.07</v>
      </c>
      <c r="I1779" t="inlineStr">
        <is>
          <t>INV/2026/05393</t>
        </is>
      </c>
      <c r="J1779" s="9">
        <f>ROUND(F1779-G1779-H1779,2)</f>
        <v>0</v>
      </c>
    </row>
    <row r="1780">
      <c r="A1780" t="inlineStr">
        <is>
          <t>po_1Q0063KX</t>
        </is>
      </c>
      <c r="B1780" s="5" t="n">
        <v>46290</v>
      </c>
      <c r="C1780" t="inlineStr">
        <is>
          <t>ch_3Q001769</t>
        </is>
      </c>
      <c r="D1780" t="inlineStr">
        <is>
          <t>charge</t>
        </is>
      </c>
      <c r="E1780" s="5" t="n">
        <v>46288</v>
      </c>
      <c r="F1780" s="9" t="n">
        <v>65</v>
      </c>
      <c r="G1780" s="9" t="n">
        <v>1.44</v>
      </c>
      <c r="H1780" s="9" t="n">
        <v>63.56</v>
      </c>
      <c r="I1780" t="inlineStr">
        <is>
          <t>INV/2026/05394</t>
        </is>
      </c>
      <c r="J1780" s="9">
        <f>ROUND(F1780-G1780-H1780,2)</f>
        <v>0</v>
      </c>
    </row>
    <row r="1781">
      <c r="A1781" t="inlineStr">
        <is>
          <t>po_1Q0063KX</t>
        </is>
      </c>
      <c r="B1781" s="5" t="n">
        <v>46290</v>
      </c>
      <c r="C1781" t="inlineStr">
        <is>
          <t>ch_3Q001770</t>
        </is>
      </c>
      <c r="D1781" t="inlineStr">
        <is>
          <t>charge</t>
        </is>
      </c>
      <c r="E1781" s="5" t="n">
        <v>46288</v>
      </c>
      <c r="F1781" s="9" t="n">
        <v>220</v>
      </c>
      <c r="G1781" s="9" t="n">
        <v>4.15</v>
      </c>
      <c r="H1781" s="9" t="n">
        <v>215.85</v>
      </c>
      <c r="I1781" t="inlineStr">
        <is>
          <t>INV/2026/05395</t>
        </is>
      </c>
      <c r="J1781" s="9">
        <f>ROUND(F1781-G1781-H1781,2)</f>
        <v>0</v>
      </c>
    </row>
    <row r="1782">
      <c r="A1782" t="inlineStr">
        <is>
          <t>po_1Q0064KX</t>
        </is>
      </c>
      <c r="B1782" s="5" t="n">
        <v>46293</v>
      </c>
      <c r="C1782" t="inlineStr">
        <is>
          <t>ch_3Q001771</t>
        </is>
      </c>
      <c r="D1782" t="inlineStr">
        <is>
          <t>charge</t>
        </is>
      </c>
      <c r="E1782" s="5" t="n">
        <v>46289</v>
      </c>
      <c r="F1782" s="9" t="n">
        <v>95</v>
      </c>
      <c r="G1782" s="9" t="n">
        <v>1.96</v>
      </c>
      <c r="H1782" s="9" t="n">
        <v>93.04000000000001</v>
      </c>
      <c r="I1782" t="inlineStr">
        <is>
          <t>INV/2026/05396</t>
        </is>
      </c>
      <c r="J1782" s="9">
        <f>ROUND(F1782-G1782-H1782,2)</f>
        <v>0</v>
      </c>
    </row>
    <row r="1783">
      <c r="A1783" t="inlineStr">
        <is>
          <t>po_1Q0064KX</t>
        </is>
      </c>
      <c r="B1783" s="5" t="n">
        <v>46293</v>
      </c>
      <c r="C1783" t="inlineStr">
        <is>
          <t>ch_3Q001772</t>
        </is>
      </c>
      <c r="D1783" t="inlineStr">
        <is>
          <t>charge</t>
        </is>
      </c>
      <c r="E1783" s="5" t="n">
        <v>46289</v>
      </c>
      <c r="F1783" s="9" t="n">
        <v>95</v>
      </c>
      <c r="G1783" s="9" t="n">
        <v>1.96</v>
      </c>
      <c r="H1783" s="9" t="n">
        <v>93.04000000000001</v>
      </c>
      <c r="I1783" t="inlineStr">
        <is>
          <t>INV/2026/05397</t>
        </is>
      </c>
      <c r="J1783" s="9">
        <f>ROUND(F1783-G1783-H1783,2)</f>
        <v>0</v>
      </c>
    </row>
    <row r="1784">
      <c r="A1784" t="inlineStr">
        <is>
          <t>po_1Q0064KX</t>
        </is>
      </c>
      <c r="B1784" s="5" t="n">
        <v>46293</v>
      </c>
      <c r="C1784" t="inlineStr">
        <is>
          <t>ch_3Q001773</t>
        </is>
      </c>
      <c r="D1784" t="inlineStr">
        <is>
          <t>charge</t>
        </is>
      </c>
      <c r="E1784" s="5" t="n">
        <v>46289</v>
      </c>
      <c r="F1784" s="9" t="n">
        <v>120</v>
      </c>
      <c r="G1784" s="9" t="n">
        <v>2.4</v>
      </c>
      <c r="H1784" s="9" t="n">
        <v>117.6</v>
      </c>
      <c r="I1784" t="inlineStr">
        <is>
          <t>INV/2026/05398</t>
        </is>
      </c>
      <c r="J1784" s="9">
        <f>ROUND(F1784-G1784-H1784,2)</f>
        <v>0</v>
      </c>
    </row>
    <row r="1785">
      <c r="A1785" t="inlineStr">
        <is>
          <t>po_1Q0064KX</t>
        </is>
      </c>
      <c r="B1785" s="5" t="n">
        <v>46293</v>
      </c>
      <c r="C1785" t="inlineStr">
        <is>
          <t>ch_3Q001774</t>
        </is>
      </c>
      <c r="D1785" t="inlineStr">
        <is>
          <t>charge</t>
        </is>
      </c>
      <c r="E1785" s="5" t="n">
        <v>46289</v>
      </c>
      <c r="F1785" s="9" t="n">
        <v>220</v>
      </c>
      <c r="G1785" s="9" t="n">
        <v>4.15</v>
      </c>
      <c r="H1785" s="9" t="n">
        <v>215.85</v>
      </c>
      <c r="I1785" t="inlineStr">
        <is>
          <t>INV/2026/05399</t>
        </is>
      </c>
      <c r="J1785" s="9">
        <f>ROUND(F1785-G1785-H1785,2)</f>
        <v>0</v>
      </c>
    </row>
    <row r="1786">
      <c r="A1786" t="inlineStr">
        <is>
          <t>po_1Q0064KX</t>
        </is>
      </c>
      <c r="B1786" s="5" t="n">
        <v>46293</v>
      </c>
      <c r="C1786" t="inlineStr">
        <is>
          <t>ch_3Q001775</t>
        </is>
      </c>
      <c r="D1786" t="inlineStr">
        <is>
          <t>charge</t>
        </is>
      </c>
      <c r="E1786" s="5" t="n">
        <v>46289</v>
      </c>
      <c r="F1786" s="9" t="n">
        <v>180</v>
      </c>
      <c r="G1786" s="9" t="n">
        <v>3.45</v>
      </c>
      <c r="H1786" s="9" t="n">
        <v>176.55</v>
      </c>
      <c r="I1786" t="inlineStr">
        <is>
          <t>INV/2026/05400</t>
        </is>
      </c>
      <c r="J1786" s="9">
        <f>ROUND(F1786-G1786-H1786,2)</f>
        <v>0</v>
      </c>
    </row>
    <row r="1787">
      <c r="A1787" t="inlineStr">
        <is>
          <t>po_1Q0064KX</t>
        </is>
      </c>
      <c r="B1787" s="5" t="n">
        <v>46293</v>
      </c>
      <c r="C1787" t="inlineStr">
        <is>
          <t>ch_3Q001776</t>
        </is>
      </c>
      <c r="D1787" t="inlineStr">
        <is>
          <t>charge</t>
        </is>
      </c>
      <c r="E1787" s="5" t="n">
        <v>46289</v>
      </c>
      <c r="F1787" s="9" t="n">
        <v>180</v>
      </c>
      <c r="G1787" s="9" t="n">
        <v>3.45</v>
      </c>
      <c r="H1787" s="9" t="n">
        <v>176.55</v>
      </c>
      <c r="I1787" t="inlineStr">
        <is>
          <t>INV/2026/05401</t>
        </is>
      </c>
      <c r="J1787" s="9">
        <f>ROUND(F1787-G1787-H1787,2)</f>
        <v>0</v>
      </c>
    </row>
    <row r="1788">
      <c r="A1788" t="inlineStr">
        <is>
          <t>po_1Q0064KX</t>
        </is>
      </c>
      <c r="B1788" s="5" t="n">
        <v>46293</v>
      </c>
      <c r="C1788" t="inlineStr">
        <is>
          <t>ch_3Q001777</t>
        </is>
      </c>
      <c r="D1788" t="inlineStr">
        <is>
          <t>charge</t>
        </is>
      </c>
      <c r="E1788" s="5" t="n">
        <v>46289</v>
      </c>
      <c r="F1788" s="9" t="n">
        <v>95</v>
      </c>
      <c r="G1788" s="9" t="n">
        <v>1.96</v>
      </c>
      <c r="H1788" s="9" t="n">
        <v>93.04000000000001</v>
      </c>
      <c r="I1788" t="inlineStr">
        <is>
          <t>INV/2026/05402</t>
        </is>
      </c>
      <c r="J1788" s="9">
        <f>ROUND(F1788-G1788-H1788,2)</f>
        <v>0</v>
      </c>
    </row>
    <row r="1789">
      <c r="A1789" t="inlineStr">
        <is>
          <t>po_1Q0064KX</t>
        </is>
      </c>
      <c r="B1789" s="5" t="n">
        <v>46293</v>
      </c>
      <c r="C1789" t="inlineStr">
        <is>
          <t>ch_3Q001778</t>
        </is>
      </c>
      <c r="D1789" t="inlineStr">
        <is>
          <t>charge</t>
        </is>
      </c>
      <c r="E1789" s="5" t="n">
        <v>46289</v>
      </c>
      <c r="F1789" s="9" t="n">
        <v>220</v>
      </c>
      <c r="G1789" s="9" t="n">
        <v>4.15</v>
      </c>
      <c r="H1789" s="9" t="n">
        <v>215.85</v>
      </c>
      <c r="I1789" t="inlineStr">
        <is>
          <t>INV/2026/05403</t>
        </is>
      </c>
      <c r="J1789" s="9">
        <f>ROUND(F1789-G1789-H1789,2)</f>
        <v>0</v>
      </c>
    </row>
    <row r="1790">
      <c r="A1790" t="inlineStr">
        <is>
          <t>po_1Q0064KX</t>
        </is>
      </c>
      <c r="B1790" s="5" t="n">
        <v>46293</v>
      </c>
      <c r="C1790" t="inlineStr">
        <is>
          <t>ch_3Q001779</t>
        </is>
      </c>
      <c r="D1790" t="inlineStr">
        <is>
          <t>charge</t>
        </is>
      </c>
      <c r="E1790" s="5" t="n">
        <v>46289</v>
      </c>
      <c r="F1790" s="9" t="n">
        <v>95</v>
      </c>
      <c r="G1790" s="9" t="n">
        <v>1.96</v>
      </c>
      <c r="H1790" s="9" t="n">
        <v>93.04000000000001</v>
      </c>
      <c r="I1790" t="inlineStr">
        <is>
          <t>INV/2026/05404</t>
        </is>
      </c>
      <c r="J1790" s="9">
        <f>ROUND(F1790-G1790-H1790,2)</f>
        <v>0</v>
      </c>
    </row>
    <row r="1791">
      <c r="A1791" t="inlineStr">
        <is>
          <t>po_1Q0064KX</t>
        </is>
      </c>
      <c r="B1791" s="5" t="n">
        <v>46293</v>
      </c>
      <c r="C1791" t="inlineStr">
        <is>
          <t>ch_3Q001780</t>
        </is>
      </c>
      <c r="D1791" t="inlineStr">
        <is>
          <t>charge</t>
        </is>
      </c>
      <c r="E1791" s="5" t="n">
        <v>46289</v>
      </c>
      <c r="F1791" s="9" t="n">
        <v>110</v>
      </c>
      <c r="G1791" s="9" t="n">
        <v>2.23</v>
      </c>
      <c r="H1791" s="9" t="n">
        <v>107.77</v>
      </c>
      <c r="I1791" t="inlineStr">
        <is>
          <t>INV/2026/05405</t>
        </is>
      </c>
      <c r="J1791" s="9">
        <f>ROUND(F1791-G1791-H1791,2)</f>
        <v>0</v>
      </c>
    </row>
    <row r="1792">
      <c r="A1792" t="inlineStr">
        <is>
          <t>po_1Q0064KX</t>
        </is>
      </c>
      <c r="B1792" s="5" t="n">
        <v>46293</v>
      </c>
      <c r="C1792" t="inlineStr">
        <is>
          <t>ch_3Q001781</t>
        </is>
      </c>
      <c r="D1792" t="inlineStr">
        <is>
          <t>charge</t>
        </is>
      </c>
      <c r="E1792" s="5" t="n">
        <v>46289</v>
      </c>
      <c r="F1792" s="9" t="n">
        <v>120</v>
      </c>
      <c r="G1792" s="9" t="n">
        <v>2.4</v>
      </c>
      <c r="H1792" s="9" t="n">
        <v>117.6</v>
      </c>
      <c r="I1792" t="inlineStr">
        <is>
          <t>INV/2026/05406</t>
        </is>
      </c>
      <c r="J1792" s="9">
        <f>ROUND(F1792-G1792-H1792,2)</f>
        <v>0</v>
      </c>
    </row>
    <row r="1793">
      <c r="A1793" t="inlineStr">
        <is>
          <t>po_1Q0064KX</t>
        </is>
      </c>
      <c r="B1793" s="5" t="n">
        <v>46293</v>
      </c>
      <c r="C1793" t="inlineStr">
        <is>
          <t>ch_3Q001782</t>
        </is>
      </c>
      <c r="D1793" t="inlineStr">
        <is>
          <t>charge</t>
        </is>
      </c>
      <c r="E1793" s="5" t="n">
        <v>46289</v>
      </c>
      <c r="F1793" s="9" t="n">
        <v>65</v>
      </c>
      <c r="G1793" s="9" t="n">
        <v>1.44</v>
      </c>
      <c r="H1793" s="9" t="n">
        <v>63.56</v>
      </c>
      <c r="I1793" t="inlineStr">
        <is>
          <t>INV/2026/05407</t>
        </is>
      </c>
      <c r="J1793" s="9">
        <f>ROUND(F1793-G1793-H1793,2)</f>
        <v>0</v>
      </c>
    </row>
    <row r="1794">
      <c r="A1794" t="inlineStr">
        <is>
          <t>po_1Q0064KX</t>
        </is>
      </c>
      <c r="B1794" s="5" t="n">
        <v>46293</v>
      </c>
      <c r="C1794" t="inlineStr">
        <is>
          <t>ch_3Q001783</t>
        </is>
      </c>
      <c r="D1794" t="inlineStr">
        <is>
          <t>charge</t>
        </is>
      </c>
      <c r="E1794" s="5" t="n">
        <v>46289</v>
      </c>
      <c r="F1794" s="9" t="n">
        <v>135</v>
      </c>
      <c r="G1794" s="9" t="n">
        <v>2.66</v>
      </c>
      <c r="H1794" s="9" t="n">
        <v>132.34</v>
      </c>
      <c r="I1794" t="inlineStr">
        <is>
          <t>INV/2026/05408</t>
        </is>
      </c>
      <c r="J1794" s="9">
        <f>ROUND(F1794-G1794-H1794,2)</f>
        <v>0</v>
      </c>
    </row>
    <row r="1795">
      <c r="A1795" t="inlineStr">
        <is>
          <t>po_1Q0064KX</t>
        </is>
      </c>
      <c r="B1795" s="5" t="n">
        <v>46293</v>
      </c>
      <c r="C1795" t="inlineStr">
        <is>
          <t>ch_3Q001784</t>
        </is>
      </c>
      <c r="D1795" t="inlineStr">
        <is>
          <t>charge</t>
        </is>
      </c>
      <c r="E1795" s="5" t="n">
        <v>46289</v>
      </c>
      <c r="F1795" s="9" t="n">
        <v>65</v>
      </c>
      <c r="G1795" s="9" t="n">
        <v>1.44</v>
      </c>
      <c r="H1795" s="9" t="n">
        <v>63.56</v>
      </c>
      <c r="I1795" t="inlineStr">
        <is>
          <t>INV/2026/05409</t>
        </is>
      </c>
      <c r="J1795" s="9">
        <f>ROUND(F1795-G1795-H1795,2)</f>
        <v>0</v>
      </c>
    </row>
    <row r="1796">
      <c r="A1796" t="inlineStr">
        <is>
          <t>po_1Q0064KX</t>
        </is>
      </c>
      <c r="B1796" s="5" t="n">
        <v>46293</v>
      </c>
      <c r="C1796" t="inlineStr">
        <is>
          <t>ch_3Q001785</t>
        </is>
      </c>
      <c r="D1796" t="inlineStr">
        <is>
          <t>charge</t>
        </is>
      </c>
      <c r="E1796" s="5" t="n">
        <v>46289</v>
      </c>
      <c r="F1796" s="9" t="n">
        <v>65</v>
      </c>
      <c r="G1796" s="9" t="n">
        <v>1.44</v>
      </c>
      <c r="H1796" s="9" t="n">
        <v>63.56</v>
      </c>
      <c r="I1796" t="inlineStr">
        <is>
          <t>INV/2026/05410</t>
        </is>
      </c>
      <c r="J1796" s="9">
        <f>ROUND(F1796-G1796-H1796,2)</f>
        <v>0</v>
      </c>
    </row>
    <row r="1797">
      <c r="A1797" t="inlineStr">
        <is>
          <t>po_1Q0064KX</t>
        </is>
      </c>
      <c r="B1797" s="5" t="n">
        <v>46293</v>
      </c>
      <c r="C1797" t="inlineStr">
        <is>
          <t>ch_3Q001786</t>
        </is>
      </c>
      <c r="D1797" t="inlineStr">
        <is>
          <t>charge</t>
        </is>
      </c>
      <c r="E1797" s="5" t="n">
        <v>46289</v>
      </c>
      <c r="F1797" s="9" t="n">
        <v>180</v>
      </c>
      <c r="G1797" s="9" t="n">
        <v>3.45</v>
      </c>
      <c r="H1797" s="9" t="n">
        <v>176.55</v>
      </c>
      <c r="I1797" t="inlineStr">
        <is>
          <t>INV/2026/05411</t>
        </is>
      </c>
      <c r="J1797" s="9">
        <f>ROUND(F1797-G1797-H1797,2)</f>
        <v>0</v>
      </c>
    </row>
    <row r="1798">
      <c r="A1798" t="inlineStr">
        <is>
          <t>po_1Q0064KX</t>
        </is>
      </c>
      <c r="B1798" s="5" t="n">
        <v>46293</v>
      </c>
      <c r="C1798" t="inlineStr">
        <is>
          <t>ch_3Q001787</t>
        </is>
      </c>
      <c r="D1798" t="inlineStr">
        <is>
          <t>charge</t>
        </is>
      </c>
      <c r="E1798" s="5" t="n">
        <v>46289</v>
      </c>
      <c r="F1798" s="9" t="n">
        <v>150</v>
      </c>
      <c r="G1798" s="9" t="n">
        <v>2.93</v>
      </c>
      <c r="H1798" s="9" t="n">
        <v>147.07</v>
      </c>
      <c r="I1798" t="inlineStr">
        <is>
          <t>INV/2026/05412</t>
        </is>
      </c>
      <c r="J1798" s="9">
        <f>ROUND(F1798-G1798-H1798,2)</f>
        <v>0</v>
      </c>
    </row>
    <row r="1799">
      <c r="A1799" t="inlineStr">
        <is>
          <t>po_1Q0064KX</t>
        </is>
      </c>
      <c r="B1799" s="5" t="n">
        <v>46293</v>
      </c>
      <c r="C1799" t="inlineStr">
        <is>
          <t>ch_3Q001788</t>
        </is>
      </c>
      <c r="D1799" t="inlineStr">
        <is>
          <t>charge</t>
        </is>
      </c>
      <c r="E1799" s="5" t="n">
        <v>46289</v>
      </c>
      <c r="F1799" s="9" t="n">
        <v>120</v>
      </c>
      <c r="G1799" s="9" t="n">
        <v>2.4</v>
      </c>
      <c r="H1799" s="9" t="n">
        <v>117.6</v>
      </c>
      <c r="I1799" t="inlineStr">
        <is>
          <t>INV/2026/05413</t>
        </is>
      </c>
      <c r="J1799" s="9">
        <f>ROUND(F1799-G1799-H1799,2)</f>
        <v>0</v>
      </c>
    </row>
    <row r="1800">
      <c r="A1800" t="inlineStr">
        <is>
          <t>po_1Q0064KX</t>
        </is>
      </c>
      <c r="B1800" s="5" t="n">
        <v>46293</v>
      </c>
      <c r="C1800" t="inlineStr">
        <is>
          <t>ch_3Q001789</t>
        </is>
      </c>
      <c r="D1800" t="inlineStr">
        <is>
          <t>charge</t>
        </is>
      </c>
      <c r="E1800" s="5" t="n">
        <v>46289</v>
      </c>
      <c r="F1800" s="9" t="n">
        <v>150</v>
      </c>
      <c r="G1800" s="9" t="n">
        <v>2.93</v>
      </c>
      <c r="H1800" s="9" t="n">
        <v>147.07</v>
      </c>
      <c r="I1800" t="inlineStr">
        <is>
          <t>INV/2026/05414</t>
        </is>
      </c>
      <c r="J1800" s="9">
        <f>ROUND(F1800-G1800-H1800,2)</f>
        <v>0</v>
      </c>
    </row>
    <row r="1801">
      <c r="A1801" t="inlineStr">
        <is>
          <t>po_1Q0064KX</t>
        </is>
      </c>
      <c r="B1801" s="5" t="n">
        <v>46293</v>
      </c>
      <c r="C1801" t="inlineStr">
        <is>
          <t>ch_3Q001790</t>
        </is>
      </c>
      <c r="D1801" t="inlineStr">
        <is>
          <t>charge</t>
        </is>
      </c>
      <c r="E1801" s="5" t="n">
        <v>46289</v>
      </c>
      <c r="F1801" s="9" t="n">
        <v>95</v>
      </c>
      <c r="G1801" s="9" t="n">
        <v>1.96</v>
      </c>
      <c r="H1801" s="9" t="n">
        <v>93.04000000000001</v>
      </c>
      <c r="I1801" t="inlineStr">
        <is>
          <t>INV/2026/05415</t>
        </is>
      </c>
      <c r="J1801" s="9">
        <f>ROUND(F1801-G1801-H1801,2)</f>
        <v>0</v>
      </c>
    </row>
    <row r="1802">
      <c r="A1802" t="inlineStr">
        <is>
          <t>po_1Q0064KX</t>
        </is>
      </c>
      <c r="B1802" s="5" t="n">
        <v>46293</v>
      </c>
      <c r="C1802" t="inlineStr">
        <is>
          <t>ch_3Q001791</t>
        </is>
      </c>
      <c r="D1802" t="inlineStr">
        <is>
          <t>charge</t>
        </is>
      </c>
      <c r="E1802" s="5" t="n">
        <v>46289</v>
      </c>
      <c r="F1802" s="9" t="n">
        <v>65</v>
      </c>
      <c r="G1802" s="9" t="n">
        <v>1.44</v>
      </c>
      <c r="H1802" s="9" t="n">
        <v>63.56</v>
      </c>
      <c r="I1802" t="inlineStr">
        <is>
          <t>INV/2026/05416</t>
        </is>
      </c>
      <c r="J1802" s="9">
        <f>ROUND(F1802-G1802-H1802,2)</f>
        <v>0</v>
      </c>
    </row>
    <row r="1803">
      <c r="A1803" t="inlineStr">
        <is>
          <t>po_1Q0064KX</t>
        </is>
      </c>
      <c r="B1803" s="5" t="n">
        <v>46293</v>
      </c>
      <c r="C1803" t="inlineStr">
        <is>
          <t>ch_3Q001792</t>
        </is>
      </c>
      <c r="D1803" t="inlineStr">
        <is>
          <t>charge</t>
        </is>
      </c>
      <c r="E1803" s="5" t="n">
        <v>46289</v>
      </c>
      <c r="F1803" s="9" t="n">
        <v>150</v>
      </c>
      <c r="G1803" s="9" t="n">
        <v>2.93</v>
      </c>
      <c r="H1803" s="9" t="n">
        <v>147.07</v>
      </c>
      <c r="I1803" t="inlineStr">
        <is>
          <t>INV/2026/05417</t>
        </is>
      </c>
      <c r="J1803" s="9">
        <f>ROUND(F1803-G1803-H1803,2)</f>
        <v>0</v>
      </c>
    </row>
    <row r="1804">
      <c r="A1804" t="inlineStr">
        <is>
          <t>po_1Q0064KX</t>
        </is>
      </c>
      <c r="B1804" s="5" t="n">
        <v>46293</v>
      </c>
      <c r="C1804" t="inlineStr">
        <is>
          <t>ch_3Q001793</t>
        </is>
      </c>
      <c r="D1804" t="inlineStr">
        <is>
          <t>charge</t>
        </is>
      </c>
      <c r="E1804" s="5" t="n">
        <v>46289</v>
      </c>
      <c r="F1804" s="9" t="n">
        <v>220</v>
      </c>
      <c r="G1804" s="9" t="n">
        <v>4.15</v>
      </c>
      <c r="H1804" s="9" t="n">
        <v>215.85</v>
      </c>
      <c r="I1804" t="inlineStr">
        <is>
          <t>INV/2026/05418</t>
        </is>
      </c>
      <c r="J1804" s="9">
        <f>ROUND(F1804-G1804-H1804,2)</f>
        <v>0</v>
      </c>
    </row>
    <row r="1805">
      <c r="A1805" t="inlineStr">
        <is>
          <t>po_1Q0064KX</t>
        </is>
      </c>
      <c r="B1805" s="5" t="n">
        <v>46293</v>
      </c>
      <c r="C1805" t="inlineStr">
        <is>
          <t>ch_3Q001794</t>
        </is>
      </c>
      <c r="D1805" t="inlineStr">
        <is>
          <t>charge</t>
        </is>
      </c>
      <c r="E1805" s="5" t="n">
        <v>46289</v>
      </c>
      <c r="F1805" s="9" t="n">
        <v>220</v>
      </c>
      <c r="G1805" s="9" t="n">
        <v>4.15</v>
      </c>
      <c r="H1805" s="9" t="n">
        <v>215.85</v>
      </c>
      <c r="I1805" t="inlineStr">
        <is>
          <t>INV/2026/05419</t>
        </is>
      </c>
      <c r="J1805" s="9">
        <f>ROUND(F1805-G1805-H1805,2)</f>
        <v>0</v>
      </c>
    </row>
    <row r="1806">
      <c r="A1806" t="inlineStr">
        <is>
          <t>po_1Q0064KX</t>
        </is>
      </c>
      <c r="B1806" s="5" t="n">
        <v>46293</v>
      </c>
      <c r="C1806" t="inlineStr">
        <is>
          <t>ch_3Q001795</t>
        </is>
      </c>
      <c r="D1806" t="inlineStr">
        <is>
          <t>charge</t>
        </is>
      </c>
      <c r="E1806" s="5" t="n">
        <v>46289</v>
      </c>
      <c r="F1806" s="9" t="n">
        <v>120</v>
      </c>
      <c r="G1806" s="9" t="n">
        <v>2.4</v>
      </c>
      <c r="H1806" s="9" t="n">
        <v>117.6</v>
      </c>
      <c r="I1806" t="inlineStr">
        <is>
          <t>INV/2026/05420</t>
        </is>
      </c>
      <c r="J1806" s="9">
        <f>ROUND(F1806-G1806-H1806,2)</f>
        <v>0</v>
      </c>
    </row>
    <row r="1807">
      <c r="A1807" t="inlineStr">
        <is>
          <t>po_1Q0064KX</t>
        </is>
      </c>
      <c r="B1807" s="5" t="n">
        <v>46293</v>
      </c>
      <c r="C1807" t="inlineStr">
        <is>
          <t>ch_3Q001796</t>
        </is>
      </c>
      <c r="D1807" t="inlineStr">
        <is>
          <t>charge</t>
        </is>
      </c>
      <c r="E1807" s="5" t="n">
        <v>46289</v>
      </c>
      <c r="F1807" s="9" t="n">
        <v>120</v>
      </c>
      <c r="G1807" s="9" t="n">
        <v>2.4</v>
      </c>
      <c r="H1807" s="9" t="n">
        <v>117.6</v>
      </c>
      <c r="I1807" t="inlineStr">
        <is>
          <t>INV/2026/05421</t>
        </is>
      </c>
      <c r="J1807" s="9">
        <f>ROUND(F1807-G1807-H1807,2)</f>
        <v>0</v>
      </c>
    </row>
    <row r="1808">
      <c r="A1808" t="inlineStr">
        <is>
          <t>po_1Q0065KX</t>
        </is>
      </c>
      <c r="B1808" s="5" t="n">
        <v>46294</v>
      </c>
      <c r="C1808" t="inlineStr">
        <is>
          <t>ch_3Q001797</t>
        </is>
      </c>
      <c r="D1808" t="inlineStr">
        <is>
          <t>charge</t>
        </is>
      </c>
      <c r="E1808" s="5" t="n">
        <v>46290</v>
      </c>
      <c r="F1808" s="9" t="n">
        <v>95</v>
      </c>
      <c r="G1808" s="9" t="n">
        <v>1.96</v>
      </c>
      <c r="H1808" s="9" t="n">
        <v>93.04000000000001</v>
      </c>
      <c r="I1808" t="inlineStr">
        <is>
          <t>INV/2026/05422</t>
        </is>
      </c>
      <c r="J1808" s="9">
        <f>ROUND(F1808-G1808-H1808,2)</f>
        <v>0</v>
      </c>
    </row>
    <row r="1809">
      <c r="A1809" t="inlineStr">
        <is>
          <t>po_1Q0065KX</t>
        </is>
      </c>
      <c r="B1809" s="5" t="n">
        <v>46294</v>
      </c>
      <c r="C1809" t="inlineStr">
        <is>
          <t>ch_3Q001798</t>
        </is>
      </c>
      <c r="D1809" t="inlineStr">
        <is>
          <t>charge</t>
        </is>
      </c>
      <c r="E1809" s="5" t="n">
        <v>46290</v>
      </c>
      <c r="F1809" s="9" t="n">
        <v>110</v>
      </c>
      <c r="G1809" s="9" t="n">
        <v>2.23</v>
      </c>
      <c r="H1809" s="9" t="n">
        <v>107.77</v>
      </c>
      <c r="I1809" t="inlineStr">
        <is>
          <t>INV/2026/05423</t>
        </is>
      </c>
      <c r="J1809" s="9">
        <f>ROUND(F1809-G1809-H1809,2)</f>
        <v>0</v>
      </c>
    </row>
    <row r="1810">
      <c r="A1810" t="inlineStr">
        <is>
          <t>po_1Q0065KX</t>
        </is>
      </c>
      <c r="B1810" s="5" t="n">
        <v>46294</v>
      </c>
      <c r="C1810" t="inlineStr">
        <is>
          <t>ch_3Q001799</t>
        </is>
      </c>
      <c r="D1810" t="inlineStr">
        <is>
          <t>charge</t>
        </is>
      </c>
      <c r="E1810" s="5" t="n">
        <v>46290</v>
      </c>
      <c r="F1810" s="9" t="n">
        <v>180</v>
      </c>
      <c r="G1810" s="9" t="n">
        <v>3.45</v>
      </c>
      <c r="H1810" s="9" t="n">
        <v>176.55</v>
      </c>
      <c r="I1810" t="inlineStr">
        <is>
          <t>INV/2026/05424</t>
        </is>
      </c>
      <c r="J1810" s="9">
        <f>ROUND(F1810-G1810-H1810,2)</f>
        <v>0</v>
      </c>
    </row>
    <row r="1811">
      <c r="A1811" t="inlineStr">
        <is>
          <t>po_1Q0065KX</t>
        </is>
      </c>
      <c r="B1811" s="5" t="n">
        <v>46294</v>
      </c>
      <c r="C1811" t="inlineStr">
        <is>
          <t>ch_3Q001800</t>
        </is>
      </c>
      <c r="D1811" t="inlineStr">
        <is>
          <t>charge</t>
        </is>
      </c>
      <c r="E1811" s="5" t="n">
        <v>46290</v>
      </c>
      <c r="F1811" s="9" t="n">
        <v>220</v>
      </c>
      <c r="G1811" s="9" t="n">
        <v>4.15</v>
      </c>
      <c r="H1811" s="9" t="n">
        <v>215.85</v>
      </c>
      <c r="I1811" t="inlineStr">
        <is>
          <t>INV/2026/05425</t>
        </is>
      </c>
      <c r="J1811" s="9">
        <f>ROUND(F1811-G1811-H1811,2)</f>
        <v>0</v>
      </c>
    </row>
    <row r="1812">
      <c r="A1812" t="inlineStr">
        <is>
          <t>po_1Q0065KX</t>
        </is>
      </c>
      <c r="B1812" s="5" t="n">
        <v>46294</v>
      </c>
      <c r="C1812" t="inlineStr">
        <is>
          <t>ch_3Q001801</t>
        </is>
      </c>
      <c r="D1812" t="inlineStr">
        <is>
          <t>charge</t>
        </is>
      </c>
      <c r="E1812" s="5" t="n">
        <v>46290</v>
      </c>
      <c r="F1812" s="9" t="n">
        <v>150</v>
      </c>
      <c r="G1812" s="9" t="n">
        <v>2.93</v>
      </c>
      <c r="H1812" s="9" t="n">
        <v>147.07</v>
      </c>
      <c r="I1812" t="inlineStr">
        <is>
          <t>INV/2026/05426</t>
        </is>
      </c>
      <c r="J1812" s="9">
        <f>ROUND(F1812-G1812-H1812,2)</f>
        <v>0</v>
      </c>
    </row>
    <row r="1813">
      <c r="A1813" t="inlineStr">
        <is>
          <t>po_1Q0065KX</t>
        </is>
      </c>
      <c r="B1813" s="5" t="n">
        <v>46294</v>
      </c>
      <c r="C1813" t="inlineStr">
        <is>
          <t>ch_3Q001802</t>
        </is>
      </c>
      <c r="D1813" t="inlineStr">
        <is>
          <t>charge</t>
        </is>
      </c>
      <c r="E1813" s="5" t="n">
        <v>46290</v>
      </c>
      <c r="F1813" s="9" t="n">
        <v>85</v>
      </c>
      <c r="G1813" s="9" t="n">
        <v>1.79</v>
      </c>
      <c r="H1813" s="9" t="n">
        <v>83.20999999999999</v>
      </c>
      <c r="I1813" t="inlineStr">
        <is>
          <t>INV/2026/05427</t>
        </is>
      </c>
      <c r="J1813" s="9">
        <f>ROUND(F1813-G1813-H1813,2)</f>
        <v>0</v>
      </c>
    </row>
    <row r="1814">
      <c r="A1814" t="inlineStr">
        <is>
          <t>po_1Q0065KX</t>
        </is>
      </c>
      <c r="B1814" s="5" t="n">
        <v>46294</v>
      </c>
      <c r="C1814" t="inlineStr">
        <is>
          <t>ch_3Q001803</t>
        </is>
      </c>
      <c r="D1814" t="inlineStr">
        <is>
          <t>charge</t>
        </is>
      </c>
      <c r="E1814" s="5" t="n">
        <v>46290</v>
      </c>
      <c r="F1814" s="9" t="n">
        <v>85</v>
      </c>
      <c r="G1814" s="9" t="n">
        <v>1.79</v>
      </c>
      <c r="H1814" s="9" t="n">
        <v>83.20999999999999</v>
      </c>
      <c r="I1814" t="inlineStr">
        <is>
          <t>INV/2026/05428</t>
        </is>
      </c>
      <c r="J1814" s="9">
        <f>ROUND(F1814-G1814-H1814,2)</f>
        <v>0</v>
      </c>
    </row>
    <row r="1815">
      <c r="A1815" t="inlineStr">
        <is>
          <t>po_1Q0065KX</t>
        </is>
      </c>
      <c r="B1815" s="5" t="n">
        <v>46294</v>
      </c>
      <c r="C1815" t="inlineStr">
        <is>
          <t>ch_3Q001804</t>
        </is>
      </c>
      <c r="D1815" t="inlineStr">
        <is>
          <t>charge</t>
        </is>
      </c>
      <c r="E1815" s="5" t="n">
        <v>46290</v>
      </c>
      <c r="F1815" s="9" t="n">
        <v>110</v>
      </c>
      <c r="G1815" s="9" t="n">
        <v>2.23</v>
      </c>
      <c r="H1815" s="9" t="n">
        <v>107.77</v>
      </c>
      <c r="I1815" t="inlineStr">
        <is>
          <t>INV/2026/05429</t>
        </is>
      </c>
      <c r="J1815" s="9">
        <f>ROUND(F1815-G1815-H1815,2)</f>
        <v>0</v>
      </c>
    </row>
    <row r="1816">
      <c r="A1816" t="inlineStr">
        <is>
          <t>po_1Q0065KX</t>
        </is>
      </c>
      <c r="B1816" s="5" t="n">
        <v>46294</v>
      </c>
      <c r="C1816" t="inlineStr">
        <is>
          <t>ch_3Q001805</t>
        </is>
      </c>
      <c r="D1816" t="inlineStr">
        <is>
          <t>charge</t>
        </is>
      </c>
      <c r="E1816" s="5" t="n">
        <v>46290</v>
      </c>
      <c r="F1816" s="9" t="n">
        <v>135</v>
      </c>
      <c r="G1816" s="9" t="n">
        <v>2.66</v>
      </c>
      <c r="H1816" s="9" t="n">
        <v>132.34</v>
      </c>
      <c r="I1816" t="inlineStr">
        <is>
          <t>INV/2026/05430</t>
        </is>
      </c>
      <c r="J1816" s="9">
        <f>ROUND(F1816-G1816-H1816,2)</f>
        <v>0</v>
      </c>
    </row>
    <row r="1817">
      <c r="A1817" t="inlineStr">
        <is>
          <t>po_1Q0065KX</t>
        </is>
      </c>
      <c r="B1817" s="5" t="n">
        <v>46294</v>
      </c>
      <c r="C1817" t="inlineStr">
        <is>
          <t>ch_3Q001806</t>
        </is>
      </c>
      <c r="D1817" t="inlineStr">
        <is>
          <t>charge</t>
        </is>
      </c>
      <c r="E1817" s="5" t="n">
        <v>46290</v>
      </c>
      <c r="F1817" s="9" t="n">
        <v>110</v>
      </c>
      <c r="G1817" s="9" t="n">
        <v>2.23</v>
      </c>
      <c r="H1817" s="9" t="n">
        <v>107.77</v>
      </c>
      <c r="I1817" t="inlineStr">
        <is>
          <t>INV/2026/05431</t>
        </is>
      </c>
      <c r="J1817" s="9">
        <f>ROUND(F1817-G1817-H1817,2)</f>
        <v>0</v>
      </c>
    </row>
    <row r="1818">
      <c r="A1818" t="inlineStr">
        <is>
          <t>po_1Q0065KX</t>
        </is>
      </c>
      <c r="B1818" s="5" t="n">
        <v>46294</v>
      </c>
      <c r="C1818" t="inlineStr">
        <is>
          <t>ch_3Q001807</t>
        </is>
      </c>
      <c r="D1818" t="inlineStr">
        <is>
          <t>charge</t>
        </is>
      </c>
      <c r="E1818" s="5" t="n">
        <v>46290</v>
      </c>
      <c r="F1818" s="9" t="n">
        <v>95</v>
      </c>
      <c r="G1818" s="9" t="n">
        <v>1.96</v>
      </c>
      <c r="H1818" s="9" t="n">
        <v>93.04000000000001</v>
      </c>
      <c r="I1818" t="inlineStr">
        <is>
          <t>INV/2026/05432</t>
        </is>
      </c>
      <c r="J1818" s="9">
        <f>ROUND(F1818-G1818-H1818,2)</f>
        <v>0</v>
      </c>
    </row>
    <row r="1819">
      <c r="A1819" t="inlineStr">
        <is>
          <t>po_1Q0065KX</t>
        </is>
      </c>
      <c r="B1819" s="5" t="n">
        <v>46294</v>
      </c>
      <c r="C1819" t="inlineStr">
        <is>
          <t>ch_3Q001808</t>
        </is>
      </c>
      <c r="D1819" t="inlineStr">
        <is>
          <t>charge</t>
        </is>
      </c>
      <c r="E1819" s="5" t="n">
        <v>46290</v>
      </c>
      <c r="F1819" s="9" t="n">
        <v>85</v>
      </c>
      <c r="G1819" s="9" t="n">
        <v>1.79</v>
      </c>
      <c r="H1819" s="9" t="n">
        <v>83.20999999999999</v>
      </c>
      <c r="I1819" t="inlineStr">
        <is>
          <t>INV/2026/05433</t>
        </is>
      </c>
      <c r="J1819" s="9">
        <f>ROUND(F1819-G1819-H1819,2)</f>
        <v>0</v>
      </c>
    </row>
    <row r="1820">
      <c r="A1820" t="inlineStr">
        <is>
          <t>po_1Q0065KX</t>
        </is>
      </c>
      <c r="B1820" s="5" t="n">
        <v>46294</v>
      </c>
      <c r="C1820" t="inlineStr">
        <is>
          <t>ch_3Q001809</t>
        </is>
      </c>
      <c r="D1820" t="inlineStr">
        <is>
          <t>charge</t>
        </is>
      </c>
      <c r="E1820" s="5" t="n">
        <v>46290</v>
      </c>
      <c r="F1820" s="9" t="n">
        <v>135</v>
      </c>
      <c r="G1820" s="9" t="n">
        <v>2.66</v>
      </c>
      <c r="H1820" s="9" t="n">
        <v>132.34</v>
      </c>
      <c r="I1820" t="inlineStr">
        <is>
          <t>INV/2026/05434</t>
        </is>
      </c>
      <c r="J1820" s="9">
        <f>ROUND(F1820-G1820-H1820,2)</f>
        <v>0</v>
      </c>
    </row>
    <row r="1821">
      <c r="A1821" t="inlineStr">
        <is>
          <t>po_1Q0065KX</t>
        </is>
      </c>
      <c r="B1821" s="5" t="n">
        <v>46294</v>
      </c>
      <c r="C1821" t="inlineStr">
        <is>
          <t>ch_3Q001810</t>
        </is>
      </c>
      <c r="D1821" t="inlineStr">
        <is>
          <t>charge</t>
        </is>
      </c>
      <c r="E1821" s="5" t="n">
        <v>46290</v>
      </c>
      <c r="F1821" s="9" t="n">
        <v>180</v>
      </c>
      <c r="G1821" s="9" t="n">
        <v>3.45</v>
      </c>
      <c r="H1821" s="9" t="n">
        <v>176.55</v>
      </c>
      <c r="I1821" t="inlineStr">
        <is>
          <t>INV/2026/05435</t>
        </is>
      </c>
      <c r="J1821" s="9">
        <f>ROUND(F1821-G1821-H1821,2)</f>
        <v>0</v>
      </c>
    </row>
    <row r="1822">
      <c r="A1822" t="inlineStr">
        <is>
          <t>po_1Q0065KX</t>
        </is>
      </c>
      <c r="B1822" s="5" t="n">
        <v>46294</v>
      </c>
      <c r="C1822" t="inlineStr">
        <is>
          <t>ch_3Q001811</t>
        </is>
      </c>
      <c r="D1822" t="inlineStr">
        <is>
          <t>charge</t>
        </is>
      </c>
      <c r="E1822" s="5" t="n">
        <v>46290</v>
      </c>
      <c r="F1822" s="9" t="n">
        <v>65</v>
      </c>
      <c r="G1822" s="9" t="n">
        <v>1.44</v>
      </c>
      <c r="H1822" s="9" t="n">
        <v>63.56</v>
      </c>
      <c r="I1822" t="inlineStr">
        <is>
          <t>INV/2026/05436</t>
        </is>
      </c>
      <c r="J1822" s="9">
        <f>ROUND(F1822-G1822-H1822,2)</f>
        <v>0</v>
      </c>
    </row>
    <row r="1823">
      <c r="A1823" t="inlineStr">
        <is>
          <t>po_1Q0065KX</t>
        </is>
      </c>
      <c r="B1823" s="5" t="n">
        <v>46294</v>
      </c>
      <c r="C1823" t="inlineStr">
        <is>
          <t>ch_3Q001812</t>
        </is>
      </c>
      <c r="D1823" t="inlineStr">
        <is>
          <t>charge</t>
        </is>
      </c>
      <c r="E1823" s="5" t="n">
        <v>46290</v>
      </c>
      <c r="F1823" s="9" t="n">
        <v>110</v>
      </c>
      <c r="G1823" s="9" t="n">
        <v>2.23</v>
      </c>
      <c r="H1823" s="9" t="n">
        <v>107.77</v>
      </c>
      <c r="I1823" t="inlineStr">
        <is>
          <t>INV/2026/05437</t>
        </is>
      </c>
      <c r="J1823" s="9">
        <f>ROUND(F1823-G1823-H1823,2)</f>
        <v>0</v>
      </c>
    </row>
    <row r="1824">
      <c r="A1824" t="inlineStr">
        <is>
          <t>po_1Q0065KX</t>
        </is>
      </c>
      <c r="B1824" s="5" t="n">
        <v>46294</v>
      </c>
      <c r="C1824" t="inlineStr">
        <is>
          <t>ch_3Q001813</t>
        </is>
      </c>
      <c r="D1824" t="inlineStr">
        <is>
          <t>charge</t>
        </is>
      </c>
      <c r="E1824" s="5" t="n">
        <v>46290</v>
      </c>
      <c r="F1824" s="9" t="n">
        <v>95</v>
      </c>
      <c r="G1824" s="9" t="n">
        <v>1.96</v>
      </c>
      <c r="H1824" s="9" t="n">
        <v>93.04000000000001</v>
      </c>
      <c r="I1824" t="inlineStr">
        <is>
          <t>INV/2026/05438</t>
        </is>
      </c>
      <c r="J1824" s="9">
        <f>ROUND(F1824-G1824-H1824,2)</f>
        <v>0</v>
      </c>
    </row>
    <row r="1825">
      <c r="A1825" t="inlineStr">
        <is>
          <t>po_1Q0065KX</t>
        </is>
      </c>
      <c r="B1825" s="5" t="n">
        <v>46294</v>
      </c>
      <c r="C1825" t="inlineStr">
        <is>
          <t>ch_3Q001814</t>
        </is>
      </c>
      <c r="D1825" t="inlineStr">
        <is>
          <t>charge</t>
        </is>
      </c>
      <c r="E1825" s="5" t="n">
        <v>46290</v>
      </c>
      <c r="F1825" s="9" t="n">
        <v>65</v>
      </c>
      <c r="G1825" s="9" t="n">
        <v>1.44</v>
      </c>
      <c r="H1825" s="9" t="n">
        <v>63.56</v>
      </c>
      <c r="I1825" t="inlineStr">
        <is>
          <t>INV/2026/05439</t>
        </is>
      </c>
      <c r="J1825" s="9">
        <f>ROUND(F1825-G1825-H1825,2)</f>
        <v>0</v>
      </c>
    </row>
    <row r="1826">
      <c r="A1826" t="inlineStr">
        <is>
          <t>po_1Q0065KX</t>
        </is>
      </c>
      <c r="B1826" s="5" t="n">
        <v>46294</v>
      </c>
      <c r="C1826" t="inlineStr">
        <is>
          <t>ch_3Q001815</t>
        </is>
      </c>
      <c r="D1826" t="inlineStr">
        <is>
          <t>charge</t>
        </is>
      </c>
      <c r="E1826" s="5" t="n">
        <v>46290</v>
      </c>
      <c r="F1826" s="9" t="n">
        <v>95</v>
      </c>
      <c r="G1826" s="9" t="n">
        <v>1.96</v>
      </c>
      <c r="H1826" s="9" t="n">
        <v>93.04000000000001</v>
      </c>
      <c r="I1826" t="inlineStr">
        <is>
          <t>INV/2026/05440</t>
        </is>
      </c>
      <c r="J1826" s="9">
        <f>ROUND(F1826-G1826-H1826,2)</f>
        <v>0</v>
      </c>
    </row>
    <row r="1827">
      <c r="A1827" t="inlineStr">
        <is>
          <t>po_1Q0065KX</t>
        </is>
      </c>
      <c r="B1827" s="5" t="n">
        <v>46294</v>
      </c>
      <c r="C1827" t="inlineStr">
        <is>
          <t>ch_3Q001816</t>
        </is>
      </c>
      <c r="D1827" t="inlineStr">
        <is>
          <t>charge</t>
        </is>
      </c>
      <c r="E1827" s="5" t="n">
        <v>46290</v>
      </c>
      <c r="F1827" s="9" t="n">
        <v>135</v>
      </c>
      <c r="G1827" s="9" t="n">
        <v>2.66</v>
      </c>
      <c r="H1827" s="9" t="n">
        <v>132.34</v>
      </c>
      <c r="I1827" t="inlineStr">
        <is>
          <t>INV/2026/05441</t>
        </is>
      </c>
      <c r="J1827" s="9">
        <f>ROUND(F1827-G1827-H1827,2)</f>
        <v>0</v>
      </c>
    </row>
    <row r="1828">
      <c r="A1828" t="inlineStr">
        <is>
          <t>po_1Q0065KX</t>
        </is>
      </c>
      <c r="B1828" s="5" t="n">
        <v>46294</v>
      </c>
      <c r="C1828" t="inlineStr">
        <is>
          <t>ch_3Q001817</t>
        </is>
      </c>
      <c r="D1828" t="inlineStr">
        <is>
          <t>charge</t>
        </is>
      </c>
      <c r="E1828" s="5" t="n">
        <v>46290</v>
      </c>
      <c r="F1828" s="9" t="n">
        <v>65</v>
      </c>
      <c r="G1828" s="9" t="n">
        <v>1.44</v>
      </c>
      <c r="H1828" s="9" t="n">
        <v>63.56</v>
      </c>
      <c r="I1828" t="inlineStr">
        <is>
          <t>INV/2026/05442</t>
        </is>
      </c>
      <c r="J1828" s="9">
        <f>ROUND(F1828-G1828-H1828,2)</f>
        <v>0</v>
      </c>
    </row>
    <row r="1829">
      <c r="A1829" t="inlineStr">
        <is>
          <t>po_1Q0065KX</t>
        </is>
      </c>
      <c r="B1829" s="5" t="n">
        <v>46294</v>
      </c>
      <c r="C1829" t="inlineStr">
        <is>
          <t>ch_3Q001818</t>
        </is>
      </c>
      <c r="D1829" t="inlineStr">
        <is>
          <t>charge</t>
        </is>
      </c>
      <c r="E1829" s="5" t="n">
        <v>46290</v>
      </c>
      <c r="F1829" s="9" t="n">
        <v>110</v>
      </c>
      <c r="G1829" s="9" t="n">
        <v>2.23</v>
      </c>
      <c r="H1829" s="9" t="n">
        <v>107.77</v>
      </c>
      <c r="I1829" t="inlineStr">
        <is>
          <t>INV/2026/05443</t>
        </is>
      </c>
      <c r="J1829" s="9">
        <f>ROUND(F1829-G1829-H1829,2)</f>
        <v>0</v>
      </c>
    </row>
    <row r="1830">
      <c r="A1830" t="inlineStr">
        <is>
          <t>po_1Q0065KX</t>
        </is>
      </c>
      <c r="B1830" s="5" t="n">
        <v>46294</v>
      </c>
      <c r="C1830" t="inlineStr">
        <is>
          <t>ch_3Q001819</t>
        </is>
      </c>
      <c r="D1830" t="inlineStr">
        <is>
          <t>charge</t>
        </is>
      </c>
      <c r="E1830" s="5" t="n">
        <v>46290</v>
      </c>
      <c r="F1830" s="9" t="n">
        <v>150</v>
      </c>
      <c r="G1830" s="9" t="n">
        <v>2.93</v>
      </c>
      <c r="H1830" s="9" t="n">
        <v>147.07</v>
      </c>
      <c r="I1830" t="inlineStr">
        <is>
          <t>INV/2026/05444</t>
        </is>
      </c>
      <c r="J1830" s="9">
        <f>ROUND(F1830-G1830-H1830,2)</f>
        <v>0</v>
      </c>
    </row>
    <row r="1831">
      <c r="A1831" t="inlineStr">
        <is>
          <t>po_1Q0065KX</t>
        </is>
      </c>
      <c r="B1831" s="5" t="n">
        <v>46294</v>
      </c>
      <c r="C1831" t="inlineStr">
        <is>
          <t>ch_3Q001820</t>
        </is>
      </c>
      <c r="D1831" t="inlineStr">
        <is>
          <t>charge</t>
        </is>
      </c>
      <c r="E1831" s="5" t="n">
        <v>46290</v>
      </c>
      <c r="F1831" s="9" t="n">
        <v>85</v>
      </c>
      <c r="G1831" s="9" t="n">
        <v>1.79</v>
      </c>
      <c r="H1831" s="9" t="n">
        <v>83.20999999999999</v>
      </c>
      <c r="I1831" t="inlineStr">
        <is>
          <t>INV/2026/05445</t>
        </is>
      </c>
      <c r="J1831" s="9">
        <f>ROUND(F1831-G1831-H1831,2)</f>
        <v>0</v>
      </c>
    </row>
    <row r="1832">
      <c r="A1832" t="inlineStr">
        <is>
          <t>po_1Q0065KX</t>
        </is>
      </c>
      <c r="B1832" s="5" t="n">
        <v>46294</v>
      </c>
      <c r="C1832" t="inlineStr">
        <is>
          <t>ch_3Q001821</t>
        </is>
      </c>
      <c r="D1832" t="inlineStr">
        <is>
          <t>charge</t>
        </is>
      </c>
      <c r="E1832" s="5" t="n">
        <v>46290</v>
      </c>
      <c r="F1832" s="9" t="n">
        <v>180</v>
      </c>
      <c r="G1832" s="9" t="n">
        <v>3.45</v>
      </c>
      <c r="H1832" s="9" t="n">
        <v>176.55</v>
      </c>
      <c r="I1832" t="inlineStr">
        <is>
          <t>INV/2026/05446</t>
        </is>
      </c>
      <c r="J1832" s="9">
        <f>ROUND(F1832-G1832-H1832,2)</f>
        <v>0</v>
      </c>
    </row>
    <row r="1833">
      <c r="A1833" t="inlineStr">
        <is>
          <t>po_1Q0065KX</t>
        </is>
      </c>
      <c r="B1833" s="5" t="n">
        <v>46294</v>
      </c>
      <c r="C1833" t="inlineStr">
        <is>
          <t>ch_3Q001822</t>
        </is>
      </c>
      <c r="D1833" t="inlineStr">
        <is>
          <t>charge</t>
        </is>
      </c>
      <c r="E1833" s="5" t="n">
        <v>46290</v>
      </c>
      <c r="F1833" s="9" t="n">
        <v>150</v>
      </c>
      <c r="G1833" s="9" t="n">
        <v>2.93</v>
      </c>
      <c r="H1833" s="9" t="n">
        <v>147.07</v>
      </c>
      <c r="I1833" t="inlineStr">
        <is>
          <t>INV/2026/05447</t>
        </is>
      </c>
      <c r="J1833" s="9">
        <f>ROUND(F1833-G1833-H1833,2)</f>
        <v>0</v>
      </c>
    </row>
    <row r="1834">
      <c r="A1834" t="inlineStr">
        <is>
          <t>po_1Q0065KX</t>
        </is>
      </c>
      <c r="B1834" s="5" t="n">
        <v>46294</v>
      </c>
      <c r="C1834" t="inlineStr">
        <is>
          <t>ch_3Q001823</t>
        </is>
      </c>
      <c r="D1834" t="inlineStr">
        <is>
          <t>charge</t>
        </is>
      </c>
      <c r="E1834" s="5" t="n">
        <v>46290</v>
      </c>
      <c r="F1834" s="9" t="n">
        <v>120</v>
      </c>
      <c r="G1834" s="9" t="n">
        <v>2.4</v>
      </c>
      <c r="H1834" s="9" t="n">
        <v>117.6</v>
      </c>
      <c r="I1834" t="inlineStr">
        <is>
          <t>INV/2026/05448</t>
        </is>
      </c>
      <c r="J1834" s="9">
        <f>ROUND(F1834-G1834-H1834,2)</f>
        <v>0</v>
      </c>
    </row>
    <row r="1835">
      <c r="A1835" t="inlineStr">
        <is>
          <t>po_1Q0065KX</t>
        </is>
      </c>
      <c r="B1835" s="5" t="n">
        <v>46294</v>
      </c>
      <c r="C1835" t="inlineStr">
        <is>
          <t>ch_3Q001824</t>
        </is>
      </c>
      <c r="D1835" t="inlineStr">
        <is>
          <t>charge</t>
        </is>
      </c>
      <c r="E1835" s="5" t="n">
        <v>46290</v>
      </c>
      <c r="F1835" s="9" t="n">
        <v>120</v>
      </c>
      <c r="G1835" s="9" t="n">
        <v>2.4</v>
      </c>
      <c r="H1835" s="9" t="n">
        <v>117.6</v>
      </c>
      <c r="I1835" t="inlineStr">
        <is>
          <t>INV/2026/05449</t>
        </is>
      </c>
      <c r="J1835" s="9">
        <f>ROUND(F1835-G1835-H1835,2)</f>
        <v>0</v>
      </c>
    </row>
    <row r="1836">
      <c r="A1836" t="inlineStr">
        <is>
          <t>po_1Q0065KX</t>
        </is>
      </c>
      <c r="B1836" s="5" t="n">
        <v>46294</v>
      </c>
      <c r="C1836" t="inlineStr">
        <is>
          <t>ch_3Q001825</t>
        </is>
      </c>
      <c r="D1836" t="inlineStr">
        <is>
          <t>charge</t>
        </is>
      </c>
      <c r="E1836" s="5" t="n">
        <v>46290</v>
      </c>
      <c r="F1836" s="9" t="n">
        <v>110</v>
      </c>
      <c r="G1836" s="9" t="n">
        <v>2.23</v>
      </c>
      <c r="H1836" s="9" t="n">
        <v>107.77</v>
      </c>
      <c r="I1836" t="inlineStr">
        <is>
          <t>INV/2026/05450</t>
        </is>
      </c>
      <c r="J1836" s="9">
        <f>ROUND(F1836-G1836-H1836,2)</f>
        <v>0</v>
      </c>
    </row>
    <row r="1837">
      <c r="A1837" t="inlineStr">
        <is>
          <t>po_1Q0065KX</t>
        </is>
      </c>
      <c r="B1837" s="5" t="n">
        <v>46294</v>
      </c>
      <c r="C1837" t="inlineStr">
        <is>
          <t>ch_3Q001826</t>
        </is>
      </c>
      <c r="D1837" t="inlineStr">
        <is>
          <t>charge</t>
        </is>
      </c>
      <c r="E1837" s="5" t="n">
        <v>46290</v>
      </c>
      <c r="F1837" s="9" t="n">
        <v>220</v>
      </c>
      <c r="G1837" s="9" t="n">
        <v>4.15</v>
      </c>
      <c r="H1837" s="9" t="n">
        <v>215.85</v>
      </c>
      <c r="I1837" t="inlineStr">
        <is>
          <t>INV/2026/05451</t>
        </is>
      </c>
      <c r="J1837" s="9">
        <f>ROUND(F1837-G1837-H1837,2)</f>
        <v>0</v>
      </c>
    </row>
    <row r="1838">
      <c r="A1838" t="inlineStr">
        <is>
          <t>po_1Q0065KX</t>
        </is>
      </c>
      <c r="B1838" s="5" t="n">
        <v>46294</v>
      </c>
      <c r="C1838" t="inlineStr">
        <is>
          <t>ch_3Q001827</t>
        </is>
      </c>
      <c r="D1838" t="inlineStr">
        <is>
          <t>charge</t>
        </is>
      </c>
      <c r="E1838" s="5" t="n">
        <v>46290</v>
      </c>
      <c r="F1838" s="9" t="n">
        <v>220</v>
      </c>
      <c r="G1838" s="9" t="n">
        <v>4.15</v>
      </c>
      <c r="H1838" s="9" t="n">
        <v>215.85</v>
      </c>
      <c r="I1838" t="inlineStr">
        <is>
          <t>INV/2026/05452</t>
        </is>
      </c>
      <c r="J1838" s="9">
        <f>ROUND(F1838-G1838-H1838,2)</f>
        <v>0</v>
      </c>
    </row>
    <row r="1839">
      <c r="A1839" t="inlineStr">
        <is>
          <t>po_1Q0065KX</t>
        </is>
      </c>
      <c r="B1839" s="5" t="n">
        <v>46294</v>
      </c>
      <c r="C1839" t="inlineStr">
        <is>
          <t>ch_3Q001828</t>
        </is>
      </c>
      <c r="D1839" t="inlineStr">
        <is>
          <t>charge</t>
        </is>
      </c>
      <c r="E1839" s="5" t="n">
        <v>46291</v>
      </c>
      <c r="F1839" s="9" t="n">
        <v>180</v>
      </c>
      <c r="G1839" s="9" t="n">
        <v>3.45</v>
      </c>
      <c r="H1839" s="9" t="n">
        <v>176.55</v>
      </c>
      <c r="I1839" t="inlineStr">
        <is>
          <t>INV/2026/05453</t>
        </is>
      </c>
      <c r="J1839" s="9">
        <f>ROUND(F1839-G1839-H1839,2)</f>
        <v>0</v>
      </c>
    </row>
    <row r="1840">
      <c r="A1840" t="inlineStr">
        <is>
          <t>po_1Q0065KX</t>
        </is>
      </c>
      <c r="B1840" s="5" t="n">
        <v>46294</v>
      </c>
      <c r="C1840" t="inlineStr">
        <is>
          <t>ch_3Q001829</t>
        </is>
      </c>
      <c r="D1840" t="inlineStr">
        <is>
          <t>charge</t>
        </is>
      </c>
      <c r="E1840" s="5" t="n">
        <v>46291</v>
      </c>
      <c r="F1840" s="9" t="n">
        <v>85</v>
      </c>
      <c r="G1840" s="9" t="n">
        <v>1.79</v>
      </c>
      <c r="H1840" s="9" t="n">
        <v>83.20999999999999</v>
      </c>
      <c r="I1840" t="inlineStr">
        <is>
          <t>INV/2026/05454</t>
        </is>
      </c>
      <c r="J1840" s="9">
        <f>ROUND(F1840-G1840-H1840,2)</f>
        <v>0</v>
      </c>
    </row>
    <row r="1841">
      <c r="A1841" t="inlineStr">
        <is>
          <t>po_1Q0065KX</t>
        </is>
      </c>
      <c r="B1841" s="5" t="n">
        <v>46294</v>
      </c>
      <c r="C1841" t="inlineStr">
        <is>
          <t>ch_3Q001830</t>
        </is>
      </c>
      <c r="D1841" t="inlineStr">
        <is>
          <t>charge</t>
        </is>
      </c>
      <c r="E1841" s="5" t="n">
        <v>46291</v>
      </c>
      <c r="F1841" s="9" t="n">
        <v>95</v>
      </c>
      <c r="G1841" s="9" t="n">
        <v>1.96</v>
      </c>
      <c r="H1841" s="9" t="n">
        <v>93.04000000000001</v>
      </c>
      <c r="I1841" t="inlineStr">
        <is>
          <t>INV/2026/05455</t>
        </is>
      </c>
      <c r="J1841" s="9">
        <f>ROUND(F1841-G1841-H1841,2)</f>
        <v>0</v>
      </c>
    </row>
    <row r="1842">
      <c r="A1842" t="inlineStr">
        <is>
          <t>po_1Q0065KX</t>
        </is>
      </c>
      <c r="B1842" s="5" t="n">
        <v>46294</v>
      </c>
      <c r="C1842" t="inlineStr">
        <is>
          <t>ch_3Q001831</t>
        </is>
      </c>
      <c r="D1842" t="inlineStr">
        <is>
          <t>charge</t>
        </is>
      </c>
      <c r="E1842" s="5" t="n">
        <v>46291</v>
      </c>
      <c r="F1842" s="9" t="n">
        <v>65</v>
      </c>
      <c r="G1842" s="9" t="n">
        <v>1.44</v>
      </c>
      <c r="H1842" s="9" t="n">
        <v>63.56</v>
      </c>
      <c r="I1842" t="inlineStr">
        <is>
          <t>INV/2026/05456</t>
        </is>
      </c>
      <c r="J1842" s="9">
        <f>ROUND(F1842-G1842-H1842,2)</f>
        <v>0</v>
      </c>
    </row>
    <row r="1843">
      <c r="A1843" t="inlineStr">
        <is>
          <t>po_1Q0065KX</t>
        </is>
      </c>
      <c r="B1843" s="5" t="n">
        <v>46294</v>
      </c>
      <c r="C1843" t="inlineStr">
        <is>
          <t>ch_3Q001832</t>
        </is>
      </c>
      <c r="D1843" t="inlineStr">
        <is>
          <t>charge</t>
        </is>
      </c>
      <c r="E1843" s="5" t="n">
        <v>46291</v>
      </c>
      <c r="F1843" s="9" t="n">
        <v>135</v>
      </c>
      <c r="G1843" s="9" t="n">
        <v>2.66</v>
      </c>
      <c r="H1843" s="9" t="n">
        <v>132.34</v>
      </c>
      <c r="I1843" t="inlineStr">
        <is>
          <t>INV/2026/05457</t>
        </is>
      </c>
      <c r="J1843" s="9">
        <f>ROUND(F1843-G1843-H1843,2)</f>
        <v>0</v>
      </c>
    </row>
    <row r="1844">
      <c r="A1844" t="inlineStr">
        <is>
          <t>po_1Q0065KX</t>
        </is>
      </c>
      <c r="B1844" s="5" t="n">
        <v>46294</v>
      </c>
      <c r="C1844" t="inlineStr">
        <is>
          <t>ch_3Q001833</t>
        </is>
      </c>
      <c r="D1844" t="inlineStr">
        <is>
          <t>charge</t>
        </is>
      </c>
      <c r="E1844" s="5" t="n">
        <v>46291</v>
      </c>
      <c r="F1844" s="9" t="n">
        <v>65</v>
      </c>
      <c r="G1844" s="9" t="n">
        <v>1.44</v>
      </c>
      <c r="H1844" s="9" t="n">
        <v>63.56</v>
      </c>
      <c r="I1844" t="inlineStr">
        <is>
          <t>INV/2026/05458</t>
        </is>
      </c>
      <c r="J1844" s="9">
        <f>ROUND(F1844-G1844-H1844,2)</f>
        <v>0</v>
      </c>
    </row>
    <row r="1845">
      <c r="A1845" t="inlineStr">
        <is>
          <t>po_1Q0066KX</t>
        </is>
      </c>
      <c r="B1845" s="5" t="n">
        <v>46295</v>
      </c>
      <c r="C1845" t="inlineStr">
        <is>
          <t>ch_3Q001834</t>
        </is>
      </c>
      <c r="D1845" t="inlineStr">
        <is>
          <t>charge</t>
        </is>
      </c>
      <c r="E1845" s="5" t="n">
        <v>46293</v>
      </c>
      <c r="F1845" s="9" t="n">
        <v>150</v>
      </c>
      <c r="G1845" s="9" t="n">
        <v>2.93</v>
      </c>
      <c r="H1845" s="9" t="n">
        <v>147.07</v>
      </c>
      <c r="I1845" t="inlineStr">
        <is>
          <t>INV/2026/05459</t>
        </is>
      </c>
      <c r="J1845" s="9">
        <f>ROUND(F1845-G1845-H1845,2)</f>
        <v>0</v>
      </c>
    </row>
    <row r="1846">
      <c r="A1846" t="inlineStr">
        <is>
          <t>po_1Q0066KX</t>
        </is>
      </c>
      <c r="B1846" s="5" t="n">
        <v>46295</v>
      </c>
      <c r="C1846" t="inlineStr">
        <is>
          <t>ch_3Q001835</t>
        </is>
      </c>
      <c r="D1846" t="inlineStr">
        <is>
          <t>charge</t>
        </is>
      </c>
      <c r="E1846" s="5" t="n">
        <v>46293</v>
      </c>
      <c r="F1846" s="9" t="n">
        <v>65</v>
      </c>
      <c r="G1846" s="9" t="n">
        <v>1.44</v>
      </c>
      <c r="H1846" s="9" t="n">
        <v>63.56</v>
      </c>
      <c r="I1846" t="inlineStr">
        <is>
          <t>INV/2026/05460</t>
        </is>
      </c>
      <c r="J1846" s="9">
        <f>ROUND(F1846-G1846-H1846,2)</f>
        <v>0</v>
      </c>
    </row>
    <row r="1847">
      <c r="A1847" t="inlineStr">
        <is>
          <t>po_1Q0066KX</t>
        </is>
      </c>
      <c r="B1847" s="5" t="n">
        <v>46295</v>
      </c>
      <c r="C1847" t="inlineStr">
        <is>
          <t>ch_3Q001836</t>
        </is>
      </c>
      <c r="D1847" t="inlineStr">
        <is>
          <t>charge</t>
        </is>
      </c>
      <c r="E1847" s="5" t="n">
        <v>46293</v>
      </c>
      <c r="F1847" s="9" t="n">
        <v>120</v>
      </c>
      <c r="G1847" s="9" t="n">
        <v>2.4</v>
      </c>
      <c r="H1847" s="9" t="n">
        <v>117.6</v>
      </c>
      <c r="I1847" t="inlineStr">
        <is>
          <t>INV/2026/05461</t>
        </is>
      </c>
      <c r="J1847" s="9">
        <f>ROUND(F1847-G1847-H1847,2)</f>
        <v>0</v>
      </c>
    </row>
    <row r="1848">
      <c r="A1848" t="inlineStr">
        <is>
          <t>po_1Q0066KX</t>
        </is>
      </c>
      <c r="B1848" s="5" t="n">
        <v>46295</v>
      </c>
      <c r="C1848" t="inlineStr">
        <is>
          <t>ch_3Q001837</t>
        </is>
      </c>
      <c r="D1848" t="inlineStr">
        <is>
          <t>charge</t>
        </is>
      </c>
      <c r="E1848" s="5" t="n">
        <v>46293</v>
      </c>
      <c r="F1848" s="9" t="n">
        <v>120</v>
      </c>
      <c r="G1848" s="9" t="n">
        <v>2.4</v>
      </c>
      <c r="H1848" s="9" t="n">
        <v>117.6</v>
      </c>
      <c r="I1848" t="inlineStr">
        <is>
          <t>INV/2026/05462</t>
        </is>
      </c>
      <c r="J1848" s="9">
        <f>ROUND(F1848-G1848-H1848,2)</f>
        <v>0</v>
      </c>
    </row>
    <row r="1849">
      <c r="A1849" t="inlineStr">
        <is>
          <t>po_1Q0066KX</t>
        </is>
      </c>
      <c r="B1849" s="5" t="n">
        <v>46295</v>
      </c>
      <c r="C1849" t="inlineStr">
        <is>
          <t>ch_3Q001838</t>
        </is>
      </c>
      <c r="D1849" t="inlineStr">
        <is>
          <t>charge</t>
        </is>
      </c>
      <c r="E1849" s="5" t="n">
        <v>46293</v>
      </c>
      <c r="F1849" s="9" t="n">
        <v>95</v>
      </c>
      <c r="G1849" s="9" t="n">
        <v>1.96</v>
      </c>
      <c r="H1849" s="9" t="n">
        <v>93.04000000000001</v>
      </c>
      <c r="I1849" t="inlineStr">
        <is>
          <t>INV/2026/05463</t>
        </is>
      </c>
      <c r="J1849" s="9">
        <f>ROUND(F1849-G1849-H1849,2)</f>
        <v>0</v>
      </c>
    </row>
    <row r="1850">
      <c r="A1850" t="inlineStr">
        <is>
          <t>po_1Q0066KX</t>
        </is>
      </c>
      <c r="B1850" s="5" t="n">
        <v>46295</v>
      </c>
      <c r="C1850" t="inlineStr">
        <is>
          <t>ch_3Q001839</t>
        </is>
      </c>
      <c r="D1850" t="inlineStr">
        <is>
          <t>charge</t>
        </is>
      </c>
      <c r="E1850" s="5" t="n">
        <v>46293</v>
      </c>
      <c r="F1850" s="9" t="n">
        <v>85</v>
      </c>
      <c r="G1850" s="9" t="n">
        <v>1.79</v>
      </c>
      <c r="H1850" s="9" t="n">
        <v>83.20999999999999</v>
      </c>
      <c r="I1850" t="inlineStr">
        <is>
          <t>INV/2026/05464</t>
        </is>
      </c>
      <c r="J1850" s="9">
        <f>ROUND(F1850-G1850-H1850,2)</f>
        <v>0</v>
      </c>
    </row>
    <row r="1851">
      <c r="A1851" t="inlineStr">
        <is>
          <t>po_1Q0066KX</t>
        </is>
      </c>
      <c r="B1851" s="5" t="n">
        <v>46295</v>
      </c>
      <c r="C1851" t="inlineStr">
        <is>
          <t>ch_3Q001840</t>
        </is>
      </c>
      <c r="D1851" t="inlineStr">
        <is>
          <t>charge</t>
        </is>
      </c>
      <c r="E1851" s="5" t="n">
        <v>46293</v>
      </c>
      <c r="F1851" s="9" t="n">
        <v>150</v>
      </c>
      <c r="G1851" s="9" t="n">
        <v>2.93</v>
      </c>
      <c r="H1851" s="9" t="n">
        <v>147.07</v>
      </c>
      <c r="I1851" t="inlineStr">
        <is>
          <t>INV/2026/05465</t>
        </is>
      </c>
      <c r="J1851" s="9">
        <f>ROUND(F1851-G1851-H1851,2)</f>
        <v>0</v>
      </c>
    </row>
    <row r="1852">
      <c r="A1852" t="inlineStr">
        <is>
          <t>po_1Q0066KX</t>
        </is>
      </c>
      <c r="B1852" s="5" t="n">
        <v>46295</v>
      </c>
      <c r="C1852" t="inlineStr">
        <is>
          <t>ch_3Q001841</t>
        </is>
      </c>
      <c r="D1852" t="inlineStr">
        <is>
          <t>charge</t>
        </is>
      </c>
      <c r="E1852" s="5" t="n">
        <v>46293</v>
      </c>
      <c r="F1852" s="9" t="n">
        <v>220</v>
      </c>
      <c r="G1852" s="9" t="n">
        <v>4.15</v>
      </c>
      <c r="H1852" s="9" t="n">
        <v>215.85</v>
      </c>
      <c r="I1852" t="inlineStr">
        <is>
          <t>INV/2026/05466</t>
        </is>
      </c>
      <c r="J1852" s="9">
        <f>ROUND(F1852-G1852-H1852,2)</f>
        <v>0</v>
      </c>
    </row>
    <row r="1853">
      <c r="A1853" t="inlineStr">
        <is>
          <t>po_1Q0066KX</t>
        </is>
      </c>
      <c r="B1853" s="5" t="n">
        <v>46295</v>
      </c>
      <c r="C1853" t="inlineStr">
        <is>
          <t>ch_3Q001842</t>
        </is>
      </c>
      <c r="D1853" t="inlineStr">
        <is>
          <t>charge</t>
        </is>
      </c>
      <c r="E1853" s="5" t="n">
        <v>46293</v>
      </c>
      <c r="F1853" s="9" t="n">
        <v>220</v>
      </c>
      <c r="G1853" s="9" t="n">
        <v>4.15</v>
      </c>
      <c r="H1853" s="9" t="n">
        <v>215.85</v>
      </c>
      <c r="I1853" t="inlineStr">
        <is>
          <t>INV/2026/05467</t>
        </is>
      </c>
      <c r="J1853" s="9">
        <f>ROUND(F1853-G1853-H1853,2)</f>
        <v>0</v>
      </c>
    </row>
    <row r="1854">
      <c r="A1854" t="inlineStr">
        <is>
          <t>po_1Q0066KX</t>
        </is>
      </c>
      <c r="B1854" s="5" t="n">
        <v>46295</v>
      </c>
      <c r="C1854" t="inlineStr">
        <is>
          <t>ch_3Q001843</t>
        </is>
      </c>
      <c r="D1854" t="inlineStr">
        <is>
          <t>charge</t>
        </is>
      </c>
      <c r="E1854" s="5" t="n">
        <v>46293</v>
      </c>
      <c r="F1854" s="9" t="n">
        <v>110</v>
      </c>
      <c r="G1854" s="9" t="n">
        <v>2.23</v>
      </c>
      <c r="H1854" s="9" t="n">
        <v>107.77</v>
      </c>
      <c r="I1854" t="inlineStr">
        <is>
          <t>INV/2026/05468</t>
        </is>
      </c>
      <c r="J1854" s="9">
        <f>ROUND(F1854-G1854-H1854,2)</f>
        <v>0</v>
      </c>
    </row>
    <row r="1855">
      <c r="A1855" t="inlineStr">
        <is>
          <t>po_1Q0066KX</t>
        </is>
      </c>
      <c r="B1855" s="5" t="n">
        <v>46295</v>
      </c>
      <c r="C1855" t="inlineStr">
        <is>
          <t>ch_3Q001844</t>
        </is>
      </c>
      <c r="D1855" t="inlineStr">
        <is>
          <t>charge</t>
        </is>
      </c>
      <c r="E1855" s="5" t="n">
        <v>46293</v>
      </c>
      <c r="F1855" s="9" t="n">
        <v>65</v>
      </c>
      <c r="G1855" s="9" t="n">
        <v>1.44</v>
      </c>
      <c r="H1855" s="9" t="n">
        <v>63.56</v>
      </c>
      <c r="I1855" t="inlineStr">
        <is>
          <t>INV/2026/05469</t>
        </is>
      </c>
      <c r="J1855" s="9">
        <f>ROUND(F1855-G1855-H1855,2)</f>
        <v>0</v>
      </c>
    </row>
    <row r="1856">
      <c r="A1856" t="inlineStr">
        <is>
          <t>po_1Q0066KX</t>
        </is>
      </c>
      <c r="B1856" s="5" t="n">
        <v>46295</v>
      </c>
      <c r="C1856" t="inlineStr">
        <is>
          <t>ch_3Q001845</t>
        </is>
      </c>
      <c r="D1856" t="inlineStr">
        <is>
          <t>charge</t>
        </is>
      </c>
      <c r="E1856" s="5" t="n">
        <v>46293</v>
      </c>
      <c r="F1856" s="9" t="n">
        <v>85</v>
      </c>
      <c r="G1856" s="9" t="n">
        <v>1.79</v>
      </c>
      <c r="H1856" s="9" t="n">
        <v>83.20999999999999</v>
      </c>
      <c r="I1856" t="inlineStr">
        <is>
          <t>INV/2026/05470</t>
        </is>
      </c>
      <c r="J1856" s="9">
        <f>ROUND(F1856-G1856-H1856,2)</f>
        <v>0</v>
      </c>
    </row>
    <row r="1857">
      <c r="A1857" t="inlineStr">
        <is>
          <t>po_1Q0066KX</t>
        </is>
      </c>
      <c r="B1857" s="5" t="n">
        <v>46295</v>
      </c>
      <c r="C1857" t="inlineStr">
        <is>
          <t>ch_3Q001846</t>
        </is>
      </c>
      <c r="D1857" t="inlineStr">
        <is>
          <t>charge</t>
        </is>
      </c>
      <c r="E1857" s="5" t="n">
        <v>46293</v>
      </c>
      <c r="F1857" s="9" t="n">
        <v>65</v>
      </c>
      <c r="G1857" s="9" t="n">
        <v>1.44</v>
      </c>
      <c r="H1857" s="9" t="n">
        <v>63.56</v>
      </c>
      <c r="I1857" t="inlineStr">
        <is>
          <t>INV/2026/05471</t>
        </is>
      </c>
      <c r="J1857" s="9">
        <f>ROUND(F1857-G1857-H1857,2)</f>
        <v>0</v>
      </c>
    </row>
    <row r="1858">
      <c r="A1858" t="inlineStr">
        <is>
          <t>po_1Q0066KX</t>
        </is>
      </c>
      <c r="B1858" s="5" t="n">
        <v>46295</v>
      </c>
      <c r="C1858" t="inlineStr">
        <is>
          <t>ch_3Q001847</t>
        </is>
      </c>
      <c r="D1858" t="inlineStr">
        <is>
          <t>charge</t>
        </is>
      </c>
      <c r="E1858" s="5" t="n">
        <v>46293</v>
      </c>
      <c r="F1858" s="9" t="n">
        <v>110</v>
      </c>
      <c r="G1858" s="9" t="n">
        <v>2.23</v>
      </c>
      <c r="H1858" s="9" t="n">
        <v>107.77</v>
      </c>
      <c r="I1858" t="inlineStr">
        <is>
          <t>INV/2026/05472</t>
        </is>
      </c>
      <c r="J1858" s="9">
        <f>ROUND(F1858-G1858-H1858,2)</f>
        <v>0</v>
      </c>
    </row>
    <row r="1859">
      <c r="A1859" t="inlineStr">
        <is>
          <t>po_1Q0066KX</t>
        </is>
      </c>
      <c r="B1859" s="5" t="n">
        <v>46295</v>
      </c>
      <c r="C1859" t="inlineStr">
        <is>
          <t>ch_3Q001848</t>
        </is>
      </c>
      <c r="D1859" t="inlineStr">
        <is>
          <t>charge</t>
        </is>
      </c>
      <c r="E1859" s="5" t="n">
        <v>46293</v>
      </c>
      <c r="F1859" s="9" t="n">
        <v>220</v>
      </c>
      <c r="G1859" s="9" t="n">
        <v>4.15</v>
      </c>
      <c r="H1859" s="9" t="n">
        <v>215.85</v>
      </c>
      <c r="I1859" t="inlineStr">
        <is>
          <t>INV/2026/05473</t>
        </is>
      </c>
      <c r="J1859" s="9">
        <f>ROUND(F1859-G1859-H1859,2)</f>
        <v>0</v>
      </c>
    </row>
    <row r="1860">
      <c r="A1860" t="inlineStr">
        <is>
          <t>po_1Q0066KX</t>
        </is>
      </c>
      <c r="B1860" s="5" t="n">
        <v>46295</v>
      </c>
      <c r="C1860" t="inlineStr">
        <is>
          <t>ch_3Q001849</t>
        </is>
      </c>
      <c r="D1860" t="inlineStr">
        <is>
          <t>charge</t>
        </is>
      </c>
      <c r="E1860" s="5" t="n">
        <v>46293</v>
      </c>
      <c r="F1860" s="9" t="n">
        <v>135</v>
      </c>
      <c r="G1860" s="9" t="n">
        <v>2.66</v>
      </c>
      <c r="H1860" s="9" t="n">
        <v>132.34</v>
      </c>
      <c r="I1860" t="inlineStr">
        <is>
          <t>INV/2026/05474</t>
        </is>
      </c>
      <c r="J1860" s="9">
        <f>ROUND(F1860-G1860-H1860,2)</f>
        <v>0</v>
      </c>
    </row>
    <row r="1861">
      <c r="A1861" t="inlineStr">
        <is>
          <t>po_1Q0066KX</t>
        </is>
      </c>
      <c r="B1861" s="5" t="n">
        <v>46295</v>
      </c>
      <c r="C1861" t="inlineStr">
        <is>
          <t>ch_3Q001850</t>
        </is>
      </c>
      <c r="D1861" t="inlineStr">
        <is>
          <t>charge</t>
        </is>
      </c>
      <c r="E1861" s="5" t="n">
        <v>46293</v>
      </c>
      <c r="F1861" s="9" t="n">
        <v>95</v>
      </c>
      <c r="G1861" s="9" t="n">
        <v>1.96</v>
      </c>
      <c r="H1861" s="9" t="n">
        <v>93.04000000000001</v>
      </c>
      <c r="I1861" t="inlineStr">
        <is>
          <t>INV/2026/05475</t>
        </is>
      </c>
      <c r="J1861" s="9">
        <f>ROUND(F1861-G1861-H1861,2)</f>
        <v>0</v>
      </c>
    </row>
    <row r="1862">
      <c r="A1862" t="inlineStr">
        <is>
          <t>po_1Q0066KX</t>
        </is>
      </c>
      <c r="B1862" s="5" t="n">
        <v>46295</v>
      </c>
      <c r="C1862" t="inlineStr">
        <is>
          <t>ch_3Q001851</t>
        </is>
      </c>
      <c r="D1862" t="inlineStr">
        <is>
          <t>charge</t>
        </is>
      </c>
      <c r="E1862" s="5" t="n">
        <v>46293</v>
      </c>
      <c r="F1862" s="9" t="n">
        <v>65</v>
      </c>
      <c r="G1862" s="9" t="n">
        <v>1.44</v>
      </c>
      <c r="H1862" s="9" t="n">
        <v>63.56</v>
      </c>
      <c r="I1862" t="inlineStr">
        <is>
          <t>INV/2026/05476</t>
        </is>
      </c>
      <c r="J1862" s="9">
        <f>ROUND(F1862-G1862-H1862,2)</f>
        <v>0</v>
      </c>
    </row>
    <row r="1863">
      <c r="A1863" t="inlineStr">
        <is>
          <t>po_1Q0066KX</t>
        </is>
      </c>
      <c r="B1863" s="5" t="n">
        <v>46295</v>
      </c>
      <c r="C1863" t="inlineStr">
        <is>
          <t>ch_3Q001852</t>
        </is>
      </c>
      <c r="D1863" t="inlineStr">
        <is>
          <t>charge</t>
        </is>
      </c>
      <c r="E1863" s="5" t="n">
        <v>46293</v>
      </c>
      <c r="F1863" s="9" t="n">
        <v>95</v>
      </c>
      <c r="G1863" s="9" t="n">
        <v>1.96</v>
      </c>
      <c r="H1863" s="9" t="n">
        <v>93.04000000000001</v>
      </c>
      <c r="I1863" t="inlineStr">
        <is>
          <t>INV/2026/05477</t>
        </is>
      </c>
      <c r="J1863" s="9">
        <f>ROUND(F1863-G1863-H1863,2)</f>
        <v>0</v>
      </c>
    </row>
    <row r="1864">
      <c r="A1864" t="inlineStr">
        <is>
          <t>po_1Q0066KX</t>
        </is>
      </c>
      <c r="B1864" s="5" t="n">
        <v>46295</v>
      </c>
      <c r="C1864" t="inlineStr">
        <is>
          <t>ch_3Q001853</t>
        </is>
      </c>
      <c r="D1864" t="inlineStr">
        <is>
          <t>charge</t>
        </is>
      </c>
      <c r="E1864" s="5" t="n">
        <v>46293</v>
      </c>
      <c r="F1864" s="9" t="n">
        <v>150</v>
      </c>
      <c r="G1864" s="9" t="n">
        <v>2.93</v>
      </c>
      <c r="H1864" s="9" t="n">
        <v>147.07</v>
      </c>
      <c r="I1864" t="inlineStr">
        <is>
          <t>INV/2026/05478</t>
        </is>
      </c>
      <c r="J1864" s="9">
        <f>ROUND(F1864-G1864-H1864,2)</f>
        <v>0</v>
      </c>
    </row>
    <row r="1865">
      <c r="A1865" t="inlineStr">
        <is>
          <t>po_1Q0066KX</t>
        </is>
      </c>
      <c r="B1865" s="5" t="n">
        <v>46295</v>
      </c>
      <c r="C1865" t="inlineStr">
        <is>
          <t>ch_3Q001854</t>
        </is>
      </c>
      <c r="D1865" t="inlineStr">
        <is>
          <t>charge</t>
        </is>
      </c>
      <c r="E1865" s="5" t="n">
        <v>46293</v>
      </c>
      <c r="F1865" s="9" t="n">
        <v>120</v>
      </c>
      <c r="G1865" s="9" t="n">
        <v>2.4</v>
      </c>
      <c r="H1865" s="9" t="n">
        <v>117.6</v>
      </c>
      <c r="I1865" t="inlineStr">
        <is>
          <t>INV/2026/05479</t>
        </is>
      </c>
      <c r="J1865" s="9">
        <f>ROUND(F1865-G1865-H1865,2)</f>
        <v>0</v>
      </c>
    </row>
    <row r="1866">
      <c r="A1866" t="inlineStr">
        <is>
          <t>po_1Q0066KX</t>
        </is>
      </c>
      <c r="B1866" s="5" t="n">
        <v>46295</v>
      </c>
      <c r="C1866" t="inlineStr">
        <is>
          <t>ch_3Q001855</t>
        </is>
      </c>
      <c r="D1866" t="inlineStr">
        <is>
          <t>charge</t>
        </is>
      </c>
      <c r="E1866" s="5" t="n">
        <v>46293</v>
      </c>
      <c r="F1866" s="9" t="n">
        <v>95</v>
      </c>
      <c r="G1866" s="9" t="n">
        <v>1.96</v>
      </c>
      <c r="H1866" s="9" t="n">
        <v>93.04000000000001</v>
      </c>
      <c r="I1866" t="inlineStr">
        <is>
          <t>INV/2026/05480</t>
        </is>
      </c>
      <c r="J1866" s="9">
        <f>ROUND(F1866-G1866-H1866,2)</f>
        <v>0</v>
      </c>
    </row>
    <row r="1867">
      <c r="A1867" t="inlineStr">
        <is>
          <t>po_1Q0066KX</t>
        </is>
      </c>
      <c r="B1867" s="5" t="n">
        <v>46295</v>
      </c>
      <c r="C1867" t="inlineStr">
        <is>
          <t>ch_3Q001856</t>
        </is>
      </c>
      <c r="D1867" t="inlineStr">
        <is>
          <t>charge</t>
        </is>
      </c>
      <c r="E1867" s="5" t="n">
        <v>46293</v>
      </c>
      <c r="F1867" s="9" t="n">
        <v>220</v>
      </c>
      <c r="G1867" s="9" t="n">
        <v>4.15</v>
      </c>
      <c r="H1867" s="9" t="n">
        <v>215.85</v>
      </c>
      <c r="I1867" t="inlineStr">
        <is>
          <t>INV/2026/05481</t>
        </is>
      </c>
      <c r="J1867" s="9">
        <f>ROUND(F1867-G1867-H1867,2)</f>
        <v>0</v>
      </c>
    </row>
    <row r="1868">
      <c r="A1868" t="inlineStr">
        <is>
          <t>po_1Q0066KX</t>
        </is>
      </c>
      <c r="B1868" s="5" t="n">
        <v>46295</v>
      </c>
      <c r="C1868" t="inlineStr">
        <is>
          <t>ch_3Q001857</t>
        </is>
      </c>
      <c r="D1868" t="inlineStr">
        <is>
          <t>charge</t>
        </is>
      </c>
      <c r="E1868" s="5" t="n">
        <v>46293</v>
      </c>
      <c r="F1868" s="9" t="n">
        <v>135</v>
      </c>
      <c r="G1868" s="9" t="n">
        <v>2.66</v>
      </c>
      <c r="H1868" s="9" t="n">
        <v>132.34</v>
      </c>
      <c r="I1868" t="inlineStr">
        <is>
          <t>INV/2026/05482</t>
        </is>
      </c>
      <c r="J1868" s="9">
        <f>ROUND(F1868-G1868-H1868,2)</f>
        <v>0</v>
      </c>
    </row>
    <row r="1869">
      <c r="A1869" t="inlineStr">
        <is>
          <t>po_1Q0066KX</t>
        </is>
      </c>
      <c r="B1869" s="5" t="n">
        <v>46295</v>
      </c>
      <c r="C1869" t="inlineStr">
        <is>
          <t>ch_3Q001858</t>
        </is>
      </c>
      <c r="D1869" t="inlineStr">
        <is>
          <t>charge</t>
        </is>
      </c>
      <c r="E1869" s="5" t="n">
        <v>46293</v>
      </c>
      <c r="F1869" s="9" t="n">
        <v>220</v>
      </c>
      <c r="G1869" s="9" t="n">
        <v>4.15</v>
      </c>
      <c r="H1869" s="9" t="n">
        <v>215.85</v>
      </c>
      <c r="I1869" t="inlineStr">
        <is>
          <t>INV/2026/05483</t>
        </is>
      </c>
      <c r="J1869" s="9">
        <f>ROUND(F1869-G1869-H1869,2)</f>
        <v>0</v>
      </c>
    </row>
    <row r="1870">
      <c r="A1870" t="inlineStr">
        <is>
          <t>po_1Q0066KX</t>
        </is>
      </c>
      <c r="B1870" s="5" t="n">
        <v>46295</v>
      </c>
      <c r="C1870" t="inlineStr">
        <is>
          <t>ch_3Q001859</t>
        </is>
      </c>
      <c r="D1870" t="inlineStr">
        <is>
          <t>charge</t>
        </is>
      </c>
      <c r="E1870" s="5" t="n">
        <v>46293</v>
      </c>
      <c r="F1870" s="9" t="n">
        <v>135</v>
      </c>
      <c r="G1870" s="9" t="n">
        <v>2.66</v>
      </c>
      <c r="H1870" s="9" t="n">
        <v>132.34</v>
      </c>
      <c r="I1870" t="inlineStr">
        <is>
          <t>INV/2026/05484</t>
        </is>
      </c>
      <c r="J1870" s="9">
        <f>ROUND(F1870-G1870-H1870,2)</f>
        <v>0</v>
      </c>
    </row>
    <row r="1871">
      <c r="A1871" t="inlineStr">
        <is>
          <t>po_1Q0066KX</t>
        </is>
      </c>
      <c r="B1871" s="5" t="n">
        <v>46295</v>
      </c>
      <c r="C1871" t="inlineStr">
        <is>
          <t>ch_3Q001860</t>
        </is>
      </c>
      <c r="D1871" t="inlineStr">
        <is>
          <t>charge</t>
        </is>
      </c>
      <c r="E1871" s="5" t="n">
        <v>46293</v>
      </c>
      <c r="F1871" s="9" t="n">
        <v>220</v>
      </c>
      <c r="G1871" s="9" t="n">
        <v>4.15</v>
      </c>
      <c r="H1871" s="9" t="n">
        <v>215.85</v>
      </c>
      <c r="I1871" t="inlineStr">
        <is>
          <t>INV/2026/05485</t>
        </is>
      </c>
      <c r="J1871" s="9">
        <f>ROUND(F1871-G1871-H1871,2)</f>
        <v>0</v>
      </c>
    </row>
    <row r="1872">
      <c r="A1872" t="inlineStr">
        <is>
          <t>po_1Q0067KX</t>
        </is>
      </c>
      <c r="B1872" s="5" t="n">
        <v>46296</v>
      </c>
      <c r="C1872" t="inlineStr">
        <is>
          <t>ch_3Q001861</t>
        </is>
      </c>
      <c r="D1872" t="inlineStr">
        <is>
          <t>charge</t>
        </is>
      </c>
      <c r="E1872" s="5" t="n">
        <v>46294</v>
      </c>
      <c r="F1872" s="9" t="n">
        <v>180</v>
      </c>
      <c r="G1872" s="9" t="n">
        <v>3.45</v>
      </c>
      <c r="H1872" s="9" t="n">
        <v>176.55</v>
      </c>
      <c r="I1872" t="inlineStr">
        <is>
          <t>INV/2026/05486</t>
        </is>
      </c>
      <c r="J1872" s="9">
        <f>ROUND(F1872-G1872-H1872,2)</f>
        <v>0</v>
      </c>
    </row>
    <row r="1873">
      <c r="A1873" t="inlineStr">
        <is>
          <t>po_1Q0067KX</t>
        </is>
      </c>
      <c r="B1873" s="5" t="n">
        <v>46296</v>
      </c>
      <c r="C1873" t="inlineStr">
        <is>
          <t>ch_3Q001862</t>
        </is>
      </c>
      <c r="D1873" t="inlineStr">
        <is>
          <t>charge</t>
        </is>
      </c>
      <c r="E1873" s="5" t="n">
        <v>46294</v>
      </c>
      <c r="F1873" s="9" t="n">
        <v>65</v>
      </c>
      <c r="G1873" s="9" t="n">
        <v>1.44</v>
      </c>
      <c r="H1873" s="9" t="n">
        <v>63.56</v>
      </c>
      <c r="I1873" t="inlineStr">
        <is>
          <t>INV/2026/05487</t>
        </is>
      </c>
      <c r="J1873" s="9">
        <f>ROUND(F1873-G1873-H1873,2)</f>
        <v>0</v>
      </c>
    </row>
    <row r="1874">
      <c r="A1874" t="inlineStr">
        <is>
          <t>po_1Q0067KX</t>
        </is>
      </c>
      <c r="B1874" s="5" t="n">
        <v>46296</v>
      </c>
      <c r="C1874" t="inlineStr">
        <is>
          <t>ch_3Q001863</t>
        </is>
      </c>
      <c r="D1874" t="inlineStr">
        <is>
          <t>charge</t>
        </is>
      </c>
      <c r="E1874" s="5" t="n">
        <v>46294</v>
      </c>
      <c r="F1874" s="9" t="n">
        <v>110</v>
      </c>
      <c r="G1874" s="9" t="n">
        <v>2.23</v>
      </c>
      <c r="H1874" s="9" t="n">
        <v>107.77</v>
      </c>
      <c r="I1874" t="inlineStr">
        <is>
          <t>INV/2026/05488</t>
        </is>
      </c>
      <c r="J1874" s="9">
        <f>ROUND(F1874-G1874-H1874,2)</f>
        <v>0</v>
      </c>
    </row>
    <row r="1875">
      <c r="A1875" t="inlineStr">
        <is>
          <t>po_1Q0067KX</t>
        </is>
      </c>
      <c r="B1875" s="5" t="n">
        <v>46296</v>
      </c>
      <c r="C1875" t="inlineStr">
        <is>
          <t>ch_3Q001864</t>
        </is>
      </c>
      <c r="D1875" t="inlineStr">
        <is>
          <t>charge</t>
        </is>
      </c>
      <c r="E1875" s="5" t="n">
        <v>46294</v>
      </c>
      <c r="F1875" s="9" t="n">
        <v>135</v>
      </c>
      <c r="G1875" s="9" t="n">
        <v>2.66</v>
      </c>
      <c r="H1875" s="9" t="n">
        <v>132.34</v>
      </c>
      <c r="I1875" t="inlineStr">
        <is>
          <t>INV/2026/05489</t>
        </is>
      </c>
      <c r="J1875" s="9">
        <f>ROUND(F1875-G1875-H1875,2)</f>
        <v>0</v>
      </c>
    </row>
    <row r="1876">
      <c r="A1876" t="inlineStr">
        <is>
          <t>po_1Q0067KX</t>
        </is>
      </c>
      <c r="B1876" s="5" t="n">
        <v>46296</v>
      </c>
      <c r="C1876" t="inlineStr">
        <is>
          <t>ch_3Q001865</t>
        </is>
      </c>
      <c r="D1876" t="inlineStr">
        <is>
          <t>charge</t>
        </is>
      </c>
      <c r="E1876" s="5" t="n">
        <v>46294</v>
      </c>
      <c r="F1876" s="9" t="n">
        <v>135</v>
      </c>
      <c r="G1876" s="9" t="n">
        <v>2.66</v>
      </c>
      <c r="H1876" s="9" t="n">
        <v>132.34</v>
      </c>
      <c r="I1876" t="inlineStr">
        <is>
          <t>INV/2026/05490</t>
        </is>
      </c>
      <c r="J1876" s="9">
        <f>ROUND(F1876-G1876-H1876,2)</f>
        <v>0</v>
      </c>
    </row>
    <row r="1877">
      <c r="A1877" t="inlineStr">
        <is>
          <t>po_1Q0067KX</t>
        </is>
      </c>
      <c r="B1877" s="5" t="n">
        <v>46296</v>
      </c>
      <c r="C1877" t="inlineStr">
        <is>
          <t>ch_3Q001866</t>
        </is>
      </c>
      <c r="D1877" t="inlineStr">
        <is>
          <t>charge</t>
        </is>
      </c>
      <c r="E1877" s="5" t="n">
        <v>46294</v>
      </c>
      <c r="F1877" s="9" t="n">
        <v>120</v>
      </c>
      <c r="G1877" s="9" t="n">
        <v>2.4</v>
      </c>
      <c r="H1877" s="9" t="n">
        <v>117.6</v>
      </c>
      <c r="I1877" t="inlineStr">
        <is>
          <t>INV/2026/05491</t>
        </is>
      </c>
      <c r="J1877" s="9">
        <f>ROUND(F1877-G1877-H1877,2)</f>
        <v>0</v>
      </c>
    </row>
    <row r="1878">
      <c r="A1878" t="inlineStr">
        <is>
          <t>po_1Q0067KX</t>
        </is>
      </c>
      <c r="B1878" s="5" t="n">
        <v>46296</v>
      </c>
      <c r="C1878" t="inlineStr">
        <is>
          <t>ch_3Q001867</t>
        </is>
      </c>
      <c r="D1878" t="inlineStr">
        <is>
          <t>charge</t>
        </is>
      </c>
      <c r="E1878" s="5" t="n">
        <v>46294</v>
      </c>
      <c r="F1878" s="9" t="n">
        <v>110</v>
      </c>
      <c r="G1878" s="9" t="n">
        <v>2.23</v>
      </c>
      <c r="H1878" s="9" t="n">
        <v>107.77</v>
      </c>
      <c r="I1878" t="inlineStr">
        <is>
          <t>INV/2026/05492</t>
        </is>
      </c>
      <c r="J1878" s="9">
        <f>ROUND(F1878-G1878-H1878,2)</f>
        <v>0</v>
      </c>
    </row>
    <row r="1879">
      <c r="A1879" t="inlineStr">
        <is>
          <t>po_1Q0067KX</t>
        </is>
      </c>
      <c r="B1879" s="5" t="n">
        <v>46296</v>
      </c>
      <c r="C1879" t="inlineStr">
        <is>
          <t>ch_3Q001868</t>
        </is>
      </c>
      <c r="D1879" t="inlineStr">
        <is>
          <t>charge</t>
        </is>
      </c>
      <c r="E1879" s="5" t="n">
        <v>46294</v>
      </c>
      <c r="F1879" s="9" t="n">
        <v>220</v>
      </c>
      <c r="G1879" s="9" t="n">
        <v>4.15</v>
      </c>
      <c r="H1879" s="9" t="n">
        <v>215.85</v>
      </c>
      <c r="I1879" t="inlineStr">
        <is>
          <t>INV/2026/05493</t>
        </is>
      </c>
      <c r="J1879" s="9">
        <f>ROUND(F1879-G1879-H1879,2)</f>
        <v>0</v>
      </c>
    </row>
    <row r="1880">
      <c r="A1880" t="inlineStr">
        <is>
          <t>po_1Q0067KX</t>
        </is>
      </c>
      <c r="B1880" s="5" t="n">
        <v>46296</v>
      </c>
      <c r="C1880" t="inlineStr">
        <is>
          <t>ch_3Q001869</t>
        </is>
      </c>
      <c r="D1880" t="inlineStr">
        <is>
          <t>charge</t>
        </is>
      </c>
      <c r="E1880" s="5" t="n">
        <v>46294</v>
      </c>
      <c r="F1880" s="9" t="n">
        <v>120</v>
      </c>
      <c r="G1880" s="9" t="n">
        <v>2.4</v>
      </c>
      <c r="H1880" s="9" t="n">
        <v>117.6</v>
      </c>
      <c r="I1880" t="inlineStr">
        <is>
          <t>INV/2026/05494</t>
        </is>
      </c>
      <c r="J1880" s="9">
        <f>ROUND(F1880-G1880-H1880,2)</f>
        <v>0</v>
      </c>
    </row>
    <row r="1881">
      <c r="A1881" t="inlineStr">
        <is>
          <t>po_1Q0067KX</t>
        </is>
      </c>
      <c r="B1881" s="5" t="n">
        <v>46296</v>
      </c>
      <c r="C1881" t="inlineStr">
        <is>
          <t>ch_3Q001870</t>
        </is>
      </c>
      <c r="D1881" t="inlineStr">
        <is>
          <t>charge</t>
        </is>
      </c>
      <c r="E1881" s="5" t="n">
        <v>46294</v>
      </c>
      <c r="F1881" s="9" t="n">
        <v>220</v>
      </c>
      <c r="G1881" s="9" t="n">
        <v>4.15</v>
      </c>
      <c r="H1881" s="9" t="n">
        <v>215.85</v>
      </c>
      <c r="I1881" t="inlineStr">
        <is>
          <t>INV/2026/05495</t>
        </is>
      </c>
      <c r="J1881" s="9">
        <f>ROUND(F1881-G1881-H1881,2)</f>
        <v>0</v>
      </c>
    </row>
    <row r="1882">
      <c r="A1882" t="inlineStr">
        <is>
          <t>po_1Q0067KX</t>
        </is>
      </c>
      <c r="B1882" s="5" t="n">
        <v>46296</v>
      </c>
      <c r="C1882" t="inlineStr">
        <is>
          <t>ch_3Q001871</t>
        </is>
      </c>
      <c r="D1882" t="inlineStr">
        <is>
          <t>charge</t>
        </is>
      </c>
      <c r="E1882" s="5" t="n">
        <v>46294</v>
      </c>
      <c r="F1882" s="9" t="n">
        <v>220</v>
      </c>
      <c r="G1882" s="9" t="n">
        <v>4.15</v>
      </c>
      <c r="H1882" s="9" t="n">
        <v>215.85</v>
      </c>
      <c r="I1882" t="inlineStr">
        <is>
          <t>INV/2026/05496</t>
        </is>
      </c>
      <c r="J1882" s="9">
        <f>ROUND(F1882-G1882-H1882,2)</f>
        <v>0</v>
      </c>
    </row>
    <row r="1883">
      <c r="A1883" t="inlineStr">
        <is>
          <t>po_1Q0067KX</t>
        </is>
      </c>
      <c r="B1883" s="5" t="n">
        <v>46296</v>
      </c>
      <c r="C1883" t="inlineStr">
        <is>
          <t>ch_3Q001872</t>
        </is>
      </c>
      <c r="D1883" t="inlineStr">
        <is>
          <t>charge</t>
        </is>
      </c>
      <c r="E1883" s="5" t="n">
        <v>46294</v>
      </c>
      <c r="F1883" s="9" t="n">
        <v>110</v>
      </c>
      <c r="G1883" s="9" t="n">
        <v>2.23</v>
      </c>
      <c r="H1883" s="9" t="n">
        <v>107.77</v>
      </c>
      <c r="I1883" t="inlineStr">
        <is>
          <t>INV/2026/05497</t>
        </is>
      </c>
      <c r="J1883" s="9">
        <f>ROUND(F1883-G1883-H1883,2)</f>
        <v>0</v>
      </c>
    </row>
    <row r="1884">
      <c r="A1884" t="inlineStr">
        <is>
          <t>po_1Q0067KX</t>
        </is>
      </c>
      <c r="B1884" s="5" t="n">
        <v>46296</v>
      </c>
      <c r="C1884" t="inlineStr">
        <is>
          <t>ch_3Q001873</t>
        </is>
      </c>
      <c r="D1884" t="inlineStr">
        <is>
          <t>charge</t>
        </is>
      </c>
      <c r="E1884" s="5" t="n">
        <v>46294</v>
      </c>
      <c r="F1884" s="9" t="n">
        <v>180</v>
      </c>
      <c r="G1884" s="9" t="n">
        <v>3.45</v>
      </c>
      <c r="H1884" s="9" t="n">
        <v>176.55</v>
      </c>
      <c r="I1884" t="inlineStr">
        <is>
          <t>INV/2026/05498</t>
        </is>
      </c>
      <c r="J1884" s="9">
        <f>ROUND(F1884-G1884-H1884,2)</f>
        <v>0</v>
      </c>
    </row>
    <row r="1885">
      <c r="A1885" t="inlineStr">
        <is>
          <t>po_1Q0067KX</t>
        </is>
      </c>
      <c r="B1885" s="5" t="n">
        <v>46296</v>
      </c>
      <c r="C1885" t="inlineStr">
        <is>
          <t>ch_3Q001874</t>
        </is>
      </c>
      <c r="D1885" t="inlineStr">
        <is>
          <t>charge</t>
        </is>
      </c>
      <c r="E1885" s="5" t="n">
        <v>46294</v>
      </c>
      <c r="F1885" s="9" t="n">
        <v>180</v>
      </c>
      <c r="G1885" s="9" t="n">
        <v>3.45</v>
      </c>
      <c r="H1885" s="9" t="n">
        <v>176.55</v>
      </c>
      <c r="I1885" t="inlineStr">
        <is>
          <t>INV/2026/05499</t>
        </is>
      </c>
      <c r="J1885" s="9">
        <f>ROUND(F1885-G1885-H1885,2)</f>
        <v>0</v>
      </c>
    </row>
    <row r="1886">
      <c r="A1886" t="inlineStr">
        <is>
          <t>po_1Q0067KX</t>
        </is>
      </c>
      <c r="B1886" s="5" t="n">
        <v>46296</v>
      </c>
      <c r="C1886" t="inlineStr">
        <is>
          <t>ch_3Q001875</t>
        </is>
      </c>
      <c r="D1886" t="inlineStr">
        <is>
          <t>charge</t>
        </is>
      </c>
      <c r="E1886" s="5" t="n">
        <v>46294</v>
      </c>
      <c r="F1886" s="9" t="n">
        <v>120</v>
      </c>
      <c r="G1886" s="9" t="n">
        <v>2.4</v>
      </c>
      <c r="H1886" s="9" t="n">
        <v>117.6</v>
      </c>
      <c r="I1886" t="inlineStr">
        <is>
          <t>INV/2026/05500</t>
        </is>
      </c>
      <c r="J1886" s="9">
        <f>ROUND(F1886-G1886-H1886,2)</f>
        <v>0</v>
      </c>
    </row>
    <row r="1887">
      <c r="A1887" t="inlineStr">
        <is>
          <t>po_1Q0067KX</t>
        </is>
      </c>
      <c r="B1887" s="5" t="n">
        <v>46296</v>
      </c>
      <c r="C1887" t="inlineStr">
        <is>
          <t>ch_3Q001876</t>
        </is>
      </c>
      <c r="D1887" t="inlineStr">
        <is>
          <t>charge</t>
        </is>
      </c>
      <c r="E1887" s="5" t="n">
        <v>46294</v>
      </c>
      <c r="F1887" s="9" t="n">
        <v>180</v>
      </c>
      <c r="G1887" s="9" t="n">
        <v>3.45</v>
      </c>
      <c r="H1887" s="9" t="n">
        <v>176.55</v>
      </c>
      <c r="I1887" t="inlineStr">
        <is>
          <t>INV/2026/05501</t>
        </is>
      </c>
      <c r="J1887" s="9">
        <f>ROUND(F1887-G1887-H1887,2)</f>
        <v>0</v>
      </c>
    </row>
    <row r="1888">
      <c r="A1888" t="inlineStr">
        <is>
          <t>po_1Q0067KX</t>
        </is>
      </c>
      <c r="B1888" s="5" t="n">
        <v>46296</v>
      </c>
      <c r="C1888" t="inlineStr">
        <is>
          <t>ch_3Q001877</t>
        </is>
      </c>
      <c r="D1888" t="inlineStr">
        <is>
          <t>charge</t>
        </is>
      </c>
      <c r="E1888" s="5" t="n">
        <v>46294</v>
      </c>
      <c r="F1888" s="9" t="n">
        <v>95</v>
      </c>
      <c r="G1888" s="9" t="n">
        <v>1.96</v>
      </c>
      <c r="H1888" s="9" t="n">
        <v>93.04000000000001</v>
      </c>
      <c r="I1888" t="inlineStr">
        <is>
          <t>INV/2026/05502</t>
        </is>
      </c>
      <c r="J1888" s="9">
        <f>ROUND(F1888-G1888-H1888,2)</f>
        <v>0</v>
      </c>
    </row>
    <row r="1889">
      <c r="A1889" t="inlineStr">
        <is>
          <t>po_1Q0067KX</t>
        </is>
      </c>
      <c r="B1889" s="5" t="n">
        <v>46296</v>
      </c>
      <c r="C1889" t="inlineStr">
        <is>
          <t>ch_3Q001878</t>
        </is>
      </c>
      <c r="D1889" t="inlineStr">
        <is>
          <t>charge</t>
        </is>
      </c>
      <c r="E1889" s="5" t="n">
        <v>46294</v>
      </c>
      <c r="F1889" s="9" t="n">
        <v>220</v>
      </c>
      <c r="G1889" s="9" t="n">
        <v>4.15</v>
      </c>
      <c r="H1889" s="9" t="n">
        <v>215.85</v>
      </c>
      <c r="I1889" t="inlineStr">
        <is>
          <t>INV/2026/05503</t>
        </is>
      </c>
      <c r="J1889" s="9">
        <f>ROUND(F1889-G1889-H1889,2)</f>
        <v>0</v>
      </c>
    </row>
    <row r="1890">
      <c r="A1890" t="inlineStr">
        <is>
          <t>po_1Q0067KX</t>
        </is>
      </c>
      <c r="B1890" s="5" t="n">
        <v>46296</v>
      </c>
      <c r="C1890" t="inlineStr">
        <is>
          <t>ch_3Q001879</t>
        </is>
      </c>
      <c r="D1890" t="inlineStr">
        <is>
          <t>charge</t>
        </is>
      </c>
      <c r="E1890" s="5" t="n">
        <v>46294</v>
      </c>
      <c r="F1890" s="9" t="n">
        <v>135</v>
      </c>
      <c r="G1890" s="9" t="n">
        <v>2.66</v>
      </c>
      <c r="H1890" s="9" t="n">
        <v>132.34</v>
      </c>
      <c r="I1890" t="inlineStr">
        <is>
          <t>INV/2026/05504</t>
        </is>
      </c>
      <c r="J1890" s="9">
        <f>ROUND(F1890-G1890-H1890,2)</f>
        <v>0</v>
      </c>
    </row>
    <row r="1891">
      <c r="A1891" t="inlineStr">
        <is>
          <t>po_1Q0067KX</t>
        </is>
      </c>
      <c r="B1891" s="5" t="n">
        <v>46296</v>
      </c>
      <c r="C1891" t="inlineStr">
        <is>
          <t>ch_3Q001880</t>
        </is>
      </c>
      <c r="D1891" t="inlineStr">
        <is>
          <t>charge</t>
        </is>
      </c>
      <c r="E1891" s="5" t="n">
        <v>46294</v>
      </c>
      <c r="F1891" s="9" t="n">
        <v>220</v>
      </c>
      <c r="G1891" s="9" t="n">
        <v>4.15</v>
      </c>
      <c r="H1891" s="9" t="n">
        <v>215.85</v>
      </c>
      <c r="I1891" t="inlineStr">
        <is>
          <t>INV/2026/05505</t>
        </is>
      </c>
      <c r="J1891" s="9">
        <f>ROUND(F1891-G1891-H1891,2)</f>
        <v>0</v>
      </c>
    </row>
    <row r="1892">
      <c r="A1892" t="inlineStr">
        <is>
          <t>po_1Q0067KX</t>
        </is>
      </c>
      <c r="B1892" s="5" t="n">
        <v>46296</v>
      </c>
      <c r="C1892" t="inlineStr">
        <is>
          <t>ch_3Q001881</t>
        </is>
      </c>
      <c r="D1892" t="inlineStr">
        <is>
          <t>charge</t>
        </is>
      </c>
      <c r="E1892" s="5" t="n">
        <v>46294</v>
      </c>
      <c r="F1892" s="9" t="n">
        <v>180</v>
      </c>
      <c r="G1892" s="9" t="n">
        <v>3.45</v>
      </c>
      <c r="H1892" s="9" t="n">
        <v>176.55</v>
      </c>
      <c r="I1892" t="inlineStr">
        <is>
          <t>INV/2026/05506</t>
        </is>
      </c>
      <c r="J1892" s="9">
        <f>ROUND(F1892-G1892-H1892,2)</f>
        <v>0</v>
      </c>
    </row>
    <row r="1893">
      <c r="A1893" t="inlineStr">
        <is>
          <t>po_1Q0067KX</t>
        </is>
      </c>
      <c r="B1893" s="5" t="n">
        <v>46296</v>
      </c>
      <c r="C1893" t="inlineStr">
        <is>
          <t>ch_3Q001882</t>
        </is>
      </c>
      <c r="D1893" t="inlineStr">
        <is>
          <t>charge</t>
        </is>
      </c>
      <c r="E1893" s="5" t="n">
        <v>46294</v>
      </c>
      <c r="F1893" s="9" t="n">
        <v>85</v>
      </c>
      <c r="G1893" s="9" t="n">
        <v>1.79</v>
      </c>
      <c r="H1893" s="9" t="n">
        <v>83.20999999999999</v>
      </c>
      <c r="I1893" t="inlineStr">
        <is>
          <t>INV/2026/05507</t>
        </is>
      </c>
      <c r="J1893" s="9">
        <f>ROUND(F1893-G1893-H1893,2)</f>
        <v>0</v>
      </c>
    </row>
    <row r="1894">
      <c r="A1894" t="inlineStr">
        <is>
          <t>po_1Q0067KX</t>
        </is>
      </c>
      <c r="B1894" s="5" t="n">
        <v>46296</v>
      </c>
      <c r="C1894" t="inlineStr">
        <is>
          <t>ch_3Q001883</t>
        </is>
      </c>
      <c r="D1894" t="inlineStr">
        <is>
          <t>charge</t>
        </is>
      </c>
      <c r="E1894" s="5" t="n">
        <v>46294</v>
      </c>
      <c r="F1894" s="9" t="n">
        <v>65</v>
      </c>
      <c r="G1894" s="9" t="n">
        <v>1.44</v>
      </c>
      <c r="H1894" s="9" t="n">
        <v>63.56</v>
      </c>
      <c r="I1894" t="inlineStr">
        <is>
          <t>INV/2026/05508</t>
        </is>
      </c>
      <c r="J1894" s="9">
        <f>ROUND(F1894-G1894-H1894,2)</f>
        <v>0</v>
      </c>
    </row>
    <row r="1895">
      <c r="A1895" t="inlineStr">
        <is>
          <t>po_1Q0067KX</t>
        </is>
      </c>
      <c r="B1895" s="5" t="n">
        <v>46296</v>
      </c>
      <c r="C1895" t="inlineStr">
        <is>
          <t>ch_3Q001884</t>
        </is>
      </c>
      <c r="D1895" t="inlineStr">
        <is>
          <t>charge</t>
        </is>
      </c>
      <c r="E1895" s="5" t="n">
        <v>46294</v>
      </c>
      <c r="F1895" s="9" t="n">
        <v>220</v>
      </c>
      <c r="G1895" s="9" t="n">
        <v>4.15</v>
      </c>
      <c r="H1895" s="9" t="n">
        <v>215.85</v>
      </c>
      <c r="I1895" t="inlineStr">
        <is>
          <t>INV/2026/05509</t>
        </is>
      </c>
      <c r="J1895" s="9">
        <f>ROUND(F1895-G1895-H1895,2)</f>
        <v>0</v>
      </c>
    </row>
    <row r="1896">
      <c r="A1896" t="inlineStr">
        <is>
          <t>po_1Q0067KX</t>
        </is>
      </c>
      <c r="B1896" s="5" t="n">
        <v>46296</v>
      </c>
      <c r="C1896" t="inlineStr">
        <is>
          <t>ch_3Q001885</t>
        </is>
      </c>
      <c r="D1896" t="inlineStr">
        <is>
          <t>charge</t>
        </is>
      </c>
      <c r="E1896" s="5" t="n">
        <v>46294</v>
      </c>
      <c r="F1896" s="9" t="n">
        <v>65</v>
      </c>
      <c r="G1896" s="9" t="n">
        <v>1.44</v>
      </c>
      <c r="H1896" s="9" t="n">
        <v>63.56</v>
      </c>
      <c r="I1896" t="inlineStr">
        <is>
          <t>INV/2026/05510</t>
        </is>
      </c>
      <c r="J1896" s="9">
        <f>ROUND(F1896-G1896-H1896,2)</f>
        <v>0</v>
      </c>
    </row>
    <row r="1897">
      <c r="A1897" t="inlineStr">
        <is>
          <t>po_1Q0067KX</t>
        </is>
      </c>
      <c r="B1897" s="5" t="n">
        <v>46296</v>
      </c>
      <c r="C1897" t="inlineStr">
        <is>
          <t>ch_3Q001886</t>
        </is>
      </c>
      <c r="D1897" t="inlineStr">
        <is>
          <t>charge</t>
        </is>
      </c>
      <c r="E1897" s="5" t="n">
        <v>46294</v>
      </c>
      <c r="F1897" s="9" t="n">
        <v>120</v>
      </c>
      <c r="G1897" s="9" t="n">
        <v>2.4</v>
      </c>
      <c r="H1897" s="9" t="n">
        <v>117.6</v>
      </c>
      <c r="I1897" t="inlineStr">
        <is>
          <t>INV/2026/05511</t>
        </is>
      </c>
      <c r="J1897" s="9">
        <f>ROUND(F1897-G1897-H1897,2)</f>
        <v>0</v>
      </c>
    </row>
    <row r="1898">
      <c r="A1898" t="inlineStr">
        <is>
          <t>po_1Q0067KX</t>
        </is>
      </c>
      <c r="B1898" s="5" t="n">
        <v>46296</v>
      </c>
      <c r="C1898" t="inlineStr">
        <is>
          <t>ch_3Q001887</t>
        </is>
      </c>
      <c r="D1898" t="inlineStr">
        <is>
          <t>charge</t>
        </is>
      </c>
      <c r="E1898" s="5" t="n">
        <v>46294</v>
      </c>
      <c r="F1898" s="9" t="n">
        <v>65</v>
      </c>
      <c r="G1898" s="9" t="n">
        <v>1.44</v>
      </c>
      <c r="H1898" s="9" t="n">
        <v>63.56</v>
      </c>
      <c r="I1898" t="inlineStr">
        <is>
          <t>INV/2026/05512</t>
        </is>
      </c>
      <c r="J1898" s="9">
        <f>ROUND(F1898-G1898-H1898,2)</f>
        <v>0</v>
      </c>
    </row>
    <row r="1899">
      <c r="A1899" t="inlineStr">
        <is>
          <t>po_1Q0067KX</t>
        </is>
      </c>
      <c r="B1899" s="5" t="n">
        <v>46296</v>
      </c>
      <c r="C1899" t="inlineStr">
        <is>
          <t>ch_3Q001888</t>
        </is>
      </c>
      <c r="D1899" t="inlineStr">
        <is>
          <t>charge</t>
        </is>
      </c>
      <c r="E1899" s="5" t="n">
        <v>46294</v>
      </c>
      <c r="F1899" s="9" t="n">
        <v>85</v>
      </c>
      <c r="G1899" s="9" t="n">
        <v>1.79</v>
      </c>
      <c r="H1899" s="9" t="n">
        <v>83.20999999999999</v>
      </c>
      <c r="I1899" t="inlineStr">
        <is>
          <t>INV/2026/05513</t>
        </is>
      </c>
      <c r="J1899" s="9">
        <f>ROUND(F1899-G1899-H1899,2)</f>
        <v>0</v>
      </c>
    </row>
    <row r="1900">
      <c r="A1900" t="inlineStr">
        <is>
          <t>po_1Q0067KX</t>
        </is>
      </c>
      <c r="B1900" s="5" t="n">
        <v>46296</v>
      </c>
      <c r="C1900" t="inlineStr">
        <is>
          <t>ch_3Q001889</t>
        </is>
      </c>
      <c r="D1900" t="inlineStr">
        <is>
          <t>charge</t>
        </is>
      </c>
      <c r="E1900" s="5" t="n">
        <v>46294</v>
      </c>
      <c r="F1900" s="9" t="n">
        <v>150</v>
      </c>
      <c r="G1900" s="9" t="n">
        <v>2.93</v>
      </c>
      <c r="H1900" s="9" t="n">
        <v>147.07</v>
      </c>
      <c r="I1900" t="inlineStr">
        <is>
          <t>INV/2026/05514</t>
        </is>
      </c>
      <c r="J1900" s="9">
        <f>ROUND(F1900-G1900-H1900,2)</f>
        <v>0</v>
      </c>
    </row>
    <row r="1901">
      <c r="A1901" t="inlineStr">
        <is>
          <t>po_1Q0067KX</t>
        </is>
      </c>
      <c r="B1901" s="5" t="n">
        <v>46296</v>
      </c>
      <c r="C1901" t="inlineStr">
        <is>
          <t>ch_3Q001890</t>
        </is>
      </c>
      <c r="D1901" t="inlineStr">
        <is>
          <t>charge</t>
        </is>
      </c>
      <c r="E1901" s="5" t="n">
        <v>46294</v>
      </c>
      <c r="F1901" s="9" t="n">
        <v>135</v>
      </c>
      <c r="G1901" s="9" t="n">
        <v>2.66</v>
      </c>
      <c r="H1901" s="9" t="n">
        <v>132.34</v>
      </c>
      <c r="I1901" t="inlineStr">
        <is>
          <t>INV/2026/05515</t>
        </is>
      </c>
      <c r="J1901" s="9">
        <f>ROUND(F1901-G1901-H1901,2)</f>
        <v>0</v>
      </c>
    </row>
    <row r="1902">
      <c r="A1902" t="inlineStr">
        <is>
          <t>po_1Q0067KX</t>
        </is>
      </c>
      <c r="B1902" s="5" t="n">
        <v>46296</v>
      </c>
      <c r="C1902" t="inlineStr">
        <is>
          <t>ch_3Q001891</t>
        </is>
      </c>
      <c r="D1902" t="inlineStr">
        <is>
          <t>charge</t>
        </is>
      </c>
      <c r="E1902" s="5" t="n">
        <v>46294</v>
      </c>
      <c r="F1902" s="9" t="n">
        <v>135</v>
      </c>
      <c r="G1902" s="9" t="n">
        <v>2.66</v>
      </c>
      <c r="H1902" s="9" t="n">
        <v>132.34</v>
      </c>
      <c r="I1902" t="inlineStr">
        <is>
          <t>INV/2026/05516</t>
        </is>
      </c>
      <c r="J1902" s="9">
        <f>ROUND(F1902-G1902-H1902,2)</f>
        <v>0</v>
      </c>
    </row>
    <row r="1903">
      <c r="A1903" t="inlineStr">
        <is>
          <t>po_1Q0068KX</t>
        </is>
      </c>
      <c r="B1903" s="5" t="n">
        <v>46297</v>
      </c>
      <c r="C1903" t="inlineStr">
        <is>
          <t>ch_3Q001892</t>
        </is>
      </c>
      <c r="D1903" t="inlineStr">
        <is>
          <t>charge</t>
        </is>
      </c>
      <c r="E1903" s="5" t="n">
        <v>46295</v>
      </c>
      <c r="F1903" s="9" t="n">
        <v>85</v>
      </c>
      <c r="G1903" s="9" t="n">
        <v>1.79</v>
      </c>
      <c r="H1903" s="9" t="n">
        <v>83.20999999999999</v>
      </c>
      <c r="I1903" t="inlineStr">
        <is>
          <t>INV/2026/05517</t>
        </is>
      </c>
      <c r="J1903" s="9">
        <f>ROUND(F1903-G1903-H1903,2)</f>
        <v>0</v>
      </c>
    </row>
    <row r="1904">
      <c r="A1904" t="inlineStr">
        <is>
          <t>po_1Q0068KX</t>
        </is>
      </c>
      <c r="B1904" s="5" t="n">
        <v>46297</v>
      </c>
      <c r="C1904" t="inlineStr">
        <is>
          <t>ch_3Q001893</t>
        </is>
      </c>
      <c r="D1904" t="inlineStr">
        <is>
          <t>charge</t>
        </is>
      </c>
      <c r="E1904" s="5" t="n">
        <v>46295</v>
      </c>
      <c r="F1904" s="9" t="n">
        <v>110</v>
      </c>
      <c r="G1904" s="9" t="n">
        <v>2.23</v>
      </c>
      <c r="H1904" s="9" t="n">
        <v>107.77</v>
      </c>
      <c r="I1904" t="inlineStr">
        <is>
          <t>INV/2026/05518</t>
        </is>
      </c>
      <c r="J1904" s="9">
        <f>ROUND(F1904-G1904-H1904,2)</f>
        <v>0</v>
      </c>
    </row>
    <row r="1905">
      <c r="A1905" t="inlineStr">
        <is>
          <t>po_1Q0068KX</t>
        </is>
      </c>
      <c r="B1905" s="5" t="n">
        <v>46297</v>
      </c>
      <c r="C1905" t="inlineStr">
        <is>
          <t>ch_3Q001894</t>
        </is>
      </c>
      <c r="D1905" t="inlineStr">
        <is>
          <t>charge</t>
        </is>
      </c>
      <c r="E1905" s="5" t="n">
        <v>46295</v>
      </c>
      <c r="F1905" s="9" t="n">
        <v>150</v>
      </c>
      <c r="G1905" s="9" t="n">
        <v>2.93</v>
      </c>
      <c r="H1905" s="9" t="n">
        <v>147.07</v>
      </c>
      <c r="I1905" t="inlineStr">
        <is>
          <t>INV/2026/05519</t>
        </is>
      </c>
      <c r="J1905" s="9">
        <f>ROUND(F1905-G1905-H1905,2)</f>
        <v>0</v>
      </c>
    </row>
    <row r="1906">
      <c r="A1906" t="inlineStr">
        <is>
          <t>po_1Q0068KX</t>
        </is>
      </c>
      <c r="B1906" s="5" t="n">
        <v>46297</v>
      </c>
      <c r="C1906" t="inlineStr">
        <is>
          <t>ch_3Q001895</t>
        </is>
      </c>
      <c r="D1906" t="inlineStr">
        <is>
          <t>charge</t>
        </is>
      </c>
      <c r="E1906" s="5" t="n">
        <v>46295</v>
      </c>
      <c r="F1906" s="9" t="n">
        <v>150</v>
      </c>
      <c r="G1906" s="9" t="n">
        <v>2.93</v>
      </c>
      <c r="H1906" s="9" t="n">
        <v>147.07</v>
      </c>
      <c r="I1906" t="inlineStr">
        <is>
          <t>INV/2026/05520</t>
        </is>
      </c>
      <c r="J1906" s="9">
        <f>ROUND(F1906-G1906-H1906,2)</f>
        <v>0</v>
      </c>
    </row>
    <row r="1907">
      <c r="A1907" t="inlineStr">
        <is>
          <t>po_1Q0068KX</t>
        </is>
      </c>
      <c r="B1907" s="5" t="n">
        <v>46297</v>
      </c>
      <c r="C1907" t="inlineStr">
        <is>
          <t>ch_3Q001896</t>
        </is>
      </c>
      <c r="D1907" t="inlineStr">
        <is>
          <t>charge</t>
        </is>
      </c>
      <c r="E1907" s="5" t="n">
        <v>46295</v>
      </c>
      <c r="F1907" s="9" t="n">
        <v>220</v>
      </c>
      <c r="G1907" s="9" t="n">
        <v>4.15</v>
      </c>
      <c r="H1907" s="9" t="n">
        <v>215.85</v>
      </c>
      <c r="I1907" t="inlineStr">
        <is>
          <t>INV/2026/05521</t>
        </is>
      </c>
      <c r="J1907" s="9">
        <f>ROUND(F1907-G1907-H1907,2)</f>
        <v>0</v>
      </c>
    </row>
    <row r="1908">
      <c r="A1908" t="inlineStr">
        <is>
          <t>po_1Q0068KX</t>
        </is>
      </c>
      <c r="B1908" s="5" t="n">
        <v>46297</v>
      </c>
      <c r="C1908" t="inlineStr">
        <is>
          <t>ch_3Q001897</t>
        </is>
      </c>
      <c r="D1908" t="inlineStr">
        <is>
          <t>charge</t>
        </is>
      </c>
      <c r="E1908" s="5" t="n">
        <v>46295</v>
      </c>
      <c r="F1908" s="9" t="n">
        <v>95</v>
      </c>
      <c r="G1908" s="9" t="n">
        <v>1.96</v>
      </c>
      <c r="H1908" s="9" t="n">
        <v>93.04000000000001</v>
      </c>
      <c r="I1908" t="inlineStr">
        <is>
          <t>INV/2026/05522</t>
        </is>
      </c>
      <c r="J1908" s="9">
        <f>ROUND(F1908-G1908-H1908,2)</f>
        <v>0</v>
      </c>
    </row>
    <row r="1909">
      <c r="A1909" t="inlineStr">
        <is>
          <t>po_1Q0068KX</t>
        </is>
      </c>
      <c r="B1909" s="5" t="n">
        <v>46297</v>
      </c>
      <c r="C1909" t="inlineStr">
        <is>
          <t>ch_3Q001898</t>
        </is>
      </c>
      <c r="D1909" t="inlineStr">
        <is>
          <t>charge</t>
        </is>
      </c>
      <c r="E1909" s="5" t="n">
        <v>46295</v>
      </c>
      <c r="F1909" s="9" t="n">
        <v>150</v>
      </c>
      <c r="G1909" s="9" t="n">
        <v>2.93</v>
      </c>
      <c r="H1909" s="9" t="n">
        <v>147.07</v>
      </c>
      <c r="I1909" t="inlineStr">
        <is>
          <t>INV/2026/05523</t>
        </is>
      </c>
      <c r="J1909" s="9">
        <f>ROUND(F1909-G1909-H1909,2)</f>
        <v>0</v>
      </c>
    </row>
    <row r="1910">
      <c r="A1910" t="inlineStr">
        <is>
          <t>po_1Q0068KX</t>
        </is>
      </c>
      <c r="B1910" s="5" t="n">
        <v>46297</v>
      </c>
      <c r="C1910" t="inlineStr">
        <is>
          <t>ch_3Q001899</t>
        </is>
      </c>
      <c r="D1910" t="inlineStr">
        <is>
          <t>charge</t>
        </is>
      </c>
      <c r="E1910" s="5" t="n">
        <v>46295</v>
      </c>
      <c r="F1910" s="9" t="n">
        <v>220</v>
      </c>
      <c r="G1910" s="9" t="n">
        <v>4.15</v>
      </c>
      <c r="H1910" s="9" t="n">
        <v>215.85</v>
      </c>
      <c r="I1910" t="inlineStr">
        <is>
          <t>INV/2026/05524</t>
        </is>
      </c>
      <c r="J1910" s="9">
        <f>ROUND(F1910-G1910-H1910,2)</f>
        <v>0</v>
      </c>
    </row>
    <row r="1911">
      <c r="A1911" t="inlineStr">
        <is>
          <t>po_1Q0068KX</t>
        </is>
      </c>
      <c r="B1911" s="5" t="n">
        <v>46297</v>
      </c>
      <c r="C1911" t="inlineStr">
        <is>
          <t>ch_3Q001900</t>
        </is>
      </c>
      <c r="D1911" t="inlineStr">
        <is>
          <t>charge</t>
        </is>
      </c>
      <c r="E1911" s="5" t="n">
        <v>46295</v>
      </c>
      <c r="F1911" s="9" t="n">
        <v>120</v>
      </c>
      <c r="G1911" s="9" t="n">
        <v>2.4</v>
      </c>
      <c r="H1911" s="9" t="n">
        <v>117.6</v>
      </c>
      <c r="I1911" t="inlineStr">
        <is>
          <t>INV/2026/05525</t>
        </is>
      </c>
      <c r="J1911" s="9">
        <f>ROUND(F1911-G1911-H1911,2)</f>
        <v>0</v>
      </c>
    </row>
    <row r="1912">
      <c r="A1912" t="inlineStr">
        <is>
          <t>po_1Q0068KX</t>
        </is>
      </c>
      <c r="B1912" s="5" t="n">
        <v>46297</v>
      </c>
      <c r="C1912" t="inlineStr">
        <is>
          <t>ch_3Q001901</t>
        </is>
      </c>
      <c r="D1912" t="inlineStr">
        <is>
          <t>charge</t>
        </is>
      </c>
      <c r="E1912" s="5" t="n">
        <v>46295</v>
      </c>
      <c r="F1912" s="9" t="n">
        <v>180</v>
      </c>
      <c r="G1912" s="9" t="n">
        <v>3.45</v>
      </c>
      <c r="H1912" s="9" t="n">
        <v>176.55</v>
      </c>
      <c r="I1912" t="inlineStr">
        <is>
          <t>INV/2026/05526</t>
        </is>
      </c>
      <c r="J1912" s="9">
        <f>ROUND(F1912-G1912-H1912,2)</f>
        <v>0</v>
      </c>
    </row>
    <row r="1913">
      <c r="A1913" t="inlineStr">
        <is>
          <t>po_1Q0068KX</t>
        </is>
      </c>
      <c r="B1913" s="5" t="n">
        <v>46297</v>
      </c>
      <c r="C1913" t="inlineStr">
        <is>
          <t>ch_3Q001902</t>
        </is>
      </c>
      <c r="D1913" t="inlineStr">
        <is>
          <t>charge</t>
        </is>
      </c>
      <c r="E1913" s="5" t="n">
        <v>46295</v>
      </c>
      <c r="F1913" s="9" t="n">
        <v>120</v>
      </c>
      <c r="G1913" s="9" t="n">
        <v>2.4</v>
      </c>
      <c r="H1913" s="9" t="n">
        <v>117.6</v>
      </c>
      <c r="I1913" t="inlineStr">
        <is>
          <t>INV/2026/05527</t>
        </is>
      </c>
      <c r="J1913" s="9">
        <f>ROUND(F1913-G1913-H1913,2)</f>
        <v>0</v>
      </c>
    </row>
    <row r="1914">
      <c r="A1914" t="inlineStr">
        <is>
          <t>po_1Q0068KX</t>
        </is>
      </c>
      <c r="B1914" s="5" t="n">
        <v>46297</v>
      </c>
      <c r="C1914" t="inlineStr">
        <is>
          <t>ch_3Q001903</t>
        </is>
      </c>
      <c r="D1914" t="inlineStr">
        <is>
          <t>charge</t>
        </is>
      </c>
      <c r="E1914" s="5" t="n">
        <v>46295</v>
      </c>
      <c r="F1914" s="9" t="n">
        <v>110</v>
      </c>
      <c r="G1914" s="9" t="n">
        <v>2.23</v>
      </c>
      <c r="H1914" s="9" t="n">
        <v>107.77</v>
      </c>
      <c r="I1914" t="inlineStr">
        <is>
          <t>INV/2026/05528</t>
        </is>
      </c>
      <c r="J1914" s="9">
        <f>ROUND(F1914-G1914-H1914,2)</f>
        <v>0</v>
      </c>
    </row>
    <row r="1915">
      <c r="A1915" t="inlineStr">
        <is>
          <t>po_1Q0068KX</t>
        </is>
      </c>
      <c r="B1915" s="5" t="n">
        <v>46297</v>
      </c>
      <c r="C1915" t="inlineStr">
        <is>
          <t>ch_3Q001904</t>
        </is>
      </c>
      <c r="D1915" t="inlineStr">
        <is>
          <t>charge</t>
        </is>
      </c>
      <c r="E1915" s="5" t="n">
        <v>46295</v>
      </c>
      <c r="F1915" s="9" t="n">
        <v>150</v>
      </c>
      <c r="G1915" s="9" t="n">
        <v>2.93</v>
      </c>
      <c r="H1915" s="9" t="n">
        <v>147.07</v>
      </c>
      <c r="I1915" t="inlineStr">
        <is>
          <t>INV/2026/05529</t>
        </is>
      </c>
      <c r="J1915" s="9">
        <f>ROUND(F1915-G1915-H1915,2)</f>
        <v>0</v>
      </c>
    </row>
    <row r="1916">
      <c r="A1916" t="inlineStr">
        <is>
          <t>po_1Q0068KX</t>
        </is>
      </c>
      <c r="B1916" s="5" t="n">
        <v>46297</v>
      </c>
      <c r="C1916" t="inlineStr">
        <is>
          <t>ch_3Q001905</t>
        </is>
      </c>
      <c r="D1916" t="inlineStr">
        <is>
          <t>charge</t>
        </is>
      </c>
      <c r="E1916" s="5" t="n">
        <v>46295</v>
      </c>
      <c r="F1916" s="9" t="n">
        <v>110</v>
      </c>
      <c r="G1916" s="9" t="n">
        <v>2.23</v>
      </c>
      <c r="H1916" s="9" t="n">
        <v>107.77</v>
      </c>
      <c r="I1916" t="inlineStr">
        <is>
          <t>INV/2026/05530</t>
        </is>
      </c>
      <c r="J1916" s="9">
        <f>ROUND(F1916-G1916-H1916,2)</f>
        <v>0</v>
      </c>
    </row>
    <row r="1917">
      <c r="A1917" t="inlineStr">
        <is>
          <t>po_1Q0068KX</t>
        </is>
      </c>
      <c r="B1917" s="5" t="n">
        <v>46297</v>
      </c>
      <c r="C1917" t="inlineStr">
        <is>
          <t>ch_3Q001906</t>
        </is>
      </c>
      <c r="D1917" t="inlineStr">
        <is>
          <t>charge</t>
        </is>
      </c>
      <c r="E1917" s="5" t="n">
        <v>46295</v>
      </c>
      <c r="F1917" s="9" t="n">
        <v>150</v>
      </c>
      <c r="G1917" s="9" t="n">
        <v>2.93</v>
      </c>
      <c r="H1917" s="9" t="n">
        <v>147.07</v>
      </c>
      <c r="I1917" t="inlineStr">
        <is>
          <t>INV/2026/05531</t>
        </is>
      </c>
      <c r="J1917" s="9">
        <f>ROUND(F1917-G1917-H1917,2)</f>
        <v>0</v>
      </c>
    </row>
    <row r="1918">
      <c r="A1918" t="inlineStr">
        <is>
          <t>po_1Q0068KX</t>
        </is>
      </c>
      <c r="B1918" s="5" t="n">
        <v>46297</v>
      </c>
      <c r="C1918" t="inlineStr">
        <is>
          <t>ch_3Q001907</t>
        </is>
      </c>
      <c r="D1918" t="inlineStr">
        <is>
          <t>charge</t>
        </is>
      </c>
      <c r="E1918" s="5" t="n">
        <v>46295</v>
      </c>
      <c r="F1918" s="9" t="n">
        <v>65</v>
      </c>
      <c r="G1918" s="9" t="n">
        <v>1.44</v>
      </c>
      <c r="H1918" s="9" t="n">
        <v>63.56</v>
      </c>
      <c r="I1918" t="inlineStr">
        <is>
          <t>INV/2026/05532</t>
        </is>
      </c>
      <c r="J1918" s="9">
        <f>ROUND(F1918-G1918-H1918,2)</f>
        <v>0</v>
      </c>
    </row>
    <row r="1919">
      <c r="A1919" t="inlineStr">
        <is>
          <t>po_1Q0068KX</t>
        </is>
      </c>
      <c r="B1919" s="5" t="n">
        <v>46297</v>
      </c>
      <c r="C1919" t="inlineStr">
        <is>
          <t>ch_3Q001908</t>
        </is>
      </c>
      <c r="D1919" t="inlineStr">
        <is>
          <t>charge</t>
        </is>
      </c>
      <c r="E1919" s="5" t="n">
        <v>46295</v>
      </c>
      <c r="F1919" s="9" t="n">
        <v>65</v>
      </c>
      <c r="G1919" s="9" t="n">
        <v>1.44</v>
      </c>
      <c r="H1919" s="9" t="n">
        <v>63.56</v>
      </c>
      <c r="I1919" t="inlineStr">
        <is>
          <t>INV/2026/05533</t>
        </is>
      </c>
      <c r="J1919" s="9">
        <f>ROUND(F1919-G1919-H1919,2)</f>
        <v>0</v>
      </c>
    </row>
    <row r="1920">
      <c r="A1920" t="inlineStr">
        <is>
          <t>po_1Q0068KX</t>
        </is>
      </c>
      <c r="B1920" s="5" t="n">
        <v>46297</v>
      </c>
      <c r="C1920" t="inlineStr">
        <is>
          <t>ch_3Q001909</t>
        </is>
      </c>
      <c r="D1920" t="inlineStr">
        <is>
          <t>charge</t>
        </is>
      </c>
      <c r="E1920" s="5" t="n">
        <v>46295</v>
      </c>
      <c r="F1920" s="9" t="n">
        <v>150</v>
      </c>
      <c r="G1920" s="9" t="n">
        <v>2.93</v>
      </c>
      <c r="H1920" s="9" t="n">
        <v>147.07</v>
      </c>
      <c r="I1920" t="inlineStr">
        <is>
          <t>INV/2026/05534</t>
        </is>
      </c>
      <c r="J1920" s="9">
        <f>ROUND(F1920-G1920-H1920,2)</f>
        <v>0</v>
      </c>
    </row>
    <row r="1921">
      <c r="A1921" t="inlineStr">
        <is>
          <t>po_1Q0068KX</t>
        </is>
      </c>
      <c r="B1921" s="5" t="n">
        <v>46297</v>
      </c>
      <c r="C1921" t="inlineStr">
        <is>
          <t>ch_3Q001910</t>
        </is>
      </c>
      <c r="D1921" t="inlineStr">
        <is>
          <t>charge</t>
        </is>
      </c>
      <c r="E1921" s="5" t="n">
        <v>46295</v>
      </c>
      <c r="F1921" s="9" t="n">
        <v>65</v>
      </c>
      <c r="G1921" s="9" t="n">
        <v>1.44</v>
      </c>
      <c r="H1921" s="9" t="n">
        <v>63.56</v>
      </c>
      <c r="I1921" t="inlineStr">
        <is>
          <t>INV/2026/05535</t>
        </is>
      </c>
      <c r="J1921" s="9">
        <f>ROUND(F1921-G1921-H1921,2)</f>
        <v>0</v>
      </c>
    </row>
    <row r="1922">
      <c r="A1922" t="inlineStr">
        <is>
          <t>po_1Q0068KX</t>
        </is>
      </c>
      <c r="B1922" s="5" t="n">
        <v>46297</v>
      </c>
      <c r="C1922" t="inlineStr">
        <is>
          <t>ch_3Q001911</t>
        </is>
      </c>
      <c r="D1922" t="inlineStr">
        <is>
          <t>charge</t>
        </is>
      </c>
      <c r="E1922" s="5" t="n">
        <v>46295</v>
      </c>
      <c r="F1922" s="9" t="n">
        <v>85</v>
      </c>
      <c r="G1922" s="9" t="n">
        <v>1.79</v>
      </c>
      <c r="H1922" s="9" t="n">
        <v>83.20999999999999</v>
      </c>
      <c r="I1922" t="inlineStr">
        <is>
          <t>INV/2026/05536</t>
        </is>
      </c>
      <c r="J1922" s="9">
        <f>ROUND(F1922-G1922-H1922,2)</f>
        <v>0</v>
      </c>
    </row>
    <row r="1923">
      <c r="A1923" t="inlineStr">
        <is>
          <t>po_1Q0068KX</t>
        </is>
      </c>
      <c r="B1923" s="5" t="n">
        <v>46297</v>
      </c>
      <c r="C1923" t="inlineStr">
        <is>
          <t>ch_3Q001912</t>
        </is>
      </c>
      <c r="D1923" t="inlineStr">
        <is>
          <t>charge</t>
        </is>
      </c>
      <c r="E1923" s="5" t="n">
        <v>46295</v>
      </c>
      <c r="F1923" s="9" t="n">
        <v>95</v>
      </c>
      <c r="G1923" s="9" t="n">
        <v>1.96</v>
      </c>
      <c r="H1923" s="9" t="n">
        <v>93.04000000000001</v>
      </c>
      <c r="I1923" t="inlineStr">
        <is>
          <t>INV/2026/05537</t>
        </is>
      </c>
      <c r="J1923" s="9">
        <f>ROUND(F1923-G1923-H1923,2)</f>
        <v>0</v>
      </c>
    </row>
    <row r="1924">
      <c r="A1924" t="inlineStr">
        <is>
          <t>po_1Q0068KX</t>
        </is>
      </c>
      <c r="B1924" s="5" t="n">
        <v>46297</v>
      </c>
      <c r="C1924" t="inlineStr">
        <is>
          <t>ch_3Q001913</t>
        </is>
      </c>
      <c r="D1924" t="inlineStr">
        <is>
          <t>charge</t>
        </is>
      </c>
      <c r="E1924" s="5" t="n">
        <v>46295</v>
      </c>
      <c r="F1924" s="9" t="n">
        <v>220</v>
      </c>
      <c r="G1924" s="9" t="n">
        <v>4.15</v>
      </c>
      <c r="H1924" s="9" t="n">
        <v>215.85</v>
      </c>
      <c r="I1924" t="inlineStr">
        <is>
          <t>INV/2026/05538</t>
        </is>
      </c>
      <c r="J1924" s="9">
        <f>ROUND(F1924-G1924-H1924,2)</f>
        <v>0</v>
      </c>
    </row>
    <row r="1925">
      <c r="A1925" t="inlineStr">
        <is>
          <t>po_1Q0068KX</t>
        </is>
      </c>
      <c r="B1925" s="5" t="n">
        <v>46297</v>
      </c>
      <c r="C1925" t="inlineStr">
        <is>
          <t>ch_3Q001914</t>
        </is>
      </c>
      <c r="D1925" t="inlineStr">
        <is>
          <t>charge</t>
        </is>
      </c>
      <c r="E1925" s="5" t="n">
        <v>46295</v>
      </c>
      <c r="F1925" s="9" t="n">
        <v>85</v>
      </c>
      <c r="G1925" s="9" t="n">
        <v>1.79</v>
      </c>
      <c r="H1925" s="9" t="n">
        <v>83.20999999999999</v>
      </c>
      <c r="I1925" t="inlineStr">
        <is>
          <t>INV/2026/05539</t>
        </is>
      </c>
      <c r="J1925" s="9">
        <f>ROUND(F1925-G1925-H1925,2)</f>
        <v>0</v>
      </c>
    </row>
    <row r="1926">
      <c r="A1926" t="inlineStr">
        <is>
          <t>po_1Q0068KX</t>
        </is>
      </c>
      <c r="B1926" s="5" t="n">
        <v>46297</v>
      </c>
      <c r="C1926" t="inlineStr">
        <is>
          <t>ch_3Q001915</t>
        </is>
      </c>
      <c r="D1926" t="inlineStr">
        <is>
          <t>charge</t>
        </is>
      </c>
      <c r="E1926" s="5" t="n">
        <v>46295</v>
      </c>
      <c r="F1926" s="9" t="n">
        <v>85</v>
      </c>
      <c r="G1926" s="9" t="n">
        <v>1.79</v>
      </c>
      <c r="H1926" s="9" t="n">
        <v>83.20999999999999</v>
      </c>
      <c r="I1926" t="inlineStr">
        <is>
          <t>INV/2026/05540</t>
        </is>
      </c>
      <c r="J1926" s="9">
        <f>ROUND(F1926-G1926-H1926,2)</f>
        <v>0</v>
      </c>
    </row>
    <row r="1927">
      <c r="A1927" t="inlineStr">
        <is>
          <t>po_1Q0068KX</t>
        </is>
      </c>
      <c r="B1927" s="5" t="n">
        <v>46297</v>
      </c>
      <c r="C1927" t="inlineStr">
        <is>
          <t>ch_3Q001916</t>
        </is>
      </c>
      <c r="D1927" t="inlineStr">
        <is>
          <t>charge</t>
        </is>
      </c>
      <c r="E1927" s="5" t="n">
        <v>46295</v>
      </c>
      <c r="F1927" s="9" t="n">
        <v>110</v>
      </c>
      <c r="G1927" s="9" t="n">
        <v>2.23</v>
      </c>
      <c r="H1927" s="9" t="n">
        <v>107.77</v>
      </c>
      <c r="I1927" t="inlineStr">
        <is>
          <t>INV/2026/05541</t>
        </is>
      </c>
      <c r="J1927" s="9">
        <f>ROUND(F1927-G1927-H1927,2)</f>
        <v>0</v>
      </c>
    </row>
    <row r="1928">
      <c r="A1928" t="inlineStr">
        <is>
          <t>po_1Q0068KX</t>
        </is>
      </c>
      <c r="B1928" s="5" t="n">
        <v>46297</v>
      </c>
      <c r="C1928" t="inlineStr">
        <is>
          <t>ch_3Q001917</t>
        </is>
      </c>
      <c r="D1928" t="inlineStr">
        <is>
          <t>charge</t>
        </is>
      </c>
      <c r="E1928" s="5" t="n">
        <v>46295</v>
      </c>
      <c r="F1928" s="9" t="n">
        <v>180</v>
      </c>
      <c r="G1928" s="9" t="n">
        <v>3.45</v>
      </c>
      <c r="H1928" s="9" t="n">
        <v>176.55</v>
      </c>
      <c r="I1928" t="inlineStr">
        <is>
          <t>INV/2026/05542</t>
        </is>
      </c>
      <c r="J1928" s="9">
        <f>ROUND(F1928-G1928-H1928,2)</f>
        <v>0</v>
      </c>
    </row>
    <row r="1929">
      <c r="A1929" t="inlineStr">
        <is>
          <t>po_1Q0068KX</t>
        </is>
      </c>
      <c r="B1929" s="5" t="n">
        <v>46297</v>
      </c>
      <c r="C1929" t="inlineStr">
        <is>
          <t>ch_3Q001918</t>
        </is>
      </c>
      <c r="D1929" t="inlineStr">
        <is>
          <t>charge</t>
        </is>
      </c>
      <c r="E1929" s="5" t="n">
        <v>46295</v>
      </c>
      <c r="F1929" s="9" t="n">
        <v>180</v>
      </c>
      <c r="G1929" s="9" t="n">
        <v>3.45</v>
      </c>
      <c r="H1929" s="9" t="n">
        <v>176.55</v>
      </c>
      <c r="I1929" t="inlineStr">
        <is>
          <t>INV/2026/05543</t>
        </is>
      </c>
      <c r="J1929" s="9">
        <f>ROUND(F1929-G1929-H1929,2)</f>
        <v>0</v>
      </c>
    </row>
    <row r="1930">
      <c r="A1930" t="inlineStr">
        <is>
          <t>po_1Q0068KX</t>
        </is>
      </c>
      <c r="B1930" s="5" t="n">
        <v>46297</v>
      </c>
      <c r="C1930" t="inlineStr">
        <is>
          <t>ch_3Q001919</t>
        </is>
      </c>
      <c r="D1930" t="inlineStr">
        <is>
          <t>charge</t>
        </is>
      </c>
      <c r="E1930" s="5" t="n">
        <v>46295</v>
      </c>
      <c r="F1930" s="9" t="n">
        <v>180</v>
      </c>
      <c r="G1930" s="9" t="n">
        <v>3.45</v>
      </c>
      <c r="H1930" s="9" t="n">
        <v>176.55</v>
      </c>
      <c r="I1930" t="inlineStr">
        <is>
          <t>INV/2026/05544</t>
        </is>
      </c>
      <c r="J1930" s="9">
        <f>ROUND(F1930-G1930-H1930,2)</f>
        <v>0</v>
      </c>
    </row>
    <row r="1931">
      <c r="A1931" t="inlineStr">
        <is>
          <t>po_1Q0068KX</t>
        </is>
      </c>
      <c r="B1931" s="5" t="n">
        <v>46297</v>
      </c>
      <c r="C1931" t="inlineStr">
        <is>
          <t>ch_3Q001920</t>
        </is>
      </c>
      <c r="D1931" t="inlineStr">
        <is>
          <t>charge</t>
        </is>
      </c>
      <c r="E1931" s="5" t="n">
        <v>46295</v>
      </c>
      <c r="F1931" s="9" t="n">
        <v>85</v>
      </c>
      <c r="G1931" s="9" t="n">
        <v>1.79</v>
      </c>
      <c r="H1931" s="9" t="n">
        <v>83.20999999999999</v>
      </c>
      <c r="I1931" t="inlineStr">
        <is>
          <t>INV/2026/05545</t>
        </is>
      </c>
      <c r="J1931" s="9">
        <f>ROUND(F1931-G1931-H1931,2)</f>
        <v>0</v>
      </c>
    </row>
    <row r="1932">
      <c r="A1932" t="inlineStr">
        <is>
          <t>po_1Q0068KX</t>
        </is>
      </c>
      <c r="B1932" s="5" t="n">
        <v>46297</v>
      </c>
      <c r="C1932" t="inlineStr">
        <is>
          <t>ch_3Q001921</t>
        </is>
      </c>
      <c r="D1932" t="inlineStr">
        <is>
          <t>charge</t>
        </is>
      </c>
      <c r="E1932" s="5" t="n">
        <v>46295</v>
      </c>
      <c r="F1932" s="9" t="n">
        <v>85</v>
      </c>
      <c r="G1932" s="9" t="n">
        <v>1.79</v>
      </c>
      <c r="H1932" s="9" t="n">
        <v>83.20999999999999</v>
      </c>
      <c r="I1932" t="inlineStr">
        <is>
          <t>INV/2026/05546</t>
        </is>
      </c>
      <c r="J1932" s="9">
        <f>ROUND(F1932-G1932-H1932,2)</f>
        <v>0</v>
      </c>
    </row>
    <row r="1933">
      <c r="A1933" t="inlineStr">
        <is>
          <t>po_1Q0068KX</t>
        </is>
      </c>
      <c r="B1933" s="5" t="n">
        <v>46297</v>
      </c>
      <c r="C1933" t="inlineStr">
        <is>
          <t>ch_3Q001922</t>
        </is>
      </c>
      <c r="D1933" t="inlineStr">
        <is>
          <t>charge</t>
        </is>
      </c>
      <c r="E1933" s="5" t="n">
        <v>46295</v>
      </c>
      <c r="F1933" s="9" t="n">
        <v>65</v>
      </c>
      <c r="G1933" s="9" t="n">
        <v>1.44</v>
      </c>
      <c r="H1933" s="9" t="n">
        <v>63.56</v>
      </c>
      <c r="I1933" t="inlineStr">
        <is>
          <t>INV/2026/05547</t>
        </is>
      </c>
      <c r="J1933" s="9">
        <f>ROUND(F1933-G1933-H1933,2)</f>
        <v>0</v>
      </c>
    </row>
    <row r="1934">
      <c r="A1934" t="inlineStr">
        <is>
          <t>po_1Q0068KX</t>
        </is>
      </c>
      <c r="B1934" s="5" t="n">
        <v>46297</v>
      </c>
      <c r="C1934" t="inlineStr">
        <is>
          <t>ch_3Q001923</t>
        </is>
      </c>
      <c r="D1934" t="inlineStr">
        <is>
          <t>charge</t>
        </is>
      </c>
      <c r="E1934" s="5" t="n">
        <v>46295</v>
      </c>
      <c r="F1934" s="9" t="n">
        <v>120</v>
      </c>
      <c r="G1934" s="9" t="n">
        <v>2.4</v>
      </c>
      <c r="H1934" s="9" t="n">
        <v>117.6</v>
      </c>
      <c r="I1934" t="inlineStr">
        <is>
          <t>INV/2026/05548</t>
        </is>
      </c>
      <c r="J1934" s="9">
        <f>ROUND(F1934-G1934-H1934,2)</f>
        <v>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7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8" customWidth="1" min="3" max="3"/>
    <col width="14" customWidth="1" min="4" max="4"/>
    <col width="11" customWidth="1" min="5" max="5"/>
    <col width="11" customWidth="1" min="6" max="6"/>
    <col width="13" customWidth="1" min="7" max="7"/>
    <col width="11" customWidth="1" min="8" max="8"/>
    <col width="14" customWidth="1" min="9" max="9"/>
    <col width="10" customWidth="1" min="10" max="10"/>
    <col width="13" customWidth="1" min="11" max="11"/>
    <col width="11" customWidth="1" min="12" max="12"/>
    <col width="9" customWidth="1" min="13" max="13"/>
  </cols>
  <sheetData>
    <row r="1">
      <c r="A1" s="7" t="inlineStr">
        <is>
          <t>Stripe payouts: report vs bank, with fees and GST on fees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Sample build: realistic data, built to show how I'd handle this work. Not client data.</t>
        </is>
      </c>
    </row>
    <row r="4">
      <c r="A4" s="8" t="inlineStr">
        <is>
          <t>Payout</t>
        </is>
      </c>
      <c r="B4" s="8" t="inlineStr">
        <is>
          <t>Arrival</t>
        </is>
      </c>
      <c r="C4" s="8" t="inlineStr">
        <is>
          <t>Charges</t>
        </is>
      </c>
      <c r="D4" s="8" t="inlineStr">
        <is>
          <t>Gross charges</t>
        </is>
      </c>
      <c r="E4" s="8" t="inlineStr">
        <is>
          <t>Refunds</t>
        </is>
      </c>
      <c r="F4" s="8" t="inlineStr">
        <is>
          <t>Disputes</t>
        </is>
      </c>
      <c r="G4" s="8" t="inlineStr">
        <is>
          <t>Fees (incl GST)</t>
        </is>
      </c>
      <c r="H4" s="8" t="inlineStr">
        <is>
          <t>GST in fees</t>
        </is>
      </c>
      <c r="I4" s="8" t="inlineStr">
        <is>
          <t>Net per report</t>
        </is>
      </c>
      <c r="J4" s="8" t="inlineStr">
        <is>
          <t>Bank line</t>
        </is>
      </c>
      <c r="K4" s="8" t="inlineStr">
        <is>
          <t>Bank amount</t>
        </is>
      </c>
      <c r="L4" s="8" t="inlineStr">
        <is>
          <t>Difference</t>
        </is>
      </c>
      <c r="M4" s="8" t="inlineStr">
        <is>
          <t>Group</t>
        </is>
      </c>
    </row>
    <row r="5">
      <c r="A5" t="inlineStr">
        <is>
          <t>po_1Q0001KX</t>
        </is>
      </c>
      <c r="B5" s="5" t="n">
        <v>46204</v>
      </c>
      <c r="C5">
        <f>COUNTIFS('Stripe Report'!$A$5:$A$1934,A5,'Stripe Report'!$D$5:$D$1934,"charge")</f>
        <v>31</v>
      </c>
      <c r="D5" s="9">
        <f>SUMIFS('Stripe Report'!$F$5:$F$1934,'Stripe Report'!$A$5:$A$1934,A5,'Stripe Report'!$D$5:$D$1934,"charge")</f>
        <v>3930</v>
      </c>
      <c r="E5" s="9">
        <f>SUMIFS('Stripe Report'!$F$5:$F$1934,'Stripe Report'!$A$5:$A$1934,A5,'Stripe Report'!$D$5:$D$1934,"refund")</f>
        <v>0</v>
      </c>
      <c r="F5" s="9">
        <f>SUMIFS('Stripe Report'!$F$5:$F$1934,'Stripe Report'!$A$5:$A$1934,A5,'Stripe Report'!$D$5:$D$1934,"dispute")</f>
        <v>0</v>
      </c>
      <c r="G5" s="9">
        <f>ROUND(SUMIFS('Stripe Report'!$G$5:$G$1934,'Stripe Report'!$A$5:$A$1934,A5),2)</f>
        <v>78.09</v>
      </c>
      <c r="H5" s="9">
        <f>ROUND(G5/11,2)</f>
        <v>7.1</v>
      </c>
      <c r="I5" s="9">
        <f>ROUND(SUMIFS('Stripe Report'!$H$5:$H$1934,'Stripe Report'!$A$5:$A$1934,A5),2)</f>
        <v>3851.91</v>
      </c>
      <c r="J5" t="inlineStr">
        <is>
          <t>BL-00687</t>
        </is>
      </c>
      <c r="K5" s="9">
        <f>IF(J5="after 30 Sep",0,INDEX('Bank Lines'!$E$5:$E$1640,MATCH(J5,'Bank Lines'!$A$5:$A$1640,0)))</f>
        <v>3851.91</v>
      </c>
      <c r="L5" s="9">
        <f>IF(J5="after 30 Sep",0,ROUND(K5-I5,2))</f>
        <v>0</v>
      </c>
      <c r="M5" t="str">
        <f>IF(J5="after 30 Sep","",INDEX('Bank Lines'!$G$5:$G$1640,MATCH(J5,'Bank Lines'!$A$5:$A$1640,0)))</f>
        <v>G00014</v>
      </c>
    </row>
    <row r="6">
      <c r="A6" t="inlineStr">
        <is>
          <t>po_1Q0002KX</t>
        </is>
      </c>
      <c r="B6" s="5" t="n">
        <v>46205</v>
      </c>
      <c r="C6">
        <f>COUNTIFS('Stripe Report'!$A$5:$A$1934,A6,'Stripe Report'!$D$5:$D$1934,"charge")</f>
        <v>21</v>
      </c>
      <c r="D6" s="9">
        <f>SUMIFS('Stripe Report'!$F$5:$F$1934,'Stripe Report'!$A$5:$A$1934,A6,'Stripe Report'!$D$5:$D$1934,"charge")</f>
        <v>2675</v>
      </c>
      <c r="E6" s="9">
        <f>SUMIFS('Stripe Report'!$F$5:$F$1934,'Stripe Report'!$A$5:$A$1934,A6,'Stripe Report'!$D$5:$D$1934,"refund")</f>
        <v>0</v>
      </c>
      <c r="F6" s="9">
        <f>SUMIFS('Stripe Report'!$F$5:$F$1934,'Stripe Report'!$A$5:$A$1934,A6,'Stripe Report'!$D$5:$D$1934,"dispute")</f>
        <v>0</v>
      </c>
      <c r="G6" s="9">
        <f>ROUND(SUMIFS('Stripe Report'!$G$5:$G$1934,'Stripe Report'!$A$5:$A$1934,A6),2)</f>
        <v>53.15</v>
      </c>
      <c r="H6" s="9">
        <f>ROUND(G6/11,2)</f>
        <v>4.83</v>
      </c>
      <c r="I6" s="9">
        <f>ROUND(SUMIFS('Stripe Report'!$H$5:$H$1934,'Stripe Report'!$A$5:$A$1934,A6),2)</f>
        <v>2621.85</v>
      </c>
      <c r="J6" t="inlineStr">
        <is>
          <t>BL-00688</t>
        </is>
      </c>
      <c r="K6" s="9">
        <f>IF(J6="after 30 Sep",0,INDEX('Bank Lines'!$E$5:$E$1640,MATCH(J6,'Bank Lines'!$A$5:$A$1640,0)))</f>
        <v>2621.85</v>
      </c>
      <c r="L6" s="9">
        <f>IF(J6="after 30 Sep",0,ROUND(K6-I6,2))</f>
        <v>0</v>
      </c>
      <c r="M6" t="str">
        <f>IF(J6="after 30 Sep","",INDEX('Bank Lines'!$G$5:$G$1640,MATCH(J6,'Bank Lines'!$A$5:$A$1640,0)))</f>
        <v>G00015</v>
      </c>
    </row>
    <row r="7">
      <c r="A7" t="inlineStr">
        <is>
          <t>po_1Q0003KX</t>
        </is>
      </c>
      <c r="B7" s="5" t="n">
        <v>46206</v>
      </c>
      <c r="C7">
        <f>COUNTIFS('Stripe Report'!$A$5:$A$1934,A7,'Stripe Report'!$D$5:$D$1934,"charge")</f>
        <v>32</v>
      </c>
      <c r="D7" s="9">
        <f>SUMIFS('Stripe Report'!$F$5:$F$1934,'Stripe Report'!$A$5:$A$1934,A7,'Stripe Report'!$D$5:$D$1934,"charge")</f>
        <v>3735</v>
      </c>
      <c r="E7" s="9">
        <f>SUMIFS('Stripe Report'!$F$5:$F$1934,'Stripe Report'!$A$5:$A$1934,A7,'Stripe Report'!$D$5:$D$1934,"refund")</f>
        <v>0</v>
      </c>
      <c r="F7" s="9">
        <f>SUMIFS('Stripe Report'!$F$5:$F$1934,'Stripe Report'!$A$5:$A$1934,A7,'Stripe Report'!$D$5:$D$1934,"dispute")</f>
        <v>0</v>
      </c>
      <c r="G7" s="9">
        <f>ROUND(SUMIFS('Stripe Report'!$G$5:$G$1934,'Stripe Report'!$A$5:$A$1934,A7),2)</f>
        <v>75.01</v>
      </c>
      <c r="H7" s="9">
        <f>ROUND(G7/11,2)</f>
        <v>6.82</v>
      </c>
      <c r="I7" s="9">
        <f>ROUND(SUMIFS('Stripe Report'!$H$5:$H$1934,'Stripe Report'!$A$5:$A$1934,A7),2)</f>
        <v>3659.99</v>
      </c>
      <c r="J7" t="inlineStr">
        <is>
          <t>BL-00689</t>
        </is>
      </c>
      <c r="K7" s="9">
        <f>IF(J7="after 30 Sep",0,INDEX('Bank Lines'!$E$5:$E$1640,MATCH(J7,'Bank Lines'!$A$5:$A$1640,0)))</f>
        <v>3659.99</v>
      </c>
      <c r="L7" s="9">
        <f>IF(J7="after 30 Sep",0,ROUND(K7-I7,2))</f>
        <v>0</v>
      </c>
      <c r="M7" t="str">
        <f>IF(J7="after 30 Sep","",INDEX('Bank Lines'!$G$5:$G$1640,MATCH(J7,'Bank Lines'!$A$5:$A$1640,0)))</f>
        <v>G00016</v>
      </c>
    </row>
    <row r="8">
      <c r="A8" t="inlineStr">
        <is>
          <t>po_1Q0004KX</t>
        </is>
      </c>
      <c r="B8" s="5" t="n">
        <v>46209</v>
      </c>
      <c r="C8">
        <f>COUNTIFS('Stripe Report'!$A$5:$A$1934,A8,'Stripe Report'!$D$5:$D$1934,"charge")</f>
        <v>25</v>
      </c>
      <c r="D8" s="9">
        <f>SUMIFS('Stripe Report'!$F$5:$F$1934,'Stripe Report'!$A$5:$A$1934,A8,'Stripe Report'!$D$5:$D$1934,"charge")</f>
        <v>3185</v>
      </c>
      <c r="E8" s="9">
        <f>SUMIFS('Stripe Report'!$F$5:$F$1934,'Stripe Report'!$A$5:$A$1934,A8,'Stripe Report'!$D$5:$D$1934,"refund")</f>
        <v>0</v>
      </c>
      <c r="F8" s="9">
        <f>SUMIFS('Stripe Report'!$F$5:$F$1934,'Stripe Report'!$A$5:$A$1934,A8,'Stripe Report'!$D$5:$D$1934,"dispute")</f>
        <v>0</v>
      </c>
      <c r="G8" s="9">
        <f>ROUND(SUMIFS('Stripe Report'!$G$5:$G$1934,'Stripe Report'!$A$5:$A$1934,A8),2)</f>
        <v>63.27</v>
      </c>
      <c r="H8" s="9">
        <f>ROUND(G8/11,2)</f>
        <v>5.75</v>
      </c>
      <c r="I8" s="9">
        <f>ROUND(SUMIFS('Stripe Report'!$H$5:$H$1934,'Stripe Report'!$A$5:$A$1934,A8),2)</f>
        <v>3121.73</v>
      </c>
      <c r="J8" t="inlineStr">
        <is>
          <t>BL-00690</t>
        </is>
      </c>
      <c r="K8" s="9">
        <f>IF(J8="after 30 Sep",0,INDEX('Bank Lines'!$E$5:$E$1640,MATCH(J8,'Bank Lines'!$A$5:$A$1640,0)))</f>
        <v>3121.73</v>
      </c>
      <c r="L8" s="9">
        <f>IF(J8="after 30 Sep",0,ROUND(K8-I8,2))</f>
        <v>0</v>
      </c>
      <c r="M8" t="str">
        <f>IF(J8="after 30 Sep","",INDEX('Bank Lines'!$G$5:$G$1640,MATCH(J8,'Bank Lines'!$A$5:$A$1640,0)))</f>
        <v>G00017</v>
      </c>
    </row>
    <row r="9">
      <c r="A9" t="inlineStr">
        <is>
          <t>po_1Q0005KX</t>
        </is>
      </c>
      <c r="B9" s="5" t="n">
        <v>46210</v>
      </c>
      <c r="C9">
        <f>COUNTIFS('Stripe Report'!$A$5:$A$1934,A9,'Stripe Report'!$D$5:$D$1934,"charge")</f>
        <v>38</v>
      </c>
      <c r="D9" s="9">
        <f>SUMIFS('Stripe Report'!$F$5:$F$1934,'Stripe Report'!$A$5:$A$1934,A9,'Stripe Report'!$D$5:$D$1934,"charge")</f>
        <v>5300</v>
      </c>
      <c r="E9" s="9">
        <f>SUMIFS('Stripe Report'!$F$5:$F$1934,'Stripe Report'!$A$5:$A$1934,A9,'Stripe Report'!$D$5:$D$1934,"refund")</f>
        <v>0</v>
      </c>
      <c r="F9" s="9">
        <f>SUMIFS('Stripe Report'!$F$5:$F$1934,'Stripe Report'!$A$5:$A$1934,A9,'Stripe Report'!$D$5:$D$1934,"dispute")</f>
        <v>0</v>
      </c>
      <c r="G9" s="9">
        <f>ROUND(SUMIFS('Stripe Report'!$G$5:$G$1934,'Stripe Report'!$A$5:$A$1934,A9),2)</f>
        <v>104.19</v>
      </c>
      <c r="H9" s="9">
        <f>ROUND(G9/11,2)</f>
        <v>9.47</v>
      </c>
      <c r="I9" s="9">
        <f>ROUND(SUMIFS('Stripe Report'!$H$5:$H$1934,'Stripe Report'!$A$5:$A$1934,A9),2)</f>
        <v>5195.81</v>
      </c>
      <c r="J9" t="inlineStr">
        <is>
          <t>BL-00691</t>
        </is>
      </c>
      <c r="K9" s="9">
        <f>IF(J9="after 30 Sep",0,INDEX('Bank Lines'!$E$5:$E$1640,MATCH(J9,'Bank Lines'!$A$5:$A$1640,0)))</f>
        <v>5195.81</v>
      </c>
      <c r="L9" s="9">
        <f>IF(J9="after 30 Sep",0,ROUND(K9-I9,2))</f>
        <v>0</v>
      </c>
      <c r="M9" t="str">
        <f>IF(J9="after 30 Sep","",INDEX('Bank Lines'!$G$5:$G$1640,MATCH(J9,'Bank Lines'!$A$5:$A$1640,0)))</f>
        <v>G00018</v>
      </c>
    </row>
    <row r="10">
      <c r="A10" t="inlineStr">
        <is>
          <t>po_1Q0006KX</t>
        </is>
      </c>
      <c r="B10" s="5" t="n">
        <v>46211</v>
      </c>
      <c r="C10">
        <f>COUNTIFS('Stripe Report'!$A$5:$A$1934,A10,'Stripe Report'!$D$5:$D$1934,"charge")</f>
        <v>19</v>
      </c>
      <c r="D10" s="9">
        <f>SUMIFS('Stripe Report'!$F$5:$F$1934,'Stripe Report'!$A$5:$A$1934,A10,'Stripe Report'!$D$5:$D$1934,"charge")</f>
        <v>2335</v>
      </c>
      <c r="E10" s="9">
        <f>SUMIFS('Stripe Report'!$F$5:$F$1934,'Stripe Report'!$A$5:$A$1934,A10,'Stripe Report'!$D$5:$D$1934,"refund")</f>
        <v>0</v>
      </c>
      <c r="F10" s="9">
        <f>SUMIFS('Stripe Report'!$F$5:$F$1934,'Stripe Report'!$A$5:$A$1934,A10,'Stripe Report'!$D$5:$D$1934,"dispute")</f>
        <v>0</v>
      </c>
      <c r="G10" s="9">
        <f>ROUND(SUMIFS('Stripe Report'!$G$5:$G$1934,'Stripe Report'!$A$5:$A$1934,A10),2)</f>
        <v>46.59</v>
      </c>
      <c r="H10" s="9">
        <f>ROUND(G10/11,2)</f>
        <v>4.24</v>
      </c>
      <c r="I10" s="9">
        <f>ROUND(SUMIFS('Stripe Report'!$H$5:$H$1934,'Stripe Report'!$A$5:$A$1934,A10),2)</f>
        <v>2288.41</v>
      </c>
      <c r="J10" t="inlineStr">
        <is>
          <t>BL-00692</t>
        </is>
      </c>
      <c r="K10" s="9">
        <f>IF(J10="after 30 Sep",0,INDEX('Bank Lines'!$E$5:$E$1640,MATCH(J10,'Bank Lines'!$A$5:$A$1640,0)))</f>
        <v>2288.41</v>
      </c>
      <c r="L10" s="9">
        <f>IF(J10="after 30 Sep",0,ROUND(K10-I10,2))</f>
        <v>0</v>
      </c>
      <c r="M10" t="str">
        <f>IF(J10="after 30 Sep","",INDEX('Bank Lines'!$G$5:$G$1640,MATCH(J10,'Bank Lines'!$A$5:$A$1640,0)))</f>
        <v>G00019</v>
      </c>
    </row>
    <row r="11">
      <c r="A11" t="inlineStr">
        <is>
          <t>po_1Q0007KX</t>
        </is>
      </c>
      <c r="B11" s="5" t="n">
        <v>46212</v>
      </c>
      <c r="C11">
        <f>COUNTIFS('Stripe Report'!$A$5:$A$1934,A11,'Stripe Report'!$D$5:$D$1934,"charge")</f>
        <v>32</v>
      </c>
      <c r="D11" s="9">
        <f>SUMIFS('Stripe Report'!$F$5:$F$1934,'Stripe Report'!$A$5:$A$1934,A11,'Stripe Report'!$D$5:$D$1934,"charge")</f>
        <v>3440</v>
      </c>
      <c r="E11" s="9">
        <f>SUMIFS('Stripe Report'!$F$5:$F$1934,'Stripe Report'!$A$5:$A$1934,A11,'Stripe Report'!$D$5:$D$1934,"refund")</f>
        <v>0</v>
      </c>
      <c r="F11" s="9">
        <f>SUMIFS('Stripe Report'!$F$5:$F$1934,'Stripe Report'!$A$5:$A$1934,A11,'Stripe Report'!$D$5:$D$1934,"dispute")</f>
        <v>0</v>
      </c>
      <c r="G11" s="9">
        <f>ROUND(SUMIFS('Stripe Report'!$G$5:$G$1934,'Stripe Report'!$A$5:$A$1934,A11),2)</f>
        <v>69.84</v>
      </c>
      <c r="H11" s="9">
        <f>ROUND(G11/11,2)</f>
        <v>6.35</v>
      </c>
      <c r="I11" s="9">
        <f>ROUND(SUMIFS('Stripe Report'!$H$5:$H$1934,'Stripe Report'!$A$5:$A$1934,A11),2)</f>
        <v>3370.16</v>
      </c>
      <c r="J11" t="inlineStr">
        <is>
          <t>BL-00693</t>
        </is>
      </c>
      <c r="K11" s="9">
        <f>IF(J11="after 30 Sep",0,INDEX('Bank Lines'!$E$5:$E$1640,MATCH(J11,'Bank Lines'!$A$5:$A$1640,0)))</f>
        <v>3370.16</v>
      </c>
      <c r="L11" s="9">
        <f>IF(J11="after 30 Sep",0,ROUND(K11-I11,2))</f>
        <v>0</v>
      </c>
      <c r="M11" t="str">
        <f>IF(J11="after 30 Sep","",INDEX('Bank Lines'!$G$5:$G$1640,MATCH(J11,'Bank Lines'!$A$5:$A$1640,0)))</f>
        <v>G00020</v>
      </c>
    </row>
    <row r="12">
      <c r="A12" t="inlineStr">
        <is>
          <t>po_1Q0008KX</t>
        </is>
      </c>
      <c r="B12" s="5" t="n">
        <v>46213</v>
      </c>
      <c r="C12">
        <f>COUNTIFS('Stripe Report'!$A$5:$A$1934,A12,'Stripe Report'!$D$5:$D$1934,"charge")</f>
        <v>28</v>
      </c>
      <c r="D12" s="9">
        <f>SUMIFS('Stripe Report'!$F$5:$F$1934,'Stripe Report'!$A$5:$A$1934,A12,'Stripe Report'!$D$5:$D$1934,"charge")</f>
        <v>3840</v>
      </c>
      <c r="E12" s="9">
        <f>SUMIFS('Stripe Report'!$F$5:$F$1934,'Stripe Report'!$A$5:$A$1934,A12,'Stripe Report'!$D$5:$D$1934,"refund")</f>
        <v>0</v>
      </c>
      <c r="F12" s="9">
        <f>SUMIFS('Stripe Report'!$F$5:$F$1934,'Stripe Report'!$A$5:$A$1934,A12,'Stripe Report'!$D$5:$D$1934,"dispute")</f>
        <v>0</v>
      </c>
      <c r="G12" s="9">
        <f>ROUND(SUMIFS('Stripe Report'!$G$5:$G$1934,'Stripe Report'!$A$5:$A$1934,A12),2)</f>
        <v>75.63</v>
      </c>
      <c r="H12" s="9">
        <f>ROUND(G12/11,2)</f>
        <v>6.88</v>
      </c>
      <c r="I12" s="9">
        <f>ROUND(SUMIFS('Stripe Report'!$H$5:$H$1934,'Stripe Report'!$A$5:$A$1934,A12),2)</f>
        <v>3764.37</v>
      </c>
      <c r="J12" t="inlineStr">
        <is>
          <t>BL-00694</t>
        </is>
      </c>
      <c r="K12" s="9">
        <f>IF(J12="after 30 Sep",0,INDEX('Bank Lines'!$E$5:$E$1640,MATCH(J12,'Bank Lines'!$A$5:$A$1640,0)))</f>
        <v>3764.37</v>
      </c>
      <c r="L12" s="9">
        <f>IF(J12="after 30 Sep",0,ROUND(K12-I12,2))</f>
        <v>0</v>
      </c>
      <c r="M12" t="str">
        <f>IF(J12="after 30 Sep","",INDEX('Bank Lines'!$G$5:$G$1640,MATCH(J12,'Bank Lines'!$A$5:$A$1640,0)))</f>
        <v>G00021</v>
      </c>
    </row>
    <row r="13">
      <c r="A13" t="inlineStr">
        <is>
          <t>po_1Q0009KX</t>
        </is>
      </c>
      <c r="B13" s="5" t="n">
        <v>46216</v>
      </c>
      <c r="C13">
        <f>COUNTIFS('Stripe Report'!$A$5:$A$1934,A13,'Stripe Report'!$D$5:$D$1934,"charge")</f>
        <v>20</v>
      </c>
      <c r="D13" s="9">
        <f>SUMIFS('Stripe Report'!$F$5:$F$1934,'Stripe Report'!$A$5:$A$1934,A13,'Stripe Report'!$D$5:$D$1934,"charge")</f>
        <v>2615</v>
      </c>
      <c r="E13" s="9">
        <f>SUMIFS('Stripe Report'!$F$5:$F$1934,'Stripe Report'!$A$5:$A$1934,A13,'Stripe Report'!$D$5:$D$1934,"refund")</f>
        <v>0</v>
      </c>
      <c r="F13" s="9">
        <f>SUMIFS('Stripe Report'!$F$5:$F$1934,'Stripe Report'!$A$5:$A$1934,A13,'Stripe Report'!$D$5:$D$1934,"dispute")</f>
        <v>0</v>
      </c>
      <c r="G13" s="9">
        <f>ROUND(SUMIFS('Stripe Report'!$G$5:$G$1934,'Stripe Report'!$A$5:$A$1934,A13),2)</f>
        <v>51.79</v>
      </c>
      <c r="H13" s="9">
        <f>ROUND(G13/11,2)</f>
        <v>4.71</v>
      </c>
      <c r="I13" s="9">
        <f>ROUND(SUMIFS('Stripe Report'!$H$5:$H$1934,'Stripe Report'!$A$5:$A$1934,A13),2)</f>
        <v>2563.21</v>
      </c>
      <c r="J13" t="inlineStr">
        <is>
          <t>BL-00695</t>
        </is>
      </c>
      <c r="K13" s="9">
        <f>IF(J13="after 30 Sep",0,INDEX('Bank Lines'!$E$5:$E$1640,MATCH(J13,'Bank Lines'!$A$5:$A$1640,0)))</f>
        <v>2563.21</v>
      </c>
      <c r="L13" s="9">
        <f>IF(J13="after 30 Sep",0,ROUND(K13-I13,2))</f>
        <v>0</v>
      </c>
      <c r="M13" t="str">
        <f>IF(J13="after 30 Sep","",INDEX('Bank Lines'!$G$5:$G$1640,MATCH(J13,'Bank Lines'!$A$5:$A$1640,0)))</f>
        <v>G00022</v>
      </c>
    </row>
    <row r="14">
      <c r="A14" t="inlineStr">
        <is>
          <t>po_1Q0010KX</t>
        </is>
      </c>
      <c r="B14" s="5" t="n">
        <v>46217</v>
      </c>
      <c r="C14">
        <f>COUNTIFS('Stripe Report'!$A$5:$A$1934,A14,'Stripe Report'!$D$5:$D$1934,"charge")</f>
        <v>39</v>
      </c>
      <c r="D14" s="9">
        <f>SUMIFS('Stripe Report'!$F$5:$F$1934,'Stripe Report'!$A$5:$A$1934,A14,'Stripe Report'!$D$5:$D$1934,"charge")</f>
        <v>4970</v>
      </c>
      <c r="E14" s="9">
        <f>SUMIFS('Stripe Report'!$F$5:$F$1934,'Stripe Report'!$A$5:$A$1934,A14,'Stripe Report'!$D$5:$D$1934,"refund")</f>
        <v>0</v>
      </c>
      <c r="F14" s="9">
        <f>SUMIFS('Stripe Report'!$F$5:$F$1934,'Stripe Report'!$A$5:$A$1934,A14,'Stripe Report'!$D$5:$D$1934,"dispute")</f>
        <v>0</v>
      </c>
      <c r="G14" s="9">
        <f>ROUND(SUMIFS('Stripe Report'!$G$5:$G$1934,'Stripe Report'!$A$5:$A$1934,A14),2)</f>
        <v>98.72</v>
      </c>
      <c r="H14" s="9">
        <f>ROUND(G14/11,2)</f>
        <v>8.97</v>
      </c>
      <c r="I14" s="9">
        <f>ROUND(SUMIFS('Stripe Report'!$H$5:$H$1934,'Stripe Report'!$A$5:$A$1934,A14),2)</f>
        <v>4871.28</v>
      </c>
      <c r="J14" t="inlineStr">
        <is>
          <t>BL-00696</t>
        </is>
      </c>
      <c r="K14" s="9">
        <f>IF(J14="after 30 Sep",0,INDEX('Bank Lines'!$E$5:$E$1640,MATCH(J14,'Bank Lines'!$A$5:$A$1640,0)))</f>
        <v>4871.28</v>
      </c>
      <c r="L14" s="9">
        <f>IF(J14="after 30 Sep",0,ROUND(K14-I14,2))</f>
        <v>0</v>
      </c>
      <c r="M14" t="str">
        <f>IF(J14="after 30 Sep","",INDEX('Bank Lines'!$G$5:$G$1640,MATCH(J14,'Bank Lines'!$A$5:$A$1640,0)))</f>
        <v>G00023</v>
      </c>
    </row>
    <row r="15">
      <c r="A15" t="inlineStr">
        <is>
          <t>po_1Q0011KX</t>
        </is>
      </c>
      <c r="B15" s="5" t="n">
        <v>46218</v>
      </c>
      <c r="C15">
        <f>COUNTIFS('Stripe Report'!$A$5:$A$1934,A15,'Stripe Report'!$D$5:$D$1934,"charge")</f>
        <v>19</v>
      </c>
      <c r="D15" s="9">
        <f>SUMIFS('Stripe Report'!$F$5:$F$1934,'Stripe Report'!$A$5:$A$1934,A15,'Stripe Report'!$D$5:$D$1934,"charge")</f>
        <v>2425</v>
      </c>
      <c r="E15" s="9">
        <f>SUMIFS('Stripe Report'!$F$5:$F$1934,'Stripe Report'!$A$5:$A$1934,A15,'Stripe Report'!$D$5:$D$1934,"refund")</f>
        <v>0</v>
      </c>
      <c r="F15" s="9">
        <f>SUMIFS('Stripe Report'!$F$5:$F$1934,'Stripe Report'!$A$5:$A$1934,A15,'Stripe Report'!$D$5:$D$1934,"dispute")</f>
        <v>0</v>
      </c>
      <c r="G15" s="9">
        <f>ROUND(SUMIFS('Stripe Report'!$G$5:$G$1934,'Stripe Report'!$A$5:$A$1934,A15),2)</f>
        <v>48.19</v>
      </c>
      <c r="H15" s="9">
        <f>ROUND(G15/11,2)</f>
        <v>4.38</v>
      </c>
      <c r="I15" s="9">
        <f>ROUND(SUMIFS('Stripe Report'!$H$5:$H$1934,'Stripe Report'!$A$5:$A$1934,A15),2)</f>
        <v>2376.81</v>
      </c>
      <c r="J15" t="inlineStr">
        <is>
          <t>BL-00697</t>
        </is>
      </c>
      <c r="K15" s="9">
        <f>IF(J15="after 30 Sep",0,INDEX('Bank Lines'!$E$5:$E$1640,MATCH(J15,'Bank Lines'!$A$5:$A$1640,0)))</f>
        <v>2376.81</v>
      </c>
      <c r="L15" s="9">
        <f>IF(J15="after 30 Sep",0,ROUND(K15-I15,2))</f>
        <v>0</v>
      </c>
      <c r="M15" t="str">
        <f>IF(J15="after 30 Sep","",INDEX('Bank Lines'!$G$5:$G$1640,MATCH(J15,'Bank Lines'!$A$5:$A$1640,0)))</f>
        <v>G00024</v>
      </c>
    </row>
    <row r="16">
      <c r="A16" t="inlineStr">
        <is>
          <t>po_1Q0012KX</t>
        </is>
      </c>
      <c r="B16" s="5" t="n">
        <v>46219</v>
      </c>
      <c r="C16">
        <f>COUNTIFS('Stripe Report'!$A$5:$A$1934,A16,'Stripe Report'!$D$5:$D$1934,"charge")</f>
        <v>34</v>
      </c>
      <c r="D16" s="9">
        <f>SUMIFS('Stripe Report'!$F$5:$F$1934,'Stripe Report'!$A$5:$A$1934,A16,'Stripe Report'!$D$5:$D$1934,"charge")</f>
        <v>4385</v>
      </c>
      <c r="E16" s="9">
        <f>SUMIFS('Stripe Report'!$F$5:$F$1934,'Stripe Report'!$A$5:$A$1934,A16,'Stripe Report'!$D$5:$D$1934,"refund")</f>
        <v>0</v>
      </c>
      <c r="F16" s="9">
        <f>SUMIFS('Stripe Report'!$F$5:$F$1934,'Stripe Report'!$A$5:$A$1934,A16,'Stripe Report'!$D$5:$D$1934,"dispute")</f>
        <v>0</v>
      </c>
      <c r="G16" s="9">
        <f>ROUND(SUMIFS('Stripe Report'!$G$5:$G$1934,'Stripe Report'!$A$5:$A$1934,A16),2)</f>
        <v>86.98</v>
      </c>
      <c r="H16" s="9">
        <f>ROUND(G16/11,2)</f>
        <v>7.91</v>
      </c>
      <c r="I16" s="9">
        <f>ROUND(SUMIFS('Stripe Report'!$H$5:$H$1934,'Stripe Report'!$A$5:$A$1934,A16),2)</f>
        <v>4298.02</v>
      </c>
      <c r="J16" t="inlineStr">
        <is>
          <t>BL-00698</t>
        </is>
      </c>
      <c r="K16" s="9">
        <f>IF(J16="after 30 Sep",0,INDEX('Bank Lines'!$E$5:$E$1640,MATCH(J16,'Bank Lines'!$A$5:$A$1640,0)))</f>
        <v>4298.02</v>
      </c>
      <c r="L16" s="9">
        <f>IF(J16="after 30 Sep",0,ROUND(K16-I16,2))</f>
        <v>0</v>
      </c>
      <c r="M16" t="str">
        <f>IF(J16="after 30 Sep","",INDEX('Bank Lines'!$G$5:$G$1640,MATCH(J16,'Bank Lines'!$A$5:$A$1640,0)))</f>
        <v>G00025</v>
      </c>
    </row>
    <row r="17">
      <c r="A17" t="inlineStr">
        <is>
          <t>po_1Q0013KX</t>
        </is>
      </c>
      <c r="B17" s="5" t="n">
        <v>46220</v>
      </c>
      <c r="C17">
        <f>COUNTIFS('Stripe Report'!$A$5:$A$1934,A17,'Stripe Report'!$D$5:$D$1934,"charge")</f>
        <v>21</v>
      </c>
      <c r="D17" s="9">
        <f>SUMIFS('Stripe Report'!$F$5:$F$1934,'Stripe Report'!$A$5:$A$1934,A17,'Stripe Report'!$D$5:$D$1934,"charge")</f>
        <v>2630</v>
      </c>
      <c r="E17" s="9">
        <f>SUMIFS('Stripe Report'!$F$5:$F$1934,'Stripe Report'!$A$5:$A$1934,A17,'Stripe Report'!$D$5:$D$1934,"refund")</f>
        <v>0</v>
      </c>
      <c r="F17" s="9">
        <f>SUMIFS('Stripe Report'!$F$5:$F$1934,'Stripe Report'!$A$5:$A$1934,A17,'Stripe Report'!$D$5:$D$1934,"dispute")</f>
        <v>0</v>
      </c>
      <c r="G17" s="9">
        <f>ROUND(SUMIFS('Stripe Report'!$G$5:$G$1934,'Stripe Report'!$A$5:$A$1934,A17),2)</f>
        <v>52.37</v>
      </c>
      <c r="H17" s="9">
        <f>ROUND(G17/11,2)</f>
        <v>4.76</v>
      </c>
      <c r="I17" s="9">
        <f>ROUND(SUMIFS('Stripe Report'!$H$5:$H$1934,'Stripe Report'!$A$5:$A$1934,A17),2)</f>
        <v>2577.63</v>
      </c>
      <c r="J17" t="inlineStr">
        <is>
          <t>BL-00699</t>
        </is>
      </c>
      <c r="K17" s="9">
        <f>IF(J17="after 30 Sep",0,INDEX('Bank Lines'!$E$5:$E$1640,MATCH(J17,'Bank Lines'!$A$5:$A$1640,0)))</f>
        <v>2577.63</v>
      </c>
      <c r="L17" s="9">
        <f>IF(J17="after 30 Sep",0,ROUND(K17-I17,2))</f>
        <v>0</v>
      </c>
      <c r="M17" t="str">
        <f>IF(J17="after 30 Sep","",INDEX('Bank Lines'!$G$5:$G$1640,MATCH(J17,'Bank Lines'!$A$5:$A$1640,0)))</f>
        <v>G00026</v>
      </c>
    </row>
    <row r="18">
      <c r="A18" t="inlineStr">
        <is>
          <t>po_1Q0014KX</t>
        </is>
      </c>
      <c r="B18" s="5" t="n">
        <v>46223</v>
      </c>
      <c r="C18">
        <f>COUNTIFS('Stripe Report'!$A$5:$A$1934,A18,'Stripe Report'!$D$5:$D$1934,"charge")</f>
        <v>23</v>
      </c>
      <c r="D18" s="9">
        <f>SUMIFS('Stripe Report'!$F$5:$F$1934,'Stripe Report'!$A$5:$A$1934,A18,'Stripe Report'!$D$5:$D$1934,"charge")</f>
        <v>3185</v>
      </c>
      <c r="E18" s="9">
        <f>SUMIFS('Stripe Report'!$F$5:$F$1934,'Stripe Report'!$A$5:$A$1934,A18,'Stripe Report'!$D$5:$D$1934,"refund")</f>
        <v>0</v>
      </c>
      <c r="F18" s="9">
        <f>SUMIFS('Stripe Report'!$F$5:$F$1934,'Stripe Report'!$A$5:$A$1934,A18,'Stripe Report'!$D$5:$D$1934,"dispute")</f>
        <v>0</v>
      </c>
      <c r="G18" s="9">
        <f>ROUND(SUMIFS('Stripe Report'!$G$5:$G$1934,'Stripe Report'!$A$5:$A$1934,A18),2)</f>
        <v>62.67</v>
      </c>
      <c r="H18" s="9">
        <f>ROUND(G18/11,2)</f>
        <v>5.7</v>
      </c>
      <c r="I18" s="9">
        <f>ROUND(SUMIFS('Stripe Report'!$H$5:$H$1934,'Stripe Report'!$A$5:$A$1934,A18),2)</f>
        <v>3122.33</v>
      </c>
      <c r="J18" t="inlineStr">
        <is>
          <t>BL-00700</t>
        </is>
      </c>
      <c r="K18" s="9">
        <f>IF(J18="after 30 Sep",0,INDEX('Bank Lines'!$E$5:$E$1640,MATCH(J18,'Bank Lines'!$A$5:$A$1640,0)))</f>
        <v>3122.33</v>
      </c>
      <c r="L18" s="9">
        <f>IF(J18="after 30 Sep",0,ROUND(K18-I18,2))</f>
        <v>0</v>
      </c>
      <c r="M18" t="str">
        <f>IF(J18="after 30 Sep","",INDEX('Bank Lines'!$G$5:$G$1640,MATCH(J18,'Bank Lines'!$A$5:$A$1640,0)))</f>
        <v>G00027</v>
      </c>
    </row>
    <row r="19">
      <c r="A19" t="inlineStr">
        <is>
          <t>po_1Q0015KX</t>
        </is>
      </c>
      <c r="B19" s="5" t="n">
        <v>46224</v>
      </c>
      <c r="C19">
        <f>COUNTIFS('Stripe Report'!$A$5:$A$1934,A19,'Stripe Report'!$D$5:$D$1934,"charge")</f>
        <v>38</v>
      </c>
      <c r="D19" s="9">
        <f>SUMIFS('Stripe Report'!$F$5:$F$1934,'Stripe Report'!$A$5:$A$1934,A19,'Stripe Report'!$D$5:$D$1934,"charge")</f>
        <v>4735</v>
      </c>
      <c r="E19" s="9">
        <f>SUMIFS('Stripe Report'!$F$5:$F$1934,'Stripe Report'!$A$5:$A$1934,A19,'Stripe Report'!$D$5:$D$1934,"refund")</f>
        <v>0</v>
      </c>
      <c r="F19" s="9">
        <f>SUMIFS('Stripe Report'!$F$5:$F$1934,'Stripe Report'!$A$5:$A$1934,A19,'Stripe Report'!$D$5:$D$1934,"dispute")</f>
        <v>0</v>
      </c>
      <c r="G19" s="9">
        <f>ROUND(SUMIFS('Stripe Report'!$G$5:$G$1934,'Stripe Report'!$A$5:$A$1934,A19),2)</f>
        <v>94.29</v>
      </c>
      <c r="H19" s="9">
        <f>ROUND(G19/11,2)</f>
        <v>8.57</v>
      </c>
      <c r="I19" s="9">
        <f>ROUND(SUMIFS('Stripe Report'!$H$5:$H$1934,'Stripe Report'!$A$5:$A$1934,A19),2)</f>
        <v>4640.71</v>
      </c>
      <c r="J19" t="inlineStr">
        <is>
          <t>BL-00701</t>
        </is>
      </c>
      <c r="K19" s="9">
        <f>IF(J19="after 30 Sep",0,INDEX('Bank Lines'!$E$5:$E$1640,MATCH(J19,'Bank Lines'!$A$5:$A$1640,0)))</f>
        <v>4640.71</v>
      </c>
      <c r="L19" s="9">
        <f>IF(J19="after 30 Sep",0,ROUND(K19-I19,2))</f>
        <v>0</v>
      </c>
      <c r="M19" t="str">
        <f>IF(J19="after 30 Sep","",INDEX('Bank Lines'!$G$5:$G$1640,MATCH(J19,'Bank Lines'!$A$5:$A$1640,0)))</f>
        <v>G00028</v>
      </c>
    </row>
    <row r="20">
      <c r="A20" t="inlineStr">
        <is>
          <t>po_1Q0016KX</t>
        </is>
      </c>
      <c r="B20" s="5" t="n">
        <v>46225</v>
      </c>
      <c r="C20">
        <f>COUNTIFS('Stripe Report'!$A$5:$A$1934,A20,'Stripe Report'!$D$5:$D$1934,"charge")</f>
        <v>32</v>
      </c>
      <c r="D20" s="9">
        <f>SUMIFS('Stripe Report'!$F$5:$F$1934,'Stripe Report'!$A$5:$A$1934,A20,'Stripe Report'!$D$5:$D$1934,"charge")</f>
        <v>3805</v>
      </c>
      <c r="E20" s="9">
        <f>SUMIFS('Stripe Report'!$F$5:$F$1934,'Stripe Report'!$A$5:$A$1934,A20,'Stripe Report'!$D$5:$D$1934,"refund")</f>
        <v>0</v>
      </c>
      <c r="F20" s="9">
        <f>SUMIFS('Stripe Report'!$F$5:$F$1934,'Stripe Report'!$A$5:$A$1934,A20,'Stripe Report'!$D$5:$D$1934,"dispute")</f>
        <v>0</v>
      </c>
      <c r="G20" s="9">
        <f>ROUND(SUMIFS('Stripe Report'!$G$5:$G$1934,'Stripe Report'!$A$5:$A$1934,A20),2)</f>
        <v>76.23</v>
      </c>
      <c r="H20" s="9">
        <f>ROUND(G20/11,2)</f>
        <v>6.93</v>
      </c>
      <c r="I20" s="9">
        <f>ROUND(SUMIFS('Stripe Report'!$H$5:$H$1934,'Stripe Report'!$A$5:$A$1934,A20),2)</f>
        <v>3728.77</v>
      </c>
      <c r="J20" t="inlineStr">
        <is>
          <t>BL-00702</t>
        </is>
      </c>
      <c r="K20" s="9">
        <f>IF(J20="after 30 Sep",0,INDEX('Bank Lines'!$E$5:$E$1640,MATCH(J20,'Bank Lines'!$A$5:$A$1640,0)))</f>
        <v>3728.77</v>
      </c>
      <c r="L20" s="9">
        <f>IF(J20="after 30 Sep",0,ROUND(K20-I20,2))</f>
        <v>0</v>
      </c>
      <c r="M20" t="str">
        <f>IF(J20="after 30 Sep","",INDEX('Bank Lines'!$G$5:$G$1640,MATCH(J20,'Bank Lines'!$A$5:$A$1640,0)))</f>
        <v>G00029</v>
      </c>
    </row>
    <row r="21">
      <c r="A21" t="inlineStr">
        <is>
          <t>po_1Q0017KX</t>
        </is>
      </c>
      <c r="B21" s="5" t="n">
        <v>46226</v>
      </c>
      <c r="C21">
        <f>COUNTIFS('Stripe Report'!$A$5:$A$1934,A21,'Stripe Report'!$D$5:$D$1934,"charge")</f>
        <v>20</v>
      </c>
      <c r="D21" s="9">
        <f>SUMIFS('Stripe Report'!$F$5:$F$1934,'Stripe Report'!$A$5:$A$1934,A21,'Stripe Report'!$D$5:$D$1934,"charge")</f>
        <v>2610</v>
      </c>
      <c r="E21" s="9">
        <f>SUMIFS('Stripe Report'!$F$5:$F$1934,'Stripe Report'!$A$5:$A$1934,A21,'Stripe Report'!$D$5:$D$1934,"refund")</f>
        <v>0</v>
      </c>
      <c r="F21" s="9">
        <f>SUMIFS('Stripe Report'!$F$5:$F$1934,'Stripe Report'!$A$5:$A$1934,A21,'Stripe Report'!$D$5:$D$1934,"dispute")</f>
        <v>0</v>
      </c>
      <c r="G21" s="9">
        <f>ROUND(SUMIFS('Stripe Report'!$G$5:$G$1934,'Stripe Report'!$A$5:$A$1934,A21),2)</f>
        <v>51.69</v>
      </c>
      <c r="H21" s="9">
        <f>ROUND(G21/11,2)</f>
        <v>4.7</v>
      </c>
      <c r="I21" s="9">
        <f>ROUND(SUMIFS('Stripe Report'!$H$5:$H$1934,'Stripe Report'!$A$5:$A$1934,A21),2)</f>
        <v>2558.31</v>
      </c>
      <c r="J21" t="inlineStr">
        <is>
          <t>BL-00703</t>
        </is>
      </c>
      <c r="K21" s="9">
        <f>IF(J21="after 30 Sep",0,INDEX('Bank Lines'!$E$5:$E$1640,MATCH(J21,'Bank Lines'!$A$5:$A$1640,0)))</f>
        <v>2558.31</v>
      </c>
      <c r="L21" s="9">
        <f>IF(J21="after 30 Sep",0,ROUND(K21-I21,2))</f>
        <v>0</v>
      </c>
      <c r="M21" t="str">
        <f>IF(J21="after 30 Sep","",INDEX('Bank Lines'!$G$5:$G$1640,MATCH(J21,'Bank Lines'!$A$5:$A$1640,0)))</f>
        <v>G00030</v>
      </c>
    </row>
    <row r="22">
      <c r="A22" t="inlineStr">
        <is>
          <t>po_1Q0018KX</t>
        </is>
      </c>
      <c r="B22" s="5" t="n">
        <v>46227</v>
      </c>
      <c r="C22">
        <f>COUNTIFS('Stripe Report'!$A$5:$A$1934,A22,'Stripe Report'!$D$5:$D$1934,"charge")</f>
        <v>21</v>
      </c>
      <c r="D22" s="9">
        <f>SUMIFS('Stripe Report'!$F$5:$F$1934,'Stripe Report'!$A$5:$A$1934,A22,'Stripe Report'!$D$5:$D$1934,"charge")</f>
        <v>2745</v>
      </c>
      <c r="E22" s="9">
        <f>SUMIFS('Stripe Report'!$F$5:$F$1934,'Stripe Report'!$A$5:$A$1934,A22,'Stripe Report'!$D$5:$D$1934,"refund")</f>
        <v>-150</v>
      </c>
      <c r="F22" s="9">
        <f>SUMIFS('Stripe Report'!$F$5:$F$1934,'Stripe Report'!$A$5:$A$1934,A22,'Stripe Report'!$D$5:$D$1934,"dispute")</f>
        <v>0</v>
      </c>
      <c r="G22" s="9">
        <f>ROUND(SUMIFS('Stripe Report'!$G$5:$G$1934,'Stripe Report'!$A$5:$A$1934,A22),2)</f>
        <v>54.36</v>
      </c>
      <c r="H22" s="9">
        <f>ROUND(G22/11,2)</f>
        <v>4.94</v>
      </c>
      <c r="I22" s="9">
        <f>ROUND(SUMIFS('Stripe Report'!$H$5:$H$1934,'Stripe Report'!$A$5:$A$1934,A22),2)</f>
        <v>2540.64</v>
      </c>
      <c r="J22" t="inlineStr">
        <is>
          <t>BL-00704</t>
        </is>
      </c>
      <c r="K22" s="9">
        <f>IF(J22="after 30 Sep",0,INDEX('Bank Lines'!$E$5:$E$1640,MATCH(J22,'Bank Lines'!$A$5:$A$1640,0)))</f>
        <v>2540.64</v>
      </c>
      <c r="L22" s="9">
        <f>IF(J22="after 30 Sep",0,ROUND(K22-I22,2))</f>
        <v>0</v>
      </c>
      <c r="M22" t="str">
        <f>IF(J22="after 30 Sep","",INDEX('Bank Lines'!$G$5:$G$1640,MATCH(J22,'Bank Lines'!$A$5:$A$1640,0)))</f>
        <v>G00031</v>
      </c>
    </row>
    <row r="23">
      <c r="A23" t="inlineStr">
        <is>
          <t>po_1Q0019KX</t>
        </is>
      </c>
      <c r="B23" s="5" t="n">
        <v>46230</v>
      </c>
      <c r="C23">
        <f>COUNTIFS('Stripe Report'!$A$5:$A$1934,A23,'Stripe Report'!$D$5:$D$1934,"charge")</f>
        <v>33</v>
      </c>
      <c r="D23" s="9">
        <f>SUMIFS('Stripe Report'!$F$5:$F$1934,'Stripe Report'!$A$5:$A$1934,A23,'Stripe Report'!$D$5:$D$1934,"charge")</f>
        <v>4525</v>
      </c>
      <c r="E23" s="9">
        <f>SUMIFS('Stripe Report'!$F$5:$F$1934,'Stripe Report'!$A$5:$A$1934,A23,'Stripe Report'!$D$5:$D$1934,"refund")</f>
        <v>0</v>
      </c>
      <c r="F23" s="9">
        <f>SUMIFS('Stripe Report'!$F$5:$F$1934,'Stripe Report'!$A$5:$A$1934,A23,'Stripe Report'!$D$5:$D$1934,"dispute")</f>
        <v>0</v>
      </c>
      <c r="G23" s="9">
        <f>ROUND(SUMIFS('Stripe Report'!$G$5:$G$1934,'Stripe Report'!$A$5:$A$1934,A23),2)</f>
        <v>89.11</v>
      </c>
      <c r="H23" s="9">
        <f>ROUND(G23/11,2)</f>
        <v>8.1</v>
      </c>
      <c r="I23" s="9">
        <f>ROUND(SUMIFS('Stripe Report'!$H$5:$H$1934,'Stripe Report'!$A$5:$A$1934,A23),2)</f>
        <v>4435.89</v>
      </c>
      <c r="J23" t="inlineStr">
        <is>
          <t>BL-00705</t>
        </is>
      </c>
      <c r="K23" s="9">
        <f>IF(J23="after 30 Sep",0,INDEX('Bank Lines'!$E$5:$E$1640,MATCH(J23,'Bank Lines'!$A$5:$A$1640,0)))</f>
        <v>4435.89</v>
      </c>
      <c r="L23" s="9">
        <f>IF(J23="after 30 Sep",0,ROUND(K23-I23,2))</f>
        <v>0</v>
      </c>
      <c r="M23" t="str">
        <f>IF(J23="after 30 Sep","",INDEX('Bank Lines'!$G$5:$G$1640,MATCH(J23,'Bank Lines'!$A$5:$A$1640,0)))</f>
        <v>G00032</v>
      </c>
    </row>
    <row r="24">
      <c r="A24" t="inlineStr">
        <is>
          <t>po_1Q0020KX</t>
        </is>
      </c>
      <c r="B24" s="5" t="n">
        <v>46231</v>
      </c>
      <c r="C24">
        <f>COUNTIFS('Stripe Report'!$A$5:$A$1934,A24,'Stripe Report'!$D$5:$D$1934,"charge")</f>
        <v>38</v>
      </c>
      <c r="D24" s="9">
        <f>SUMIFS('Stripe Report'!$F$5:$F$1934,'Stripe Report'!$A$5:$A$1934,A24,'Stripe Report'!$D$5:$D$1934,"charge")</f>
        <v>5025</v>
      </c>
      <c r="E24" s="9">
        <f>SUMIFS('Stripe Report'!$F$5:$F$1934,'Stripe Report'!$A$5:$A$1934,A24,'Stripe Report'!$D$5:$D$1934,"refund")</f>
        <v>0</v>
      </c>
      <c r="F24" s="9">
        <f>SUMIFS('Stripe Report'!$F$5:$F$1934,'Stripe Report'!$A$5:$A$1934,A24,'Stripe Report'!$D$5:$D$1934,"dispute")</f>
        <v>0</v>
      </c>
      <c r="G24" s="9">
        <f>ROUND(SUMIFS('Stripe Report'!$G$5:$G$1934,'Stripe Report'!$A$5:$A$1934,A24),2)</f>
        <v>99.35</v>
      </c>
      <c r="H24" s="9">
        <f>ROUND(G24/11,2)</f>
        <v>9.03</v>
      </c>
      <c r="I24" s="9">
        <f>ROUND(SUMIFS('Stripe Report'!$H$5:$H$1934,'Stripe Report'!$A$5:$A$1934,A24),2)</f>
        <v>4925.65</v>
      </c>
      <c r="J24" t="inlineStr">
        <is>
          <t>BL-00706</t>
        </is>
      </c>
      <c r="K24" s="9">
        <f>IF(J24="after 30 Sep",0,INDEX('Bank Lines'!$E$5:$E$1640,MATCH(J24,'Bank Lines'!$A$5:$A$1640,0)))</f>
        <v>4925.65</v>
      </c>
      <c r="L24" s="9">
        <f>IF(J24="after 30 Sep",0,ROUND(K24-I24,2))</f>
        <v>0</v>
      </c>
      <c r="M24" t="str">
        <f>IF(J24="after 30 Sep","",INDEX('Bank Lines'!$G$5:$G$1640,MATCH(J24,'Bank Lines'!$A$5:$A$1640,0)))</f>
        <v>G00033</v>
      </c>
    </row>
    <row r="25">
      <c r="A25" t="inlineStr">
        <is>
          <t>po_1Q0021KX</t>
        </is>
      </c>
      <c r="B25" s="5" t="n">
        <v>46232</v>
      </c>
      <c r="C25">
        <f>COUNTIFS('Stripe Report'!$A$5:$A$1934,A25,'Stripe Report'!$D$5:$D$1934,"charge")</f>
        <v>29</v>
      </c>
      <c r="D25" s="9">
        <f>SUMIFS('Stripe Report'!$F$5:$F$1934,'Stripe Report'!$A$5:$A$1934,A25,'Stripe Report'!$D$5:$D$1934,"charge")</f>
        <v>3980</v>
      </c>
      <c r="E25" s="9">
        <f>SUMIFS('Stripe Report'!$F$5:$F$1934,'Stripe Report'!$A$5:$A$1934,A25,'Stripe Report'!$D$5:$D$1934,"refund")</f>
        <v>0</v>
      </c>
      <c r="F25" s="9">
        <f>SUMIFS('Stripe Report'!$F$5:$F$1934,'Stripe Report'!$A$5:$A$1934,A25,'Stripe Report'!$D$5:$D$1934,"dispute")</f>
        <v>0</v>
      </c>
      <c r="G25" s="9">
        <f>ROUND(SUMIFS('Stripe Report'!$G$5:$G$1934,'Stripe Report'!$A$5:$A$1934,A25),2)</f>
        <v>78.38</v>
      </c>
      <c r="H25" s="9">
        <f>ROUND(G25/11,2)</f>
        <v>7.13</v>
      </c>
      <c r="I25" s="9">
        <f>ROUND(SUMIFS('Stripe Report'!$H$5:$H$1934,'Stripe Report'!$A$5:$A$1934,A25),2)</f>
        <v>3901.62</v>
      </c>
      <c r="J25" t="inlineStr">
        <is>
          <t>BL-00707</t>
        </is>
      </c>
      <c r="K25" s="9">
        <f>IF(J25="after 30 Sep",0,INDEX('Bank Lines'!$E$5:$E$1640,MATCH(J25,'Bank Lines'!$A$5:$A$1640,0)))</f>
        <v>3901.62</v>
      </c>
      <c r="L25" s="9">
        <f>IF(J25="after 30 Sep",0,ROUND(K25-I25,2))</f>
        <v>0</v>
      </c>
      <c r="M25" t="str">
        <f>IF(J25="after 30 Sep","",INDEX('Bank Lines'!$G$5:$G$1640,MATCH(J25,'Bank Lines'!$A$5:$A$1640,0)))</f>
        <v>G00034</v>
      </c>
    </row>
    <row r="26">
      <c r="A26" t="inlineStr">
        <is>
          <t>po_1Q0022KX</t>
        </is>
      </c>
      <c r="B26" s="5" t="n">
        <v>46233</v>
      </c>
      <c r="C26">
        <f>COUNTIFS('Stripe Report'!$A$5:$A$1934,A26,'Stripe Report'!$D$5:$D$1934,"charge")</f>
        <v>20</v>
      </c>
      <c r="D26" s="9">
        <f>SUMIFS('Stripe Report'!$F$5:$F$1934,'Stripe Report'!$A$5:$A$1934,A26,'Stripe Report'!$D$5:$D$1934,"charge")</f>
        <v>2560</v>
      </c>
      <c r="E26" s="9">
        <f>SUMIFS('Stripe Report'!$F$5:$F$1934,'Stripe Report'!$A$5:$A$1934,A26,'Stripe Report'!$D$5:$D$1934,"refund")</f>
        <v>0</v>
      </c>
      <c r="F26" s="9">
        <f>SUMIFS('Stripe Report'!$F$5:$F$1934,'Stripe Report'!$A$5:$A$1934,A26,'Stripe Report'!$D$5:$D$1934,"dispute")</f>
        <v>0</v>
      </c>
      <c r="G26" s="9">
        <f>ROUND(SUMIFS('Stripe Report'!$G$5:$G$1934,'Stripe Report'!$A$5:$A$1934,A26),2)</f>
        <v>50.83</v>
      </c>
      <c r="H26" s="9">
        <f>ROUND(G26/11,2)</f>
        <v>4.62</v>
      </c>
      <c r="I26" s="9">
        <f>ROUND(SUMIFS('Stripe Report'!$H$5:$H$1934,'Stripe Report'!$A$5:$A$1934,A26),2)</f>
        <v>2509.17</v>
      </c>
      <c r="J26" t="inlineStr">
        <is>
          <t>BL-00708</t>
        </is>
      </c>
      <c r="K26" s="9">
        <f>IF(J26="after 30 Sep",0,INDEX('Bank Lines'!$E$5:$E$1640,MATCH(J26,'Bank Lines'!$A$5:$A$1640,0)))</f>
        <v>2509.17</v>
      </c>
      <c r="L26" s="9">
        <f>IF(J26="after 30 Sep",0,ROUND(K26-I26,2))</f>
        <v>0</v>
      </c>
      <c r="M26" t="str">
        <f>IF(J26="after 30 Sep","",INDEX('Bank Lines'!$G$5:$G$1640,MATCH(J26,'Bank Lines'!$A$5:$A$1640,0)))</f>
        <v>G00035</v>
      </c>
    </row>
    <row r="27">
      <c r="A27" t="inlineStr">
        <is>
          <t>po_1Q0023KX</t>
        </is>
      </c>
      <c r="B27" s="5" t="n">
        <v>46234</v>
      </c>
      <c r="C27">
        <f>COUNTIFS('Stripe Report'!$A$5:$A$1934,A27,'Stripe Report'!$D$5:$D$1934,"charge")</f>
        <v>25</v>
      </c>
      <c r="D27" s="9">
        <f>SUMIFS('Stripe Report'!$F$5:$F$1934,'Stripe Report'!$A$5:$A$1934,A27,'Stripe Report'!$D$5:$D$1934,"charge")</f>
        <v>3085</v>
      </c>
      <c r="E27" s="9">
        <f>SUMIFS('Stripe Report'!$F$5:$F$1934,'Stripe Report'!$A$5:$A$1934,A27,'Stripe Report'!$D$5:$D$1934,"refund")</f>
        <v>0</v>
      </c>
      <c r="F27" s="9">
        <f>SUMIFS('Stripe Report'!$F$5:$F$1934,'Stripe Report'!$A$5:$A$1934,A27,'Stripe Report'!$D$5:$D$1934,"dispute")</f>
        <v>0</v>
      </c>
      <c r="G27" s="9">
        <f>ROUND(SUMIFS('Stripe Report'!$G$5:$G$1934,'Stripe Report'!$A$5:$A$1934,A27),2)</f>
        <v>61.51</v>
      </c>
      <c r="H27" s="9">
        <f>ROUND(G27/11,2)</f>
        <v>5.59</v>
      </c>
      <c r="I27" s="9">
        <f>ROUND(SUMIFS('Stripe Report'!$H$5:$H$1934,'Stripe Report'!$A$5:$A$1934,A27),2)</f>
        <v>3023.49</v>
      </c>
      <c r="J27" t="inlineStr">
        <is>
          <t>BL-00709</t>
        </is>
      </c>
      <c r="K27" s="9">
        <f>IF(J27="after 30 Sep",0,INDEX('Bank Lines'!$E$5:$E$1640,MATCH(J27,'Bank Lines'!$A$5:$A$1640,0)))</f>
        <v>3023.49</v>
      </c>
      <c r="L27" s="9">
        <f>IF(J27="after 30 Sep",0,ROUND(K27-I27,2))</f>
        <v>0</v>
      </c>
      <c r="M27" t="str">
        <f>IF(J27="after 30 Sep","",INDEX('Bank Lines'!$G$5:$G$1640,MATCH(J27,'Bank Lines'!$A$5:$A$1640,0)))</f>
        <v>G00036</v>
      </c>
    </row>
    <row r="28">
      <c r="A28" t="inlineStr">
        <is>
          <t>po_1Q0024KX</t>
        </is>
      </c>
      <c r="B28" s="5" t="n">
        <v>46237</v>
      </c>
      <c r="C28">
        <f>COUNTIFS('Stripe Report'!$A$5:$A$1934,A28,'Stripe Report'!$D$5:$D$1934,"charge")</f>
        <v>30</v>
      </c>
      <c r="D28" s="9">
        <f>SUMIFS('Stripe Report'!$F$5:$F$1934,'Stripe Report'!$A$5:$A$1934,A28,'Stripe Report'!$D$5:$D$1934,"charge")</f>
        <v>4035</v>
      </c>
      <c r="E28" s="9">
        <f>SUMIFS('Stripe Report'!$F$5:$F$1934,'Stripe Report'!$A$5:$A$1934,A28,'Stripe Report'!$D$5:$D$1934,"refund")</f>
        <v>0</v>
      </c>
      <c r="F28" s="9">
        <f>SUMIFS('Stripe Report'!$F$5:$F$1934,'Stripe Report'!$A$5:$A$1934,A28,'Stripe Report'!$D$5:$D$1934,"dispute")</f>
        <v>0</v>
      </c>
      <c r="G28" s="9">
        <f>ROUND(SUMIFS('Stripe Report'!$G$5:$G$1934,'Stripe Report'!$A$5:$A$1934,A28),2)</f>
        <v>79.64</v>
      </c>
      <c r="H28" s="9">
        <f>ROUND(G28/11,2)</f>
        <v>7.24</v>
      </c>
      <c r="I28" s="9">
        <f>ROUND(SUMIFS('Stripe Report'!$H$5:$H$1934,'Stripe Report'!$A$5:$A$1934,A28),2)</f>
        <v>3955.36</v>
      </c>
      <c r="J28" t="inlineStr">
        <is>
          <t>BL-00710</t>
        </is>
      </c>
      <c r="K28" s="9">
        <f>IF(J28="after 30 Sep",0,INDEX('Bank Lines'!$E$5:$E$1640,MATCH(J28,'Bank Lines'!$A$5:$A$1640,0)))</f>
        <v>3955.36</v>
      </c>
      <c r="L28" s="9">
        <f>IF(J28="after 30 Sep",0,ROUND(K28-I28,2))</f>
        <v>0</v>
      </c>
      <c r="M28" t="str">
        <f>IF(J28="after 30 Sep","",INDEX('Bank Lines'!$G$5:$G$1640,MATCH(J28,'Bank Lines'!$A$5:$A$1640,0)))</f>
        <v>G00037</v>
      </c>
    </row>
    <row r="29">
      <c r="A29" t="inlineStr">
        <is>
          <t>po_1Q0025KX</t>
        </is>
      </c>
      <c r="B29" s="5" t="n">
        <v>46238</v>
      </c>
      <c r="C29">
        <f>COUNTIFS('Stripe Report'!$A$5:$A$1934,A29,'Stripe Report'!$D$5:$D$1934,"charge")</f>
        <v>28</v>
      </c>
      <c r="D29" s="9">
        <f>SUMIFS('Stripe Report'!$F$5:$F$1934,'Stripe Report'!$A$5:$A$1934,A29,'Stripe Report'!$D$5:$D$1934,"charge")</f>
        <v>3500</v>
      </c>
      <c r="E29" s="9">
        <f>SUMIFS('Stripe Report'!$F$5:$F$1934,'Stripe Report'!$A$5:$A$1934,A29,'Stripe Report'!$D$5:$D$1934,"refund")</f>
        <v>0</v>
      </c>
      <c r="F29" s="9">
        <f>SUMIFS('Stripe Report'!$F$5:$F$1934,'Stripe Report'!$A$5:$A$1934,A29,'Stripe Report'!$D$5:$D$1934,"dispute")</f>
        <v>0</v>
      </c>
      <c r="G29" s="9">
        <f>ROUND(SUMIFS('Stripe Report'!$G$5:$G$1934,'Stripe Report'!$A$5:$A$1934,A29),2)</f>
        <v>69.7</v>
      </c>
      <c r="H29" s="9">
        <f>ROUND(G29/11,2)</f>
        <v>6.34</v>
      </c>
      <c r="I29" s="9">
        <f>ROUND(SUMIFS('Stripe Report'!$H$5:$H$1934,'Stripe Report'!$A$5:$A$1934,A29),2)</f>
        <v>3430.3</v>
      </c>
      <c r="J29" t="inlineStr">
        <is>
          <t>BL-00711</t>
        </is>
      </c>
      <c r="K29" s="9">
        <f>IF(J29="after 30 Sep",0,INDEX('Bank Lines'!$E$5:$E$1640,MATCH(J29,'Bank Lines'!$A$5:$A$1640,0)))</f>
        <v>3430.3</v>
      </c>
      <c r="L29" s="9">
        <f>IF(J29="after 30 Sep",0,ROUND(K29-I29,2))</f>
        <v>0</v>
      </c>
      <c r="M29" t="str">
        <f>IF(J29="after 30 Sep","",INDEX('Bank Lines'!$G$5:$G$1640,MATCH(J29,'Bank Lines'!$A$5:$A$1640,0)))</f>
        <v>G00038</v>
      </c>
    </row>
    <row r="30">
      <c r="A30" t="inlineStr">
        <is>
          <t>po_1Q0026KX</t>
        </is>
      </c>
      <c r="B30" s="5" t="n">
        <v>46239</v>
      </c>
      <c r="C30">
        <f>COUNTIFS('Stripe Report'!$A$5:$A$1934,A30,'Stripe Report'!$D$5:$D$1934,"charge")</f>
        <v>28</v>
      </c>
      <c r="D30" s="9">
        <f>SUMIFS('Stripe Report'!$F$5:$F$1934,'Stripe Report'!$A$5:$A$1934,A30,'Stripe Report'!$D$5:$D$1934,"charge")</f>
        <v>3775</v>
      </c>
      <c r="E30" s="9">
        <f>SUMIFS('Stripe Report'!$F$5:$F$1934,'Stripe Report'!$A$5:$A$1934,A30,'Stripe Report'!$D$5:$D$1934,"refund")</f>
        <v>0</v>
      </c>
      <c r="F30" s="9">
        <f>SUMIFS('Stripe Report'!$F$5:$F$1934,'Stripe Report'!$A$5:$A$1934,A30,'Stripe Report'!$D$5:$D$1934,"dispute")</f>
        <v>0</v>
      </c>
      <c r="G30" s="9">
        <f>ROUND(SUMIFS('Stripe Report'!$G$5:$G$1934,'Stripe Report'!$A$5:$A$1934,A30),2)</f>
        <v>74.47</v>
      </c>
      <c r="H30" s="9">
        <f>ROUND(G30/11,2)</f>
        <v>6.77</v>
      </c>
      <c r="I30" s="9">
        <f>ROUND(SUMIFS('Stripe Report'!$H$5:$H$1934,'Stripe Report'!$A$5:$A$1934,A30),2)</f>
        <v>3700.53</v>
      </c>
      <c r="J30" t="inlineStr">
        <is>
          <t>BL-00712</t>
        </is>
      </c>
      <c r="K30" s="9">
        <f>IF(J30="after 30 Sep",0,INDEX('Bank Lines'!$E$5:$E$1640,MATCH(J30,'Bank Lines'!$A$5:$A$1640,0)))</f>
        <v>3700.53</v>
      </c>
      <c r="L30" s="9">
        <f>IF(J30="after 30 Sep",0,ROUND(K30-I30,2))</f>
        <v>0</v>
      </c>
      <c r="M30" t="str">
        <f>IF(J30="after 30 Sep","",INDEX('Bank Lines'!$G$5:$G$1640,MATCH(J30,'Bank Lines'!$A$5:$A$1640,0)))</f>
        <v>G00039</v>
      </c>
    </row>
    <row r="31">
      <c r="A31" t="inlineStr">
        <is>
          <t>po_1Q0027KX</t>
        </is>
      </c>
      <c r="B31" s="5" t="n">
        <v>46240</v>
      </c>
      <c r="C31">
        <f>COUNTIFS('Stripe Report'!$A$5:$A$1934,A31,'Stripe Report'!$D$5:$D$1934,"charge")</f>
        <v>34</v>
      </c>
      <c r="D31" s="9">
        <f>SUMIFS('Stripe Report'!$F$5:$F$1934,'Stripe Report'!$A$5:$A$1934,A31,'Stripe Report'!$D$5:$D$1934,"charge")</f>
        <v>4345</v>
      </c>
      <c r="E31" s="9">
        <f>SUMIFS('Stripe Report'!$F$5:$F$1934,'Stripe Report'!$A$5:$A$1934,A31,'Stripe Report'!$D$5:$D$1934,"refund")</f>
        <v>0</v>
      </c>
      <c r="F31" s="9">
        <f>SUMIFS('Stripe Report'!$F$5:$F$1934,'Stripe Report'!$A$5:$A$1934,A31,'Stripe Report'!$D$5:$D$1934,"dispute")</f>
        <v>0</v>
      </c>
      <c r="G31" s="9">
        <f>ROUND(SUMIFS('Stripe Report'!$G$5:$G$1934,'Stripe Report'!$A$5:$A$1934,A31),2)</f>
        <v>86.27</v>
      </c>
      <c r="H31" s="9">
        <f>ROUND(G31/11,2)</f>
        <v>7.84</v>
      </c>
      <c r="I31" s="9">
        <f>ROUND(SUMIFS('Stripe Report'!$H$5:$H$1934,'Stripe Report'!$A$5:$A$1934,A31),2)</f>
        <v>4258.73</v>
      </c>
      <c r="J31" t="inlineStr">
        <is>
          <t>BL-00713</t>
        </is>
      </c>
      <c r="K31" s="9">
        <f>IF(J31="after 30 Sep",0,INDEX('Bank Lines'!$E$5:$E$1640,MATCH(J31,'Bank Lines'!$A$5:$A$1640,0)))</f>
        <v>4258.73</v>
      </c>
      <c r="L31" s="9">
        <f>IF(J31="after 30 Sep",0,ROUND(K31-I31,2))</f>
        <v>0</v>
      </c>
      <c r="M31" t="str">
        <f>IF(J31="after 30 Sep","",INDEX('Bank Lines'!$G$5:$G$1640,MATCH(J31,'Bank Lines'!$A$5:$A$1640,0)))</f>
        <v>G00040</v>
      </c>
    </row>
    <row r="32">
      <c r="A32" t="inlineStr">
        <is>
          <t>po_1Q0028KX</t>
        </is>
      </c>
      <c r="B32" s="5" t="n">
        <v>46241</v>
      </c>
      <c r="C32">
        <f>COUNTIFS('Stripe Report'!$A$5:$A$1934,A32,'Stripe Report'!$D$5:$D$1934,"charge")</f>
        <v>30</v>
      </c>
      <c r="D32" s="9">
        <f>SUMIFS('Stripe Report'!$F$5:$F$1934,'Stripe Report'!$A$5:$A$1934,A32,'Stripe Report'!$D$5:$D$1934,"charge")</f>
        <v>3895</v>
      </c>
      <c r="E32" s="9">
        <f>SUMIFS('Stripe Report'!$F$5:$F$1934,'Stripe Report'!$A$5:$A$1934,A32,'Stripe Report'!$D$5:$D$1934,"refund")</f>
        <v>0</v>
      </c>
      <c r="F32" s="9">
        <f>SUMIFS('Stripe Report'!$F$5:$F$1934,'Stripe Report'!$A$5:$A$1934,A32,'Stripe Report'!$D$5:$D$1934,"dispute")</f>
        <v>0</v>
      </c>
      <c r="G32" s="9">
        <f>ROUND(SUMIFS('Stripe Report'!$G$5:$G$1934,'Stripe Report'!$A$5:$A$1934,A32),2)</f>
        <v>77.19</v>
      </c>
      <c r="H32" s="9">
        <f>ROUND(G32/11,2)</f>
        <v>7.02</v>
      </c>
      <c r="I32" s="9">
        <f>ROUND(SUMIFS('Stripe Report'!$H$5:$H$1934,'Stripe Report'!$A$5:$A$1934,A32),2)</f>
        <v>3817.81</v>
      </c>
      <c r="J32" t="inlineStr">
        <is>
          <t>BL-00714</t>
        </is>
      </c>
      <c r="K32" s="9">
        <f>IF(J32="after 30 Sep",0,INDEX('Bank Lines'!$E$5:$E$1640,MATCH(J32,'Bank Lines'!$A$5:$A$1640,0)))</f>
        <v>3817.81</v>
      </c>
      <c r="L32" s="9">
        <f>IF(J32="after 30 Sep",0,ROUND(K32-I32,2))</f>
        <v>0</v>
      </c>
      <c r="M32" t="str">
        <f>IF(J32="after 30 Sep","",INDEX('Bank Lines'!$G$5:$G$1640,MATCH(J32,'Bank Lines'!$A$5:$A$1640,0)))</f>
        <v>G00041</v>
      </c>
    </row>
    <row r="33">
      <c r="A33" t="inlineStr">
        <is>
          <t>po_1Q0029KX</t>
        </is>
      </c>
      <c r="B33" s="5" t="n">
        <v>46244</v>
      </c>
      <c r="C33">
        <f>COUNTIFS('Stripe Report'!$A$5:$A$1934,A33,'Stripe Report'!$D$5:$D$1934,"charge")</f>
        <v>33</v>
      </c>
      <c r="D33" s="9">
        <f>SUMIFS('Stripe Report'!$F$5:$F$1934,'Stripe Report'!$A$5:$A$1934,A33,'Stripe Report'!$D$5:$D$1934,"charge")</f>
        <v>4165</v>
      </c>
      <c r="E33" s="9">
        <f>SUMIFS('Stripe Report'!$F$5:$F$1934,'Stripe Report'!$A$5:$A$1934,A33,'Stripe Report'!$D$5:$D$1934,"refund")</f>
        <v>0</v>
      </c>
      <c r="F33" s="9">
        <f>SUMIFS('Stripe Report'!$F$5:$F$1934,'Stripe Report'!$A$5:$A$1934,A33,'Stripe Report'!$D$5:$D$1934,"dispute")</f>
        <v>0</v>
      </c>
      <c r="G33" s="9">
        <f>ROUND(SUMIFS('Stripe Report'!$G$5:$G$1934,'Stripe Report'!$A$5:$A$1934,A33),2)</f>
        <v>82.82</v>
      </c>
      <c r="H33" s="9">
        <f>ROUND(G33/11,2)</f>
        <v>7.53</v>
      </c>
      <c r="I33" s="9">
        <f>ROUND(SUMIFS('Stripe Report'!$H$5:$H$1934,'Stripe Report'!$A$5:$A$1934,A33),2)</f>
        <v>4082.18</v>
      </c>
      <c r="J33" t="inlineStr">
        <is>
          <t>BL-00715</t>
        </is>
      </c>
      <c r="K33" s="9">
        <f>IF(J33="after 30 Sep",0,INDEX('Bank Lines'!$E$5:$E$1640,MATCH(J33,'Bank Lines'!$A$5:$A$1640,0)))</f>
        <v>4082.18</v>
      </c>
      <c r="L33" s="9">
        <f>IF(J33="after 30 Sep",0,ROUND(K33-I33,2))</f>
        <v>0</v>
      </c>
      <c r="M33" t="str">
        <f>IF(J33="after 30 Sep","",INDEX('Bank Lines'!$G$5:$G$1640,MATCH(J33,'Bank Lines'!$A$5:$A$1640,0)))</f>
        <v>G00042</v>
      </c>
    </row>
    <row r="34">
      <c r="A34" t="inlineStr">
        <is>
          <t>po_1Q0030KX</t>
        </is>
      </c>
      <c r="B34" s="5" t="n">
        <v>46245</v>
      </c>
      <c r="C34">
        <f>COUNTIFS('Stripe Report'!$A$5:$A$1934,A34,'Stripe Report'!$D$5:$D$1934,"charge")</f>
        <v>33</v>
      </c>
      <c r="D34" s="9">
        <f>SUMIFS('Stripe Report'!$F$5:$F$1934,'Stripe Report'!$A$5:$A$1934,A34,'Stripe Report'!$D$5:$D$1934,"charge")</f>
        <v>4120</v>
      </c>
      <c r="E34" s="9">
        <f>SUMIFS('Stripe Report'!$F$5:$F$1934,'Stripe Report'!$A$5:$A$1934,A34,'Stripe Report'!$D$5:$D$1934,"refund")</f>
        <v>0</v>
      </c>
      <c r="F34" s="9">
        <f>SUMIFS('Stripe Report'!$F$5:$F$1934,'Stripe Report'!$A$5:$A$1934,A34,'Stripe Report'!$D$5:$D$1934,"dispute")</f>
        <v>0</v>
      </c>
      <c r="G34" s="9">
        <f>ROUND(SUMIFS('Stripe Report'!$G$5:$G$1934,'Stripe Report'!$A$5:$A$1934,A34),2)</f>
        <v>82.04</v>
      </c>
      <c r="H34" s="9">
        <f>ROUND(G34/11,2)</f>
        <v>7.46</v>
      </c>
      <c r="I34" s="9">
        <f>ROUND(SUMIFS('Stripe Report'!$H$5:$H$1934,'Stripe Report'!$A$5:$A$1934,A34),2)</f>
        <v>4037.96</v>
      </c>
      <c r="J34" t="inlineStr">
        <is>
          <t>BL-00716</t>
        </is>
      </c>
      <c r="K34" s="9">
        <f>IF(J34="after 30 Sep",0,INDEX('Bank Lines'!$E$5:$E$1640,MATCH(J34,'Bank Lines'!$A$5:$A$1640,0)))</f>
        <v>4037.96</v>
      </c>
      <c r="L34" s="9">
        <f>IF(J34="after 30 Sep",0,ROUND(K34-I34,2))</f>
        <v>0</v>
      </c>
      <c r="M34" t="str">
        <f>IF(J34="after 30 Sep","",INDEX('Bank Lines'!$G$5:$G$1640,MATCH(J34,'Bank Lines'!$A$5:$A$1640,0)))</f>
        <v>G00043</v>
      </c>
    </row>
    <row r="35">
      <c r="A35" t="inlineStr">
        <is>
          <t>po_1Q0031KX</t>
        </is>
      </c>
      <c r="B35" s="5" t="n">
        <v>46246</v>
      </c>
      <c r="C35">
        <f>COUNTIFS('Stripe Report'!$A$5:$A$1934,A35,'Stripe Report'!$D$5:$D$1934,"charge")</f>
        <v>34</v>
      </c>
      <c r="D35" s="9">
        <f>SUMIFS('Stripe Report'!$F$5:$F$1934,'Stripe Report'!$A$5:$A$1934,A35,'Stripe Report'!$D$5:$D$1934,"charge")</f>
        <v>4305</v>
      </c>
      <c r="E35" s="9">
        <f>SUMIFS('Stripe Report'!$F$5:$F$1934,'Stripe Report'!$A$5:$A$1934,A35,'Stripe Report'!$D$5:$D$1934,"refund")</f>
        <v>0</v>
      </c>
      <c r="F35" s="9">
        <f>SUMIFS('Stripe Report'!$F$5:$F$1934,'Stripe Report'!$A$5:$A$1934,A35,'Stripe Report'!$D$5:$D$1934,"dispute")</f>
        <v>0</v>
      </c>
      <c r="G35" s="9">
        <f>ROUND(SUMIFS('Stripe Report'!$G$5:$G$1934,'Stripe Report'!$A$5:$A$1934,A35),2)</f>
        <v>85.59</v>
      </c>
      <c r="H35" s="9">
        <f>ROUND(G35/11,2)</f>
        <v>7.78</v>
      </c>
      <c r="I35" s="9">
        <f>ROUND(SUMIFS('Stripe Report'!$H$5:$H$1934,'Stripe Report'!$A$5:$A$1934,A35),2)</f>
        <v>4219.41</v>
      </c>
      <c r="J35" t="inlineStr">
        <is>
          <t>BL-00717</t>
        </is>
      </c>
      <c r="K35" s="9">
        <f>IF(J35="after 30 Sep",0,INDEX('Bank Lines'!$E$5:$E$1640,MATCH(J35,'Bank Lines'!$A$5:$A$1640,0)))</f>
        <v>4219.41</v>
      </c>
      <c r="L35" s="9">
        <f>IF(J35="after 30 Sep",0,ROUND(K35-I35,2))</f>
        <v>0</v>
      </c>
      <c r="M35" t="str">
        <f>IF(J35="after 30 Sep","",INDEX('Bank Lines'!$G$5:$G$1640,MATCH(J35,'Bank Lines'!$A$5:$A$1640,0)))</f>
        <v>G00044</v>
      </c>
    </row>
    <row r="36">
      <c r="A36" t="inlineStr">
        <is>
          <t>po_1Q0032KX</t>
        </is>
      </c>
      <c r="B36" s="5" t="n">
        <v>46247</v>
      </c>
      <c r="C36">
        <f>COUNTIFS('Stripe Report'!$A$5:$A$1934,A36,'Stripe Report'!$D$5:$D$1934,"charge")</f>
        <v>21</v>
      </c>
      <c r="D36" s="9">
        <f>SUMIFS('Stripe Report'!$F$5:$F$1934,'Stripe Report'!$A$5:$A$1934,A36,'Stripe Report'!$D$5:$D$1934,"charge")</f>
        <v>2795</v>
      </c>
      <c r="E36" s="9">
        <f>SUMIFS('Stripe Report'!$F$5:$F$1934,'Stripe Report'!$A$5:$A$1934,A36,'Stripe Report'!$D$5:$D$1934,"refund")</f>
        <v>-85</v>
      </c>
      <c r="F36" s="9">
        <f>SUMIFS('Stripe Report'!$F$5:$F$1934,'Stripe Report'!$A$5:$A$1934,A36,'Stripe Report'!$D$5:$D$1934,"dispute")</f>
        <v>0</v>
      </c>
      <c r="G36" s="9">
        <f>ROUND(SUMIFS('Stripe Report'!$G$5:$G$1934,'Stripe Report'!$A$5:$A$1934,A36),2)</f>
        <v>55.24</v>
      </c>
      <c r="H36" s="9">
        <f>ROUND(G36/11,2)</f>
        <v>5.02</v>
      </c>
      <c r="I36" s="9">
        <f>ROUND(SUMIFS('Stripe Report'!$H$5:$H$1934,'Stripe Report'!$A$5:$A$1934,A36),2)</f>
        <v>2654.76</v>
      </c>
      <c r="J36" t="inlineStr">
        <is>
          <t>BL-00718</t>
        </is>
      </c>
      <c r="K36" s="9">
        <f>IF(J36="after 30 Sep",0,INDEX('Bank Lines'!$E$5:$E$1640,MATCH(J36,'Bank Lines'!$A$5:$A$1640,0)))</f>
        <v>2654.76</v>
      </c>
      <c r="L36" s="9">
        <f>IF(J36="after 30 Sep",0,ROUND(K36-I36,2))</f>
        <v>0</v>
      </c>
      <c r="M36" t="str">
        <f>IF(J36="after 30 Sep","",INDEX('Bank Lines'!$G$5:$G$1640,MATCH(J36,'Bank Lines'!$A$5:$A$1640,0)))</f>
        <v>G00045</v>
      </c>
    </row>
    <row r="37">
      <c r="A37" t="inlineStr">
        <is>
          <t>po_1Q0033KX</t>
        </is>
      </c>
      <c r="B37" s="5" t="n">
        <v>46248</v>
      </c>
      <c r="C37">
        <f>COUNTIFS('Stripe Report'!$A$5:$A$1934,A37,'Stripe Report'!$D$5:$D$1934,"charge")</f>
        <v>24</v>
      </c>
      <c r="D37" s="9">
        <f>SUMIFS('Stripe Report'!$F$5:$F$1934,'Stripe Report'!$A$5:$A$1934,A37,'Stripe Report'!$D$5:$D$1934,"charge")</f>
        <v>2930</v>
      </c>
      <c r="E37" s="9">
        <f>SUMIFS('Stripe Report'!$F$5:$F$1934,'Stripe Report'!$A$5:$A$1934,A37,'Stripe Report'!$D$5:$D$1934,"refund")</f>
        <v>0</v>
      </c>
      <c r="F37" s="9">
        <f>SUMIFS('Stripe Report'!$F$5:$F$1934,'Stripe Report'!$A$5:$A$1934,A37,'Stripe Report'!$D$5:$D$1934,"dispute")</f>
        <v>0</v>
      </c>
      <c r="G37" s="9">
        <f>ROUND(SUMIFS('Stripe Report'!$G$5:$G$1934,'Stripe Report'!$A$5:$A$1934,A37),2)</f>
        <v>58.48</v>
      </c>
      <c r="H37" s="9">
        <f>ROUND(G37/11,2)</f>
        <v>5.32</v>
      </c>
      <c r="I37" s="9">
        <f>ROUND(SUMIFS('Stripe Report'!$H$5:$H$1934,'Stripe Report'!$A$5:$A$1934,A37),2)</f>
        <v>2871.52</v>
      </c>
      <c r="J37" t="inlineStr">
        <is>
          <t>BL-00719</t>
        </is>
      </c>
      <c r="K37" s="9">
        <f>IF(J37="after 30 Sep",0,INDEX('Bank Lines'!$E$5:$E$1640,MATCH(J37,'Bank Lines'!$A$5:$A$1640,0)))</f>
        <v>2871.52</v>
      </c>
      <c r="L37" s="9">
        <f>IF(J37="after 30 Sep",0,ROUND(K37-I37,2))</f>
        <v>0</v>
      </c>
      <c r="M37" t="str">
        <f>IF(J37="after 30 Sep","",INDEX('Bank Lines'!$G$5:$G$1640,MATCH(J37,'Bank Lines'!$A$5:$A$1640,0)))</f>
        <v>G00046</v>
      </c>
    </row>
    <row r="38">
      <c r="A38" t="inlineStr">
        <is>
          <t>po_1Q0034KX</t>
        </is>
      </c>
      <c r="B38" s="5" t="n">
        <v>46251</v>
      </c>
      <c r="C38">
        <f>COUNTIFS('Stripe Report'!$A$5:$A$1934,A38,'Stripe Report'!$D$5:$D$1934,"charge")</f>
        <v>30</v>
      </c>
      <c r="D38" s="9">
        <f>SUMIFS('Stripe Report'!$F$5:$F$1934,'Stripe Report'!$A$5:$A$1934,A38,'Stripe Report'!$D$5:$D$1934,"charge")</f>
        <v>4115</v>
      </c>
      <c r="E38" s="9">
        <f>SUMIFS('Stripe Report'!$F$5:$F$1934,'Stripe Report'!$A$5:$A$1934,A38,'Stripe Report'!$D$5:$D$1934,"refund")</f>
        <v>0</v>
      </c>
      <c r="F38" s="9">
        <f>SUMIFS('Stripe Report'!$F$5:$F$1934,'Stripe Report'!$A$5:$A$1934,A38,'Stripe Report'!$D$5:$D$1934,"dispute")</f>
        <v>0</v>
      </c>
      <c r="G38" s="9">
        <f>ROUND(SUMIFS('Stripe Report'!$G$5:$G$1934,'Stripe Report'!$A$5:$A$1934,A38),2)</f>
        <v>81.04</v>
      </c>
      <c r="H38" s="9">
        <f>ROUND(G38/11,2)</f>
        <v>7.37</v>
      </c>
      <c r="I38" s="9">
        <f>ROUND(SUMIFS('Stripe Report'!$H$5:$H$1934,'Stripe Report'!$A$5:$A$1934,A38),2)</f>
        <v>4033.96</v>
      </c>
      <c r="J38" t="inlineStr">
        <is>
          <t>BL-00720</t>
        </is>
      </c>
      <c r="K38" s="9">
        <f>IF(J38="after 30 Sep",0,INDEX('Bank Lines'!$E$5:$E$1640,MATCH(J38,'Bank Lines'!$A$5:$A$1640,0)))</f>
        <v>4033.96</v>
      </c>
      <c r="L38" s="9">
        <f>IF(J38="after 30 Sep",0,ROUND(K38-I38,2))</f>
        <v>0</v>
      </c>
      <c r="M38" t="str">
        <f>IF(J38="after 30 Sep","",INDEX('Bank Lines'!$G$5:$G$1640,MATCH(J38,'Bank Lines'!$A$5:$A$1640,0)))</f>
        <v>G00047</v>
      </c>
    </row>
    <row r="39">
      <c r="A39" t="inlineStr">
        <is>
          <t>po_1Q0035KX</t>
        </is>
      </c>
      <c r="B39" s="5" t="n">
        <v>46252</v>
      </c>
      <c r="C39">
        <f>COUNTIFS('Stripe Report'!$A$5:$A$1934,A39,'Stripe Report'!$D$5:$D$1934,"charge")</f>
        <v>39</v>
      </c>
      <c r="D39" s="9">
        <f>SUMIFS('Stripe Report'!$F$5:$F$1934,'Stripe Report'!$A$5:$A$1934,A39,'Stripe Report'!$D$5:$D$1934,"charge")</f>
        <v>5290</v>
      </c>
      <c r="E39" s="9">
        <f>SUMIFS('Stripe Report'!$F$5:$F$1934,'Stripe Report'!$A$5:$A$1934,A39,'Stripe Report'!$D$5:$D$1934,"refund")</f>
        <v>0</v>
      </c>
      <c r="F39" s="9">
        <f>SUMIFS('Stripe Report'!$F$5:$F$1934,'Stripe Report'!$A$5:$A$1934,A39,'Stripe Report'!$D$5:$D$1934,"dispute")</f>
        <v>0</v>
      </c>
      <c r="G39" s="9">
        <f>ROUND(SUMIFS('Stripe Report'!$G$5:$G$1934,'Stripe Report'!$A$5:$A$1934,A39),2)</f>
        <v>104.31</v>
      </c>
      <c r="H39" s="9">
        <f>ROUND(G39/11,2)</f>
        <v>9.48</v>
      </c>
      <c r="I39" s="9">
        <f>ROUND(SUMIFS('Stripe Report'!$H$5:$H$1934,'Stripe Report'!$A$5:$A$1934,A39),2)</f>
        <v>5185.69</v>
      </c>
      <c r="J39" t="inlineStr">
        <is>
          <t>BL-00721</t>
        </is>
      </c>
      <c r="K39" s="9">
        <f>IF(J39="after 30 Sep",0,INDEX('Bank Lines'!$E$5:$E$1640,MATCH(J39,'Bank Lines'!$A$5:$A$1640,0)))</f>
        <v>5185.69</v>
      </c>
      <c r="L39" s="9">
        <f>IF(J39="after 30 Sep",0,ROUND(K39-I39,2))</f>
        <v>0</v>
      </c>
      <c r="M39" t="str">
        <f>IF(J39="after 30 Sep","",INDEX('Bank Lines'!$G$5:$G$1640,MATCH(J39,'Bank Lines'!$A$5:$A$1640,0)))</f>
        <v>G00048</v>
      </c>
    </row>
    <row r="40">
      <c r="A40" t="inlineStr">
        <is>
          <t>po_1Q0036KX</t>
        </is>
      </c>
      <c r="B40" s="5" t="n">
        <v>46253</v>
      </c>
      <c r="C40">
        <f>COUNTIFS('Stripe Report'!$A$5:$A$1934,A40,'Stripe Report'!$D$5:$D$1934,"charge")</f>
        <v>23</v>
      </c>
      <c r="D40" s="9">
        <f>SUMIFS('Stripe Report'!$F$5:$F$1934,'Stripe Report'!$A$5:$A$1934,A40,'Stripe Report'!$D$5:$D$1934,"charge")</f>
        <v>3130</v>
      </c>
      <c r="E40" s="9">
        <f>SUMIFS('Stripe Report'!$F$5:$F$1934,'Stripe Report'!$A$5:$A$1934,A40,'Stripe Report'!$D$5:$D$1934,"refund")</f>
        <v>0</v>
      </c>
      <c r="F40" s="9">
        <f>SUMIFS('Stripe Report'!$F$5:$F$1934,'Stripe Report'!$A$5:$A$1934,A40,'Stripe Report'!$D$5:$D$1934,"dispute")</f>
        <v>0</v>
      </c>
      <c r="G40" s="9">
        <f>ROUND(SUMIFS('Stripe Report'!$G$5:$G$1934,'Stripe Report'!$A$5:$A$1934,A40),2)</f>
        <v>61.67</v>
      </c>
      <c r="H40" s="9">
        <f>ROUND(G40/11,2)</f>
        <v>5.61</v>
      </c>
      <c r="I40" s="9">
        <f>ROUND(SUMIFS('Stripe Report'!$H$5:$H$1934,'Stripe Report'!$A$5:$A$1934,A40),2)</f>
        <v>3068.33</v>
      </c>
      <c r="J40" t="inlineStr">
        <is>
          <t>BL-00722</t>
        </is>
      </c>
      <c r="K40" s="9">
        <f>IF(J40="after 30 Sep",0,INDEX('Bank Lines'!$E$5:$E$1640,MATCH(J40,'Bank Lines'!$A$5:$A$1640,0)))</f>
        <v>3068.33</v>
      </c>
      <c r="L40" s="9">
        <f>IF(J40="after 30 Sep",0,ROUND(K40-I40,2))</f>
        <v>0</v>
      </c>
      <c r="M40" t="str">
        <f>IF(J40="after 30 Sep","",INDEX('Bank Lines'!$G$5:$G$1640,MATCH(J40,'Bank Lines'!$A$5:$A$1640,0)))</f>
        <v>G00049</v>
      </c>
    </row>
    <row r="41">
      <c r="A41" t="inlineStr">
        <is>
          <t>po_1Q0037KX</t>
        </is>
      </c>
      <c r="B41" s="5" t="n">
        <v>46254</v>
      </c>
      <c r="C41">
        <f>COUNTIFS('Stripe Report'!$A$5:$A$1934,A41,'Stripe Report'!$D$5:$D$1934,"charge")</f>
        <v>31</v>
      </c>
      <c r="D41" s="9">
        <f>SUMIFS('Stripe Report'!$F$5:$F$1934,'Stripe Report'!$A$5:$A$1934,A41,'Stripe Report'!$D$5:$D$1934,"charge")</f>
        <v>4005</v>
      </c>
      <c r="E41" s="9">
        <f>SUMIFS('Stripe Report'!$F$5:$F$1934,'Stripe Report'!$A$5:$A$1934,A41,'Stripe Report'!$D$5:$D$1934,"refund")</f>
        <v>0</v>
      </c>
      <c r="F41" s="9">
        <f>SUMIFS('Stripe Report'!$F$5:$F$1934,'Stripe Report'!$A$5:$A$1934,A41,'Stripe Report'!$D$5:$D$1934,"dispute")</f>
        <v>0</v>
      </c>
      <c r="G41" s="9">
        <f>ROUND(SUMIFS('Stripe Report'!$G$5:$G$1934,'Stripe Report'!$A$5:$A$1934,A41),2)</f>
        <v>79.42</v>
      </c>
      <c r="H41" s="9">
        <f>ROUND(G41/11,2)</f>
        <v>7.22</v>
      </c>
      <c r="I41" s="9">
        <f>ROUND(SUMIFS('Stripe Report'!$H$5:$H$1934,'Stripe Report'!$A$5:$A$1934,A41),2)</f>
        <v>3925.58</v>
      </c>
      <c r="J41" t="inlineStr">
        <is>
          <t>BL-00723</t>
        </is>
      </c>
      <c r="K41" s="9">
        <f>IF(J41="after 30 Sep",0,INDEX('Bank Lines'!$E$5:$E$1640,MATCH(J41,'Bank Lines'!$A$5:$A$1640,0)))</f>
        <v>3925.58</v>
      </c>
      <c r="L41" s="9">
        <f>IF(J41="after 30 Sep",0,ROUND(K41-I41,2))</f>
        <v>0</v>
      </c>
      <c r="M41" t="str">
        <f>IF(J41="after 30 Sep","",INDEX('Bank Lines'!$G$5:$G$1640,MATCH(J41,'Bank Lines'!$A$5:$A$1640,0)))</f>
        <v>G00050</v>
      </c>
    </row>
    <row r="42">
      <c r="A42" t="inlineStr">
        <is>
          <t>po_1Q0038KX</t>
        </is>
      </c>
      <c r="B42" s="5" t="n">
        <v>46255</v>
      </c>
      <c r="C42">
        <f>COUNTIFS('Stripe Report'!$A$5:$A$1934,A42,'Stripe Report'!$D$5:$D$1934,"charge")</f>
        <v>34</v>
      </c>
      <c r="D42" s="9">
        <f>SUMIFS('Stripe Report'!$F$5:$F$1934,'Stripe Report'!$A$5:$A$1934,A42,'Stripe Report'!$D$5:$D$1934,"charge")</f>
        <v>4360</v>
      </c>
      <c r="E42" s="9">
        <f>SUMIFS('Stripe Report'!$F$5:$F$1934,'Stripe Report'!$A$5:$A$1934,A42,'Stripe Report'!$D$5:$D$1934,"refund")</f>
        <v>0</v>
      </c>
      <c r="F42" s="9">
        <f>SUMIFS('Stripe Report'!$F$5:$F$1934,'Stripe Report'!$A$5:$A$1934,A42,'Stripe Report'!$D$5:$D$1934,"dispute")</f>
        <v>0</v>
      </c>
      <c r="G42" s="9">
        <f>ROUND(SUMIFS('Stripe Report'!$G$5:$G$1934,'Stripe Report'!$A$5:$A$1934,A42),2)</f>
        <v>86.54</v>
      </c>
      <c r="H42" s="9">
        <f>ROUND(G42/11,2)</f>
        <v>7.87</v>
      </c>
      <c r="I42" s="9">
        <f>ROUND(SUMIFS('Stripe Report'!$H$5:$H$1934,'Stripe Report'!$A$5:$A$1934,A42),2)</f>
        <v>4273.46</v>
      </c>
      <c r="J42" t="inlineStr">
        <is>
          <t>BL-00724</t>
        </is>
      </c>
      <c r="K42" s="9">
        <f>IF(J42="after 30 Sep",0,INDEX('Bank Lines'!$E$5:$E$1640,MATCH(J42,'Bank Lines'!$A$5:$A$1640,0)))</f>
        <v>4273.46</v>
      </c>
      <c r="L42" s="9">
        <f>IF(J42="after 30 Sep",0,ROUND(K42-I42,2))</f>
        <v>0</v>
      </c>
      <c r="M42" t="str">
        <f>IF(J42="after 30 Sep","",INDEX('Bank Lines'!$G$5:$G$1640,MATCH(J42,'Bank Lines'!$A$5:$A$1640,0)))</f>
        <v>G00051</v>
      </c>
    </row>
    <row r="43">
      <c r="A43" t="inlineStr">
        <is>
          <t>po_1Q0039KX</t>
        </is>
      </c>
      <c r="B43" s="5" t="n">
        <v>46258</v>
      </c>
      <c r="C43">
        <f>COUNTIFS('Stripe Report'!$A$5:$A$1934,A43,'Stripe Report'!$D$5:$D$1934,"charge")</f>
        <v>31</v>
      </c>
      <c r="D43" s="9">
        <f>SUMIFS('Stripe Report'!$F$5:$F$1934,'Stripe Report'!$A$5:$A$1934,A43,'Stripe Report'!$D$5:$D$1934,"charge")</f>
        <v>3930</v>
      </c>
      <c r="E43" s="9">
        <f>SUMIFS('Stripe Report'!$F$5:$F$1934,'Stripe Report'!$A$5:$A$1934,A43,'Stripe Report'!$D$5:$D$1934,"refund")</f>
        <v>-180</v>
      </c>
      <c r="F43" s="9">
        <f>SUMIFS('Stripe Report'!$F$5:$F$1934,'Stripe Report'!$A$5:$A$1934,A43,'Stripe Report'!$D$5:$D$1934,"dispute")</f>
        <v>0</v>
      </c>
      <c r="G43" s="9">
        <f>ROUND(SUMIFS('Stripe Report'!$G$5:$G$1934,'Stripe Report'!$A$5:$A$1934,A43),2)</f>
        <v>78.12</v>
      </c>
      <c r="H43" s="9">
        <f>ROUND(G43/11,2)</f>
        <v>7.1</v>
      </c>
      <c r="I43" s="9">
        <f>ROUND(SUMIFS('Stripe Report'!$H$5:$H$1934,'Stripe Report'!$A$5:$A$1934,A43),2)</f>
        <v>3671.88</v>
      </c>
      <c r="J43" t="inlineStr">
        <is>
          <t>BL-00725</t>
        </is>
      </c>
      <c r="K43" s="9">
        <f>IF(J43="after 30 Sep",0,INDEX('Bank Lines'!$E$5:$E$1640,MATCH(J43,'Bank Lines'!$A$5:$A$1640,0)))</f>
        <v>3671.88</v>
      </c>
      <c r="L43" s="9">
        <f>IF(J43="after 30 Sep",0,ROUND(K43-I43,2))</f>
        <v>0</v>
      </c>
      <c r="M43" t="str">
        <f>IF(J43="after 30 Sep","",INDEX('Bank Lines'!$G$5:$G$1640,MATCH(J43,'Bank Lines'!$A$5:$A$1640,0)))</f>
        <v>G00052</v>
      </c>
    </row>
    <row r="44">
      <c r="A44" t="inlineStr">
        <is>
          <t>po_1Q0040KX</t>
        </is>
      </c>
      <c r="B44" s="5" t="n">
        <v>46259</v>
      </c>
      <c r="C44">
        <f>COUNTIFS('Stripe Report'!$A$5:$A$1934,A44,'Stripe Report'!$D$5:$D$1934,"charge")</f>
        <v>28</v>
      </c>
      <c r="D44" s="9">
        <f>SUMIFS('Stripe Report'!$F$5:$F$1934,'Stripe Report'!$A$5:$A$1934,A44,'Stripe Report'!$D$5:$D$1934,"charge")</f>
        <v>3495</v>
      </c>
      <c r="E44" s="9">
        <f>SUMIFS('Stripe Report'!$F$5:$F$1934,'Stripe Report'!$A$5:$A$1934,A44,'Stripe Report'!$D$5:$D$1934,"refund")</f>
        <v>0</v>
      </c>
      <c r="F44" s="9">
        <f>SUMIFS('Stripe Report'!$F$5:$F$1934,'Stripe Report'!$A$5:$A$1934,A44,'Stripe Report'!$D$5:$D$1934,"dispute")</f>
        <v>0</v>
      </c>
      <c r="G44" s="9">
        <f>ROUND(SUMIFS('Stripe Report'!$G$5:$G$1934,'Stripe Report'!$A$5:$A$1934,A44),2)</f>
        <v>69.59</v>
      </c>
      <c r="H44" s="9">
        <f>ROUND(G44/11,2)</f>
        <v>6.33</v>
      </c>
      <c r="I44" s="9">
        <f>ROUND(SUMIFS('Stripe Report'!$H$5:$H$1934,'Stripe Report'!$A$5:$A$1934,A44),2)</f>
        <v>3425.41</v>
      </c>
      <c r="J44" t="inlineStr">
        <is>
          <t>BL-00726</t>
        </is>
      </c>
      <c r="K44" s="9">
        <f>IF(J44="after 30 Sep",0,INDEX('Bank Lines'!$E$5:$E$1640,MATCH(J44,'Bank Lines'!$A$5:$A$1640,0)))</f>
        <v>3425.41</v>
      </c>
      <c r="L44" s="9">
        <f>IF(J44="after 30 Sep",0,ROUND(K44-I44,2))</f>
        <v>0</v>
      </c>
      <c r="M44" t="str">
        <f>IF(J44="after 30 Sep","",INDEX('Bank Lines'!$G$5:$G$1640,MATCH(J44,'Bank Lines'!$A$5:$A$1640,0)))</f>
        <v>G00053</v>
      </c>
    </row>
    <row r="45">
      <c r="A45" t="inlineStr">
        <is>
          <t>po_1Q0041KX</t>
        </is>
      </c>
      <c r="B45" s="5" t="n">
        <v>46260</v>
      </c>
      <c r="C45">
        <f>COUNTIFS('Stripe Report'!$A$5:$A$1934,A45,'Stripe Report'!$D$5:$D$1934,"charge")</f>
        <v>28</v>
      </c>
      <c r="D45" s="9">
        <f>SUMIFS('Stripe Report'!$F$5:$F$1934,'Stripe Report'!$A$5:$A$1934,A45,'Stripe Report'!$D$5:$D$1934,"charge")</f>
        <v>3495</v>
      </c>
      <c r="E45" s="9">
        <f>SUMIFS('Stripe Report'!$F$5:$F$1934,'Stripe Report'!$A$5:$A$1934,A45,'Stripe Report'!$D$5:$D$1934,"refund")</f>
        <v>0</v>
      </c>
      <c r="F45" s="9">
        <f>SUMIFS('Stripe Report'!$F$5:$F$1934,'Stripe Report'!$A$5:$A$1934,A45,'Stripe Report'!$D$5:$D$1934,"dispute")</f>
        <v>-95</v>
      </c>
      <c r="G45" s="9">
        <f>ROUND(SUMIFS('Stripe Report'!$G$5:$G$1934,'Stripe Report'!$A$5:$A$1934,A45),2)</f>
        <v>94.57</v>
      </c>
      <c r="H45" s="9">
        <f>ROUND(G45/11,2)</f>
        <v>8.6</v>
      </c>
      <c r="I45" s="9">
        <f>ROUND(SUMIFS('Stripe Report'!$H$5:$H$1934,'Stripe Report'!$A$5:$A$1934,A45),2)</f>
        <v>3305.43</v>
      </c>
      <c r="J45" t="inlineStr">
        <is>
          <t>BL-00727</t>
        </is>
      </c>
      <c r="K45" s="9">
        <f>IF(J45="after 30 Sep",0,INDEX('Bank Lines'!$E$5:$E$1640,MATCH(J45,'Bank Lines'!$A$5:$A$1640,0)))</f>
        <v>3305.43</v>
      </c>
      <c r="L45" s="9">
        <f>IF(J45="after 30 Sep",0,ROUND(K45-I45,2))</f>
        <v>0</v>
      </c>
      <c r="M45" t="str">
        <f>IF(J45="after 30 Sep","",INDEX('Bank Lines'!$G$5:$G$1640,MATCH(J45,'Bank Lines'!$A$5:$A$1640,0)))</f>
        <v>G00054</v>
      </c>
    </row>
    <row r="46">
      <c r="A46" t="inlineStr">
        <is>
          <t>po_1Q0042KX</t>
        </is>
      </c>
      <c r="B46" s="5" t="n">
        <v>46261</v>
      </c>
      <c r="C46">
        <f>COUNTIFS('Stripe Report'!$A$5:$A$1934,A46,'Stripe Report'!$D$5:$D$1934,"charge")</f>
        <v>20</v>
      </c>
      <c r="D46" s="9">
        <f>SUMIFS('Stripe Report'!$F$5:$F$1934,'Stripe Report'!$A$5:$A$1934,A46,'Stripe Report'!$D$5:$D$1934,"charge")</f>
        <v>2590</v>
      </c>
      <c r="E46" s="9">
        <f>SUMIFS('Stripe Report'!$F$5:$F$1934,'Stripe Report'!$A$5:$A$1934,A46,'Stripe Report'!$D$5:$D$1934,"refund")</f>
        <v>0</v>
      </c>
      <c r="F46" s="9">
        <f>SUMIFS('Stripe Report'!$F$5:$F$1934,'Stripe Report'!$A$5:$A$1934,A46,'Stripe Report'!$D$5:$D$1934,"dispute")</f>
        <v>0</v>
      </c>
      <c r="G46" s="9">
        <f>ROUND(SUMIFS('Stripe Report'!$G$5:$G$1934,'Stripe Report'!$A$5:$A$1934,A46),2)</f>
        <v>51.33</v>
      </c>
      <c r="H46" s="9">
        <f>ROUND(G46/11,2)</f>
        <v>4.67</v>
      </c>
      <c r="I46" s="9">
        <f>ROUND(SUMIFS('Stripe Report'!$H$5:$H$1934,'Stripe Report'!$A$5:$A$1934,A46),2)</f>
        <v>2538.67</v>
      </c>
      <c r="J46" t="inlineStr">
        <is>
          <t>BL-00728</t>
        </is>
      </c>
      <c r="K46" s="9">
        <f>IF(J46="after 30 Sep",0,INDEX('Bank Lines'!$E$5:$E$1640,MATCH(J46,'Bank Lines'!$A$5:$A$1640,0)))</f>
        <v>2538.67</v>
      </c>
      <c r="L46" s="9">
        <f>IF(J46="after 30 Sep",0,ROUND(K46-I46,2))</f>
        <v>0</v>
      </c>
      <c r="M46" t="str">
        <f>IF(J46="after 30 Sep","",INDEX('Bank Lines'!$G$5:$G$1640,MATCH(J46,'Bank Lines'!$A$5:$A$1640,0)))</f>
        <v>G00055</v>
      </c>
    </row>
    <row r="47">
      <c r="A47" t="inlineStr">
        <is>
          <t>po_1Q0043KX</t>
        </is>
      </c>
      <c r="B47" s="5" t="n">
        <v>46262</v>
      </c>
      <c r="C47">
        <f>COUNTIFS('Stripe Report'!$A$5:$A$1934,A47,'Stripe Report'!$D$5:$D$1934,"charge")</f>
        <v>28</v>
      </c>
      <c r="D47" s="9">
        <f>SUMIFS('Stripe Report'!$F$5:$F$1934,'Stripe Report'!$A$5:$A$1934,A47,'Stripe Report'!$D$5:$D$1934,"charge")</f>
        <v>3345</v>
      </c>
      <c r="E47" s="9">
        <f>SUMIFS('Stripe Report'!$F$5:$F$1934,'Stripe Report'!$A$5:$A$1934,A47,'Stripe Report'!$D$5:$D$1934,"refund")</f>
        <v>0</v>
      </c>
      <c r="F47" s="9">
        <f>SUMIFS('Stripe Report'!$F$5:$F$1934,'Stripe Report'!$A$5:$A$1934,A47,'Stripe Report'!$D$5:$D$1934,"dispute")</f>
        <v>0</v>
      </c>
      <c r="G47" s="9">
        <f>ROUND(SUMIFS('Stripe Report'!$G$5:$G$1934,'Stripe Report'!$A$5:$A$1934,A47),2)</f>
        <v>66.98</v>
      </c>
      <c r="H47" s="9">
        <f>ROUND(G47/11,2)</f>
        <v>6.09</v>
      </c>
      <c r="I47" s="9">
        <f>ROUND(SUMIFS('Stripe Report'!$H$5:$H$1934,'Stripe Report'!$A$5:$A$1934,A47),2)</f>
        <v>3278.02</v>
      </c>
      <c r="J47" t="inlineStr">
        <is>
          <t>BL-00729</t>
        </is>
      </c>
      <c r="K47" s="9">
        <f>IF(J47="after 30 Sep",0,INDEX('Bank Lines'!$E$5:$E$1640,MATCH(J47,'Bank Lines'!$A$5:$A$1640,0)))</f>
        <v>3278.02</v>
      </c>
      <c r="L47" s="9">
        <f>IF(J47="after 30 Sep",0,ROUND(K47-I47,2))</f>
        <v>0</v>
      </c>
      <c r="M47" t="str">
        <f>IF(J47="after 30 Sep","",INDEX('Bank Lines'!$G$5:$G$1640,MATCH(J47,'Bank Lines'!$A$5:$A$1640,0)))</f>
        <v>G00056</v>
      </c>
    </row>
    <row r="48">
      <c r="A48" t="inlineStr">
        <is>
          <t>po_1Q0044KX</t>
        </is>
      </c>
      <c r="B48" s="5" t="n">
        <v>46265</v>
      </c>
      <c r="C48">
        <f>COUNTIFS('Stripe Report'!$A$5:$A$1934,A48,'Stripe Report'!$D$5:$D$1934,"charge")</f>
        <v>29</v>
      </c>
      <c r="D48" s="9">
        <f>SUMIFS('Stripe Report'!$F$5:$F$1934,'Stripe Report'!$A$5:$A$1934,A48,'Stripe Report'!$D$5:$D$1934,"charge")</f>
        <v>3680</v>
      </c>
      <c r="E48" s="9">
        <f>SUMIFS('Stripe Report'!$F$5:$F$1934,'Stripe Report'!$A$5:$A$1934,A48,'Stripe Report'!$D$5:$D$1934,"refund")</f>
        <v>0</v>
      </c>
      <c r="F48" s="9">
        <f>SUMIFS('Stripe Report'!$F$5:$F$1934,'Stripe Report'!$A$5:$A$1934,A48,'Stripe Report'!$D$5:$D$1934,"dispute")</f>
        <v>0</v>
      </c>
      <c r="G48" s="9">
        <f>ROUND(SUMIFS('Stripe Report'!$G$5:$G$1934,'Stripe Report'!$A$5:$A$1934,A48),2)</f>
        <v>73.11</v>
      </c>
      <c r="H48" s="9">
        <f>ROUND(G48/11,2)</f>
        <v>6.65</v>
      </c>
      <c r="I48" s="9">
        <f>ROUND(SUMIFS('Stripe Report'!$H$5:$H$1934,'Stripe Report'!$A$5:$A$1934,A48),2)</f>
        <v>3606.89</v>
      </c>
      <c r="J48" t="inlineStr">
        <is>
          <t>BL-00730</t>
        </is>
      </c>
      <c r="K48" s="9">
        <f>IF(J48="after 30 Sep",0,INDEX('Bank Lines'!$E$5:$E$1640,MATCH(J48,'Bank Lines'!$A$5:$A$1640,0)))</f>
        <v>3606.89</v>
      </c>
      <c r="L48" s="9">
        <f>IF(J48="after 30 Sep",0,ROUND(K48-I48,2))</f>
        <v>0</v>
      </c>
      <c r="M48" t="str">
        <f>IF(J48="after 30 Sep","",INDEX('Bank Lines'!$G$5:$G$1640,MATCH(J48,'Bank Lines'!$A$5:$A$1640,0)))</f>
        <v>G00057</v>
      </c>
    </row>
    <row r="49">
      <c r="A49" t="inlineStr">
        <is>
          <t>po_1Q0045KX</t>
        </is>
      </c>
      <c r="B49" s="5" t="n">
        <v>46266</v>
      </c>
      <c r="C49">
        <f>COUNTIFS('Stripe Report'!$A$5:$A$1934,A49,'Stripe Report'!$D$5:$D$1934,"charge")</f>
        <v>37</v>
      </c>
      <c r="D49" s="9">
        <f>SUMIFS('Stripe Report'!$F$5:$F$1934,'Stripe Report'!$A$5:$A$1934,A49,'Stripe Report'!$D$5:$D$1934,"charge")</f>
        <v>4365</v>
      </c>
      <c r="E49" s="9">
        <f>SUMIFS('Stripe Report'!$F$5:$F$1934,'Stripe Report'!$A$5:$A$1934,A49,'Stripe Report'!$D$5:$D$1934,"refund")</f>
        <v>-95</v>
      </c>
      <c r="F49" s="9">
        <f>SUMIFS('Stripe Report'!$F$5:$F$1934,'Stripe Report'!$A$5:$A$1934,A49,'Stripe Report'!$D$5:$D$1934,"dispute")</f>
        <v>0</v>
      </c>
      <c r="G49" s="9">
        <f>ROUND(SUMIFS('Stripe Report'!$G$5:$G$1934,'Stripe Report'!$A$5:$A$1934,A49),2)</f>
        <v>87.53</v>
      </c>
      <c r="H49" s="9">
        <f>ROUND(G49/11,2)</f>
        <v>7.96</v>
      </c>
      <c r="I49" s="9">
        <f>ROUND(SUMIFS('Stripe Report'!$H$5:$H$1934,'Stripe Report'!$A$5:$A$1934,A49),2)</f>
        <v>4182.47</v>
      </c>
      <c r="J49" t="inlineStr">
        <is>
          <t>BL-00731</t>
        </is>
      </c>
      <c r="K49" s="9">
        <f>IF(J49="after 30 Sep",0,INDEX('Bank Lines'!$E$5:$E$1640,MATCH(J49,'Bank Lines'!$A$5:$A$1640,0)))</f>
        <v>4182.47</v>
      </c>
      <c r="L49" s="9">
        <f>IF(J49="after 30 Sep",0,ROUND(K49-I49,2))</f>
        <v>0</v>
      </c>
      <c r="M49" t="str">
        <f>IF(J49="after 30 Sep","",INDEX('Bank Lines'!$G$5:$G$1640,MATCH(J49,'Bank Lines'!$A$5:$A$1640,0)))</f>
        <v>G00058</v>
      </c>
    </row>
    <row r="50">
      <c r="A50" t="inlineStr">
        <is>
          <t>po_1Q0046KX</t>
        </is>
      </c>
      <c r="B50" s="5" t="n">
        <v>46267</v>
      </c>
      <c r="C50">
        <f>COUNTIFS('Stripe Report'!$A$5:$A$1934,A50,'Stripe Report'!$D$5:$D$1934,"charge")</f>
        <v>33</v>
      </c>
      <c r="D50" s="9">
        <f>SUMIFS('Stripe Report'!$F$5:$F$1934,'Stripe Report'!$A$5:$A$1934,A50,'Stripe Report'!$D$5:$D$1934,"charge")</f>
        <v>3985</v>
      </c>
      <c r="E50" s="9">
        <f>SUMIFS('Stripe Report'!$F$5:$F$1934,'Stripe Report'!$A$5:$A$1934,A50,'Stripe Report'!$D$5:$D$1934,"refund")</f>
        <v>0</v>
      </c>
      <c r="F50" s="9">
        <f>SUMIFS('Stripe Report'!$F$5:$F$1934,'Stripe Report'!$A$5:$A$1934,A50,'Stripe Report'!$D$5:$D$1934,"dispute")</f>
        <v>0</v>
      </c>
      <c r="G50" s="9">
        <f>ROUND(SUMIFS('Stripe Report'!$G$5:$G$1934,'Stripe Report'!$A$5:$A$1934,A50),2)</f>
        <v>79.66</v>
      </c>
      <c r="H50" s="9">
        <f>ROUND(G50/11,2)</f>
        <v>7.24</v>
      </c>
      <c r="I50" s="9">
        <f>ROUND(SUMIFS('Stripe Report'!$H$5:$H$1934,'Stripe Report'!$A$5:$A$1934,A50),2)</f>
        <v>3905.34</v>
      </c>
      <c r="J50" t="inlineStr">
        <is>
          <t>BL-00732</t>
        </is>
      </c>
      <c r="K50" s="9">
        <f>IF(J50="after 30 Sep",0,INDEX('Bank Lines'!$E$5:$E$1640,MATCH(J50,'Bank Lines'!$A$5:$A$1640,0)))</f>
        <v>3905.34</v>
      </c>
      <c r="L50" s="9">
        <f>IF(J50="after 30 Sep",0,ROUND(K50-I50,2))</f>
        <v>0</v>
      </c>
      <c r="M50" t="str">
        <f>IF(J50="after 30 Sep","",INDEX('Bank Lines'!$G$5:$G$1640,MATCH(J50,'Bank Lines'!$A$5:$A$1640,0)))</f>
        <v>G00059</v>
      </c>
    </row>
    <row r="51">
      <c r="A51" t="inlineStr">
        <is>
          <t>po_1Q0047KX</t>
        </is>
      </c>
      <c r="B51" s="5" t="n">
        <v>46268</v>
      </c>
      <c r="C51">
        <f>COUNTIFS('Stripe Report'!$A$5:$A$1934,A51,'Stripe Report'!$D$5:$D$1934,"charge")</f>
        <v>20</v>
      </c>
      <c r="D51" s="9">
        <f>SUMIFS('Stripe Report'!$F$5:$F$1934,'Stripe Report'!$A$5:$A$1934,A51,'Stripe Report'!$D$5:$D$1934,"charge")</f>
        <v>2335</v>
      </c>
      <c r="E51" s="9">
        <f>SUMIFS('Stripe Report'!$F$5:$F$1934,'Stripe Report'!$A$5:$A$1934,A51,'Stripe Report'!$D$5:$D$1934,"refund")</f>
        <v>0</v>
      </c>
      <c r="F51" s="9">
        <f>SUMIFS('Stripe Report'!$F$5:$F$1934,'Stripe Report'!$A$5:$A$1934,A51,'Stripe Report'!$D$5:$D$1934,"dispute")</f>
        <v>0</v>
      </c>
      <c r="G51" s="9">
        <f>ROUND(SUMIFS('Stripe Report'!$G$5:$G$1934,'Stripe Report'!$A$5:$A$1934,A51),2)</f>
        <v>46.9</v>
      </c>
      <c r="H51" s="9">
        <f>ROUND(G51/11,2)</f>
        <v>4.26</v>
      </c>
      <c r="I51" s="9">
        <f>ROUND(SUMIFS('Stripe Report'!$H$5:$H$1934,'Stripe Report'!$A$5:$A$1934,A51),2)</f>
        <v>2288.1</v>
      </c>
      <c r="J51" t="inlineStr">
        <is>
          <t>BL-00733</t>
        </is>
      </c>
      <c r="K51" s="9">
        <f>IF(J51="after 30 Sep",0,INDEX('Bank Lines'!$E$5:$E$1640,MATCH(J51,'Bank Lines'!$A$5:$A$1640,0)))</f>
        <v>2288.1</v>
      </c>
      <c r="L51" s="9">
        <f>IF(J51="after 30 Sep",0,ROUND(K51-I51,2))</f>
        <v>0</v>
      </c>
      <c r="M51" t="str">
        <f>IF(J51="after 30 Sep","",INDEX('Bank Lines'!$G$5:$G$1640,MATCH(J51,'Bank Lines'!$A$5:$A$1640,0)))</f>
        <v>G00060</v>
      </c>
    </row>
    <row r="52">
      <c r="A52" t="inlineStr">
        <is>
          <t>po_1Q0048KX</t>
        </is>
      </c>
      <c r="B52" s="5" t="n">
        <v>46269</v>
      </c>
      <c r="C52">
        <f>COUNTIFS('Stripe Report'!$A$5:$A$1934,A52,'Stripe Report'!$D$5:$D$1934,"charge")</f>
        <v>28</v>
      </c>
      <c r="D52" s="9">
        <f>SUMIFS('Stripe Report'!$F$5:$F$1934,'Stripe Report'!$A$5:$A$1934,A52,'Stripe Report'!$D$5:$D$1934,"charge")</f>
        <v>3535</v>
      </c>
      <c r="E52" s="9">
        <f>SUMIFS('Stripe Report'!$F$5:$F$1934,'Stripe Report'!$A$5:$A$1934,A52,'Stripe Report'!$D$5:$D$1934,"refund")</f>
        <v>-110</v>
      </c>
      <c r="F52" s="9">
        <f>SUMIFS('Stripe Report'!$F$5:$F$1934,'Stripe Report'!$A$5:$A$1934,A52,'Stripe Report'!$D$5:$D$1934,"dispute")</f>
        <v>0</v>
      </c>
      <c r="G52" s="9">
        <f>ROUND(SUMIFS('Stripe Report'!$G$5:$G$1934,'Stripe Report'!$A$5:$A$1934,A52),2)</f>
        <v>70.29</v>
      </c>
      <c r="H52" s="9">
        <f>ROUND(G52/11,2)</f>
        <v>6.39</v>
      </c>
      <c r="I52" s="9">
        <f>ROUND(SUMIFS('Stripe Report'!$H$5:$H$1934,'Stripe Report'!$A$5:$A$1934,A52),2)</f>
        <v>3354.71</v>
      </c>
      <c r="J52" t="inlineStr">
        <is>
          <t>BL-00734</t>
        </is>
      </c>
      <c r="K52" s="9">
        <f>IF(J52="after 30 Sep",0,INDEX('Bank Lines'!$E$5:$E$1640,MATCH(J52,'Bank Lines'!$A$5:$A$1640,0)))</f>
        <v>3354.71</v>
      </c>
      <c r="L52" s="9">
        <f>IF(J52="after 30 Sep",0,ROUND(K52-I52,2))</f>
        <v>0</v>
      </c>
      <c r="M52" t="str">
        <f>IF(J52="after 30 Sep","",INDEX('Bank Lines'!$G$5:$G$1640,MATCH(J52,'Bank Lines'!$A$5:$A$1640,0)))</f>
        <v>G00061</v>
      </c>
    </row>
    <row r="53">
      <c r="A53" t="inlineStr">
        <is>
          <t>po_1Q0049KX</t>
        </is>
      </c>
      <c r="B53" s="5" t="n">
        <v>46272</v>
      </c>
      <c r="C53">
        <f>COUNTIFS('Stripe Report'!$A$5:$A$1934,A53,'Stripe Report'!$D$5:$D$1934,"charge")</f>
        <v>34</v>
      </c>
      <c r="D53" s="9">
        <f>SUMIFS('Stripe Report'!$F$5:$F$1934,'Stripe Report'!$A$5:$A$1934,A53,'Stripe Report'!$D$5:$D$1934,"charge")</f>
        <v>3830</v>
      </c>
      <c r="E53" s="9">
        <f>SUMIFS('Stripe Report'!$F$5:$F$1934,'Stripe Report'!$A$5:$A$1934,A53,'Stripe Report'!$D$5:$D$1934,"refund")</f>
        <v>0</v>
      </c>
      <c r="F53" s="9">
        <f>SUMIFS('Stripe Report'!$F$5:$F$1934,'Stripe Report'!$A$5:$A$1934,A53,'Stripe Report'!$D$5:$D$1934,"dispute")</f>
        <v>0</v>
      </c>
      <c r="G53" s="9">
        <f>ROUND(SUMIFS('Stripe Report'!$G$5:$G$1934,'Stripe Report'!$A$5:$A$1934,A53),2)</f>
        <v>77.28</v>
      </c>
      <c r="H53" s="9">
        <f>ROUND(G53/11,2)</f>
        <v>7.03</v>
      </c>
      <c r="I53" s="9">
        <f>ROUND(SUMIFS('Stripe Report'!$H$5:$H$1934,'Stripe Report'!$A$5:$A$1934,A53),2)</f>
        <v>3752.72</v>
      </c>
      <c r="J53" t="inlineStr">
        <is>
          <t>BL-00735</t>
        </is>
      </c>
      <c r="K53" s="9">
        <f>IF(J53="after 30 Sep",0,INDEX('Bank Lines'!$E$5:$E$1640,MATCH(J53,'Bank Lines'!$A$5:$A$1640,0)))</f>
        <v>3752.72</v>
      </c>
      <c r="L53" s="9">
        <f>IF(J53="after 30 Sep",0,ROUND(K53-I53,2))</f>
        <v>0</v>
      </c>
      <c r="M53" t="str">
        <f>IF(J53="after 30 Sep","",INDEX('Bank Lines'!$G$5:$G$1640,MATCH(J53,'Bank Lines'!$A$5:$A$1640,0)))</f>
        <v>G00062</v>
      </c>
    </row>
    <row r="54">
      <c r="A54" t="inlineStr">
        <is>
          <t>po_1Q0050KX</t>
        </is>
      </c>
      <c r="B54" s="5" t="n">
        <v>46273</v>
      </c>
      <c r="C54">
        <f>COUNTIFS('Stripe Report'!$A$5:$A$1934,A54,'Stripe Report'!$D$5:$D$1934,"charge")</f>
        <v>24</v>
      </c>
      <c r="D54" s="9">
        <f>SUMIFS('Stripe Report'!$F$5:$F$1934,'Stripe Report'!$A$5:$A$1934,A54,'Stripe Report'!$D$5:$D$1934,"charge")</f>
        <v>3030</v>
      </c>
      <c r="E54" s="9">
        <f>SUMIFS('Stripe Report'!$F$5:$F$1934,'Stripe Report'!$A$5:$A$1934,A54,'Stripe Report'!$D$5:$D$1934,"refund")</f>
        <v>0</v>
      </c>
      <c r="F54" s="9">
        <f>SUMIFS('Stripe Report'!$F$5:$F$1934,'Stripe Report'!$A$5:$A$1934,A54,'Stripe Report'!$D$5:$D$1934,"dispute")</f>
        <v>0</v>
      </c>
      <c r="G54" s="9">
        <f>ROUND(SUMIFS('Stripe Report'!$G$5:$G$1934,'Stripe Report'!$A$5:$A$1934,A54),2)</f>
        <v>60.22</v>
      </c>
      <c r="H54" s="9">
        <f>ROUND(G54/11,2)</f>
        <v>5.47</v>
      </c>
      <c r="I54" s="9">
        <f>ROUND(SUMIFS('Stripe Report'!$H$5:$H$1934,'Stripe Report'!$A$5:$A$1934,A54),2)</f>
        <v>2969.78</v>
      </c>
      <c r="J54" t="inlineStr">
        <is>
          <t>BL-00736</t>
        </is>
      </c>
      <c r="K54" s="9">
        <f>IF(J54="after 30 Sep",0,INDEX('Bank Lines'!$E$5:$E$1640,MATCH(J54,'Bank Lines'!$A$5:$A$1640,0)))</f>
        <v>2969.78</v>
      </c>
      <c r="L54" s="9">
        <f>IF(J54="after 30 Sep",0,ROUND(K54-I54,2))</f>
        <v>0</v>
      </c>
      <c r="M54" t="str">
        <f>IF(J54="after 30 Sep","",INDEX('Bank Lines'!$G$5:$G$1640,MATCH(J54,'Bank Lines'!$A$5:$A$1640,0)))</f>
        <v>G00063</v>
      </c>
    </row>
    <row r="55">
      <c r="A55" t="inlineStr">
        <is>
          <t>po_1Q0051KX</t>
        </is>
      </c>
      <c r="B55" s="5" t="n">
        <v>46274</v>
      </c>
      <c r="C55">
        <f>COUNTIFS('Stripe Report'!$A$5:$A$1934,A55,'Stripe Report'!$D$5:$D$1934,"charge")</f>
        <v>22</v>
      </c>
      <c r="D55" s="9">
        <f>SUMIFS('Stripe Report'!$F$5:$F$1934,'Stripe Report'!$A$5:$A$1934,A55,'Stripe Report'!$D$5:$D$1934,"charge")</f>
        <v>3220</v>
      </c>
      <c r="E55" s="9">
        <f>SUMIFS('Stripe Report'!$F$5:$F$1934,'Stripe Report'!$A$5:$A$1934,A55,'Stripe Report'!$D$5:$D$1934,"refund")</f>
        <v>-120</v>
      </c>
      <c r="F55" s="9">
        <f>SUMIFS('Stripe Report'!$F$5:$F$1934,'Stripe Report'!$A$5:$A$1934,A55,'Stripe Report'!$D$5:$D$1934,"dispute")</f>
        <v>0</v>
      </c>
      <c r="G55" s="9">
        <f>ROUND(SUMIFS('Stripe Report'!$G$5:$G$1934,'Stripe Report'!$A$5:$A$1934,A55),2)</f>
        <v>62.99</v>
      </c>
      <c r="H55" s="9">
        <f>ROUND(G55/11,2)</f>
        <v>5.73</v>
      </c>
      <c r="I55" s="9">
        <f>ROUND(SUMIFS('Stripe Report'!$H$5:$H$1934,'Stripe Report'!$A$5:$A$1934,A55),2)</f>
        <v>3037.01</v>
      </c>
      <c r="J55" t="inlineStr">
        <is>
          <t>BL-00737</t>
        </is>
      </c>
      <c r="K55" s="9">
        <f>IF(J55="after 30 Sep",0,INDEX('Bank Lines'!$E$5:$E$1640,MATCH(J55,'Bank Lines'!$A$5:$A$1640,0)))</f>
        <v>3037.01</v>
      </c>
      <c r="L55" s="9">
        <f>IF(J55="after 30 Sep",0,ROUND(K55-I55,2))</f>
        <v>0</v>
      </c>
      <c r="M55" t="str">
        <f>IF(J55="after 30 Sep","",INDEX('Bank Lines'!$G$5:$G$1640,MATCH(J55,'Bank Lines'!$A$5:$A$1640,0)))</f>
        <v>G00064</v>
      </c>
    </row>
    <row r="56">
      <c r="A56" t="inlineStr">
        <is>
          <t>po_1Q0052KX</t>
        </is>
      </c>
      <c r="B56" s="5" t="n">
        <v>46275</v>
      </c>
      <c r="C56">
        <f>COUNTIFS('Stripe Report'!$A$5:$A$1934,A56,'Stripe Report'!$D$5:$D$1934,"charge")</f>
        <v>20</v>
      </c>
      <c r="D56" s="9">
        <f>SUMIFS('Stripe Report'!$F$5:$F$1934,'Stripe Report'!$A$5:$A$1934,A56,'Stripe Report'!$D$5:$D$1934,"charge")</f>
        <v>2320</v>
      </c>
      <c r="E56" s="9">
        <f>SUMIFS('Stripe Report'!$F$5:$F$1934,'Stripe Report'!$A$5:$A$1934,A56,'Stripe Report'!$D$5:$D$1934,"refund")</f>
        <v>0</v>
      </c>
      <c r="F56" s="9">
        <f>SUMIFS('Stripe Report'!$F$5:$F$1934,'Stripe Report'!$A$5:$A$1934,A56,'Stripe Report'!$D$5:$D$1934,"dispute")</f>
        <v>0</v>
      </c>
      <c r="G56" s="9">
        <f>ROUND(SUMIFS('Stripe Report'!$G$5:$G$1934,'Stripe Report'!$A$5:$A$1934,A56),2)</f>
        <v>46.63</v>
      </c>
      <c r="H56" s="9">
        <f>ROUND(G56/11,2)</f>
        <v>4.24</v>
      </c>
      <c r="I56" s="9">
        <f>ROUND(SUMIFS('Stripe Report'!$H$5:$H$1934,'Stripe Report'!$A$5:$A$1934,A56),2)</f>
        <v>2273.37</v>
      </c>
      <c r="J56" t="inlineStr">
        <is>
          <t>BL-00738</t>
        </is>
      </c>
      <c r="K56" s="9">
        <f>IF(J56="after 30 Sep",0,INDEX('Bank Lines'!$E$5:$E$1640,MATCH(J56,'Bank Lines'!$A$5:$A$1640,0)))</f>
        <v>2273.37</v>
      </c>
      <c r="L56" s="9">
        <f>IF(J56="after 30 Sep",0,ROUND(K56-I56,2))</f>
        <v>0</v>
      </c>
      <c r="M56" t="str">
        <f>IF(J56="after 30 Sep","",INDEX('Bank Lines'!$G$5:$G$1640,MATCH(J56,'Bank Lines'!$A$5:$A$1640,0)))</f>
        <v>G00065</v>
      </c>
    </row>
    <row r="57">
      <c r="A57" t="inlineStr">
        <is>
          <t>po_1Q0053KX</t>
        </is>
      </c>
      <c r="B57" s="5" t="n">
        <v>46276</v>
      </c>
      <c r="C57">
        <f>COUNTIFS('Stripe Report'!$A$5:$A$1934,A57,'Stripe Report'!$D$5:$D$1934,"charge")</f>
        <v>29</v>
      </c>
      <c r="D57" s="9">
        <f>SUMIFS('Stripe Report'!$F$5:$F$1934,'Stripe Report'!$A$5:$A$1934,A57,'Stripe Report'!$D$5:$D$1934,"charge")</f>
        <v>3435</v>
      </c>
      <c r="E57" s="9">
        <f>SUMIFS('Stripe Report'!$F$5:$F$1934,'Stripe Report'!$A$5:$A$1934,A57,'Stripe Report'!$D$5:$D$1934,"refund")</f>
        <v>0</v>
      </c>
      <c r="F57" s="9">
        <f>SUMIFS('Stripe Report'!$F$5:$F$1934,'Stripe Report'!$A$5:$A$1934,A57,'Stripe Report'!$D$5:$D$1934,"dispute")</f>
        <v>0</v>
      </c>
      <c r="G57" s="9">
        <f>ROUND(SUMIFS('Stripe Report'!$G$5:$G$1934,'Stripe Report'!$A$5:$A$1934,A57),2)</f>
        <v>68.85</v>
      </c>
      <c r="H57" s="9">
        <f>ROUND(G57/11,2)</f>
        <v>6.26</v>
      </c>
      <c r="I57" s="9">
        <f>ROUND(SUMIFS('Stripe Report'!$H$5:$H$1934,'Stripe Report'!$A$5:$A$1934,A57),2)</f>
        <v>3366.15</v>
      </c>
      <c r="J57" t="inlineStr">
        <is>
          <t>BL-00739</t>
        </is>
      </c>
      <c r="K57" s="9">
        <f>IF(J57="after 30 Sep",0,INDEX('Bank Lines'!$E$5:$E$1640,MATCH(J57,'Bank Lines'!$A$5:$A$1640,0)))</f>
        <v>3366.15</v>
      </c>
      <c r="L57" s="9">
        <f>IF(J57="after 30 Sep",0,ROUND(K57-I57,2))</f>
        <v>0</v>
      </c>
      <c r="M57" t="str">
        <f>IF(J57="after 30 Sep","",INDEX('Bank Lines'!$G$5:$G$1640,MATCH(J57,'Bank Lines'!$A$5:$A$1640,0)))</f>
        <v>G00066</v>
      </c>
    </row>
    <row r="58">
      <c r="A58" t="inlineStr">
        <is>
          <t>po_1Q0054KX</t>
        </is>
      </c>
      <c r="B58" s="5" t="n">
        <v>46279</v>
      </c>
      <c r="C58">
        <f>COUNTIFS('Stripe Report'!$A$5:$A$1934,A58,'Stripe Report'!$D$5:$D$1934,"charge")</f>
        <v>24</v>
      </c>
      <c r="D58" s="9">
        <f>SUMIFS('Stripe Report'!$F$5:$F$1934,'Stripe Report'!$A$5:$A$1934,A58,'Stripe Report'!$D$5:$D$1934,"charge")</f>
        <v>3370</v>
      </c>
      <c r="E58" s="9">
        <f>SUMIFS('Stripe Report'!$F$5:$F$1934,'Stripe Report'!$A$5:$A$1934,A58,'Stripe Report'!$D$5:$D$1934,"refund")</f>
        <v>0</v>
      </c>
      <c r="F58" s="9">
        <f>SUMIFS('Stripe Report'!$F$5:$F$1934,'Stripe Report'!$A$5:$A$1934,A58,'Stripe Report'!$D$5:$D$1934,"dispute")</f>
        <v>0</v>
      </c>
      <c r="G58" s="9">
        <f>ROUND(SUMIFS('Stripe Report'!$G$5:$G$1934,'Stripe Report'!$A$5:$A$1934,A58),2)</f>
        <v>66.18</v>
      </c>
      <c r="H58" s="9">
        <f>ROUND(G58/11,2)</f>
        <v>6.02</v>
      </c>
      <c r="I58" s="9">
        <f>ROUND(SUMIFS('Stripe Report'!$H$5:$H$1934,'Stripe Report'!$A$5:$A$1934,A58),2)</f>
        <v>3303.82</v>
      </c>
      <c r="J58" t="inlineStr">
        <is>
          <t>BL-00740</t>
        </is>
      </c>
      <c r="K58" s="9">
        <f>IF(J58="after 30 Sep",0,INDEX('Bank Lines'!$E$5:$E$1640,MATCH(J58,'Bank Lines'!$A$5:$A$1640,0)))</f>
        <v>3303.82</v>
      </c>
      <c r="L58" s="9">
        <f>IF(J58="after 30 Sep",0,ROUND(K58-I58,2))</f>
        <v>0</v>
      </c>
      <c r="M58" t="str">
        <f>IF(J58="after 30 Sep","",INDEX('Bank Lines'!$G$5:$G$1640,MATCH(J58,'Bank Lines'!$A$5:$A$1640,0)))</f>
        <v>G00067</v>
      </c>
    </row>
    <row r="59">
      <c r="A59" t="inlineStr">
        <is>
          <t>po_1Q0055KX</t>
        </is>
      </c>
      <c r="B59" s="5" t="n">
        <v>46280</v>
      </c>
      <c r="C59">
        <f>COUNTIFS('Stripe Report'!$A$5:$A$1934,A59,'Stripe Report'!$D$5:$D$1934,"charge")</f>
        <v>38</v>
      </c>
      <c r="D59" s="9">
        <f>SUMIFS('Stripe Report'!$F$5:$F$1934,'Stripe Report'!$A$5:$A$1934,A59,'Stripe Report'!$D$5:$D$1934,"charge")</f>
        <v>4770</v>
      </c>
      <c r="E59" s="9">
        <f>SUMIFS('Stripe Report'!$F$5:$F$1934,'Stripe Report'!$A$5:$A$1934,A59,'Stripe Report'!$D$5:$D$1934,"refund")</f>
        <v>0</v>
      </c>
      <c r="F59" s="9">
        <f>SUMIFS('Stripe Report'!$F$5:$F$1934,'Stripe Report'!$A$5:$A$1934,A59,'Stripe Report'!$D$5:$D$1934,"dispute")</f>
        <v>0</v>
      </c>
      <c r="G59" s="9">
        <f>ROUND(SUMIFS('Stripe Report'!$G$5:$G$1934,'Stripe Report'!$A$5:$A$1934,A59),2)</f>
        <v>94.91</v>
      </c>
      <c r="H59" s="9">
        <f>ROUND(G59/11,2)</f>
        <v>8.63</v>
      </c>
      <c r="I59" s="9">
        <f>ROUND(SUMIFS('Stripe Report'!$H$5:$H$1934,'Stripe Report'!$A$5:$A$1934,A59),2)</f>
        <v>4675.09</v>
      </c>
      <c r="J59" t="inlineStr">
        <is>
          <t>BL-00741</t>
        </is>
      </c>
      <c r="K59" s="9">
        <f>IF(J59="after 30 Sep",0,INDEX('Bank Lines'!$E$5:$E$1640,MATCH(J59,'Bank Lines'!$A$5:$A$1640,0)))</f>
        <v>4675.09</v>
      </c>
      <c r="L59" s="9">
        <f>IF(J59="after 30 Sep",0,ROUND(K59-I59,2))</f>
        <v>0</v>
      </c>
      <c r="M59" t="str">
        <f>IF(J59="after 30 Sep","",INDEX('Bank Lines'!$G$5:$G$1640,MATCH(J59,'Bank Lines'!$A$5:$A$1640,0)))</f>
        <v>G00068</v>
      </c>
    </row>
    <row r="60">
      <c r="A60" t="inlineStr">
        <is>
          <t>po_1Q0056KX</t>
        </is>
      </c>
      <c r="B60" s="5" t="n">
        <v>46281</v>
      </c>
      <c r="C60">
        <f>COUNTIFS('Stripe Report'!$A$5:$A$1934,A60,'Stripe Report'!$D$5:$D$1934,"charge")</f>
        <v>20</v>
      </c>
      <c r="D60" s="9">
        <f>SUMIFS('Stripe Report'!$F$5:$F$1934,'Stripe Report'!$A$5:$A$1934,A60,'Stripe Report'!$D$5:$D$1934,"charge")</f>
        <v>2260</v>
      </c>
      <c r="E60" s="9">
        <f>SUMIFS('Stripe Report'!$F$5:$F$1934,'Stripe Report'!$A$5:$A$1934,A60,'Stripe Report'!$D$5:$D$1934,"refund")</f>
        <v>0</v>
      </c>
      <c r="F60" s="9">
        <f>SUMIFS('Stripe Report'!$F$5:$F$1934,'Stripe Report'!$A$5:$A$1934,A60,'Stripe Report'!$D$5:$D$1934,"dispute")</f>
        <v>0</v>
      </c>
      <c r="G60" s="9">
        <f>ROUND(SUMIFS('Stripe Report'!$G$5:$G$1934,'Stripe Report'!$A$5:$A$1934,A60),2)</f>
        <v>45.6</v>
      </c>
      <c r="H60" s="9">
        <f>ROUND(G60/11,2)</f>
        <v>4.15</v>
      </c>
      <c r="I60" s="9">
        <f>ROUND(SUMIFS('Stripe Report'!$H$5:$H$1934,'Stripe Report'!$A$5:$A$1934,A60),2)</f>
        <v>2214.4</v>
      </c>
      <c r="J60" t="inlineStr">
        <is>
          <t>BL-00742</t>
        </is>
      </c>
      <c r="K60" s="9">
        <f>IF(J60="after 30 Sep",0,INDEX('Bank Lines'!$E$5:$E$1640,MATCH(J60,'Bank Lines'!$A$5:$A$1640,0)))</f>
        <v>2214.4</v>
      </c>
      <c r="L60" s="9">
        <f>IF(J60="after 30 Sep",0,ROUND(K60-I60,2))</f>
        <v>0</v>
      </c>
      <c r="M60" t="str">
        <f>IF(J60="after 30 Sep","",INDEX('Bank Lines'!$G$5:$G$1640,MATCH(J60,'Bank Lines'!$A$5:$A$1640,0)))</f>
        <v>G00069</v>
      </c>
    </row>
    <row r="61">
      <c r="A61" t="inlineStr">
        <is>
          <t>po_1Q0057KX</t>
        </is>
      </c>
      <c r="B61" s="5" t="n">
        <v>46282</v>
      </c>
      <c r="C61">
        <f>COUNTIFS('Stripe Report'!$A$5:$A$1934,A61,'Stripe Report'!$D$5:$D$1934,"charge")</f>
        <v>28</v>
      </c>
      <c r="D61" s="9">
        <f>SUMIFS('Stripe Report'!$F$5:$F$1934,'Stripe Report'!$A$5:$A$1934,A61,'Stripe Report'!$D$5:$D$1934,"charge")</f>
        <v>3610</v>
      </c>
      <c r="E61" s="9">
        <f>SUMIFS('Stripe Report'!$F$5:$F$1934,'Stripe Report'!$A$5:$A$1934,A61,'Stripe Report'!$D$5:$D$1934,"refund")</f>
        <v>0</v>
      </c>
      <c r="F61" s="9">
        <f>SUMIFS('Stripe Report'!$F$5:$F$1934,'Stripe Report'!$A$5:$A$1934,A61,'Stripe Report'!$D$5:$D$1934,"dispute")</f>
        <v>0</v>
      </c>
      <c r="G61" s="9">
        <f>ROUND(SUMIFS('Stripe Report'!$G$5:$G$1934,'Stripe Report'!$A$5:$A$1934,A61),2)</f>
        <v>71.6</v>
      </c>
      <c r="H61" s="9">
        <f>ROUND(G61/11,2)</f>
        <v>6.51</v>
      </c>
      <c r="I61" s="9">
        <f>ROUND(SUMIFS('Stripe Report'!$H$5:$H$1934,'Stripe Report'!$A$5:$A$1934,A61),2)</f>
        <v>3538.4</v>
      </c>
      <c r="J61" t="inlineStr">
        <is>
          <t>BL-00743</t>
        </is>
      </c>
      <c r="K61" s="9">
        <f>IF(J61="after 30 Sep",0,INDEX('Bank Lines'!$E$5:$E$1640,MATCH(J61,'Bank Lines'!$A$5:$A$1640,0)))</f>
        <v>3538.4</v>
      </c>
      <c r="L61" s="9">
        <f>IF(J61="after 30 Sep",0,ROUND(K61-I61,2))</f>
        <v>0</v>
      </c>
      <c r="M61" t="str">
        <f>IF(J61="after 30 Sep","",INDEX('Bank Lines'!$G$5:$G$1640,MATCH(J61,'Bank Lines'!$A$5:$A$1640,0)))</f>
        <v>G00070</v>
      </c>
    </row>
    <row r="62">
      <c r="A62" t="inlineStr">
        <is>
          <t>po_1Q0058KX</t>
        </is>
      </c>
      <c r="B62" s="5" t="n">
        <v>46283</v>
      </c>
      <c r="C62">
        <f>COUNTIFS('Stripe Report'!$A$5:$A$1934,A62,'Stripe Report'!$D$5:$D$1934,"charge")</f>
        <v>19</v>
      </c>
      <c r="D62" s="9">
        <f>SUMIFS('Stripe Report'!$F$5:$F$1934,'Stripe Report'!$A$5:$A$1934,A62,'Stripe Report'!$D$5:$D$1934,"charge")</f>
        <v>2400</v>
      </c>
      <c r="E62" s="9">
        <f>SUMIFS('Stripe Report'!$F$5:$F$1934,'Stripe Report'!$A$5:$A$1934,A62,'Stripe Report'!$D$5:$D$1934,"refund")</f>
        <v>0</v>
      </c>
      <c r="F62" s="9">
        <f>SUMIFS('Stripe Report'!$F$5:$F$1934,'Stripe Report'!$A$5:$A$1934,A62,'Stripe Report'!$D$5:$D$1934,"dispute")</f>
        <v>0</v>
      </c>
      <c r="G62" s="9">
        <f>ROUND(SUMIFS('Stripe Report'!$G$5:$G$1934,'Stripe Report'!$A$5:$A$1934,A62),2)</f>
        <v>47.73</v>
      </c>
      <c r="H62" s="9">
        <f>ROUND(G62/11,2)</f>
        <v>4.34</v>
      </c>
      <c r="I62" s="9">
        <f>ROUND(SUMIFS('Stripe Report'!$H$5:$H$1934,'Stripe Report'!$A$5:$A$1934,A62),2)</f>
        <v>2352.27</v>
      </c>
      <c r="J62" t="inlineStr">
        <is>
          <t>BL-00744</t>
        </is>
      </c>
      <c r="K62" s="9">
        <f>IF(J62="after 30 Sep",0,INDEX('Bank Lines'!$E$5:$E$1640,MATCH(J62,'Bank Lines'!$A$5:$A$1640,0)))</f>
        <v>2352.27</v>
      </c>
      <c r="L62" s="9">
        <f>IF(J62="after 30 Sep",0,ROUND(K62-I62,2))</f>
        <v>0</v>
      </c>
      <c r="M62" t="str">
        <f>IF(J62="after 30 Sep","",INDEX('Bank Lines'!$G$5:$G$1640,MATCH(J62,'Bank Lines'!$A$5:$A$1640,0)))</f>
        <v>G00071</v>
      </c>
    </row>
    <row r="63">
      <c r="A63" t="inlineStr">
        <is>
          <t>po_1Q0059KX</t>
        </is>
      </c>
      <c r="B63" s="5" t="n">
        <v>46286</v>
      </c>
      <c r="C63">
        <f>COUNTIFS('Stripe Report'!$A$5:$A$1934,A63,'Stripe Report'!$D$5:$D$1934,"charge")</f>
        <v>22</v>
      </c>
      <c r="D63" s="9">
        <f>SUMIFS('Stripe Report'!$F$5:$F$1934,'Stripe Report'!$A$5:$A$1934,A63,'Stripe Report'!$D$5:$D$1934,"charge")</f>
        <v>3115</v>
      </c>
      <c r="E63" s="9">
        <f>SUMIFS('Stripe Report'!$F$5:$F$1934,'Stripe Report'!$A$5:$A$1934,A63,'Stripe Report'!$D$5:$D$1934,"refund")</f>
        <v>0</v>
      </c>
      <c r="F63" s="9">
        <f>SUMIFS('Stripe Report'!$F$5:$F$1934,'Stripe Report'!$A$5:$A$1934,A63,'Stripe Report'!$D$5:$D$1934,"dispute")</f>
        <v>0</v>
      </c>
      <c r="G63" s="9">
        <f>ROUND(SUMIFS('Stripe Report'!$G$5:$G$1934,'Stripe Report'!$A$5:$A$1934,A63),2)</f>
        <v>61.13</v>
      </c>
      <c r="H63" s="9">
        <f>ROUND(G63/11,2)</f>
        <v>5.56</v>
      </c>
      <c r="I63" s="9">
        <f>ROUND(SUMIFS('Stripe Report'!$H$5:$H$1934,'Stripe Report'!$A$5:$A$1934,A63),2)</f>
        <v>3053.87</v>
      </c>
      <c r="J63" t="inlineStr">
        <is>
          <t>BL-00745</t>
        </is>
      </c>
      <c r="K63" s="9">
        <f>IF(J63="after 30 Sep",0,INDEX('Bank Lines'!$E$5:$E$1640,MATCH(J63,'Bank Lines'!$A$5:$A$1640,0)))</f>
        <v>3053.87</v>
      </c>
      <c r="L63" s="9">
        <f>IF(J63="after 30 Sep",0,ROUND(K63-I63,2))</f>
        <v>0</v>
      </c>
      <c r="M63" t="str">
        <f>IF(J63="after 30 Sep","",INDEX('Bank Lines'!$G$5:$G$1640,MATCH(J63,'Bank Lines'!$A$5:$A$1640,0)))</f>
        <v>G00072</v>
      </c>
    </row>
    <row r="64">
      <c r="A64" t="inlineStr">
        <is>
          <t>po_1Q0060KX</t>
        </is>
      </c>
      <c r="B64" s="5" t="n">
        <v>46287</v>
      </c>
      <c r="C64">
        <f>COUNTIFS('Stripe Report'!$A$5:$A$1934,A64,'Stripe Report'!$D$5:$D$1934,"charge")</f>
        <v>39</v>
      </c>
      <c r="D64" s="9">
        <f>SUMIFS('Stripe Report'!$F$5:$F$1934,'Stripe Report'!$A$5:$A$1934,A64,'Stripe Report'!$D$5:$D$1934,"charge")</f>
        <v>4960</v>
      </c>
      <c r="E64" s="9">
        <f>SUMIFS('Stripe Report'!$F$5:$F$1934,'Stripe Report'!$A$5:$A$1934,A64,'Stripe Report'!$D$5:$D$1934,"refund")</f>
        <v>0</v>
      </c>
      <c r="F64" s="9">
        <f>SUMIFS('Stripe Report'!$F$5:$F$1934,'Stripe Report'!$A$5:$A$1934,A64,'Stripe Report'!$D$5:$D$1934,"dispute")</f>
        <v>0</v>
      </c>
      <c r="G64" s="9">
        <f>ROUND(SUMIFS('Stripe Report'!$G$5:$G$1934,'Stripe Report'!$A$5:$A$1934,A64),2)</f>
        <v>98.55</v>
      </c>
      <c r="H64" s="9">
        <f>ROUND(G64/11,2)</f>
        <v>8.96</v>
      </c>
      <c r="I64" s="9">
        <f>ROUND(SUMIFS('Stripe Report'!$H$5:$H$1934,'Stripe Report'!$A$5:$A$1934,A64),2)</f>
        <v>4861.45</v>
      </c>
      <c r="J64" t="inlineStr">
        <is>
          <t>BL-00746</t>
        </is>
      </c>
      <c r="K64" s="9">
        <f>IF(J64="after 30 Sep",0,INDEX('Bank Lines'!$E$5:$E$1640,MATCH(J64,'Bank Lines'!$A$5:$A$1640,0)))</f>
        <v>4861.45</v>
      </c>
      <c r="L64" s="9">
        <f>IF(J64="after 30 Sep",0,ROUND(K64-I64,2))</f>
        <v>0</v>
      </c>
      <c r="M64" t="str">
        <f>IF(J64="after 30 Sep","",INDEX('Bank Lines'!$G$5:$G$1640,MATCH(J64,'Bank Lines'!$A$5:$A$1640,0)))</f>
        <v>G00073</v>
      </c>
    </row>
    <row r="65">
      <c r="A65" t="inlineStr">
        <is>
          <t>po_1Q0061KX</t>
        </is>
      </c>
      <c r="B65" s="5" t="n">
        <v>46288</v>
      </c>
      <c r="C65">
        <f>COUNTIFS('Stripe Report'!$A$5:$A$1934,A65,'Stripe Report'!$D$5:$D$1934,"charge")</f>
        <v>34</v>
      </c>
      <c r="D65" s="9">
        <f>SUMIFS('Stripe Report'!$F$5:$F$1934,'Stripe Report'!$A$5:$A$1934,A65,'Stripe Report'!$D$5:$D$1934,"charge")</f>
        <v>4340</v>
      </c>
      <c r="E65" s="9">
        <f>SUMIFS('Stripe Report'!$F$5:$F$1934,'Stripe Report'!$A$5:$A$1934,A65,'Stripe Report'!$D$5:$D$1934,"refund")</f>
        <v>0</v>
      </c>
      <c r="F65" s="9">
        <f>SUMIFS('Stripe Report'!$F$5:$F$1934,'Stripe Report'!$A$5:$A$1934,A65,'Stripe Report'!$D$5:$D$1934,"dispute")</f>
        <v>0</v>
      </c>
      <c r="G65" s="9">
        <f>ROUND(SUMIFS('Stripe Report'!$G$5:$G$1934,'Stripe Report'!$A$5:$A$1934,A65),2)</f>
        <v>86.19</v>
      </c>
      <c r="H65" s="9">
        <f>ROUND(G65/11,2)</f>
        <v>7.84</v>
      </c>
      <c r="I65" s="9">
        <f>ROUND(SUMIFS('Stripe Report'!$H$5:$H$1934,'Stripe Report'!$A$5:$A$1934,A65),2)</f>
        <v>4253.81</v>
      </c>
      <c r="J65" t="inlineStr">
        <is>
          <t>BL-00747</t>
        </is>
      </c>
      <c r="K65" s="9">
        <f>IF(J65="after 30 Sep",0,INDEX('Bank Lines'!$E$5:$E$1640,MATCH(J65,'Bank Lines'!$A$5:$A$1640,0)))</f>
        <v>4253.81</v>
      </c>
      <c r="L65" s="9">
        <f>IF(J65="after 30 Sep",0,ROUND(K65-I65,2))</f>
        <v>0</v>
      </c>
      <c r="M65" t="str">
        <f>IF(J65="after 30 Sep","",INDEX('Bank Lines'!$G$5:$G$1640,MATCH(J65,'Bank Lines'!$A$5:$A$1640,0)))</f>
        <v>G00074</v>
      </c>
    </row>
    <row r="66">
      <c r="A66" t="inlineStr">
        <is>
          <t>po_1Q0062KX</t>
        </is>
      </c>
      <c r="B66" s="5" t="n">
        <v>46289</v>
      </c>
      <c r="C66">
        <f>COUNTIFS('Stripe Report'!$A$5:$A$1934,A66,'Stripe Report'!$D$5:$D$1934,"charge")</f>
        <v>18</v>
      </c>
      <c r="D66" s="9">
        <f>SUMIFS('Stripe Report'!$F$5:$F$1934,'Stripe Report'!$A$5:$A$1934,A66,'Stripe Report'!$D$5:$D$1934,"charge")</f>
        <v>2525</v>
      </c>
      <c r="E66" s="9">
        <f>SUMIFS('Stripe Report'!$F$5:$F$1934,'Stripe Report'!$A$5:$A$1934,A66,'Stripe Report'!$D$5:$D$1934,"refund")</f>
        <v>0</v>
      </c>
      <c r="F66" s="9">
        <f>SUMIFS('Stripe Report'!$F$5:$F$1934,'Stripe Report'!$A$5:$A$1934,A66,'Stripe Report'!$D$5:$D$1934,"dispute")</f>
        <v>0</v>
      </c>
      <c r="G66" s="9">
        <f>ROUND(SUMIFS('Stripe Report'!$G$5:$G$1934,'Stripe Report'!$A$5:$A$1934,A66),2)</f>
        <v>49.59</v>
      </c>
      <c r="H66" s="9">
        <f>ROUND(G66/11,2)</f>
        <v>4.51</v>
      </c>
      <c r="I66" s="9">
        <f>ROUND(SUMIFS('Stripe Report'!$H$5:$H$1934,'Stripe Report'!$A$5:$A$1934,A66),2)</f>
        <v>2475.41</v>
      </c>
      <c r="J66" t="inlineStr">
        <is>
          <t>BL-00748</t>
        </is>
      </c>
      <c r="K66" s="9">
        <f>IF(J66="after 30 Sep",0,INDEX('Bank Lines'!$E$5:$E$1640,MATCH(J66,'Bank Lines'!$A$5:$A$1640,0)))</f>
        <v>2475.41</v>
      </c>
      <c r="L66" s="9">
        <f>IF(J66="after 30 Sep",0,ROUND(K66-I66,2))</f>
        <v>0</v>
      </c>
      <c r="M66" t="str">
        <f>IF(J66="after 30 Sep","",INDEX('Bank Lines'!$G$5:$G$1640,MATCH(J66,'Bank Lines'!$A$5:$A$1640,0)))</f>
        <v>G00075</v>
      </c>
    </row>
    <row r="67">
      <c r="A67" t="inlineStr">
        <is>
          <t>po_1Q0063KX</t>
        </is>
      </c>
      <c r="B67" s="5" t="n">
        <v>46290</v>
      </c>
      <c r="C67">
        <f>COUNTIFS('Stripe Report'!$A$5:$A$1934,A67,'Stripe Report'!$D$5:$D$1934,"charge")</f>
        <v>27</v>
      </c>
      <c r="D67" s="9">
        <f>SUMIFS('Stripe Report'!$F$5:$F$1934,'Stripe Report'!$A$5:$A$1934,A67,'Stripe Report'!$D$5:$D$1934,"charge")</f>
        <v>3340</v>
      </c>
      <c r="E67" s="9">
        <f>SUMIFS('Stripe Report'!$F$5:$F$1934,'Stripe Report'!$A$5:$A$1934,A67,'Stripe Report'!$D$5:$D$1934,"refund")</f>
        <v>0</v>
      </c>
      <c r="F67" s="9">
        <f>SUMIFS('Stripe Report'!$F$5:$F$1934,'Stripe Report'!$A$5:$A$1934,A67,'Stripe Report'!$D$5:$D$1934,"dispute")</f>
        <v>0</v>
      </c>
      <c r="G67" s="9">
        <f>ROUND(SUMIFS('Stripe Report'!$G$5:$G$1934,'Stripe Report'!$A$5:$A$1934,A67),2)</f>
        <v>66.58</v>
      </c>
      <c r="H67" s="9">
        <f>ROUND(G67/11,2)</f>
        <v>6.05</v>
      </c>
      <c r="I67" s="9">
        <f>ROUND(SUMIFS('Stripe Report'!$H$5:$H$1934,'Stripe Report'!$A$5:$A$1934,A67),2)</f>
        <v>3273.42</v>
      </c>
      <c r="J67" t="inlineStr">
        <is>
          <t>BL-00749</t>
        </is>
      </c>
      <c r="K67" s="9">
        <f>IF(J67="after 30 Sep",0,INDEX('Bank Lines'!$E$5:$E$1640,MATCH(J67,'Bank Lines'!$A$5:$A$1640,0)))</f>
        <v>3273.42</v>
      </c>
      <c r="L67" s="9">
        <f>IF(J67="after 30 Sep",0,ROUND(K67-I67,2))</f>
        <v>0</v>
      </c>
      <c r="M67" t="str">
        <f>IF(J67="after 30 Sep","",INDEX('Bank Lines'!$G$5:$G$1640,MATCH(J67,'Bank Lines'!$A$5:$A$1640,0)))</f>
        <v>G00076</v>
      </c>
    </row>
    <row r="68">
      <c r="A68" t="inlineStr">
        <is>
          <t>po_1Q0064KX</t>
        </is>
      </c>
      <c r="B68" s="5" t="n">
        <v>46293</v>
      </c>
      <c r="C68">
        <f>COUNTIFS('Stripe Report'!$A$5:$A$1934,A68,'Stripe Report'!$D$5:$D$1934,"charge")</f>
        <v>26</v>
      </c>
      <c r="D68" s="9">
        <f>SUMIFS('Stripe Report'!$F$5:$F$1934,'Stripe Report'!$A$5:$A$1934,A68,'Stripe Report'!$D$5:$D$1934,"charge")</f>
        <v>3450</v>
      </c>
      <c r="E68" s="9">
        <f>SUMIFS('Stripe Report'!$F$5:$F$1934,'Stripe Report'!$A$5:$A$1934,A68,'Stripe Report'!$D$5:$D$1934,"refund")</f>
        <v>0</v>
      </c>
      <c r="F68" s="9">
        <f>SUMIFS('Stripe Report'!$F$5:$F$1934,'Stripe Report'!$A$5:$A$1934,A68,'Stripe Report'!$D$5:$D$1934,"dispute")</f>
        <v>0</v>
      </c>
      <c r="G68" s="9">
        <f>ROUND(SUMIFS('Stripe Report'!$G$5:$G$1934,'Stripe Report'!$A$5:$A$1934,A68),2)</f>
        <v>68.19</v>
      </c>
      <c r="H68" s="9">
        <f>ROUND(G68/11,2)</f>
        <v>6.2</v>
      </c>
      <c r="I68" s="9">
        <f>ROUND(SUMIFS('Stripe Report'!$H$5:$H$1934,'Stripe Report'!$A$5:$A$1934,A68),2)</f>
        <v>3381.81</v>
      </c>
      <c r="J68" t="inlineStr">
        <is>
          <t>BL-00750</t>
        </is>
      </c>
      <c r="K68" s="9">
        <f>IF(J68="after 30 Sep",0,INDEX('Bank Lines'!$E$5:$E$1640,MATCH(J68,'Bank Lines'!$A$5:$A$1640,0)))</f>
        <v>3381.81</v>
      </c>
      <c r="L68" s="9">
        <f>IF(J68="after 30 Sep",0,ROUND(K68-I68,2))</f>
        <v>0</v>
      </c>
      <c r="M68" t="str">
        <f>IF(J68="after 30 Sep","",INDEX('Bank Lines'!$G$5:$G$1640,MATCH(J68,'Bank Lines'!$A$5:$A$1640,0)))</f>
        <v>G00077</v>
      </c>
    </row>
    <row r="69">
      <c r="A69" t="inlineStr">
        <is>
          <t>po_1Q0065KX</t>
        </is>
      </c>
      <c r="B69" s="5" t="n">
        <v>46294</v>
      </c>
      <c r="C69">
        <f>COUNTIFS('Stripe Report'!$A$5:$A$1934,A69,'Stripe Report'!$D$5:$D$1934,"charge")</f>
        <v>37</v>
      </c>
      <c r="D69" s="9">
        <f>SUMIFS('Stripe Report'!$F$5:$F$1934,'Stripe Report'!$A$5:$A$1934,A69,'Stripe Report'!$D$5:$D$1934,"charge")</f>
        <v>4495</v>
      </c>
      <c r="E69" s="9">
        <f>SUMIFS('Stripe Report'!$F$5:$F$1934,'Stripe Report'!$A$5:$A$1934,A69,'Stripe Report'!$D$5:$D$1934,"refund")</f>
        <v>0</v>
      </c>
      <c r="F69" s="9">
        <f>SUMIFS('Stripe Report'!$F$5:$F$1934,'Stripe Report'!$A$5:$A$1934,A69,'Stripe Report'!$D$5:$D$1934,"dispute")</f>
        <v>0</v>
      </c>
      <c r="G69" s="9">
        <f>ROUND(SUMIFS('Stripe Report'!$G$5:$G$1934,'Stripe Report'!$A$5:$A$1934,A69),2)</f>
        <v>89.81</v>
      </c>
      <c r="H69" s="9">
        <f>ROUND(G69/11,2)</f>
        <v>8.16</v>
      </c>
      <c r="I69" s="9">
        <f>ROUND(SUMIFS('Stripe Report'!$H$5:$H$1934,'Stripe Report'!$A$5:$A$1934,A69),2)</f>
        <v>4405.19</v>
      </c>
      <c r="J69" t="inlineStr">
        <is>
          <t>BL-00751</t>
        </is>
      </c>
      <c r="K69" s="9">
        <f>IF(J69="after 30 Sep",0,INDEX('Bank Lines'!$E$5:$E$1640,MATCH(J69,'Bank Lines'!$A$5:$A$1640,0)))</f>
        <v>4405.19</v>
      </c>
      <c r="L69" s="9">
        <f>IF(J69="after 30 Sep",0,ROUND(K69-I69,2))</f>
        <v>0</v>
      </c>
      <c r="M69" t="str">
        <f>IF(J69="after 30 Sep","",INDEX('Bank Lines'!$G$5:$G$1640,MATCH(J69,'Bank Lines'!$A$5:$A$1640,0)))</f>
        <v>G00078</v>
      </c>
    </row>
    <row r="70">
      <c r="A70" t="inlineStr">
        <is>
          <t>po_1Q0066KX</t>
        </is>
      </c>
      <c r="B70" s="5" t="n">
        <v>46295</v>
      </c>
      <c r="C70">
        <f>COUNTIFS('Stripe Report'!$A$5:$A$1934,A70,'Stripe Report'!$D$5:$D$1934,"charge")</f>
        <v>27</v>
      </c>
      <c r="D70" s="9">
        <f>SUMIFS('Stripe Report'!$F$5:$F$1934,'Stripe Report'!$A$5:$A$1934,A70,'Stripe Report'!$D$5:$D$1934,"charge")</f>
        <v>3565</v>
      </c>
      <c r="E70" s="9">
        <f>SUMIFS('Stripe Report'!$F$5:$F$1934,'Stripe Report'!$A$5:$A$1934,A70,'Stripe Report'!$D$5:$D$1934,"refund")</f>
        <v>0</v>
      </c>
      <c r="F70" s="9">
        <f>SUMIFS('Stripe Report'!$F$5:$F$1934,'Stripe Report'!$A$5:$A$1934,A70,'Stripe Report'!$D$5:$D$1934,"dispute")</f>
        <v>0</v>
      </c>
      <c r="G70" s="9">
        <f>ROUND(SUMIFS('Stripe Report'!$G$5:$G$1934,'Stripe Report'!$A$5:$A$1934,A70),2)</f>
        <v>70.51</v>
      </c>
      <c r="H70" s="9">
        <f>ROUND(G70/11,2)</f>
        <v>6.41</v>
      </c>
      <c r="I70" s="9">
        <f>ROUND(SUMIFS('Stripe Report'!$H$5:$H$1934,'Stripe Report'!$A$5:$A$1934,A70),2)</f>
        <v>3494.49</v>
      </c>
      <c r="J70" t="inlineStr">
        <is>
          <t>BL-00752</t>
        </is>
      </c>
      <c r="K70" s="9">
        <f>IF(J70="after 30 Sep",0,INDEX('Bank Lines'!$E$5:$E$1640,MATCH(J70,'Bank Lines'!$A$5:$A$1640,0)))</f>
        <v>3494.49</v>
      </c>
      <c r="L70" s="9">
        <f>IF(J70="after 30 Sep",0,ROUND(K70-I70,2))</f>
        <v>0</v>
      </c>
      <c r="M70" t="str">
        <f>IF(J70="after 30 Sep","",INDEX('Bank Lines'!$G$5:$G$1640,MATCH(J70,'Bank Lines'!$A$5:$A$1640,0)))</f>
        <v>G00079</v>
      </c>
    </row>
    <row r="71">
      <c r="A71" t="inlineStr">
        <is>
          <t>po_1Q0067KX</t>
        </is>
      </c>
      <c r="B71" s="5" t="n">
        <v>46296</v>
      </c>
      <c r="C71">
        <f>COUNTIFS('Stripe Report'!$A$5:$A$1934,A71,'Stripe Report'!$D$5:$D$1934,"charge")</f>
        <v>31</v>
      </c>
      <c r="D71" s="9">
        <f>SUMIFS('Stripe Report'!$F$5:$F$1934,'Stripe Report'!$A$5:$A$1934,A71,'Stripe Report'!$D$5:$D$1934,"charge")</f>
        <v>4380</v>
      </c>
      <c r="E71" s="9">
        <f>SUMIFS('Stripe Report'!$F$5:$F$1934,'Stripe Report'!$A$5:$A$1934,A71,'Stripe Report'!$D$5:$D$1934,"refund")</f>
        <v>0</v>
      </c>
      <c r="F71" s="9">
        <f>SUMIFS('Stripe Report'!$F$5:$F$1934,'Stripe Report'!$A$5:$A$1934,A71,'Stripe Report'!$D$5:$D$1934,"dispute")</f>
        <v>0</v>
      </c>
      <c r="G71" s="9">
        <f>ROUND(SUMIFS('Stripe Report'!$G$5:$G$1934,'Stripe Report'!$A$5:$A$1934,A71),2)</f>
        <v>85.97</v>
      </c>
      <c r="H71" s="9">
        <f>ROUND(G71/11,2)</f>
        <v>7.82</v>
      </c>
      <c r="I71" s="9">
        <f>ROUND(SUMIFS('Stripe Report'!$H$5:$H$1934,'Stripe Report'!$A$5:$A$1934,A71),2)</f>
        <v>4294.03</v>
      </c>
      <c r="J71" t="inlineStr">
        <is>
          <t>after 30 Sep</t>
        </is>
      </c>
      <c r="K71" s="9">
        <f>IF(J71="after 30 Sep",0,INDEX('Bank Lines'!$E$5:$E$1640,MATCH(J71,'Bank Lines'!$A$5:$A$1640,0)))</f>
        <v>0</v>
      </c>
      <c r="L71" s="9">
        <f>IF(J71="after 30 Sep",0,ROUND(K71-I71,2))</f>
        <v>0</v>
      </c>
      <c r="M71">
        <f>IF(J71="after 30 Sep","",INDEX('Bank Lines'!$G$5:$G$1640,MATCH(J71,'Bank Lines'!$A$5:$A$1640,0)))</f>
      </c>
    </row>
    <row r="72">
      <c r="A72" t="inlineStr">
        <is>
          <t>po_1Q0068KX</t>
        </is>
      </c>
      <c r="B72" s="5" t="n">
        <v>46297</v>
      </c>
      <c r="C72">
        <f>COUNTIFS('Stripe Report'!$A$5:$A$1934,A72,'Stripe Report'!$D$5:$D$1934,"charge")</f>
        <v>32</v>
      </c>
      <c r="D72" s="9">
        <f>SUMIFS('Stripe Report'!$F$5:$F$1934,'Stripe Report'!$A$5:$A$1934,A72,'Stripe Report'!$D$5:$D$1934,"charge")</f>
        <v>4040</v>
      </c>
      <c r="E72" s="9">
        <f>SUMIFS('Stripe Report'!$F$5:$F$1934,'Stripe Report'!$A$5:$A$1934,A72,'Stripe Report'!$D$5:$D$1934,"refund")</f>
        <v>0</v>
      </c>
      <c r="F72" s="9">
        <f>SUMIFS('Stripe Report'!$F$5:$F$1934,'Stripe Report'!$A$5:$A$1934,A72,'Stripe Report'!$D$5:$D$1934,"dispute")</f>
        <v>0</v>
      </c>
      <c r="G72" s="9">
        <f>ROUND(SUMIFS('Stripe Report'!$G$5:$G$1934,'Stripe Report'!$A$5:$A$1934,A72),2)</f>
        <v>80.37</v>
      </c>
      <c r="H72" s="9">
        <f>ROUND(G72/11,2)</f>
        <v>7.31</v>
      </c>
      <c r="I72" s="9">
        <f>ROUND(SUMIFS('Stripe Report'!$H$5:$H$1934,'Stripe Report'!$A$5:$A$1934,A72),2)</f>
        <v>3959.63</v>
      </c>
      <c r="J72" t="inlineStr">
        <is>
          <t>after 30 Sep</t>
        </is>
      </c>
      <c r="K72" s="9">
        <f>IF(J72="after 30 Sep",0,INDEX('Bank Lines'!$E$5:$E$1640,MATCH(J72,'Bank Lines'!$A$5:$A$1640,0)))</f>
        <v>0</v>
      </c>
      <c r="L72" s="9">
        <f>IF(J72="after 30 Sep",0,ROUND(K72-I72,2))</f>
        <v>0</v>
      </c>
      <c r="M72">
        <f>IF(J72="after 30 Sep","",INDEX('Bank Lines'!$G$5:$G$1640,MATCH(J72,'Bank Lines'!$A$5:$A$1640,0)))</f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17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11" customWidth="1" min="3" max="3"/>
    <col width="18" customWidth="1" min="4" max="4"/>
    <col width="12" customWidth="1" min="5" max="5"/>
    <col width="12" customWidth="1" min="6" max="6"/>
    <col width="11" customWidth="1" min="7" max="7"/>
  </cols>
  <sheetData>
    <row r="1">
      <c r="A1" s="7" t="inlineStr">
        <is>
          <t>Plan manager remittance advices (line level)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8" t="inlineStr">
        <is>
          <t>Remittance</t>
        </is>
      </c>
      <c r="B4" s="8" t="inlineStr">
        <is>
          <t>Payer</t>
        </is>
      </c>
      <c r="C4" s="8" t="inlineStr">
        <is>
          <t>Date</t>
        </is>
      </c>
      <c r="D4" s="8" t="inlineStr">
        <is>
          <t>Invoice</t>
        </is>
      </c>
      <c r="E4" s="8" t="inlineStr">
        <is>
          <t>Invoiced</t>
        </is>
      </c>
      <c r="F4" s="8" t="inlineStr">
        <is>
          <t>Paid</t>
        </is>
      </c>
      <c r="G4" s="8" t="inlineStr">
        <is>
          <t>Short paid</t>
        </is>
      </c>
    </row>
    <row r="5">
      <c r="A5" t="inlineStr">
        <is>
          <t>RA44801</t>
        </is>
      </c>
      <c r="B5" t="inlineStr">
        <is>
          <t>Riverbend Plan Partners</t>
        </is>
      </c>
      <c r="C5" s="5" t="n">
        <v>46204</v>
      </c>
      <c r="D5" t="inlineStr">
        <is>
          <t>INV/2026/01426</t>
        </is>
      </c>
      <c r="E5" s="9" t="n">
        <v>193.99</v>
      </c>
      <c r="F5" s="9" t="n">
        <v>179.44</v>
      </c>
      <c r="G5" s="9">
        <f>ROUND(E5-F5,2)</f>
        <v>14.55</v>
      </c>
    </row>
    <row r="6">
      <c r="A6" t="inlineStr">
        <is>
          <t>RA44801</t>
        </is>
      </c>
      <c r="B6" t="inlineStr">
        <is>
          <t>Riverbend Plan Partners</t>
        </is>
      </c>
      <c r="C6" s="5" t="n">
        <v>46204</v>
      </c>
      <c r="D6" t="inlineStr">
        <is>
          <t>INV/2026/01450</t>
        </is>
      </c>
      <c r="E6" s="9" t="n">
        <v>417.98</v>
      </c>
      <c r="F6" s="9" t="n">
        <v>417.98</v>
      </c>
      <c r="G6" s="9">
        <f>ROUND(E6-F6,2)</f>
        <v>0</v>
      </c>
    </row>
    <row r="7">
      <c r="A7" t="inlineStr">
        <is>
          <t>RA44801</t>
        </is>
      </c>
      <c r="B7" t="inlineStr">
        <is>
          <t>Riverbend Plan Partners</t>
        </is>
      </c>
      <c r="C7" s="5" t="n">
        <v>46204</v>
      </c>
      <c r="D7" t="inlineStr">
        <is>
          <t>INV/2026/01451</t>
        </is>
      </c>
      <c r="E7" s="9" t="n">
        <v>252.19</v>
      </c>
      <c r="F7" s="9" t="n">
        <v>252.19</v>
      </c>
      <c r="G7" s="9">
        <f>ROUND(E7-F7,2)</f>
        <v>0</v>
      </c>
    </row>
    <row r="8">
      <c r="A8" t="inlineStr">
        <is>
          <t>RA44801</t>
        </is>
      </c>
      <c r="B8" t="inlineStr">
        <is>
          <t>Riverbend Plan Partners</t>
        </is>
      </c>
      <c r="C8" s="5" t="n">
        <v>46204</v>
      </c>
      <c r="D8" t="inlineStr">
        <is>
          <t>INV/2026/01452</t>
        </is>
      </c>
      <c r="E8" s="9" t="n">
        <v>290.98</v>
      </c>
      <c r="F8" s="9" t="n">
        <v>290.98</v>
      </c>
      <c r="G8" s="9">
        <f>ROUND(E8-F8,2)</f>
        <v>0</v>
      </c>
    </row>
    <row r="9">
      <c r="A9" t="inlineStr">
        <is>
          <t>RA44802</t>
        </is>
      </c>
      <c r="B9" t="inlineStr">
        <is>
          <t>Banksia Plan Co</t>
        </is>
      </c>
      <c r="C9" s="5" t="n">
        <v>46204</v>
      </c>
      <c r="D9" t="inlineStr">
        <is>
          <t>INV/2026/01406</t>
        </is>
      </c>
      <c r="E9" s="9" t="n">
        <v>290.98</v>
      </c>
      <c r="F9" s="9" t="n">
        <v>290.98</v>
      </c>
      <c r="G9" s="9">
        <f>ROUND(E9-F9,2)</f>
        <v>0</v>
      </c>
    </row>
    <row r="10">
      <c r="A10" t="inlineStr">
        <is>
          <t>RA44802</t>
        </is>
      </c>
      <c r="B10" t="inlineStr">
        <is>
          <t>Banksia Plan Co</t>
        </is>
      </c>
      <c r="C10" s="5" t="n">
        <v>46204</v>
      </c>
      <c r="D10" t="inlineStr">
        <is>
          <t>INV/2026/01430</t>
        </is>
      </c>
      <c r="E10" s="9" t="n">
        <v>242.49</v>
      </c>
      <c r="F10" s="9" t="n">
        <v>242.49</v>
      </c>
      <c r="G10" s="9">
        <f>ROUND(E10-F10,2)</f>
        <v>0</v>
      </c>
    </row>
    <row r="11">
      <c r="A11" t="inlineStr">
        <is>
          <t>RA44802</t>
        </is>
      </c>
      <c r="B11" t="inlineStr">
        <is>
          <t>Banksia Plan Co</t>
        </is>
      </c>
      <c r="C11" s="5" t="n">
        <v>46204</v>
      </c>
      <c r="D11" t="inlineStr">
        <is>
          <t>INV/2026/01431</t>
        </is>
      </c>
      <c r="E11" s="9" t="n">
        <v>252.19</v>
      </c>
      <c r="F11" s="9" t="n">
        <v>252.19</v>
      </c>
      <c r="G11" s="9">
        <f>ROUND(E11-F11,2)</f>
        <v>0</v>
      </c>
    </row>
    <row r="12">
      <c r="A12" t="inlineStr">
        <is>
          <t>RA44802</t>
        </is>
      </c>
      <c r="B12" t="inlineStr">
        <is>
          <t>Banksia Plan Co</t>
        </is>
      </c>
      <c r="C12" s="5" t="n">
        <v>46204</v>
      </c>
      <c r="D12" t="inlineStr">
        <is>
          <t>INV/2026/01457</t>
        </is>
      </c>
      <c r="E12" s="9" t="n">
        <v>155.19</v>
      </c>
      <c r="F12" s="9" t="n">
        <v>155.19</v>
      </c>
      <c r="G12" s="9">
        <f>ROUND(E12-F12,2)</f>
        <v>0</v>
      </c>
    </row>
    <row r="13">
      <c r="A13" t="inlineStr">
        <is>
          <t>RA44802</t>
        </is>
      </c>
      <c r="B13" t="inlineStr">
        <is>
          <t>Banksia Plan Co</t>
        </is>
      </c>
      <c r="C13" s="5" t="n">
        <v>46204</v>
      </c>
      <c r="D13" t="inlineStr">
        <is>
          <t>INV/2026/01482</t>
        </is>
      </c>
      <c r="E13" s="9" t="n">
        <v>300.69</v>
      </c>
      <c r="F13" s="9" t="n">
        <v>300.69</v>
      </c>
      <c r="G13" s="9">
        <f>ROUND(E13-F13,2)</f>
        <v>0</v>
      </c>
    </row>
    <row r="14">
      <c r="A14" t="inlineStr">
        <is>
          <t>RA44802</t>
        </is>
      </c>
      <c r="B14" t="inlineStr">
        <is>
          <t>Banksia Plan Co</t>
        </is>
      </c>
      <c r="C14" s="5" t="n">
        <v>46204</v>
      </c>
      <c r="D14" t="inlineStr">
        <is>
          <t>INV/2026/01483</t>
        </is>
      </c>
      <c r="E14" s="9" t="n">
        <v>203.69</v>
      </c>
      <c r="F14" s="9" t="n">
        <v>203.69</v>
      </c>
      <c r="G14" s="9">
        <f>ROUND(E14-F14,2)</f>
        <v>0</v>
      </c>
    </row>
    <row r="15">
      <c r="A15" t="inlineStr">
        <is>
          <t>RA44803</t>
        </is>
      </c>
      <c r="B15" t="inlineStr">
        <is>
          <t>Ironbark Plan Management</t>
        </is>
      </c>
      <c r="C15" s="5" t="n">
        <v>46204</v>
      </c>
      <c r="D15" t="inlineStr">
        <is>
          <t>INV/2026/01407</t>
        </is>
      </c>
      <c r="E15" s="9" t="n">
        <v>349.18</v>
      </c>
      <c r="F15" s="9" t="n">
        <v>349.18</v>
      </c>
      <c r="G15" s="9">
        <f>ROUND(E15-F15,2)</f>
        <v>0</v>
      </c>
    </row>
    <row r="16">
      <c r="A16" t="inlineStr">
        <is>
          <t>RA44803</t>
        </is>
      </c>
      <c r="B16" t="inlineStr">
        <is>
          <t>Ironbark Plan Management</t>
        </is>
      </c>
      <c r="C16" s="5" t="n">
        <v>46204</v>
      </c>
      <c r="D16" t="inlineStr">
        <is>
          <t>INV/2026/01408</t>
        </is>
      </c>
      <c r="E16" s="9" t="n">
        <v>126.99</v>
      </c>
      <c r="F16" s="9" t="n">
        <v>126.99</v>
      </c>
      <c r="G16" s="9">
        <f>ROUND(E16-F16,2)</f>
        <v>0</v>
      </c>
    </row>
    <row r="17">
      <c r="A17" t="inlineStr">
        <is>
          <t>RA44803</t>
        </is>
      </c>
      <c r="B17" t="inlineStr">
        <is>
          <t>Ironbark Plan Management</t>
        </is>
      </c>
      <c r="C17" s="5" t="n">
        <v>46204</v>
      </c>
      <c r="D17" t="inlineStr">
        <is>
          <t>INV/2026/01432</t>
        </is>
      </c>
      <c r="E17" s="9" t="n">
        <v>145.49</v>
      </c>
      <c r="F17" s="9" t="n">
        <v>145.49</v>
      </c>
      <c r="G17" s="9">
        <f>ROUND(E17-F17,2)</f>
        <v>0</v>
      </c>
    </row>
    <row r="18">
      <c r="A18" t="inlineStr">
        <is>
          <t>RA44803</t>
        </is>
      </c>
      <c r="B18" t="inlineStr">
        <is>
          <t>Ironbark Plan Management</t>
        </is>
      </c>
      <c r="C18" s="5" t="n">
        <v>46204</v>
      </c>
      <c r="D18" t="inlineStr">
        <is>
          <t>INV/2026/01433</t>
        </is>
      </c>
      <c r="E18" s="9" t="n">
        <v>290.98</v>
      </c>
      <c r="F18" s="9" t="n">
        <v>290.98</v>
      </c>
      <c r="G18" s="9">
        <f>ROUND(E18-F18,2)</f>
        <v>0</v>
      </c>
    </row>
    <row r="19">
      <c r="A19" t="inlineStr">
        <is>
          <t>RA44803</t>
        </is>
      </c>
      <c r="B19" t="inlineStr">
        <is>
          <t>Ironbark Plan Management</t>
        </is>
      </c>
      <c r="C19" s="5" t="n">
        <v>46204</v>
      </c>
      <c r="D19" t="inlineStr">
        <is>
          <t>INV/2026/01458</t>
        </is>
      </c>
      <c r="E19" s="9" t="n">
        <v>300.69</v>
      </c>
      <c r="F19" s="9" t="n">
        <v>300.69</v>
      </c>
      <c r="G19" s="9">
        <f>ROUND(E19-F19,2)</f>
        <v>0</v>
      </c>
    </row>
    <row r="20">
      <c r="A20" t="inlineStr">
        <is>
          <t>RA44803</t>
        </is>
      </c>
      <c r="B20" t="inlineStr">
        <is>
          <t>Ironbark Plan Management</t>
        </is>
      </c>
      <c r="C20" s="5" t="n">
        <v>46204</v>
      </c>
      <c r="D20" t="inlineStr">
        <is>
          <t>INV/2026/01459</t>
        </is>
      </c>
      <c r="E20" s="9" t="n">
        <v>290.98</v>
      </c>
      <c r="F20" s="9" t="n">
        <v>290.98</v>
      </c>
      <c r="G20" s="9">
        <f>ROUND(E20-F20,2)</f>
        <v>0</v>
      </c>
    </row>
    <row r="21">
      <c r="A21" t="inlineStr">
        <is>
          <t>RA44803</t>
        </is>
      </c>
      <c r="B21" t="inlineStr">
        <is>
          <t>Ironbark Plan Management</t>
        </is>
      </c>
      <c r="C21" s="5" t="n">
        <v>46204</v>
      </c>
      <c r="D21" t="inlineStr">
        <is>
          <t>INV/2026/01460</t>
        </is>
      </c>
      <c r="E21" s="9" t="n">
        <v>96.98999999999999</v>
      </c>
      <c r="F21" s="9" t="n">
        <v>96.98999999999999</v>
      </c>
      <c r="G21" s="9">
        <f>ROUND(E21-F21,2)</f>
        <v>0</v>
      </c>
    </row>
    <row r="22">
      <c r="A22" t="inlineStr">
        <is>
          <t>RA44803</t>
        </is>
      </c>
      <c r="B22" t="inlineStr">
        <is>
          <t>Ironbark Plan Management</t>
        </is>
      </c>
      <c r="C22" s="5" t="n">
        <v>46204</v>
      </c>
      <c r="D22" t="inlineStr">
        <is>
          <t>INV/2026/01484</t>
        </is>
      </c>
      <c r="E22" s="9" t="n">
        <v>242.49</v>
      </c>
      <c r="F22" s="9" t="n">
        <v>242.49</v>
      </c>
      <c r="G22" s="9">
        <f>ROUND(E22-F22,2)</f>
        <v>0</v>
      </c>
    </row>
    <row r="23">
      <c r="A23" t="inlineStr">
        <is>
          <t>RA44803</t>
        </is>
      </c>
      <c r="B23" t="inlineStr">
        <is>
          <t>Ironbark Plan Management</t>
        </is>
      </c>
      <c r="C23" s="5" t="n">
        <v>46204</v>
      </c>
      <c r="D23" t="inlineStr">
        <is>
          <t>INV/2026/01503</t>
        </is>
      </c>
      <c r="E23" s="9" t="n">
        <v>193.99</v>
      </c>
      <c r="F23" s="9" t="n">
        <v>193.99</v>
      </c>
      <c r="G23" s="9">
        <f>ROUND(E23-F23,2)</f>
        <v>0</v>
      </c>
    </row>
    <row r="24">
      <c r="A24" t="inlineStr">
        <is>
          <t>RA44803</t>
        </is>
      </c>
      <c r="B24" t="inlineStr">
        <is>
          <t>Ironbark Plan Management</t>
        </is>
      </c>
      <c r="C24" s="5" t="n">
        <v>46204</v>
      </c>
      <c r="D24" t="inlineStr">
        <is>
          <t>INV/2026/01504</t>
        </is>
      </c>
      <c r="E24" s="9" t="n">
        <v>417.98</v>
      </c>
      <c r="F24" s="9" t="n">
        <v>417.98</v>
      </c>
      <c r="G24" s="9">
        <f>ROUND(E24-F24,2)</f>
        <v>0</v>
      </c>
    </row>
    <row r="25">
      <c r="A25" t="inlineStr">
        <is>
          <t>RA44803</t>
        </is>
      </c>
      <c r="B25" t="inlineStr">
        <is>
          <t>Ironbark Plan Management</t>
        </is>
      </c>
      <c r="C25" s="5" t="n">
        <v>46204</v>
      </c>
      <c r="D25" t="inlineStr">
        <is>
          <t>INV/2026/01521</t>
        </is>
      </c>
      <c r="E25" s="9" t="n">
        <v>193.99</v>
      </c>
      <c r="F25" s="9" t="n">
        <v>193.99</v>
      </c>
      <c r="G25" s="9">
        <f>ROUND(E25-F25,2)</f>
        <v>0</v>
      </c>
    </row>
    <row r="26">
      <c r="A26" t="inlineStr">
        <is>
          <t>RA44803</t>
        </is>
      </c>
      <c r="B26" t="inlineStr">
        <is>
          <t>Ironbark Plan Management</t>
        </is>
      </c>
      <c r="C26" s="5" t="n">
        <v>46204</v>
      </c>
      <c r="D26" t="inlineStr">
        <is>
          <t>INV/2026/01522</t>
        </is>
      </c>
      <c r="E26" s="9" t="n">
        <v>242.49</v>
      </c>
      <c r="F26" s="9" t="n">
        <v>242.49</v>
      </c>
      <c r="G26" s="9">
        <f>ROUND(E26-F26,2)</f>
        <v>0</v>
      </c>
    </row>
    <row r="27">
      <c r="A27" t="inlineStr">
        <is>
          <t>RA44804</t>
        </is>
      </c>
      <c r="B27" t="inlineStr">
        <is>
          <t>Tallowwood Plans</t>
        </is>
      </c>
      <c r="C27" s="5" t="n">
        <v>46204</v>
      </c>
      <c r="D27" t="inlineStr">
        <is>
          <t>INV/2026/01439</t>
        </is>
      </c>
      <c r="E27" s="9" t="n">
        <v>203.69</v>
      </c>
      <c r="F27" s="9" t="n">
        <v>203.69</v>
      </c>
      <c r="G27" s="9">
        <f>ROUND(E27-F27,2)</f>
        <v>0</v>
      </c>
    </row>
    <row r="28">
      <c r="A28" t="inlineStr">
        <is>
          <t>RA44804</t>
        </is>
      </c>
      <c r="B28" t="inlineStr">
        <is>
          <t>Tallowwood Plans</t>
        </is>
      </c>
      <c r="C28" s="5" t="n">
        <v>46204</v>
      </c>
      <c r="D28" t="inlineStr">
        <is>
          <t>INV/2026/01440</t>
        </is>
      </c>
      <c r="E28" s="9" t="n">
        <v>175.49</v>
      </c>
      <c r="F28" s="9" t="n">
        <v>175.49</v>
      </c>
      <c r="G28" s="9">
        <f>ROUND(E28-F28,2)</f>
        <v>0</v>
      </c>
    </row>
    <row r="29">
      <c r="A29" t="inlineStr">
        <is>
          <t>RA44805</t>
        </is>
      </c>
      <c r="B29" t="inlineStr">
        <is>
          <t>Acacia Plan Partners</t>
        </is>
      </c>
      <c r="C29" s="5" t="n">
        <v>46204</v>
      </c>
      <c r="D29" t="inlineStr">
        <is>
          <t>INV/2026/01417</t>
        </is>
      </c>
      <c r="E29" s="9" t="n">
        <v>145.49</v>
      </c>
      <c r="F29" s="9" t="n">
        <v>145.49</v>
      </c>
      <c r="G29" s="9">
        <f>ROUND(E29-F29,2)</f>
        <v>0</v>
      </c>
    </row>
    <row r="30">
      <c r="A30" t="inlineStr">
        <is>
          <t>RA44805</t>
        </is>
      </c>
      <c r="B30" t="inlineStr">
        <is>
          <t>Acacia Plan Partners</t>
        </is>
      </c>
      <c r="C30" s="5" t="n">
        <v>46204</v>
      </c>
      <c r="D30" t="inlineStr">
        <is>
          <t>INV/2026/01418</t>
        </is>
      </c>
      <c r="E30" s="9" t="n">
        <v>193.99</v>
      </c>
      <c r="F30" s="9" t="n">
        <v>193.99</v>
      </c>
      <c r="G30" s="9">
        <f>ROUND(E30-F30,2)</f>
        <v>0</v>
      </c>
    </row>
    <row r="31">
      <c r="A31" t="inlineStr">
        <is>
          <t>RA44805</t>
        </is>
      </c>
      <c r="B31" t="inlineStr">
        <is>
          <t>Acacia Plan Partners</t>
        </is>
      </c>
      <c r="C31" s="5" t="n">
        <v>46204</v>
      </c>
      <c r="D31" t="inlineStr">
        <is>
          <t>INV/2026/01441</t>
        </is>
      </c>
      <c r="E31" s="9" t="n">
        <v>145.49</v>
      </c>
      <c r="F31" s="9" t="n">
        <v>145.49</v>
      </c>
      <c r="G31" s="9">
        <f>ROUND(E31-F31,2)</f>
        <v>0</v>
      </c>
    </row>
    <row r="32">
      <c r="A32" t="inlineStr">
        <is>
          <t>RA44805</t>
        </is>
      </c>
      <c r="B32" t="inlineStr">
        <is>
          <t>Acacia Plan Partners</t>
        </is>
      </c>
      <c r="C32" s="5" t="n">
        <v>46204</v>
      </c>
      <c r="D32" t="inlineStr">
        <is>
          <t>INV/2026/01442</t>
        </is>
      </c>
      <c r="E32" s="9" t="n">
        <v>96.98999999999999</v>
      </c>
      <c r="F32" s="9" t="n">
        <v>96.98999999999999</v>
      </c>
      <c r="G32" s="9">
        <f>ROUND(E32-F32,2)</f>
        <v>0</v>
      </c>
    </row>
    <row r="33">
      <c r="A33" t="inlineStr">
        <is>
          <t>RA44805</t>
        </is>
      </c>
      <c r="B33" t="inlineStr">
        <is>
          <t>Acacia Plan Partners</t>
        </is>
      </c>
      <c r="C33" s="5" t="n">
        <v>46204</v>
      </c>
      <c r="D33" t="inlineStr">
        <is>
          <t>INV/2026/01443</t>
        </is>
      </c>
      <c r="E33" s="9" t="n">
        <v>96.98999999999999</v>
      </c>
      <c r="F33" s="9" t="n">
        <v>96.98999999999999</v>
      </c>
      <c r="G33" s="9">
        <f>ROUND(E33-F33,2)</f>
        <v>0</v>
      </c>
    </row>
    <row r="34">
      <c r="A34" t="inlineStr">
        <is>
          <t>RA44805</t>
        </is>
      </c>
      <c r="B34" t="inlineStr">
        <is>
          <t>Acacia Plan Partners</t>
        </is>
      </c>
      <c r="C34" s="5" t="n">
        <v>46204</v>
      </c>
      <c r="D34" t="inlineStr">
        <is>
          <t>INV/2026/01491</t>
        </is>
      </c>
      <c r="E34" s="9" t="n">
        <v>290.98</v>
      </c>
      <c r="F34" s="9" t="n">
        <v>290.98</v>
      </c>
      <c r="G34" s="9">
        <f>ROUND(E34-F34,2)</f>
        <v>0</v>
      </c>
    </row>
    <row r="35">
      <c r="A35" t="inlineStr">
        <is>
          <t>RA44806</t>
        </is>
      </c>
      <c r="B35" t="inlineStr">
        <is>
          <t>Mallee Plan Services</t>
        </is>
      </c>
      <c r="C35" s="5" t="n">
        <v>46204</v>
      </c>
      <c r="D35" t="inlineStr">
        <is>
          <t>INV/2026/01419</t>
        </is>
      </c>
      <c r="E35" s="9" t="n">
        <v>203.69</v>
      </c>
      <c r="F35" s="9" t="n">
        <v>203.69</v>
      </c>
      <c r="G35" s="9">
        <f>ROUND(E35-F35,2)</f>
        <v>0</v>
      </c>
    </row>
    <row r="36">
      <c r="A36" t="inlineStr">
        <is>
          <t>RA44806</t>
        </is>
      </c>
      <c r="B36" t="inlineStr">
        <is>
          <t>Mallee Plan Services</t>
        </is>
      </c>
      <c r="C36" s="5" t="n">
        <v>46204</v>
      </c>
      <c r="D36" t="inlineStr">
        <is>
          <t>INV/2026/01420</t>
        </is>
      </c>
      <c r="E36" s="9" t="n">
        <v>96.98999999999999</v>
      </c>
      <c r="F36" s="9" t="n">
        <v>96.98999999999999</v>
      </c>
      <c r="G36" s="9">
        <f>ROUND(E36-F36,2)</f>
        <v>0</v>
      </c>
    </row>
    <row r="37">
      <c r="A37" t="inlineStr">
        <is>
          <t>RA44807</t>
        </is>
      </c>
      <c r="B37" t="inlineStr">
        <is>
          <t>Clearpath NDIS Plans</t>
        </is>
      </c>
      <c r="C37" s="5" t="n">
        <v>46205</v>
      </c>
      <c r="D37" t="inlineStr">
        <is>
          <t>INV/2026/01403</t>
        </is>
      </c>
      <c r="E37" s="9" t="n">
        <v>252.19</v>
      </c>
      <c r="F37" s="9" t="n">
        <v>252.19</v>
      </c>
      <c r="G37" s="9">
        <f>ROUND(E37-F37,2)</f>
        <v>0</v>
      </c>
    </row>
    <row r="38">
      <c r="A38" t="inlineStr">
        <is>
          <t>RA44807</t>
        </is>
      </c>
      <c r="B38" t="inlineStr">
        <is>
          <t>Clearpath NDIS Plans</t>
        </is>
      </c>
      <c r="C38" s="5" t="n">
        <v>46205</v>
      </c>
      <c r="D38" t="inlineStr">
        <is>
          <t>INV/2026/01427</t>
        </is>
      </c>
      <c r="E38" s="9" t="n">
        <v>252.19</v>
      </c>
      <c r="F38" s="9" t="n">
        <v>252.19</v>
      </c>
      <c r="G38" s="9">
        <f>ROUND(E38-F38,2)</f>
        <v>0</v>
      </c>
    </row>
    <row r="39">
      <c r="A39" t="inlineStr">
        <is>
          <t>RA44808</t>
        </is>
      </c>
      <c r="B39" t="inlineStr">
        <is>
          <t>Wattle Plan Services</t>
        </is>
      </c>
      <c r="C39" s="5" t="n">
        <v>46205</v>
      </c>
      <c r="D39" t="inlineStr">
        <is>
          <t>INV/2026/01404</t>
        </is>
      </c>
      <c r="E39" s="9" t="n">
        <v>446.18</v>
      </c>
      <c r="F39" s="9" t="n">
        <v>446.18</v>
      </c>
      <c r="G39" s="9">
        <f>ROUND(E39-F39,2)</f>
        <v>0</v>
      </c>
    </row>
    <row r="40">
      <c r="A40" t="inlineStr">
        <is>
          <t>RA44808</t>
        </is>
      </c>
      <c r="B40" t="inlineStr">
        <is>
          <t>Wattle Plan Services</t>
        </is>
      </c>
      <c r="C40" s="5" t="n">
        <v>46205</v>
      </c>
      <c r="D40" t="inlineStr">
        <is>
          <t>INV/2026/01405</t>
        </is>
      </c>
      <c r="E40" s="9" t="n">
        <v>96.98999999999999</v>
      </c>
      <c r="F40" s="9" t="n">
        <v>96.98999999999999</v>
      </c>
      <c r="G40" s="9">
        <f>ROUND(E40-F40,2)</f>
        <v>0</v>
      </c>
    </row>
    <row r="41">
      <c r="A41" t="inlineStr">
        <is>
          <t>RA44808</t>
        </is>
      </c>
      <c r="B41" t="inlineStr">
        <is>
          <t>Wattle Plan Services</t>
        </is>
      </c>
      <c r="C41" s="5" t="n">
        <v>46205</v>
      </c>
      <c r="D41" t="inlineStr">
        <is>
          <t>INV/2026/01428</t>
        </is>
      </c>
      <c r="E41" s="9" t="n">
        <v>175.49</v>
      </c>
      <c r="F41" s="9" t="n">
        <v>175.49</v>
      </c>
      <c r="G41" s="9">
        <f>ROUND(E41-F41,2)</f>
        <v>0</v>
      </c>
    </row>
    <row r="42">
      <c r="A42" t="inlineStr">
        <is>
          <t>RA44808</t>
        </is>
      </c>
      <c r="B42" t="inlineStr">
        <is>
          <t>Wattle Plan Services</t>
        </is>
      </c>
      <c r="C42" s="5" t="n">
        <v>46205</v>
      </c>
      <c r="D42" t="inlineStr">
        <is>
          <t>INV/2026/01429</t>
        </is>
      </c>
      <c r="E42" s="9" t="n">
        <v>96.98999999999999</v>
      </c>
      <c r="F42" s="9" t="n">
        <v>96.98999999999999</v>
      </c>
      <c r="G42" s="9">
        <f>ROUND(E42-F42,2)</f>
        <v>0</v>
      </c>
    </row>
    <row r="43">
      <c r="A43" t="inlineStr">
        <is>
          <t>RA44808</t>
        </is>
      </c>
      <c r="B43" t="inlineStr">
        <is>
          <t>Wattle Plan Services</t>
        </is>
      </c>
      <c r="C43" s="5" t="n">
        <v>46205</v>
      </c>
      <c r="D43" t="inlineStr">
        <is>
          <t>INV/2026/01455</t>
        </is>
      </c>
      <c r="E43" s="9" t="n">
        <v>387.98</v>
      </c>
      <c r="F43" s="9" t="n">
        <v>387.98</v>
      </c>
      <c r="G43" s="9">
        <f>ROUND(E43-F43,2)</f>
        <v>0</v>
      </c>
    </row>
    <row r="44">
      <c r="A44" t="inlineStr">
        <is>
          <t>RA44808</t>
        </is>
      </c>
      <c r="B44" t="inlineStr">
        <is>
          <t>Wattle Plan Services</t>
        </is>
      </c>
      <c r="C44" s="5" t="n">
        <v>46205</v>
      </c>
      <c r="D44" t="inlineStr">
        <is>
          <t>INV/2026/01456</t>
        </is>
      </c>
      <c r="E44" s="9" t="n">
        <v>145.49</v>
      </c>
      <c r="F44" s="9" t="n">
        <v>145.49</v>
      </c>
      <c r="G44" s="9">
        <f>ROUND(E44-F44,2)</f>
        <v>0</v>
      </c>
    </row>
    <row r="45">
      <c r="A45" t="inlineStr">
        <is>
          <t>RA44809</t>
        </is>
      </c>
      <c r="B45" t="inlineStr">
        <is>
          <t>Banksia Plan Co</t>
        </is>
      </c>
      <c r="C45" s="5" t="n">
        <v>46205</v>
      </c>
      <c r="D45" t="inlineStr">
        <is>
          <t>INV/2026/01519</t>
        </is>
      </c>
      <c r="E45" s="9" t="n">
        <v>193.99</v>
      </c>
      <c r="F45" s="9" t="n">
        <v>193.99</v>
      </c>
      <c r="G45" s="9">
        <f>ROUND(E45-F45,2)</f>
        <v>0</v>
      </c>
    </row>
    <row r="46">
      <c r="A46" t="inlineStr">
        <is>
          <t>RA44809</t>
        </is>
      </c>
      <c r="B46" t="inlineStr">
        <is>
          <t>Banksia Plan Co</t>
        </is>
      </c>
      <c r="C46" s="5" t="n">
        <v>46205</v>
      </c>
      <c r="D46" t="inlineStr">
        <is>
          <t>INV/2026/01520</t>
        </is>
      </c>
      <c r="E46" s="9" t="n">
        <v>96.98999999999999</v>
      </c>
      <c r="F46" s="9" t="n">
        <v>96.98999999999999</v>
      </c>
      <c r="G46" s="9">
        <f>ROUND(E46-F46,2)</f>
        <v>0</v>
      </c>
    </row>
    <row r="47">
      <c r="A47" t="inlineStr">
        <is>
          <t>RA44810</t>
        </is>
      </c>
      <c r="B47" t="inlineStr">
        <is>
          <t>Lyrebird Plan Management</t>
        </is>
      </c>
      <c r="C47" s="5" t="n">
        <v>46205</v>
      </c>
      <c r="D47" t="inlineStr">
        <is>
          <t>INV/2026/01414</t>
        </is>
      </c>
      <c r="E47" s="9" t="n">
        <v>96.98999999999999</v>
      </c>
      <c r="F47" s="9" t="n">
        <v>96.98999999999999</v>
      </c>
      <c r="G47" s="9">
        <f>ROUND(E47-F47,2)</f>
        <v>0</v>
      </c>
    </row>
    <row r="48">
      <c r="A48" t="inlineStr">
        <is>
          <t>RA44810</t>
        </is>
      </c>
      <c r="B48" t="inlineStr">
        <is>
          <t>Lyrebird Plan Management</t>
        </is>
      </c>
      <c r="C48" s="5" t="n">
        <v>46205</v>
      </c>
      <c r="D48" t="inlineStr">
        <is>
          <t>INV/2026/01415</t>
        </is>
      </c>
      <c r="E48" s="9" t="n">
        <v>96.98999999999999</v>
      </c>
      <c r="F48" s="9" t="n">
        <v>96.98999999999999</v>
      </c>
      <c r="G48" s="9">
        <f>ROUND(E48-F48,2)</f>
        <v>0</v>
      </c>
    </row>
    <row r="49">
      <c r="A49" t="inlineStr">
        <is>
          <t>RA44811</t>
        </is>
      </c>
      <c r="B49" t="inlineStr">
        <is>
          <t>Tallowwood Plans</t>
        </is>
      </c>
      <c r="C49" s="5" t="n">
        <v>46205</v>
      </c>
      <c r="D49" t="inlineStr">
        <is>
          <t>INV/2026/01471</t>
        </is>
      </c>
      <c r="E49" s="9" t="n">
        <v>96.98999999999999</v>
      </c>
      <c r="F49" s="9" t="n">
        <v>96.98999999999999</v>
      </c>
      <c r="G49" s="9">
        <f>ROUND(E49-F49,2)</f>
        <v>0</v>
      </c>
    </row>
    <row r="50">
      <c r="A50" t="inlineStr">
        <is>
          <t>RA44811</t>
        </is>
      </c>
      <c r="B50" t="inlineStr">
        <is>
          <t>Tallowwood Plans</t>
        </is>
      </c>
      <c r="C50" s="5" t="n">
        <v>46205</v>
      </c>
      <c r="D50" t="inlineStr">
        <is>
          <t>INV/2026/01472</t>
        </is>
      </c>
      <c r="E50" s="9" t="n">
        <v>272.49</v>
      </c>
      <c r="F50" s="9" t="n">
        <v>272.49</v>
      </c>
      <c r="G50" s="9">
        <f>ROUND(E50-F50,2)</f>
        <v>0</v>
      </c>
    </row>
    <row r="51">
      <c r="A51" t="inlineStr">
        <is>
          <t>RA44811</t>
        </is>
      </c>
      <c r="B51" t="inlineStr">
        <is>
          <t>Tallowwood Plans</t>
        </is>
      </c>
      <c r="C51" s="5" t="n">
        <v>46205</v>
      </c>
      <c r="D51" t="inlineStr">
        <is>
          <t>INV/2026/01473</t>
        </is>
      </c>
      <c r="E51" s="9" t="n">
        <v>272.49</v>
      </c>
      <c r="F51" s="9" t="n">
        <v>272.49</v>
      </c>
      <c r="G51" s="9">
        <f>ROUND(E51-F51,2)</f>
        <v>0</v>
      </c>
    </row>
    <row r="52">
      <c r="A52" t="inlineStr">
        <is>
          <t>RA44812</t>
        </is>
      </c>
      <c r="B52" t="inlineStr">
        <is>
          <t>Acacia Plan Partners</t>
        </is>
      </c>
      <c r="C52" s="5" t="n">
        <v>46205</v>
      </c>
      <c r="D52" t="inlineStr">
        <is>
          <t>INV/2026/01492</t>
        </is>
      </c>
      <c r="E52" s="9" t="n">
        <v>242.49</v>
      </c>
      <c r="F52" s="9" t="n">
        <v>242.49</v>
      </c>
      <c r="G52" s="9">
        <f>ROUND(E52-F52,2)</f>
        <v>0</v>
      </c>
    </row>
    <row r="53">
      <c r="A53" t="inlineStr">
        <is>
          <t>RA44812</t>
        </is>
      </c>
      <c r="B53" t="inlineStr">
        <is>
          <t>Acacia Plan Partners</t>
        </is>
      </c>
      <c r="C53" s="5" t="n">
        <v>46205</v>
      </c>
      <c r="D53" t="inlineStr">
        <is>
          <t>INV/2026/01493</t>
        </is>
      </c>
      <c r="E53" s="9" t="n">
        <v>417.98</v>
      </c>
      <c r="F53" s="9" t="n">
        <v>417.98</v>
      </c>
      <c r="G53" s="9">
        <f>ROUND(E53-F53,2)</f>
        <v>0</v>
      </c>
    </row>
    <row r="54">
      <c r="A54" t="inlineStr">
        <is>
          <t>RA44812</t>
        </is>
      </c>
      <c r="B54" t="inlineStr">
        <is>
          <t>Acacia Plan Partners</t>
        </is>
      </c>
      <c r="C54" s="5" t="n">
        <v>46205</v>
      </c>
      <c r="D54" t="inlineStr">
        <is>
          <t>INV/2026/01512</t>
        </is>
      </c>
      <c r="E54" s="9" t="n">
        <v>349.18</v>
      </c>
      <c r="F54" s="9" t="n">
        <v>349.18</v>
      </c>
      <c r="G54" s="9">
        <f>ROUND(E54-F54,2)</f>
        <v>0</v>
      </c>
    </row>
    <row r="55">
      <c r="A55" t="inlineStr">
        <is>
          <t>RA44813</t>
        </is>
      </c>
      <c r="B55" t="inlineStr">
        <is>
          <t>Mallee Plan Services</t>
        </is>
      </c>
      <c r="C55" s="5" t="n">
        <v>46205</v>
      </c>
      <c r="D55" t="inlineStr">
        <is>
          <t>INV/2026/01444</t>
        </is>
      </c>
      <c r="E55" s="9" t="n">
        <v>242.49</v>
      </c>
      <c r="F55" s="9" t="n">
        <v>242.49</v>
      </c>
      <c r="G55" s="9">
        <f>ROUND(E55-F55,2)</f>
        <v>0</v>
      </c>
    </row>
    <row r="56">
      <c r="A56" t="inlineStr">
        <is>
          <t>RA44813</t>
        </is>
      </c>
      <c r="B56" t="inlineStr">
        <is>
          <t>Mallee Plan Services</t>
        </is>
      </c>
      <c r="C56" s="5" t="n">
        <v>46205</v>
      </c>
      <c r="D56" t="inlineStr">
        <is>
          <t>INV/2026/01474</t>
        </is>
      </c>
      <c r="E56" s="9" t="n">
        <v>242.49</v>
      </c>
      <c r="F56" s="9" t="n">
        <v>242.49</v>
      </c>
      <c r="G56" s="9">
        <f>ROUND(E56-F56,2)</f>
        <v>0</v>
      </c>
    </row>
    <row r="57">
      <c r="A57" t="inlineStr">
        <is>
          <t>RA44813</t>
        </is>
      </c>
      <c r="B57" t="inlineStr">
        <is>
          <t>Mallee Plan Services</t>
        </is>
      </c>
      <c r="C57" s="5" t="n">
        <v>46205</v>
      </c>
      <c r="D57" t="inlineStr">
        <is>
          <t>INV/2026/01475</t>
        </is>
      </c>
      <c r="E57" s="9" t="n">
        <v>290.98</v>
      </c>
      <c r="F57" s="9" t="n">
        <v>290.98</v>
      </c>
      <c r="G57" s="9">
        <f>ROUND(E57-F57,2)</f>
        <v>0</v>
      </c>
    </row>
    <row r="58">
      <c r="A58" t="inlineStr">
        <is>
          <t>RA44813</t>
        </is>
      </c>
      <c r="B58" t="inlineStr">
        <is>
          <t>Mallee Plan Services</t>
        </is>
      </c>
      <c r="C58" s="5" t="n">
        <v>46205</v>
      </c>
      <c r="D58" t="inlineStr">
        <is>
          <t>INV/2026/01494</t>
        </is>
      </c>
      <c r="E58" s="9" t="n">
        <v>145.49</v>
      </c>
      <c r="F58" s="9" t="n">
        <v>145.49</v>
      </c>
      <c r="G58" s="9">
        <f>ROUND(E58-F58,2)</f>
        <v>0</v>
      </c>
    </row>
    <row r="59">
      <c r="A59" t="inlineStr">
        <is>
          <t>RA44814</t>
        </is>
      </c>
      <c r="B59" t="inlineStr">
        <is>
          <t>Bluegum Plan Management</t>
        </is>
      </c>
      <c r="C59" s="5" t="n">
        <v>46206</v>
      </c>
      <c r="D59" t="inlineStr">
        <is>
          <t>INV/2026/01401</t>
        </is>
      </c>
      <c r="E59" s="9" t="n">
        <v>193.99</v>
      </c>
      <c r="F59" s="9" t="n">
        <v>164.89</v>
      </c>
      <c r="G59" s="9">
        <f>ROUND(E59-F59,2)</f>
        <v>29.1</v>
      </c>
    </row>
    <row r="60">
      <c r="A60" t="inlineStr">
        <is>
          <t>RA44814</t>
        </is>
      </c>
      <c r="B60" t="inlineStr">
        <is>
          <t>Bluegum Plan Management</t>
        </is>
      </c>
      <c r="C60" s="5" t="n">
        <v>46206</v>
      </c>
      <c r="D60" t="inlineStr">
        <is>
          <t>INV/2026/01402</t>
        </is>
      </c>
      <c r="E60" s="9" t="n">
        <v>252.19</v>
      </c>
      <c r="F60" s="9" t="n">
        <v>252.19</v>
      </c>
      <c r="G60" s="9">
        <f>ROUND(E60-F60,2)</f>
        <v>0</v>
      </c>
    </row>
    <row r="61">
      <c r="A61" t="inlineStr">
        <is>
          <t>RA44814</t>
        </is>
      </c>
      <c r="B61" t="inlineStr">
        <is>
          <t>Bluegum Plan Management</t>
        </is>
      </c>
      <c r="C61" s="5" t="n">
        <v>46206</v>
      </c>
      <c r="D61" t="inlineStr">
        <is>
          <t>INV/2026/01423</t>
        </is>
      </c>
      <c r="E61" s="9" t="n">
        <v>193.99</v>
      </c>
      <c r="F61" s="9" t="n">
        <v>193.99</v>
      </c>
      <c r="G61" s="9">
        <f>ROUND(E61-F61,2)</f>
        <v>0</v>
      </c>
    </row>
    <row r="62">
      <c r="A62" t="inlineStr">
        <is>
          <t>RA44814</t>
        </is>
      </c>
      <c r="B62" t="inlineStr">
        <is>
          <t>Bluegum Plan Management</t>
        </is>
      </c>
      <c r="C62" s="5" t="n">
        <v>46206</v>
      </c>
      <c r="D62" t="inlineStr">
        <is>
          <t>INV/2026/01424</t>
        </is>
      </c>
      <c r="E62" s="9" t="n">
        <v>272.49</v>
      </c>
      <c r="F62" s="9" t="n">
        <v>272.49</v>
      </c>
      <c r="G62" s="9">
        <f>ROUND(E62-F62,2)</f>
        <v>0</v>
      </c>
    </row>
    <row r="63">
      <c r="A63" t="inlineStr">
        <is>
          <t>RA44814</t>
        </is>
      </c>
      <c r="B63" t="inlineStr">
        <is>
          <t>Bluegum Plan Management</t>
        </is>
      </c>
      <c r="C63" s="5" t="n">
        <v>46206</v>
      </c>
      <c r="D63" t="inlineStr">
        <is>
          <t>INV/2026/01425</t>
        </is>
      </c>
      <c r="E63" s="9" t="n">
        <v>193.99</v>
      </c>
      <c r="F63" s="9" t="n">
        <v>193.99</v>
      </c>
      <c r="G63" s="9">
        <f>ROUND(E63-F63,2)</f>
        <v>0</v>
      </c>
    </row>
    <row r="64">
      <c r="A64" t="inlineStr">
        <is>
          <t>RA44814</t>
        </is>
      </c>
      <c r="B64" t="inlineStr">
        <is>
          <t>Bluegum Plan Management</t>
        </is>
      </c>
      <c r="C64" s="5" t="n">
        <v>46206</v>
      </c>
      <c r="D64" t="inlineStr">
        <is>
          <t>INV/2026/01447</t>
        </is>
      </c>
      <c r="E64" s="9" t="n">
        <v>145.49</v>
      </c>
      <c r="F64" s="9" t="n">
        <v>145.49</v>
      </c>
      <c r="G64" s="9">
        <f>ROUND(E64-F64,2)</f>
        <v>0</v>
      </c>
    </row>
    <row r="65">
      <c r="A65" t="inlineStr">
        <is>
          <t>RA44814</t>
        </is>
      </c>
      <c r="B65" t="inlineStr">
        <is>
          <t>Bluegum Plan Management</t>
        </is>
      </c>
      <c r="C65" s="5" t="n">
        <v>46206</v>
      </c>
      <c r="D65" t="inlineStr">
        <is>
          <t>INV/2026/01448</t>
        </is>
      </c>
      <c r="E65" s="9" t="n">
        <v>242.49</v>
      </c>
      <c r="F65" s="9" t="n">
        <v>242.49</v>
      </c>
      <c r="G65" s="9">
        <f>ROUND(E65-F65,2)</f>
        <v>0</v>
      </c>
    </row>
    <row r="66">
      <c r="A66" t="inlineStr">
        <is>
          <t>RA44814</t>
        </is>
      </c>
      <c r="B66" t="inlineStr">
        <is>
          <t>Bluegum Plan Management</t>
        </is>
      </c>
      <c r="C66" s="5" t="n">
        <v>46206</v>
      </c>
      <c r="D66" t="inlineStr">
        <is>
          <t>INV/2026/01449</t>
        </is>
      </c>
      <c r="E66" s="9" t="n">
        <v>387.98</v>
      </c>
      <c r="F66" s="9" t="n">
        <v>387.98</v>
      </c>
      <c r="G66" s="9">
        <f>ROUND(E66-F66,2)</f>
        <v>0</v>
      </c>
    </row>
    <row r="67">
      <c r="A67" t="inlineStr">
        <is>
          <t>RA44815</t>
        </is>
      </c>
      <c r="B67" t="inlineStr">
        <is>
          <t>Riverbend Plan Partners</t>
        </is>
      </c>
      <c r="C67" s="5" t="n">
        <v>46206</v>
      </c>
      <c r="D67" t="inlineStr">
        <is>
          <t>INV/2026/01479</t>
        </is>
      </c>
      <c r="E67" s="9" t="n">
        <v>145.49</v>
      </c>
      <c r="F67" s="9" t="n">
        <v>145.49</v>
      </c>
      <c r="G67" s="9">
        <f>ROUND(E67-F67,2)</f>
        <v>0</v>
      </c>
    </row>
    <row r="68">
      <c r="A68" t="inlineStr">
        <is>
          <t>RA44815</t>
        </is>
      </c>
      <c r="B68" t="inlineStr">
        <is>
          <t>Riverbend Plan Partners</t>
        </is>
      </c>
      <c r="C68" s="5" t="n">
        <v>46206</v>
      </c>
      <c r="D68" t="inlineStr">
        <is>
          <t>INV/2026/01480</t>
        </is>
      </c>
      <c r="E68" s="9" t="n">
        <v>242.49</v>
      </c>
      <c r="F68" s="9" t="n">
        <v>242.49</v>
      </c>
      <c r="G68" s="9">
        <f>ROUND(E68-F68,2)</f>
        <v>0</v>
      </c>
    </row>
    <row r="69">
      <c r="A69" t="inlineStr">
        <is>
          <t>RA44815</t>
        </is>
      </c>
      <c r="B69" t="inlineStr">
        <is>
          <t>Riverbend Plan Partners</t>
        </is>
      </c>
      <c r="C69" s="5" t="n">
        <v>46206</v>
      </c>
      <c r="D69" t="inlineStr">
        <is>
          <t>INV/2026/01500</t>
        </is>
      </c>
      <c r="E69" s="9" t="n">
        <v>193.99</v>
      </c>
      <c r="F69" s="9" t="n">
        <v>193.99</v>
      </c>
      <c r="G69" s="9">
        <f>ROUND(E69-F69,2)</f>
        <v>0</v>
      </c>
    </row>
    <row r="70">
      <c r="A70" t="inlineStr">
        <is>
          <t>RA44816</t>
        </is>
      </c>
      <c r="B70" t="inlineStr">
        <is>
          <t>Wattle Plan Services</t>
        </is>
      </c>
      <c r="C70" s="5" t="n">
        <v>46206</v>
      </c>
      <c r="D70" t="inlineStr">
        <is>
          <t>INV/2026/01517</t>
        </is>
      </c>
      <c r="E70" s="9" t="n">
        <v>96.98999999999999</v>
      </c>
      <c r="F70" s="9" t="n">
        <v>96.98999999999999</v>
      </c>
      <c r="G70" s="9">
        <f>ROUND(E70-F70,2)</f>
        <v>0</v>
      </c>
    </row>
    <row r="71">
      <c r="A71" t="inlineStr">
        <is>
          <t>RA44816</t>
        </is>
      </c>
      <c r="B71" t="inlineStr">
        <is>
          <t>Wattle Plan Services</t>
        </is>
      </c>
      <c r="C71" s="5" t="n">
        <v>46206</v>
      </c>
      <c r="D71" t="inlineStr">
        <is>
          <t>INV/2026/01518</t>
        </is>
      </c>
      <c r="E71" s="9" t="n">
        <v>242.49</v>
      </c>
      <c r="F71" s="9" t="n">
        <v>242.49</v>
      </c>
      <c r="G71" s="9">
        <f>ROUND(E71-F71,2)</f>
        <v>0</v>
      </c>
    </row>
    <row r="72">
      <c r="A72" t="inlineStr">
        <is>
          <t>RA44816</t>
        </is>
      </c>
      <c r="B72" t="inlineStr">
        <is>
          <t>Wattle Plan Services</t>
        </is>
      </c>
      <c r="C72" s="5" t="n">
        <v>46206</v>
      </c>
      <c r="D72" t="inlineStr">
        <is>
          <t>INV/2026/01537</t>
        </is>
      </c>
      <c r="E72" s="9" t="n">
        <v>155.19</v>
      </c>
      <c r="F72" s="9" t="n">
        <v>155.19</v>
      </c>
      <c r="G72" s="9">
        <f>ROUND(E72-F72,2)</f>
        <v>0</v>
      </c>
    </row>
    <row r="73">
      <c r="A73" t="inlineStr">
        <is>
          <t>RA44817</t>
        </is>
      </c>
      <c r="B73" t="inlineStr">
        <is>
          <t>Saltbush Plan Managers</t>
        </is>
      </c>
      <c r="C73" s="5" t="n">
        <v>46206</v>
      </c>
      <c r="D73" t="inlineStr">
        <is>
          <t>INV/2026/01410</t>
        </is>
      </c>
      <c r="E73" s="9" t="n">
        <v>223.99</v>
      </c>
      <c r="F73" s="9" t="n">
        <v>223.99</v>
      </c>
      <c r="G73" s="9">
        <f>ROUND(E73-F73,2)</f>
        <v>0</v>
      </c>
    </row>
    <row r="74">
      <c r="A74" t="inlineStr">
        <is>
          <t>RA44817</t>
        </is>
      </c>
      <c r="B74" t="inlineStr">
        <is>
          <t>Saltbush Plan Managers</t>
        </is>
      </c>
      <c r="C74" s="5" t="n">
        <v>46206</v>
      </c>
      <c r="D74" t="inlineStr">
        <is>
          <t>INV/2026/01434</t>
        </is>
      </c>
      <c r="E74" s="9" t="n">
        <v>145.49</v>
      </c>
      <c r="F74" s="9" t="n">
        <v>145.49</v>
      </c>
      <c r="G74" s="9">
        <f>ROUND(E74-F74,2)</f>
        <v>0</v>
      </c>
    </row>
    <row r="75">
      <c r="A75" t="inlineStr">
        <is>
          <t>RA44818</t>
        </is>
      </c>
      <c r="B75" t="inlineStr">
        <is>
          <t>Redgum Plan Admin</t>
        </is>
      </c>
      <c r="C75" s="5" t="n">
        <v>46206</v>
      </c>
      <c r="D75" t="inlineStr">
        <is>
          <t>INV/2026/01411</t>
        </is>
      </c>
      <c r="E75" s="9" t="n">
        <v>242.49</v>
      </c>
      <c r="F75" s="9" t="n">
        <v>242.49</v>
      </c>
      <c r="G75" s="9">
        <f>ROUND(E75-F75,2)</f>
        <v>0</v>
      </c>
    </row>
    <row r="76">
      <c r="A76" t="inlineStr">
        <is>
          <t>RA44818</t>
        </is>
      </c>
      <c r="B76" t="inlineStr">
        <is>
          <t>Redgum Plan Admin</t>
        </is>
      </c>
      <c r="C76" s="5" t="n">
        <v>46206</v>
      </c>
      <c r="D76" t="inlineStr">
        <is>
          <t>INV/2026/01412</t>
        </is>
      </c>
      <c r="E76" s="9" t="n">
        <v>96.98999999999999</v>
      </c>
      <c r="F76" s="9" t="n">
        <v>96.98999999999999</v>
      </c>
      <c r="G76" s="9">
        <f>ROUND(E76-F76,2)</f>
        <v>0</v>
      </c>
    </row>
    <row r="77">
      <c r="A77" t="inlineStr">
        <is>
          <t>RA44818</t>
        </is>
      </c>
      <c r="B77" t="inlineStr">
        <is>
          <t>Redgum Plan Admin</t>
        </is>
      </c>
      <c r="C77" s="5" t="n">
        <v>46206</v>
      </c>
      <c r="D77" t="inlineStr">
        <is>
          <t>INV/2026/01435</t>
        </is>
      </c>
      <c r="E77" s="9" t="n">
        <v>96.98999999999999</v>
      </c>
      <c r="F77" s="9" t="n">
        <v>96.98999999999999</v>
      </c>
      <c r="G77" s="9">
        <f>ROUND(E77-F77,2)</f>
        <v>0</v>
      </c>
    </row>
    <row r="78">
      <c r="A78" t="inlineStr">
        <is>
          <t>RA44819</t>
        </is>
      </c>
      <c r="B78" t="inlineStr">
        <is>
          <t>Tallowwood Plans</t>
        </is>
      </c>
      <c r="C78" s="5" t="n">
        <v>46206</v>
      </c>
      <c r="D78" t="inlineStr">
        <is>
          <t>INV/2026/01490</t>
        </is>
      </c>
      <c r="E78" s="9" t="n">
        <v>387.98</v>
      </c>
      <c r="F78" s="9" t="n">
        <v>387.98</v>
      </c>
      <c r="G78" s="9">
        <f>ROUND(E78-F78,2)</f>
        <v>0</v>
      </c>
    </row>
    <row r="79">
      <c r="A79" t="inlineStr">
        <is>
          <t>RA44819</t>
        </is>
      </c>
      <c r="B79" t="inlineStr">
        <is>
          <t>Tallowwood Plans</t>
        </is>
      </c>
      <c r="C79" s="5" t="n">
        <v>46206</v>
      </c>
      <c r="D79" t="inlineStr">
        <is>
          <t>INV/2026/01511</t>
        </is>
      </c>
      <c r="E79" s="9" t="n">
        <v>126.99</v>
      </c>
      <c r="F79" s="9" t="n">
        <v>126.99</v>
      </c>
      <c r="G79" s="9">
        <f>ROUND(E79-F79,2)</f>
        <v>0</v>
      </c>
    </row>
    <row r="80">
      <c r="A80" t="inlineStr">
        <is>
          <t>RA44819</t>
        </is>
      </c>
      <c r="B80" t="inlineStr">
        <is>
          <t>Tallowwood Plans</t>
        </is>
      </c>
      <c r="C80" s="5" t="n">
        <v>46206</v>
      </c>
      <c r="D80" t="inlineStr">
        <is>
          <t>INV/2026/01530</t>
        </is>
      </c>
      <c r="E80" s="9" t="n">
        <v>193.99</v>
      </c>
      <c r="F80" s="9" t="n">
        <v>193.99</v>
      </c>
      <c r="G80" s="9">
        <f>ROUND(E80-F80,2)</f>
        <v>0</v>
      </c>
    </row>
    <row r="81">
      <c r="A81" t="inlineStr">
        <is>
          <t>RA44819</t>
        </is>
      </c>
      <c r="B81" t="inlineStr">
        <is>
          <t>Tallowwood Plans</t>
        </is>
      </c>
      <c r="C81" s="5" t="n">
        <v>46206</v>
      </c>
      <c r="D81" t="inlineStr">
        <is>
          <t>INV/2026/01548</t>
        </is>
      </c>
      <c r="E81" s="9" t="n">
        <v>349.18</v>
      </c>
      <c r="F81" s="9" t="n">
        <v>349.18</v>
      </c>
      <c r="G81" s="9">
        <f>ROUND(E81-F81,2)</f>
        <v>0</v>
      </c>
    </row>
    <row r="82">
      <c r="A82" t="inlineStr">
        <is>
          <t>RA44819</t>
        </is>
      </c>
      <c r="B82" t="inlineStr">
        <is>
          <t>Tallowwood Plans</t>
        </is>
      </c>
      <c r="C82" s="5" t="n">
        <v>46206</v>
      </c>
      <c r="D82" t="inlineStr">
        <is>
          <t>INV/2026/01549</t>
        </is>
      </c>
      <c r="E82" s="9" t="n">
        <v>175.49</v>
      </c>
      <c r="F82" s="9" t="n">
        <v>175.49</v>
      </c>
      <c r="G82" s="9">
        <f>ROUND(E82-F82,2)</f>
        <v>0</v>
      </c>
    </row>
    <row r="83">
      <c r="A83" t="inlineStr">
        <is>
          <t>RA44819</t>
        </is>
      </c>
      <c r="B83" t="inlineStr">
        <is>
          <t>Tallowwood Plans</t>
        </is>
      </c>
      <c r="C83" s="5" t="n">
        <v>46206</v>
      </c>
      <c r="D83" t="inlineStr">
        <is>
          <t>INV/2026/01574</t>
        </is>
      </c>
      <c r="E83" s="9" t="n">
        <v>96.98999999999999</v>
      </c>
      <c r="F83" s="9" t="n">
        <v>96.98999999999999</v>
      </c>
      <c r="G83" s="9">
        <f>ROUND(E83-F83,2)</f>
        <v>0</v>
      </c>
    </row>
    <row r="84">
      <c r="A84" t="inlineStr">
        <is>
          <t>RA44819</t>
        </is>
      </c>
      <c r="B84" t="inlineStr">
        <is>
          <t>Tallowwood Plans</t>
        </is>
      </c>
      <c r="C84" s="5" t="n">
        <v>46206</v>
      </c>
      <c r="D84" t="inlineStr">
        <is>
          <t>INV/2026/01627</t>
        </is>
      </c>
      <c r="E84" s="9" t="n">
        <v>96.98999999999999</v>
      </c>
      <c r="F84" s="9" t="n">
        <v>96.98999999999999</v>
      </c>
      <c r="G84" s="9">
        <f>ROUND(E84-F84,2)</f>
        <v>0</v>
      </c>
    </row>
    <row r="85">
      <c r="A85" t="inlineStr">
        <is>
          <t>RA44819</t>
        </is>
      </c>
      <c r="B85" t="inlineStr">
        <is>
          <t>Tallowwood Plans</t>
        </is>
      </c>
      <c r="C85" s="5" t="n">
        <v>46206</v>
      </c>
      <c r="D85" t="inlineStr">
        <is>
          <t>INV/2026/01657</t>
        </is>
      </c>
      <c r="E85" s="9" t="n">
        <v>417.98</v>
      </c>
      <c r="F85" s="9" t="n">
        <v>417.98</v>
      </c>
      <c r="G85" s="9">
        <f>ROUND(E85-F85,2)</f>
        <v>0</v>
      </c>
    </row>
    <row r="86">
      <c r="A86" t="inlineStr">
        <is>
          <t>RA44819</t>
        </is>
      </c>
      <c r="B86" t="inlineStr">
        <is>
          <t>Tallowwood Plans</t>
        </is>
      </c>
      <c r="C86" s="5" t="n">
        <v>46206</v>
      </c>
      <c r="D86" t="inlineStr">
        <is>
          <t>INV/2026/01658</t>
        </is>
      </c>
      <c r="E86" s="9" t="n">
        <v>446.18</v>
      </c>
      <c r="F86" s="9" t="n">
        <v>446.18</v>
      </c>
      <c r="G86" s="9">
        <f>ROUND(E86-F86,2)</f>
        <v>0</v>
      </c>
    </row>
    <row r="87">
      <c r="A87" t="inlineStr">
        <is>
          <t>RA44819</t>
        </is>
      </c>
      <c r="B87" t="inlineStr">
        <is>
          <t>Tallowwood Plans</t>
        </is>
      </c>
      <c r="C87" s="5" t="n">
        <v>46206</v>
      </c>
      <c r="D87" t="inlineStr">
        <is>
          <t>INV/2026/01678</t>
        </is>
      </c>
      <c r="E87" s="9" t="n">
        <v>272.49</v>
      </c>
      <c r="F87" s="9" t="n">
        <v>272.49</v>
      </c>
      <c r="G87" s="9">
        <f>ROUND(E87-F87,2)</f>
        <v>0</v>
      </c>
    </row>
    <row r="88">
      <c r="A88" t="inlineStr">
        <is>
          <t>RA44819</t>
        </is>
      </c>
      <c r="B88" t="inlineStr">
        <is>
          <t>Tallowwood Plans</t>
        </is>
      </c>
      <c r="C88" s="5" t="n">
        <v>46206</v>
      </c>
      <c r="D88" t="inlineStr">
        <is>
          <t>INV/2026/01679</t>
        </is>
      </c>
      <c r="E88" s="9" t="n">
        <v>387.98</v>
      </c>
      <c r="F88" s="9" t="n">
        <v>387.98</v>
      </c>
      <c r="G88" s="9">
        <f>ROUND(E88-F88,2)</f>
        <v>0</v>
      </c>
    </row>
    <row r="89">
      <c r="A89" t="inlineStr">
        <is>
          <t>RA44819</t>
        </is>
      </c>
      <c r="B89" t="inlineStr">
        <is>
          <t>Tallowwood Plans</t>
        </is>
      </c>
      <c r="C89" s="5" t="n">
        <v>46206</v>
      </c>
      <c r="D89" t="inlineStr">
        <is>
          <t>INV/2026/01724</t>
        </is>
      </c>
      <c r="E89" s="9" t="n">
        <v>242.49</v>
      </c>
      <c r="F89" s="9" t="n">
        <v>242.49</v>
      </c>
      <c r="G89" s="9">
        <f>ROUND(E89-F89,2)</f>
        <v>0</v>
      </c>
    </row>
    <row r="90">
      <c r="A90" t="inlineStr">
        <is>
          <t>RA44820</t>
        </is>
      </c>
      <c r="B90" t="inlineStr">
        <is>
          <t>Acacia Plan Partners</t>
        </is>
      </c>
      <c r="C90" s="5" t="n">
        <v>46206</v>
      </c>
      <c r="D90" t="inlineStr">
        <is>
          <t>INV/2026/01550</t>
        </is>
      </c>
      <c r="E90" s="9" t="n">
        <v>349.18</v>
      </c>
      <c r="F90" s="9" t="n">
        <v>349.18</v>
      </c>
      <c r="G90" s="9">
        <f>ROUND(E90-F90,2)</f>
        <v>0</v>
      </c>
    </row>
    <row r="91">
      <c r="A91" t="inlineStr">
        <is>
          <t>RA44820</t>
        </is>
      </c>
      <c r="B91" t="inlineStr">
        <is>
          <t>Acacia Plan Partners</t>
        </is>
      </c>
      <c r="C91" s="5" t="n">
        <v>46206</v>
      </c>
      <c r="D91" t="inlineStr">
        <is>
          <t>INV/2026/01551</t>
        </is>
      </c>
      <c r="E91" s="9" t="n">
        <v>242.49</v>
      </c>
      <c r="F91" s="9" t="n">
        <v>242.49</v>
      </c>
      <c r="G91" s="9">
        <f>ROUND(E91-F91,2)</f>
        <v>0</v>
      </c>
    </row>
    <row r="92">
      <c r="A92" t="inlineStr">
        <is>
          <t>RA44820</t>
        </is>
      </c>
      <c r="B92" t="inlineStr">
        <is>
          <t>Acacia Plan Partners</t>
        </is>
      </c>
      <c r="C92" s="5" t="n">
        <v>46206</v>
      </c>
      <c r="D92" t="inlineStr">
        <is>
          <t>INV/2026/01575</t>
        </is>
      </c>
      <c r="E92" s="9" t="n">
        <v>290.98</v>
      </c>
      <c r="F92" s="9" t="n">
        <v>290.98</v>
      </c>
      <c r="G92" s="9">
        <f>ROUND(E92-F92,2)</f>
        <v>0</v>
      </c>
    </row>
    <row r="93">
      <c r="A93" t="inlineStr">
        <is>
          <t>RA44820</t>
        </is>
      </c>
      <c r="B93" t="inlineStr">
        <is>
          <t>Acacia Plan Partners</t>
        </is>
      </c>
      <c r="C93" s="5" t="n">
        <v>46206</v>
      </c>
      <c r="D93" t="inlineStr">
        <is>
          <t>INV/2026/01576</t>
        </is>
      </c>
      <c r="E93" s="9" t="n">
        <v>242.49</v>
      </c>
      <c r="F93" s="9" t="n">
        <v>242.49</v>
      </c>
      <c r="G93" s="9">
        <f>ROUND(E93-F93,2)</f>
        <v>0</v>
      </c>
    </row>
    <row r="94">
      <c r="A94" t="inlineStr">
        <is>
          <t>RA44820</t>
        </is>
      </c>
      <c r="B94" t="inlineStr">
        <is>
          <t>Acacia Plan Partners</t>
        </is>
      </c>
      <c r="C94" s="5" t="n">
        <v>46206</v>
      </c>
      <c r="D94" t="inlineStr">
        <is>
          <t>INV/2026/01605</t>
        </is>
      </c>
      <c r="E94" s="9" t="n">
        <v>446.18</v>
      </c>
      <c r="F94" s="9" t="n">
        <v>446.18</v>
      </c>
      <c r="G94" s="9">
        <f>ROUND(E94-F94,2)</f>
        <v>0</v>
      </c>
    </row>
    <row r="95">
      <c r="A95" t="inlineStr">
        <is>
          <t>RA44820</t>
        </is>
      </c>
      <c r="B95" t="inlineStr">
        <is>
          <t>Acacia Plan Partners</t>
        </is>
      </c>
      <c r="C95" s="5" t="n">
        <v>46206</v>
      </c>
      <c r="D95" t="inlineStr">
        <is>
          <t>INV/2026/01606</t>
        </is>
      </c>
      <c r="E95" s="9" t="n">
        <v>349.18</v>
      </c>
      <c r="F95" s="9" t="n">
        <v>349.18</v>
      </c>
      <c r="G95" s="9">
        <f>ROUND(E95-F95,2)</f>
        <v>0</v>
      </c>
    </row>
    <row r="96">
      <c r="A96" t="inlineStr">
        <is>
          <t>RA44821</t>
        </is>
      </c>
      <c r="B96" t="inlineStr">
        <is>
          <t>Riverbend Plan Partners</t>
        </is>
      </c>
      <c r="C96" s="5" t="n">
        <v>46209</v>
      </c>
      <c r="D96" t="inlineStr">
        <is>
          <t>INV/2026/01516</t>
        </is>
      </c>
      <c r="E96" s="9" t="n">
        <v>387.98</v>
      </c>
      <c r="F96" s="9" t="n">
        <v>387.98</v>
      </c>
      <c r="G96" s="9">
        <f>ROUND(E96-F96,2)</f>
        <v>0</v>
      </c>
    </row>
    <row r="97">
      <c r="A97" t="inlineStr">
        <is>
          <t>RA44821</t>
        </is>
      </c>
      <c r="B97" t="inlineStr">
        <is>
          <t>Riverbend Plan Partners</t>
        </is>
      </c>
      <c r="C97" s="5" t="n">
        <v>46209</v>
      </c>
      <c r="D97" t="inlineStr">
        <is>
          <t>INV/2026/01557</t>
        </is>
      </c>
      <c r="E97" s="9" t="n">
        <v>145.49</v>
      </c>
      <c r="F97" s="9" t="n">
        <v>145.49</v>
      </c>
      <c r="G97" s="9">
        <f>ROUND(E97-F97,2)</f>
        <v>0</v>
      </c>
    </row>
    <row r="98">
      <c r="A98" t="inlineStr">
        <is>
          <t>RA44821</t>
        </is>
      </c>
      <c r="B98" t="inlineStr">
        <is>
          <t>Riverbend Plan Partners</t>
        </is>
      </c>
      <c r="C98" s="5" t="n">
        <v>46209</v>
      </c>
      <c r="D98" t="inlineStr">
        <is>
          <t>INV/2026/01585</t>
        </is>
      </c>
      <c r="E98" s="9" t="n">
        <v>349.18</v>
      </c>
      <c r="F98" s="9" t="n">
        <v>349.18</v>
      </c>
      <c r="G98" s="9">
        <f>ROUND(E98-F98,2)</f>
        <v>0</v>
      </c>
    </row>
    <row r="99">
      <c r="A99" t="inlineStr">
        <is>
          <t>RA44821</t>
        </is>
      </c>
      <c r="B99" t="inlineStr">
        <is>
          <t>Riverbend Plan Partners</t>
        </is>
      </c>
      <c r="C99" s="5" t="n">
        <v>46209</v>
      </c>
      <c r="D99" t="inlineStr">
        <is>
          <t>INV/2026/01586</t>
        </is>
      </c>
      <c r="E99" s="9" t="n">
        <v>300.69</v>
      </c>
      <c r="F99" s="9" t="n">
        <v>300.69</v>
      </c>
      <c r="G99" s="9">
        <f>ROUND(E99-F99,2)</f>
        <v>0</v>
      </c>
    </row>
    <row r="100">
      <c r="A100" t="inlineStr">
        <is>
          <t>RA44821</t>
        </is>
      </c>
      <c r="B100" t="inlineStr">
        <is>
          <t>Riverbend Plan Partners</t>
        </is>
      </c>
      <c r="C100" s="5" t="n">
        <v>46209</v>
      </c>
      <c r="D100" t="inlineStr">
        <is>
          <t>INV/2026/01640</t>
        </is>
      </c>
      <c r="E100" s="9" t="n">
        <v>96.98999999999999</v>
      </c>
      <c r="F100" s="9" t="n">
        <v>96.98999999999999</v>
      </c>
      <c r="G100" s="9">
        <f>ROUND(E100-F100,2)</f>
        <v>0</v>
      </c>
    </row>
    <row r="101">
      <c r="A101" t="inlineStr">
        <is>
          <t>RA44821</t>
        </is>
      </c>
      <c r="B101" t="inlineStr">
        <is>
          <t>Riverbend Plan Partners</t>
        </is>
      </c>
      <c r="C101" s="5" t="n">
        <v>46209</v>
      </c>
      <c r="D101" t="inlineStr">
        <is>
          <t>INV/2026/01663</t>
        </is>
      </c>
      <c r="E101" s="9" t="n">
        <v>300.69</v>
      </c>
      <c r="F101" s="9" t="n">
        <v>300.69</v>
      </c>
      <c r="G101" s="9">
        <f>ROUND(E101-F101,2)</f>
        <v>0</v>
      </c>
    </row>
    <row r="102">
      <c r="A102" t="inlineStr">
        <is>
          <t>RA44821</t>
        </is>
      </c>
      <c r="B102" t="inlineStr">
        <is>
          <t>Riverbend Plan Partners</t>
        </is>
      </c>
      <c r="C102" s="5" t="n">
        <v>46209</v>
      </c>
      <c r="D102" t="inlineStr">
        <is>
          <t>INV/2026/01688</t>
        </is>
      </c>
      <c r="E102" s="9" t="n">
        <v>349.18</v>
      </c>
      <c r="F102" s="9" t="n">
        <v>349.18</v>
      </c>
      <c r="G102" s="9">
        <f>ROUND(E102-F102,2)</f>
        <v>0</v>
      </c>
    </row>
    <row r="103">
      <c r="A103" t="inlineStr">
        <is>
          <t>RA44821</t>
        </is>
      </c>
      <c r="B103" t="inlineStr">
        <is>
          <t>Riverbend Plan Partners</t>
        </is>
      </c>
      <c r="C103" s="5" t="n">
        <v>46209</v>
      </c>
      <c r="D103" t="inlineStr">
        <is>
          <t>INV/2026/01707</t>
        </is>
      </c>
      <c r="E103" s="9" t="n">
        <v>223.99</v>
      </c>
      <c r="F103" s="9" t="n">
        <v>223.99</v>
      </c>
      <c r="G103" s="9">
        <f>ROUND(E103-F103,2)</f>
        <v>0</v>
      </c>
    </row>
    <row r="104">
      <c r="A104" t="inlineStr">
        <is>
          <t>RA44822</t>
        </is>
      </c>
      <c r="B104" t="inlineStr">
        <is>
          <t>Clearpath NDIS Plans</t>
        </is>
      </c>
      <c r="C104" s="5" t="n">
        <v>46209</v>
      </c>
      <c r="D104" t="inlineStr">
        <is>
          <t>INV/2026/01453</t>
        </is>
      </c>
      <c r="E104" s="9" t="n">
        <v>175.49</v>
      </c>
      <c r="F104" s="9" t="n">
        <v>175.49</v>
      </c>
      <c r="G104" s="9">
        <f>ROUND(E104-F104,2)</f>
        <v>0</v>
      </c>
    </row>
    <row r="105">
      <c r="A105" t="inlineStr">
        <is>
          <t>RA44822</t>
        </is>
      </c>
      <c r="B105" t="inlineStr">
        <is>
          <t>Clearpath NDIS Plans</t>
        </is>
      </c>
      <c r="C105" s="5" t="n">
        <v>46209</v>
      </c>
      <c r="D105" t="inlineStr">
        <is>
          <t>INV/2026/01454</t>
        </is>
      </c>
      <c r="E105" s="9" t="n">
        <v>193.99</v>
      </c>
      <c r="F105" s="9" t="n">
        <v>193.99</v>
      </c>
      <c r="G105" s="9">
        <f>ROUND(E105-F105,2)</f>
        <v>0</v>
      </c>
    </row>
    <row r="106">
      <c r="A106" t="inlineStr">
        <is>
          <t>RA44822</t>
        </is>
      </c>
      <c r="B106" t="inlineStr">
        <is>
          <t>Clearpath NDIS Plans</t>
        </is>
      </c>
      <c r="C106" s="5" t="n">
        <v>46209</v>
      </c>
      <c r="D106" t="inlineStr">
        <is>
          <t>INV/2026/01481</t>
        </is>
      </c>
      <c r="E106" s="9" t="n">
        <v>242.49</v>
      </c>
      <c r="F106" s="9" t="n">
        <v>242.49</v>
      </c>
      <c r="G106" s="9">
        <f>ROUND(E106-F106,2)</f>
        <v>0</v>
      </c>
    </row>
    <row r="107">
      <c r="A107" t="inlineStr">
        <is>
          <t>RA44822</t>
        </is>
      </c>
      <c r="B107" t="inlineStr">
        <is>
          <t>Clearpath NDIS Plans</t>
        </is>
      </c>
      <c r="C107" s="5" t="n">
        <v>46209</v>
      </c>
      <c r="D107" t="inlineStr">
        <is>
          <t>INV/2026/01501</t>
        </is>
      </c>
      <c r="E107" s="9" t="n">
        <v>96.98999999999999</v>
      </c>
      <c r="F107" s="9" t="n">
        <v>96.98999999999999</v>
      </c>
      <c r="G107" s="9">
        <f>ROUND(E107-F107,2)</f>
        <v>0</v>
      </c>
    </row>
    <row r="108">
      <c r="A108" t="inlineStr">
        <is>
          <t>RA44822</t>
        </is>
      </c>
      <c r="B108" t="inlineStr">
        <is>
          <t>Clearpath NDIS Plans</t>
        </is>
      </c>
      <c r="C108" s="5" t="n">
        <v>46209</v>
      </c>
      <c r="D108" t="inlineStr">
        <is>
          <t>INV/2026/01502</t>
        </is>
      </c>
      <c r="E108" s="9" t="n">
        <v>96.98999999999999</v>
      </c>
      <c r="F108" s="9" t="n">
        <v>96.98999999999999</v>
      </c>
      <c r="G108" s="9">
        <f>ROUND(E108-F108,2)</f>
        <v>0</v>
      </c>
    </row>
    <row r="109">
      <c r="A109" t="inlineStr">
        <is>
          <t>RA44822</t>
        </is>
      </c>
      <c r="B109" t="inlineStr">
        <is>
          <t>Clearpath NDIS Plans</t>
        </is>
      </c>
      <c r="C109" s="5" t="n">
        <v>46209</v>
      </c>
      <c r="D109" t="inlineStr">
        <is>
          <t>INV/2026/01536</t>
        </is>
      </c>
      <c r="E109" s="9" t="n">
        <v>242.49</v>
      </c>
      <c r="F109" s="9" t="n">
        <v>242.49</v>
      </c>
      <c r="G109" s="9">
        <f>ROUND(E109-F109,2)</f>
        <v>0</v>
      </c>
    </row>
    <row r="110">
      <c r="A110" t="inlineStr">
        <is>
          <t>RA44822</t>
        </is>
      </c>
      <c r="B110" t="inlineStr">
        <is>
          <t>Clearpath NDIS Plans</t>
        </is>
      </c>
      <c r="C110" s="5" t="n">
        <v>46209</v>
      </c>
      <c r="D110" t="inlineStr">
        <is>
          <t>INV/2026/01558</t>
        </is>
      </c>
      <c r="E110" s="9" t="n">
        <v>145.49</v>
      </c>
      <c r="F110" s="9" t="n">
        <v>145.49</v>
      </c>
      <c r="G110" s="9">
        <f>ROUND(E110-F110,2)</f>
        <v>0</v>
      </c>
    </row>
    <row r="111">
      <c r="A111" t="inlineStr">
        <is>
          <t>RA44822</t>
        </is>
      </c>
      <c r="B111" t="inlineStr">
        <is>
          <t>Clearpath NDIS Plans</t>
        </is>
      </c>
      <c r="C111" s="5" t="n">
        <v>46209</v>
      </c>
      <c r="D111" t="inlineStr">
        <is>
          <t>INV/2026/01587</t>
        </is>
      </c>
      <c r="E111" s="9" t="n">
        <v>349.18</v>
      </c>
      <c r="F111" s="9" t="n">
        <v>349.18</v>
      </c>
      <c r="G111" s="9">
        <f>ROUND(E111-F111,2)</f>
        <v>0</v>
      </c>
    </row>
    <row r="112">
      <c r="A112" t="inlineStr">
        <is>
          <t>RA44823</t>
        </is>
      </c>
      <c r="B112" t="inlineStr">
        <is>
          <t>Wattle Plan Services</t>
        </is>
      </c>
      <c r="C112" s="5" t="n">
        <v>46209</v>
      </c>
      <c r="D112" t="inlineStr">
        <is>
          <t>INV/2026/01538</t>
        </is>
      </c>
      <c r="E112" s="9" t="n">
        <v>242.49</v>
      </c>
      <c r="F112" s="9" t="n">
        <v>242.49</v>
      </c>
      <c r="G112" s="9">
        <f>ROUND(E112-F112,2)</f>
        <v>0</v>
      </c>
    </row>
    <row r="113">
      <c r="A113" t="inlineStr">
        <is>
          <t>RA44823</t>
        </is>
      </c>
      <c r="B113" t="inlineStr">
        <is>
          <t>Wattle Plan Services</t>
        </is>
      </c>
      <c r="C113" s="5" t="n">
        <v>46209</v>
      </c>
      <c r="D113" t="inlineStr">
        <is>
          <t>INV/2026/01539</t>
        </is>
      </c>
      <c r="E113" s="9" t="n">
        <v>242.49</v>
      </c>
      <c r="F113" s="9" t="n">
        <v>242.49</v>
      </c>
      <c r="G113" s="9">
        <f>ROUND(E113-F113,2)</f>
        <v>0</v>
      </c>
    </row>
    <row r="114">
      <c r="A114" t="inlineStr">
        <is>
          <t>RA44823</t>
        </is>
      </c>
      <c r="B114" t="inlineStr">
        <is>
          <t>Wattle Plan Services</t>
        </is>
      </c>
      <c r="C114" s="5" t="n">
        <v>46209</v>
      </c>
      <c r="D114" t="inlineStr">
        <is>
          <t>INV/2026/01559</t>
        </is>
      </c>
      <c r="E114" s="9" t="n">
        <v>252.19</v>
      </c>
      <c r="F114" s="9" t="n">
        <v>252.19</v>
      </c>
      <c r="G114" s="9">
        <f>ROUND(E114-F114,2)</f>
        <v>0</v>
      </c>
    </row>
    <row r="115">
      <c r="A115" t="inlineStr">
        <is>
          <t>RA44823</t>
        </is>
      </c>
      <c r="B115" t="inlineStr">
        <is>
          <t>Wattle Plan Services</t>
        </is>
      </c>
      <c r="C115" s="5" t="n">
        <v>46209</v>
      </c>
      <c r="D115" t="inlineStr">
        <is>
          <t>INV/2026/01560</t>
        </is>
      </c>
      <c r="E115" s="9" t="n">
        <v>242.49</v>
      </c>
      <c r="F115" s="9" t="n">
        <v>242.49</v>
      </c>
      <c r="G115" s="9">
        <f>ROUND(E115-F115,2)</f>
        <v>0</v>
      </c>
    </row>
    <row r="116">
      <c r="A116" t="inlineStr">
        <is>
          <t>RA44823</t>
        </is>
      </c>
      <c r="B116" t="inlineStr">
        <is>
          <t>Wattle Plan Services</t>
        </is>
      </c>
      <c r="C116" s="5" t="n">
        <v>46209</v>
      </c>
      <c r="D116" t="inlineStr">
        <is>
          <t>INV/2026/01589</t>
        </is>
      </c>
      <c r="E116" s="9" t="n">
        <v>203.69</v>
      </c>
      <c r="F116" s="9" t="n">
        <v>203.69</v>
      </c>
      <c r="G116" s="9">
        <f>ROUND(E116-F116,2)</f>
        <v>0</v>
      </c>
    </row>
    <row r="117">
      <c r="A117" t="inlineStr">
        <is>
          <t>RA44823</t>
        </is>
      </c>
      <c r="B117" t="inlineStr">
        <is>
          <t>Wattle Plan Services</t>
        </is>
      </c>
      <c r="C117" s="5" t="n">
        <v>46209</v>
      </c>
      <c r="D117" t="inlineStr">
        <is>
          <t>INV/2026/01590</t>
        </is>
      </c>
      <c r="E117" s="9" t="n">
        <v>446.18</v>
      </c>
      <c r="F117" s="9" t="n">
        <v>446.18</v>
      </c>
      <c r="G117" s="9">
        <f>ROUND(E117-F117,2)</f>
        <v>0</v>
      </c>
    </row>
    <row r="118">
      <c r="A118" t="inlineStr">
        <is>
          <t>RA44824</t>
        </is>
      </c>
      <c r="B118" t="inlineStr">
        <is>
          <t>Saltbush Plan Managers</t>
        </is>
      </c>
      <c r="C118" s="5" t="n">
        <v>46209</v>
      </c>
      <c r="D118" t="inlineStr">
        <is>
          <t>INV/2026/01464</t>
        </is>
      </c>
      <c r="E118" s="9" t="n">
        <v>290.98</v>
      </c>
      <c r="F118" s="9" t="n">
        <v>290.98</v>
      </c>
      <c r="G118" s="9">
        <f>ROUND(E118-F118,2)</f>
        <v>0</v>
      </c>
    </row>
    <row r="119">
      <c r="A119" t="inlineStr">
        <is>
          <t>RA44824</t>
        </is>
      </c>
      <c r="B119" t="inlineStr">
        <is>
          <t>Saltbush Plan Managers</t>
        </is>
      </c>
      <c r="C119" s="5" t="n">
        <v>46209</v>
      </c>
      <c r="D119" t="inlineStr">
        <is>
          <t>INV/2026/01505</t>
        </is>
      </c>
      <c r="E119" s="9" t="n">
        <v>193.99</v>
      </c>
      <c r="F119" s="9" t="n">
        <v>193.99</v>
      </c>
      <c r="G119" s="9">
        <f>ROUND(E119-F119,2)</f>
        <v>0</v>
      </c>
    </row>
    <row r="120">
      <c r="A120" t="inlineStr">
        <is>
          <t>RA44824</t>
        </is>
      </c>
      <c r="B120" t="inlineStr">
        <is>
          <t>Saltbush Plan Managers</t>
        </is>
      </c>
      <c r="C120" s="5" t="n">
        <v>46209</v>
      </c>
      <c r="D120" t="inlineStr">
        <is>
          <t>INV/2026/01525</t>
        </is>
      </c>
      <c r="E120" s="9" t="n">
        <v>155.19</v>
      </c>
      <c r="F120" s="9" t="n">
        <v>155.19</v>
      </c>
      <c r="G120" s="9">
        <f>ROUND(E120-F120,2)</f>
        <v>0</v>
      </c>
    </row>
    <row r="121">
      <c r="A121" t="inlineStr">
        <is>
          <t>RA44825</t>
        </is>
      </c>
      <c r="B121" t="inlineStr">
        <is>
          <t>Redgum Plan Admin</t>
        </is>
      </c>
      <c r="C121" s="5" t="n">
        <v>46209</v>
      </c>
      <c r="D121" t="inlineStr">
        <is>
          <t>INV/2026/01465</t>
        </is>
      </c>
      <c r="E121" s="9" t="n">
        <v>290.98</v>
      </c>
      <c r="F121" s="9" t="n">
        <v>290.98</v>
      </c>
      <c r="G121" s="9">
        <f>ROUND(E121-F121,2)</f>
        <v>0</v>
      </c>
    </row>
    <row r="122">
      <c r="A122" t="inlineStr">
        <is>
          <t>RA44825</t>
        </is>
      </c>
      <c r="B122" t="inlineStr">
        <is>
          <t>Redgum Plan Admin</t>
        </is>
      </c>
      <c r="C122" s="5" t="n">
        <v>46209</v>
      </c>
      <c r="D122" t="inlineStr">
        <is>
          <t>INV/2026/01466</t>
        </is>
      </c>
      <c r="E122" s="9" t="n">
        <v>96.98999999999999</v>
      </c>
      <c r="F122" s="9" t="n">
        <v>96.98999999999999</v>
      </c>
      <c r="G122" s="9">
        <f>ROUND(E122-F122,2)</f>
        <v>0</v>
      </c>
    </row>
    <row r="123">
      <c r="A123" t="inlineStr">
        <is>
          <t>RA44825</t>
        </is>
      </c>
      <c r="B123" t="inlineStr">
        <is>
          <t>Redgum Plan Admin</t>
        </is>
      </c>
      <c r="C123" s="5" t="n">
        <v>46209</v>
      </c>
      <c r="D123" t="inlineStr">
        <is>
          <t>INV/2026/01506</t>
        </is>
      </c>
      <c r="E123" s="9" t="n">
        <v>96.98999999999999</v>
      </c>
      <c r="F123" s="9" t="n">
        <v>96.98999999999999</v>
      </c>
      <c r="G123" s="9">
        <f>ROUND(E123-F123,2)</f>
        <v>0</v>
      </c>
    </row>
    <row r="124">
      <c r="A124" t="inlineStr">
        <is>
          <t>RA44825</t>
        </is>
      </c>
      <c r="B124" t="inlineStr">
        <is>
          <t>Redgum Plan Admin</t>
        </is>
      </c>
      <c r="C124" s="5" t="n">
        <v>46209</v>
      </c>
      <c r="D124" t="inlineStr">
        <is>
          <t>INV/2026/01507</t>
        </is>
      </c>
      <c r="E124" s="9" t="n">
        <v>320.98</v>
      </c>
      <c r="F124" s="9" t="n">
        <v>320.98</v>
      </c>
      <c r="G124" s="9">
        <f>ROUND(E124-F124,2)</f>
        <v>0</v>
      </c>
    </row>
    <row r="125">
      <c r="A125" t="inlineStr">
        <is>
          <t>RA44825</t>
        </is>
      </c>
      <c r="B125" t="inlineStr">
        <is>
          <t>Redgum Plan Admin</t>
        </is>
      </c>
      <c r="C125" s="5" t="n">
        <v>46209</v>
      </c>
      <c r="D125" t="inlineStr">
        <is>
          <t>INV/2026/01508</t>
        </is>
      </c>
      <c r="E125" s="9" t="n">
        <v>290.98</v>
      </c>
      <c r="F125" s="9" t="n">
        <v>290.98</v>
      </c>
      <c r="G125" s="9">
        <f>ROUND(E125-F125,2)</f>
        <v>0</v>
      </c>
    </row>
    <row r="126">
      <c r="A126" t="inlineStr">
        <is>
          <t>RA44825</t>
        </is>
      </c>
      <c r="B126" t="inlineStr">
        <is>
          <t>Redgum Plan Admin</t>
        </is>
      </c>
      <c r="C126" s="5" t="n">
        <v>46209</v>
      </c>
      <c r="D126" t="inlineStr">
        <is>
          <t>INV/2026/01526</t>
        </is>
      </c>
      <c r="E126" s="9" t="n">
        <v>96.98999999999999</v>
      </c>
      <c r="F126" s="9" t="n">
        <v>96.98999999999999</v>
      </c>
      <c r="G126" s="9">
        <f>ROUND(E126-F126,2)</f>
        <v>0</v>
      </c>
    </row>
    <row r="127">
      <c r="A127" t="inlineStr">
        <is>
          <t>RA44825</t>
        </is>
      </c>
      <c r="B127" t="inlineStr">
        <is>
          <t>Redgum Plan Admin</t>
        </is>
      </c>
      <c r="C127" s="5" t="n">
        <v>46209</v>
      </c>
      <c r="D127" t="inlineStr">
        <is>
          <t>INV/2026/01527</t>
        </is>
      </c>
      <c r="E127" s="9" t="n">
        <v>126.99</v>
      </c>
      <c r="F127" s="9" t="n">
        <v>126.99</v>
      </c>
      <c r="G127" s="9">
        <f>ROUND(E127-F127,2)</f>
        <v>0</v>
      </c>
    </row>
    <row r="128">
      <c r="A128" t="inlineStr">
        <is>
          <t>RA44825</t>
        </is>
      </c>
      <c r="B128" t="inlineStr">
        <is>
          <t>Redgum Plan Admin</t>
        </is>
      </c>
      <c r="C128" s="5" t="n">
        <v>46209</v>
      </c>
      <c r="D128" t="inlineStr">
        <is>
          <t>INV/2026/01528</t>
        </is>
      </c>
      <c r="E128" s="9" t="n">
        <v>193.99</v>
      </c>
      <c r="F128" s="9" t="n">
        <v>193.99</v>
      </c>
      <c r="G128" s="9">
        <f>ROUND(E128-F128,2)</f>
        <v>0</v>
      </c>
    </row>
    <row r="129">
      <c r="A129" t="inlineStr">
        <is>
          <t>RA44826</t>
        </is>
      </c>
      <c r="B129" t="inlineStr">
        <is>
          <t>Southern Cross Plan Mgmt</t>
        </is>
      </c>
      <c r="C129" s="5" t="n">
        <v>46209</v>
      </c>
      <c r="D129" t="inlineStr">
        <is>
          <t>INV/2026/01413</t>
        </is>
      </c>
      <c r="E129" s="9" t="n">
        <v>96.98999999999999</v>
      </c>
      <c r="F129" s="9" t="n">
        <v>96.98999999999999</v>
      </c>
      <c r="G129" s="9">
        <f>ROUND(E129-F129,2)</f>
        <v>0</v>
      </c>
    </row>
    <row r="130">
      <c r="A130" t="inlineStr">
        <is>
          <t>RA44826</t>
        </is>
      </c>
      <c r="B130" t="inlineStr">
        <is>
          <t>Southern Cross Plan Mgmt</t>
        </is>
      </c>
      <c r="C130" s="5" t="n">
        <v>46209</v>
      </c>
      <c r="D130" t="inlineStr">
        <is>
          <t>INV/2026/01436</t>
        </is>
      </c>
      <c r="E130" s="9" t="n">
        <v>96.98999999999999</v>
      </c>
      <c r="F130" s="9" t="n">
        <v>96.98999999999999</v>
      </c>
      <c r="G130" s="9">
        <f>ROUND(E130-F130,2)</f>
        <v>0</v>
      </c>
    </row>
    <row r="131">
      <c r="A131" t="inlineStr">
        <is>
          <t>RA44827</t>
        </is>
      </c>
      <c r="B131" t="inlineStr">
        <is>
          <t>Lyrebird Plan Management</t>
        </is>
      </c>
      <c r="C131" s="5" t="n">
        <v>46209</v>
      </c>
      <c r="D131" t="inlineStr">
        <is>
          <t>INV/2026/01416</t>
        </is>
      </c>
      <c r="E131" s="9" t="n">
        <v>145.49</v>
      </c>
      <c r="F131" s="9" t="n">
        <v>145.49</v>
      </c>
      <c r="G131" s="9">
        <f>ROUND(E131-F131,2)</f>
        <v>0</v>
      </c>
    </row>
    <row r="132">
      <c r="A132" t="inlineStr">
        <is>
          <t>RA44827</t>
        </is>
      </c>
      <c r="B132" t="inlineStr">
        <is>
          <t>Lyrebird Plan Management</t>
        </is>
      </c>
      <c r="C132" s="5" t="n">
        <v>46209</v>
      </c>
      <c r="D132" t="inlineStr">
        <is>
          <t>INV/2026/01437</t>
        </is>
      </c>
      <c r="E132" s="9" t="n">
        <v>223.99</v>
      </c>
      <c r="F132" s="9" t="n">
        <v>223.99</v>
      </c>
      <c r="G132" s="9">
        <f>ROUND(E132-F132,2)</f>
        <v>0</v>
      </c>
    </row>
    <row r="133">
      <c r="A133" t="inlineStr">
        <is>
          <t>RA44827</t>
        </is>
      </c>
      <c r="B133" t="inlineStr">
        <is>
          <t>Lyrebird Plan Management</t>
        </is>
      </c>
      <c r="C133" s="5" t="n">
        <v>46209</v>
      </c>
      <c r="D133" t="inlineStr">
        <is>
          <t>INV/2026/01438</t>
        </is>
      </c>
      <c r="E133" s="9" t="n">
        <v>155.19</v>
      </c>
      <c r="F133" s="9" t="n">
        <v>155.19</v>
      </c>
      <c r="G133" s="9">
        <f>ROUND(E133-F133,2)</f>
        <v>0</v>
      </c>
    </row>
    <row r="134">
      <c r="A134" t="inlineStr">
        <is>
          <t>RA44828</t>
        </is>
      </c>
      <c r="B134" t="inlineStr">
        <is>
          <t>Acacia Plan Partners</t>
        </is>
      </c>
      <c r="C134" s="5" t="n">
        <v>46209</v>
      </c>
      <c r="D134" t="inlineStr">
        <is>
          <t>INV/2026/01607</t>
        </is>
      </c>
      <c r="E134" s="9" t="n">
        <v>193.99</v>
      </c>
      <c r="F134" s="9" t="n">
        <v>193.99</v>
      </c>
      <c r="G134" s="9">
        <f>ROUND(E134-F134,2)</f>
        <v>0</v>
      </c>
    </row>
    <row r="135">
      <c r="A135" t="inlineStr">
        <is>
          <t>RA44828</t>
        </is>
      </c>
      <c r="B135" t="inlineStr">
        <is>
          <t>Acacia Plan Partners</t>
        </is>
      </c>
      <c r="C135" s="5" t="n">
        <v>46209</v>
      </c>
      <c r="D135" t="inlineStr">
        <is>
          <t>INV/2026/01628</t>
        </is>
      </c>
      <c r="E135" s="9" t="n">
        <v>417.98</v>
      </c>
      <c r="F135" s="9" t="n">
        <v>417.98</v>
      </c>
      <c r="G135" s="9">
        <f>ROUND(E135-F135,2)</f>
        <v>0</v>
      </c>
    </row>
    <row r="136">
      <c r="A136" t="inlineStr">
        <is>
          <t>RA44828</t>
        </is>
      </c>
      <c r="B136" t="inlineStr">
        <is>
          <t>Acacia Plan Partners</t>
        </is>
      </c>
      <c r="C136" s="5" t="n">
        <v>46209</v>
      </c>
      <c r="D136" t="inlineStr">
        <is>
          <t>INV/2026/01629</t>
        </is>
      </c>
      <c r="E136" s="9" t="n">
        <v>387.98</v>
      </c>
      <c r="F136" s="9" t="n">
        <v>387.98</v>
      </c>
      <c r="G136" s="9">
        <f>ROUND(E136-F136,2)</f>
        <v>0</v>
      </c>
    </row>
    <row r="137">
      <c r="A137" t="inlineStr">
        <is>
          <t>RA44828</t>
        </is>
      </c>
      <c r="B137" t="inlineStr">
        <is>
          <t>Acacia Plan Partners</t>
        </is>
      </c>
      <c r="C137" s="5" t="n">
        <v>46209</v>
      </c>
      <c r="D137" t="inlineStr">
        <is>
          <t>INV/2026/01630</t>
        </is>
      </c>
      <c r="E137" s="9" t="n">
        <v>193.99</v>
      </c>
      <c r="F137" s="9" t="n">
        <v>193.99</v>
      </c>
      <c r="G137" s="9">
        <f>ROUND(E137-F137,2)</f>
        <v>0</v>
      </c>
    </row>
    <row r="138">
      <c r="A138" t="inlineStr">
        <is>
          <t>RA44829</t>
        </is>
      </c>
      <c r="B138" t="inlineStr">
        <is>
          <t>Bluegum Plan Management</t>
        </is>
      </c>
      <c r="C138" s="5" t="n">
        <v>46210</v>
      </c>
      <c r="D138" t="inlineStr">
        <is>
          <t>INV/2026/01477</t>
        </is>
      </c>
      <c r="E138" s="9" t="n">
        <v>223.99</v>
      </c>
      <c r="F138" s="9" t="n">
        <v>223.99</v>
      </c>
      <c r="G138" s="9">
        <f>ROUND(E138-F138,2)</f>
        <v>0</v>
      </c>
    </row>
    <row r="139">
      <c r="A139" t="inlineStr">
        <is>
          <t>RA44829</t>
        </is>
      </c>
      <c r="B139" t="inlineStr">
        <is>
          <t>Bluegum Plan Management</t>
        </is>
      </c>
      <c r="C139" s="5" t="n">
        <v>46210</v>
      </c>
      <c r="D139" t="inlineStr">
        <is>
          <t>INV/2026/01478</t>
        </is>
      </c>
      <c r="E139" s="9" t="n">
        <v>223.99</v>
      </c>
      <c r="F139" s="9" t="n">
        <v>223.99</v>
      </c>
      <c r="G139" s="9">
        <f>ROUND(E139-F139,2)</f>
        <v>0</v>
      </c>
    </row>
    <row r="140">
      <c r="A140" t="inlineStr">
        <is>
          <t>RA44830</t>
        </is>
      </c>
      <c r="B140" t="inlineStr">
        <is>
          <t>Clearpath NDIS Plans</t>
        </is>
      </c>
      <c r="C140" s="5" t="n">
        <v>46210</v>
      </c>
      <c r="D140" t="inlineStr">
        <is>
          <t>INV/2026/01588</t>
        </is>
      </c>
      <c r="E140" s="9" t="n">
        <v>290.98</v>
      </c>
      <c r="F140" s="9" t="n">
        <v>290.98</v>
      </c>
      <c r="G140" s="9">
        <f>ROUND(E140-F140,2)</f>
        <v>0</v>
      </c>
    </row>
    <row r="141">
      <c r="A141" t="inlineStr">
        <is>
          <t>RA44830</t>
        </is>
      </c>
      <c r="B141" t="inlineStr">
        <is>
          <t>Clearpath NDIS Plans</t>
        </is>
      </c>
      <c r="C141" s="5" t="n">
        <v>46210</v>
      </c>
      <c r="D141" t="inlineStr">
        <is>
          <t>INV/2026/01615</t>
        </is>
      </c>
      <c r="E141" s="9" t="n">
        <v>290.98</v>
      </c>
      <c r="F141" s="9" t="n">
        <v>290.98</v>
      </c>
      <c r="G141" s="9">
        <f>ROUND(E141-F141,2)</f>
        <v>0</v>
      </c>
    </row>
    <row r="142">
      <c r="A142" t="inlineStr">
        <is>
          <t>RA44830</t>
        </is>
      </c>
      <c r="B142" t="inlineStr">
        <is>
          <t>Clearpath NDIS Plans</t>
        </is>
      </c>
      <c r="C142" s="5" t="n">
        <v>46210</v>
      </c>
      <c r="D142" t="inlineStr">
        <is>
          <t>INV/2026/01616</t>
        </is>
      </c>
      <c r="E142" s="9" t="n">
        <v>155.19</v>
      </c>
      <c r="F142" s="9" t="n">
        <v>155.19</v>
      </c>
      <c r="G142" s="9">
        <f>ROUND(E142-F142,2)</f>
        <v>0</v>
      </c>
    </row>
    <row r="143">
      <c r="A143" t="inlineStr">
        <is>
          <t>RA44830</t>
        </is>
      </c>
      <c r="B143" t="inlineStr">
        <is>
          <t>Clearpath NDIS Plans</t>
        </is>
      </c>
      <c r="C143" s="5" t="n">
        <v>46210</v>
      </c>
      <c r="D143" t="inlineStr">
        <is>
          <t>INV/2026/01617</t>
        </is>
      </c>
      <c r="E143" s="9" t="n">
        <v>145.49</v>
      </c>
      <c r="F143" s="9" t="n">
        <v>145.49</v>
      </c>
      <c r="G143" s="9">
        <f>ROUND(E143-F143,2)</f>
        <v>0</v>
      </c>
    </row>
    <row r="144">
      <c r="A144" t="inlineStr">
        <is>
          <t>RA44830</t>
        </is>
      </c>
      <c r="B144" t="inlineStr">
        <is>
          <t>Clearpath NDIS Plans</t>
        </is>
      </c>
      <c r="C144" s="5" t="n">
        <v>46210</v>
      </c>
      <c r="D144" t="inlineStr">
        <is>
          <t>INV/2026/01641</t>
        </is>
      </c>
      <c r="E144" s="9" t="n">
        <v>175.49</v>
      </c>
      <c r="F144" s="9" t="n">
        <v>175.49</v>
      </c>
      <c r="G144" s="9">
        <f>ROUND(E144-F144,2)</f>
        <v>0</v>
      </c>
    </row>
    <row r="145">
      <c r="A145" t="inlineStr">
        <is>
          <t>RA44830</t>
        </is>
      </c>
      <c r="B145" t="inlineStr">
        <is>
          <t>Clearpath NDIS Plans</t>
        </is>
      </c>
      <c r="C145" s="5" t="n">
        <v>46210</v>
      </c>
      <c r="D145" t="inlineStr">
        <is>
          <t>INV/2026/01642</t>
        </is>
      </c>
      <c r="E145" s="9" t="n">
        <v>290.98</v>
      </c>
      <c r="F145" s="9" t="n">
        <v>290.98</v>
      </c>
      <c r="G145" s="9">
        <f>ROUND(E145-F145,2)</f>
        <v>0</v>
      </c>
    </row>
    <row r="146">
      <c r="A146" t="inlineStr">
        <is>
          <t>RA44830</t>
        </is>
      </c>
      <c r="B146" t="inlineStr">
        <is>
          <t>Clearpath NDIS Plans</t>
        </is>
      </c>
      <c r="C146" s="5" t="n">
        <v>46210</v>
      </c>
      <c r="D146" t="inlineStr">
        <is>
          <t>INV/2026/01664</t>
        </is>
      </c>
      <c r="E146" s="9" t="n">
        <v>96.98999999999999</v>
      </c>
      <c r="F146" s="9" t="n">
        <v>96.98999999999999</v>
      </c>
      <c r="G146" s="9">
        <f>ROUND(E146-F146,2)</f>
        <v>0</v>
      </c>
    </row>
    <row r="147">
      <c r="A147" t="inlineStr">
        <is>
          <t>RA44830</t>
        </is>
      </c>
      <c r="B147" t="inlineStr">
        <is>
          <t>Clearpath NDIS Plans</t>
        </is>
      </c>
      <c r="C147" s="5" t="n">
        <v>46210</v>
      </c>
      <c r="D147" t="inlineStr">
        <is>
          <t>INV/2026/01665</t>
        </is>
      </c>
      <c r="E147" s="9" t="n">
        <v>175.49</v>
      </c>
      <c r="F147" s="9" t="n">
        <v>175.49</v>
      </c>
      <c r="G147" s="9">
        <f>ROUND(E147-F147,2)</f>
        <v>0</v>
      </c>
    </row>
    <row r="148">
      <c r="A148" t="inlineStr">
        <is>
          <t>RA44830</t>
        </is>
      </c>
      <c r="B148" t="inlineStr">
        <is>
          <t>Clearpath NDIS Plans</t>
        </is>
      </c>
      <c r="C148" s="5" t="n">
        <v>46210</v>
      </c>
      <c r="D148" t="inlineStr">
        <is>
          <t>INV/2026/01666</t>
        </is>
      </c>
      <c r="E148" s="9" t="n">
        <v>193.99</v>
      </c>
      <c r="F148" s="9" t="n">
        <v>193.99</v>
      </c>
      <c r="G148" s="9">
        <f>ROUND(E148-F148,2)</f>
        <v>0</v>
      </c>
    </row>
    <row r="149">
      <c r="A149" t="inlineStr">
        <is>
          <t>RA44830</t>
        </is>
      </c>
      <c r="B149" t="inlineStr">
        <is>
          <t>Clearpath NDIS Plans</t>
        </is>
      </c>
      <c r="C149" s="5" t="n">
        <v>46210</v>
      </c>
      <c r="D149" t="inlineStr">
        <is>
          <t>INV/2026/01731</t>
        </is>
      </c>
      <c r="E149" s="9" t="n">
        <v>290.98</v>
      </c>
      <c r="F149" s="9" t="n">
        <v>290.98</v>
      </c>
      <c r="G149" s="9">
        <f>ROUND(E149-F149,2)</f>
        <v>0</v>
      </c>
    </row>
    <row r="150">
      <c r="A150" t="inlineStr">
        <is>
          <t>RA44830</t>
        </is>
      </c>
      <c r="B150" t="inlineStr">
        <is>
          <t>Clearpath NDIS Plans</t>
        </is>
      </c>
      <c r="C150" s="5" t="n">
        <v>46210</v>
      </c>
      <c r="D150" t="inlineStr">
        <is>
          <t>INV/2026/01749</t>
        </is>
      </c>
      <c r="E150" s="9" t="n">
        <v>242.49</v>
      </c>
      <c r="F150" s="9" t="n">
        <v>242.49</v>
      </c>
      <c r="G150" s="9">
        <f>ROUND(E150-F150,2)</f>
        <v>0</v>
      </c>
    </row>
    <row r="151">
      <c r="A151" t="inlineStr">
        <is>
          <t>RA44830</t>
        </is>
      </c>
      <c r="B151" t="inlineStr">
        <is>
          <t>Clearpath NDIS Plans</t>
        </is>
      </c>
      <c r="C151" s="5" t="n">
        <v>46210</v>
      </c>
      <c r="D151" t="inlineStr">
        <is>
          <t>INV/2026/01750</t>
        </is>
      </c>
      <c r="E151" s="9" t="n">
        <v>145.49</v>
      </c>
      <c r="F151" s="9" t="n">
        <v>145.49</v>
      </c>
      <c r="G151" s="9">
        <f>ROUND(E151-F151,2)</f>
        <v>0</v>
      </c>
    </row>
    <row r="152">
      <c r="A152" t="inlineStr">
        <is>
          <t>RA44831</t>
        </is>
      </c>
      <c r="B152" t="inlineStr">
        <is>
          <t>Wattle Plan Services</t>
        </is>
      </c>
      <c r="C152" s="5" t="n">
        <v>46210</v>
      </c>
      <c r="D152" t="inlineStr">
        <is>
          <t>INV/2026/01591</t>
        </is>
      </c>
      <c r="E152" s="9" t="n">
        <v>96.98999999999999</v>
      </c>
      <c r="F152" s="9" t="n">
        <v>96.98999999999999</v>
      </c>
      <c r="G152" s="9">
        <f>ROUND(E152-F152,2)</f>
        <v>0</v>
      </c>
    </row>
    <row r="153">
      <c r="A153" t="inlineStr">
        <is>
          <t>RA44831</t>
        </is>
      </c>
      <c r="B153" t="inlineStr">
        <is>
          <t>Wattle Plan Services</t>
        </is>
      </c>
      <c r="C153" s="5" t="n">
        <v>46210</v>
      </c>
      <c r="D153" t="inlineStr">
        <is>
          <t>INV/2026/01618</t>
        </is>
      </c>
      <c r="E153" s="9" t="n">
        <v>417.98</v>
      </c>
      <c r="F153" s="9" t="n">
        <v>417.98</v>
      </c>
      <c r="G153" s="9">
        <f>ROUND(E153-F153,2)</f>
        <v>0</v>
      </c>
    </row>
    <row r="154">
      <c r="A154" t="inlineStr">
        <is>
          <t>RA44831</t>
        </is>
      </c>
      <c r="B154" t="inlineStr">
        <is>
          <t>Wattle Plan Services</t>
        </is>
      </c>
      <c r="C154" s="5" t="n">
        <v>46210</v>
      </c>
      <c r="D154" t="inlineStr">
        <is>
          <t>INV/2026/01619</t>
        </is>
      </c>
      <c r="E154" s="9" t="n">
        <v>96.98999999999999</v>
      </c>
      <c r="F154" s="9" t="n">
        <v>96.98999999999999</v>
      </c>
      <c r="G154" s="9">
        <f>ROUND(E154-F154,2)</f>
        <v>0</v>
      </c>
    </row>
    <row r="155">
      <c r="A155" t="inlineStr">
        <is>
          <t>RA44831</t>
        </is>
      </c>
      <c r="B155" t="inlineStr">
        <is>
          <t>Wattle Plan Services</t>
        </is>
      </c>
      <c r="C155" s="5" t="n">
        <v>46210</v>
      </c>
      <c r="D155" t="inlineStr">
        <is>
          <t>INV/2026/01667</t>
        </is>
      </c>
      <c r="E155" s="9" t="n">
        <v>272.49</v>
      </c>
      <c r="F155" s="9" t="n">
        <v>272.49</v>
      </c>
      <c r="G155" s="9">
        <f>ROUND(E155-F155,2)</f>
        <v>0</v>
      </c>
    </row>
    <row r="156">
      <c r="A156" t="inlineStr">
        <is>
          <t>RA44832</t>
        </is>
      </c>
      <c r="B156" t="inlineStr">
        <is>
          <t>Banksia Plan Co</t>
        </is>
      </c>
      <c r="C156" s="5" t="n">
        <v>46210</v>
      </c>
      <c r="D156" t="inlineStr">
        <is>
          <t>INV/2026/01540</t>
        </is>
      </c>
      <c r="E156" s="9" t="n">
        <v>96.98999999999999</v>
      </c>
      <c r="F156" s="9" t="n">
        <v>96.98999999999999</v>
      </c>
      <c r="G156" s="9">
        <f>ROUND(E156-F156,2)</f>
        <v>0</v>
      </c>
    </row>
    <row r="157">
      <c r="A157" t="inlineStr">
        <is>
          <t>RA44832</t>
        </is>
      </c>
      <c r="B157" t="inlineStr">
        <is>
          <t>Banksia Plan Co</t>
        </is>
      </c>
      <c r="C157" s="5" t="n">
        <v>46210</v>
      </c>
      <c r="D157" t="inlineStr">
        <is>
          <t>INV/2026/01561</t>
        </is>
      </c>
      <c r="E157" s="9" t="n">
        <v>193.99</v>
      </c>
      <c r="F157" s="9" t="n">
        <v>193.99</v>
      </c>
      <c r="G157" s="9">
        <f>ROUND(E157-F157,2)</f>
        <v>0</v>
      </c>
    </row>
    <row r="158">
      <c r="A158" t="inlineStr">
        <is>
          <t>RA44832</t>
        </is>
      </c>
      <c r="B158" t="inlineStr">
        <is>
          <t>Banksia Plan Co</t>
        </is>
      </c>
      <c r="C158" s="5" t="n">
        <v>46210</v>
      </c>
      <c r="D158" t="inlineStr">
        <is>
          <t>INV/2026/01562</t>
        </is>
      </c>
      <c r="E158" s="9" t="n">
        <v>252.19</v>
      </c>
      <c r="F158" s="9" t="n">
        <v>252.19</v>
      </c>
      <c r="G158" s="9">
        <f>ROUND(E158-F158,2)</f>
        <v>0</v>
      </c>
    </row>
    <row r="159">
      <c r="A159" t="inlineStr">
        <is>
          <t>RA44832</t>
        </is>
      </c>
      <c r="B159" t="inlineStr">
        <is>
          <t>Banksia Plan Co</t>
        </is>
      </c>
      <c r="C159" s="5" t="n">
        <v>46210</v>
      </c>
      <c r="D159" t="inlineStr">
        <is>
          <t>INV/2026/01643</t>
        </is>
      </c>
      <c r="E159" s="9" t="n">
        <v>252.19</v>
      </c>
      <c r="F159" s="9" t="n">
        <v>252.19</v>
      </c>
      <c r="G159" s="9">
        <f>ROUND(E159-F159,2)</f>
        <v>0</v>
      </c>
    </row>
    <row r="160">
      <c r="A160" t="inlineStr">
        <is>
          <t>RA44832</t>
        </is>
      </c>
      <c r="B160" t="inlineStr">
        <is>
          <t>Banksia Plan Co</t>
        </is>
      </c>
      <c r="C160" s="5" t="n">
        <v>46210</v>
      </c>
      <c r="D160" t="inlineStr">
        <is>
          <t>INV/2026/01644</t>
        </is>
      </c>
      <c r="E160" s="9" t="n">
        <v>155.19</v>
      </c>
      <c r="F160" s="9" t="n">
        <v>155.19</v>
      </c>
      <c r="G160" s="9">
        <f>ROUND(E160-F160,2)</f>
        <v>0</v>
      </c>
    </row>
    <row r="161">
      <c r="A161" t="inlineStr">
        <is>
          <t>RA44832</t>
        </is>
      </c>
      <c r="B161" t="inlineStr">
        <is>
          <t>Banksia Plan Co</t>
        </is>
      </c>
      <c r="C161" s="5" t="n">
        <v>46210</v>
      </c>
      <c r="D161" t="inlineStr">
        <is>
          <t>INV/2026/01669</t>
        </is>
      </c>
      <c r="E161" s="9" t="n">
        <v>126.99</v>
      </c>
      <c r="F161" s="9" t="n">
        <v>126.99</v>
      </c>
      <c r="G161" s="9">
        <f>ROUND(E161-F161,2)</f>
        <v>0</v>
      </c>
    </row>
    <row r="162">
      <c r="A162" t="inlineStr">
        <is>
          <t>RA44833</t>
        </is>
      </c>
      <c r="B162" t="inlineStr">
        <is>
          <t>Ironbark Plan Management</t>
        </is>
      </c>
      <c r="C162" s="5" t="n">
        <v>46210</v>
      </c>
      <c r="D162" t="inlineStr">
        <is>
          <t>INV/2026/01541</t>
        </is>
      </c>
      <c r="E162" s="9" t="n">
        <v>446.18</v>
      </c>
      <c r="F162" s="9" t="n">
        <v>446.18</v>
      </c>
      <c r="G162" s="9">
        <f>ROUND(E162-F162,2)</f>
        <v>0</v>
      </c>
    </row>
    <row r="163">
      <c r="A163" t="inlineStr">
        <is>
          <t>RA44833</t>
        </is>
      </c>
      <c r="B163" t="inlineStr">
        <is>
          <t>Ironbark Plan Management</t>
        </is>
      </c>
      <c r="C163" s="5" t="n">
        <v>46210</v>
      </c>
      <c r="D163" t="inlineStr">
        <is>
          <t>INV/2026/01542</t>
        </is>
      </c>
      <c r="E163" s="9" t="n">
        <v>193.99</v>
      </c>
      <c r="F163" s="9" t="n">
        <v>193.99</v>
      </c>
      <c r="G163" s="9">
        <f>ROUND(E163-F163,2)</f>
        <v>0</v>
      </c>
    </row>
    <row r="164">
      <c r="A164" t="inlineStr">
        <is>
          <t>RA44834</t>
        </is>
      </c>
      <c r="B164" t="inlineStr">
        <is>
          <t>Kookaburra Plan Support</t>
        </is>
      </c>
      <c r="C164" s="5" t="n">
        <v>46210</v>
      </c>
      <c r="D164" t="inlineStr">
        <is>
          <t>INV/2026/01409</t>
        </is>
      </c>
      <c r="E164" s="9" t="n">
        <v>175.49</v>
      </c>
      <c r="F164" s="9" t="n">
        <v>175.49</v>
      </c>
      <c r="G164" s="9">
        <f>ROUND(E164-F164,2)</f>
        <v>0</v>
      </c>
    </row>
    <row r="165">
      <c r="A165" t="inlineStr">
        <is>
          <t>RA44834</t>
        </is>
      </c>
      <c r="B165" t="inlineStr">
        <is>
          <t>Kookaburra Plan Support</t>
        </is>
      </c>
      <c r="C165" s="5" t="n">
        <v>46210</v>
      </c>
      <c r="D165" t="inlineStr">
        <is>
          <t>INV/2026/01461</t>
        </is>
      </c>
      <c r="E165" s="9" t="n">
        <v>242.49</v>
      </c>
      <c r="F165" s="9" t="n">
        <v>242.49</v>
      </c>
      <c r="G165" s="9">
        <f>ROUND(E165-F165,2)</f>
        <v>0</v>
      </c>
    </row>
    <row r="166">
      <c r="A166" t="inlineStr">
        <is>
          <t>RA44834</t>
        </is>
      </c>
      <c r="B166" t="inlineStr">
        <is>
          <t>Kookaburra Plan Support</t>
        </is>
      </c>
      <c r="C166" s="5" t="n">
        <v>46210</v>
      </c>
      <c r="D166" t="inlineStr">
        <is>
          <t>INV/2026/01462</t>
        </is>
      </c>
      <c r="E166" s="9" t="n">
        <v>193.99</v>
      </c>
      <c r="F166" s="9" t="n">
        <v>193.99</v>
      </c>
      <c r="G166" s="9">
        <f>ROUND(E166-F166,2)</f>
        <v>0</v>
      </c>
    </row>
    <row r="167">
      <c r="A167" t="inlineStr">
        <is>
          <t>RA44834</t>
        </is>
      </c>
      <c r="B167" t="inlineStr">
        <is>
          <t>Kookaburra Plan Support</t>
        </is>
      </c>
      <c r="C167" s="5" t="n">
        <v>46210</v>
      </c>
      <c r="D167" t="inlineStr">
        <is>
          <t>INV/2026/01463</t>
        </is>
      </c>
      <c r="E167" s="9" t="n">
        <v>193.99</v>
      </c>
      <c r="F167" s="9" t="n">
        <v>193.99</v>
      </c>
      <c r="G167" s="9">
        <f>ROUND(E167-F167,2)</f>
        <v>0</v>
      </c>
    </row>
    <row r="168">
      <c r="A168" t="inlineStr">
        <is>
          <t>RA44834</t>
        </is>
      </c>
      <c r="B168" t="inlineStr">
        <is>
          <t>Kookaburra Plan Support</t>
        </is>
      </c>
      <c r="C168" s="5" t="n">
        <v>46210</v>
      </c>
      <c r="D168" t="inlineStr">
        <is>
          <t>INV/2026/01485</t>
        </is>
      </c>
      <c r="E168" s="9" t="n">
        <v>242.49</v>
      </c>
      <c r="F168" s="9" t="n">
        <v>242.49</v>
      </c>
      <c r="G168" s="9">
        <f>ROUND(E168-F168,2)</f>
        <v>0</v>
      </c>
    </row>
    <row r="169">
      <c r="A169" t="inlineStr">
        <is>
          <t>RA44834</t>
        </is>
      </c>
      <c r="B169" t="inlineStr">
        <is>
          <t>Kookaburra Plan Support</t>
        </is>
      </c>
      <c r="C169" s="5" t="n">
        <v>46210</v>
      </c>
      <c r="D169" t="inlineStr">
        <is>
          <t>INV/2026/01486</t>
        </is>
      </c>
      <c r="E169" s="9" t="n">
        <v>155.19</v>
      </c>
      <c r="F169" s="9" t="n">
        <v>155.19</v>
      </c>
      <c r="G169" s="9">
        <f>ROUND(E169-F169,2)</f>
        <v>0</v>
      </c>
    </row>
    <row r="170">
      <c r="A170" t="inlineStr">
        <is>
          <t>RA44835</t>
        </is>
      </c>
      <c r="B170" t="inlineStr">
        <is>
          <t>Redgum Plan Admin</t>
        </is>
      </c>
      <c r="C170" s="5" t="n">
        <v>46210</v>
      </c>
      <c r="D170" t="inlineStr">
        <is>
          <t>INV/2026/01545</t>
        </is>
      </c>
      <c r="E170" s="9" t="n">
        <v>242.49</v>
      </c>
      <c r="F170" s="9" t="n">
        <v>242.49</v>
      </c>
      <c r="G170" s="9">
        <f>ROUND(E170-F170,2)</f>
        <v>0</v>
      </c>
    </row>
    <row r="171">
      <c r="A171" t="inlineStr">
        <is>
          <t>RA44835</t>
        </is>
      </c>
      <c r="B171" t="inlineStr">
        <is>
          <t>Redgum Plan Admin</t>
        </is>
      </c>
      <c r="C171" s="5" t="n">
        <v>46210</v>
      </c>
      <c r="D171" t="inlineStr">
        <is>
          <t>INV/2026/01546</t>
        </is>
      </c>
      <c r="E171" s="9" t="n">
        <v>349.18</v>
      </c>
      <c r="F171" s="9" t="n">
        <v>349.18</v>
      </c>
      <c r="G171" s="9">
        <f>ROUND(E171-F171,2)</f>
        <v>0</v>
      </c>
    </row>
    <row r="172">
      <c r="A172" t="inlineStr">
        <is>
          <t>RA44835</t>
        </is>
      </c>
      <c r="B172" t="inlineStr">
        <is>
          <t>Redgum Plan Admin</t>
        </is>
      </c>
      <c r="C172" s="5" t="n">
        <v>46210</v>
      </c>
      <c r="D172" t="inlineStr">
        <is>
          <t>INV/2026/01599</t>
        </is>
      </c>
      <c r="E172" s="9" t="n">
        <v>96.98999999999999</v>
      </c>
      <c r="F172" s="9" t="n">
        <v>96.98999999999999</v>
      </c>
      <c r="G172" s="9">
        <f>ROUND(E172-F172,2)</f>
        <v>0</v>
      </c>
    </row>
    <row r="173">
      <c r="A173" t="inlineStr">
        <is>
          <t>RA44835</t>
        </is>
      </c>
      <c r="B173" t="inlineStr">
        <is>
          <t>Redgum Plan Admin</t>
        </is>
      </c>
      <c r="C173" s="5" t="n">
        <v>46210</v>
      </c>
      <c r="D173" t="inlineStr">
        <is>
          <t>INV/2026/01600</t>
        </is>
      </c>
      <c r="E173" s="9" t="n">
        <v>155.19</v>
      </c>
      <c r="F173" s="9" t="n">
        <v>155.19</v>
      </c>
      <c r="G173" s="9">
        <f>ROUND(E173-F173,2)</f>
        <v>0</v>
      </c>
    </row>
    <row r="174">
      <c r="A174" t="inlineStr">
        <is>
          <t>RA44835</t>
        </is>
      </c>
      <c r="B174" t="inlineStr">
        <is>
          <t>Redgum Plan Admin</t>
        </is>
      </c>
      <c r="C174" s="5" t="n">
        <v>46210</v>
      </c>
      <c r="D174" t="inlineStr">
        <is>
          <t>INV/2026/01622</t>
        </is>
      </c>
      <c r="E174" s="9" t="n">
        <v>145.49</v>
      </c>
      <c r="F174" s="9" t="n">
        <v>145.49</v>
      </c>
      <c r="G174" s="9">
        <f>ROUND(E174-F174,2)</f>
        <v>0</v>
      </c>
    </row>
    <row r="175">
      <c r="A175" t="inlineStr">
        <is>
          <t>RA44835</t>
        </is>
      </c>
      <c r="B175" t="inlineStr">
        <is>
          <t>Redgum Plan Admin</t>
        </is>
      </c>
      <c r="C175" s="5" t="n">
        <v>46210</v>
      </c>
      <c r="D175" t="inlineStr">
        <is>
          <t>INV/2026/01651</t>
        </is>
      </c>
      <c r="E175" s="9" t="n">
        <v>126.99</v>
      </c>
      <c r="F175" s="9" t="n">
        <v>126.99</v>
      </c>
      <c r="G175" s="9">
        <f>ROUND(E175-F175,2)</f>
        <v>0</v>
      </c>
    </row>
    <row r="176">
      <c r="A176" t="inlineStr">
        <is>
          <t>RA44835</t>
        </is>
      </c>
      <c r="B176" t="inlineStr">
        <is>
          <t>Redgum Plan Admin</t>
        </is>
      </c>
      <c r="C176" s="5" t="n">
        <v>46210</v>
      </c>
      <c r="D176" t="inlineStr">
        <is>
          <t>INV/2026/01652</t>
        </is>
      </c>
      <c r="E176" s="9" t="n">
        <v>96.98999999999999</v>
      </c>
      <c r="F176" s="9" t="n">
        <v>96.98999999999999</v>
      </c>
      <c r="G176" s="9">
        <f>ROUND(E176-F176,2)</f>
        <v>0</v>
      </c>
    </row>
    <row r="177">
      <c r="A177" t="inlineStr">
        <is>
          <t>RA44835</t>
        </is>
      </c>
      <c r="B177" t="inlineStr">
        <is>
          <t>Redgum Plan Admin</t>
        </is>
      </c>
      <c r="C177" s="5" t="n">
        <v>46210</v>
      </c>
      <c r="D177" t="inlineStr">
        <is>
          <t>INV/2026/01653</t>
        </is>
      </c>
      <c r="E177" s="9" t="n">
        <v>145.49</v>
      </c>
      <c r="F177" s="9" t="n">
        <v>145.49</v>
      </c>
      <c r="G177" s="9">
        <f>ROUND(E177-F177,2)</f>
        <v>0</v>
      </c>
    </row>
    <row r="178">
      <c r="A178" t="inlineStr">
        <is>
          <t>RA44835</t>
        </is>
      </c>
      <c r="B178" t="inlineStr">
        <is>
          <t>Redgum Plan Admin</t>
        </is>
      </c>
      <c r="C178" s="5" t="n">
        <v>46210</v>
      </c>
      <c r="D178" t="inlineStr">
        <is>
          <t>INV/2026/01697</t>
        </is>
      </c>
      <c r="E178" s="9" t="n">
        <v>193.99</v>
      </c>
      <c r="F178" s="9" t="n">
        <v>193.99</v>
      </c>
      <c r="G178" s="9">
        <f>ROUND(E178-F178,2)</f>
        <v>0</v>
      </c>
    </row>
    <row r="179">
      <c r="A179" t="inlineStr">
        <is>
          <t>RA44835</t>
        </is>
      </c>
      <c r="B179" t="inlineStr">
        <is>
          <t>Redgum Plan Admin</t>
        </is>
      </c>
      <c r="C179" s="5" t="n">
        <v>46210</v>
      </c>
      <c r="D179" t="inlineStr">
        <is>
          <t>INV/2026/01698</t>
        </is>
      </c>
      <c r="E179" s="9" t="n">
        <v>145.49</v>
      </c>
      <c r="F179" s="9" t="n">
        <v>145.49</v>
      </c>
      <c r="G179" s="9">
        <f>ROUND(E179-F179,2)</f>
        <v>0</v>
      </c>
    </row>
    <row r="180">
      <c r="A180" t="inlineStr">
        <is>
          <t>RA44835</t>
        </is>
      </c>
      <c r="B180" t="inlineStr">
        <is>
          <t>Redgum Plan Admin</t>
        </is>
      </c>
      <c r="C180" s="5" t="n">
        <v>46210</v>
      </c>
      <c r="D180" t="inlineStr">
        <is>
          <t>INV/2026/01739</t>
        </is>
      </c>
      <c r="E180" s="9" t="n">
        <v>290.98</v>
      </c>
      <c r="F180" s="9" t="n">
        <v>290.98</v>
      </c>
      <c r="G180" s="9">
        <f>ROUND(E180-F180,2)</f>
        <v>0</v>
      </c>
    </row>
    <row r="181">
      <c r="A181" t="inlineStr">
        <is>
          <t>RA44835</t>
        </is>
      </c>
      <c r="B181" t="inlineStr">
        <is>
          <t>Redgum Plan Admin</t>
        </is>
      </c>
      <c r="C181" s="5" t="n">
        <v>46210</v>
      </c>
      <c r="D181" t="inlineStr">
        <is>
          <t>INV/2026/01763</t>
        </is>
      </c>
      <c r="E181" s="9" t="n">
        <v>96.98999999999999</v>
      </c>
      <c r="F181" s="9" t="n">
        <v>96.98999999999999</v>
      </c>
      <c r="G181" s="9">
        <f>ROUND(E181-F181,2)</f>
        <v>0</v>
      </c>
    </row>
    <row r="182">
      <c r="A182" t="inlineStr">
        <is>
          <t>RA44836</t>
        </is>
      </c>
      <c r="B182" t="inlineStr">
        <is>
          <t>Tallowwood Plans</t>
        </is>
      </c>
      <c r="C182" s="5" t="n">
        <v>46210</v>
      </c>
      <c r="D182" t="inlineStr">
        <is>
          <t>INV/2026/01725</t>
        </is>
      </c>
      <c r="E182" s="9" t="n">
        <v>290.98</v>
      </c>
      <c r="F182" s="9" t="n">
        <v>290.98</v>
      </c>
      <c r="G182" s="9">
        <f>ROUND(E182-F182,2)</f>
        <v>0</v>
      </c>
    </row>
    <row r="183">
      <c r="A183" t="inlineStr">
        <is>
          <t>RA44836</t>
        </is>
      </c>
      <c r="B183" t="inlineStr">
        <is>
          <t>Tallowwood Plans</t>
        </is>
      </c>
      <c r="C183" s="5" t="n">
        <v>46210</v>
      </c>
      <c r="D183" t="inlineStr">
        <is>
          <t>INV/2026/01742</t>
        </is>
      </c>
      <c r="E183" s="9" t="n">
        <v>193.99</v>
      </c>
      <c r="F183" s="9" t="n">
        <v>193.99</v>
      </c>
      <c r="G183" s="9">
        <f>ROUND(E183-F183,2)</f>
        <v>0</v>
      </c>
    </row>
    <row r="184">
      <c r="A184" t="inlineStr">
        <is>
          <t>RA44836</t>
        </is>
      </c>
      <c r="B184" t="inlineStr">
        <is>
          <t>Tallowwood Plans</t>
        </is>
      </c>
      <c r="C184" s="5" t="n">
        <v>46210</v>
      </c>
      <c r="D184" t="inlineStr">
        <is>
          <t>INV/2026/01769</t>
        </is>
      </c>
      <c r="E184" s="9" t="n">
        <v>417.98</v>
      </c>
      <c r="F184" s="9" t="n">
        <v>417.98</v>
      </c>
      <c r="G184" s="9">
        <f>ROUND(E184-F184,2)</f>
        <v>0</v>
      </c>
    </row>
    <row r="185">
      <c r="A185" t="inlineStr">
        <is>
          <t>RA44836</t>
        </is>
      </c>
      <c r="B185" t="inlineStr">
        <is>
          <t>Tallowwood Plans</t>
        </is>
      </c>
      <c r="C185" s="5" t="n">
        <v>46210</v>
      </c>
      <c r="D185" t="inlineStr">
        <is>
          <t>INV/2026/01789</t>
        </is>
      </c>
      <c r="E185" s="9" t="n">
        <v>290.98</v>
      </c>
      <c r="F185" s="9" t="n">
        <v>290.98</v>
      </c>
      <c r="G185" s="9">
        <f>ROUND(E185-F185,2)</f>
        <v>0</v>
      </c>
    </row>
    <row r="186">
      <c r="A186" t="inlineStr">
        <is>
          <t>RA44837</t>
        </is>
      </c>
      <c r="B186" t="inlineStr">
        <is>
          <t>Mallee Plan Services</t>
        </is>
      </c>
      <c r="C186" s="5" t="n">
        <v>46210</v>
      </c>
      <c r="D186" t="inlineStr">
        <is>
          <t>INV/2026/01513</t>
        </is>
      </c>
      <c r="E186" s="9" t="n">
        <v>96.98999999999999</v>
      </c>
      <c r="F186" s="9" t="n">
        <v>96.98999999999999</v>
      </c>
      <c r="G186" s="9">
        <f>ROUND(E186-F186,2)</f>
        <v>0</v>
      </c>
    </row>
    <row r="187">
      <c r="A187" t="inlineStr">
        <is>
          <t>RA44837</t>
        </is>
      </c>
      <c r="B187" t="inlineStr">
        <is>
          <t>Mallee Plan Services</t>
        </is>
      </c>
      <c r="C187" s="5" t="n">
        <v>46210</v>
      </c>
      <c r="D187" t="inlineStr">
        <is>
          <t>INV/2026/01531</t>
        </is>
      </c>
      <c r="E187" s="9" t="n">
        <v>145.49</v>
      </c>
      <c r="F187" s="9" t="n">
        <v>145.49</v>
      </c>
      <c r="G187" s="9">
        <f>ROUND(E187-F187,2)</f>
        <v>0</v>
      </c>
    </row>
    <row r="188">
      <c r="A188" t="inlineStr">
        <is>
          <t>RA44838</t>
        </is>
      </c>
      <c r="B188" t="inlineStr">
        <is>
          <t>Clearpath NDIS Plans</t>
        </is>
      </c>
      <c r="C188" s="5" t="n">
        <v>46211</v>
      </c>
      <c r="D188" t="inlineStr">
        <is>
          <t>INV/2026/01775</t>
        </is>
      </c>
      <c r="E188" s="9" t="n">
        <v>203.69</v>
      </c>
      <c r="F188" s="9" t="n">
        <v>203.69</v>
      </c>
      <c r="G188" s="9">
        <f>ROUND(E188-F188,2)</f>
        <v>0</v>
      </c>
    </row>
    <row r="189">
      <c r="A189" t="inlineStr">
        <is>
          <t>RA44838</t>
        </is>
      </c>
      <c r="B189" t="inlineStr">
        <is>
          <t>Clearpath NDIS Plans</t>
        </is>
      </c>
      <c r="C189" s="5" t="n">
        <v>46211</v>
      </c>
      <c r="D189" t="inlineStr">
        <is>
          <t>INV/2026/01776</t>
        </is>
      </c>
      <c r="E189" s="9" t="n">
        <v>242.49</v>
      </c>
      <c r="F189" s="9" t="n">
        <v>242.49</v>
      </c>
      <c r="G189" s="9">
        <f>ROUND(E189-F189,2)</f>
        <v>0</v>
      </c>
    </row>
    <row r="190">
      <c r="A190" t="inlineStr">
        <is>
          <t>RA44838</t>
        </is>
      </c>
      <c r="B190" t="inlineStr">
        <is>
          <t>Clearpath NDIS Plans</t>
        </is>
      </c>
      <c r="C190" s="5" t="n">
        <v>46211</v>
      </c>
      <c r="D190" t="inlineStr">
        <is>
          <t>INV/2026/01799</t>
        </is>
      </c>
      <c r="E190" s="9" t="n">
        <v>145.49</v>
      </c>
      <c r="F190" s="9" t="n">
        <v>145.49</v>
      </c>
      <c r="G190" s="9">
        <f>ROUND(E190-F190,2)</f>
        <v>0</v>
      </c>
    </row>
    <row r="191">
      <c r="A191" t="inlineStr">
        <is>
          <t>RA44838</t>
        </is>
      </c>
      <c r="B191" t="inlineStr">
        <is>
          <t>Clearpath NDIS Plans</t>
        </is>
      </c>
      <c r="C191" s="5" t="n">
        <v>46211</v>
      </c>
      <c r="D191" t="inlineStr">
        <is>
          <t>INV/2026/01800</t>
        </is>
      </c>
      <c r="E191" s="9" t="n">
        <v>145.49</v>
      </c>
      <c r="F191" s="9" t="n">
        <v>145.49</v>
      </c>
      <c r="G191" s="9">
        <f>ROUND(E191-F191,2)</f>
        <v>0</v>
      </c>
    </row>
    <row r="192">
      <c r="A192" t="inlineStr">
        <is>
          <t>RA44839</t>
        </is>
      </c>
      <c r="B192" t="inlineStr">
        <is>
          <t>Saltbush Plan Managers</t>
        </is>
      </c>
      <c r="C192" s="5" t="n">
        <v>46211</v>
      </c>
      <c r="D192" t="inlineStr">
        <is>
          <t>INV/2026/01543</t>
        </is>
      </c>
      <c r="E192" s="9" t="n">
        <v>242.49</v>
      </c>
      <c r="F192" s="9" t="n">
        <v>242.49</v>
      </c>
      <c r="G192" s="9">
        <f>ROUND(E192-F192,2)</f>
        <v>0</v>
      </c>
    </row>
    <row r="193">
      <c r="A193" t="inlineStr">
        <is>
          <t>RA44839</t>
        </is>
      </c>
      <c r="B193" t="inlineStr">
        <is>
          <t>Saltbush Plan Managers</t>
        </is>
      </c>
      <c r="C193" s="5" t="n">
        <v>46211</v>
      </c>
      <c r="D193" t="inlineStr">
        <is>
          <t>INV/2026/01544</t>
        </is>
      </c>
      <c r="E193" s="9" t="n">
        <v>387.98</v>
      </c>
      <c r="F193" s="9" t="n">
        <v>387.98</v>
      </c>
      <c r="G193" s="9">
        <f>ROUND(E193-F193,2)</f>
        <v>0</v>
      </c>
    </row>
    <row r="194">
      <c r="A194" t="inlineStr">
        <is>
          <t>RA44839</t>
        </is>
      </c>
      <c r="B194" t="inlineStr">
        <is>
          <t>Saltbush Plan Managers</t>
        </is>
      </c>
      <c r="C194" s="5" t="n">
        <v>46211</v>
      </c>
      <c r="D194" t="inlineStr">
        <is>
          <t>INV/2026/01569</t>
        </is>
      </c>
      <c r="E194" s="9" t="n">
        <v>96.98999999999999</v>
      </c>
      <c r="F194" s="9" t="n">
        <v>96.98999999999999</v>
      </c>
      <c r="G194" s="9">
        <f>ROUND(E194-F194,2)</f>
        <v>0</v>
      </c>
    </row>
    <row r="195">
      <c r="A195" t="inlineStr">
        <is>
          <t>RA44839</t>
        </is>
      </c>
      <c r="B195" t="inlineStr">
        <is>
          <t>Saltbush Plan Managers</t>
        </is>
      </c>
      <c r="C195" s="5" t="n">
        <v>46211</v>
      </c>
      <c r="D195" t="inlineStr">
        <is>
          <t>INV/2026/01597</t>
        </is>
      </c>
      <c r="E195" s="9" t="n">
        <v>387.98</v>
      </c>
      <c r="F195" s="9" t="n">
        <v>387.98</v>
      </c>
      <c r="G195" s="9">
        <f>ROUND(E195-F195,2)</f>
        <v>0</v>
      </c>
    </row>
    <row r="196">
      <c r="A196" t="inlineStr">
        <is>
          <t>RA44840</t>
        </is>
      </c>
      <c r="B196" t="inlineStr">
        <is>
          <t>Redgum Plan Admin</t>
        </is>
      </c>
      <c r="C196" s="5" t="n">
        <v>46211</v>
      </c>
      <c r="D196" t="inlineStr">
        <is>
          <t>INV/2026/01764</t>
        </is>
      </c>
      <c r="E196" s="9" t="n">
        <v>387.98</v>
      </c>
      <c r="F196" s="9" t="n">
        <v>387.98</v>
      </c>
      <c r="G196" s="9">
        <f>ROUND(E196-F196,2)</f>
        <v>0</v>
      </c>
    </row>
    <row r="197">
      <c r="A197" t="inlineStr">
        <is>
          <t>RA44840</t>
        </is>
      </c>
      <c r="B197" t="inlineStr">
        <is>
          <t>Redgum Plan Admin</t>
        </is>
      </c>
      <c r="C197" s="5" t="n">
        <v>46211</v>
      </c>
      <c r="D197" t="inlineStr">
        <is>
          <t>INV/2026/01809</t>
        </is>
      </c>
      <c r="E197" s="9" t="n">
        <v>203.69</v>
      </c>
      <c r="F197" s="9" t="n">
        <v>203.69</v>
      </c>
      <c r="G197" s="9">
        <f>ROUND(E197-F197,2)</f>
        <v>0</v>
      </c>
    </row>
    <row r="198">
      <c r="A198" t="inlineStr">
        <is>
          <t>RA44840</t>
        </is>
      </c>
      <c r="B198" t="inlineStr">
        <is>
          <t>Redgum Plan Admin</t>
        </is>
      </c>
      <c r="C198" s="5" t="n">
        <v>46211</v>
      </c>
      <c r="D198" t="inlineStr">
        <is>
          <t>INV/2026/01810</t>
        </is>
      </c>
      <c r="E198" s="9" t="n">
        <v>145.49</v>
      </c>
      <c r="F198" s="9" t="n">
        <v>145.49</v>
      </c>
      <c r="G198" s="9">
        <f>ROUND(E198-F198,2)</f>
        <v>0</v>
      </c>
    </row>
    <row r="199">
      <c r="A199" t="inlineStr">
        <is>
          <t>RA44840</t>
        </is>
      </c>
      <c r="B199" t="inlineStr">
        <is>
          <t>Redgum Plan Admin</t>
        </is>
      </c>
      <c r="C199" s="5" t="n">
        <v>46211</v>
      </c>
      <c r="D199" t="inlineStr">
        <is>
          <t>INV/2026/01811</t>
        </is>
      </c>
      <c r="E199" s="9" t="n">
        <v>96.98999999999999</v>
      </c>
      <c r="F199" s="9" t="n">
        <v>96.98999999999999</v>
      </c>
      <c r="G199" s="9">
        <f>ROUND(E199-F199,2)</f>
        <v>0</v>
      </c>
    </row>
    <row r="200">
      <c r="A200" t="inlineStr">
        <is>
          <t>RA44840</t>
        </is>
      </c>
      <c r="B200" t="inlineStr">
        <is>
          <t>Redgum Plan Admin</t>
        </is>
      </c>
      <c r="C200" s="5" t="n">
        <v>46211</v>
      </c>
      <c r="D200" t="inlineStr">
        <is>
          <t>INV/2026/01832</t>
        </is>
      </c>
      <c r="E200" s="9" t="n">
        <v>300.69</v>
      </c>
      <c r="F200" s="9" t="n">
        <v>300.69</v>
      </c>
      <c r="G200" s="9">
        <f>ROUND(E200-F200,2)</f>
        <v>0</v>
      </c>
    </row>
    <row r="201">
      <c r="A201" t="inlineStr">
        <is>
          <t>RA44840</t>
        </is>
      </c>
      <c r="B201" t="inlineStr">
        <is>
          <t>Redgum Plan Admin</t>
        </is>
      </c>
      <c r="C201" s="5" t="n">
        <v>46211</v>
      </c>
      <c r="D201" t="inlineStr">
        <is>
          <t>INV/2026/01886</t>
        </is>
      </c>
      <c r="E201" s="9" t="n">
        <v>290.98</v>
      </c>
      <c r="F201" s="9" t="n">
        <v>290.98</v>
      </c>
      <c r="G201" s="9">
        <f>ROUND(E201-F201,2)</f>
        <v>0</v>
      </c>
    </row>
    <row r="202">
      <c r="A202" t="inlineStr">
        <is>
          <t>RA44840</t>
        </is>
      </c>
      <c r="B202" t="inlineStr">
        <is>
          <t>Redgum Plan Admin</t>
        </is>
      </c>
      <c r="C202" s="5" t="n">
        <v>46211</v>
      </c>
      <c r="D202" t="inlineStr">
        <is>
          <t>INV/2026/01887</t>
        </is>
      </c>
      <c r="E202" s="9" t="n">
        <v>145.49</v>
      </c>
      <c r="F202" s="9" t="n">
        <v>145.49</v>
      </c>
      <c r="G202" s="9">
        <f>ROUND(E202-F202,2)</f>
        <v>0</v>
      </c>
    </row>
    <row r="203">
      <c r="A203" t="inlineStr">
        <is>
          <t>RA44840</t>
        </is>
      </c>
      <c r="B203" t="inlineStr">
        <is>
          <t>Redgum Plan Admin</t>
        </is>
      </c>
      <c r="C203" s="5" t="n">
        <v>46211</v>
      </c>
      <c r="D203" t="inlineStr">
        <is>
          <t>INV/2026/01906</t>
        </is>
      </c>
      <c r="E203" s="9" t="n">
        <v>387.98</v>
      </c>
      <c r="F203" s="9" t="n">
        <v>387.98</v>
      </c>
      <c r="G203" s="9">
        <f>ROUND(E203-F203,2)</f>
        <v>0</v>
      </c>
    </row>
    <row r="204">
      <c r="A204" t="inlineStr">
        <is>
          <t>RA44841</t>
        </is>
      </c>
      <c r="B204" t="inlineStr">
        <is>
          <t>Lyrebird Plan Management</t>
        </is>
      </c>
      <c r="C204" s="5" t="n">
        <v>46211</v>
      </c>
      <c r="D204" t="inlineStr">
        <is>
          <t>INV/2026/01468</t>
        </is>
      </c>
      <c r="E204" s="9" t="n">
        <v>417.98</v>
      </c>
      <c r="F204" s="9" t="n">
        <v>417.98</v>
      </c>
      <c r="G204" s="9">
        <f>ROUND(E204-F204,2)</f>
        <v>0</v>
      </c>
    </row>
    <row r="205">
      <c r="A205" t="inlineStr">
        <is>
          <t>RA44841</t>
        </is>
      </c>
      <c r="B205" t="inlineStr">
        <is>
          <t>Lyrebird Plan Management</t>
        </is>
      </c>
      <c r="C205" s="5" t="n">
        <v>46211</v>
      </c>
      <c r="D205" t="inlineStr">
        <is>
          <t>INV/2026/01469</t>
        </is>
      </c>
      <c r="E205" s="9" t="n">
        <v>252.19</v>
      </c>
      <c r="F205" s="9" t="n">
        <v>252.19</v>
      </c>
      <c r="G205" s="9">
        <f>ROUND(E205-F205,2)</f>
        <v>0</v>
      </c>
    </row>
    <row r="206">
      <c r="A206" t="inlineStr">
        <is>
          <t>RA44842</t>
        </is>
      </c>
      <c r="B206" t="inlineStr">
        <is>
          <t>Mallee Plan Services</t>
        </is>
      </c>
      <c r="C206" s="5" t="n">
        <v>46211</v>
      </c>
      <c r="D206" t="inlineStr">
        <is>
          <t>INV/2026/01532</t>
        </is>
      </c>
      <c r="E206" s="9" t="n">
        <v>446.18</v>
      </c>
      <c r="F206" s="9" t="n">
        <v>446.18</v>
      </c>
      <c r="G206" s="9">
        <f>ROUND(E206-F206,2)</f>
        <v>0</v>
      </c>
    </row>
    <row r="207">
      <c r="A207" t="inlineStr">
        <is>
          <t>RA44842</t>
        </is>
      </c>
      <c r="B207" t="inlineStr">
        <is>
          <t>Mallee Plan Services</t>
        </is>
      </c>
      <c r="C207" s="5" t="n">
        <v>46211</v>
      </c>
      <c r="D207" t="inlineStr">
        <is>
          <t>INV/2026/01552</t>
        </is>
      </c>
      <c r="E207" s="9" t="n">
        <v>446.18</v>
      </c>
      <c r="F207" s="9" t="n">
        <v>446.18</v>
      </c>
      <c r="G207" s="9">
        <f>ROUND(E207-F207,2)</f>
        <v>0</v>
      </c>
    </row>
    <row r="208">
      <c r="A208" t="inlineStr">
        <is>
          <t>RA44842</t>
        </is>
      </c>
      <c r="B208" t="inlineStr">
        <is>
          <t>Mallee Plan Services</t>
        </is>
      </c>
      <c r="C208" s="5" t="n">
        <v>46211</v>
      </c>
      <c r="D208" t="inlineStr">
        <is>
          <t>INV/2026/01553</t>
        </is>
      </c>
      <c r="E208" s="9" t="n">
        <v>175.49</v>
      </c>
      <c r="F208" s="9" t="n">
        <v>175.49</v>
      </c>
      <c r="G208" s="9">
        <f>ROUND(E208-F208,2)</f>
        <v>0</v>
      </c>
    </row>
    <row r="209">
      <c r="A209" t="inlineStr">
        <is>
          <t>RA44842</t>
        </is>
      </c>
      <c r="B209" t="inlineStr">
        <is>
          <t>Mallee Plan Services</t>
        </is>
      </c>
      <c r="C209" s="5" t="n">
        <v>46211</v>
      </c>
      <c r="D209" t="inlineStr">
        <is>
          <t>INV/2026/01577</t>
        </is>
      </c>
      <c r="E209" s="9" t="n">
        <v>272.49</v>
      </c>
      <c r="F209" s="9" t="n">
        <v>272.49</v>
      </c>
      <c r="G209" s="9">
        <f>ROUND(E209-F209,2)</f>
        <v>0</v>
      </c>
    </row>
    <row r="210">
      <c r="A210" t="inlineStr">
        <is>
          <t>RA44842</t>
        </is>
      </c>
      <c r="B210" t="inlineStr">
        <is>
          <t>Mallee Plan Services</t>
        </is>
      </c>
      <c r="C210" s="5" t="n">
        <v>46211</v>
      </c>
      <c r="D210" t="inlineStr">
        <is>
          <t>INV/2026/01578</t>
        </is>
      </c>
      <c r="E210" s="9" t="n">
        <v>387.98</v>
      </c>
      <c r="F210" s="9" t="n">
        <v>387.98</v>
      </c>
      <c r="G210" s="9">
        <f>ROUND(E210-F210,2)</f>
        <v>0</v>
      </c>
    </row>
    <row r="211">
      <c r="A211" t="inlineStr">
        <is>
          <t>RA44842</t>
        </is>
      </c>
      <c r="B211" t="inlineStr">
        <is>
          <t>Mallee Plan Services</t>
        </is>
      </c>
      <c r="C211" s="5" t="n">
        <v>46211</v>
      </c>
      <c r="D211" t="inlineStr">
        <is>
          <t>INV/2026/01631</t>
        </is>
      </c>
      <c r="E211" s="9" t="n">
        <v>252.19</v>
      </c>
      <c r="F211" s="9" t="n">
        <v>252.19</v>
      </c>
      <c r="G211" s="9">
        <f>ROUND(E211-F211,2)</f>
        <v>0</v>
      </c>
    </row>
    <row r="212">
      <c r="A212" t="inlineStr">
        <is>
          <t>RA44842</t>
        </is>
      </c>
      <c r="B212" t="inlineStr">
        <is>
          <t>Mallee Plan Services</t>
        </is>
      </c>
      <c r="C212" s="5" t="n">
        <v>46211</v>
      </c>
      <c r="D212" t="inlineStr">
        <is>
          <t>INV/2026/01632</t>
        </is>
      </c>
      <c r="E212" s="9" t="n">
        <v>242.49</v>
      </c>
      <c r="F212" s="9" t="n">
        <v>242.49</v>
      </c>
      <c r="G212" s="9">
        <f>ROUND(E212-F212,2)</f>
        <v>0</v>
      </c>
    </row>
    <row r="213">
      <c r="A213" t="inlineStr">
        <is>
          <t>RA44842</t>
        </is>
      </c>
      <c r="B213" t="inlineStr">
        <is>
          <t>Mallee Plan Services</t>
        </is>
      </c>
      <c r="C213" s="5" t="n">
        <v>46211</v>
      </c>
      <c r="D213" t="inlineStr">
        <is>
          <t>INV/2026/01659</t>
        </is>
      </c>
      <c r="E213" s="9" t="n">
        <v>145.49</v>
      </c>
      <c r="F213" s="9" t="n">
        <v>145.49</v>
      </c>
      <c r="G213" s="9">
        <f>ROUND(E213-F213,2)</f>
        <v>0</v>
      </c>
    </row>
    <row r="214">
      <c r="A214" t="inlineStr">
        <is>
          <t>RA44843</t>
        </is>
      </c>
      <c r="B214" t="inlineStr">
        <is>
          <t>Bluegum Plan Management</t>
        </is>
      </c>
      <c r="C214" s="5" t="n">
        <v>46212</v>
      </c>
      <c r="D214" t="inlineStr">
        <is>
          <t>INV/2026/01498</t>
        </is>
      </c>
      <c r="E214" s="9" t="n">
        <v>446.18</v>
      </c>
      <c r="F214" s="9" t="n">
        <v>446.18</v>
      </c>
      <c r="G214" s="9">
        <f>ROUND(E214-F214,2)</f>
        <v>0</v>
      </c>
    </row>
    <row r="215">
      <c r="A215" t="inlineStr">
        <is>
          <t>RA44843</t>
        </is>
      </c>
      <c r="B215" t="inlineStr">
        <is>
          <t>Bluegum Plan Management</t>
        </is>
      </c>
      <c r="C215" s="5" t="n">
        <v>46212</v>
      </c>
      <c r="D215" t="inlineStr">
        <is>
          <t>INV/2026/01499</t>
        </is>
      </c>
      <c r="E215" s="9" t="n">
        <v>446.18</v>
      </c>
      <c r="F215" s="9" t="n">
        <v>446.18</v>
      </c>
      <c r="G215" s="9">
        <f>ROUND(E215-F215,2)</f>
        <v>0</v>
      </c>
    </row>
    <row r="216">
      <c r="A216" t="inlineStr">
        <is>
          <t>RA44844</t>
        </is>
      </c>
      <c r="B216" t="inlineStr">
        <is>
          <t>Clearpath NDIS Plans</t>
        </is>
      </c>
      <c r="C216" s="5" t="n">
        <v>46212</v>
      </c>
      <c r="D216" t="inlineStr">
        <is>
          <t>INV/2026/01847</t>
        </is>
      </c>
      <c r="E216" s="9" t="n">
        <v>126.99</v>
      </c>
      <c r="F216" s="9" t="n">
        <v>112.44</v>
      </c>
      <c r="G216" s="9">
        <f>ROUND(E216-F216,2)</f>
        <v>14.55</v>
      </c>
    </row>
    <row r="217">
      <c r="A217" t="inlineStr">
        <is>
          <t>RA44844</t>
        </is>
      </c>
      <c r="B217" t="inlineStr">
        <is>
          <t>Clearpath NDIS Plans</t>
        </is>
      </c>
      <c r="C217" s="5" t="n">
        <v>46212</v>
      </c>
      <c r="D217" t="inlineStr">
        <is>
          <t>INV/2026/01848</t>
        </is>
      </c>
      <c r="E217" s="9" t="n">
        <v>155.19</v>
      </c>
      <c r="F217" s="9" t="n">
        <v>155.19</v>
      </c>
      <c r="G217" s="9">
        <f>ROUND(E217-F217,2)</f>
        <v>0</v>
      </c>
    </row>
    <row r="218">
      <c r="A218" t="inlineStr">
        <is>
          <t>RA44844</t>
        </is>
      </c>
      <c r="B218" t="inlineStr">
        <is>
          <t>Clearpath NDIS Plans</t>
        </is>
      </c>
      <c r="C218" s="5" t="n">
        <v>46212</v>
      </c>
      <c r="D218" t="inlineStr">
        <is>
          <t>INV/2026/01876</t>
        </is>
      </c>
      <c r="E218" s="9" t="n">
        <v>96.98999999999999</v>
      </c>
      <c r="F218" s="9" t="n">
        <v>96.98999999999999</v>
      </c>
      <c r="G218" s="9">
        <f>ROUND(E218-F218,2)</f>
        <v>0</v>
      </c>
    </row>
    <row r="219">
      <c r="A219" t="inlineStr">
        <is>
          <t>RA44845</t>
        </is>
      </c>
      <c r="B219" t="inlineStr">
        <is>
          <t>Redgum Plan Admin</t>
        </is>
      </c>
      <c r="C219" s="5" t="n">
        <v>46212</v>
      </c>
      <c r="D219" t="inlineStr">
        <is>
          <t>INV/2026/01907</t>
        </is>
      </c>
      <c r="E219" s="9" t="n">
        <v>417.98</v>
      </c>
      <c r="F219" s="9" t="n">
        <v>417.98</v>
      </c>
      <c r="G219" s="9">
        <f>ROUND(E219-F219,2)</f>
        <v>0</v>
      </c>
    </row>
    <row r="220">
      <c r="A220" t="inlineStr">
        <is>
          <t>RA44845</t>
        </is>
      </c>
      <c r="B220" t="inlineStr">
        <is>
          <t>Redgum Plan Admin</t>
        </is>
      </c>
      <c r="C220" s="5" t="n">
        <v>46212</v>
      </c>
      <c r="D220" t="inlineStr">
        <is>
          <t>INV/2026/01928</t>
        </is>
      </c>
      <c r="E220" s="9" t="n">
        <v>387.98</v>
      </c>
      <c r="F220" s="9" t="n">
        <v>387.98</v>
      </c>
      <c r="G220" s="9">
        <f>ROUND(E220-F220,2)</f>
        <v>0</v>
      </c>
    </row>
    <row r="221">
      <c r="A221" t="inlineStr">
        <is>
          <t>RA44846</t>
        </is>
      </c>
      <c r="B221" t="inlineStr">
        <is>
          <t>Southern Cross Plan Mgmt</t>
        </is>
      </c>
      <c r="C221" s="5" t="n">
        <v>46212</v>
      </c>
      <c r="D221" t="inlineStr">
        <is>
          <t>INV/2026/01467</t>
        </is>
      </c>
      <c r="E221" s="9" t="n">
        <v>349.18</v>
      </c>
      <c r="F221" s="9" t="n">
        <v>349.18</v>
      </c>
      <c r="G221" s="9">
        <f>ROUND(E221-F221,2)</f>
        <v>0</v>
      </c>
    </row>
    <row r="222">
      <c r="A222" t="inlineStr">
        <is>
          <t>RA44846</t>
        </is>
      </c>
      <c r="B222" t="inlineStr">
        <is>
          <t>Southern Cross Plan Mgmt</t>
        </is>
      </c>
      <c r="C222" s="5" t="n">
        <v>46212</v>
      </c>
      <c r="D222" t="inlineStr">
        <is>
          <t>INV/2026/01487</t>
        </is>
      </c>
      <c r="E222" s="9" t="n">
        <v>252.19</v>
      </c>
      <c r="F222" s="9" t="n">
        <v>252.19</v>
      </c>
      <c r="G222" s="9">
        <f>ROUND(E222-F222,2)</f>
        <v>0</v>
      </c>
    </row>
    <row r="223">
      <c r="A223" t="inlineStr">
        <is>
          <t>RA44847</t>
        </is>
      </c>
      <c r="B223" t="inlineStr">
        <is>
          <t>Lyrebird Plan Management</t>
        </is>
      </c>
      <c r="C223" s="5" t="n">
        <v>46212</v>
      </c>
      <c r="D223" t="inlineStr">
        <is>
          <t>INV/2026/01470</t>
        </is>
      </c>
      <c r="E223" s="9" t="n">
        <v>193.99</v>
      </c>
      <c r="F223" s="9" t="n">
        <v>193.99</v>
      </c>
      <c r="G223" s="9">
        <f>ROUND(E223-F223,2)</f>
        <v>0</v>
      </c>
    </row>
    <row r="224">
      <c r="A224" t="inlineStr">
        <is>
          <t>RA44847</t>
        </is>
      </c>
      <c r="B224" t="inlineStr">
        <is>
          <t>Lyrebird Plan Management</t>
        </is>
      </c>
      <c r="C224" s="5" t="n">
        <v>46212</v>
      </c>
      <c r="D224" t="inlineStr">
        <is>
          <t>INV/2026/01489</t>
        </is>
      </c>
      <c r="E224" s="9" t="n">
        <v>145.49</v>
      </c>
      <c r="F224" s="9" t="n">
        <v>145.49</v>
      </c>
      <c r="G224" s="9">
        <f>ROUND(E224-F224,2)</f>
        <v>0</v>
      </c>
    </row>
    <row r="225">
      <c r="A225" t="inlineStr">
        <is>
          <t>RA44847</t>
        </is>
      </c>
      <c r="B225" t="inlineStr">
        <is>
          <t>Lyrebird Plan Management</t>
        </is>
      </c>
      <c r="C225" s="5" t="n">
        <v>46212</v>
      </c>
      <c r="D225" t="inlineStr">
        <is>
          <t>INV/2026/01510</t>
        </is>
      </c>
      <c r="E225" s="9" t="n">
        <v>193.99</v>
      </c>
      <c r="F225" s="9" t="n">
        <v>193.99</v>
      </c>
      <c r="G225" s="9">
        <f>ROUND(E225-F225,2)</f>
        <v>0</v>
      </c>
    </row>
    <row r="226">
      <c r="A226" t="inlineStr">
        <is>
          <t>RA44847</t>
        </is>
      </c>
      <c r="B226" t="inlineStr">
        <is>
          <t>Lyrebird Plan Management</t>
        </is>
      </c>
      <c r="C226" s="5" t="n">
        <v>46212</v>
      </c>
      <c r="D226" t="inlineStr">
        <is>
          <t>INV/2026/01573</t>
        </is>
      </c>
      <c r="E226" s="9" t="n">
        <v>290.98</v>
      </c>
      <c r="F226" s="9" t="n">
        <v>290.98</v>
      </c>
      <c r="G226" s="9">
        <f>ROUND(E226-F226,2)</f>
        <v>0</v>
      </c>
    </row>
    <row r="227">
      <c r="A227" t="inlineStr">
        <is>
          <t>RA44847</t>
        </is>
      </c>
      <c r="B227" t="inlineStr">
        <is>
          <t>Lyrebird Plan Management</t>
        </is>
      </c>
      <c r="C227" s="5" t="n">
        <v>46212</v>
      </c>
      <c r="D227" t="inlineStr">
        <is>
          <t>INV/2026/01603</t>
        </is>
      </c>
      <c r="E227" s="9" t="n">
        <v>300.69</v>
      </c>
      <c r="F227" s="9" t="n">
        <v>300.69</v>
      </c>
      <c r="G227" s="9">
        <f>ROUND(E227-F227,2)</f>
        <v>0</v>
      </c>
    </row>
    <row r="228">
      <c r="A228" t="inlineStr">
        <is>
          <t>RA44847</t>
        </is>
      </c>
      <c r="B228" t="inlineStr">
        <is>
          <t>Lyrebird Plan Management</t>
        </is>
      </c>
      <c r="C228" s="5" t="n">
        <v>46212</v>
      </c>
      <c r="D228" t="inlineStr">
        <is>
          <t>INV/2026/01604</t>
        </is>
      </c>
      <c r="E228" s="9" t="n">
        <v>387.98</v>
      </c>
      <c r="F228" s="9" t="n">
        <v>387.98</v>
      </c>
      <c r="G228" s="9">
        <f>ROUND(E228-F228,2)</f>
        <v>0</v>
      </c>
    </row>
    <row r="229">
      <c r="A229" t="inlineStr">
        <is>
          <t>RA44847</t>
        </is>
      </c>
      <c r="B229" t="inlineStr">
        <is>
          <t>Lyrebird Plan Management</t>
        </is>
      </c>
      <c r="C229" s="5" t="n">
        <v>46212</v>
      </c>
      <c r="D229" t="inlineStr">
        <is>
          <t>INV/2026/01626</t>
        </is>
      </c>
      <c r="E229" s="9" t="n">
        <v>290.98</v>
      </c>
      <c r="F229" s="9" t="n">
        <v>290.98</v>
      </c>
      <c r="G229" s="9">
        <f>ROUND(E229-F229,2)</f>
        <v>0</v>
      </c>
    </row>
    <row r="230">
      <c r="A230" t="inlineStr">
        <is>
          <t>RA44847</t>
        </is>
      </c>
      <c r="B230" t="inlineStr">
        <is>
          <t>Lyrebird Plan Management</t>
        </is>
      </c>
      <c r="C230" s="5" t="n">
        <v>46212</v>
      </c>
      <c r="D230" t="inlineStr">
        <is>
          <t>INV/2026/01654</t>
        </is>
      </c>
      <c r="E230" s="9" t="n">
        <v>193.99</v>
      </c>
      <c r="F230" s="9" t="n">
        <v>193.99</v>
      </c>
      <c r="G230" s="9">
        <f>ROUND(E230-F230,2)</f>
        <v>0</v>
      </c>
    </row>
    <row r="231">
      <c r="A231" t="inlineStr">
        <is>
          <t>RA44848</t>
        </is>
      </c>
      <c r="B231" t="inlineStr">
        <is>
          <t>Mallee Plan Services</t>
        </is>
      </c>
      <c r="C231" s="5" t="n">
        <v>46212</v>
      </c>
      <c r="D231" t="inlineStr">
        <is>
          <t>INV/2026/01683</t>
        </is>
      </c>
      <c r="E231" s="9" t="n">
        <v>193.99</v>
      </c>
      <c r="F231" s="9" t="n">
        <v>193.99</v>
      </c>
      <c r="G231" s="9">
        <f>ROUND(E231-F231,2)</f>
        <v>0</v>
      </c>
    </row>
    <row r="232">
      <c r="A232" t="inlineStr">
        <is>
          <t>RA44848</t>
        </is>
      </c>
      <c r="B232" t="inlineStr">
        <is>
          <t>Mallee Plan Services</t>
        </is>
      </c>
      <c r="C232" s="5" t="n">
        <v>46212</v>
      </c>
      <c r="D232" t="inlineStr">
        <is>
          <t>INV/2026/01727</t>
        </is>
      </c>
      <c r="E232" s="9" t="n">
        <v>252.19</v>
      </c>
      <c r="F232" s="9" t="n">
        <v>252.19</v>
      </c>
      <c r="G232" s="9">
        <f>ROUND(E232-F232,2)</f>
        <v>0</v>
      </c>
    </row>
    <row r="233">
      <c r="A233" t="inlineStr">
        <is>
          <t>RA44848</t>
        </is>
      </c>
      <c r="B233" t="inlineStr">
        <is>
          <t>Mallee Plan Services</t>
        </is>
      </c>
      <c r="C233" s="5" t="n">
        <v>46212</v>
      </c>
      <c r="D233" t="inlineStr">
        <is>
          <t>INV/2026/01772</t>
        </is>
      </c>
      <c r="E233" s="9" t="n">
        <v>387.98</v>
      </c>
      <c r="F233" s="9" t="n">
        <v>387.98</v>
      </c>
      <c r="G233" s="9">
        <f>ROUND(E233-F233,2)</f>
        <v>0</v>
      </c>
    </row>
    <row r="234">
      <c r="A234" t="inlineStr">
        <is>
          <t>RA44848</t>
        </is>
      </c>
      <c r="B234" t="inlineStr">
        <is>
          <t>Mallee Plan Services</t>
        </is>
      </c>
      <c r="C234" s="5" t="n">
        <v>46212</v>
      </c>
      <c r="D234" t="inlineStr">
        <is>
          <t>INV/2026/01792</t>
        </is>
      </c>
      <c r="E234" s="9" t="n">
        <v>300.69</v>
      </c>
      <c r="F234" s="9" t="n">
        <v>300.69</v>
      </c>
      <c r="G234" s="9">
        <f>ROUND(E234-F234,2)</f>
        <v>0</v>
      </c>
    </row>
    <row r="235">
      <c r="A235" t="inlineStr">
        <is>
          <t>RA44848</t>
        </is>
      </c>
      <c r="B235" t="inlineStr">
        <is>
          <t>Mallee Plan Services</t>
        </is>
      </c>
      <c r="C235" s="5" t="n">
        <v>46212</v>
      </c>
      <c r="D235" t="inlineStr">
        <is>
          <t>INV/2026/01821</t>
        </is>
      </c>
      <c r="E235" s="9" t="n">
        <v>300.69</v>
      </c>
      <c r="F235" s="9" t="n">
        <v>300.69</v>
      </c>
      <c r="G235" s="9">
        <f>ROUND(E235-F235,2)</f>
        <v>0</v>
      </c>
    </row>
    <row r="236">
      <c r="A236" t="inlineStr">
        <is>
          <t>RA44848</t>
        </is>
      </c>
      <c r="B236" t="inlineStr">
        <is>
          <t>Mallee Plan Services</t>
        </is>
      </c>
      <c r="C236" s="5" t="n">
        <v>46212</v>
      </c>
      <c r="D236" t="inlineStr">
        <is>
          <t>INV/2026/01822</t>
        </is>
      </c>
      <c r="E236" s="9" t="n">
        <v>242.49</v>
      </c>
      <c r="F236" s="9" t="n">
        <v>242.49</v>
      </c>
      <c r="G236" s="9">
        <f>ROUND(E236-F236,2)</f>
        <v>0</v>
      </c>
    </row>
    <row r="237">
      <c r="A237" t="inlineStr">
        <is>
          <t>RA44849</t>
        </is>
      </c>
      <c r="B237" t="inlineStr">
        <is>
          <t>Bluegum Plan Management</t>
        </is>
      </c>
      <c r="C237" s="5" t="n">
        <v>46213</v>
      </c>
      <c r="D237" t="inlineStr">
        <is>
          <t>INV/2026/01515</t>
        </is>
      </c>
      <c r="E237" s="9" t="n">
        <v>387.98</v>
      </c>
      <c r="F237" s="9" t="n">
        <v>387.98</v>
      </c>
      <c r="G237" s="9">
        <f>ROUND(E237-F237,2)</f>
        <v>0</v>
      </c>
    </row>
    <row r="238">
      <c r="A238" t="inlineStr">
        <is>
          <t>RA44849</t>
        </is>
      </c>
      <c r="B238" t="inlineStr">
        <is>
          <t>Bluegum Plan Management</t>
        </is>
      </c>
      <c r="C238" s="5" t="n">
        <v>46213</v>
      </c>
      <c r="D238" t="inlineStr">
        <is>
          <t>INV/2026/01534</t>
        </is>
      </c>
      <c r="E238" s="9" t="n">
        <v>193.99</v>
      </c>
      <c r="F238" s="9" t="n">
        <v>193.99</v>
      </c>
      <c r="G238" s="9">
        <f>ROUND(E238-F238,2)</f>
        <v>0</v>
      </c>
    </row>
    <row r="239">
      <c r="A239" t="inlineStr">
        <is>
          <t>RA44850</t>
        </is>
      </c>
      <c r="B239" t="inlineStr">
        <is>
          <t>Wattle Plan Services</t>
        </is>
      </c>
      <c r="C239" s="5" t="n">
        <v>46213</v>
      </c>
      <c r="D239" t="inlineStr">
        <is>
          <t>INV/2026/01668</t>
        </is>
      </c>
      <c r="E239" s="9" t="n">
        <v>96.98999999999999</v>
      </c>
      <c r="F239" s="9" t="n">
        <v>96.98999999999999</v>
      </c>
      <c r="G239" s="9">
        <f>ROUND(E239-F239,2)</f>
        <v>0</v>
      </c>
    </row>
    <row r="240">
      <c r="A240" t="inlineStr">
        <is>
          <t>RA44850</t>
        </is>
      </c>
      <c r="B240" t="inlineStr">
        <is>
          <t>Wattle Plan Services</t>
        </is>
      </c>
      <c r="C240" s="5" t="n">
        <v>46213</v>
      </c>
      <c r="D240" t="inlineStr">
        <is>
          <t>INV/2026/01709</t>
        </is>
      </c>
      <c r="E240" s="9" t="n">
        <v>175.49</v>
      </c>
      <c r="F240" s="9" t="n">
        <v>175.49</v>
      </c>
      <c r="G240" s="9">
        <f>ROUND(E240-F240,2)</f>
        <v>0</v>
      </c>
    </row>
    <row r="241">
      <c r="A241" t="inlineStr">
        <is>
          <t>RA44851</t>
        </is>
      </c>
      <c r="B241" t="inlineStr">
        <is>
          <t>Banksia Plan Co</t>
        </is>
      </c>
      <c r="C241" s="5" t="n">
        <v>46213</v>
      </c>
      <c r="D241" t="inlineStr">
        <is>
          <t>INV/2026/01670</t>
        </is>
      </c>
      <c r="E241" s="9" t="n">
        <v>242.49</v>
      </c>
      <c r="F241" s="9" t="n">
        <v>242.49</v>
      </c>
      <c r="G241" s="9">
        <f>ROUND(E241-F241,2)</f>
        <v>0</v>
      </c>
    </row>
    <row r="242">
      <c r="A242" t="inlineStr">
        <is>
          <t>RA44851</t>
        </is>
      </c>
      <c r="B242" t="inlineStr">
        <is>
          <t>Banksia Plan Co</t>
        </is>
      </c>
      <c r="C242" s="5" t="n">
        <v>46213</v>
      </c>
      <c r="D242" t="inlineStr">
        <is>
          <t>INV/2026/01689</t>
        </is>
      </c>
      <c r="E242" s="9" t="n">
        <v>145.49</v>
      </c>
      <c r="F242" s="9" t="n">
        <v>145.49</v>
      </c>
      <c r="G242" s="9">
        <f>ROUND(E242-F242,2)</f>
        <v>0</v>
      </c>
    </row>
    <row r="243">
      <c r="A243" t="inlineStr">
        <is>
          <t>RA44851</t>
        </is>
      </c>
      <c r="B243" t="inlineStr">
        <is>
          <t>Banksia Plan Co</t>
        </is>
      </c>
      <c r="C243" s="5" t="n">
        <v>46213</v>
      </c>
      <c r="D243" t="inlineStr">
        <is>
          <t>INV/2026/01690</t>
        </is>
      </c>
      <c r="E243" s="9" t="n">
        <v>96.98999999999999</v>
      </c>
      <c r="F243" s="9" t="n">
        <v>96.98999999999999</v>
      </c>
      <c r="G243" s="9">
        <f>ROUND(E243-F243,2)</f>
        <v>0</v>
      </c>
    </row>
    <row r="244">
      <c r="A244" t="inlineStr">
        <is>
          <t>RA44851</t>
        </is>
      </c>
      <c r="B244" t="inlineStr">
        <is>
          <t>Banksia Plan Co</t>
        </is>
      </c>
      <c r="C244" s="5" t="n">
        <v>46213</v>
      </c>
      <c r="D244" t="inlineStr">
        <is>
          <t>INV/2026/01712</t>
        </is>
      </c>
      <c r="E244" s="9" t="n">
        <v>387.98</v>
      </c>
      <c r="F244" s="9" t="n">
        <v>387.98</v>
      </c>
      <c r="G244" s="9">
        <f>ROUND(E244-F244,2)</f>
        <v>0</v>
      </c>
    </row>
    <row r="245">
      <c r="A245" t="inlineStr">
        <is>
          <t>RA44851</t>
        </is>
      </c>
      <c r="B245" t="inlineStr">
        <is>
          <t>Banksia Plan Co</t>
        </is>
      </c>
      <c r="C245" s="5" t="n">
        <v>46213</v>
      </c>
      <c r="D245" t="inlineStr">
        <is>
          <t>INV/2026/01713</t>
        </is>
      </c>
      <c r="E245" s="9" t="n">
        <v>446.18</v>
      </c>
      <c r="F245" s="9" t="n">
        <v>446.18</v>
      </c>
      <c r="G245" s="9">
        <f>ROUND(E245-F245,2)</f>
        <v>0</v>
      </c>
    </row>
    <row r="246">
      <c r="A246" t="inlineStr">
        <is>
          <t>RA44851</t>
        </is>
      </c>
      <c r="B246" t="inlineStr">
        <is>
          <t>Banksia Plan Co</t>
        </is>
      </c>
      <c r="C246" s="5" t="n">
        <v>46213</v>
      </c>
      <c r="D246" t="inlineStr">
        <is>
          <t>INV/2026/01734</t>
        </is>
      </c>
      <c r="E246" s="9" t="n">
        <v>145.49</v>
      </c>
      <c r="F246" s="9" t="n">
        <v>145.49</v>
      </c>
      <c r="G246" s="9">
        <f>ROUND(E246-F246,2)</f>
        <v>0</v>
      </c>
    </row>
    <row r="247">
      <c r="A247" t="inlineStr">
        <is>
          <t>RA44851</t>
        </is>
      </c>
      <c r="B247" t="inlineStr">
        <is>
          <t>Banksia Plan Co</t>
        </is>
      </c>
      <c r="C247" s="5" t="n">
        <v>46213</v>
      </c>
      <c r="D247" t="inlineStr">
        <is>
          <t>INV/2026/01735</t>
        </is>
      </c>
      <c r="E247" s="9" t="n">
        <v>387.98</v>
      </c>
      <c r="F247" s="9" t="n">
        <v>387.98</v>
      </c>
      <c r="G247" s="9">
        <f>ROUND(E247-F247,2)</f>
        <v>0</v>
      </c>
    </row>
    <row r="248">
      <c r="A248" t="inlineStr">
        <is>
          <t>RA44851</t>
        </is>
      </c>
      <c r="B248" t="inlineStr">
        <is>
          <t>Banksia Plan Co</t>
        </is>
      </c>
      <c r="C248" s="5" t="n">
        <v>46213</v>
      </c>
      <c r="D248" t="inlineStr">
        <is>
          <t>INV/2026/01754</t>
        </is>
      </c>
      <c r="E248" s="9" t="n">
        <v>96.98999999999999</v>
      </c>
      <c r="F248" s="9" t="n">
        <v>96.98999999999999</v>
      </c>
      <c r="G248" s="9">
        <f>ROUND(E248-F248,2)</f>
        <v>0</v>
      </c>
    </row>
    <row r="249">
      <c r="A249" t="inlineStr">
        <is>
          <t>RA44851</t>
        </is>
      </c>
      <c r="B249" t="inlineStr">
        <is>
          <t>Banksia Plan Co</t>
        </is>
      </c>
      <c r="C249" s="5" t="n">
        <v>46213</v>
      </c>
      <c r="D249" t="inlineStr">
        <is>
          <t>INV/2026/01755</t>
        </is>
      </c>
      <c r="E249" s="9" t="n">
        <v>387.98</v>
      </c>
      <c r="F249" s="9" t="n">
        <v>387.98</v>
      </c>
      <c r="G249" s="9">
        <f>ROUND(E249-F249,2)</f>
        <v>0</v>
      </c>
    </row>
    <row r="250">
      <c r="A250" t="inlineStr">
        <is>
          <t>RA44851</t>
        </is>
      </c>
      <c r="B250" t="inlineStr">
        <is>
          <t>Banksia Plan Co</t>
        </is>
      </c>
      <c r="C250" s="5" t="n">
        <v>46213</v>
      </c>
      <c r="D250" t="inlineStr">
        <is>
          <t>INV/2026/01756</t>
        </is>
      </c>
      <c r="E250" s="9" t="n">
        <v>96.98999999999999</v>
      </c>
      <c r="F250" s="9" t="n">
        <v>96.98999999999999</v>
      </c>
      <c r="G250" s="9">
        <f>ROUND(E250-F250,2)</f>
        <v>0</v>
      </c>
    </row>
    <row r="251">
      <c r="A251" t="inlineStr">
        <is>
          <t>RA44851</t>
        </is>
      </c>
      <c r="B251" t="inlineStr">
        <is>
          <t>Banksia Plan Co</t>
        </is>
      </c>
      <c r="C251" s="5" t="n">
        <v>46213</v>
      </c>
      <c r="D251" t="inlineStr">
        <is>
          <t>INV/2026/01779</t>
        </is>
      </c>
      <c r="E251" s="9" t="n">
        <v>387.98</v>
      </c>
      <c r="F251" s="9" t="n">
        <v>387.98</v>
      </c>
      <c r="G251" s="9">
        <f>ROUND(E251-F251,2)</f>
        <v>0</v>
      </c>
    </row>
    <row r="252">
      <c r="A252" t="inlineStr">
        <is>
          <t>RA44851</t>
        </is>
      </c>
      <c r="B252" t="inlineStr">
        <is>
          <t>Banksia Plan Co</t>
        </is>
      </c>
      <c r="C252" s="5" t="n">
        <v>46213</v>
      </c>
      <c r="D252" t="inlineStr">
        <is>
          <t>INV/2026/01780</t>
        </is>
      </c>
      <c r="E252" s="9" t="n">
        <v>387.98</v>
      </c>
      <c r="F252" s="9" t="n">
        <v>387.98</v>
      </c>
      <c r="G252" s="9">
        <f>ROUND(E252-F252,2)</f>
        <v>0</v>
      </c>
    </row>
    <row r="253">
      <c r="A253" t="inlineStr">
        <is>
          <t>RA44852</t>
        </is>
      </c>
      <c r="B253" t="inlineStr">
        <is>
          <t>Kookaburra Plan Support</t>
        </is>
      </c>
      <c r="C253" s="5" t="n">
        <v>46213</v>
      </c>
      <c r="D253" t="inlineStr">
        <is>
          <t>INV/2026/01523</t>
        </is>
      </c>
      <c r="E253" s="9" t="n">
        <v>193.99</v>
      </c>
      <c r="F253" s="9" t="n">
        <v>193.99</v>
      </c>
      <c r="G253" s="9">
        <f>ROUND(E253-F253,2)</f>
        <v>0</v>
      </c>
    </row>
    <row r="254">
      <c r="A254" t="inlineStr">
        <is>
          <t>RA44852</t>
        </is>
      </c>
      <c r="B254" t="inlineStr">
        <is>
          <t>Kookaburra Plan Support</t>
        </is>
      </c>
      <c r="C254" s="5" t="n">
        <v>46213</v>
      </c>
      <c r="D254" t="inlineStr">
        <is>
          <t>INV/2026/01524</t>
        </is>
      </c>
      <c r="E254" s="9" t="n">
        <v>349.18</v>
      </c>
      <c r="F254" s="9" t="n">
        <v>349.18</v>
      </c>
      <c r="G254" s="9">
        <f>ROUND(E254-F254,2)</f>
        <v>0</v>
      </c>
    </row>
    <row r="255">
      <c r="A255" t="inlineStr">
        <is>
          <t>RA44852</t>
        </is>
      </c>
      <c r="B255" t="inlineStr">
        <is>
          <t>Kookaburra Plan Support</t>
        </is>
      </c>
      <c r="C255" s="5" t="n">
        <v>46213</v>
      </c>
      <c r="D255" t="inlineStr">
        <is>
          <t>INV/2026/01566</t>
        </is>
      </c>
      <c r="E255" s="9" t="n">
        <v>272.49</v>
      </c>
      <c r="F255" s="9" t="n">
        <v>272.49</v>
      </c>
      <c r="G255" s="9">
        <f>ROUND(E255-F255,2)</f>
        <v>0</v>
      </c>
    </row>
    <row r="256">
      <c r="A256" t="inlineStr">
        <is>
          <t>RA44853</t>
        </is>
      </c>
      <c r="B256" t="inlineStr">
        <is>
          <t>Redgum Plan Admin</t>
        </is>
      </c>
      <c r="C256" s="5" t="n">
        <v>46213</v>
      </c>
      <c r="D256" t="inlineStr">
        <is>
          <t>INV/2026/01955</t>
        </is>
      </c>
      <c r="E256" s="9" t="n">
        <v>387.98</v>
      </c>
      <c r="F256" s="9" t="n">
        <v>387.98</v>
      </c>
      <c r="G256" s="9">
        <f>ROUND(E256-F256,2)</f>
        <v>0</v>
      </c>
    </row>
    <row r="257">
      <c r="A257" t="inlineStr">
        <is>
          <t>RA44853</t>
        </is>
      </c>
      <c r="B257" t="inlineStr">
        <is>
          <t>Redgum Plan Admin</t>
        </is>
      </c>
      <c r="C257" s="5" t="n">
        <v>46213</v>
      </c>
      <c r="D257" t="inlineStr">
        <is>
          <t>INV/2026/01956</t>
        </is>
      </c>
      <c r="E257" s="9" t="n">
        <v>446.18</v>
      </c>
      <c r="F257" s="9" t="n">
        <v>446.18</v>
      </c>
      <c r="G257" s="9">
        <f>ROUND(E257-F257,2)</f>
        <v>0</v>
      </c>
    </row>
    <row r="258">
      <c r="A258" t="inlineStr">
        <is>
          <t>RA44853</t>
        </is>
      </c>
      <c r="B258" t="inlineStr">
        <is>
          <t>Redgum Plan Admin</t>
        </is>
      </c>
      <c r="C258" s="5" t="n">
        <v>46213</v>
      </c>
      <c r="D258" t="inlineStr">
        <is>
          <t>INV/2026/01957</t>
        </is>
      </c>
      <c r="E258" s="9" t="n">
        <v>446.18</v>
      </c>
      <c r="F258" s="9" t="n">
        <v>446.18</v>
      </c>
      <c r="G258" s="9">
        <f>ROUND(E258-F258,2)</f>
        <v>0</v>
      </c>
    </row>
    <row r="259">
      <c r="A259" t="inlineStr">
        <is>
          <t>RA44853</t>
        </is>
      </c>
      <c r="B259" t="inlineStr">
        <is>
          <t>Redgum Plan Admin</t>
        </is>
      </c>
      <c r="C259" s="5" t="n">
        <v>46213</v>
      </c>
      <c r="D259" t="inlineStr">
        <is>
          <t>INV/2026/02004</t>
        </is>
      </c>
      <c r="E259" s="9" t="n">
        <v>96.98999999999999</v>
      </c>
      <c r="F259" s="9" t="n">
        <v>96.98999999999999</v>
      </c>
      <c r="G259" s="9">
        <f>ROUND(E259-F259,2)</f>
        <v>0</v>
      </c>
    </row>
    <row r="260">
      <c r="A260" t="inlineStr">
        <is>
          <t>RA44853</t>
        </is>
      </c>
      <c r="B260" t="inlineStr">
        <is>
          <t>Redgum Plan Admin</t>
        </is>
      </c>
      <c r="C260" s="5" t="n">
        <v>46213</v>
      </c>
      <c r="D260" t="inlineStr">
        <is>
          <t>INV/2026/02006</t>
        </is>
      </c>
      <c r="E260" s="9" t="n">
        <v>175.49</v>
      </c>
      <c r="F260" s="9" t="n">
        <v>175.49</v>
      </c>
      <c r="G260" s="9">
        <f>ROUND(E260-F260,2)</f>
        <v>0</v>
      </c>
    </row>
    <row r="261">
      <c r="A261" t="inlineStr">
        <is>
          <t>RA44853</t>
        </is>
      </c>
      <c r="B261" t="inlineStr">
        <is>
          <t>Redgum Plan Admin</t>
        </is>
      </c>
      <c r="C261" s="5" t="n">
        <v>46213</v>
      </c>
      <c r="D261" t="inlineStr">
        <is>
          <t>INV/2026/02030</t>
        </is>
      </c>
      <c r="E261" s="9" t="n">
        <v>387.98</v>
      </c>
      <c r="F261" s="9" t="n">
        <v>387.98</v>
      </c>
      <c r="G261" s="9">
        <f>ROUND(E261-F261,2)</f>
        <v>0</v>
      </c>
    </row>
    <row r="262">
      <c r="A262" t="inlineStr">
        <is>
          <t>RA44854</t>
        </is>
      </c>
      <c r="B262" t="inlineStr">
        <is>
          <t>Lyrebird Plan Management</t>
        </is>
      </c>
      <c r="C262" s="5" t="n">
        <v>46213</v>
      </c>
      <c r="D262" t="inlineStr">
        <is>
          <t>INV/2026/01655</t>
        </is>
      </c>
      <c r="E262" s="9" t="n">
        <v>145.49</v>
      </c>
      <c r="F262" s="9" t="n">
        <v>145.49</v>
      </c>
      <c r="G262" s="9">
        <f>ROUND(E262-F262,2)</f>
        <v>0</v>
      </c>
    </row>
    <row r="263">
      <c r="A263" t="inlineStr">
        <is>
          <t>RA44854</t>
        </is>
      </c>
      <c r="B263" t="inlineStr">
        <is>
          <t>Lyrebird Plan Management</t>
        </is>
      </c>
      <c r="C263" s="5" t="n">
        <v>46213</v>
      </c>
      <c r="D263" t="inlineStr">
        <is>
          <t>INV/2026/01656</t>
        </is>
      </c>
      <c r="E263" s="9" t="n">
        <v>175.49</v>
      </c>
      <c r="F263" s="9" t="n">
        <v>175.49</v>
      </c>
      <c r="G263" s="9">
        <f>ROUND(E263-F263,2)</f>
        <v>0</v>
      </c>
    </row>
    <row r="264">
      <c r="A264" t="inlineStr">
        <is>
          <t>RA44854</t>
        </is>
      </c>
      <c r="B264" t="inlineStr">
        <is>
          <t>Lyrebird Plan Management</t>
        </is>
      </c>
      <c r="C264" s="5" t="n">
        <v>46213</v>
      </c>
      <c r="D264" t="inlineStr">
        <is>
          <t>INV/2026/01700</t>
        </is>
      </c>
      <c r="E264" s="9" t="n">
        <v>96.98999999999999</v>
      </c>
      <c r="F264" s="9" t="n">
        <v>96.98999999999999</v>
      </c>
      <c r="G264" s="9">
        <f>ROUND(E264-F264,2)</f>
        <v>0</v>
      </c>
    </row>
    <row r="265">
      <c r="A265" t="inlineStr">
        <is>
          <t>RA44854</t>
        </is>
      </c>
      <c r="B265" t="inlineStr">
        <is>
          <t>Lyrebird Plan Management</t>
        </is>
      </c>
      <c r="C265" s="5" t="n">
        <v>46213</v>
      </c>
      <c r="D265" t="inlineStr">
        <is>
          <t>INV/2026/01701</t>
        </is>
      </c>
      <c r="E265" s="9" t="n">
        <v>203.69</v>
      </c>
      <c r="F265" s="9" t="n">
        <v>203.69</v>
      </c>
      <c r="G265" s="9">
        <f>ROUND(E265-F265,2)</f>
        <v>0</v>
      </c>
    </row>
    <row r="266">
      <c r="A266" t="inlineStr">
        <is>
          <t>RA44854</t>
        </is>
      </c>
      <c r="B266" t="inlineStr">
        <is>
          <t>Lyrebird Plan Management</t>
        </is>
      </c>
      <c r="C266" s="5" t="n">
        <v>46213</v>
      </c>
      <c r="D266" t="inlineStr">
        <is>
          <t>INV/2026/01722</t>
        </is>
      </c>
      <c r="E266" s="9" t="n">
        <v>300.69</v>
      </c>
      <c r="F266" s="9" t="n">
        <v>300.69</v>
      </c>
      <c r="G266" s="9">
        <f>ROUND(E266-F266,2)</f>
        <v>0</v>
      </c>
    </row>
    <row r="267">
      <c r="A267" t="inlineStr">
        <is>
          <t>RA44854</t>
        </is>
      </c>
      <c r="B267" t="inlineStr">
        <is>
          <t>Lyrebird Plan Management</t>
        </is>
      </c>
      <c r="C267" s="5" t="n">
        <v>46213</v>
      </c>
      <c r="D267" t="inlineStr">
        <is>
          <t>INV/2026/01723</t>
        </is>
      </c>
      <c r="E267" s="9" t="n">
        <v>300.69</v>
      </c>
      <c r="F267" s="9" t="n">
        <v>300.69</v>
      </c>
      <c r="G267" s="9">
        <f>ROUND(E267-F267,2)</f>
        <v>0</v>
      </c>
    </row>
    <row r="268">
      <c r="A268" t="inlineStr">
        <is>
          <t>RA44855</t>
        </is>
      </c>
      <c r="B268" t="inlineStr">
        <is>
          <t>Tallowwood Plans</t>
        </is>
      </c>
      <c r="C268" s="5" t="n">
        <v>46213</v>
      </c>
      <c r="D268" t="inlineStr">
        <is>
          <t>INV/2026/01817</t>
        </is>
      </c>
      <c r="E268" s="9" t="n">
        <v>446.18</v>
      </c>
      <c r="F268" s="9" t="n">
        <v>446.18</v>
      </c>
      <c r="G268" s="9">
        <f>ROUND(E268-F268,2)</f>
        <v>0</v>
      </c>
    </row>
    <row r="269">
      <c r="A269" t="inlineStr">
        <is>
          <t>RA44855</t>
        </is>
      </c>
      <c r="B269" t="inlineStr">
        <is>
          <t>Tallowwood Plans</t>
        </is>
      </c>
      <c r="C269" s="5" t="n">
        <v>46213</v>
      </c>
      <c r="D269" t="inlineStr">
        <is>
          <t>INV/2026/01818</t>
        </is>
      </c>
      <c r="E269" s="9" t="n">
        <v>126.99</v>
      </c>
      <c r="F269" s="9" t="n">
        <v>126.99</v>
      </c>
      <c r="G269" s="9">
        <f>ROUND(E269-F269,2)</f>
        <v>0</v>
      </c>
    </row>
    <row r="270">
      <c r="A270" t="inlineStr">
        <is>
          <t>RA44855</t>
        </is>
      </c>
      <c r="B270" t="inlineStr">
        <is>
          <t>Tallowwood Plans</t>
        </is>
      </c>
      <c r="C270" s="5" t="n">
        <v>46213</v>
      </c>
      <c r="D270" t="inlineStr">
        <is>
          <t>INV/2026/01819</t>
        </is>
      </c>
      <c r="E270" s="9" t="n">
        <v>387.98</v>
      </c>
      <c r="F270" s="9" t="n">
        <v>387.98</v>
      </c>
      <c r="G270" s="9">
        <f>ROUND(E270-F270,2)</f>
        <v>0</v>
      </c>
    </row>
    <row r="271">
      <c r="A271" t="inlineStr">
        <is>
          <t>RA44855</t>
        </is>
      </c>
      <c r="B271" t="inlineStr">
        <is>
          <t>Tallowwood Plans</t>
        </is>
      </c>
      <c r="C271" s="5" t="n">
        <v>46213</v>
      </c>
      <c r="D271" t="inlineStr">
        <is>
          <t>INV/2026/01862</t>
        </is>
      </c>
      <c r="E271" s="9" t="n">
        <v>193.99</v>
      </c>
      <c r="F271" s="9" t="n">
        <v>193.99</v>
      </c>
      <c r="G271" s="9">
        <f>ROUND(E271-F271,2)</f>
        <v>0</v>
      </c>
    </row>
    <row r="272">
      <c r="A272" t="inlineStr">
        <is>
          <t>RA44855</t>
        </is>
      </c>
      <c r="B272" t="inlineStr">
        <is>
          <t>Tallowwood Plans</t>
        </is>
      </c>
      <c r="C272" s="5" t="n">
        <v>46213</v>
      </c>
      <c r="D272" t="inlineStr">
        <is>
          <t>INV/2026/01863</t>
        </is>
      </c>
      <c r="E272" s="9" t="n">
        <v>175.49</v>
      </c>
      <c r="F272" s="9" t="n">
        <v>175.49</v>
      </c>
      <c r="G272" s="9">
        <f>ROUND(E272-F272,2)</f>
        <v>0</v>
      </c>
    </row>
    <row r="273">
      <c r="A273" t="inlineStr">
        <is>
          <t>RA44855</t>
        </is>
      </c>
      <c r="B273" t="inlineStr">
        <is>
          <t>Tallowwood Plans</t>
        </is>
      </c>
      <c r="C273" s="5" t="n">
        <v>46213</v>
      </c>
      <c r="D273" t="inlineStr">
        <is>
          <t>INV/2026/01864</t>
        </is>
      </c>
      <c r="E273" s="9" t="n">
        <v>145.49</v>
      </c>
      <c r="F273" s="9" t="n">
        <v>145.49</v>
      </c>
      <c r="G273" s="9">
        <f>ROUND(E273-F273,2)</f>
        <v>0</v>
      </c>
    </row>
    <row r="274">
      <c r="A274" t="inlineStr">
        <is>
          <t>RA44855</t>
        </is>
      </c>
      <c r="B274" t="inlineStr">
        <is>
          <t>Tallowwood Plans</t>
        </is>
      </c>
      <c r="C274" s="5" t="n">
        <v>46213</v>
      </c>
      <c r="D274" t="inlineStr">
        <is>
          <t>INV/2026/01889</t>
        </is>
      </c>
      <c r="E274" s="9" t="n">
        <v>242.49</v>
      </c>
      <c r="F274" s="9" t="n">
        <v>242.49</v>
      </c>
      <c r="G274" s="9">
        <f>ROUND(E274-F274,2)</f>
        <v>0</v>
      </c>
    </row>
    <row r="275">
      <c r="A275" t="inlineStr">
        <is>
          <t>RA44855</t>
        </is>
      </c>
      <c r="B275" t="inlineStr">
        <is>
          <t>Tallowwood Plans</t>
        </is>
      </c>
      <c r="C275" s="5" t="n">
        <v>46213</v>
      </c>
      <c r="D275" t="inlineStr">
        <is>
          <t>INV/2026/01910</t>
        </is>
      </c>
      <c r="E275" s="9" t="n">
        <v>145.49</v>
      </c>
      <c r="F275" s="9" t="n">
        <v>145.49</v>
      </c>
      <c r="G275" s="9">
        <f>ROUND(E275-F275,2)</f>
        <v>0</v>
      </c>
    </row>
    <row r="276">
      <c r="A276" t="inlineStr">
        <is>
          <t>RA44855</t>
        </is>
      </c>
      <c r="B276" t="inlineStr">
        <is>
          <t>Tallowwood Plans</t>
        </is>
      </c>
      <c r="C276" s="5" t="n">
        <v>46213</v>
      </c>
      <c r="D276" t="inlineStr">
        <is>
          <t>INV/2026/01935</t>
        </is>
      </c>
      <c r="E276" s="9" t="n">
        <v>290.98</v>
      </c>
      <c r="F276" s="9" t="n">
        <v>290.98</v>
      </c>
      <c r="G276" s="9">
        <f>ROUND(E276-F276,2)</f>
        <v>0</v>
      </c>
    </row>
    <row r="277">
      <c r="A277" t="inlineStr">
        <is>
          <t>RA44855</t>
        </is>
      </c>
      <c r="B277" t="inlineStr">
        <is>
          <t>Tallowwood Plans</t>
        </is>
      </c>
      <c r="C277" s="5" t="n">
        <v>46213</v>
      </c>
      <c r="D277" t="inlineStr">
        <is>
          <t>INV/2026/01936</t>
        </is>
      </c>
      <c r="E277" s="9" t="n">
        <v>145.49</v>
      </c>
      <c r="F277" s="9" t="n">
        <v>145.49</v>
      </c>
      <c r="G277" s="9">
        <f>ROUND(E277-F277,2)</f>
        <v>0</v>
      </c>
    </row>
    <row r="278">
      <c r="A278" t="inlineStr">
        <is>
          <t>RA44855</t>
        </is>
      </c>
      <c r="B278" t="inlineStr">
        <is>
          <t>Tallowwood Plans</t>
        </is>
      </c>
      <c r="C278" s="5" t="n">
        <v>46213</v>
      </c>
      <c r="D278" t="inlineStr">
        <is>
          <t>INV/2026/01937</t>
        </is>
      </c>
      <c r="E278" s="9" t="n">
        <v>145.49</v>
      </c>
      <c r="F278" s="9" t="n">
        <v>145.49</v>
      </c>
      <c r="G278" s="9">
        <f>ROUND(E278-F278,2)</f>
        <v>0</v>
      </c>
    </row>
    <row r="279">
      <c r="A279" t="inlineStr">
        <is>
          <t>RA44855</t>
        </is>
      </c>
      <c r="B279" t="inlineStr">
        <is>
          <t>Tallowwood Plans</t>
        </is>
      </c>
      <c r="C279" s="5" t="n">
        <v>46213</v>
      </c>
      <c r="D279" t="inlineStr">
        <is>
          <t>INV/2026/01962</t>
        </is>
      </c>
      <c r="E279" s="9" t="n">
        <v>145.49</v>
      </c>
      <c r="F279" s="9" t="n">
        <v>145.49</v>
      </c>
      <c r="G279" s="9">
        <f>ROUND(E279-F279,2)</f>
        <v>0</v>
      </c>
    </row>
    <row r="280">
      <c r="A280" t="inlineStr">
        <is>
          <t>RA44856</t>
        </is>
      </c>
      <c r="B280" t="inlineStr">
        <is>
          <t>Riverbend Plan Partners</t>
        </is>
      </c>
      <c r="C280" s="5" t="n">
        <v>46216</v>
      </c>
      <c r="D280" t="inlineStr">
        <is>
          <t>INV/2026/01708</t>
        </is>
      </c>
      <c r="E280" s="9" t="n">
        <v>175.49</v>
      </c>
      <c r="F280" s="9" t="n">
        <v>175.49</v>
      </c>
      <c r="G280" s="9">
        <f>ROUND(E280-F280,2)</f>
        <v>0</v>
      </c>
    </row>
    <row r="281">
      <c r="A281" t="inlineStr">
        <is>
          <t>RA44856</t>
        </is>
      </c>
      <c r="B281" t="inlineStr">
        <is>
          <t>Riverbend Plan Partners</t>
        </is>
      </c>
      <c r="C281" s="5" t="n">
        <v>46216</v>
      </c>
      <c r="D281" t="inlineStr">
        <is>
          <t>INV/2026/01730</t>
        </is>
      </c>
      <c r="E281" s="9" t="n">
        <v>252.19</v>
      </c>
      <c r="F281" s="9" t="n">
        <v>252.19</v>
      </c>
      <c r="G281" s="9">
        <f>ROUND(E281-F281,2)</f>
        <v>0</v>
      </c>
    </row>
    <row r="282">
      <c r="A282" t="inlineStr">
        <is>
          <t>RA44856</t>
        </is>
      </c>
      <c r="B282" t="inlineStr">
        <is>
          <t>Riverbend Plan Partners</t>
        </is>
      </c>
      <c r="C282" s="5" t="n">
        <v>46216</v>
      </c>
      <c r="D282" t="inlineStr">
        <is>
          <t>INV/2026/01774</t>
        </is>
      </c>
      <c r="E282" s="9" t="n">
        <v>272.49</v>
      </c>
      <c r="F282" s="9" t="n">
        <v>272.49</v>
      </c>
      <c r="G282" s="9">
        <f>ROUND(E282-F282,2)</f>
        <v>0</v>
      </c>
    </row>
    <row r="283">
      <c r="A283" t="inlineStr">
        <is>
          <t>RA44856</t>
        </is>
      </c>
      <c r="B283" t="inlineStr">
        <is>
          <t>Riverbend Plan Partners</t>
        </is>
      </c>
      <c r="C283" s="5" t="n">
        <v>46216</v>
      </c>
      <c r="D283" t="inlineStr">
        <is>
          <t>INV/2026/01797</t>
        </is>
      </c>
      <c r="E283" s="9" t="n">
        <v>126.99</v>
      </c>
      <c r="F283" s="9" t="n">
        <v>126.99</v>
      </c>
      <c r="G283" s="9">
        <f>ROUND(E283-F283,2)</f>
        <v>0</v>
      </c>
    </row>
    <row r="284">
      <c r="A284" t="inlineStr">
        <is>
          <t>RA44856</t>
        </is>
      </c>
      <c r="B284" t="inlineStr">
        <is>
          <t>Riverbend Plan Partners</t>
        </is>
      </c>
      <c r="C284" s="5" t="n">
        <v>46216</v>
      </c>
      <c r="D284" t="inlineStr">
        <is>
          <t>INV/2026/01798</t>
        </is>
      </c>
      <c r="E284" s="9" t="n">
        <v>193.99</v>
      </c>
      <c r="F284" s="9" t="n">
        <v>193.99</v>
      </c>
      <c r="G284" s="9">
        <f>ROUND(E284-F284,2)</f>
        <v>0</v>
      </c>
    </row>
    <row r="285">
      <c r="A285" t="inlineStr">
        <is>
          <t>RA44856</t>
        </is>
      </c>
      <c r="B285" t="inlineStr">
        <is>
          <t>Riverbend Plan Partners</t>
        </is>
      </c>
      <c r="C285" s="5" t="n">
        <v>46216</v>
      </c>
      <c r="D285" t="inlineStr">
        <is>
          <t>INV/2026/01845</t>
        </is>
      </c>
      <c r="E285" s="9" t="n">
        <v>272.49</v>
      </c>
      <c r="F285" s="9" t="n">
        <v>272.49</v>
      </c>
      <c r="G285" s="9">
        <f>ROUND(E285-F285,2)</f>
        <v>0</v>
      </c>
    </row>
    <row r="286">
      <c r="A286" t="inlineStr">
        <is>
          <t>RA44856</t>
        </is>
      </c>
      <c r="B286" t="inlineStr">
        <is>
          <t>Riverbend Plan Partners</t>
        </is>
      </c>
      <c r="C286" s="5" t="n">
        <v>46216</v>
      </c>
      <c r="D286" t="inlineStr">
        <is>
          <t>INV/2026/01846</t>
        </is>
      </c>
      <c r="E286" s="9" t="n">
        <v>96.98999999999999</v>
      </c>
      <c r="F286" s="9" t="n">
        <v>96.98999999999999</v>
      </c>
      <c r="G286" s="9">
        <f>ROUND(E286-F286,2)</f>
        <v>0</v>
      </c>
    </row>
    <row r="287">
      <c r="A287" t="inlineStr">
        <is>
          <t>RA44856</t>
        </is>
      </c>
      <c r="B287" t="inlineStr">
        <is>
          <t>Riverbend Plan Partners</t>
        </is>
      </c>
      <c r="C287" s="5" t="n">
        <v>46216</v>
      </c>
      <c r="D287" t="inlineStr">
        <is>
          <t>INV/2026/01873</t>
        </is>
      </c>
      <c r="E287" s="9" t="n">
        <v>175.49</v>
      </c>
      <c r="F287" s="9" t="n">
        <v>175.49</v>
      </c>
      <c r="G287" s="9">
        <f>ROUND(E287-F287,2)</f>
        <v>0</v>
      </c>
    </row>
    <row r="288">
      <c r="A288" t="inlineStr">
        <is>
          <t>RA44857</t>
        </is>
      </c>
      <c r="B288" t="inlineStr">
        <is>
          <t>Ironbark Plan Management</t>
        </is>
      </c>
      <c r="C288" s="5" t="n">
        <v>46216</v>
      </c>
      <c r="D288" t="inlineStr">
        <is>
          <t>INV/2026/01563</t>
        </is>
      </c>
      <c r="E288" s="9" t="n">
        <v>242.49</v>
      </c>
      <c r="F288" s="9" t="n">
        <v>242.49</v>
      </c>
      <c r="G288" s="9">
        <f>ROUND(E288-F288,2)</f>
        <v>0</v>
      </c>
    </row>
    <row r="289">
      <c r="A289" t="inlineStr">
        <is>
          <t>RA44857</t>
        </is>
      </c>
      <c r="B289" t="inlineStr">
        <is>
          <t>Ironbark Plan Management</t>
        </is>
      </c>
      <c r="C289" s="5" t="n">
        <v>46216</v>
      </c>
      <c r="D289" t="inlineStr">
        <is>
          <t>INV/2026/01564</t>
        </is>
      </c>
      <c r="E289" s="9" t="n">
        <v>193.99</v>
      </c>
      <c r="F289" s="9" t="n">
        <v>193.99</v>
      </c>
      <c r="G289" s="9">
        <f>ROUND(E289-F289,2)</f>
        <v>0</v>
      </c>
    </row>
    <row r="290">
      <c r="A290" t="inlineStr">
        <is>
          <t>RA44858</t>
        </is>
      </c>
      <c r="B290" t="inlineStr">
        <is>
          <t>Kookaburra Plan Support</t>
        </is>
      </c>
      <c r="C290" s="5" t="n">
        <v>46216</v>
      </c>
      <c r="D290" t="inlineStr">
        <is>
          <t>INV/2026/01567</t>
        </is>
      </c>
      <c r="E290" s="9" t="n">
        <v>96.98999999999999</v>
      </c>
      <c r="F290" s="9" t="n">
        <v>96.98999999999999</v>
      </c>
      <c r="G290" s="9">
        <f>ROUND(E290-F290,2)</f>
        <v>0</v>
      </c>
    </row>
    <row r="291">
      <c r="A291" t="inlineStr">
        <is>
          <t>RA44858</t>
        </is>
      </c>
      <c r="B291" t="inlineStr">
        <is>
          <t>Kookaburra Plan Support</t>
        </is>
      </c>
      <c r="C291" s="5" t="n">
        <v>46216</v>
      </c>
      <c r="D291" t="inlineStr">
        <is>
          <t>INV/2026/01568</t>
        </is>
      </c>
      <c r="E291" s="9" t="n">
        <v>96.98999999999999</v>
      </c>
      <c r="F291" s="9" t="n">
        <v>96.98999999999999</v>
      </c>
      <c r="G291" s="9">
        <f>ROUND(E291-F291,2)</f>
        <v>0</v>
      </c>
    </row>
    <row r="292">
      <c r="A292" t="inlineStr">
        <is>
          <t>RA44858</t>
        </is>
      </c>
      <c r="B292" t="inlineStr">
        <is>
          <t>Kookaburra Plan Support</t>
        </is>
      </c>
      <c r="C292" s="5" t="n">
        <v>46216</v>
      </c>
      <c r="D292" t="inlineStr">
        <is>
          <t>INV/2026/01594</t>
        </is>
      </c>
      <c r="E292" s="9" t="n">
        <v>320.98</v>
      </c>
      <c r="F292" s="9" t="n">
        <v>320.98</v>
      </c>
      <c r="G292" s="9">
        <f>ROUND(E292-F292,2)</f>
        <v>0</v>
      </c>
    </row>
    <row r="293">
      <c r="A293" t="inlineStr">
        <is>
          <t>RA44858</t>
        </is>
      </c>
      <c r="B293" t="inlineStr">
        <is>
          <t>Kookaburra Plan Support</t>
        </is>
      </c>
      <c r="C293" s="5" t="n">
        <v>46216</v>
      </c>
      <c r="D293" t="inlineStr">
        <is>
          <t>INV/2026/01595</t>
        </is>
      </c>
      <c r="E293" s="9" t="n">
        <v>203.69</v>
      </c>
      <c r="F293" s="9" t="n">
        <v>203.69</v>
      </c>
      <c r="G293" s="9">
        <f>ROUND(E293-F293,2)</f>
        <v>0</v>
      </c>
    </row>
    <row r="294">
      <c r="A294" t="inlineStr">
        <is>
          <t>RA44858</t>
        </is>
      </c>
      <c r="B294" t="inlineStr">
        <is>
          <t>Kookaburra Plan Support</t>
        </is>
      </c>
      <c r="C294" s="5" t="n">
        <v>46216</v>
      </c>
      <c r="D294" t="inlineStr">
        <is>
          <t>INV/2026/01596</t>
        </is>
      </c>
      <c r="E294" s="9" t="n">
        <v>145.49</v>
      </c>
      <c r="F294" s="9" t="n">
        <v>145.49</v>
      </c>
      <c r="G294" s="9">
        <f>ROUND(E294-F294,2)</f>
        <v>0</v>
      </c>
    </row>
    <row r="295">
      <c r="A295" t="inlineStr">
        <is>
          <t>RA44858</t>
        </is>
      </c>
      <c r="B295" t="inlineStr">
        <is>
          <t>Kookaburra Plan Support</t>
        </is>
      </c>
      <c r="C295" s="5" t="n">
        <v>46216</v>
      </c>
      <c r="D295" t="inlineStr">
        <is>
          <t>INV/2026/01620</t>
        </is>
      </c>
      <c r="E295" s="9" t="n">
        <v>193.99</v>
      </c>
      <c r="F295" s="9" t="n">
        <v>193.99</v>
      </c>
      <c r="G295" s="9">
        <f>ROUND(E295-F295,2)</f>
        <v>0</v>
      </c>
    </row>
    <row r="296">
      <c r="A296" t="inlineStr">
        <is>
          <t>RA44859</t>
        </is>
      </c>
      <c r="B296" t="inlineStr">
        <is>
          <t>Saltbush Plan Managers</t>
        </is>
      </c>
      <c r="C296" s="5" t="n">
        <v>46216</v>
      </c>
      <c r="D296" t="inlineStr">
        <is>
          <t>INV/2026/01598</t>
        </is>
      </c>
      <c r="E296" s="9" t="n">
        <v>155.19</v>
      </c>
      <c r="F296" s="9" t="n">
        <v>155.19</v>
      </c>
      <c r="G296" s="9">
        <f>ROUND(E296-F296,2)</f>
        <v>0</v>
      </c>
    </row>
    <row r="297">
      <c r="A297" t="inlineStr">
        <is>
          <t>RA44859</t>
        </is>
      </c>
      <c r="B297" t="inlineStr">
        <is>
          <t>Saltbush Plan Managers</t>
        </is>
      </c>
      <c r="C297" s="5" t="n">
        <v>46216</v>
      </c>
      <c r="D297" t="inlineStr">
        <is>
          <t>INV/2026/01621</t>
        </is>
      </c>
      <c r="E297" s="9" t="n">
        <v>320.98</v>
      </c>
      <c r="F297" s="9" t="n">
        <v>320.98</v>
      </c>
      <c r="G297" s="9">
        <f>ROUND(E297-F297,2)</f>
        <v>0</v>
      </c>
    </row>
    <row r="298">
      <c r="A298" t="inlineStr">
        <is>
          <t>RA44859</t>
        </is>
      </c>
      <c r="B298" t="inlineStr">
        <is>
          <t>Saltbush Plan Managers</t>
        </is>
      </c>
      <c r="C298" s="5" t="n">
        <v>46216</v>
      </c>
      <c r="D298" t="inlineStr">
        <is>
          <t>INV/2026/01649</t>
        </is>
      </c>
      <c r="E298" s="9" t="n">
        <v>145.49</v>
      </c>
      <c r="F298" s="9" t="n">
        <v>145.49</v>
      </c>
      <c r="G298" s="9">
        <f>ROUND(E298-F298,2)</f>
        <v>0</v>
      </c>
    </row>
    <row r="299">
      <c r="A299" t="inlineStr">
        <is>
          <t>RA44859</t>
        </is>
      </c>
      <c r="B299" t="inlineStr">
        <is>
          <t>Saltbush Plan Managers</t>
        </is>
      </c>
      <c r="C299" s="5" t="n">
        <v>46216</v>
      </c>
      <c r="D299" t="inlineStr">
        <is>
          <t>INV/2026/01650</t>
        </is>
      </c>
      <c r="E299" s="9" t="n">
        <v>193.99</v>
      </c>
      <c r="F299" s="9" t="n">
        <v>193.99</v>
      </c>
      <c r="G299" s="9">
        <f>ROUND(E299-F299,2)</f>
        <v>0</v>
      </c>
    </row>
    <row r="300">
      <c r="A300" t="inlineStr">
        <is>
          <t>RA44860</t>
        </is>
      </c>
      <c r="B300" t="inlineStr">
        <is>
          <t>Redgum Plan Admin</t>
        </is>
      </c>
      <c r="C300" s="5" t="n">
        <v>46216</v>
      </c>
      <c r="D300" t="inlineStr">
        <is>
          <t>INV/2026/02005</t>
        </is>
      </c>
      <c r="E300" s="9" t="n">
        <v>175.49</v>
      </c>
      <c r="F300" s="9" t="n">
        <v>175.49</v>
      </c>
      <c r="G300" s="9">
        <f>ROUND(E300-F300,2)</f>
        <v>0</v>
      </c>
    </row>
    <row r="301">
      <c r="A301" t="inlineStr">
        <is>
          <t>RA44860</t>
        </is>
      </c>
      <c r="B301" t="inlineStr">
        <is>
          <t>Redgum Plan Admin</t>
        </is>
      </c>
      <c r="C301" s="5" t="n">
        <v>46216</v>
      </c>
      <c r="D301" t="inlineStr">
        <is>
          <t>INV/2026/02051</t>
        </is>
      </c>
      <c r="E301" s="9" t="n">
        <v>242.49</v>
      </c>
      <c r="F301" s="9" t="n">
        <v>242.49</v>
      </c>
      <c r="G301" s="9">
        <f>ROUND(E301-F301,2)</f>
        <v>0</v>
      </c>
    </row>
    <row r="302">
      <c r="A302" t="inlineStr">
        <is>
          <t>RA44860</t>
        </is>
      </c>
      <c r="B302" t="inlineStr">
        <is>
          <t>Redgum Plan Admin</t>
        </is>
      </c>
      <c r="C302" s="5" t="n">
        <v>46216</v>
      </c>
      <c r="D302" t="inlineStr">
        <is>
          <t>INV/2026/02098</t>
        </is>
      </c>
      <c r="E302" s="9" t="n">
        <v>242.49</v>
      </c>
      <c r="F302" s="9" t="n">
        <v>242.49</v>
      </c>
      <c r="G302" s="9">
        <f>ROUND(E302-F302,2)</f>
        <v>0</v>
      </c>
    </row>
    <row r="303">
      <c r="A303" t="inlineStr">
        <is>
          <t>RA44861</t>
        </is>
      </c>
      <c r="B303" t="inlineStr">
        <is>
          <t>Lyrebird Plan Management</t>
        </is>
      </c>
      <c r="C303" s="5" t="n">
        <v>46216</v>
      </c>
      <c r="D303" t="inlineStr">
        <is>
          <t>INV/2026/01741</t>
        </is>
      </c>
      <c r="E303" s="9" t="n">
        <v>387.98</v>
      </c>
      <c r="F303" s="9" t="n">
        <v>387.98</v>
      </c>
      <c r="G303" s="9">
        <f>ROUND(E303-F303,2)</f>
        <v>0</v>
      </c>
    </row>
    <row r="304">
      <c r="A304" t="inlineStr">
        <is>
          <t>RA44861</t>
        </is>
      </c>
      <c r="B304" t="inlineStr">
        <is>
          <t>Lyrebird Plan Management</t>
        </is>
      </c>
      <c r="C304" s="5" t="n">
        <v>46216</v>
      </c>
      <c r="D304" t="inlineStr">
        <is>
          <t>INV/2026/01767</t>
        </is>
      </c>
      <c r="E304" s="9" t="n">
        <v>126.99</v>
      </c>
      <c r="F304" s="9" t="n">
        <v>126.99</v>
      </c>
      <c r="G304" s="9">
        <f>ROUND(E304-F304,2)</f>
        <v>0</v>
      </c>
    </row>
    <row r="305">
      <c r="A305" t="inlineStr">
        <is>
          <t>RA44861</t>
        </is>
      </c>
      <c r="B305" t="inlineStr">
        <is>
          <t>Lyrebird Plan Management</t>
        </is>
      </c>
      <c r="C305" s="5" t="n">
        <v>46216</v>
      </c>
      <c r="D305" t="inlineStr">
        <is>
          <t>INV/2026/01768</t>
        </is>
      </c>
      <c r="E305" s="9" t="n">
        <v>145.49</v>
      </c>
      <c r="F305" s="9" t="n">
        <v>145.49</v>
      </c>
      <c r="G305" s="9">
        <f>ROUND(E305-F305,2)</f>
        <v>0</v>
      </c>
    </row>
    <row r="306">
      <c r="A306" t="inlineStr">
        <is>
          <t>RA44861</t>
        </is>
      </c>
      <c r="B306" t="inlineStr">
        <is>
          <t>Lyrebird Plan Management</t>
        </is>
      </c>
      <c r="C306" s="5" t="n">
        <v>46216</v>
      </c>
      <c r="D306" t="inlineStr">
        <is>
          <t>INV/2026/01786</t>
        </is>
      </c>
      <c r="E306" s="9" t="n">
        <v>252.19</v>
      </c>
      <c r="F306" s="9" t="n">
        <v>252.19</v>
      </c>
      <c r="G306" s="9">
        <f>ROUND(E306-F306,2)</f>
        <v>0</v>
      </c>
    </row>
    <row r="307">
      <c r="A307" t="inlineStr">
        <is>
          <t>RA44861</t>
        </is>
      </c>
      <c r="B307" t="inlineStr">
        <is>
          <t>Lyrebird Plan Management</t>
        </is>
      </c>
      <c r="C307" s="5" t="n">
        <v>46216</v>
      </c>
      <c r="D307" t="inlineStr">
        <is>
          <t>INV/2026/01787</t>
        </is>
      </c>
      <c r="E307" s="9" t="n">
        <v>155.19</v>
      </c>
      <c r="F307" s="9" t="n">
        <v>155.19</v>
      </c>
      <c r="G307" s="9">
        <f>ROUND(E307-F307,2)</f>
        <v>0</v>
      </c>
    </row>
    <row r="308">
      <c r="A308" t="inlineStr">
        <is>
          <t>RA44861</t>
        </is>
      </c>
      <c r="B308" t="inlineStr">
        <is>
          <t>Lyrebird Plan Management</t>
        </is>
      </c>
      <c r="C308" s="5" t="n">
        <v>46216</v>
      </c>
      <c r="D308" t="inlineStr">
        <is>
          <t>INV/2026/01788</t>
        </is>
      </c>
      <c r="E308" s="9" t="n">
        <v>272.49</v>
      </c>
      <c r="F308" s="9" t="n">
        <v>272.49</v>
      </c>
      <c r="G308" s="9">
        <f>ROUND(E308-F308,2)</f>
        <v>0</v>
      </c>
    </row>
    <row r="309">
      <c r="A309" t="inlineStr">
        <is>
          <t>RA44861</t>
        </is>
      </c>
      <c r="B309" t="inlineStr">
        <is>
          <t>Lyrebird Plan Management</t>
        </is>
      </c>
      <c r="C309" s="5" t="n">
        <v>46216</v>
      </c>
      <c r="D309" t="inlineStr">
        <is>
          <t>INV/2026/01815</t>
        </is>
      </c>
      <c r="E309" s="9" t="n">
        <v>145.49</v>
      </c>
      <c r="F309" s="9" t="n">
        <v>145.49</v>
      </c>
      <c r="G309" s="9">
        <f>ROUND(E309-F309,2)</f>
        <v>0</v>
      </c>
    </row>
    <row r="310">
      <c r="A310" t="inlineStr">
        <is>
          <t>RA44861</t>
        </is>
      </c>
      <c r="B310" t="inlineStr">
        <is>
          <t>Lyrebird Plan Management</t>
        </is>
      </c>
      <c r="C310" s="5" t="n">
        <v>46216</v>
      </c>
      <c r="D310" t="inlineStr">
        <is>
          <t>INV/2026/01816</t>
        </is>
      </c>
      <c r="E310" s="9" t="n">
        <v>223.99</v>
      </c>
      <c r="F310" s="9" t="n">
        <v>223.99</v>
      </c>
      <c r="G310" s="9">
        <f>ROUND(E310-F310,2)</f>
        <v>0</v>
      </c>
    </row>
    <row r="311">
      <c r="A311" t="inlineStr">
        <is>
          <t>RA44862</t>
        </is>
      </c>
      <c r="B311" t="inlineStr">
        <is>
          <t>Acacia Plan Partners</t>
        </is>
      </c>
      <c r="C311" s="5" t="n">
        <v>46216</v>
      </c>
      <c r="D311" t="inlineStr">
        <is>
          <t>INV/2026/01680</t>
        </is>
      </c>
      <c r="E311" s="9" t="n">
        <v>193.99</v>
      </c>
      <c r="F311" s="9" t="n">
        <v>193.99</v>
      </c>
      <c r="G311" s="9">
        <f>ROUND(E311-F311,2)</f>
        <v>0</v>
      </c>
    </row>
    <row r="312">
      <c r="A312" t="inlineStr">
        <is>
          <t>RA44862</t>
        </is>
      </c>
      <c r="B312" t="inlineStr">
        <is>
          <t>Acacia Plan Partners</t>
        </is>
      </c>
      <c r="C312" s="5" t="n">
        <v>46216</v>
      </c>
      <c r="D312" t="inlineStr">
        <is>
          <t>INV/2026/01681</t>
        </is>
      </c>
      <c r="E312" s="9" t="n">
        <v>242.49</v>
      </c>
      <c r="F312" s="9" t="n">
        <v>242.49</v>
      </c>
      <c r="G312" s="9">
        <f>ROUND(E312-F312,2)</f>
        <v>0</v>
      </c>
    </row>
    <row r="313">
      <c r="A313" t="inlineStr">
        <is>
          <t>RA44862</t>
        </is>
      </c>
      <c r="B313" t="inlineStr">
        <is>
          <t>Acacia Plan Partners</t>
        </is>
      </c>
      <c r="C313" s="5" t="n">
        <v>46216</v>
      </c>
      <c r="D313" t="inlineStr">
        <is>
          <t>INV/2026/01682</t>
        </is>
      </c>
      <c r="E313" s="9" t="n">
        <v>387.98</v>
      </c>
      <c r="F313" s="9" t="n">
        <v>387.98</v>
      </c>
      <c r="G313" s="9">
        <f>ROUND(E313-F313,2)</f>
        <v>0</v>
      </c>
    </row>
    <row r="314">
      <c r="A314" t="inlineStr">
        <is>
          <t>RA44862</t>
        </is>
      </c>
      <c r="B314" t="inlineStr">
        <is>
          <t>Acacia Plan Partners</t>
        </is>
      </c>
      <c r="C314" s="5" t="n">
        <v>46216</v>
      </c>
      <c r="D314" t="inlineStr">
        <is>
          <t>INV/2026/01702</t>
        </is>
      </c>
      <c r="E314" s="9" t="n">
        <v>446.18</v>
      </c>
      <c r="F314" s="9" t="n">
        <v>446.18</v>
      </c>
      <c r="G314" s="9">
        <f>ROUND(E314-F314,2)</f>
        <v>0</v>
      </c>
    </row>
    <row r="315">
      <c r="A315" t="inlineStr">
        <is>
          <t>RA44862</t>
        </is>
      </c>
      <c r="B315" t="inlineStr">
        <is>
          <t>Acacia Plan Partners</t>
        </is>
      </c>
      <c r="C315" s="5" t="n">
        <v>46216</v>
      </c>
      <c r="D315" t="inlineStr">
        <is>
          <t>INV/2026/01703</t>
        </is>
      </c>
      <c r="E315" s="9" t="n">
        <v>387.98</v>
      </c>
      <c r="F315" s="9" t="n">
        <v>387.98</v>
      </c>
      <c r="G315" s="9">
        <f>ROUND(E315-F315,2)</f>
        <v>0</v>
      </c>
    </row>
    <row r="316">
      <c r="A316" t="inlineStr">
        <is>
          <t>RA44862</t>
        </is>
      </c>
      <c r="B316" t="inlineStr">
        <is>
          <t>Acacia Plan Partners</t>
        </is>
      </c>
      <c r="C316" s="5" t="n">
        <v>46216</v>
      </c>
      <c r="D316" t="inlineStr">
        <is>
          <t>INV/2026/01726</t>
        </is>
      </c>
      <c r="E316" s="9" t="n">
        <v>387.98</v>
      </c>
      <c r="F316" s="9" t="n">
        <v>387.98</v>
      </c>
      <c r="G316" s="9">
        <f>ROUND(E316-F316,2)</f>
        <v>0</v>
      </c>
    </row>
    <row r="317">
      <c r="A317" t="inlineStr">
        <is>
          <t>RA44863</t>
        </is>
      </c>
      <c r="B317" t="inlineStr">
        <is>
          <t>Bluegum Plan Management</t>
        </is>
      </c>
      <c r="C317" s="5" t="n">
        <v>46217</v>
      </c>
      <c r="D317" t="inlineStr">
        <is>
          <t>INV/2026/01535</t>
        </is>
      </c>
      <c r="E317" s="9" t="n">
        <v>145.49</v>
      </c>
      <c r="F317" s="9" t="n">
        <v>145.49</v>
      </c>
      <c r="G317" s="9">
        <f>ROUND(E317-F317,2)</f>
        <v>0</v>
      </c>
    </row>
    <row r="318">
      <c r="A318" t="inlineStr">
        <is>
          <t>RA44863</t>
        </is>
      </c>
      <c r="B318" t="inlineStr">
        <is>
          <t>Bluegum Plan Management</t>
        </is>
      </c>
      <c r="C318" s="5" t="n">
        <v>46217</v>
      </c>
      <c r="D318" t="inlineStr">
        <is>
          <t>INV/2026/01556</t>
        </is>
      </c>
      <c r="E318" s="9" t="n">
        <v>417.98</v>
      </c>
      <c r="F318" s="9" t="n">
        <v>417.98</v>
      </c>
      <c r="G318" s="9">
        <f>ROUND(E318-F318,2)</f>
        <v>0</v>
      </c>
    </row>
    <row r="319">
      <c r="A319" t="inlineStr">
        <is>
          <t>RA44863</t>
        </is>
      </c>
      <c r="B319" t="inlineStr">
        <is>
          <t>Bluegum Plan Management</t>
        </is>
      </c>
      <c r="C319" s="5" t="n">
        <v>46217</v>
      </c>
      <c r="D319" t="inlineStr">
        <is>
          <t>INV/2026/01583</t>
        </is>
      </c>
      <c r="E319" s="9" t="n">
        <v>145.49</v>
      </c>
      <c r="F319" s="9" t="n">
        <v>145.49</v>
      </c>
      <c r="G319" s="9">
        <f>ROUND(E319-F319,2)</f>
        <v>0</v>
      </c>
    </row>
    <row r="320">
      <c r="A320" t="inlineStr">
        <is>
          <t>RA44864</t>
        </is>
      </c>
      <c r="B320" t="inlineStr">
        <is>
          <t>Banksia Plan Co</t>
        </is>
      </c>
      <c r="C320" s="5" t="n">
        <v>46217</v>
      </c>
      <c r="D320" t="inlineStr">
        <is>
          <t>INV/2026/01804</t>
        </is>
      </c>
      <c r="E320" s="9" t="n">
        <v>252.19</v>
      </c>
      <c r="F320" s="9" t="n">
        <v>252.19</v>
      </c>
      <c r="G320" s="9">
        <f>ROUND(E320-F320,2)</f>
        <v>0</v>
      </c>
    </row>
    <row r="321">
      <c r="A321" t="inlineStr">
        <is>
          <t>RA44864</t>
        </is>
      </c>
      <c r="B321" t="inlineStr">
        <is>
          <t>Banksia Plan Co</t>
        </is>
      </c>
      <c r="C321" s="5" t="n">
        <v>46217</v>
      </c>
      <c r="D321" t="inlineStr">
        <is>
          <t>INV/2026/01805</t>
        </is>
      </c>
      <c r="E321" s="9" t="n">
        <v>320.98</v>
      </c>
      <c r="F321" s="9" t="n">
        <v>320.98</v>
      </c>
      <c r="G321" s="9">
        <f>ROUND(E321-F321,2)</f>
        <v>0</v>
      </c>
    </row>
    <row r="322">
      <c r="A322" t="inlineStr">
        <is>
          <t>RA44865</t>
        </is>
      </c>
      <c r="B322" t="inlineStr">
        <is>
          <t>Ironbark Plan Management</t>
        </is>
      </c>
      <c r="C322" s="5" t="n">
        <v>46217</v>
      </c>
      <c r="D322" t="inlineStr">
        <is>
          <t>INV/2026/01565</t>
        </is>
      </c>
      <c r="E322" s="9" t="n">
        <v>300.69</v>
      </c>
      <c r="F322" s="9" t="n">
        <v>300.69</v>
      </c>
      <c r="G322" s="9">
        <f>ROUND(E322-F322,2)</f>
        <v>0</v>
      </c>
    </row>
    <row r="323">
      <c r="A323" t="inlineStr">
        <is>
          <t>RA44865</t>
        </is>
      </c>
      <c r="B323" t="inlineStr">
        <is>
          <t>Ironbark Plan Management</t>
        </is>
      </c>
      <c r="C323" s="5" t="n">
        <v>46217</v>
      </c>
      <c r="D323" t="inlineStr">
        <is>
          <t>INV/2026/01592</t>
        </is>
      </c>
      <c r="E323" s="9" t="n">
        <v>417.98</v>
      </c>
      <c r="F323" s="9" t="n">
        <v>417.98</v>
      </c>
      <c r="G323" s="9">
        <f>ROUND(E323-F323,2)</f>
        <v>0</v>
      </c>
    </row>
    <row r="324">
      <c r="A324" t="inlineStr">
        <is>
          <t>RA44865</t>
        </is>
      </c>
      <c r="B324" t="inlineStr">
        <is>
          <t>Ironbark Plan Management</t>
        </is>
      </c>
      <c r="C324" s="5" t="n">
        <v>46217</v>
      </c>
      <c r="D324" t="inlineStr">
        <is>
          <t>INV/2026/01593</t>
        </is>
      </c>
      <c r="E324" s="9" t="n">
        <v>387.98</v>
      </c>
      <c r="F324" s="9" t="n">
        <v>387.98</v>
      </c>
      <c r="G324" s="9">
        <f>ROUND(E324-F324,2)</f>
        <v>0</v>
      </c>
    </row>
    <row r="325">
      <c r="A325" t="inlineStr">
        <is>
          <t>RA44865</t>
        </is>
      </c>
      <c r="B325" t="inlineStr">
        <is>
          <t>Ironbark Plan Management</t>
        </is>
      </c>
      <c r="C325" s="5" t="n">
        <v>46217</v>
      </c>
      <c r="D325" t="inlineStr">
        <is>
          <t>INV/2026/01645</t>
        </is>
      </c>
      <c r="E325" s="9" t="n">
        <v>193.99</v>
      </c>
      <c r="F325" s="9" t="n">
        <v>193.99</v>
      </c>
      <c r="G325" s="9">
        <f>ROUND(E325-F325,2)</f>
        <v>0</v>
      </c>
    </row>
    <row r="326">
      <c r="A326" t="inlineStr">
        <is>
          <t>RA44865</t>
        </is>
      </c>
      <c r="B326" t="inlineStr">
        <is>
          <t>Ironbark Plan Management</t>
        </is>
      </c>
      <c r="C326" s="5" t="n">
        <v>46217</v>
      </c>
      <c r="D326" t="inlineStr">
        <is>
          <t>INV/2026/01646</t>
        </is>
      </c>
      <c r="E326" s="9" t="n">
        <v>175.49</v>
      </c>
      <c r="F326" s="9" t="n">
        <v>175.49</v>
      </c>
      <c r="G326" s="9">
        <f>ROUND(E326-F326,2)</f>
        <v>0</v>
      </c>
    </row>
    <row r="327">
      <c r="A327" t="inlineStr">
        <is>
          <t>RA44865</t>
        </is>
      </c>
      <c r="B327" t="inlineStr">
        <is>
          <t>Ironbark Plan Management</t>
        </is>
      </c>
      <c r="C327" s="5" t="n">
        <v>46217</v>
      </c>
      <c r="D327" t="inlineStr">
        <is>
          <t>INV/2026/01671</t>
        </is>
      </c>
      <c r="E327" s="9" t="n">
        <v>290.98</v>
      </c>
      <c r="F327" s="9" t="n">
        <v>290.98</v>
      </c>
      <c r="G327" s="9">
        <f>ROUND(E327-F327,2)</f>
        <v>0</v>
      </c>
    </row>
    <row r="328">
      <c r="A328" t="inlineStr">
        <is>
          <t>RA44865</t>
        </is>
      </c>
      <c r="B328" t="inlineStr">
        <is>
          <t>Ironbark Plan Management</t>
        </is>
      </c>
      <c r="C328" s="5" t="n">
        <v>46217</v>
      </c>
      <c r="D328" t="inlineStr">
        <is>
          <t>INV/2026/01691</t>
        </is>
      </c>
      <c r="E328" s="9" t="n">
        <v>193.99</v>
      </c>
      <c r="F328" s="9" t="n">
        <v>193.99</v>
      </c>
      <c r="G328" s="9">
        <f>ROUND(E328-F328,2)</f>
        <v>0</v>
      </c>
    </row>
    <row r="329">
      <c r="A329" t="inlineStr">
        <is>
          <t>RA44865</t>
        </is>
      </c>
      <c r="B329" t="inlineStr">
        <is>
          <t>Ironbark Plan Management</t>
        </is>
      </c>
      <c r="C329" s="5" t="n">
        <v>46217</v>
      </c>
      <c r="D329" t="inlineStr">
        <is>
          <t>INV/2026/01692</t>
        </is>
      </c>
      <c r="E329" s="9" t="n">
        <v>175.49</v>
      </c>
      <c r="F329" s="9" t="n">
        <v>175.49</v>
      </c>
      <c r="G329" s="9">
        <f>ROUND(E329-F329,2)</f>
        <v>0</v>
      </c>
    </row>
    <row r="330">
      <c r="A330" t="inlineStr">
        <is>
          <t>RA44865</t>
        </is>
      </c>
      <c r="B330" t="inlineStr">
        <is>
          <t>Ironbark Plan Management</t>
        </is>
      </c>
      <c r="C330" s="5" t="n">
        <v>46217</v>
      </c>
      <c r="D330" t="inlineStr">
        <is>
          <t>INV/2026/01714</t>
        </is>
      </c>
      <c r="E330" s="9" t="n">
        <v>193.99</v>
      </c>
      <c r="F330" s="9" t="n">
        <v>193.99</v>
      </c>
      <c r="G330" s="9">
        <f>ROUND(E330-F330,2)</f>
        <v>0</v>
      </c>
    </row>
    <row r="331">
      <c r="A331" t="inlineStr">
        <is>
          <t>RA44865</t>
        </is>
      </c>
      <c r="B331" t="inlineStr">
        <is>
          <t>Ironbark Plan Management</t>
        </is>
      </c>
      <c r="C331" s="5" t="n">
        <v>46217</v>
      </c>
      <c r="D331" t="inlineStr">
        <is>
          <t>INV/2026/01715</t>
        </is>
      </c>
      <c r="E331" s="9" t="n">
        <v>387.98</v>
      </c>
      <c r="F331" s="9" t="n">
        <v>387.98</v>
      </c>
      <c r="G331" s="9">
        <f>ROUND(E331-F331,2)</f>
        <v>0</v>
      </c>
    </row>
    <row r="332">
      <c r="A332" t="inlineStr">
        <is>
          <t>RA44865</t>
        </is>
      </c>
      <c r="B332" t="inlineStr">
        <is>
          <t>Ironbark Plan Management</t>
        </is>
      </c>
      <c r="C332" s="5" t="n">
        <v>46217</v>
      </c>
      <c r="D332" t="inlineStr">
        <is>
          <t>INV/2026/01716</t>
        </is>
      </c>
      <c r="E332" s="9" t="n">
        <v>446.18</v>
      </c>
      <c r="F332" s="9" t="n">
        <v>446.18</v>
      </c>
      <c r="G332" s="9">
        <f>ROUND(E332-F332,2)</f>
        <v>0</v>
      </c>
    </row>
    <row r="333">
      <c r="A333" t="inlineStr">
        <is>
          <t>RA44865</t>
        </is>
      </c>
      <c r="B333" t="inlineStr">
        <is>
          <t>Ironbark Plan Management</t>
        </is>
      </c>
      <c r="C333" s="5" t="n">
        <v>46217</v>
      </c>
      <c r="D333" t="inlineStr">
        <is>
          <t>INV/2026/01736</t>
        </is>
      </c>
      <c r="E333" s="9" t="n">
        <v>193.99</v>
      </c>
      <c r="F333" s="9" t="n">
        <v>193.99</v>
      </c>
      <c r="G333" s="9">
        <f>ROUND(E333-F333,2)</f>
        <v>0</v>
      </c>
    </row>
    <row r="334">
      <c r="A334" t="inlineStr">
        <is>
          <t>RA44866</t>
        </is>
      </c>
      <c r="B334" t="inlineStr">
        <is>
          <t>Kookaburra Plan Support</t>
        </is>
      </c>
      <c r="C334" s="5" t="n">
        <v>46217</v>
      </c>
      <c r="D334" t="inlineStr">
        <is>
          <t>INV/2026/01647</t>
        </is>
      </c>
      <c r="E334" s="9" t="n">
        <v>387.98</v>
      </c>
      <c r="F334" s="9" t="n">
        <v>387.98</v>
      </c>
      <c r="G334" s="9">
        <f>ROUND(E334-F334,2)</f>
        <v>0</v>
      </c>
    </row>
    <row r="335">
      <c r="A335" t="inlineStr">
        <is>
          <t>RA44866</t>
        </is>
      </c>
      <c r="B335" t="inlineStr">
        <is>
          <t>Kookaburra Plan Support</t>
        </is>
      </c>
      <c r="C335" s="5" t="n">
        <v>46217</v>
      </c>
      <c r="D335" t="inlineStr">
        <is>
          <t>INV/2026/01648</t>
        </is>
      </c>
      <c r="E335" s="9" t="n">
        <v>193.99</v>
      </c>
      <c r="F335" s="9" t="n">
        <v>193.99</v>
      </c>
      <c r="G335" s="9">
        <f>ROUND(E335-F335,2)</f>
        <v>0</v>
      </c>
    </row>
    <row r="336">
      <c r="A336" t="inlineStr">
        <is>
          <t>RA44866</t>
        </is>
      </c>
      <c r="B336" t="inlineStr">
        <is>
          <t>Kookaburra Plan Support</t>
        </is>
      </c>
      <c r="C336" s="5" t="n">
        <v>46217</v>
      </c>
      <c r="D336" t="inlineStr">
        <is>
          <t>INV/2026/01672</t>
        </is>
      </c>
      <c r="E336" s="9" t="n">
        <v>387.98</v>
      </c>
      <c r="F336" s="9" t="n">
        <v>387.98</v>
      </c>
      <c r="G336" s="9">
        <f>ROUND(E336-F336,2)</f>
        <v>0</v>
      </c>
    </row>
    <row r="337">
      <c r="A337" t="inlineStr">
        <is>
          <t>RA44866</t>
        </is>
      </c>
      <c r="B337" t="inlineStr">
        <is>
          <t>Kookaburra Plan Support</t>
        </is>
      </c>
      <c r="C337" s="5" t="n">
        <v>46217</v>
      </c>
      <c r="D337" t="inlineStr">
        <is>
          <t>INV/2026/01693</t>
        </is>
      </c>
      <c r="E337" s="9" t="n">
        <v>349.18</v>
      </c>
      <c r="F337" s="9" t="n">
        <v>349.18</v>
      </c>
      <c r="G337" s="9">
        <f>ROUND(E337-F337,2)</f>
        <v>0</v>
      </c>
    </row>
    <row r="338">
      <c r="A338" t="inlineStr">
        <is>
          <t>RA44867</t>
        </is>
      </c>
      <c r="B338" t="inlineStr">
        <is>
          <t>Saltbush Plan Managers</t>
        </is>
      </c>
      <c r="C338" s="5" t="n">
        <v>46217</v>
      </c>
      <c r="D338" t="inlineStr">
        <is>
          <t>INV/2026/01673</t>
        </is>
      </c>
      <c r="E338" s="9" t="n">
        <v>193.99</v>
      </c>
      <c r="F338" s="9" t="n">
        <v>193.99</v>
      </c>
      <c r="G338" s="9">
        <f>ROUND(E338-F338,2)</f>
        <v>0</v>
      </c>
    </row>
    <row r="339">
      <c r="A339" t="inlineStr">
        <is>
          <t>RA44867</t>
        </is>
      </c>
      <c r="B339" t="inlineStr">
        <is>
          <t>Saltbush Plan Managers</t>
        </is>
      </c>
      <c r="C339" s="5" t="n">
        <v>46217</v>
      </c>
      <c r="D339" t="inlineStr">
        <is>
          <t>INV/2026/01674</t>
        </is>
      </c>
      <c r="E339" s="9" t="n">
        <v>193.99</v>
      </c>
      <c r="F339" s="9" t="n">
        <v>193.99</v>
      </c>
      <c r="G339" s="9">
        <f>ROUND(E339-F339,2)</f>
        <v>0</v>
      </c>
    </row>
    <row r="340">
      <c r="A340" t="inlineStr">
        <is>
          <t>RA44867</t>
        </is>
      </c>
      <c r="B340" t="inlineStr">
        <is>
          <t>Saltbush Plan Managers</t>
        </is>
      </c>
      <c r="C340" s="5" t="n">
        <v>46217</v>
      </c>
      <c r="D340" t="inlineStr">
        <is>
          <t>INV/2026/01695</t>
        </is>
      </c>
      <c r="E340" s="9" t="n">
        <v>290.98</v>
      </c>
      <c r="F340" s="9" t="n">
        <v>290.98</v>
      </c>
      <c r="G340" s="9">
        <f>ROUND(E340-F340,2)</f>
        <v>0</v>
      </c>
    </row>
    <row r="341">
      <c r="A341" t="inlineStr">
        <is>
          <t>RA44867</t>
        </is>
      </c>
      <c r="B341" t="inlineStr">
        <is>
          <t>Saltbush Plan Managers</t>
        </is>
      </c>
      <c r="C341" s="5" t="n">
        <v>46217</v>
      </c>
      <c r="D341" t="inlineStr">
        <is>
          <t>INV/2026/01696</t>
        </is>
      </c>
      <c r="E341" s="9" t="n">
        <v>290.98</v>
      </c>
      <c r="F341" s="9" t="n">
        <v>290.98</v>
      </c>
      <c r="G341" s="9">
        <f>ROUND(E341-F341,2)</f>
        <v>0</v>
      </c>
    </row>
    <row r="342">
      <c r="A342" t="inlineStr">
        <is>
          <t>RA44867</t>
        </is>
      </c>
      <c r="B342" t="inlineStr">
        <is>
          <t>Saltbush Plan Managers</t>
        </is>
      </c>
      <c r="C342" s="5" t="n">
        <v>46217</v>
      </c>
      <c r="D342" t="inlineStr">
        <is>
          <t>INV/2026/01719</t>
        </is>
      </c>
      <c r="E342" s="9" t="n">
        <v>145.49</v>
      </c>
      <c r="F342" s="9" t="n">
        <v>145.49</v>
      </c>
      <c r="G342" s="9">
        <f>ROUND(E342-F342,2)</f>
        <v>0</v>
      </c>
    </row>
    <row r="343">
      <c r="A343" t="inlineStr">
        <is>
          <t>RA44867</t>
        </is>
      </c>
      <c r="B343" t="inlineStr">
        <is>
          <t>Saltbush Plan Managers</t>
        </is>
      </c>
      <c r="C343" s="5" t="n">
        <v>46217</v>
      </c>
      <c r="D343" t="inlineStr">
        <is>
          <t>INV/2026/01720</t>
        </is>
      </c>
      <c r="E343" s="9" t="n">
        <v>417.98</v>
      </c>
      <c r="F343" s="9" t="n">
        <v>417.98</v>
      </c>
      <c r="G343" s="9">
        <f>ROUND(E343-F343,2)</f>
        <v>0</v>
      </c>
    </row>
    <row r="344">
      <c r="A344" t="inlineStr">
        <is>
          <t>RA44867</t>
        </is>
      </c>
      <c r="B344" t="inlineStr">
        <is>
          <t>Saltbush Plan Managers</t>
        </is>
      </c>
      <c r="C344" s="5" t="n">
        <v>46217</v>
      </c>
      <c r="D344" t="inlineStr">
        <is>
          <t>INV/2026/01761</t>
        </is>
      </c>
      <c r="E344" s="9" t="n">
        <v>145.49</v>
      </c>
      <c r="F344" s="9" t="n">
        <v>145.49</v>
      </c>
      <c r="G344" s="9">
        <f>ROUND(E344-F344,2)</f>
        <v>0</v>
      </c>
    </row>
    <row r="345">
      <c r="A345" t="inlineStr">
        <is>
          <t>RA44867</t>
        </is>
      </c>
      <c r="B345" t="inlineStr">
        <is>
          <t>Saltbush Plan Managers</t>
        </is>
      </c>
      <c r="C345" s="5" t="n">
        <v>46217</v>
      </c>
      <c r="D345" t="inlineStr">
        <is>
          <t>INV/2026/01762</t>
        </is>
      </c>
      <c r="E345" s="9" t="n">
        <v>242.49</v>
      </c>
      <c r="F345" s="9" t="n">
        <v>242.49</v>
      </c>
      <c r="G345" s="9">
        <f>ROUND(E345-F345,2)</f>
        <v>0</v>
      </c>
    </row>
    <row r="346">
      <c r="A346" t="inlineStr">
        <is>
          <t>RA44867</t>
        </is>
      </c>
      <c r="B346" t="inlineStr">
        <is>
          <t>Saltbush Plan Managers</t>
        </is>
      </c>
      <c r="C346" s="5" t="n">
        <v>46217</v>
      </c>
      <c r="D346" t="inlineStr">
        <is>
          <t>INV/2026/01785</t>
        </is>
      </c>
      <c r="E346" s="9" t="n">
        <v>96.98999999999999</v>
      </c>
      <c r="F346" s="9" t="n">
        <v>96.98999999999999</v>
      </c>
      <c r="G346" s="9">
        <f>ROUND(E346-F346,2)</f>
        <v>0</v>
      </c>
    </row>
    <row r="347">
      <c r="A347" t="inlineStr">
        <is>
          <t>RA44867</t>
        </is>
      </c>
      <c r="B347" t="inlineStr">
        <is>
          <t>Saltbush Plan Managers</t>
        </is>
      </c>
      <c r="C347" s="5" t="n">
        <v>46217</v>
      </c>
      <c r="D347" t="inlineStr">
        <is>
          <t>INV/2026/01808</t>
        </is>
      </c>
      <c r="E347" s="9" t="n">
        <v>446.18</v>
      </c>
      <c r="F347" s="9" t="n">
        <v>446.18</v>
      </c>
      <c r="G347" s="9">
        <f>ROUND(E347-F347,2)</f>
        <v>0</v>
      </c>
    </row>
    <row r="348">
      <c r="A348" t="inlineStr">
        <is>
          <t>RA44867</t>
        </is>
      </c>
      <c r="B348" t="inlineStr">
        <is>
          <t>Saltbush Plan Managers</t>
        </is>
      </c>
      <c r="C348" s="5" t="n">
        <v>46217</v>
      </c>
      <c r="D348" t="inlineStr">
        <is>
          <t>INV/2026/01829</t>
        </is>
      </c>
      <c r="E348" s="9" t="n">
        <v>290.98</v>
      </c>
      <c r="F348" s="9" t="n">
        <v>290.98</v>
      </c>
      <c r="G348" s="9">
        <f>ROUND(E348-F348,2)</f>
        <v>0</v>
      </c>
    </row>
    <row r="349">
      <c r="A349" t="inlineStr">
        <is>
          <t>RA44867</t>
        </is>
      </c>
      <c r="B349" t="inlineStr">
        <is>
          <t>Saltbush Plan Managers</t>
        </is>
      </c>
      <c r="C349" s="5" t="n">
        <v>46217</v>
      </c>
      <c r="D349" t="inlineStr">
        <is>
          <t>INV/2026/01830</t>
        </is>
      </c>
      <c r="E349" s="9" t="n">
        <v>417.98</v>
      </c>
      <c r="F349" s="9" t="n">
        <v>417.98</v>
      </c>
      <c r="G349" s="9">
        <f>ROUND(E349-F349,2)</f>
        <v>0</v>
      </c>
    </row>
    <row r="350">
      <c r="A350" t="inlineStr">
        <is>
          <t>RA44868</t>
        </is>
      </c>
      <c r="B350" t="inlineStr">
        <is>
          <t>Lyrebird Plan Management</t>
        </is>
      </c>
      <c r="C350" s="5" t="n">
        <v>46217</v>
      </c>
      <c r="D350" t="inlineStr">
        <is>
          <t>INV/2026/01834</t>
        </is>
      </c>
      <c r="E350" s="9" t="n">
        <v>417.98</v>
      </c>
      <c r="F350" s="9" t="n">
        <v>417.98</v>
      </c>
      <c r="G350" s="9">
        <f>ROUND(E350-F350,2)</f>
        <v>0</v>
      </c>
    </row>
    <row r="351">
      <c r="A351" t="inlineStr">
        <is>
          <t>RA44868</t>
        </is>
      </c>
      <c r="B351" t="inlineStr">
        <is>
          <t>Lyrebird Plan Management</t>
        </is>
      </c>
      <c r="C351" s="5" t="n">
        <v>46217</v>
      </c>
      <c r="D351" t="inlineStr">
        <is>
          <t>INV/2026/01835</t>
        </is>
      </c>
      <c r="E351" s="9" t="n">
        <v>387.98</v>
      </c>
      <c r="F351" s="9" t="n">
        <v>387.98</v>
      </c>
      <c r="G351" s="9">
        <f>ROUND(E351-F351,2)</f>
        <v>0</v>
      </c>
    </row>
    <row r="352">
      <c r="A352" t="inlineStr">
        <is>
          <t>RA44869</t>
        </is>
      </c>
      <c r="B352" t="inlineStr">
        <is>
          <t>Bluegum Plan Management</t>
        </is>
      </c>
      <c r="C352" s="5" t="n">
        <v>46218</v>
      </c>
      <c r="D352" t="inlineStr">
        <is>
          <t>INV/2026/01584</t>
        </is>
      </c>
      <c r="E352" s="9" t="n">
        <v>193.99</v>
      </c>
      <c r="F352" s="9" t="n">
        <v>193.99</v>
      </c>
      <c r="G352" s="9">
        <f>ROUND(E352-F352,2)</f>
        <v>0</v>
      </c>
    </row>
    <row r="353">
      <c r="A353" t="inlineStr">
        <is>
          <t>RA44869</t>
        </is>
      </c>
      <c r="B353" t="inlineStr">
        <is>
          <t>Bluegum Plan Management</t>
        </is>
      </c>
      <c r="C353" s="5" t="n">
        <v>46218</v>
      </c>
      <c r="D353" t="inlineStr">
        <is>
          <t>INV/2026/01612</t>
        </is>
      </c>
      <c r="E353" s="9" t="n">
        <v>145.49</v>
      </c>
      <c r="F353" s="9" t="n">
        <v>145.49</v>
      </c>
      <c r="G353" s="9">
        <f>ROUND(E353-F353,2)</f>
        <v>0</v>
      </c>
    </row>
    <row r="354">
      <c r="A354" t="inlineStr">
        <is>
          <t>RA44869</t>
        </is>
      </c>
      <c r="B354" t="inlineStr">
        <is>
          <t>Bluegum Plan Management</t>
        </is>
      </c>
      <c r="C354" s="5" t="n">
        <v>46218</v>
      </c>
      <c r="D354" t="inlineStr">
        <is>
          <t>INV/2026/01613</t>
        </is>
      </c>
      <c r="E354" s="9" t="n">
        <v>126.99</v>
      </c>
      <c r="F354" s="9" t="n">
        <v>126.99</v>
      </c>
      <c r="G354" s="9">
        <f>ROUND(E354-F354,2)</f>
        <v>0</v>
      </c>
    </row>
    <row r="355">
      <c r="A355" t="inlineStr">
        <is>
          <t>RA44870</t>
        </is>
      </c>
      <c r="B355" t="inlineStr">
        <is>
          <t>Riverbend Plan Partners</t>
        </is>
      </c>
      <c r="C355" s="5" t="n">
        <v>46218</v>
      </c>
      <c r="D355" t="inlineStr">
        <is>
          <t>INV/2026/01874</t>
        </is>
      </c>
      <c r="E355" s="9" t="n">
        <v>145.49</v>
      </c>
      <c r="F355" s="9" t="n">
        <v>145.49</v>
      </c>
      <c r="G355" s="9">
        <f>ROUND(E355-F355,2)</f>
        <v>0</v>
      </c>
    </row>
    <row r="356">
      <c r="A356" t="inlineStr">
        <is>
          <t>RA44870</t>
        </is>
      </c>
      <c r="B356" t="inlineStr">
        <is>
          <t>Riverbend Plan Partners</t>
        </is>
      </c>
      <c r="C356" s="5" t="n">
        <v>46218</v>
      </c>
      <c r="D356" t="inlineStr">
        <is>
          <t>INV/2026/01875</t>
        </is>
      </c>
      <c r="E356" s="9" t="n">
        <v>223.99</v>
      </c>
      <c r="F356" s="9" t="n">
        <v>223.99</v>
      </c>
      <c r="G356" s="9">
        <f>ROUND(E356-F356,2)</f>
        <v>0</v>
      </c>
    </row>
    <row r="357">
      <c r="A357" t="inlineStr">
        <is>
          <t>RA44870</t>
        </is>
      </c>
      <c r="B357" t="inlineStr">
        <is>
          <t>Riverbend Plan Partners</t>
        </is>
      </c>
      <c r="C357" s="5" t="n">
        <v>46218</v>
      </c>
      <c r="D357" t="inlineStr">
        <is>
          <t>INV/2026/01894</t>
        </is>
      </c>
      <c r="E357" s="9" t="n">
        <v>242.49</v>
      </c>
      <c r="F357" s="9" t="n">
        <v>242.49</v>
      </c>
      <c r="G357" s="9">
        <f>ROUND(E357-F357,2)</f>
        <v>0</v>
      </c>
    </row>
    <row r="358">
      <c r="A358" t="inlineStr">
        <is>
          <t>RA44871</t>
        </is>
      </c>
      <c r="B358" t="inlineStr">
        <is>
          <t>Kookaburra Plan Support</t>
        </is>
      </c>
      <c r="C358" s="5" t="n">
        <v>46218</v>
      </c>
      <c r="D358" t="inlineStr">
        <is>
          <t>INV/2026/01694</t>
        </is>
      </c>
      <c r="E358" s="9" t="n">
        <v>193.99</v>
      </c>
      <c r="F358" s="9" t="n">
        <v>193.99</v>
      </c>
      <c r="G358" s="9">
        <f>ROUND(E358-F358,2)</f>
        <v>0</v>
      </c>
    </row>
    <row r="359">
      <c r="A359" t="inlineStr">
        <is>
          <t>RA44871</t>
        </is>
      </c>
      <c r="B359" t="inlineStr">
        <is>
          <t>Kookaburra Plan Support</t>
        </is>
      </c>
      <c r="C359" s="5" t="n">
        <v>46218</v>
      </c>
      <c r="D359" t="inlineStr">
        <is>
          <t>INV/2026/01717</t>
        </is>
      </c>
      <c r="E359" s="9" t="n">
        <v>96.98999999999999</v>
      </c>
      <c r="F359" s="9" t="n">
        <v>96.98999999999999</v>
      </c>
      <c r="G359" s="9">
        <f>ROUND(E359-F359,2)</f>
        <v>0</v>
      </c>
    </row>
    <row r="360">
      <c r="A360" t="inlineStr">
        <is>
          <t>RA44871</t>
        </is>
      </c>
      <c r="B360" t="inlineStr">
        <is>
          <t>Kookaburra Plan Support</t>
        </is>
      </c>
      <c r="C360" s="5" t="n">
        <v>46218</v>
      </c>
      <c r="D360" t="inlineStr">
        <is>
          <t>INV/2026/01718</t>
        </is>
      </c>
      <c r="E360" s="9" t="n">
        <v>175.49</v>
      </c>
      <c r="F360" s="9" t="n">
        <v>175.49</v>
      </c>
      <c r="G360" s="9">
        <f>ROUND(E360-F360,2)</f>
        <v>0</v>
      </c>
    </row>
    <row r="361">
      <c r="A361" t="inlineStr">
        <is>
          <t>RA44871</t>
        </is>
      </c>
      <c r="B361" t="inlineStr">
        <is>
          <t>Kookaburra Plan Support</t>
        </is>
      </c>
      <c r="C361" s="5" t="n">
        <v>46218</v>
      </c>
      <c r="D361" t="inlineStr">
        <is>
          <t>INV/2026/01738</t>
        </is>
      </c>
      <c r="E361" s="9" t="n">
        <v>387.98</v>
      </c>
      <c r="F361" s="9" t="n">
        <v>387.98</v>
      </c>
      <c r="G361" s="9">
        <f>ROUND(E361-F361,2)</f>
        <v>0</v>
      </c>
    </row>
    <row r="362">
      <c r="A362" t="inlineStr">
        <is>
          <t>RA44872</t>
        </is>
      </c>
      <c r="B362" t="inlineStr">
        <is>
          <t>Redgum Plan Admin</t>
        </is>
      </c>
      <c r="C362" s="5" t="n">
        <v>46218</v>
      </c>
      <c r="D362" t="inlineStr">
        <is>
          <t>INV/2026/02029</t>
        </is>
      </c>
      <c r="E362" s="9" t="n">
        <v>203.69</v>
      </c>
      <c r="F362" s="9" t="n">
        <v>203.69</v>
      </c>
      <c r="G362" s="9">
        <f>ROUND(E362-F362,2)</f>
        <v>0</v>
      </c>
    </row>
    <row r="363">
      <c r="A363" t="inlineStr">
        <is>
          <t>RA44873</t>
        </is>
      </c>
      <c r="B363" t="inlineStr">
        <is>
          <t>Mallee Plan Services</t>
        </is>
      </c>
      <c r="C363" s="5" t="n">
        <v>46218</v>
      </c>
      <c r="D363" t="inlineStr">
        <is>
          <t>INV/2026/01838</t>
        </is>
      </c>
      <c r="E363" s="9" t="n">
        <v>300.69</v>
      </c>
      <c r="F363" s="9" t="n">
        <v>300.69</v>
      </c>
      <c r="G363" s="9">
        <f>ROUND(E363-F363,2)</f>
        <v>0</v>
      </c>
    </row>
    <row r="364">
      <c r="A364" t="inlineStr">
        <is>
          <t>RA44873</t>
        </is>
      </c>
      <c r="B364" t="inlineStr">
        <is>
          <t>Mallee Plan Services</t>
        </is>
      </c>
      <c r="C364" s="5" t="n">
        <v>46218</v>
      </c>
      <c r="D364" t="inlineStr">
        <is>
          <t>INV/2026/01839</t>
        </is>
      </c>
      <c r="E364" s="9" t="n">
        <v>96.98999999999999</v>
      </c>
      <c r="F364" s="9" t="n">
        <v>96.98999999999999</v>
      </c>
      <c r="G364" s="9">
        <f>ROUND(E364-F364,2)</f>
        <v>0</v>
      </c>
    </row>
    <row r="365">
      <c r="A365" t="inlineStr">
        <is>
          <t>RA44873</t>
        </is>
      </c>
      <c r="B365" t="inlineStr">
        <is>
          <t>Mallee Plan Services</t>
        </is>
      </c>
      <c r="C365" s="5" t="n">
        <v>46218</v>
      </c>
      <c r="D365" t="inlineStr">
        <is>
          <t>INV/2026/01840</t>
        </is>
      </c>
      <c r="E365" s="9" t="n">
        <v>193.99</v>
      </c>
      <c r="F365" s="9" t="n">
        <v>193.99</v>
      </c>
      <c r="G365" s="9">
        <f>ROUND(E365-F365,2)</f>
        <v>0</v>
      </c>
    </row>
    <row r="366">
      <c r="A366" t="inlineStr">
        <is>
          <t>RA44873</t>
        </is>
      </c>
      <c r="B366" t="inlineStr">
        <is>
          <t>Mallee Plan Services</t>
        </is>
      </c>
      <c r="C366" s="5" t="n">
        <v>46218</v>
      </c>
      <c r="D366" t="inlineStr">
        <is>
          <t>INV/2026/01867</t>
        </is>
      </c>
      <c r="E366" s="9" t="n">
        <v>155.19</v>
      </c>
      <c r="F366" s="9" t="n">
        <v>155.19</v>
      </c>
      <c r="G366" s="9">
        <f>ROUND(E366-F366,2)</f>
        <v>0</v>
      </c>
    </row>
    <row r="367">
      <c r="A367" t="inlineStr">
        <is>
          <t>RA44873</t>
        </is>
      </c>
      <c r="B367" t="inlineStr">
        <is>
          <t>Mallee Plan Services</t>
        </is>
      </c>
      <c r="C367" s="5" t="n">
        <v>46218</v>
      </c>
      <c r="D367" t="inlineStr">
        <is>
          <t>INV/2026/01868</t>
        </is>
      </c>
      <c r="E367" s="9" t="n">
        <v>320.98</v>
      </c>
      <c r="F367" s="9" t="n">
        <v>320.98</v>
      </c>
      <c r="G367" s="9">
        <f>ROUND(E367-F367,2)</f>
        <v>0</v>
      </c>
    </row>
    <row r="368">
      <c r="A368" t="inlineStr">
        <is>
          <t>RA44873</t>
        </is>
      </c>
      <c r="B368" t="inlineStr">
        <is>
          <t>Mallee Plan Services</t>
        </is>
      </c>
      <c r="C368" s="5" t="n">
        <v>46218</v>
      </c>
      <c r="D368" t="inlineStr">
        <is>
          <t>INV/2026/01869</t>
        </is>
      </c>
      <c r="E368" s="9" t="n">
        <v>387.98</v>
      </c>
      <c r="F368" s="9" t="n">
        <v>387.98</v>
      </c>
      <c r="G368" s="9">
        <f>ROUND(E368-F368,2)</f>
        <v>0</v>
      </c>
    </row>
    <row r="369">
      <c r="A369" t="inlineStr">
        <is>
          <t>RA44873</t>
        </is>
      </c>
      <c r="B369" t="inlineStr">
        <is>
          <t>Mallee Plan Services</t>
        </is>
      </c>
      <c r="C369" s="5" t="n">
        <v>46218</v>
      </c>
      <c r="D369" t="inlineStr">
        <is>
          <t>INV/2026/01891</t>
        </is>
      </c>
      <c r="E369" s="9" t="n">
        <v>145.49</v>
      </c>
      <c r="F369" s="9" t="n">
        <v>145.49</v>
      </c>
      <c r="G369" s="9">
        <f>ROUND(E369-F369,2)</f>
        <v>0</v>
      </c>
    </row>
    <row r="370">
      <c r="A370" t="inlineStr">
        <is>
          <t>RA44873</t>
        </is>
      </c>
      <c r="B370" t="inlineStr">
        <is>
          <t>Mallee Plan Services</t>
        </is>
      </c>
      <c r="C370" s="5" t="n">
        <v>46218</v>
      </c>
      <c r="D370" t="inlineStr">
        <is>
          <t>INV/2026/01941</t>
        </is>
      </c>
      <c r="E370" s="9" t="n">
        <v>145.49</v>
      </c>
      <c r="F370" s="9" t="n">
        <v>145.49</v>
      </c>
      <c r="G370" s="9">
        <f>ROUND(E370-F370,2)</f>
        <v>0</v>
      </c>
    </row>
    <row r="371">
      <c r="A371" t="inlineStr">
        <is>
          <t>RA44874</t>
        </is>
      </c>
      <c r="B371" t="inlineStr">
        <is>
          <t>Clearpath NDIS Plans</t>
        </is>
      </c>
      <c r="C371" s="5" t="n">
        <v>46219</v>
      </c>
      <c r="D371" t="inlineStr">
        <is>
          <t>INV/2026/01877</t>
        </is>
      </c>
      <c r="E371" s="9" t="n">
        <v>96.98999999999999</v>
      </c>
      <c r="F371" s="9" t="n">
        <v>96.98999999999999</v>
      </c>
      <c r="G371" s="9">
        <f>ROUND(E371-F371,2)</f>
        <v>0</v>
      </c>
    </row>
    <row r="372">
      <c r="A372" t="inlineStr">
        <is>
          <t>RA44874</t>
        </is>
      </c>
      <c r="B372" t="inlineStr">
        <is>
          <t>Clearpath NDIS Plans</t>
        </is>
      </c>
      <c r="C372" s="5" t="n">
        <v>46219</v>
      </c>
      <c r="D372" t="inlineStr">
        <is>
          <t>INV/2026/01878</t>
        </is>
      </c>
      <c r="E372" s="9" t="n">
        <v>417.98</v>
      </c>
      <c r="F372" s="9" t="n">
        <v>417.98</v>
      </c>
      <c r="G372" s="9">
        <f>ROUND(E372-F372,2)</f>
        <v>0</v>
      </c>
    </row>
    <row r="373">
      <c r="A373" t="inlineStr">
        <is>
          <t>RA44874</t>
        </is>
      </c>
      <c r="B373" t="inlineStr">
        <is>
          <t>Clearpath NDIS Plans</t>
        </is>
      </c>
      <c r="C373" s="5" t="n">
        <v>46219</v>
      </c>
      <c r="D373" t="inlineStr">
        <is>
          <t>INV/2026/01918</t>
        </is>
      </c>
      <c r="E373" s="9" t="n">
        <v>446.18</v>
      </c>
      <c r="F373" s="9" t="n">
        <v>446.18</v>
      </c>
      <c r="G373" s="9">
        <f>ROUND(E373-F373,2)</f>
        <v>0</v>
      </c>
    </row>
    <row r="374">
      <c r="A374" t="inlineStr">
        <is>
          <t>RA44874</t>
        </is>
      </c>
      <c r="B374" t="inlineStr">
        <is>
          <t>Clearpath NDIS Plans</t>
        </is>
      </c>
      <c r="C374" s="5" t="n">
        <v>46219</v>
      </c>
      <c r="D374" t="inlineStr">
        <is>
          <t>INV/2026/01945</t>
        </is>
      </c>
      <c r="E374" s="9" t="n">
        <v>272.49</v>
      </c>
      <c r="F374" s="9" t="n">
        <v>272.49</v>
      </c>
      <c r="G374" s="9">
        <f>ROUND(E374-F374,2)</f>
        <v>0</v>
      </c>
    </row>
    <row r="375">
      <c r="A375" t="inlineStr">
        <is>
          <t>RA44874</t>
        </is>
      </c>
      <c r="B375" t="inlineStr">
        <is>
          <t>Clearpath NDIS Plans</t>
        </is>
      </c>
      <c r="C375" s="5" t="n">
        <v>46219</v>
      </c>
      <c r="D375" t="inlineStr">
        <is>
          <t>INV/2026/01946</t>
        </is>
      </c>
      <c r="E375" s="9" t="n">
        <v>349.18</v>
      </c>
      <c r="F375" s="9" t="n">
        <v>349.18</v>
      </c>
      <c r="G375" s="9">
        <f>ROUND(E375-F375,2)</f>
        <v>0</v>
      </c>
    </row>
    <row r="376">
      <c r="A376" t="inlineStr">
        <is>
          <t>RA44874</t>
        </is>
      </c>
      <c r="B376" t="inlineStr">
        <is>
          <t>Clearpath NDIS Plans</t>
        </is>
      </c>
      <c r="C376" s="5" t="n">
        <v>46219</v>
      </c>
      <c r="D376" t="inlineStr">
        <is>
          <t>INV/2026/01947</t>
        </is>
      </c>
      <c r="E376" s="9" t="n">
        <v>242.49</v>
      </c>
      <c r="F376" s="9" t="n">
        <v>242.49</v>
      </c>
      <c r="G376" s="9">
        <f>ROUND(E376-F376,2)</f>
        <v>0</v>
      </c>
    </row>
    <row r="377">
      <c r="A377" t="inlineStr">
        <is>
          <t>RA44875</t>
        </is>
      </c>
      <c r="B377" t="inlineStr">
        <is>
          <t>Banksia Plan Co</t>
        </is>
      </c>
      <c r="C377" s="5" t="n">
        <v>46219</v>
      </c>
      <c r="D377" t="inlineStr">
        <is>
          <t>INV/2026/01850</t>
        </is>
      </c>
      <c r="E377" s="9" t="n">
        <v>320.98</v>
      </c>
      <c r="F377" s="9" t="n">
        <v>320.98</v>
      </c>
      <c r="G377" s="9">
        <f>ROUND(E377-F377,2)</f>
        <v>0</v>
      </c>
    </row>
    <row r="378">
      <c r="A378" t="inlineStr">
        <is>
          <t>RA44875</t>
        </is>
      </c>
      <c r="B378" t="inlineStr">
        <is>
          <t>Banksia Plan Co</t>
        </is>
      </c>
      <c r="C378" s="5" t="n">
        <v>46219</v>
      </c>
      <c r="D378" t="inlineStr">
        <is>
          <t>INV/2026/01851</t>
        </is>
      </c>
      <c r="E378" s="9" t="n">
        <v>145.49</v>
      </c>
      <c r="F378" s="9" t="n">
        <v>145.49</v>
      </c>
      <c r="G378" s="9">
        <f>ROUND(E378-F378,2)</f>
        <v>0</v>
      </c>
    </row>
    <row r="379">
      <c r="A379" t="inlineStr">
        <is>
          <t>RA44875</t>
        </is>
      </c>
      <c r="B379" t="inlineStr">
        <is>
          <t>Banksia Plan Co</t>
        </is>
      </c>
      <c r="C379" s="5" t="n">
        <v>46219</v>
      </c>
      <c r="D379" t="inlineStr">
        <is>
          <t>INV/2026/01898</t>
        </is>
      </c>
      <c r="E379" s="9" t="n">
        <v>252.19</v>
      </c>
      <c r="F379" s="9" t="n">
        <v>252.19</v>
      </c>
      <c r="G379" s="9">
        <f>ROUND(E379-F379,2)</f>
        <v>0</v>
      </c>
    </row>
    <row r="380">
      <c r="A380" t="inlineStr">
        <is>
          <t>RA44875</t>
        </is>
      </c>
      <c r="B380" t="inlineStr">
        <is>
          <t>Banksia Plan Co</t>
        </is>
      </c>
      <c r="C380" s="5" t="n">
        <v>46219</v>
      </c>
      <c r="D380" t="inlineStr">
        <is>
          <t>INV/2026/01899</t>
        </is>
      </c>
      <c r="E380" s="9" t="n">
        <v>387.98</v>
      </c>
      <c r="F380" s="9" t="n">
        <v>387.98</v>
      </c>
      <c r="G380" s="9">
        <f>ROUND(E380-F380,2)</f>
        <v>0</v>
      </c>
    </row>
    <row r="381">
      <c r="A381" t="inlineStr">
        <is>
          <t>RA44875</t>
        </is>
      </c>
      <c r="B381" t="inlineStr">
        <is>
          <t>Banksia Plan Co</t>
        </is>
      </c>
      <c r="C381" s="5" t="n">
        <v>46219</v>
      </c>
      <c r="D381" t="inlineStr">
        <is>
          <t>INV/2026/01900</t>
        </is>
      </c>
      <c r="E381" s="9" t="n">
        <v>252.19</v>
      </c>
      <c r="F381" s="9" t="n">
        <v>252.19</v>
      </c>
      <c r="G381" s="9">
        <f>ROUND(E381-F381,2)</f>
        <v>0</v>
      </c>
    </row>
    <row r="382">
      <c r="A382" t="inlineStr">
        <is>
          <t>RA44875</t>
        </is>
      </c>
      <c r="B382" t="inlineStr">
        <is>
          <t>Banksia Plan Co</t>
        </is>
      </c>
      <c r="C382" s="5" t="n">
        <v>46219</v>
      </c>
      <c r="D382" t="inlineStr">
        <is>
          <t>INV/2026/01921</t>
        </is>
      </c>
      <c r="E382" s="9" t="n">
        <v>446.18</v>
      </c>
      <c r="F382" s="9" t="n">
        <v>446.18</v>
      </c>
      <c r="G382" s="9">
        <f>ROUND(E382-F382,2)</f>
        <v>0</v>
      </c>
    </row>
    <row r="383">
      <c r="A383" t="inlineStr">
        <is>
          <t>RA44875</t>
        </is>
      </c>
      <c r="B383" t="inlineStr">
        <is>
          <t>Banksia Plan Co</t>
        </is>
      </c>
      <c r="C383" s="5" t="n">
        <v>46219</v>
      </c>
      <c r="D383" t="inlineStr">
        <is>
          <t>INV/2026/01922</t>
        </is>
      </c>
      <c r="E383" s="9" t="n">
        <v>349.18</v>
      </c>
      <c r="F383" s="9" t="n">
        <v>349.18</v>
      </c>
      <c r="G383" s="9">
        <f>ROUND(E383-F383,2)</f>
        <v>0</v>
      </c>
    </row>
    <row r="384">
      <c r="A384" t="inlineStr">
        <is>
          <t>RA44875</t>
        </is>
      </c>
      <c r="B384" t="inlineStr">
        <is>
          <t>Banksia Plan Co</t>
        </is>
      </c>
      <c r="C384" s="5" t="n">
        <v>46219</v>
      </c>
      <c r="D384" t="inlineStr">
        <is>
          <t>INV/2026/01949</t>
        </is>
      </c>
      <c r="E384" s="9" t="n">
        <v>193.99</v>
      </c>
      <c r="F384" s="9" t="n">
        <v>193.99</v>
      </c>
      <c r="G384" s="9">
        <f>ROUND(E384-F384,2)</f>
        <v>0</v>
      </c>
    </row>
    <row r="385">
      <c r="A385" t="inlineStr">
        <is>
          <t>RA44875</t>
        </is>
      </c>
      <c r="B385" t="inlineStr">
        <is>
          <t>Banksia Plan Co</t>
        </is>
      </c>
      <c r="C385" s="5" t="n">
        <v>46219</v>
      </c>
      <c r="D385" t="inlineStr">
        <is>
          <t>INV/2026/01950</t>
        </is>
      </c>
      <c r="E385" s="9" t="n">
        <v>290.98</v>
      </c>
      <c r="F385" s="9" t="n">
        <v>290.98</v>
      </c>
      <c r="G385" s="9">
        <f>ROUND(E385-F385,2)</f>
        <v>0</v>
      </c>
    </row>
    <row r="386">
      <c r="A386" t="inlineStr">
        <is>
          <t>RA44875</t>
        </is>
      </c>
      <c r="B386" t="inlineStr">
        <is>
          <t>Banksia Plan Co</t>
        </is>
      </c>
      <c r="C386" s="5" t="n">
        <v>46219</v>
      </c>
      <c r="D386" t="inlineStr">
        <is>
          <t>INV/2026/01951</t>
        </is>
      </c>
      <c r="E386" s="9" t="n">
        <v>193.99</v>
      </c>
      <c r="F386" s="9" t="n">
        <v>193.99</v>
      </c>
      <c r="G386" s="9">
        <f>ROUND(E386-F386,2)</f>
        <v>0</v>
      </c>
    </row>
    <row r="387">
      <c r="A387" t="inlineStr">
        <is>
          <t>RA44875</t>
        </is>
      </c>
      <c r="B387" t="inlineStr">
        <is>
          <t>Banksia Plan Co</t>
        </is>
      </c>
      <c r="C387" s="5" t="n">
        <v>46219</v>
      </c>
      <c r="D387" t="inlineStr">
        <is>
          <t>INV/2026/01978</t>
        </is>
      </c>
      <c r="E387" s="9" t="n">
        <v>145.49</v>
      </c>
      <c r="F387" s="9" t="n">
        <v>145.49</v>
      </c>
      <c r="G387" s="9">
        <f>ROUND(E387-F387,2)</f>
        <v>0</v>
      </c>
    </row>
    <row r="388">
      <c r="A388" t="inlineStr">
        <is>
          <t>RA44875</t>
        </is>
      </c>
      <c r="B388" t="inlineStr">
        <is>
          <t>Banksia Plan Co</t>
        </is>
      </c>
      <c r="C388" s="5" t="n">
        <v>46219</v>
      </c>
      <c r="D388" t="inlineStr">
        <is>
          <t>INV/2026/01979</t>
        </is>
      </c>
      <c r="E388" s="9" t="n">
        <v>242.49</v>
      </c>
      <c r="F388" s="9" t="n">
        <v>242.49</v>
      </c>
      <c r="G388" s="9">
        <f>ROUND(E388-F388,2)</f>
        <v>0</v>
      </c>
    </row>
    <row r="389">
      <c r="A389" t="inlineStr">
        <is>
          <t>RA44876</t>
        </is>
      </c>
      <c r="B389" t="inlineStr">
        <is>
          <t>Saltbush Plan Managers</t>
        </is>
      </c>
      <c r="C389" s="5" t="n">
        <v>46219</v>
      </c>
      <c r="D389" t="inlineStr">
        <is>
          <t>INV/2026/01831</t>
        </is>
      </c>
      <c r="E389" s="9" t="n">
        <v>203.69</v>
      </c>
      <c r="F389" s="9" t="n">
        <v>203.69</v>
      </c>
      <c r="G389" s="9">
        <f>ROUND(E389-F389,2)</f>
        <v>0</v>
      </c>
    </row>
    <row r="390">
      <c r="A390" t="inlineStr">
        <is>
          <t>RA44876</t>
        </is>
      </c>
      <c r="B390" t="inlineStr">
        <is>
          <t>Saltbush Plan Managers</t>
        </is>
      </c>
      <c r="C390" s="5" t="n">
        <v>46219</v>
      </c>
      <c r="D390" t="inlineStr">
        <is>
          <t>INV/2026/01884</t>
        </is>
      </c>
      <c r="E390" s="9" t="n">
        <v>290.98</v>
      </c>
      <c r="F390" s="9" t="n">
        <v>290.98</v>
      </c>
      <c r="G390" s="9">
        <f>ROUND(E390-F390,2)</f>
        <v>0</v>
      </c>
    </row>
    <row r="391">
      <c r="A391" t="inlineStr">
        <is>
          <t>RA44876</t>
        </is>
      </c>
      <c r="B391" t="inlineStr">
        <is>
          <t>Saltbush Plan Managers</t>
        </is>
      </c>
      <c r="C391" s="5" t="n">
        <v>46219</v>
      </c>
      <c r="D391" t="inlineStr">
        <is>
          <t>INV/2026/01885</t>
        </is>
      </c>
      <c r="E391" s="9" t="n">
        <v>349.18</v>
      </c>
      <c r="F391" s="9" t="n">
        <v>349.18</v>
      </c>
      <c r="G391" s="9">
        <f>ROUND(E391-F391,2)</f>
        <v>0</v>
      </c>
    </row>
    <row r="392">
      <c r="A392" t="inlineStr">
        <is>
          <t>RA44876</t>
        </is>
      </c>
      <c r="B392" t="inlineStr">
        <is>
          <t>Saltbush Plan Managers</t>
        </is>
      </c>
      <c r="C392" s="5" t="n">
        <v>46219</v>
      </c>
      <c r="D392" t="inlineStr">
        <is>
          <t>INV/2026/01904</t>
        </is>
      </c>
      <c r="E392" s="9" t="n">
        <v>96.98999999999999</v>
      </c>
      <c r="F392" s="9" t="n">
        <v>96.98999999999999</v>
      </c>
      <c r="G392" s="9">
        <f>ROUND(E392-F392,2)</f>
        <v>0</v>
      </c>
    </row>
    <row r="393">
      <c r="A393" t="inlineStr">
        <is>
          <t>RA44876</t>
        </is>
      </c>
      <c r="B393" t="inlineStr">
        <is>
          <t>Saltbush Plan Managers</t>
        </is>
      </c>
      <c r="C393" s="5" t="n">
        <v>46219</v>
      </c>
      <c r="D393" t="inlineStr">
        <is>
          <t>INV/2026/01905</t>
        </is>
      </c>
      <c r="E393" s="9" t="n">
        <v>290.98</v>
      </c>
      <c r="F393" s="9" t="n">
        <v>290.98</v>
      </c>
      <c r="G393" s="9">
        <f>ROUND(E393-F393,2)</f>
        <v>0</v>
      </c>
    </row>
    <row r="394">
      <c r="A394" t="inlineStr">
        <is>
          <t>RA44876</t>
        </is>
      </c>
      <c r="B394" t="inlineStr">
        <is>
          <t>Saltbush Plan Managers</t>
        </is>
      </c>
      <c r="C394" s="5" t="n">
        <v>46219</v>
      </c>
      <c r="D394" t="inlineStr">
        <is>
          <t>INV/2026/01927</t>
        </is>
      </c>
      <c r="E394" s="9" t="n">
        <v>96.98999999999999</v>
      </c>
      <c r="F394" s="9" t="n">
        <v>96.98999999999999</v>
      </c>
      <c r="G394" s="9">
        <f>ROUND(E394-F394,2)</f>
        <v>0</v>
      </c>
    </row>
    <row r="395">
      <c r="A395" t="inlineStr">
        <is>
          <t>RA44877</t>
        </is>
      </c>
      <c r="B395" t="inlineStr">
        <is>
          <t>Lyrebird Plan Management</t>
        </is>
      </c>
      <c r="C395" s="5" t="n">
        <v>46219</v>
      </c>
      <c r="D395" t="inlineStr">
        <is>
          <t>INV/2026/01859</t>
        </is>
      </c>
      <c r="E395" s="9" t="n">
        <v>96.98999999999999</v>
      </c>
      <c r="F395" s="9" t="n">
        <v>96.98999999999999</v>
      </c>
      <c r="G395" s="9">
        <f>ROUND(E395-F395,2)</f>
        <v>0</v>
      </c>
    </row>
    <row r="396">
      <c r="A396" t="inlineStr">
        <is>
          <t>RA44877</t>
        </is>
      </c>
      <c r="B396" t="inlineStr">
        <is>
          <t>Lyrebird Plan Management</t>
        </is>
      </c>
      <c r="C396" s="5" t="n">
        <v>46219</v>
      </c>
      <c r="D396" t="inlineStr">
        <is>
          <t>INV/2026/01860</t>
        </is>
      </c>
      <c r="E396" s="9" t="n">
        <v>96.98999999999999</v>
      </c>
      <c r="F396" s="9" t="n">
        <v>96.98999999999999</v>
      </c>
      <c r="G396" s="9">
        <f>ROUND(E396-F396,2)</f>
        <v>0</v>
      </c>
    </row>
    <row r="397">
      <c r="A397" t="inlineStr">
        <is>
          <t>RA44877</t>
        </is>
      </c>
      <c r="B397" t="inlineStr">
        <is>
          <t>Lyrebird Plan Management</t>
        </is>
      </c>
      <c r="C397" s="5" t="n">
        <v>46219</v>
      </c>
      <c r="D397" t="inlineStr">
        <is>
          <t>INV/2026/01861</t>
        </is>
      </c>
      <c r="E397" s="9" t="n">
        <v>155.19</v>
      </c>
      <c r="F397" s="9" t="n">
        <v>155.19</v>
      </c>
      <c r="G397" s="9">
        <f>ROUND(E397-F397,2)</f>
        <v>0</v>
      </c>
    </row>
    <row r="398">
      <c r="A398" t="inlineStr">
        <is>
          <t>RA44877</t>
        </is>
      </c>
      <c r="B398" t="inlineStr">
        <is>
          <t>Lyrebird Plan Management</t>
        </is>
      </c>
      <c r="C398" s="5" t="n">
        <v>46219</v>
      </c>
      <c r="D398" t="inlineStr">
        <is>
          <t>INV/2026/01909</t>
        </is>
      </c>
      <c r="E398" s="9" t="n">
        <v>193.99</v>
      </c>
      <c r="F398" s="9" t="n">
        <v>193.99</v>
      </c>
      <c r="G398" s="9">
        <f>ROUND(E398-F398,2)</f>
        <v>0</v>
      </c>
    </row>
    <row r="399">
      <c r="A399" t="inlineStr">
        <is>
          <t>RA44877</t>
        </is>
      </c>
      <c r="B399" t="inlineStr">
        <is>
          <t>Lyrebird Plan Management</t>
        </is>
      </c>
      <c r="C399" s="5" t="n">
        <v>46219</v>
      </c>
      <c r="D399" t="inlineStr">
        <is>
          <t>INV/2026/01932</t>
        </is>
      </c>
      <c r="E399" s="9" t="n">
        <v>193.99</v>
      </c>
      <c r="F399" s="9" t="n">
        <v>193.99</v>
      </c>
      <c r="G399" s="9">
        <f>ROUND(E399-F399,2)</f>
        <v>0</v>
      </c>
    </row>
    <row r="400">
      <c r="A400" t="inlineStr">
        <is>
          <t>RA44877</t>
        </is>
      </c>
      <c r="B400" t="inlineStr">
        <is>
          <t>Lyrebird Plan Management</t>
        </is>
      </c>
      <c r="C400" s="5" t="n">
        <v>46219</v>
      </c>
      <c r="D400" t="inlineStr">
        <is>
          <t>INV/2026/01933</t>
        </is>
      </c>
      <c r="E400" s="9" t="n">
        <v>145.49</v>
      </c>
      <c r="F400" s="9" t="n">
        <v>145.49</v>
      </c>
      <c r="G400" s="9">
        <f>ROUND(E400-F400,2)</f>
        <v>0</v>
      </c>
    </row>
    <row r="401">
      <c r="A401" t="inlineStr">
        <is>
          <t>RA44877</t>
        </is>
      </c>
      <c r="B401" t="inlineStr">
        <is>
          <t>Lyrebird Plan Management</t>
        </is>
      </c>
      <c r="C401" s="5" t="n">
        <v>46219</v>
      </c>
      <c r="D401" t="inlineStr">
        <is>
          <t>INV/2026/01934</t>
        </is>
      </c>
      <c r="E401" s="9" t="n">
        <v>96.98999999999999</v>
      </c>
      <c r="F401" s="9" t="n">
        <v>96.98999999999999</v>
      </c>
      <c r="G401" s="9">
        <f>ROUND(E401-F401,2)</f>
        <v>0</v>
      </c>
    </row>
    <row r="402">
      <c r="A402" t="inlineStr">
        <is>
          <t>RA44877</t>
        </is>
      </c>
      <c r="B402" t="inlineStr">
        <is>
          <t>Lyrebird Plan Management</t>
        </is>
      </c>
      <c r="C402" s="5" t="n">
        <v>46219</v>
      </c>
      <c r="D402" t="inlineStr">
        <is>
          <t>INV/2026/01960</t>
        </is>
      </c>
      <c r="E402" s="9" t="n">
        <v>272.49</v>
      </c>
      <c r="F402" s="9" t="n">
        <v>272.49</v>
      </c>
      <c r="G402" s="9">
        <f>ROUND(E402-F402,2)</f>
        <v>0</v>
      </c>
    </row>
    <row r="403">
      <c r="A403" t="inlineStr">
        <is>
          <t>RA44878</t>
        </is>
      </c>
      <c r="B403" t="inlineStr">
        <is>
          <t>Tallowwood Plans</t>
        </is>
      </c>
      <c r="C403" s="5" t="n">
        <v>46219</v>
      </c>
      <c r="D403" t="inlineStr">
        <is>
          <t>INV/2026/01963</t>
        </is>
      </c>
      <c r="E403" s="9" t="n">
        <v>272.49</v>
      </c>
      <c r="F403" s="9" t="n">
        <v>272.49</v>
      </c>
      <c r="G403" s="9">
        <f>ROUND(E403-F403,2)</f>
        <v>0</v>
      </c>
    </row>
    <row r="404">
      <c r="A404" t="inlineStr">
        <is>
          <t>RA44878</t>
        </is>
      </c>
      <c r="B404" t="inlineStr">
        <is>
          <t>Tallowwood Plans</t>
        </is>
      </c>
      <c r="C404" s="5" t="n">
        <v>46219</v>
      </c>
      <c r="D404" t="inlineStr">
        <is>
          <t>INV/2026/01986</t>
        </is>
      </c>
      <c r="E404" s="9" t="n">
        <v>193.99</v>
      </c>
      <c r="F404" s="9" t="n">
        <v>193.99</v>
      </c>
      <c r="G404" s="9">
        <f>ROUND(E404-F404,2)</f>
        <v>0</v>
      </c>
    </row>
    <row r="405">
      <c r="A405" t="inlineStr">
        <is>
          <t>RA44878</t>
        </is>
      </c>
      <c r="B405" t="inlineStr">
        <is>
          <t>Tallowwood Plans</t>
        </is>
      </c>
      <c r="C405" s="5" t="n">
        <v>46219</v>
      </c>
      <c r="D405" t="inlineStr">
        <is>
          <t>INV/2026/02012</t>
        </is>
      </c>
      <c r="E405" s="9" t="n">
        <v>126.99</v>
      </c>
      <c r="F405" s="9" t="n">
        <v>126.99</v>
      </c>
      <c r="G405" s="9">
        <f>ROUND(E405-F405,2)</f>
        <v>0</v>
      </c>
    </row>
    <row r="406">
      <c r="A406" t="inlineStr">
        <is>
          <t>RA44878</t>
        </is>
      </c>
      <c r="B406" t="inlineStr">
        <is>
          <t>Tallowwood Plans</t>
        </is>
      </c>
      <c r="C406" s="5" t="n">
        <v>46219</v>
      </c>
      <c r="D406" t="inlineStr">
        <is>
          <t>INV/2026/02013</t>
        </is>
      </c>
      <c r="E406" s="9" t="n">
        <v>193.99</v>
      </c>
      <c r="F406" s="9" t="n">
        <v>193.99</v>
      </c>
      <c r="G406" s="9">
        <f>ROUND(E406-F406,2)</f>
        <v>0</v>
      </c>
    </row>
    <row r="407">
      <c r="A407" t="inlineStr">
        <is>
          <t>RA44878</t>
        </is>
      </c>
      <c r="B407" t="inlineStr">
        <is>
          <t>Tallowwood Plans</t>
        </is>
      </c>
      <c r="C407" s="5" t="n">
        <v>46219</v>
      </c>
      <c r="D407" t="inlineStr">
        <is>
          <t>INV/2026/02014</t>
        </is>
      </c>
      <c r="E407" s="9" t="n">
        <v>387.98</v>
      </c>
      <c r="F407" s="9" t="n">
        <v>387.98</v>
      </c>
      <c r="G407" s="9">
        <f>ROUND(E407-F407,2)</f>
        <v>0</v>
      </c>
    </row>
    <row r="408">
      <c r="A408" t="inlineStr">
        <is>
          <t>RA44878</t>
        </is>
      </c>
      <c r="B408" t="inlineStr">
        <is>
          <t>Tallowwood Plans</t>
        </is>
      </c>
      <c r="C408" s="5" t="n">
        <v>46219</v>
      </c>
      <c r="D408" t="inlineStr">
        <is>
          <t>INV/2026/02032</t>
        </is>
      </c>
      <c r="E408" s="9" t="n">
        <v>387.98</v>
      </c>
      <c r="F408" s="9" t="n">
        <v>387.98</v>
      </c>
      <c r="G408" s="9">
        <f>ROUND(E408-F408,2)</f>
        <v>0</v>
      </c>
    </row>
    <row r="409">
      <c r="A409" t="inlineStr">
        <is>
          <t>RA44878</t>
        </is>
      </c>
      <c r="B409" t="inlineStr">
        <is>
          <t>Tallowwood Plans</t>
        </is>
      </c>
      <c r="C409" s="5" t="n">
        <v>46219</v>
      </c>
      <c r="D409" t="inlineStr">
        <is>
          <t>INV/2026/02057</t>
        </is>
      </c>
      <c r="E409" s="9" t="n">
        <v>300.69</v>
      </c>
      <c r="F409" s="9" t="n">
        <v>300.69</v>
      </c>
      <c r="G409" s="9">
        <f>ROUND(E409-F409,2)</f>
        <v>0</v>
      </c>
    </row>
    <row r="410">
      <c r="A410" t="inlineStr">
        <is>
          <t>RA44878</t>
        </is>
      </c>
      <c r="B410" t="inlineStr">
        <is>
          <t>Tallowwood Plans</t>
        </is>
      </c>
      <c r="C410" s="5" t="n">
        <v>46219</v>
      </c>
      <c r="D410" t="inlineStr">
        <is>
          <t>INV/2026/02058</t>
        </is>
      </c>
      <c r="E410" s="9" t="n">
        <v>242.49</v>
      </c>
      <c r="F410" s="9" t="n">
        <v>242.49</v>
      </c>
      <c r="G410" s="9">
        <f>ROUND(E410-F410,2)</f>
        <v>0</v>
      </c>
    </row>
    <row r="411">
      <c r="A411" t="inlineStr">
        <is>
          <t>RA44878</t>
        </is>
      </c>
      <c r="B411" t="inlineStr">
        <is>
          <t>Tallowwood Plans</t>
        </is>
      </c>
      <c r="C411" s="5" t="n">
        <v>46219</v>
      </c>
      <c r="D411" t="inlineStr">
        <is>
          <t>INV/2026/02059</t>
        </is>
      </c>
      <c r="E411" s="9" t="n">
        <v>446.18</v>
      </c>
      <c r="F411" s="9" t="n">
        <v>446.18</v>
      </c>
      <c r="G411" s="9">
        <f>ROUND(E411-F411,2)</f>
        <v>0</v>
      </c>
    </row>
    <row r="412">
      <c r="A412" t="inlineStr">
        <is>
          <t>RA44878</t>
        </is>
      </c>
      <c r="B412" t="inlineStr">
        <is>
          <t>Tallowwood Plans</t>
        </is>
      </c>
      <c r="C412" s="5" t="n">
        <v>46219</v>
      </c>
      <c r="D412" t="inlineStr">
        <is>
          <t>INV/2026/02082</t>
        </is>
      </c>
      <c r="E412" s="9" t="n">
        <v>446.18</v>
      </c>
      <c r="F412" s="9" t="n">
        <v>446.18</v>
      </c>
      <c r="G412" s="9">
        <f>ROUND(E412-F412,2)</f>
        <v>0</v>
      </c>
    </row>
    <row r="413">
      <c r="A413" t="inlineStr">
        <is>
          <t>RA44879</t>
        </is>
      </c>
      <c r="B413" t="inlineStr">
        <is>
          <t>Mallee Plan Services</t>
        </is>
      </c>
      <c r="C413" s="5" t="n">
        <v>46219</v>
      </c>
      <c r="D413" t="inlineStr">
        <is>
          <t>INV/2026/01988</t>
        </is>
      </c>
      <c r="E413" s="9" t="n">
        <v>290.98</v>
      </c>
      <c r="F413" s="9" t="n">
        <v>290.98</v>
      </c>
      <c r="G413" s="9">
        <f>ROUND(E413-F413,2)</f>
        <v>0</v>
      </c>
    </row>
    <row r="414">
      <c r="A414" t="inlineStr">
        <is>
          <t>RA44879</t>
        </is>
      </c>
      <c r="B414" t="inlineStr">
        <is>
          <t>Mallee Plan Services</t>
        </is>
      </c>
      <c r="C414" s="5" t="n">
        <v>46219</v>
      </c>
      <c r="D414" t="inlineStr">
        <is>
          <t>INV/2026/01989</t>
        </is>
      </c>
      <c r="E414" s="9" t="n">
        <v>203.69</v>
      </c>
      <c r="F414" s="9" t="n">
        <v>203.69</v>
      </c>
      <c r="G414" s="9">
        <f>ROUND(E414-F414,2)</f>
        <v>0</v>
      </c>
    </row>
    <row r="415">
      <c r="A415" t="inlineStr">
        <is>
          <t>RA44879</t>
        </is>
      </c>
      <c r="B415" t="inlineStr">
        <is>
          <t>Mallee Plan Services</t>
        </is>
      </c>
      <c r="C415" s="5" t="n">
        <v>46219</v>
      </c>
      <c r="D415" t="inlineStr">
        <is>
          <t>INV/2026/02016</t>
        </is>
      </c>
      <c r="E415" s="9" t="n">
        <v>126.99</v>
      </c>
      <c r="F415" s="9" t="n">
        <v>126.99</v>
      </c>
      <c r="G415" s="9">
        <f>ROUND(E415-F415,2)</f>
        <v>0</v>
      </c>
    </row>
    <row r="416">
      <c r="A416" t="inlineStr">
        <is>
          <t>RA44879</t>
        </is>
      </c>
      <c r="B416" t="inlineStr">
        <is>
          <t>Mallee Plan Services</t>
        </is>
      </c>
      <c r="C416" s="5" t="n">
        <v>46219</v>
      </c>
      <c r="D416" t="inlineStr">
        <is>
          <t>INV/2026/02084</t>
        </is>
      </c>
      <c r="E416" s="9" t="n">
        <v>96.98999999999999</v>
      </c>
      <c r="F416" s="9" t="n">
        <v>96.98999999999999</v>
      </c>
      <c r="G416" s="9">
        <f>ROUND(E416-F416,2)</f>
        <v>0</v>
      </c>
    </row>
    <row r="417">
      <c r="A417" t="inlineStr">
        <is>
          <t>RA44880</t>
        </is>
      </c>
      <c r="B417" t="inlineStr">
        <is>
          <t>Riverbend Plan Partners</t>
        </is>
      </c>
      <c r="C417" s="5" t="n">
        <v>46220</v>
      </c>
      <c r="D417" t="inlineStr">
        <is>
          <t>INV/2026/01895</t>
        </is>
      </c>
      <c r="E417" s="9" t="n">
        <v>193.99</v>
      </c>
      <c r="F417" s="9" t="n">
        <v>193.99</v>
      </c>
      <c r="G417" s="9">
        <f>ROUND(E417-F417,2)</f>
        <v>0</v>
      </c>
    </row>
    <row r="418">
      <c r="A418" t="inlineStr">
        <is>
          <t>RA44880</t>
        </is>
      </c>
      <c r="B418" t="inlineStr">
        <is>
          <t>Riverbend Plan Partners</t>
        </is>
      </c>
      <c r="C418" s="5" t="n">
        <v>46220</v>
      </c>
      <c r="D418" t="inlineStr">
        <is>
          <t>INV/2026/01917</t>
        </is>
      </c>
      <c r="E418" s="9" t="n">
        <v>417.98</v>
      </c>
      <c r="F418" s="9" t="n">
        <v>417.98</v>
      </c>
      <c r="G418" s="9">
        <f>ROUND(E418-F418,2)</f>
        <v>0</v>
      </c>
    </row>
    <row r="419">
      <c r="A419" t="inlineStr">
        <is>
          <t>RA44880</t>
        </is>
      </c>
      <c r="B419" t="inlineStr">
        <is>
          <t>Riverbend Plan Partners</t>
        </is>
      </c>
      <c r="C419" s="5" t="n">
        <v>46220</v>
      </c>
      <c r="D419" t="inlineStr">
        <is>
          <t>INV/2026/01944</t>
        </is>
      </c>
      <c r="E419" s="9" t="n">
        <v>252.19</v>
      </c>
      <c r="F419" s="9" t="n">
        <v>252.19</v>
      </c>
      <c r="G419" s="9">
        <f>ROUND(E419-F419,2)</f>
        <v>0</v>
      </c>
    </row>
    <row r="420">
      <c r="A420" t="inlineStr">
        <is>
          <t>RA44880</t>
        </is>
      </c>
      <c r="B420" t="inlineStr">
        <is>
          <t>Riverbend Plan Partners</t>
        </is>
      </c>
      <c r="C420" s="5" t="n">
        <v>46220</v>
      </c>
      <c r="D420" t="inlineStr">
        <is>
          <t>INV/2026/01970</t>
        </is>
      </c>
      <c r="E420" s="9" t="n">
        <v>290.98</v>
      </c>
      <c r="F420" s="9" t="n">
        <v>290.98</v>
      </c>
      <c r="G420" s="9">
        <f>ROUND(E420-F420,2)</f>
        <v>0</v>
      </c>
    </row>
    <row r="421">
      <c r="A421" t="inlineStr">
        <is>
          <t>RA44880</t>
        </is>
      </c>
      <c r="B421" t="inlineStr">
        <is>
          <t>Riverbend Plan Partners</t>
        </is>
      </c>
      <c r="C421" s="5" t="n">
        <v>46220</v>
      </c>
      <c r="D421" t="inlineStr">
        <is>
          <t>INV/2026/01971</t>
        </is>
      </c>
      <c r="E421" s="9" t="n">
        <v>223.99</v>
      </c>
      <c r="F421" s="9" t="n">
        <v>223.99</v>
      </c>
      <c r="G421" s="9">
        <f>ROUND(E421-F421,2)</f>
        <v>0</v>
      </c>
    </row>
    <row r="422">
      <c r="A422" t="inlineStr">
        <is>
          <t>RA44880</t>
        </is>
      </c>
      <c r="B422" t="inlineStr">
        <is>
          <t>Riverbend Plan Partners</t>
        </is>
      </c>
      <c r="C422" s="5" t="n">
        <v>46220</v>
      </c>
      <c r="D422" t="inlineStr">
        <is>
          <t>INV/2026/01972</t>
        </is>
      </c>
      <c r="E422" s="9" t="n">
        <v>145.49</v>
      </c>
      <c r="F422" s="9" t="n">
        <v>145.49</v>
      </c>
      <c r="G422" s="9">
        <f>ROUND(E422-F422,2)</f>
        <v>0</v>
      </c>
    </row>
    <row r="423">
      <c r="A423" t="inlineStr">
        <is>
          <t>RA44880</t>
        </is>
      </c>
      <c r="B423" t="inlineStr">
        <is>
          <t>Riverbend Plan Partners</t>
        </is>
      </c>
      <c r="C423" s="5" t="n">
        <v>46220</v>
      </c>
      <c r="D423" t="inlineStr">
        <is>
          <t>INV/2026/01994</t>
        </is>
      </c>
      <c r="E423" s="9" t="n">
        <v>300.69</v>
      </c>
      <c r="F423" s="9" t="n">
        <v>300.69</v>
      </c>
      <c r="G423" s="9">
        <f>ROUND(E423-F423,2)</f>
        <v>0</v>
      </c>
    </row>
    <row r="424">
      <c r="A424" t="inlineStr">
        <is>
          <t>RA44880</t>
        </is>
      </c>
      <c r="B424" t="inlineStr">
        <is>
          <t>Riverbend Plan Partners</t>
        </is>
      </c>
      <c r="C424" s="5" t="n">
        <v>46220</v>
      </c>
      <c r="D424" t="inlineStr">
        <is>
          <t>INV/2026/02020</t>
        </is>
      </c>
      <c r="E424" s="9" t="n">
        <v>300.69</v>
      </c>
      <c r="F424" s="9" t="n">
        <v>300.69</v>
      </c>
      <c r="G424" s="9">
        <f>ROUND(E424-F424,2)</f>
        <v>0</v>
      </c>
    </row>
    <row r="425">
      <c r="A425" t="inlineStr">
        <is>
          <t>RA44880</t>
        </is>
      </c>
      <c r="B425" t="inlineStr">
        <is>
          <t>Riverbend Plan Partners</t>
        </is>
      </c>
      <c r="C425" s="5" t="n">
        <v>46220</v>
      </c>
      <c r="D425" t="inlineStr">
        <is>
          <t>INV/2026/02038</t>
        </is>
      </c>
      <c r="E425" s="9" t="n">
        <v>349.18</v>
      </c>
      <c r="F425" s="9" t="n">
        <v>349.18</v>
      </c>
      <c r="G425" s="9">
        <f>ROUND(E425-F425,2)</f>
        <v>0</v>
      </c>
    </row>
    <row r="426">
      <c r="A426" t="inlineStr">
        <is>
          <t>RA44880</t>
        </is>
      </c>
      <c r="B426" t="inlineStr">
        <is>
          <t>Riverbend Plan Partners</t>
        </is>
      </c>
      <c r="C426" s="5" t="n">
        <v>46220</v>
      </c>
      <c r="D426" t="inlineStr">
        <is>
          <t>INV/2026/02039</t>
        </is>
      </c>
      <c r="E426" s="9" t="n">
        <v>272.49</v>
      </c>
      <c r="F426" s="9" t="n">
        <v>272.49</v>
      </c>
      <c r="G426" s="9">
        <f>ROUND(E426-F426,2)</f>
        <v>0</v>
      </c>
    </row>
    <row r="427">
      <c r="A427" t="inlineStr">
        <is>
          <t>RA44880</t>
        </is>
      </c>
      <c r="B427" t="inlineStr">
        <is>
          <t>Riverbend Plan Partners</t>
        </is>
      </c>
      <c r="C427" s="5" t="n">
        <v>46220</v>
      </c>
      <c r="D427" t="inlineStr">
        <is>
          <t>INV/2026/02069</t>
        </is>
      </c>
      <c r="E427" s="9" t="n">
        <v>446.18</v>
      </c>
      <c r="F427" s="9" t="n">
        <v>446.18</v>
      </c>
      <c r="G427" s="9">
        <f>ROUND(E427-F427,2)</f>
        <v>0</v>
      </c>
    </row>
    <row r="428">
      <c r="A428" t="inlineStr">
        <is>
          <t>RA44880</t>
        </is>
      </c>
      <c r="B428" t="inlineStr">
        <is>
          <t>Riverbend Plan Partners</t>
        </is>
      </c>
      <c r="C428" s="5" t="n">
        <v>46220</v>
      </c>
      <c r="D428" t="inlineStr">
        <is>
          <t>INV/2026/02090</t>
        </is>
      </c>
      <c r="E428" s="9" t="n">
        <v>145.49</v>
      </c>
      <c r="F428" s="9" t="n">
        <v>145.49</v>
      </c>
      <c r="G428" s="9">
        <f>ROUND(E428-F428,2)</f>
        <v>0</v>
      </c>
    </row>
    <row r="429">
      <c r="A429" t="inlineStr">
        <is>
          <t>RA44881</t>
        </is>
      </c>
      <c r="B429" t="inlineStr">
        <is>
          <t>Clearpath NDIS Plans</t>
        </is>
      </c>
      <c r="C429" s="5" t="n">
        <v>46220</v>
      </c>
      <c r="D429" t="inlineStr">
        <is>
          <t>INV/2026/01973</t>
        </is>
      </c>
      <c r="E429" s="9" t="n">
        <v>155.19</v>
      </c>
      <c r="F429" s="9" t="n">
        <v>155.19</v>
      </c>
      <c r="G429" s="9">
        <f>ROUND(E429-F429,2)</f>
        <v>0</v>
      </c>
    </row>
    <row r="430">
      <c r="A430" t="inlineStr">
        <is>
          <t>RA44881</t>
        </is>
      </c>
      <c r="B430" t="inlineStr">
        <is>
          <t>Clearpath NDIS Plans</t>
        </is>
      </c>
      <c r="C430" s="5" t="n">
        <v>46220</v>
      </c>
      <c r="D430" t="inlineStr">
        <is>
          <t>INV/2026/01974</t>
        </is>
      </c>
      <c r="E430" s="9" t="n">
        <v>145.49</v>
      </c>
      <c r="F430" s="9" t="n">
        <v>145.49</v>
      </c>
      <c r="G430" s="9">
        <f>ROUND(E430-F430,2)</f>
        <v>0</v>
      </c>
    </row>
    <row r="431">
      <c r="A431" t="inlineStr">
        <is>
          <t>RA44882</t>
        </is>
      </c>
      <c r="B431" t="inlineStr">
        <is>
          <t>Banksia Plan Co</t>
        </is>
      </c>
      <c r="C431" s="5" t="n">
        <v>46220</v>
      </c>
      <c r="D431" t="inlineStr">
        <is>
          <t>INV/2026/01999</t>
        </is>
      </c>
      <c r="E431" s="9" t="n">
        <v>417.98</v>
      </c>
      <c r="F431" s="9" t="n">
        <v>417.98</v>
      </c>
      <c r="G431" s="9">
        <f>ROUND(E431-F431,2)</f>
        <v>0</v>
      </c>
    </row>
    <row r="432">
      <c r="A432" t="inlineStr">
        <is>
          <t>RA44882</t>
        </is>
      </c>
      <c r="B432" t="inlineStr">
        <is>
          <t>Banksia Plan Co</t>
        </is>
      </c>
      <c r="C432" s="5" t="n">
        <v>46220</v>
      </c>
      <c r="D432" t="inlineStr">
        <is>
          <t>INV/2026/02023</t>
        </is>
      </c>
      <c r="E432" s="9" t="n">
        <v>193.99</v>
      </c>
      <c r="F432" s="9" t="n">
        <v>193.99</v>
      </c>
      <c r="G432" s="9">
        <f>ROUND(E432-F432,2)</f>
        <v>0</v>
      </c>
    </row>
    <row r="433">
      <c r="A433" t="inlineStr">
        <is>
          <t>RA44882</t>
        </is>
      </c>
      <c r="B433" t="inlineStr">
        <is>
          <t>Banksia Plan Co</t>
        </is>
      </c>
      <c r="C433" s="5" t="n">
        <v>46220</v>
      </c>
      <c r="D433" t="inlineStr">
        <is>
          <t>INV/2026/02045</t>
        </is>
      </c>
      <c r="E433" s="9" t="n">
        <v>446.18</v>
      </c>
      <c r="F433" s="9" t="n">
        <v>446.18</v>
      </c>
      <c r="G433" s="9">
        <f>ROUND(E433-F433,2)</f>
        <v>0</v>
      </c>
    </row>
    <row r="434">
      <c r="A434" t="inlineStr">
        <is>
          <t>RA44882</t>
        </is>
      </c>
      <c r="B434" t="inlineStr">
        <is>
          <t>Banksia Plan Co</t>
        </is>
      </c>
      <c r="C434" s="5" t="n">
        <v>46220</v>
      </c>
      <c r="D434" t="inlineStr">
        <is>
          <t>INV/2026/02046</t>
        </is>
      </c>
      <c r="E434" s="9" t="n">
        <v>96.98999999999999</v>
      </c>
      <c r="F434" s="9" t="n">
        <v>96.98999999999999</v>
      </c>
      <c r="G434" s="9">
        <f>ROUND(E434-F434,2)</f>
        <v>0</v>
      </c>
    </row>
    <row r="435">
      <c r="A435" t="inlineStr">
        <is>
          <t>RA44882</t>
        </is>
      </c>
      <c r="B435" t="inlineStr">
        <is>
          <t>Banksia Plan Co</t>
        </is>
      </c>
      <c r="C435" s="5" t="n">
        <v>46220</v>
      </c>
      <c r="D435" t="inlineStr">
        <is>
          <t>INV/2026/02094</t>
        </is>
      </c>
      <c r="E435" s="9" t="n">
        <v>145.49</v>
      </c>
      <c r="F435" s="9" t="n">
        <v>145.49</v>
      </c>
      <c r="G435" s="9">
        <f>ROUND(E435-F435,2)</f>
        <v>0</v>
      </c>
    </row>
    <row r="436">
      <c r="A436" t="inlineStr">
        <is>
          <t>RA44882</t>
        </is>
      </c>
      <c r="B436" t="inlineStr">
        <is>
          <t>Banksia Plan Co</t>
        </is>
      </c>
      <c r="C436" s="5" t="n">
        <v>46220</v>
      </c>
      <c r="D436" t="inlineStr">
        <is>
          <t>INV/2026/02095</t>
        </is>
      </c>
      <c r="E436" s="9" t="n">
        <v>417.98</v>
      </c>
      <c r="F436" s="9" t="n">
        <v>417.98</v>
      </c>
      <c r="G436" s="9">
        <f>ROUND(E436-F436,2)</f>
        <v>0</v>
      </c>
    </row>
    <row r="437">
      <c r="A437" t="inlineStr">
        <is>
          <t>RA44883</t>
        </is>
      </c>
      <c r="B437" t="inlineStr">
        <is>
          <t>Ironbark Plan Management</t>
        </is>
      </c>
      <c r="C437" s="5" t="n">
        <v>46220</v>
      </c>
      <c r="D437" t="inlineStr">
        <is>
          <t>INV/2026/01737</t>
        </is>
      </c>
      <c r="E437" s="9" t="n">
        <v>96.98999999999999</v>
      </c>
      <c r="F437" s="9" t="n">
        <v>67.89</v>
      </c>
      <c r="G437" s="9">
        <f>ROUND(E437-F437,2)</f>
        <v>29.1</v>
      </c>
    </row>
    <row r="438">
      <c r="A438" t="inlineStr">
        <is>
          <t>RA44883</t>
        </is>
      </c>
      <c r="B438" t="inlineStr">
        <is>
          <t>Ironbark Plan Management</t>
        </is>
      </c>
      <c r="C438" s="5" t="n">
        <v>46220</v>
      </c>
      <c r="D438" t="inlineStr">
        <is>
          <t>INV/2026/01757</t>
        </is>
      </c>
      <c r="E438" s="9" t="n">
        <v>446.18</v>
      </c>
      <c r="F438" s="9" t="n">
        <v>446.18</v>
      </c>
      <c r="G438" s="9">
        <f>ROUND(E438-F438,2)</f>
        <v>0</v>
      </c>
    </row>
    <row r="439">
      <c r="A439" t="inlineStr">
        <is>
          <t>RA44883</t>
        </is>
      </c>
      <c r="B439" t="inlineStr">
        <is>
          <t>Ironbark Plan Management</t>
        </is>
      </c>
      <c r="C439" s="5" t="n">
        <v>46220</v>
      </c>
      <c r="D439" t="inlineStr">
        <is>
          <t>INV/2026/01781</t>
        </is>
      </c>
      <c r="E439" s="9" t="n">
        <v>96.98999999999999</v>
      </c>
      <c r="F439" s="9" t="n">
        <v>96.98999999999999</v>
      </c>
      <c r="G439" s="9">
        <f>ROUND(E439-F439,2)</f>
        <v>0</v>
      </c>
    </row>
    <row r="440">
      <c r="A440" t="inlineStr">
        <is>
          <t>RA44883</t>
        </is>
      </c>
      <c r="B440" t="inlineStr">
        <is>
          <t>Ironbark Plan Management</t>
        </is>
      </c>
      <c r="C440" s="5" t="n">
        <v>46220</v>
      </c>
      <c r="D440" t="inlineStr">
        <is>
          <t>INV/2026/01806</t>
        </is>
      </c>
      <c r="E440" s="9" t="n">
        <v>300.69</v>
      </c>
      <c r="F440" s="9" t="n">
        <v>300.69</v>
      </c>
      <c r="G440" s="9">
        <f>ROUND(E440-F440,2)</f>
        <v>0</v>
      </c>
    </row>
    <row r="441">
      <c r="A441" t="inlineStr">
        <is>
          <t>RA44884</t>
        </is>
      </c>
      <c r="B441" t="inlineStr">
        <is>
          <t>Tallowwood Plans</t>
        </is>
      </c>
      <c r="C441" s="5" t="n">
        <v>46220</v>
      </c>
      <c r="D441" t="inlineStr">
        <is>
          <t>INV/2026/02081</t>
        </is>
      </c>
      <c r="E441" s="9" t="n">
        <v>155.19</v>
      </c>
      <c r="F441" s="9" t="n">
        <v>155.19</v>
      </c>
      <c r="G441" s="9">
        <f>ROUND(E441-F441,2)</f>
        <v>0</v>
      </c>
    </row>
    <row r="442">
      <c r="A442" t="inlineStr">
        <is>
          <t>RA44884</t>
        </is>
      </c>
      <c r="B442" t="inlineStr">
        <is>
          <t>Tallowwood Plans</t>
        </is>
      </c>
      <c r="C442" s="5" t="n">
        <v>46220</v>
      </c>
      <c r="D442" t="inlineStr">
        <is>
          <t>INV/2026/02125</t>
        </is>
      </c>
      <c r="E442" s="9" t="n">
        <v>290.98</v>
      </c>
      <c r="F442" s="9" t="n">
        <v>290.98</v>
      </c>
      <c r="G442" s="9">
        <f>ROUND(E442-F442,2)</f>
        <v>0</v>
      </c>
    </row>
    <row r="443">
      <c r="A443" t="inlineStr">
        <is>
          <t>RA44885</t>
        </is>
      </c>
      <c r="B443" t="inlineStr">
        <is>
          <t>Acacia Plan Partners</t>
        </is>
      </c>
      <c r="C443" s="5" t="n">
        <v>46220</v>
      </c>
      <c r="D443" t="inlineStr">
        <is>
          <t>INV/2026/01743</t>
        </is>
      </c>
      <c r="E443" s="9" t="n">
        <v>290.98</v>
      </c>
      <c r="F443" s="9" t="n">
        <v>290.98</v>
      </c>
      <c r="G443" s="9">
        <f>ROUND(E443-F443,2)</f>
        <v>0</v>
      </c>
    </row>
    <row r="444">
      <c r="A444" t="inlineStr">
        <is>
          <t>RA44885</t>
        </is>
      </c>
      <c r="B444" t="inlineStr">
        <is>
          <t>Acacia Plan Partners</t>
        </is>
      </c>
      <c r="C444" s="5" t="n">
        <v>46220</v>
      </c>
      <c r="D444" t="inlineStr">
        <is>
          <t>INV/2026/01744</t>
        </is>
      </c>
      <c r="E444" s="9" t="n">
        <v>145.49</v>
      </c>
      <c r="F444" s="9" t="n">
        <v>145.49</v>
      </c>
      <c r="G444" s="9">
        <f>ROUND(E444-F444,2)</f>
        <v>0</v>
      </c>
    </row>
    <row r="445">
      <c r="A445" t="inlineStr">
        <is>
          <t>RA44885</t>
        </is>
      </c>
      <c r="B445" t="inlineStr">
        <is>
          <t>Acacia Plan Partners</t>
        </is>
      </c>
      <c r="C445" s="5" t="n">
        <v>46220</v>
      </c>
      <c r="D445" t="inlineStr">
        <is>
          <t>INV/2026/01745</t>
        </is>
      </c>
      <c r="E445" s="9" t="n">
        <v>193.99</v>
      </c>
      <c r="F445" s="9" t="n">
        <v>193.99</v>
      </c>
      <c r="G445" s="9">
        <f>ROUND(E445-F445,2)</f>
        <v>0</v>
      </c>
    </row>
    <row r="446">
      <c r="A446" t="inlineStr">
        <is>
          <t>RA44885</t>
        </is>
      </c>
      <c r="B446" t="inlineStr">
        <is>
          <t>Acacia Plan Partners</t>
        </is>
      </c>
      <c r="C446" s="5" t="n">
        <v>46220</v>
      </c>
      <c r="D446" t="inlineStr">
        <is>
          <t>INV/2026/01770</t>
        </is>
      </c>
      <c r="E446" s="9" t="n">
        <v>193.99</v>
      </c>
      <c r="F446" s="9" t="n">
        <v>193.99</v>
      </c>
      <c r="G446" s="9">
        <f>ROUND(E446-F446,2)</f>
        <v>0</v>
      </c>
    </row>
    <row r="447">
      <c r="A447" t="inlineStr">
        <is>
          <t>RA44885</t>
        </is>
      </c>
      <c r="B447" t="inlineStr">
        <is>
          <t>Acacia Plan Partners</t>
        </is>
      </c>
      <c r="C447" s="5" t="n">
        <v>46220</v>
      </c>
      <c r="D447" t="inlineStr">
        <is>
          <t>INV/2026/01771</t>
        </is>
      </c>
      <c r="E447" s="9" t="n">
        <v>145.49</v>
      </c>
      <c r="F447" s="9" t="n">
        <v>145.49</v>
      </c>
      <c r="G447" s="9">
        <f>ROUND(E447-F447,2)</f>
        <v>0</v>
      </c>
    </row>
    <row r="448">
      <c r="A448" t="inlineStr">
        <is>
          <t>RA44885</t>
        </is>
      </c>
      <c r="B448" t="inlineStr">
        <is>
          <t>Acacia Plan Partners</t>
        </is>
      </c>
      <c r="C448" s="5" t="n">
        <v>46220</v>
      </c>
      <c r="D448" t="inlineStr">
        <is>
          <t>INV/2026/01790</t>
        </is>
      </c>
      <c r="E448" s="9" t="n">
        <v>272.49</v>
      </c>
      <c r="F448" s="9" t="n">
        <v>272.49</v>
      </c>
      <c r="G448" s="9">
        <f>ROUND(E448-F448,2)</f>
        <v>0</v>
      </c>
    </row>
    <row r="449">
      <c r="A449" t="inlineStr">
        <is>
          <t>RA44886</t>
        </is>
      </c>
      <c r="B449" t="inlineStr">
        <is>
          <t>Mallee Plan Services</t>
        </is>
      </c>
      <c r="C449" s="5" t="n">
        <v>46220</v>
      </c>
      <c r="D449" t="inlineStr">
        <is>
          <t>INV/2026/02103</t>
        </is>
      </c>
      <c r="E449" s="9" t="n">
        <v>145.49</v>
      </c>
      <c r="F449" s="9" t="n">
        <v>145.49</v>
      </c>
      <c r="G449" s="9">
        <f>ROUND(E449-F449,2)</f>
        <v>0</v>
      </c>
    </row>
    <row r="450">
      <c r="A450" t="inlineStr">
        <is>
          <t>RA44886</t>
        </is>
      </c>
      <c r="B450" t="inlineStr">
        <is>
          <t>Mallee Plan Services</t>
        </is>
      </c>
      <c r="C450" s="5" t="n">
        <v>46220</v>
      </c>
      <c r="D450" t="inlineStr">
        <is>
          <t>INV/2026/02128</t>
        </is>
      </c>
      <c r="E450" s="9" t="n">
        <v>145.49</v>
      </c>
      <c r="F450" s="9" t="n">
        <v>145.49</v>
      </c>
      <c r="G450" s="9">
        <f>ROUND(E450-F450,2)</f>
        <v>0</v>
      </c>
    </row>
    <row r="451">
      <c r="A451" t="inlineStr">
        <is>
          <t>RA44887</t>
        </is>
      </c>
      <c r="B451" t="inlineStr">
        <is>
          <t>Bluegum Plan Management</t>
        </is>
      </c>
      <c r="C451" s="5" t="n">
        <v>46223</v>
      </c>
      <c r="D451" t="inlineStr">
        <is>
          <t>INV/2026/01614</t>
        </is>
      </c>
      <c r="E451" s="9" t="n">
        <v>387.98</v>
      </c>
      <c r="F451" s="9" t="n">
        <v>387.98</v>
      </c>
      <c r="G451" s="9">
        <f>ROUND(E451-F451,2)</f>
        <v>0</v>
      </c>
    </row>
    <row r="452">
      <c r="A452" t="inlineStr">
        <is>
          <t>RA44887</t>
        </is>
      </c>
      <c r="B452" t="inlineStr">
        <is>
          <t>Bluegum Plan Management</t>
        </is>
      </c>
      <c r="C452" s="5" t="n">
        <v>46223</v>
      </c>
      <c r="D452" t="inlineStr">
        <is>
          <t>INV/2026/01638</t>
        </is>
      </c>
      <c r="E452" s="9" t="n">
        <v>145.49</v>
      </c>
      <c r="F452" s="9" t="n">
        <v>145.49</v>
      </c>
      <c r="G452" s="9">
        <f>ROUND(E452-F452,2)</f>
        <v>0</v>
      </c>
    </row>
    <row r="453">
      <c r="A453" t="inlineStr">
        <is>
          <t>RA44887</t>
        </is>
      </c>
      <c r="B453" t="inlineStr">
        <is>
          <t>Bluegum Plan Management</t>
        </is>
      </c>
      <c r="C453" s="5" t="n">
        <v>46223</v>
      </c>
      <c r="D453" t="inlineStr">
        <is>
          <t>INV/2026/01639</t>
        </is>
      </c>
      <c r="E453" s="9" t="n">
        <v>417.98</v>
      </c>
      <c r="F453" s="9" t="n">
        <v>417.98</v>
      </c>
      <c r="G453" s="9">
        <f>ROUND(E453-F453,2)</f>
        <v>0</v>
      </c>
    </row>
    <row r="454">
      <c r="A454" t="inlineStr">
        <is>
          <t>RA44887</t>
        </is>
      </c>
      <c r="B454" t="inlineStr">
        <is>
          <t>Bluegum Plan Management</t>
        </is>
      </c>
      <c r="C454" s="5" t="n">
        <v>46223</v>
      </c>
      <c r="D454" t="inlineStr">
        <is>
          <t>INV/2026/01662</t>
        </is>
      </c>
      <c r="E454" s="9" t="n">
        <v>417.98</v>
      </c>
      <c r="F454" s="9" t="n">
        <v>417.98</v>
      </c>
      <c r="G454" s="9">
        <f>ROUND(E454-F454,2)</f>
        <v>0</v>
      </c>
    </row>
    <row r="455">
      <c r="A455" t="inlineStr">
        <is>
          <t>RA44887</t>
        </is>
      </c>
      <c r="B455" t="inlineStr">
        <is>
          <t>Bluegum Plan Management</t>
        </is>
      </c>
      <c r="C455" s="5" t="n">
        <v>46223</v>
      </c>
      <c r="D455" t="inlineStr">
        <is>
          <t>INV/2026/01685</t>
        </is>
      </c>
      <c r="E455" s="9" t="n">
        <v>320.98</v>
      </c>
      <c r="F455" s="9" t="n">
        <v>320.98</v>
      </c>
      <c r="G455" s="9">
        <f>ROUND(E455-F455,2)</f>
        <v>0</v>
      </c>
    </row>
    <row r="456">
      <c r="A456" t="inlineStr">
        <is>
          <t>RA44887</t>
        </is>
      </c>
      <c r="B456" t="inlineStr">
        <is>
          <t>Bluegum Plan Management</t>
        </is>
      </c>
      <c r="C456" s="5" t="n">
        <v>46223</v>
      </c>
      <c r="D456" t="inlineStr">
        <is>
          <t>INV/2026/01686</t>
        </is>
      </c>
      <c r="E456" s="9" t="n">
        <v>290.98</v>
      </c>
      <c r="F456" s="9" t="n">
        <v>290.98</v>
      </c>
      <c r="G456" s="9">
        <f>ROUND(E456-F456,2)</f>
        <v>0</v>
      </c>
    </row>
    <row r="457">
      <c r="A457" t="inlineStr">
        <is>
          <t>RA44888</t>
        </is>
      </c>
      <c r="B457" t="inlineStr">
        <is>
          <t>Clearpath NDIS Plans</t>
        </is>
      </c>
      <c r="C457" s="5" t="n">
        <v>46223</v>
      </c>
      <c r="D457" t="inlineStr">
        <is>
          <t>INV/2026/01975</t>
        </is>
      </c>
      <c r="E457" s="9" t="n">
        <v>145.49</v>
      </c>
      <c r="F457" s="9" t="n">
        <v>145.49</v>
      </c>
      <c r="G457" s="9">
        <f>ROUND(E457-F457,2)</f>
        <v>0</v>
      </c>
    </row>
    <row r="458">
      <c r="A458" t="inlineStr">
        <is>
          <t>RA44888</t>
        </is>
      </c>
      <c r="B458" t="inlineStr">
        <is>
          <t>Clearpath NDIS Plans</t>
        </is>
      </c>
      <c r="C458" s="5" t="n">
        <v>46223</v>
      </c>
      <c r="D458" t="inlineStr">
        <is>
          <t>INV/2026/01995</t>
        </is>
      </c>
      <c r="E458" s="9" t="n">
        <v>242.49</v>
      </c>
      <c r="F458" s="9" t="n">
        <v>242.49</v>
      </c>
      <c r="G458" s="9">
        <f>ROUND(E458-F458,2)</f>
        <v>0</v>
      </c>
    </row>
    <row r="459">
      <c r="A459" t="inlineStr">
        <is>
          <t>RA44888</t>
        </is>
      </c>
      <c r="B459" t="inlineStr">
        <is>
          <t>Clearpath NDIS Plans</t>
        </is>
      </c>
      <c r="C459" s="5" t="n">
        <v>46223</v>
      </c>
      <c r="D459" t="inlineStr">
        <is>
          <t>INV/2026/02021</t>
        </is>
      </c>
      <c r="E459" s="9" t="n">
        <v>272.49</v>
      </c>
      <c r="F459" s="9" t="n">
        <v>272.49</v>
      </c>
      <c r="G459" s="9">
        <f>ROUND(E459-F459,2)</f>
        <v>0</v>
      </c>
    </row>
    <row r="460">
      <c r="A460" t="inlineStr">
        <is>
          <t>RA44888</t>
        </is>
      </c>
      <c r="B460" t="inlineStr">
        <is>
          <t>Clearpath NDIS Plans</t>
        </is>
      </c>
      <c r="C460" s="5" t="n">
        <v>46223</v>
      </c>
      <c r="D460" t="inlineStr">
        <is>
          <t>INV/2026/02040</t>
        </is>
      </c>
      <c r="E460" s="9" t="n">
        <v>349.18</v>
      </c>
      <c r="F460" s="9" t="n">
        <v>349.18</v>
      </c>
      <c r="G460" s="9">
        <f>ROUND(E460-F460,2)</f>
        <v>0</v>
      </c>
    </row>
    <row r="461">
      <c r="A461" t="inlineStr">
        <is>
          <t>RA44889</t>
        </is>
      </c>
      <c r="B461" t="inlineStr">
        <is>
          <t>Wattle Plan Services</t>
        </is>
      </c>
      <c r="C461" s="5" t="n">
        <v>46223</v>
      </c>
      <c r="D461" t="inlineStr">
        <is>
          <t>INV/2026/01710</t>
        </is>
      </c>
      <c r="E461" s="9" t="n">
        <v>417.98</v>
      </c>
      <c r="F461" s="9" t="n">
        <v>417.98</v>
      </c>
      <c r="G461" s="9">
        <f>ROUND(E461-F461,2)</f>
        <v>0</v>
      </c>
    </row>
    <row r="462">
      <c r="A462" t="inlineStr">
        <is>
          <t>RA44889</t>
        </is>
      </c>
      <c r="B462" t="inlineStr">
        <is>
          <t>Wattle Plan Services</t>
        </is>
      </c>
      <c r="C462" s="5" t="n">
        <v>46223</v>
      </c>
      <c r="D462" t="inlineStr">
        <is>
          <t>INV/2026/01711</t>
        </is>
      </c>
      <c r="E462" s="9" t="n">
        <v>387.98</v>
      </c>
      <c r="F462" s="9" t="n">
        <v>387.98</v>
      </c>
      <c r="G462" s="9">
        <f>ROUND(E462-F462,2)</f>
        <v>0</v>
      </c>
    </row>
    <row r="463">
      <c r="A463" t="inlineStr">
        <is>
          <t>RA44889</t>
        </is>
      </c>
      <c r="B463" t="inlineStr">
        <is>
          <t>Wattle Plan Services</t>
        </is>
      </c>
      <c r="C463" s="5" t="n">
        <v>46223</v>
      </c>
      <c r="D463" t="inlineStr">
        <is>
          <t>INV/2026/01732</t>
        </is>
      </c>
      <c r="E463" s="9" t="n">
        <v>145.49</v>
      </c>
      <c r="F463" s="9" t="n">
        <v>145.49</v>
      </c>
      <c r="G463" s="9">
        <f>ROUND(E463-F463,2)</f>
        <v>0</v>
      </c>
    </row>
    <row r="464">
      <c r="A464" t="inlineStr">
        <is>
          <t>RA44890</t>
        </is>
      </c>
      <c r="B464" t="inlineStr">
        <is>
          <t>Banksia Plan Co</t>
        </is>
      </c>
      <c r="C464" s="5" t="n">
        <v>46223</v>
      </c>
      <c r="D464" t="inlineStr">
        <is>
          <t>INV/2026/02115</t>
        </is>
      </c>
      <c r="E464" s="9" t="n">
        <v>349.18</v>
      </c>
      <c r="F464" s="9" t="n">
        <v>349.18</v>
      </c>
      <c r="G464" s="9">
        <f>ROUND(E464-F464,2)</f>
        <v>0</v>
      </c>
    </row>
    <row r="465">
      <c r="A465" t="inlineStr">
        <is>
          <t>RA44890</t>
        </is>
      </c>
      <c r="B465" t="inlineStr">
        <is>
          <t>Banksia Plan Co</t>
        </is>
      </c>
      <c r="C465" s="5" t="n">
        <v>46223</v>
      </c>
      <c r="D465" t="inlineStr">
        <is>
          <t>INV/2026/02136</t>
        </is>
      </c>
      <c r="E465" s="9" t="n">
        <v>349.18</v>
      </c>
      <c r="F465" s="9" t="n">
        <v>349.18</v>
      </c>
      <c r="G465" s="9">
        <f>ROUND(E465-F465,2)</f>
        <v>0</v>
      </c>
    </row>
    <row r="466">
      <c r="A466" t="inlineStr">
        <is>
          <t>RA44890</t>
        </is>
      </c>
      <c r="B466" t="inlineStr">
        <is>
          <t>Banksia Plan Co</t>
        </is>
      </c>
      <c r="C466" s="5" t="n">
        <v>46223</v>
      </c>
      <c r="D466" t="inlineStr">
        <is>
          <t>INV/2026/02137</t>
        </is>
      </c>
      <c r="E466" s="9" t="n">
        <v>96.98999999999999</v>
      </c>
      <c r="F466" s="9" t="n">
        <v>96.98999999999999</v>
      </c>
      <c r="G466" s="9">
        <f>ROUND(E466-F466,2)</f>
        <v>0</v>
      </c>
    </row>
    <row r="467">
      <c r="A467" t="inlineStr">
        <is>
          <t>RA44890</t>
        </is>
      </c>
      <c r="B467" t="inlineStr">
        <is>
          <t>Banksia Plan Co</t>
        </is>
      </c>
      <c r="C467" s="5" t="n">
        <v>46223</v>
      </c>
      <c r="D467" t="inlineStr">
        <is>
          <t>INV/2026/02209</t>
        </is>
      </c>
      <c r="E467" s="9" t="n">
        <v>320.98</v>
      </c>
      <c r="F467" s="9" t="n">
        <v>320.98</v>
      </c>
      <c r="G467" s="9">
        <f>ROUND(E467-F467,2)</f>
        <v>0</v>
      </c>
    </row>
    <row r="468">
      <c r="A468" t="inlineStr">
        <is>
          <t>RA44891</t>
        </is>
      </c>
      <c r="B468" t="inlineStr">
        <is>
          <t>Kookaburra Plan Support</t>
        </is>
      </c>
      <c r="C468" s="5" t="n">
        <v>46223</v>
      </c>
      <c r="D468" t="inlineStr">
        <is>
          <t>INV/2026/01758</t>
        </is>
      </c>
      <c r="E468" s="9" t="n">
        <v>193.99</v>
      </c>
      <c r="F468" s="9" t="n">
        <v>193.99</v>
      </c>
      <c r="G468" s="9">
        <f>ROUND(E468-F468,2)</f>
        <v>0</v>
      </c>
    </row>
    <row r="469">
      <c r="A469" t="inlineStr">
        <is>
          <t>RA44891</t>
        </is>
      </c>
      <c r="B469" t="inlineStr">
        <is>
          <t>Kookaburra Plan Support</t>
        </is>
      </c>
      <c r="C469" s="5" t="n">
        <v>46223</v>
      </c>
      <c r="D469" t="inlineStr">
        <is>
          <t>INV/2026/01759</t>
        </is>
      </c>
      <c r="E469" s="9" t="n">
        <v>155.19</v>
      </c>
      <c r="F469" s="9" t="n">
        <v>155.19</v>
      </c>
      <c r="G469" s="9">
        <f>ROUND(E469-F469,2)</f>
        <v>0</v>
      </c>
    </row>
    <row r="470">
      <c r="A470" t="inlineStr">
        <is>
          <t>RA44891</t>
        </is>
      </c>
      <c r="B470" t="inlineStr">
        <is>
          <t>Kookaburra Plan Support</t>
        </is>
      </c>
      <c r="C470" s="5" t="n">
        <v>46223</v>
      </c>
      <c r="D470" t="inlineStr">
        <is>
          <t>INV/2026/01760</t>
        </is>
      </c>
      <c r="E470" s="9" t="n">
        <v>290.98</v>
      </c>
      <c r="F470" s="9" t="n">
        <v>290.98</v>
      </c>
      <c r="G470" s="9">
        <f>ROUND(E470-F470,2)</f>
        <v>0</v>
      </c>
    </row>
    <row r="471">
      <c r="A471" t="inlineStr">
        <is>
          <t>RA44891</t>
        </is>
      </c>
      <c r="B471" t="inlineStr">
        <is>
          <t>Kookaburra Plan Support</t>
        </is>
      </c>
      <c r="C471" s="5" t="n">
        <v>46223</v>
      </c>
      <c r="D471" t="inlineStr">
        <is>
          <t>INV/2026/01782</t>
        </is>
      </c>
      <c r="E471" s="9" t="n">
        <v>252.19</v>
      </c>
      <c r="F471" s="9" t="n">
        <v>252.19</v>
      </c>
      <c r="G471" s="9">
        <f>ROUND(E471-F471,2)</f>
        <v>0</v>
      </c>
    </row>
    <row r="472">
      <c r="A472" t="inlineStr">
        <is>
          <t>RA44891</t>
        </is>
      </c>
      <c r="B472" t="inlineStr">
        <is>
          <t>Kookaburra Plan Support</t>
        </is>
      </c>
      <c r="C472" s="5" t="n">
        <v>46223</v>
      </c>
      <c r="D472" t="inlineStr">
        <is>
          <t>INV/2026/01783</t>
        </is>
      </c>
      <c r="E472" s="9" t="n">
        <v>290.98</v>
      </c>
      <c r="F472" s="9" t="n">
        <v>290.98</v>
      </c>
      <c r="G472" s="9">
        <f>ROUND(E472-F472,2)</f>
        <v>0</v>
      </c>
    </row>
    <row r="473">
      <c r="A473" t="inlineStr">
        <is>
          <t>RA44891</t>
        </is>
      </c>
      <c r="B473" t="inlineStr">
        <is>
          <t>Kookaburra Plan Support</t>
        </is>
      </c>
      <c r="C473" s="5" t="n">
        <v>46223</v>
      </c>
      <c r="D473" t="inlineStr">
        <is>
          <t>INV/2026/01784</t>
        </is>
      </c>
      <c r="E473" s="9" t="n">
        <v>193.99</v>
      </c>
      <c r="F473" s="9" t="n">
        <v>193.99</v>
      </c>
      <c r="G473" s="9">
        <f>ROUND(E473-F473,2)</f>
        <v>0</v>
      </c>
    </row>
    <row r="474">
      <c r="A474" t="inlineStr">
        <is>
          <t>RA44891</t>
        </is>
      </c>
      <c r="B474" t="inlineStr">
        <is>
          <t>Kookaburra Plan Support</t>
        </is>
      </c>
      <c r="C474" s="5" t="n">
        <v>46223</v>
      </c>
      <c r="D474" t="inlineStr">
        <is>
          <t>INV/2026/01807</t>
        </is>
      </c>
      <c r="E474" s="9" t="n">
        <v>387.98</v>
      </c>
      <c r="F474" s="9" t="n">
        <v>387.98</v>
      </c>
      <c r="G474" s="9">
        <f>ROUND(E474-F474,2)</f>
        <v>0</v>
      </c>
    </row>
    <row r="475">
      <c r="A475" t="inlineStr">
        <is>
          <t>RA44891</t>
        </is>
      </c>
      <c r="B475" t="inlineStr">
        <is>
          <t>Kookaburra Plan Support</t>
        </is>
      </c>
      <c r="C475" s="5" t="n">
        <v>46223</v>
      </c>
      <c r="D475" t="inlineStr">
        <is>
          <t>INV/2026/01828</t>
        </is>
      </c>
      <c r="E475" s="9" t="n">
        <v>145.49</v>
      </c>
      <c r="F475" s="9" t="n">
        <v>145.49</v>
      </c>
      <c r="G475" s="9">
        <f>ROUND(E475-F475,2)</f>
        <v>0</v>
      </c>
    </row>
    <row r="476">
      <c r="A476" t="inlineStr">
        <is>
          <t>RA44891</t>
        </is>
      </c>
      <c r="B476" t="inlineStr">
        <is>
          <t>Kookaburra Plan Support</t>
        </is>
      </c>
      <c r="C476" s="5" t="n">
        <v>46223</v>
      </c>
      <c r="D476" t="inlineStr">
        <is>
          <t>INV/2026/01854</t>
        </is>
      </c>
      <c r="E476" s="9" t="n">
        <v>203.69</v>
      </c>
      <c r="F476" s="9" t="n">
        <v>203.69</v>
      </c>
      <c r="G476" s="9">
        <f>ROUND(E476-F476,2)</f>
        <v>0</v>
      </c>
    </row>
    <row r="477">
      <c r="A477" t="inlineStr">
        <is>
          <t>RA44891</t>
        </is>
      </c>
      <c r="B477" t="inlineStr">
        <is>
          <t>Kookaburra Plan Support</t>
        </is>
      </c>
      <c r="C477" s="5" t="n">
        <v>46223</v>
      </c>
      <c r="D477" t="inlineStr">
        <is>
          <t>INV/2026/01855</t>
        </is>
      </c>
      <c r="E477" s="9" t="n">
        <v>193.99</v>
      </c>
      <c r="F477" s="9" t="n">
        <v>193.99</v>
      </c>
      <c r="G477" s="9">
        <f>ROUND(E477-F477,2)</f>
        <v>0</v>
      </c>
    </row>
    <row r="478">
      <c r="A478" t="inlineStr">
        <is>
          <t>RA44891</t>
        </is>
      </c>
      <c r="B478" t="inlineStr">
        <is>
          <t>Kookaburra Plan Support</t>
        </is>
      </c>
      <c r="C478" s="5" t="n">
        <v>46223</v>
      </c>
      <c r="D478" t="inlineStr">
        <is>
          <t>INV/2026/01882</t>
        </is>
      </c>
      <c r="E478" s="9" t="n">
        <v>155.19</v>
      </c>
      <c r="F478" s="9" t="n">
        <v>155.19</v>
      </c>
      <c r="G478" s="9">
        <f>ROUND(E478-F478,2)</f>
        <v>0</v>
      </c>
    </row>
    <row r="479">
      <c r="A479" t="inlineStr">
        <is>
          <t>RA44891</t>
        </is>
      </c>
      <c r="B479" t="inlineStr">
        <is>
          <t>Kookaburra Plan Support</t>
        </is>
      </c>
      <c r="C479" s="5" t="n">
        <v>46223</v>
      </c>
      <c r="D479" t="inlineStr">
        <is>
          <t>INV/2026/01883</t>
        </is>
      </c>
      <c r="E479" s="9" t="n">
        <v>387.98</v>
      </c>
      <c r="F479" s="9" t="n">
        <v>387.98</v>
      </c>
      <c r="G479" s="9">
        <f>ROUND(E479-F479,2)</f>
        <v>0</v>
      </c>
    </row>
    <row r="480">
      <c r="A480" t="inlineStr">
        <is>
          <t>RA44892</t>
        </is>
      </c>
      <c r="B480" t="inlineStr">
        <is>
          <t>Redgum Plan Admin</t>
        </is>
      </c>
      <c r="C480" s="5" t="n">
        <v>46223</v>
      </c>
      <c r="D480" t="inlineStr">
        <is>
          <t>INV/2026/02123</t>
        </is>
      </c>
      <c r="E480" s="9" t="n">
        <v>272.49</v>
      </c>
      <c r="F480" s="9" t="n">
        <v>272.49</v>
      </c>
      <c r="G480" s="9">
        <f>ROUND(E480-F480,2)</f>
        <v>0</v>
      </c>
    </row>
    <row r="481">
      <c r="A481" t="inlineStr">
        <is>
          <t>RA44892</t>
        </is>
      </c>
      <c r="B481" t="inlineStr">
        <is>
          <t>Redgum Plan Admin</t>
        </is>
      </c>
      <c r="C481" s="5" t="n">
        <v>46223</v>
      </c>
      <c r="D481" t="inlineStr">
        <is>
          <t>INV/2026/02142</t>
        </is>
      </c>
      <c r="E481" s="9" t="n">
        <v>96.98999999999999</v>
      </c>
      <c r="F481" s="9" t="n">
        <v>96.98999999999999</v>
      </c>
      <c r="G481" s="9">
        <f>ROUND(E481-F481,2)</f>
        <v>0</v>
      </c>
    </row>
    <row r="482">
      <c r="A482" t="inlineStr">
        <is>
          <t>RA44892</t>
        </is>
      </c>
      <c r="B482" t="inlineStr">
        <is>
          <t>Redgum Plan Admin</t>
        </is>
      </c>
      <c r="C482" s="5" t="n">
        <v>46223</v>
      </c>
      <c r="D482" t="inlineStr">
        <is>
          <t>INV/2026/02143</t>
        </is>
      </c>
      <c r="E482" s="9" t="n">
        <v>155.19</v>
      </c>
      <c r="F482" s="9" t="n">
        <v>155.19</v>
      </c>
      <c r="G482" s="9">
        <f>ROUND(E482-F482,2)</f>
        <v>0</v>
      </c>
    </row>
    <row r="483">
      <c r="A483" t="inlineStr">
        <is>
          <t>RA44892</t>
        </is>
      </c>
      <c r="B483" t="inlineStr">
        <is>
          <t>Redgum Plan Admin</t>
        </is>
      </c>
      <c r="C483" s="5" t="n">
        <v>46223</v>
      </c>
      <c r="D483" t="inlineStr">
        <is>
          <t>INV/2026/02169</t>
        </is>
      </c>
      <c r="E483" s="9" t="n">
        <v>96.98999999999999</v>
      </c>
      <c r="F483" s="9" t="n">
        <v>96.98999999999999</v>
      </c>
      <c r="G483" s="9">
        <f>ROUND(E483-F483,2)</f>
        <v>0</v>
      </c>
    </row>
    <row r="484">
      <c r="A484" t="inlineStr">
        <is>
          <t>RA44892</t>
        </is>
      </c>
      <c r="B484" t="inlineStr">
        <is>
          <t>Redgum Plan Admin</t>
        </is>
      </c>
      <c r="C484" s="5" t="n">
        <v>46223</v>
      </c>
      <c r="D484" t="inlineStr">
        <is>
          <t>INV/2026/02217</t>
        </is>
      </c>
      <c r="E484" s="9" t="n">
        <v>417.98</v>
      </c>
      <c r="F484" s="9" t="n">
        <v>417.98</v>
      </c>
      <c r="G484" s="9">
        <f>ROUND(E484-F484,2)</f>
        <v>0</v>
      </c>
    </row>
    <row r="485">
      <c r="A485" t="inlineStr">
        <is>
          <t>RA44893</t>
        </is>
      </c>
      <c r="B485" t="inlineStr">
        <is>
          <t>Lyrebird Plan Management</t>
        </is>
      </c>
      <c r="C485" s="5" t="n">
        <v>46223</v>
      </c>
      <c r="D485" t="inlineStr">
        <is>
          <t>INV/2026/01961</t>
        </is>
      </c>
      <c r="E485" s="9" t="n">
        <v>193.99</v>
      </c>
      <c r="F485" s="9" t="n">
        <v>193.99</v>
      </c>
      <c r="G485" s="9">
        <f>ROUND(E485-F485,2)</f>
        <v>0</v>
      </c>
    </row>
    <row r="486">
      <c r="A486" t="inlineStr">
        <is>
          <t>RA44893</t>
        </is>
      </c>
      <c r="B486" t="inlineStr">
        <is>
          <t>Lyrebird Plan Management</t>
        </is>
      </c>
      <c r="C486" s="5" t="n">
        <v>46223</v>
      </c>
      <c r="D486" t="inlineStr">
        <is>
          <t>INV/2026/02010</t>
        </is>
      </c>
      <c r="E486" s="9" t="n">
        <v>446.18</v>
      </c>
      <c r="F486" s="9" t="n">
        <v>446.18</v>
      </c>
      <c r="G486" s="9">
        <f>ROUND(E486-F486,2)</f>
        <v>0</v>
      </c>
    </row>
    <row r="487">
      <c r="A487" t="inlineStr">
        <is>
          <t>RA44893</t>
        </is>
      </c>
      <c r="B487" t="inlineStr">
        <is>
          <t>Lyrebird Plan Management</t>
        </is>
      </c>
      <c r="C487" s="5" t="n">
        <v>46223</v>
      </c>
      <c r="D487" t="inlineStr">
        <is>
          <t>INV/2026/02011</t>
        </is>
      </c>
      <c r="E487" s="9" t="n">
        <v>145.49</v>
      </c>
      <c r="F487" s="9" t="n">
        <v>145.49</v>
      </c>
      <c r="G487" s="9">
        <f>ROUND(E487-F487,2)</f>
        <v>0</v>
      </c>
    </row>
    <row r="488">
      <c r="A488" t="inlineStr">
        <is>
          <t>RA44894</t>
        </is>
      </c>
      <c r="B488" t="inlineStr">
        <is>
          <t>Tallowwood Plans</t>
        </is>
      </c>
      <c r="C488" s="5" t="n">
        <v>46223</v>
      </c>
      <c r="D488" t="inlineStr">
        <is>
          <t>INV/2026/02126</t>
        </is>
      </c>
      <c r="E488" s="9" t="n">
        <v>272.49</v>
      </c>
      <c r="F488" s="9" t="n">
        <v>272.49</v>
      </c>
      <c r="G488" s="9">
        <f>ROUND(E488-F488,2)</f>
        <v>0</v>
      </c>
    </row>
    <row r="489">
      <c r="A489" t="inlineStr">
        <is>
          <t>RA44894</t>
        </is>
      </c>
      <c r="B489" t="inlineStr">
        <is>
          <t>Tallowwood Plans</t>
        </is>
      </c>
      <c r="C489" s="5" t="n">
        <v>46223</v>
      </c>
      <c r="D489" t="inlineStr">
        <is>
          <t>INV/2026/02148</t>
        </is>
      </c>
      <c r="E489" s="9" t="n">
        <v>145.49</v>
      </c>
      <c r="F489" s="9" t="n">
        <v>145.49</v>
      </c>
      <c r="G489" s="9">
        <f>ROUND(E489-F489,2)</f>
        <v>0</v>
      </c>
    </row>
    <row r="490">
      <c r="A490" t="inlineStr">
        <is>
          <t>RA44894</t>
        </is>
      </c>
      <c r="B490" t="inlineStr">
        <is>
          <t>Tallowwood Plans</t>
        </is>
      </c>
      <c r="C490" s="5" t="n">
        <v>46223</v>
      </c>
      <c r="D490" t="inlineStr">
        <is>
          <t>INV/2026/02175</t>
        </is>
      </c>
      <c r="E490" s="9" t="n">
        <v>290.98</v>
      </c>
      <c r="F490" s="9" t="n">
        <v>290.98</v>
      </c>
      <c r="G490" s="9">
        <f>ROUND(E490-F490,2)</f>
        <v>0</v>
      </c>
    </row>
    <row r="491">
      <c r="A491" t="inlineStr">
        <is>
          <t>RA44895</t>
        </is>
      </c>
      <c r="B491" t="inlineStr">
        <is>
          <t>Bluegum Plan Management</t>
        </is>
      </c>
      <c r="C491" s="5" t="n">
        <v>46224</v>
      </c>
      <c r="D491" t="inlineStr">
        <is>
          <t>INV/2026/01687</t>
        </is>
      </c>
      <c r="E491" s="9" t="n">
        <v>193.99</v>
      </c>
      <c r="F491" s="9" t="n">
        <v>193.99</v>
      </c>
      <c r="G491" s="9">
        <f>ROUND(E491-F491,2)</f>
        <v>0</v>
      </c>
    </row>
    <row r="492">
      <c r="A492" t="inlineStr">
        <is>
          <t>RA44895</t>
        </is>
      </c>
      <c r="B492" t="inlineStr">
        <is>
          <t>Bluegum Plan Management</t>
        </is>
      </c>
      <c r="C492" s="5" t="n">
        <v>46224</v>
      </c>
      <c r="D492" t="inlineStr">
        <is>
          <t>INV/2026/01706</t>
        </is>
      </c>
      <c r="E492" s="9" t="n">
        <v>272.49</v>
      </c>
      <c r="F492" s="9" t="n">
        <v>272.49</v>
      </c>
      <c r="G492" s="9">
        <f>ROUND(E492-F492,2)</f>
        <v>0</v>
      </c>
    </row>
    <row r="493">
      <c r="A493" t="inlineStr">
        <is>
          <t>RA44895</t>
        </is>
      </c>
      <c r="B493" t="inlineStr">
        <is>
          <t>Bluegum Plan Management</t>
        </is>
      </c>
      <c r="C493" s="5" t="n">
        <v>46224</v>
      </c>
      <c r="D493" t="inlineStr">
        <is>
          <t>INV/2026/01747</t>
        </is>
      </c>
      <c r="E493" s="9" t="n">
        <v>193.99</v>
      </c>
      <c r="F493" s="9" t="n">
        <v>193.99</v>
      </c>
      <c r="G493" s="9">
        <f>ROUND(E493-F493,2)</f>
        <v>0</v>
      </c>
    </row>
    <row r="494">
      <c r="A494" t="inlineStr">
        <is>
          <t>RA44896</t>
        </is>
      </c>
      <c r="B494" t="inlineStr">
        <is>
          <t>Riverbend Plan Partners</t>
        </is>
      </c>
      <c r="C494" s="5" t="n">
        <v>46224</v>
      </c>
      <c r="D494" t="inlineStr">
        <is>
          <t>INV/2026/02108</t>
        </is>
      </c>
      <c r="E494" s="9" t="n">
        <v>252.19</v>
      </c>
      <c r="F494" s="9" t="n">
        <v>252.19</v>
      </c>
      <c r="G494" s="9">
        <f>ROUND(E494-F494,2)</f>
        <v>0</v>
      </c>
    </row>
    <row r="495">
      <c r="A495" t="inlineStr">
        <is>
          <t>RA44896</t>
        </is>
      </c>
      <c r="B495" t="inlineStr">
        <is>
          <t>Riverbend Plan Partners</t>
        </is>
      </c>
      <c r="C495" s="5" t="n">
        <v>46224</v>
      </c>
      <c r="D495" t="inlineStr">
        <is>
          <t>INV/2026/02109</t>
        </is>
      </c>
      <c r="E495" s="9" t="n">
        <v>145.49</v>
      </c>
      <c r="F495" s="9" t="n">
        <v>145.49</v>
      </c>
      <c r="G495" s="9">
        <f>ROUND(E495-F495,2)</f>
        <v>0</v>
      </c>
    </row>
    <row r="496">
      <c r="A496" t="inlineStr">
        <is>
          <t>RA44896</t>
        </is>
      </c>
      <c r="B496" t="inlineStr">
        <is>
          <t>Riverbend Plan Partners</t>
        </is>
      </c>
      <c r="C496" s="5" t="n">
        <v>46224</v>
      </c>
      <c r="D496" t="inlineStr">
        <is>
          <t>INV/2026/02110</t>
        </is>
      </c>
      <c r="E496" s="9" t="n">
        <v>417.98</v>
      </c>
      <c r="F496" s="9" t="n">
        <v>417.98</v>
      </c>
      <c r="G496" s="9">
        <f>ROUND(E496-F496,2)</f>
        <v>0</v>
      </c>
    </row>
    <row r="497">
      <c r="A497" t="inlineStr">
        <is>
          <t>RA44896</t>
        </is>
      </c>
      <c r="B497" t="inlineStr">
        <is>
          <t>Riverbend Plan Partners</t>
        </is>
      </c>
      <c r="C497" s="5" t="n">
        <v>46224</v>
      </c>
      <c r="D497" t="inlineStr">
        <is>
          <t>INV/2026/02132</t>
        </is>
      </c>
      <c r="E497" s="9" t="n">
        <v>96.98999999999999</v>
      </c>
      <c r="F497" s="9" t="n">
        <v>96.98999999999999</v>
      </c>
      <c r="G497" s="9">
        <f>ROUND(E497-F497,2)</f>
        <v>0</v>
      </c>
    </row>
    <row r="498">
      <c r="A498" t="inlineStr">
        <is>
          <t>RA44896</t>
        </is>
      </c>
      <c r="B498" t="inlineStr">
        <is>
          <t>Riverbend Plan Partners</t>
        </is>
      </c>
      <c r="C498" s="5" t="n">
        <v>46224</v>
      </c>
      <c r="D498" t="inlineStr">
        <is>
          <t>INV/2026/02133</t>
        </is>
      </c>
      <c r="E498" s="9" t="n">
        <v>300.69</v>
      </c>
      <c r="F498" s="9" t="n">
        <v>300.69</v>
      </c>
      <c r="G498" s="9">
        <f>ROUND(E498-F498,2)</f>
        <v>0</v>
      </c>
    </row>
    <row r="499">
      <c r="A499" t="inlineStr">
        <is>
          <t>RA44896</t>
        </is>
      </c>
      <c r="B499" t="inlineStr">
        <is>
          <t>Riverbend Plan Partners</t>
        </is>
      </c>
      <c r="C499" s="5" t="n">
        <v>46224</v>
      </c>
      <c r="D499" t="inlineStr">
        <is>
          <t>INV/2026/02158</t>
        </is>
      </c>
      <c r="E499" s="9" t="n">
        <v>242.49</v>
      </c>
      <c r="F499" s="9" t="n">
        <v>242.49</v>
      </c>
      <c r="G499" s="9">
        <f>ROUND(E499-F499,2)</f>
        <v>0</v>
      </c>
    </row>
    <row r="500">
      <c r="A500" t="inlineStr">
        <is>
          <t>RA44897</t>
        </is>
      </c>
      <c r="B500" t="inlineStr">
        <is>
          <t>Clearpath NDIS Plans</t>
        </is>
      </c>
      <c r="C500" s="5" t="n">
        <v>46224</v>
      </c>
      <c r="D500" t="inlineStr">
        <is>
          <t>INV/2026/02041</t>
        </is>
      </c>
      <c r="E500" s="9" t="n">
        <v>155.19</v>
      </c>
      <c r="F500" s="9" t="n">
        <v>155.19</v>
      </c>
      <c r="G500" s="9">
        <f>ROUND(E500-F500,2)</f>
        <v>0</v>
      </c>
    </row>
    <row r="501">
      <c r="A501" t="inlineStr">
        <is>
          <t>RA44897</t>
        </is>
      </c>
      <c r="B501" t="inlineStr">
        <is>
          <t>Clearpath NDIS Plans</t>
        </is>
      </c>
      <c r="C501" s="5" t="n">
        <v>46224</v>
      </c>
      <c r="D501" t="inlineStr">
        <is>
          <t>INV/2026/02042</t>
        </is>
      </c>
      <c r="E501" s="9" t="n">
        <v>290.98</v>
      </c>
      <c r="F501" s="9" t="n">
        <v>290.98</v>
      </c>
      <c r="G501" s="9">
        <f>ROUND(E501-F501,2)</f>
        <v>0</v>
      </c>
    </row>
    <row r="502">
      <c r="A502" t="inlineStr">
        <is>
          <t>RA44897</t>
        </is>
      </c>
      <c r="B502" t="inlineStr">
        <is>
          <t>Clearpath NDIS Plans</t>
        </is>
      </c>
      <c r="C502" s="5" t="n">
        <v>46224</v>
      </c>
      <c r="D502" t="inlineStr">
        <is>
          <t>INV/2026/02070</t>
        </is>
      </c>
      <c r="E502" s="9" t="n">
        <v>145.49</v>
      </c>
      <c r="F502" s="9" t="n">
        <v>145.49</v>
      </c>
      <c r="G502" s="9">
        <f>ROUND(E502-F502,2)</f>
        <v>0</v>
      </c>
    </row>
    <row r="503">
      <c r="A503" t="inlineStr">
        <is>
          <t>RA44897</t>
        </is>
      </c>
      <c r="B503" t="inlineStr">
        <is>
          <t>Clearpath NDIS Plans</t>
        </is>
      </c>
      <c r="C503" s="5" t="n">
        <v>46224</v>
      </c>
      <c r="D503" t="inlineStr">
        <is>
          <t>INV/2026/02071</t>
        </is>
      </c>
      <c r="E503" s="9" t="n">
        <v>300.69</v>
      </c>
      <c r="F503" s="9" t="n">
        <v>300.69</v>
      </c>
      <c r="G503" s="9">
        <f>ROUND(E503-F503,2)</f>
        <v>0</v>
      </c>
    </row>
    <row r="504">
      <c r="A504" t="inlineStr">
        <is>
          <t>RA44897</t>
        </is>
      </c>
      <c r="B504" t="inlineStr">
        <is>
          <t>Clearpath NDIS Plans</t>
        </is>
      </c>
      <c r="C504" s="5" t="n">
        <v>46224</v>
      </c>
      <c r="D504" t="inlineStr">
        <is>
          <t>INV/2026/02091</t>
        </is>
      </c>
      <c r="E504" s="9" t="n">
        <v>242.49</v>
      </c>
      <c r="F504" s="9" t="n">
        <v>242.49</v>
      </c>
      <c r="G504" s="9">
        <f>ROUND(E504-F504,2)</f>
        <v>0</v>
      </c>
    </row>
    <row r="505">
      <c r="A505" t="inlineStr">
        <is>
          <t>RA44897</t>
        </is>
      </c>
      <c r="B505" t="inlineStr">
        <is>
          <t>Clearpath NDIS Plans</t>
        </is>
      </c>
      <c r="C505" s="5" t="n">
        <v>46224</v>
      </c>
      <c r="D505" t="inlineStr">
        <is>
          <t>INV/2026/02092</t>
        </is>
      </c>
      <c r="E505" s="9" t="n">
        <v>126.99</v>
      </c>
      <c r="F505" s="9" t="n">
        <v>126.99</v>
      </c>
      <c r="G505" s="9">
        <f>ROUND(E505-F505,2)</f>
        <v>0</v>
      </c>
    </row>
    <row r="506">
      <c r="A506" t="inlineStr">
        <is>
          <t>RA44897</t>
        </is>
      </c>
      <c r="B506" t="inlineStr">
        <is>
          <t>Clearpath NDIS Plans</t>
        </is>
      </c>
      <c r="C506" s="5" t="n">
        <v>46224</v>
      </c>
      <c r="D506" t="inlineStr">
        <is>
          <t>INV/2026/02111</t>
        </is>
      </c>
      <c r="E506" s="9" t="n">
        <v>193.99</v>
      </c>
      <c r="F506" s="9" t="n">
        <v>193.99</v>
      </c>
      <c r="G506" s="9">
        <f>ROUND(E506-F506,2)</f>
        <v>0</v>
      </c>
    </row>
    <row r="507">
      <c r="A507" t="inlineStr">
        <is>
          <t>RA44897</t>
        </is>
      </c>
      <c r="B507" t="inlineStr">
        <is>
          <t>Clearpath NDIS Plans</t>
        </is>
      </c>
      <c r="C507" s="5" t="n">
        <v>46224</v>
      </c>
      <c r="D507" t="inlineStr">
        <is>
          <t>INV/2026/02112</t>
        </is>
      </c>
      <c r="E507" s="9" t="n">
        <v>446.18</v>
      </c>
      <c r="F507" s="9" t="n">
        <v>446.18</v>
      </c>
      <c r="G507" s="9">
        <f>ROUND(E507-F507,2)</f>
        <v>0</v>
      </c>
    </row>
    <row r="508">
      <c r="A508" t="inlineStr">
        <is>
          <t>RA44897</t>
        </is>
      </c>
      <c r="B508" t="inlineStr">
        <is>
          <t>Clearpath NDIS Plans</t>
        </is>
      </c>
      <c r="C508" s="5" t="n">
        <v>46224</v>
      </c>
      <c r="D508" t="inlineStr">
        <is>
          <t>INV/2026/02159</t>
        </is>
      </c>
      <c r="E508" s="9" t="n">
        <v>387.98</v>
      </c>
      <c r="F508" s="9" t="n">
        <v>387.98</v>
      </c>
      <c r="G508" s="9">
        <f>ROUND(E508-F508,2)</f>
        <v>0</v>
      </c>
    </row>
    <row r="509">
      <c r="A509" t="inlineStr">
        <is>
          <t>RA44897</t>
        </is>
      </c>
      <c r="B509" t="inlineStr">
        <is>
          <t>Clearpath NDIS Plans</t>
        </is>
      </c>
      <c r="C509" s="5" t="n">
        <v>46224</v>
      </c>
      <c r="D509" t="inlineStr">
        <is>
          <t>INV/2026/02185</t>
        </is>
      </c>
      <c r="E509" s="9" t="n">
        <v>242.49</v>
      </c>
      <c r="F509" s="9" t="n">
        <v>242.49</v>
      </c>
      <c r="G509" s="9">
        <f>ROUND(E509-F509,2)</f>
        <v>0</v>
      </c>
    </row>
    <row r="510">
      <c r="A510" t="inlineStr">
        <is>
          <t>RA44897</t>
        </is>
      </c>
      <c r="B510" t="inlineStr">
        <is>
          <t>Clearpath NDIS Plans</t>
        </is>
      </c>
      <c r="C510" s="5" t="n">
        <v>46224</v>
      </c>
      <c r="D510" t="inlineStr">
        <is>
          <t>INV/2026/02186</t>
        </is>
      </c>
      <c r="E510" s="9" t="n">
        <v>290.98</v>
      </c>
      <c r="F510" s="9" t="n">
        <v>290.98</v>
      </c>
      <c r="G510" s="9">
        <f>ROUND(E510-F510,2)</f>
        <v>0</v>
      </c>
    </row>
    <row r="511">
      <c r="A511" t="inlineStr">
        <is>
          <t>RA44897</t>
        </is>
      </c>
      <c r="B511" t="inlineStr">
        <is>
          <t>Clearpath NDIS Plans</t>
        </is>
      </c>
      <c r="C511" s="5" t="n">
        <v>46224</v>
      </c>
      <c r="D511" t="inlineStr">
        <is>
          <t>INV/2026/02187</t>
        </is>
      </c>
      <c r="E511" s="9" t="n">
        <v>320.98</v>
      </c>
      <c r="F511" s="9" t="n">
        <v>320.98</v>
      </c>
      <c r="G511" s="9">
        <f>ROUND(E511-F511,2)</f>
        <v>0</v>
      </c>
    </row>
    <row r="512">
      <c r="A512" t="inlineStr">
        <is>
          <t>RA44898</t>
        </is>
      </c>
      <c r="B512" t="inlineStr">
        <is>
          <t>Wattle Plan Services</t>
        </is>
      </c>
      <c r="C512" s="5" t="n">
        <v>46224</v>
      </c>
      <c r="D512" t="inlineStr">
        <is>
          <t>INV/2026/01733</t>
        </is>
      </c>
      <c r="E512" s="9" t="n">
        <v>145.49</v>
      </c>
      <c r="F512" s="9" t="n">
        <v>145.49</v>
      </c>
      <c r="G512" s="9">
        <f>ROUND(E512-F512,2)</f>
        <v>0</v>
      </c>
    </row>
    <row r="513">
      <c r="A513" t="inlineStr">
        <is>
          <t>RA44898</t>
        </is>
      </c>
      <c r="B513" t="inlineStr">
        <is>
          <t>Wattle Plan Services</t>
        </is>
      </c>
      <c r="C513" s="5" t="n">
        <v>46224</v>
      </c>
      <c r="D513" t="inlineStr">
        <is>
          <t>INV/2026/01751</t>
        </is>
      </c>
      <c r="E513" s="9" t="n">
        <v>290.98</v>
      </c>
      <c r="F513" s="9" t="n">
        <v>290.98</v>
      </c>
      <c r="G513" s="9">
        <f>ROUND(E513-F513,2)</f>
        <v>0</v>
      </c>
    </row>
    <row r="514">
      <c r="A514" t="inlineStr">
        <is>
          <t>RA44898</t>
        </is>
      </c>
      <c r="B514" t="inlineStr">
        <is>
          <t>Wattle Plan Services</t>
        </is>
      </c>
      <c r="C514" s="5" t="n">
        <v>46224</v>
      </c>
      <c r="D514" t="inlineStr">
        <is>
          <t>INV/2026/01752</t>
        </is>
      </c>
      <c r="E514" s="9" t="n">
        <v>96.98999999999999</v>
      </c>
      <c r="F514" s="9" t="n">
        <v>96.98999999999999</v>
      </c>
      <c r="G514" s="9">
        <f>ROUND(E514-F514,2)</f>
        <v>0</v>
      </c>
    </row>
    <row r="515">
      <c r="A515" t="inlineStr">
        <is>
          <t>RA44898</t>
        </is>
      </c>
      <c r="B515" t="inlineStr">
        <is>
          <t>Wattle Plan Services</t>
        </is>
      </c>
      <c r="C515" s="5" t="n">
        <v>46224</v>
      </c>
      <c r="D515" t="inlineStr">
        <is>
          <t>INV/2026/01753</t>
        </is>
      </c>
      <c r="E515" s="9" t="n">
        <v>193.99</v>
      </c>
      <c r="F515" s="9" t="n">
        <v>193.99</v>
      </c>
      <c r="G515" s="9">
        <f>ROUND(E515-F515,2)</f>
        <v>0</v>
      </c>
    </row>
    <row r="516">
      <c r="A516" t="inlineStr">
        <is>
          <t>RA44898</t>
        </is>
      </c>
      <c r="B516" t="inlineStr">
        <is>
          <t>Wattle Plan Services</t>
        </is>
      </c>
      <c r="C516" s="5" t="n">
        <v>46224</v>
      </c>
      <c r="D516" t="inlineStr">
        <is>
          <t>INV/2026/01777</t>
        </is>
      </c>
      <c r="E516" s="9" t="n">
        <v>349.18</v>
      </c>
      <c r="F516" s="9" t="n">
        <v>349.18</v>
      </c>
      <c r="G516" s="9">
        <f>ROUND(E516-F516,2)</f>
        <v>0</v>
      </c>
    </row>
    <row r="517">
      <c r="A517" t="inlineStr">
        <is>
          <t>RA44898</t>
        </is>
      </c>
      <c r="B517" t="inlineStr">
        <is>
          <t>Wattle Plan Services</t>
        </is>
      </c>
      <c r="C517" s="5" t="n">
        <v>46224</v>
      </c>
      <c r="D517" t="inlineStr">
        <is>
          <t>INV/2026/01778</t>
        </is>
      </c>
      <c r="E517" s="9" t="n">
        <v>290.98</v>
      </c>
      <c r="F517" s="9" t="n">
        <v>290.98</v>
      </c>
      <c r="G517" s="9">
        <f>ROUND(E517-F517,2)</f>
        <v>0</v>
      </c>
    </row>
    <row r="518">
      <c r="A518" t="inlineStr">
        <is>
          <t>RA44899</t>
        </is>
      </c>
      <c r="B518" t="inlineStr">
        <is>
          <t>Lyrebird Plan Management</t>
        </is>
      </c>
      <c r="C518" s="5" t="n">
        <v>46224</v>
      </c>
      <c r="D518" t="inlineStr">
        <is>
          <t>INV/2026/02031</t>
        </is>
      </c>
      <c r="E518" s="9" t="n">
        <v>193.99</v>
      </c>
      <c r="F518" s="9" t="n">
        <v>193.99</v>
      </c>
      <c r="G518" s="9">
        <f>ROUND(E518-F518,2)</f>
        <v>0</v>
      </c>
    </row>
    <row r="519">
      <c r="A519" t="inlineStr">
        <is>
          <t>RA44899</t>
        </is>
      </c>
      <c r="B519" t="inlineStr">
        <is>
          <t>Lyrebird Plan Management</t>
        </is>
      </c>
      <c r="C519" s="5" t="n">
        <v>46224</v>
      </c>
      <c r="D519" t="inlineStr">
        <is>
          <t>INV/2026/02055</t>
        </is>
      </c>
      <c r="E519" s="9" t="n">
        <v>175.49</v>
      </c>
      <c r="F519" s="9" t="n">
        <v>175.49</v>
      </c>
      <c r="G519" s="9">
        <f>ROUND(E519-F519,2)</f>
        <v>0</v>
      </c>
    </row>
    <row r="520">
      <c r="A520" t="inlineStr">
        <is>
          <t>RA44899</t>
        </is>
      </c>
      <c r="B520" t="inlineStr">
        <is>
          <t>Lyrebird Plan Management</t>
        </is>
      </c>
      <c r="C520" s="5" t="n">
        <v>46224</v>
      </c>
      <c r="D520" t="inlineStr">
        <is>
          <t>INV/2026/02056</t>
        </is>
      </c>
      <c r="E520" s="9" t="n">
        <v>96.98999999999999</v>
      </c>
      <c r="F520" s="9" t="n">
        <v>96.98999999999999</v>
      </c>
      <c r="G520" s="9">
        <f>ROUND(E520-F520,2)</f>
        <v>0</v>
      </c>
    </row>
    <row r="521">
      <c r="A521" t="inlineStr">
        <is>
          <t>RA44900</t>
        </is>
      </c>
      <c r="B521" t="inlineStr">
        <is>
          <t>Acacia Plan Partners</t>
        </is>
      </c>
      <c r="C521" s="5" t="n">
        <v>46224</v>
      </c>
      <c r="D521" t="inlineStr">
        <is>
          <t>INV/2026/01791</t>
        </is>
      </c>
      <c r="E521" s="9" t="n">
        <v>272.49</v>
      </c>
      <c r="F521" s="9" t="n">
        <v>272.49</v>
      </c>
      <c r="G521" s="9">
        <f>ROUND(E521-F521,2)</f>
        <v>0</v>
      </c>
    </row>
    <row r="522">
      <c r="A522" t="inlineStr">
        <is>
          <t>RA44900</t>
        </is>
      </c>
      <c r="B522" t="inlineStr">
        <is>
          <t>Acacia Plan Partners</t>
        </is>
      </c>
      <c r="C522" s="5" t="n">
        <v>46224</v>
      </c>
      <c r="D522" t="inlineStr">
        <is>
          <t>INV/2026/01820</t>
        </is>
      </c>
      <c r="E522" s="9" t="n">
        <v>300.69</v>
      </c>
      <c r="F522" s="9" t="n">
        <v>300.69</v>
      </c>
      <c r="G522" s="9">
        <f>ROUND(E522-F522,2)</f>
        <v>0</v>
      </c>
    </row>
    <row r="523">
      <c r="A523" t="inlineStr">
        <is>
          <t>RA44900</t>
        </is>
      </c>
      <c r="B523" t="inlineStr">
        <is>
          <t>Acacia Plan Partners</t>
        </is>
      </c>
      <c r="C523" s="5" t="n">
        <v>46224</v>
      </c>
      <c r="D523" t="inlineStr">
        <is>
          <t>INV/2026/01836</t>
        </is>
      </c>
      <c r="E523" s="9" t="n">
        <v>387.98</v>
      </c>
      <c r="F523" s="9" t="n">
        <v>387.98</v>
      </c>
      <c r="G523" s="9">
        <f>ROUND(E523-F523,2)</f>
        <v>0</v>
      </c>
    </row>
    <row r="524">
      <c r="A524" t="inlineStr">
        <is>
          <t>RA44900</t>
        </is>
      </c>
      <c r="B524" t="inlineStr">
        <is>
          <t>Acacia Plan Partners</t>
        </is>
      </c>
      <c r="C524" s="5" t="n">
        <v>46224</v>
      </c>
      <c r="D524" t="inlineStr">
        <is>
          <t>INV/2026/01837</t>
        </is>
      </c>
      <c r="E524" s="9" t="n">
        <v>145.49</v>
      </c>
      <c r="F524" s="9" t="n">
        <v>145.49</v>
      </c>
      <c r="G524" s="9">
        <f>ROUND(E524-F524,2)</f>
        <v>0</v>
      </c>
    </row>
    <row r="525">
      <c r="A525" t="inlineStr">
        <is>
          <t>RA44900</t>
        </is>
      </c>
      <c r="B525" t="inlineStr">
        <is>
          <t>Acacia Plan Partners</t>
        </is>
      </c>
      <c r="C525" s="5" t="n">
        <v>46224</v>
      </c>
      <c r="D525" t="inlineStr">
        <is>
          <t>INV/2026/01865</t>
        </is>
      </c>
      <c r="E525" s="9" t="n">
        <v>349.18</v>
      </c>
      <c r="F525" s="9" t="n">
        <v>349.18</v>
      </c>
      <c r="G525" s="9">
        <f>ROUND(E525-F525,2)</f>
        <v>0</v>
      </c>
    </row>
    <row r="526">
      <c r="A526" t="inlineStr">
        <is>
          <t>RA44900</t>
        </is>
      </c>
      <c r="B526" t="inlineStr">
        <is>
          <t>Acacia Plan Partners</t>
        </is>
      </c>
      <c r="C526" s="5" t="n">
        <v>46224</v>
      </c>
      <c r="D526" t="inlineStr">
        <is>
          <t>INV/2026/01866</t>
        </is>
      </c>
      <c r="E526" s="9" t="n">
        <v>272.49</v>
      </c>
      <c r="F526" s="9" t="n">
        <v>272.49</v>
      </c>
      <c r="G526" s="9">
        <f>ROUND(E526-F526,2)</f>
        <v>0</v>
      </c>
    </row>
    <row r="527">
      <c r="A527" t="inlineStr">
        <is>
          <t>RA44900</t>
        </is>
      </c>
      <c r="B527" t="inlineStr">
        <is>
          <t>Acacia Plan Partners</t>
        </is>
      </c>
      <c r="C527" s="5" t="n">
        <v>46224</v>
      </c>
      <c r="D527" t="inlineStr">
        <is>
          <t>INV/2026/01890</t>
        </is>
      </c>
      <c r="E527" s="9" t="n">
        <v>417.98</v>
      </c>
      <c r="F527" s="9" t="n">
        <v>417.98</v>
      </c>
      <c r="G527" s="9">
        <f>ROUND(E527-F527,2)</f>
        <v>0</v>
      </c>
    </row>
    <row r="528">
      <c r="A528" t="inlineStr">
        <is>
          <t>RA44900</t>
        </is>
      </c>
      <c r="B528" t="inlineStr">
        <is>
          <t>Acacia Plan Partners</t>
        </is>
      </c>
      <c r="C528" s="5" t="n">
        <v>46224</v>
      </c>
      <c r="D528" t="inlineStr">
        <is>
          <t>INV/2026/01911</t>
        </is>
      </c>
      <c r="E528" s="9" t="n">
        <v>96.98999999999999</v>
      </c>
      <c r="F528" s="9" t="n">
        <v>96.98999999999999</v>
      </c>
      <c r="G528" s="9">
        <f>ROUND(E528-F528,2)</f>
        <v>0</v>
      </c>
    </row>
    <row r="529">
      <c r="A529" t="inlineStr">
        <is>
          <t>RA44901</t>
        </is>
      </c>
      <c r="B529" t="inlineStr">
        <is>
          <t>Bluegum Plan Management</t>
        </is>
      </c>
      <c r="C529" s="5" t="n">
        <v>46225</v>
      </c>
      <c r="D529" t="inlineStr">
        <is>
          <t>INV/2026/01748</t>
        </is>
      </c>
      <c r="E529" s="9" t="n">
        <v>320.98</v>
      </c>
      <c r="F529" s="9" t="n">
        <v>320.98</v>
      </c>
      <c r="G529" s="9">
        <f>ROUND(E529-F529,2)</f>
        <v>0</v>
      </c>
    </row>
    <row r="530">
      <c r="A530" t="inlineStr">
        <is>
          <t>RA44901</t>
        </is>
      </c>
      <c r="B530" t="inlineStr">
        <is>
          <t>Bluegum Plan Management</t>
        </is>
      </c>
      <c r="C530" s="5" t="n">
        <v>46225</v>
      </c>
      <c r="D530" t="inlineStr">
        <is>
          <t>INV/2026/01795</t>
        </is>
      </c>
      <c r="E530" s="9" t="n">
        <v>175.49</v>
      </c>
      <c r="F530" s="9" t="n">
        <v>175.49</v>
      </c>
      <c r="G530" s="9">
        <f>ROUND(E530-F530,2)</f>
        <v>0</v>
      </c>
    </row>
    <row r="531">
      <c r="A531" t="inlineStr">
        <is>
          <t>RA44902</t>
        </is>
      </c>
      <c r="B531" t="inlineStr">
        <is>
          <t>Riverbend Plan Partners</t>
        </is>
      </c>
      <c r="C531" s="5" t="n">
        <v>46225</v>
      </c>
      <c r="D531" t="inlineStr">
        <is>
          <t>INV/2026/02183</t>
        </is>
      </c>
      <c r="E531" s="9" t="n">
        <v>252.19</v>
      </c>
      <c r="F531" s="9" t="n">
        <v>252.19</v>
      </c>
      <c r="G531" s="9">
        <f>ROUND(E531-F531,2)</f>
        <v>0</v>
      </c>
    </row>
    <row r="532">
      <c r="A532" t="inlineStr">
        <is>
          <t>RA44902</t>
        </is>
      </c>
      <c r="B532" t="inlineStr">
        <is>
          <t>Riverbend Plan Partners</t>
        </is>
      </c>
      <c r="C532" s="5" t="n">
        <v>46225</v>
      </c>
      <c r="D532" t="inlineStr">
        <is>
          <t>INV/2026/02184</t>
        </is>
      </c>
      <c r="E532" s="9" t="n">
        <v>290.98</v>
      </c>
      <c r="F532" s="9" t="n">
        <v>290.98</v>
      </c>
      <c r="G532" s="9">
        <f>ROUND(E532-F532,2)</f>
        <v>0</v>
      </c>
    </row>
    <row r="533">
      <c r="A533" t="inlineStr">
        <is>
          <t>RA44902</t>
        </is>
      </c>
      <c r="B533" t="inlineStr">
        <is>
          <t>Riverbend Plan Partners</t>
        </is>
      </c>
      <c r="C533" s="5" t="n">
        <v>46225</v>
      </c>
      <c r="D533" t="inlineStr">
        <is>
          <t>INV/2026/02204</t>
        </is>
      </c>
      <c r="E533" s="9" t="n">
        <v>155.19</v>
      </c>
      <c r="F533" s="9" t="n">
        <v>155.19</v>
      </c>
      <c r="G533" s="9">
        <f>ROUND(E533-F533,2)</f>
        <v>0</v>
      </c>
    </row>
    <row r="534">
      <c r="A534" t="inlineStr">
        <is>
          <t>RA44903</t>
        </is>
      </c>
      <c r="B534" t="inlineStr">
        <is>
          <t>Clearpath NDIS Plans</t>
        </is>
      </c>
      <c r="C534" s="5" t="n">
        <v>46225</v>
      </c>
      <c r="D534" t="inlineStr">
        <is>
          <t>INV/2026/02206</t>
        </is>
      </c>
      <c r="E534" s="9" t="n">
        <v>290.98</v>
      </c>
      <c r="F534" s="9" t="n">
        <v>290.98</v>
      </c>
      <c r="G534" s="9">
        <f>ROUND(E534-F534,2)</f>
        <v>0</v>
      </c>
    </row>
    <row r="535">
      <c r="A535" t="inlineStr">
        <is>
          <t>RA44904</t>
        </is>
      </c>
      <c r="B535" t="inlineStr">
        <is>
          <t>Ironbark Plan Management</t>
        </is>
      </c>
      <c r="C535" s="5" t="n">
        <v>46225</v>
      </c>
      <c r="D535" t="inlineStr">
        <is>
          <t>INV/2026/01827</t>
        </is>
      </c>
      <c r="E535" s="9" t="n">
        <v>349.18</v>
      </c>
      <c r="F535" s="9" t="n">
        <v>349.18</v>
      </c>
      <c r="G535" s="9">
        <f>ROUND(E535-F535,2)</f>
        <v>0</v>
      </c>
    </row>
    <row r="536">
      <c r="A536" t="inlineStr">
        <is>
          <t>RA44904</t>
        </is>
      </c>
      <c r="B536" t="inlineStr">
        <is>
          <t>Ironbark Plan Management</t>
        </is>
      </c>
      <c r="C536" s="5" t="n">
        <v>46225</v>
      </c>
      <c r="D536" t="inlineStr">
        <is>
          <t>INV/2026/01852</t>
        </is>
      </c>
      <c r="E536" s="9" t="n">
        <v>145.49</v>
      </c>
      <c r="F536" s="9" t="n">
        <v>145.49</v>
      </c>
      <c r="G536" s="9">
        <f>ROUND(E536-F536,2)</f>
        <v>0</v>
      </c>
    </row>
    <row r="537">
      <c r="A537" t="inlineStr">
        <is>
          <t>RA44904</t>
        </is>
      </c>
      <c r="B537" t="inlineStr">
        <is>
          <t>Ironbark Plan Management</t>
        </is>
      </c>
      <c r="C537" s="5" t="n">
        <v>46225</v>
      </c>
      <c r="D537" t="inlineStr">
        <is>
          <t>INV/2026/01853</t>
        </is>
      </c>
      <c r="E537" s="9" t="n">
        <v>145.49</v>
      </c>
      <c r="F537" s="9" t="n">
        <v>145.49</v>
      </c>
      <c r="G537" s="9">
        <f>ROUND(E537-F537,2)</f>
        <v>0</v>
      </c>
    </row>
    <row r="538">
      <c r="A538" t="inlineStr">
        <is>
          <t>RA44904</t>
        </is>
      </c>
      <c r="B538" t="inlineStr">
        <is>
          <t>Ironbark Plan Management</t>
        </is>
      </c>
      <c r="C538" s="5" t="n">
        <v>46225</v>
      </c>
      <c r="D538" t="inlineStr">
        <is>
          <t>INV/2026/01881</t>
        </is>
      </c>
      <c r="E538" s="9" t="n">
        <v>272.49</v>
      </c>
      <c r="F538" s="9" t="n">
        <v>272.49</v>
      </c>
      <c r="G538" s="9">
        <f>ROUND(E538-F538,2)</f>
        <v>0</v>
      </c>
    </row>
    <row r="539">
      <c r="A539" t="inlineStr">
        <is>
          <t>RA44904</t>
        </is>
      </c>
      <c r="B539" t="inlineStr">
        <is>
          <t>Ironbark Plan Management</t>
        </is>
      </c>
      <c r="C539" s="5" t="n">
        <v>46225</v>
      </c>
      <c r="D539" t="inlineStr">
        <is>
          <t>INV/2026/01901</t>
        </is>
      </c>
      <c r="E539" s="9" t="n">
        <v>290.98</v>
      </c>
      <c r="F539" s="9" t="n">
        <v>290.98</v>
      </c>
      <c r="G539" s="9">
        <f>ROUND(E539-F539,2)</f>
        <v>0</v>
      </c>
    </row>
    <row r="540">
      <c r="A540" t="inlineStr">
        <is>
          <t>RA44904</t>
        </is>
      </c>
      <c r="B540" t="inlineStr">
        <is>
          <t>Ironbark Plan Management</t>
        </is>
      </c>
      <c r="C540" s="5" t="n">
        <v>46225</v>
      </c>
      <c r="D540" t="inlineStr">
        <is>
          <t>INV/2026/01923</t>
        </is>
      </c>
      <c r="E540" s="9" t="n">
        <v>300.69</v>
      </c>
      <c r="F540" s="9" t="n">
        <v>300.69</v>
      </c>
      <c r="G540" s="9">
        <f>ROUND(E540-F540,2)</f>
        <v>0</v>
      </c>
    </row>
    <row r="541">
      <c r="A541" t="inlineStr">
        <is>
          <t>RA44904</t>
        </is>
      </c>
      <c r="B541" t="inlineStr">
        <is>
          <t>Ironbark Plan Management</t>
        </is>
      </c>
      <c r="C541" s="5" t="n">
        <v>46225</v>
      </c>
      <c r="D541" t="inlineStr">
        <is>
          <t>INV/2026/01980</t>
        </is>
      </c>
      <c r="E541" s="9" t="n">
        <v>272.49</v>
      </c>
      <c r="F541" s="9" t="n">
        <v>272.49</v>
      </c>
      <c r="G541" s="9">
        <f>ROUND(E541-F541,2)</f>
        <v>0</v>
      </c>
    </row>
    <row r="542">
      <c r="A542" t="inlineStr">
        <is>
          <t>RA44904</t>
        </is>
      </c>
      <c r="B542" t="inlineStr">
        <is>
          <t>Ironbark Plan Management</t>
        </is>
      </c>
      <c r="C542" s="5" t="n">
        <v>46225</v>
      </c>
      <c r="D542" t="inlineStr">
        <is>
          <t>INV/2026/02000</t>
        </is>
      </c>
      <c r="E542" s="9" t="n">
        <v>272.49</v>
      </c>
      <c r="F542" s="9" t="n">
        <v>272.49</v>
      </c>
      <c r="G542" s="9">
        <f>ROUND(E542-F542,2)</f>
        <v>0</v>
      </c>
    </row>
    <row r="543">
      <c r="A543" t="inlineStr">
        <is>
          <t>RA44904</t>
        </is>
      </c>
      <c r="B543" t="inlineStr">
        <is>
          <t>Ironbark Plan Management</t>
        </is>
      </c>
      <c r="C543" s="5" t="n">
        <v>46225</v>
      </c>
      <c r="D543" t="inlineStr">
        <is>
          <t>INV/2026/02001</t>
        </is>
      </c>
      <c r="E543" s="9" t="n">
        <v>96.98999999999999</v>
      </c>
      <c r="F543" s="9" t="n">
        <v>96.98999999999999</v>
      </c>
      <c r="G543" s="9">
        <f>ROUND(E543-F543,2)</f>
        <v>0</v>
      </c>
    </row>
    <row r="544">
      <c r="A544" t="inlineStr">
        <is>
          <t>RA44904</t>
        </is>
      </c>
      <c r="B544" t="inlineStr">
        <is>
          <t>Ironbark Plan Management</t>
        </is>
      </c>
      <c r="C544" s="5" t="n">
        <v>46225</v>
      </c>
      <c r="D544" t="inlineStr">
        <is>
          <t>INV/2026/02024</t>
        </is>
      </c>
      <c r="E544" s="9" t="n">
        <v>203.69</v>
      </c>
      <c r="F544" s="9" t="n">
        <v>203.69</v>
      </c>
      <c r="G544" s="9">
        <f>ROUND(E544-F544,2)</f>
        <v>0</v>
      </c>
    </row>
    <row r="545">
      <c r="A545" t="inlineStr">
        <is>
          <t>RA44904</t>
        </is>
      </c>
      <c r="B545" t="inlineStr">
        <is>
          <t>Ironbark Plan Management</t>
        </is>
      </c>
      <c r="C545" s="5" t="n">
        <v>46225</v>
      </c>
      <c r="D545" t="inlineStr">
        <is>
          <t>INV/2026/02025</t>
        </is>
      </c>
      <c r="E545" s="9" t="n">
        <v>349.18</v>
      </c>
      <c r="F545" s="9" t="n">
        <v>349.18</v>
      </c>
      <c r="G545" s="9">
        <f>ROUND(E545-F545,2)</f>
        <v>0</v>
      </c>
    </row>
    <row r="546">
      <c r="A546" t="inlineStr">
        <is>
          <t>RA44904</t>
        </is>
      </c>
      <c r="B546" t="inlineStr">
        <is>
          <t>Ironbark Plan Management</t>
        </is>
      </c>
      <c r="C546" s="5" t="n">
        <v>46225</v>
      </c>
      <c r="D546" t="inlineStr">
        <is>
          <t>INV/2026/02026</t>
        </is>
      </c>
      <c r="E546" s="9" t="n">
        <v>290.98</v>
      </c>
      <c r="F546" s="9" t="n">
        <v>290.98</v>
      </c>
      <c r="G546" s="9">
        <f>ROUND(E546-F546,2)</f>
        <v>0</v>
      </c>
    </row>
    <row r="547">
      <c r="A547" t="inlineStr">
        <is>
          <t>RA44905</t>
        </is>
      </c>
      <c r="B547" t="inlineStr">
        <is>
          <t>Kookaburra Plan Support</t>
        </is>
      </c>
      <c r="C547" s="5" t="n">
        <v>46225</v>
      </c>
      <c r="D547" t="inlineStr">
        <is>
          <t>INV/2026/01902</t>
        </is>
      </c>
      <c r="E547" s="9" t="n">
        <v>223.99</v>
      </c>
      <c r="F547" s="9" t="n">
        <v>223.99</v>
      </c>
      <c r="G547" s="9">
        <f>ROUND(E547-F547,2)</f>
        <v>0</v>
      </c>
    </row>
    <row r="548">
      <c r="A548" t="inlineStr">
        <is>
          <t>RA44905</t>
        </is>
      </c>
      <c r="B548" t="inlineStr">
        <is>
          <t>Kookaburra Plan Support</t>
        </is>
      </c>
      <c r="C548" s="5" t="n">
        <v>46225</v>
      </c>
      <c r="D548" t="inlineStr">
        <is>
          <t>INV/2026/01903</t>
        </is>
      </c>
      <c r="E548" s="9" t="n">
        <v>193.99</v>
      </c>
      <c r="F548" s="9" t="n">
        <v>193.99</v>
      </c>
      <c r="G548" s="9">
        <f>ROUND(E548-F548,2)</f>
        <v>0</v>
      </c>
    </row>
    <row r="549">
      <c r="A549" t="inlineStr">
        <is>
          <t>RA44905</t>
        </is>
      </c>
      <c r="B549" t="inlineStr">
        <is>
          <t>Kookaburra Plan Support</t>
        </is>
      </c>
      <c r="C549" s="5" t="n">
        <v>46225</v>
      </c>
      <c r="D549" t="inlineStr">
        <is>
          <t>INV/2026/01924</t>
        </is>
      </c>
      <c r="E549" s="9" t="n">
        <v>349.18</v>
      </c>
      <c r="F549" s="9" t="n">
        <v>349.18</v>
      </c>
      <c r="G549" s="9">
        <f>ROUND(E549-F549,2)</f>
        <v>0</v>
      </c>
    </row>
    <row r="550">
      <c r="A550" t="inlineStr">
        <is>
          <t>RA44905</t>
        </is>
      </c>
      <c r="B550" t="inlineStr">
        <is>
          <t>Kookaburra Plan Support</t>
        </is>
      </c>
      <c r="C550" s="5" t="n">
        <v>46225</v>
      </c>
      <c r="D550" t="inlineStr">
        <is>
          <t>INV/2026/01925</t>
        </is>
      </c>
      <c r="E550" s="9" t="n">
        <v>175.49</v>
      </c>
      <c r="F550" s="9" t="n">
        <v>175.49</v>
      </c>
      <c r="G550" s="9">
        <f>ROUND(E550-F550,2)</f>
        <v>0</v>
      </c>
    </row>
    <row r="551">
      <c r="A551" t="inlineStr">
        <is>
          <t>RA44905</t>
        </is>
      </c>
      <c r="B551" t="inlineStr">
        <is>
          <t>Kookaburra Plan Support</t>
        </is>
      </c>
      <c r="C551" s="5" t="n">
        <v>46225</v>
      </c>
      <c r="D551" t="inlineStr">
        <is>
          <t>INV/2026/01926</t>
        </is>
      </c>
      <c r="E551" s="9" t="n">
        <v>242.49</v>
      </c>
      <c r="F551" s="9" t="n">
        <v>242.49</v>
      </c>
      <c r="G551" s="9">
        <f>ROUND(E551-F551,2)</f>
        <v>0</v>
      </c>
    </row>
    <row r="552">
      <c r="A552" t="inlineStr">
        <is>
          <t>RA44905</t>
        </is>
      </c>
      <c r="B552" t="inlineStr">
        <is>
          <t>Kookaburra Plan Support</t>
        </is>
      </c>
      <c r="C552" s="5" t="n">
        <v>46225</v>
      </c>
      <c r="D552" t="inlineStr">
        <is>
          <t>INV/2026/01952</t>
        </is>
      </c>
      <c r="E552" s="9" t="n">
        <v>223.99</v>
      </c>
      <c r="F552" s="9" t="n">
        <v>223.99</v>
      </c>
      <c r="G552" s="9">
        <f>ROUND(E552-F552,2)</f>
        <v>0</v>
      </c>
    </row>
    <row r="553">
      <c r="A553" t="inlineStr">
        <is>
          <t>RA44905</t>
        </is>
      </c>
      <c r="B553" t="inlineStr">
        <is>
          <t>Kookaburra Plan Support</t>
        </is>
      </c>
      <c r="C553" s="5" t="n">
        <v>46225</v>
      </c>
      <c r="D553" t="inlineStr">
        <is>
          <t>INV/2026/01981</t>
        </is>
      </c>
      <c r="E553" s="9" t="n">
        <v>155.19</v>
      </c>
      <c r="F553" s="9" t="n">
        <v>155.19</v>
      </c>
      <c r="G553" s="9">
        <f>ROUND(E553-F553,2)</f>
        <v>0</v>
      </c>
    </row>
    <row r="554">
      <c r="A554" t="inlineStr">
        <is>
          <t>RA44905</t>
        </is>
      </c>
      <c r="B554" t="inlineStr">
        <is>
          <t>Kookaburra Plan Support</t>
        </is>
      </c>
      <c r="C554" s="5" t="n">
        <v>46225</v>
      </c>
      <c r="D554" t="inlineStr">
        <is>
          <t>INV/2026/02049</t>
        </is>
      </c>
      <c r="E554" s="9" t="n">
        <v>417.98</v>
      </c>
      <c r="F554" s="9" t="n">
        <v>417.98</v>
      </c>
      <c r="G554" s="9">
        <f>ROUND(E554-F554,2)</f>
        <v>0</v>
      </c>
    </row>
    <row r="555">
      <c r="A555" t="inlineStr">
        <is>
          <t>RA44906</t>
        </is>
      </c>
      <c r="B555" t="inlineStr">
        <is>
          <t>Lyrebird Plan Management</t>
        </is>
      </c>
      <c r="C555" s="5" t="n">
        <v>46225</v>
      </c>
      <c r="D555" t="inlineStr">
        <is>
          <t>INV/2026/02099</t>
        </is>
      </c>
      <c r="E555" s="9" t="n">
        <v>193.99</v>
      </c>
      <c r="F555" s="9" t="n">
        <v>193.99</v>
      </c>
      <c r="G555" s="9">
        <f>ROUND(E555-F555,2)</f>
        <v>0</v>
      </c>
    </row>
    <row r="556">
      <c r="A556" t="inlineStr">
        <is>
          <t>RA44906</t>
        </is>
      </c>
      <c r="B556" t="inlineStr">
        <is>
          <t>Lyrebird Plan Management</t>
        </is>
      </c>
      <c r="C556" s="5" t="n">
        <v>46225</v>
      </c>
      <c r="D556" t="inlineStr">
        <is>
          <t>INV/2026/02100</t>
        </is>
      </c>
      <c r="E556" s="9" t="n">
        <v>417.98</v>
      </c>
      <c r="F556" s="9" t="n">
        <v>417.98</v>
      </c>
      <c r="G556" s="9">
        <f>ROUND(E556-F556,2)</f>
        <v>0</v>
      </c>
    </row>
    <row r="557">
      <c r="A557" t="inlineStr">
        <is>
          <t>RA44906</t>
        </is>
      </c>
      <c r="B557" t="inlineStr">
        <is>
          <t>Lyrebird Plan Management</t>
        </is>
      </c>
      <c r="C557" s="5" t="n">
        <v>46225</v>
      </c>
      <c r="D557" t="inlineStr">
        <is>
          <t>INV/2026/02124</t>
        </is>
      </c>
      <c r="E557" s="9" t="n">
        <v>96.98999999999999</v>
      </c>
      <c r="F557" s="9" t="n">
        <v>96.98999999999999</v>
      </c>
      <c r="G557" s="9">
        <f>ROUND(E557-F557,2)</f>
        <v>0</v>
      </c>
    </row>
    <row r="558">
      <c r="A558" t="inlineStr">
        <is>
          <t>RA44906</t>
        </is>
      </c>
      <c r="B558" t="inlineStr">
        <is>
          <t>Lyrebird Plan Management</t>
        </is>
      </c>
      <c r="C558" s="5" t="n">
        <v>46225</v>
      </c>
      <c r="D558" t="inlineStr">
        <is>
          <t>INV/2026/02146</t>
        </is>
      </c>
      <c r="E558" s="9" t="n">
        <v>349.18</v>
      </c>
      <c r="F558" s="9" t="n">
        <v>349.18</v>
      </c>
      <c r="G558" s="9">
        <f>ROUND(E558-F558,2)</f>
        <v>0</v>
      </c>
    </row>
    <row r="559">
      <c r="A559" t="inlineStr">
        <is>
          <t>RA44906</t>
        </is>
      </c>
      <c r="B559" t="inlineStr">
        <is>
          <t>Lyrebird Plan Management</t>
        </is>
      </c>
      <c r="C559" s="5" t="n">
        <v>46225</v>
      </c>
      <c r="D559" t="inlineStr">
        <is>
          <t>INV/2026/02147</t>
        </is>
      </c>
      <c r="E559" s="9" t="n">
        <v>387.98</v>
      </c>
      <c r="F559" s="9" t="n">
        <v>387.98</v>
      </c>
      <c r="G559" s="9">
        <f>ROUND(E559-F559,2)</f>
        <v>0</v>
      </c>
    </row>
    <row r="560">
      <c r="A560" t="inlineStr">
        <is>
          <t>RA44906</t>
        </is>
      </c>
      <c r="B560" t="inlineStr">
        <is>
          <t>Lyrebird Plan Management</t>
        </is>
      </c>
      <c r="C560" s="5" t="n">
        <v>46225</v>
      </c>
      <c r="D560" t="inlineStr">
        <is>
          <t>INV/2026/02172</t>
        </is>
      </c>
      <c r="E560" s="9" t="n">
        <v>242.49</v>
      </c>
      <c r="F560" s="9" t="n">
        <v>242.49</v>
      </c>
      <c r="G560" s="9">
        <f>ROUND(E560-F560,2)</f>
        <v>0</v>
      </c>
    </row>
    <row r="561">
      <c r="A561" t="inlineStr">
        <is>
          <t>RA44906</t>
        </is>
      </c>
      <c r="B561" t="inlineStr">
        <is>
          <t>Lyrebird Plan Management</t>
        </is>
      </c>
      <c r="C561" s="5" t="n">
        <v>46225</v>
      </c>
      <c r="D561" t="inlineStr">
        <is>
          <t>INV/2026/02174</t>
        </is>
      </c>
      <c r="E561" s="9" t="n">
        <v>96.98999999999999</v>
      </c>
      <c r="F561" s="9" t="n">
        <v>96.98999999999999</v>
      </c>
      <c r="G561" s="9">
        <f>ROUND(E561-F561,2)</f>
        <v>0</v>
      </c>
    </row>
    <row r="562">
      <c r="A562" t="inlineStr">
        <is>
          <t>RA44906</t>
        </is>
      </c>
      <c r="B562" t="inlineStr">
        <is>
          <t>Lyrebird Plan Management</t>
        </is>
      </c>
      <c r="C562" s="5" t="n">
        <v>46225</v>
      </c>
      <c r="D562" t="inlineStr">
        <is>
          <t>INV/2026/02219</t>
        </is>
      </c>
      <c r="E562" s="9" t="n">
        <v>349.18</v>
      </c>
      <c r="F562" s="9" t="n">
        <v>349.18</v>
      </c>
      <c r="G562" s="9">
        <f>ROUND(E562-F562,2)</f>
        <v>0</v>
      </c>
    </row>
    <row r="563">
      <c r="A563" t="inlineStr">
        <is>
          <t>RA44906</t>
        </is>
      </c>
      <c r="B563" t="inlineStr">
        <is>
          <t>Lyrebird Plan Management</t>
        </is>
      </c>
      <c r="C563" s="5" t="n">
        <v>46225</v>
      </c>
      <c r="D563" t="inlineStr">
        <is>
          <t>INV/2026/02220</t>
        </is>
      </c>
      <c r="E563" s="9" t="n">
        <v>290.98</v>
      </c>
      <c r="F563" s="9" t="n">
        <v>290.98</v>
      </c>
      <c r="G563" s="9">
        <f>ROUND(E563-F563,2)</f>
        <v>0</v>
      </c>
    </row>
    <row r="564">
      <c r="A564" t="inlineStr">
        <is>
          <t>RA44907</t>
        </is>
      </c>
      <c r="B564" t="inlineStr">
        <is>
          <t>Tallowwood Plans</t>
        </is>
      </c>
      <c r="C564" s="5" t="n">
        <v>46225</v>
      </c>
      <c r="D564" t="inlineStr">
        <is>
          <t>INV/2026/02149</t>
        </is>
      </c>
      <c r="E564" s="9" t="n">
        <v>387.98</v>
      </c>
      <c r="F564" s="9" t="n">
        <v>387.98</v>
      </c>
      <c r="G564" s="9">
        <f>ROUND(E564-F564,2)</f>
        <v>0</v>
      </c>
    </row>
    <row r="565">
      <c r="A565" t="inlineStr">
        <is>
          <t>RA44907</t>
        </is>
      </c>
      <c r="B565" t="inlineStr">
        <is>
          <t>Tallowwood Plans</t>
        </is>
      </c>
      <c r="C565" s="5" t="n">
        <v>46225</v>
      </c>
      <c r="D565" t="inlineStr">
        <is>
          <t>INV/2026/02176</t>
        </is>
      </c>
      <c r="E565" s="9" t="n">
        <v>96.98999999999999</v>
      </c>
      <c r="F565" s="9" t="n">
        <v>96.98999999999999</v>
      </c>
      <c r="G565" s="9">
        <f>ROUND(E565-F565,2)</f>
        <v>0</v>
      </c>
    </row>
    <row r="566">
      <c r="A566" t="inlineStr">
        <is>
          <t>RA44907</t>
        </is>
      </c>
      <c r="B566" t="inlineStr">
        <is>
          <t>Tallowwood Plans</t>
        </is>
      </c>
      <c r="C566" s="5" t="n">
        <v>46225</v>
      </c>
      <c r="D566" t="inlineStr">
        <is>
          <t>INV/2026/02222</t>
        </is>
      </c>
      <c r="E566" s="9" t="n">
        <v>387.98</v>
      </c>
      <c r="F566" s="9" t="n">
        <v>387.98</v>
      </c>
      <c r="G566" s="9">
        <f>ROUND(E566-F566,2)</f>
        <v>0</v>
      </c>
    </row>
    <row r="567">
      <c r="A567" t="inlineStr">
        <is>
          <t>RA44908</t>
        </is>
      </c>
      <c r="B567" t="inlineStr">
        <is>
          <t>Acacia Plan Partners</t>
        </is>
      </c>
      <c r="C567" s="5" t="n">
        <v>46225</v>
      </c>
      <c r="D567" t="inlineStr">
        <is>
          <t>INV/2026/01938</t>
        </is>
      </c>
      <c r="E567" s="9" t="n">
        <v>96.98999999999999</v>
      </c>
      <c r="F567" s="9" t="n">
        <v>96.98999999999999</v>
      </c>
      <c r="G567" s="9">
        <f>ROUND(E567-F567,2)</f>
        <v>0</v>
      </c>
    </row>
    <row r="568">
      <c r="A568" t="inlineStr">
        <is>
          <t>RA44908</t>
        </is>
      </c>
      <c r="B568" t="inlineStr">
        <is>
          <t>Acacia Plan Partners</t>
        </is>
      </c>
      <c r="C568" s="5" t="n">
        <v>46225</v>
      </c>
      <c r="D568" t="inlineStr">
        <is>
          <t>INV/2026/01939</t>
        </is>
      </c>
      <c r="E568" s="9" t="n">
        <v>145.49</v>
      </c>
      <c r="F568" s="9" t="n">
        <v>145.49</v>
      </c>
      <c r="G568" s="9">
        <f>ROUND(E568-F568,2)</f>
        <v>0</v>
      </c>
    </row>
    <row r="569">
      <c r="A569" t="inlineStr">
        <is>
          <t>RA44908</t>
        </is>
      </c>
      <c r="B569" t="inlineStr">
        <is>
          <t>Acacia Plan Partners</t>
        </is>
      </c>
      <c r="C569" s="5" t="n">
        <v>46225</v>
      </c>
      <c r="D569" t="inlineStr">
        <is>
          <t>INV/2026/01940</t>
        </is>
      </c>
      <c r="E569" s="9" t="n">
        <v>387.98</v>
      </c>
      <c r="F569" s="9" t="n">
        <v>387.98</v>
      </c>
      <c r="G569" s="9">
        <f>ROUND(E569-F569,2)</f>
        <v>0</v>
      </c>
    </row>
    <row r="570">
      <c r="A570" t="inlineStr">
        <is>
          <t>RA44909</t>
        </is>
      </c>
      <c r="B570" t="inlineStr">
        <is>
          <t>Mallee Plan Services</t>
        </is>
      </c>
      <c r="C570" s="5" t="n">
        <v>46225</v>
      </c>
      <c r="D570" t="inlineStr">
        <is>
          <t>INV/2026/02102</t>
        </is>
      </c>
      <c r="E570" s="9" t="n">
        <v>252.19</v>
      </c>
      <c r="F570" s="9" t="n">
        <v>252.19</v>
      </c>
      <c r="G570" s="9">
        <f>ROUND(E570-F570,2)</f>
        <v>0</v>
      </c>
    </row>
    <row r="571">
      <c r="A571" t="inlineStr">
        <is>
          <t>RA44909</t>
        </is>
      </c>
      <c r="B571" t="inlineStr">
        <is>
          <t>Mallee Plan Services</t>
        </is>
      </c>
      <c r="C571" s="5" t="n">
        <v>46225</v>
      </c>
      <c r="D571" t="inlineStr">
        <is>
          <t>INV/2026/02227</t>
        </is>
      </c>
      <c r="E571" s="9" t="n">
        <v>193.99</v>
      </c>
      <c r="F571" s="9" t="n">
        <v>193.99</v>
      </c>
      <c r="G571" s="9">
        <f>ROUND(E571-F571,2)</f>
        <v>0</v>
      </c>
    </row>
    <row r="572">
      <c r="A572" t="inlineStr">
        <is>
          <t>RA44910</t>
        </is>
      </c>
      <c r="B572" t="inlineStr">
        <is>
          <t>Wattle Plan Services</t>
        </is>
      </c>
      <c r="C572" s="5" t="n">
        <v>46226</v>
      </c>
      <c r="D572" t="inlineStr">
        <is>
          <t>INV/2026/01801</t>
        </is>
      </c>
      <c r="E572" s="9" t="n">
        <v>387.98</v>
      </c>
      <c r="F572" s="9" t="n">
        <v>387.98</v>
      </c>
      <c r="G572" s="9">
        <f>ROUND(E572-F572,2)</f>
        <v>0</v>
      </c>
    </row>
    <row r="573">
      <c r="A573" t="inlineStr">
        <is>
          <t>RA44910</t>
        </is>
      </c>
      <c r="B573" t="inlineStr">
        <is>
          <t>Wattle Plan Services</t>
        </is>
      </c>
      <c r="C573" s="5" t="n">
        <v>46226</v>
      </c>
      <c r="D573" t="inlineStr">
        <is>
          <t>INV/2026/01802</t>
        </is>
      </c>
      <c r="E573" s="9" t="n">
        <v>155.19</v>
      </c>
      <c r="F573" s="9" t="n">
        <v>155.19</v>
      </c>
      <c r="G573" s="9">
        <f>ROUND(E573-F573,2)</f>
        <v>0</v>
      </c>
    </row>
    <row r="574">
      <c r="A574" t="inlineStr">
        <is>
          <t>RA44910</t>
        </is>
      </c>
      <c r="B574" t="inlineStr">
        <is>
          <t>Wattle Plan Services</t>
        </is>
      </c>
      <c r="C574" s="5" t="n">
        <v>46226</v>
      </c>
      <c r="D574" t="inlineStr">
        <is>
          <t>INV/2026/01803</t>
        </is>
      </c>
      <c r="E574" s="9" t="n">
        <v>242.49</v>
      </c>
      <c r="F574" s="9" t="n">
        <v>242.49</v>
      </c>
      <c r="G574" s="9">
        <f>ROUND(E574-F574,2)</f>
        <v>0</v>
      </c>
    </row>
    <row r="575">
      <c r="A575" t="inlineStr">
        <is>
          <t>RA44911</t>
        </is>
      </c>
      <c r="B575" t="inlineStr">
        <is>
          <t>Banksia Plan Co</t>
        </is>
      </c>
      <c r="C575" s="5" t="n">
        <v>46226</v>
      </c>
      <c r="D575" t="inlineStr">
        <is>
          <t>INV/2026/02135</t>
        </is>
      </c>
      <c r="E575" s="9" t="n">
        <v>446.18</v>
      </c>
      <c r="F575" s="9" t="n">
        <v>446.18</v>
      </c>
      <c r="G575" s="9">
        <f>ROUND(E575-F575,2)</f>
        <v>0</v>
      </c>
    </row>
    <row r="576">
      <c r="A576" t="inlineStr">
        <is>
          <t>RA44911</t>
        </is>
      </c>
      <c r="B576" t="inlineStr">
        <is>
          <t>Banksia Plan Co</t>
        </is>
      </c>
      <c r="C576" s="5" t="n">
        <v>46226</v>
      </c>
      <c r="D576" t="inlineStr">
        <is>
          <t>INV/2026/02160</t>
        </is>
      </c>
      <c r="E576" s="9" t="n">
        <v>96.98999999999999</v>
      </c>
      <c r="F576" s="9" t="n">
        <v>96.98999999999999</v>
      </c>
      <c r="G576" s="9">
        <f>ROUND(E576-F576,2)</f>
        <v>0</v>
      </c>
    </row>
    <row r="577">
      <c r="A577" t="inlineStr">
        <is>
          <t>RA44912</t>
        </is>
      </c>
      <c r="B577" t="inlineStr">
        <is>
          <t>Ironbark Plan Management</t>
        </is>
      </c>
      <c r="C577" s="5" t="n">
        <v>46226</v>
      </c>
      <c r="D577" t="inlineStr">
        <is>
          <t>INV/2026/02047</t>
        </is>
      </c>
      <c r="E577" s="9" t="n">
        <v>193.99</v>
      </c>
      <c r="F577" s="9" t="n">
        <v>193.99</v>
      </c>
      <c r="G577" s="9">
        <f>ROUND(E577-F577,2)</f>
        <v>0</v>
      </c>
    </row>
    <row r="578">
      <c r="A578" t="inlineStr">
        <is>
          <t>RA44912</t>
        </is>
      </c>
      <c r="B578" t="inlineStr">
        <is>
          <t>Ironbark Plan Management</t>
        </is>
      </c>
      <c r="C578" s="5" t="n">
        <v>46226</v>
      </c>
      <c r="D578" t="inlineStr">
        <is>
          <t>INV/2026/02048</t>
        </is>
      </c>
      <c r="E578" s="9" t="n">
        <v>223.99</v>
      </c>
      <c r="F578" s="9" t="n">
        <v>223.99</v>
      </c>
      <c r="G578" s="9">
        <f>ROUND(E578-F578,2)</f>
        <v>0</v>
      </c>
    </row>
    <row r="579">
      <c r="A579" t="inlineStr">
        <is>
          <t>RA44912</t>
        </is>
      </c>
      <c r="B579" t="inlineStr">
        <is>
          <t>Ironbark Plan Management</t>
        </is>
      </c>
      <c r="C579" s="5" t="n">
        <v>46226</v>
      </c>
      <c r="D579" t="inlineStr">
        <is>
          <t>INV/2026/02073</t>
        </is>
      </c>
      <c r="E579" s="9" t="n">
        <v>193.99</v>
      </c>
      <c r="F579" s="9" t="n">
        <v>193.99</v>
      </c>
      <c r="G579" s="9">
        <f>ROUND(E579-F579,2)</f>
        <v>0</v>
      </c>
    </row>
    <row r="580">
      <c r="A580" t="inlineStr">
        <is>
          <t>RA44912</t>
        </is>
      </c>
      <c r="B580" t="inlineStr">
        <is>
          <t>Ironbark Plan Management</t>
        </is>
      </c>
      <c r="C580" s="5" t="n">
        <v>46226</v>
      </c>
      <c r="D580" t="inlineStr">
        <is>
          <t>INV/2026/02074</t>
        </is>
      </c>
      <c r="E580" s="9" t="n">
        <v>193.99</v>
      </c>
      <c r="F580" s="9" t="n">
        <v>193.99</v>
      </c>
      <c r="G580" s="9">
        <f>ROUND(E580-F580,2)</f>
        <v>0</v>
      </c>
    </row>
    <row r="581">
      <c r="A581" t="inlineStr">
        <is>
          <t>RA44912</t>
        </is>
      </c>
      <c r="B581" t="inlineStr">
        <is>
          <t>Ironbark Plan Management</t>
        </is>
      </c>
      <c r="C581" s="5" t="n">
        <v>46226</v>
      </c>
      <c r="D581" t="inlineStr">
        <is>
          <t>INV/2026/02116</t>
        </is>
      </c>
      <c r="E581" s="9" t="n">
        <v>417.98</v>
      </c>
      <c r="F581" s="9" t="n">
        <v>417.98</v>
      </c>
      <c r="G581" s="9">
        <f>ROUND(E581-F581,2)</f>
        <v>0</v>
      </c>
    </row>
    <row r="582">
      <c r="A582" t="inlineStr">
        <is>
          <t>RA44912</t>
        </is>
      </c>
      <c r="B582" t="inlineStr">
        <is>
          <t>Ironbark Plan Management</t>
        </is>
      </c>
      <c r="C582" s="5" t="n">
        <v>46226</v>
      </c>
      <c r="D582" t="inlineStr">
        <is>
          <t>INV/2026/02117</t>
        </is>
      </c>
      <c r="E582" s="9" t="n">
        <v>387.98</v>
      </c>
      <c r="F582" s="9" t="n">
        <v>387.98</v>
      </c>
      <c r="G582" s="9">
        <f>ROUND(E582-F582,2)</f>
        <v>0</v>
      </c>
    </row>
    <row r="583">
      <c r="A583" t="inlineStr">
        <is>
          <t>RA44912</t>
        </is>
      </c>
      <c r="B583" t="inlineStr">
        <is>
          <t>Ironbark Plan Management</t>
        </is>
      </c>
      <c r="C583" s="5" t="n">
        <v>46226</v>
      </c>
      <c r="D583" t="inlineStr">
        <is>
          <t>INV/2026/02138</t>
        </is>
      </c>
      <c r="E583" s="9" t="n">
        <v>145.49</v>
      </c>
      <c r="F583" s="9" t="n">
        <v>145.49</v>
      </c>
      <c r="G583" s="9">
        <f>ROUND(E583-F583,2)</f>
        <v>0</v>
      </c>
    </row>
    <row r="584">
      <c r="A584" t="inlineStr">
        <is>
          <t>RA44912</t>
        </is>
      </c>
      <c r="B584" t="inlineStr">
        <is>
          <t>Ironbark Plan Management</t>
        </is>
      </c>
      <c r="C584" s="5" t="n">
        <v>46226</v>
      </c>
      <c r="D584" t="inlineStr">
        <is>
          <t>INV/2026/02139</t>
        </is>
      </c>
      <c r="E584" s="9" t="n">
        <v>242.49</v>
      </c>
      <c r="F584" s="9" t="n">
        <v>242.49</v>
      </c>
      <c r="G584" s="9">
        <f>ROUND(E584-F584,2)</f>
        <v>0</v>
      </c>
    </row>
    <row r="585">
      <c r="A585" t="inlineStr">
        <is>
          <t>RA44912</t>
        </is>
      </c>
      <c r="B585" t="inlineStr">
        <is>
          <t>Ironbark Plan Management</t>
        </is>
      </c>
      <c r="C585" s="5" t="n">
        <v>46226</v>
      </c>
      <c r="D585" t="inlineStr">
        <is>
          <t>INV/2026/02140</t>
        </is>
      </c>
      <c r="E585" s="9" t="n">
        <v>387.98</v>
      </c>
      <c r="F585" s="9" t="n">
        <v>387.98</v>
      </c>
      <c r="G585" s="9">
        <f>ROUND(E585-F585,2)</f>
        <v>0</v>
      </c>
    </row>
    <row r="586">
      <c r="A586" t="inlineStr">
        <is>
          <t>RA44912</t>
        </is>
      </c>
      <c r="B586" t="inlineStr">
        <is>
          <t>Ironbark Plan Management</t>
        </is>
      </c>
      <c r="C586" s="5" t="n">
        <v>46226</v>
      </c>
      <c r="D586" t="inlineStr">
        <is>
          <t>INV/2026/02161</t>
        </is>
      </c>
      <c r="E586" s="9" t="n">
        <v>290.98</v>
      </c>
      <c r="F586" s="9" t="n">
        <v>290.98</v>
      </c>
      <c r="G586" s="9">
        <f>ROUND(E586-F586,2)</f>
        <v>0</v>
      </c>
    </row>
    <row r="587">
      <c r="A587" t="inlineStr">
        <is>
          <t>RA44912</t>
        </is>
      </c>
      <c r="B587" t="inlineStr">
        <is>
          <t>Ironbark Plan Management</t>
        </is>
      </c>
      <c r="C587" s="5" t="n">
        <v>46226</v>
      </c>
      <c r="D587" t="inlineStr">
        <is>
          <t>INV/2026/02162</t>
        </is>
      </c>
      <c r="E587" s="9" t="n">
        <v>290.98</v>
      </c>
      <c r="F587" s="9" t="n">
        <v>290.98</v>
      </c>
      <c r="G587" s="9">
        <f>ROUND(E587-F587,2)</f>
        <v>0</v>
      </c>
    </row>
    <row r="588">
      <c r="A588" t="inlineStr">
        <is>
          <t>RA44912</t>
        </is>
      </c>
      <c r="B588" t="inlineStr">
        <is>
          <t>Ironbark Plan Management</t>
        </is>
      </c>
      <c r="C588" s="5" t="n">
        <v>46226</v>
      </c>
      <c r="D588" t="inlineStr">
        <is>
          <t>INV/2026/02163</t>
        </is>
      </c>
      <c r="E588" s="9" t="n">
        <v>242.49</v>
      </c>
      <c r="F588" s="9" t="n">
        <v>242.49</v>
      </c>
      <c r="G588" s="9">
        <f>ROUND(E588-F588,2)</f>
        <v>0</v>
      </c>
    </row>
    <row r="589">
      <c r="A589" t="inlineStr">
        <is>
          <t>RA44913</t>
        </is>
      </c>
      <c r="B589" t="inlineStr">
        <is>
          <t>Kookaburra Plan Support</t>
        </is>
      </c>
      <c r="C589" s="5" t="n">
        <v>46226</v>
      </c>
      <c r="D589" t="inlineStr">
        <is>
          <t>INV/2026/02075</t>
        </is>
      </c>
      <c r="E589" s="9" t="n">
        <v>300.69</v>
      </c>
      <c r="F589" s="9" t="n">
        <v>300.69</v>
      </c>
      <c r="G589" s="9">
        <f>ROUND(E589-F589,2)</f>
        <v>0</v>
      </c>
    </row>
    <row r="590">
      <c r="A590" t="inlineStr">
        <is>
          <t>RA44913</t>
        </is>
      </c>
      <c r="B590" t="inlineStr">
        <is>
          <t>Kookaburra Plan Support</t>
        </is>
      </c>
      <c r="C590" s="5" t="n">
        <v>46226</v>
      </c>
      <c r="D590" t="inlineStr">
        <is>
          <t>INV/2026/02076</t>
        </is>
      </c>
      <c r="E590" s="9" t="n">
        <v>252.19</v>
      </c>
      <c r="F590" s="9" t="n">
        <v>252.19</v>
      </c>
      <c r="G590" s="9">
        <f>ROUND(E590-F590,2)</f>
        <v>0</v>
      </c>
    </row>
    <row r="591">
      <c r="A591" t="inlineStr">
        <is>
          <t>RA44913</t>
        </is>
      </c>
      <c r="B591" t="inlineStr">
        <is>
          <t>Kookaburra Plan Support</t>
        </is>
      </c>
      <c r="C591" s="5" t="n">
        <v>46226</v>
      </c>
      <c r="D591" t="inlineStr">
        <is>
          <t>INV/2026/02096</t>
        </is>
      </c>
      <c r="E591" s="9" t="n">
        <v>387.98</v>
      </c>
      <c r="F591" s="9" t="n">
        <v>387.98</v>
      </c>
      <c r="G591" s="9">
        <f>ROUND(E591-F591,2)</f>
        <v>0</v>
      </c>
    </row>
    <row r="592">
      <c r="A592" t="inlineStr">
        <is>
          <t>RA44913</t>
        </is>
      </c>
      <c r="B592" t="inlineStr">
        <is>
          <t>Kookaburra Plan Support</t>
        </is>
      </c>
      <c r="C592" s="5" t="n">
        <v>46226</v>
      </c>
      <c r="D592" t="inlineStr">
        <is>
          <t>INV/2026/02118</t>
        </is>
      </c>
      <c r="E592" s="9" t="n">
        <v>417.98</v>
      </c>
      <c r="F592" s="9" t="n">
        <v>417.98</v>
      </c>
      <c r="G592" s="9">
        <f>ROUND(E592-F592,2)</f>
        <v>0</v>
      </c>
    </row>
    <row r="593">
      <c r="A593" t="inlineStr">
        <is>
          <t>RA44913</t>
        </is>
      </c>
      <c r="B593" t="inlineStr">
        <is>
          <t>Kookaburra Plan Support</t>
        </is>
      </c>
      <c r="C593" s="5" t="n">
        <v>46226</v>
      </c>
      <c r="D593" t="inlineStr">
        <is>
          <t>INV/2026/02119</t>
        </is>
      </c>
      <c r="E593" s="9" t="n">
        <v>145.49</v>
      </c>
      <c r="F593" s="9" t="n">
        <v>145.49</v>
      </c>
      <c r="G593" s="9">
        <f>ROUND(E593-F593,2)</f>
        <v>0</v>
      </c>
    </row>
    <row r="594">
      <c r="A594" t="inlineStr">
        <is>
          <t>RA44913</t>
        </is>
      </c>
      <c r="B594" t="inlineStr">
        <is>
          <t>Kookaburra Plan Support</t>
        </is>
      </c>
      <c r="C594" s="5" t="n">
        <v>46226</v>
      </c>
      <c r="D594" t="inlineStr">
        <is>
          <t>INV/2026/02120</t>
        </is>
      </c>
      <c r="E594" s="9" t="n">
        <v>387.98</v>
      </c>
      <c r="F594" s="9" t="n">
        <v>387.98</v>
      </c>
      <c r="G594" s="9">
        <f>ROUND(E594-F594,2)</f>
        <v>0</v>
      </c>
    </row>
    <row r="595">
      <c r="A595" t="inlineStr">
        <is>
          <t>RA44913</t>
        </is>
      </c>
      <c r="B595" t="inlineStr">
        <is>
          <t>Kookaburra Plan Support</t>
        </is>
      </c>
      <c r="C595" s="5" t="n">
        <v>46226</v>
      </c>
      <c r="D595" t="inlineStr">
        <is>
          <t>INV/2026/02141</t>
        </is>
      </c>
      <c r="E595" s="9" t="n">
        <v>446.18</v>
      </c>
      <c r="F595" s="9" t="n">
        <v>446.18</v>
      </c>
      <c r="G595" s="9">
        <f>ROUND(E595-F595,2)</f>
        <v>0</v>
      </c>
    </row>
    <row r="596">
      <c r="A596" t="inlineStr">
        <is>
          <t>RA44913</t>
        </is>
      </c>
      <c r="B596" t="inlineStr">
        <is>
          <t>Kookaburra Plan Support</t>
        </is>
      </c>
      <c r="C596" s="5" t="n">
        <v>46226</v>
      </c>
      <c r="D596" t="inlineStr">
        <is>
          <t>INV/2026/02164</t>
        </is>
      </c>
      <c r="E596" s="9" t="n">
        <v>155.19</v>
      </c>
      <c r="F596" s="9" t="n">
        <v>155.19</v>
      </c>
      <c r="G596" s="9">
        <f>ROUND(E596-F596,2)</f>
        <v>0</v>
      </c>
    </row>
    <row r="597">
      <c r="A597" t="inlineStr">
        <is>
          <t>RA44913</t>
        </is>
      </c>
      <c r="B597" t="inlineStr">
        <is>
          <t>Kookaburra Plan Support</t>
        </is>
      </c>
      <c r="C597" s="5" t="n">
        <v>46226</v>
      </c>
      <c r="D597" t="inlineStr">
        <is>
          <t>INV/2026/02165</t>
        </is>
      </c>
      <c r="E597" s="9" t="n">
        <v>446.18</v>
      </c>
      <c r="F597" s="9" t="n">
        <v>446.18</v>
      </c>
      <c r="G597" s="9">
        <f>ROUND(E597-F597,2)</f>
        <v>0</v>
      </c>
    </row>
    <row r="598">
      <c r="A598" t="inlineStr">
        <is>
          <t>RA44913</t>
        </is>
      </c>
      <c r="B598" t="inlineStr">
        <is>
          <t>Kookaburra Plan Support</t>
        </is>
      </c>
      <c r="C598" s="5" t="n">
        <v>46226</v>
      </c>
      <c r="D598" t="inlineStr">
        <is>
          <t>INV/2026/02166</t>
        </is>
      </c>
      <c r="E598" s="9" t="n">
        <v>96.98999999999999</v>
      </c>
      <c r="F598" s="9" t="n">
        <v>96.98999999999999</v>
      </c>
      <c r="G598" s="9">
        <f>ROUND(E598-F598,2)</f>
        <v>0</v>
      </c>
    </row>
    <row r="599">
      <c r="A599" t="inlineStr">
        <is>
          <t>RA44913</t>
        </is>
      </c>
      <c r="B599" t="inlineStr">
        <is>
          <t>Kookaburra Plan Support</t>
        </is>
      </c>
      <c r="C599" s="5" t="n">
        <v>46226</v>
      </c>
      <c r="D599" t="inlineStr">
        <is>
          <t>INV/2026/02191</t>
        </is>
      </c>
      <c r="E599" s="9" t="n">
        <v>203.69</v>
      </c>
      <c r="F599" s="9" t="n">
        <v>203.69</v>
      </c>
      <c r="G599" s="9">
        <f>ROUND(E599-F599,2)</f>
        <v>0</v>
      </c>
    </row>
    <row r="600">
      <c r="A600" t="inlineStr">
        <is>
          <t>RA44913</t>
        </is>
      </c>
      <c r="B600" t="inlineStr">
        <is>
          <t>Kookaburra Plan Support</t>
        </is>
      </c>
      <c r="C600" s="5" t="n">
        <v>46226</v>
      </c>
      <c r="D600" t="inlineStr">
        <is>
          <t>INV/2026/02212</t>
        </is>
      </c>
      <c r="E600" s="9" t="n">
        <v>252.19</v>
      </c>
      <c r="F600" s="9" t="n">
        <v>252.19</v>
      </c>
      <c r="G600" s="9">
        <f>ROUND(E600-F600,2)</f>
        <v>0</v>
      </c>
    </row>
    <row r="601">
      <c r="A601" t="inlineStr">
        <is>
          <t>RA44914</t>
        </is>
      </c>
      <c r="B601" t="inlineStr">
        <is>
          <t>Lyrebird Plan Management</t>
        </is>
      </c>
      <c r="C601" s="5" t="n">
        <v>46226</v>
      </c>
      <c r="D601" t="inlineStr">
        <is>
          <t>INV/2026/02173</t>
        </is>
      </c>
      <c r="E601" s="9" t="n">
        <v>272.49</v>
      </c>
      <c r="F601" s="9" t="n">
        <v>272.49</v>
      </c>
      <c r="G601" s="9">
        <f>ROUND(E601-F601,2)</f>
        <v>0</v>
      </c>
    </row>
    <row r="602">
      <c r="A602" t="inlineStr">
        <is>
          <t>RA44914</t>
        </is>
      </c>
      <c r="B602" t="inlineStr">
        <is>
          <t>Lyrebird Plan Management</t>
        </is>
      </c>
      <c r="C602" s="5" t="n">
        <v>46226</v>
      </c>
      <c r="D602" t="inlineStr">
        <is>
          <t>INV/2026/02198</t>
        </is>
      </c>
      <c r="E602" s="9" t="n">
        <v>242.49</v>
      </c>
      <c r="F602" s="9" t="n">
        <v>242.49</v>
      </c>
      <c r="G602" s="9">
        <f>ROUND(E602-F602,2)</f>
        <v>0</v>
      </c>
    </row>
    <row r="603">
      <c r="A603" t="inlineStr">
        <is>
          <t>RA44914</t>
        </is>
      </c>
      <c r="B603" t="inlineStr">
        <is>
          <t>Lyrebird Plan Management</t>
        </is>
      </c>
      <c r="C603" s="5" t="n">
        <v>46226</v>
      </c>
      <c r="D603" t="inlineStr">
        <is>
          <t>INV/2026/02221</t>
        </is>
      </c>
      <c r="E603" s="9" t="n">
        <v>145.49</v>
      </c>
      <c r="F603" s="9" t="n">
        <v>145.49</v>
      </c>
      <c r="G603" s="9">
        <f>ROUND(E603-F603,2)</f>
        <v>0</v>
      </c>
    </row>
    <row r="604">
      <c r="A604" t="inlineStr">
        <is>
          <t>RA44914</t>
        </is>
      </c>
      <c r="B604" t="inlineStr">
        <is>
          <t>Lyrebird Plan Management</t>
        </is>
      </c>
      <c r="C604" s="5" t="n">
        <v>46226</v>
      </c>
      <c r="D604" t="inlineStr">
        <is>
          <t>INV/2026/02244</t>
        </is>
      </c>
      <c r="E604" s="9" t="n">
        <v>145.49</v>
      </c>
      <c r="F604" s="9" t="n">
        <v>145.49</v>
      </c>
      <c r="G604" s="9">
        <f>ROUND(E604-F604,2)</f>
        <v>0</v>
      </c>
    </row>
    <row r="605">
      <c r="A605" t="inlineStr">
        <is>
          <t>RA44915</t>
        </is>
      </c>
      <c r="B605" t="inlineStr">
        <is>
          <t>Acacia Plan Partners</t>
        </is>
      </c>
      <c r="C605" s="5" t="n">
        <v>46226</v>
      </c>
      <c r="D605" t="inlineStr">
        <is>
          <t>INV/2026/01964</t>
        </is>
      </c>
      <c r="E605" s="9" t="n">
        <v>417.98</v>
      </c>
      <c r="F605" s="9" t="n">
        <v>417.98</v>
      </c>
      <c r="G605" s="9">
        <f>ROUND(E605-F605,2)</f>
        <v>0</v>
      </c>
    </row>
    <row r="606">
      <c r="A606" t="inlineStr">
        <is>
          <t>RA44915</t>
        </is>
      </c>
      <c r="B606" t="inlineStr">
        <is>
          <t>Acacia Plan Partners</t>
        </is>
      </c>
      <c r="C606" s="5" t="n">
        <v>46226</v>
      </c>
      <c r="D606" t="inlineStr">
        <is>
          <t>INV/2026/01965</t>
        </is>
      </c>
      <c r="E606" s="9" t="n">
        <v>242.49</v>
      </c>
      <c r="F606" s="9" t="n">
        <v>242.49</v>
      </c>
      <c r="G606" s="9">
        <f>ROUND(E606-F606,2)</f>
        <v>0</v>
      </c>
    </row>
    <row r="607">
      <c r="A607" t="inlineStr">
        <is>
          <t>RA44915</t>
        </is>
      </c>
      <c r="B607" t="inlineStr">
        <is>
          <t>Acacia Plan Partners</t>
        </is>
      </c>
      <c r="C607" s="5" t="n">
        <v>46226</v>
      </c>
      <c r="D607" t="inlineStr">
        <is>
          <t>INV/2026/01966</t>
        </is>
      </c>
      <c r="E607" s="9" t="n">
        <v>193.99</v>
      </c>
      <c r="F607" s="9" t="n">
        <v>193.99</v>
      </c>
      <c r="G607" s="9">
        <f>ROUND(E607-F607,2)</f>
        <v>0</v>
      </c>
    </row>
    <row r="608">
      <c r="A608" t="inlineStr">
        <is>
          <t>RA44915</t>
        </is>
      </c>
      <c r="B608" t="inlineStr">
        <is>
          <t>Acacia Plan Partners</t>
        </is>
      </c>
      <c r="C608" s="5" t="n">
        <v>46226</v>
      </c>
      <c r="D608" t="inlineStr">
        <is>
          <t>INV/2026/01987</t>
        </is>
      </c>
      <c r="E608" s="9" t="n">
        <v>242.49</v>
      </c>
      <c r="F608" s="9" t="n">
        <v>242.49</v>
      </c>
      <c r="G608" s="9">
        <f>ROUND(E608-F608,2)</f>
        <v>0</v>
      </c>
    </row>
    <row r="609">
      <c r="A609" t="inlineStr">
        <is>
          <t>RA44916</t>
        </is>
      </c>
      <c r="B609" t="inlineStr">
        <is>
          <t>Mallee Plan Services</t>
        </is>
      </c>
      <c r="C609" s="5" t="n">
        <v>46226</v>
      </c>
      <c r="D609" t="inlineStr">
        <is>
          <t>INV/2026/02226</t>
        </is>
      </c>
      <c r="E609" s="9" t="n">
        <v>290.98</v>
      </c>
      <c r="F609" s="9" t="n">
        <v>290.98</v>
      </c>
      <c r="G609" s="9">
        <f>ROUND(E609-F609,2)</f>
        <v>0</v>
      </c>
    </row>
    <row r="610">
      <c r="A610" t="inlineStr">
        <is>
          <t>RA44916</t>
        </is>
      </c>
      <c r="B610" t="inlineStr">
        <is>
          <t>Mallee Plan Services</t>
        </is>
      </c>
      <c r="C610" s="5" t="n">
        <v>46226</v>
      </c>
      <c r="D610" t="inlineStr">
        <is>
          <t>INV/2026/02228</t>
        </is>
      </c>
      <c r="E610" s="9" t="n">
        <v>145.49</v>
      </c>
      <c r="F610" s="9" t="n">
        <v>145.49</v>
      </c>
      <c r="G610" s="9">
        <f>ROUND(E610-F610,2)</f>
        <v>0</v>
      </c>
    </row>
    <row r="611">
      <c r="A611" t="inlineStr">
        <is>
          <t>RA44917</t>
        </is>
      </c>
      <c r="B611" t="inlineStr">
        <is>
          <t>Bluegum Plan Management</t>
        </is>
      </c>
      <c r="C611" s="5" t="n">
        <v>46227</v>
      </c>
      <c r="D611" t="inlineStr">
        <is>
          <t>INV/2026/01796</t>
        </is>
      </c>
      <c r="E611" s="9" t="n">
        <v>290.98</v>
      </c>
      <c r="F611" s="9" t="n">
        <v>290.98</v>
      </c>
      <c r="G611" s="9">
        <f>ROUND(E611-F611,2)</f>
        <v>0</v>
      </c>
    </row>
    <row r="612">
      <c r="A612" t="inlineStr">
        <is>
          <t>RA44917</t>
        </is>
      </c>
      <c r="B612" t="inlineStr">
        <is>
          <t>Bluegum Plan Management</t>
        </is>
      </c>
      <c r="C612" s="5" t="n">
        <v>46227</v>
      </c>
      <c r="D612" t="inlineStr">
        <is>
          <t>INV/2026/01826</t>
        </is>
      </c>
      <c r="E612" s="9" t="n">
        <v>96.98999999999999</v>
      </c>
      <c r="F612" s="9" t="n">
        <v>96.98999999999999</v>
      </c>
      <c r="G612" s="9">
        <f>ROUND(E612-F612,2)</f>
        <v>0</v>
      </c>
    </row>
    <row r="613">
      <c r="A613" t="inlineStr">
        <is>
          <t>RA44917</t>
        </is>
      </c>
      <c r="B613" t="inlineStr">
        <is>
          <t>Bluegum Plan Management</t>
        </is>
      </c>
      <c r="C613" s="5" t="n">
        <v>46227</v>
      </c>
      <c r="D613" t="inlineStr">
        <is>
          <t>INV/2026/01843</t>
        </is>
      </c>
      <c r="E613" s="9" t="n">
        <v>242.49</v>
      </c>
      <c r="F613" s="9" t="n">
        <v>242.49</v>
      </c>
      <c r="G613" s="9">
        <f>ROUND(E613-F613,2)</f>
        <v>0</v>
      </c>
    </row>
    <row r="614">
      <c r="A614" t="inlineStr">
        <is>
          <t>RA44917</t>
        </is>
      </c>
      <c r="B614" t="inlineStr">
        <is>
          <t>Bluegum Plan Management</t>
        </is>
      </c>
      <c r="C614" s="5" t="n">
        <v>46227</v>
      </c>
      <c r="D614" t="inlineStr">
        <is>
          <t>INV/2026/01844</t>
        </is>
      </c>
      <c r="E614" s="9" t="n">
        <v>96.98999999999999</v>
      </c>
      <c r="F614" s="9" t="n">
        <v>96.98999999999999</v>
      </c>
      <c r="G614" s="9">
        <f>ROUND(E614-F614,2)</f>
        <v>0</v>
      </c>
    </row>
    <row r="615">
      <c r="A615" t="inlineStr">
        <is>
          <t>RA44917</t>
        </is>
      </c>
      <c r="B615" t="inlineStr">
        <is>
          <t>Bluegum Plan Management</t>
        </is>
      </c>
      <c r="C615" s="5" t="n">
        <v>46227</v>
      </c>
      <c r="D615" t="inlineStr">
        <is>
          <t>INV/2026/01872</t>
        </is>
      </c>
      <c r="E615" s="9" t="n">
        <v>96.98999999999999</v>
      </c>
      <c r="F615" s="9" t="n">
        <v>96.98999999999999</v>
      </c>
      <c r="G615" s="9">
        <f>ROUND(E615-F615,2)</f>
        <v>0</v>
      </c>
    </row>
    <row r="616">
      <c r="A616" t="inlineStr">
        <is>
          <t>RA44917</t>
        </is>
      </c>
      <c r="B616" t="inlineStr">
        <is>
          <t>Bluegum Plan Management</t>
        </is>
      </c>
      <c r="C616" s="5" t="n">
        <v>46227</v>
      </c>
      <c r="D616" t="inlineStr">
        <is>
          <t>INV/2026/01914</t>
        </is>
      </c>
      <c r="E616" s="9" t="n">
        <v>223.99</v>
      </c>
      <c r="F616" s="9" t="n">
        <v>223.99</v>
      </c>
      <c r="G616" s="9">
        <f>ROUND(E616-F616,2)</f>
        <v>0</v>
      </c>
    </row>
    <row r="617">
      <c r="A617" t="inlineStr">
        <is>
          <t>RA44918</t>
        </is>
      </c>
      <c r="B617" t="inlineStr">
        <is>
          <t>Wattle Plan Services</t>
        </is>
      </c>
      <c r="C617" s="5" t="n">
        <v>46227</v>
      </c>
      <c r="D617" t="inlineStr">
        <is>
          <t>INV/2026/01849</t>
        </is>
      </c>
      <c r="E617" s="9" t="n">
        <v>446.18</v>
      </c>
      <c r="F617" s="9" t="n">
        <v>446.18</v>
      </c>
      <c r="G617" s="9">
        <f>ROUND(E617-F617,2)</f>
        <v>0</v>
      </c>
    </row>
    <row r="618">
      <c r="A618" t="inlineStr">
        <is>
          <t>RA44918</t>
        </is>
      </c>
      <c r="B618" t="inlineStr">
        <is>
          <t>Wattle Plan Services</t>
        </is>
      </c>
      <c r="C618" s="5" t="n">
        <v>46227</v>
      </c>
      <c r="D618" t="inlineStr">
        <is>
          <t>INV/2026/01879</t>
        </is>
      </c>
      <c r="E618" s="9" t="n">
        <v>145.49</v>
      </c>
      <c r="F618" s="9" t="n">
        <v>145.49</v>
      </c>
      <c r="G618" s="9">
        <f>ROUND(E618-F618,2)</f>
        <v>0</v>
      </c>
    </row>
    <row r="619">
      <c r="A619" t="inlineStr">
        <is>
          <t>RA44918</t>
        </is>
      </c>
      <c r="B619" t="inlineStr">
        <is>
          <t>Wattle Plan Services</t>
        </is>
      </c>
      <c r="C619" s="5" t="n">
        <v>46227</v>
      </c>
      <c r="D619" t="inlineStr">
        <is>
          <t>INV/2026/01880</t>
        </is>
      </c>
      <c r="E619" s="9" t="n">
        <v>242.49</v>
      </c>
      <c r="F619" s="9" t="n">
        <v>242.49</v>
      </c>
      <c r="G619" s="9">
        <f>ROUND(E619-F619,2)</f>
        <v>0</v>
      </c>
    </row>
    <row r="620">
      <c r="A620" t="inlineStr">
        <is>
          <t>RA44918</t>
        </is>
      </c>
      <c r="B620" t="inlineStr">
        <is>
          <t>Wattle Plan Services</t>
        </is>
      </c>
      <c r="C620" s="5" t="n">
        <v>46227</v>
      </c>
      <c r="D620" t="inlineStr">
        <is>
          <t>INV/2026/01896</t>
        </is>
      </c>
      <c r="E620" s="9" t="n">
        <v>320.98</v>
      </c>
      <c r="F620" s="9" t="n">
        <v>320.98</v>
      </c>
      <c r="G620" s="9">
        <f>ROUND(E620-F620,2)</f>
        <v>0</v>
      </c>
    </row>
    <row r="621">
      <c r="A621" t="inlineStr">
        <is>
          <t>RA44918</t>
        </is>
      </c>
      <c r="B621" t="inlineStr">
        <is>
          <t>Wattle Plan Services</t>
        </is>
      </c>
      <c r="C621" s="5" t="n">
        <v>46227</v>
      </c>
      <c r="D621" t="inlineStr">
        <is>
          <t>INV/2026/01897</t>
        </is>
      </c>
      <c r="E621" s="9" t="n">
        <v>387.98</v>
      </c>
      <c r="F621" s="9" t="n">
        <v>387.98</v>
      </c>
      <c r="G621" s="9">
        <f>ROUND(E621-F621,2)</f>
        <v>0</v>
      </c>
    </row>
    <row r="622">
      <c r="A622" t="inlineStr">
        <is>
          <t>RA44918</t>
        </is>
      </c>
      <c r="B622" t="inlineStr">
        <is>
          <t>Wattle Plan Services</t>
        </is>
      </c>
      <c r="C622" s="5" t="n">
        <v>46227</v>
      </c>
      <c r="D622" t="inlineStr">
        <is>
          <t>INV/2026/01919</t>
        </is>
      </c>
      <c r="E622" s="9" t="n">
        <v>290.98</v>
      </c>
      <c r="F622" s="9" t="n">
        <v>290.98</v>
      </c>
      <c r="G622" s="9">
        <f>ROUND(E622-F622,2)</f>
        <v>0</v>
      </c>
    </row>
    <row r="623">
      <c r="A623" t="inlineStr">
        <is>
          <t>RA44918</t>
        </is>
      </c>
      <c r="B623" t="inlineStr">
        <is>
          <t>Wattle Plan Services</t>
        </is>
      </c>
      <c r="C623" s="5" t="n">
        <v>46227</v>
      </c>
      <c r="D623" t="inlineStr">
        <is>
          <t>INV/2026/01920</t>
        </is>
      </c>
      <c r="E623" s="9" t="n">
        <v>223.99</v>
      </c>
      <c r="F623" s="9" t="n">
        <v>223.99</v>
      </c>
      <c r="G623" s="9">
        <f>ROUND(E623-F623,2)</f>
        <v>0</v>
      </c>
    </row>
    <row r="624">
      <c r="A624" t="inlineStr">
        <is>
          <t>RA44918</t>
        </is>
      </c>
      <c r="B624" t="inlineStr">
        <is>
          <t>Wattle Plan Services</t>
        </is>
      </c>
      <c r="C624" s="5" t="n">
        <v>46227</v>
      </c>
      <c r="D624" t="inlineStr">
        <is>
          <t>INV/2026/01948</t>
        </is>
      </c>
      <c r="E624" s="9" t="n">
        <v>387.98</v>
      </c>
      <c r="F624" s="9" t="n">
        <v>387.98</v>
      </c>
      <c r="G624" s="9">
        <f>ROUND(E624-F624,2)</f>
        <v>0</v>
      </c>
    </row>
    <row r="625">
      <c r="A625" t="inlineStr">
        <is>
          <t>RA44918</t>
        </is>
      </c>
      <c r="B625" t="inlineStr">
        <is>
          <t>Wattle Plan Services</t>
        </is>
      </c>
      <c r="C625" s="5" t="n">
        <v>46227</v>
      </c>
      <c r="D625" t="inlineStr">
        <is>
          <t>INV/2026/01976</t>
        </is>
      </c>
      <c r="E625" s="9" t="n">
        <v>387.98</v>
      </c>
      <c r="F625" s="9" t="n">
        <v>387.98</v>
      </c>
      <c r="G625" s="9">
        <f>ROUND(E625-F625,2)</f>
        <v>0</v>
      </c>
    </row>
    <row r="626">
      <c r="A626" t="inlineStr">
        <is>
          <t>RA44918</t>
        </is>
      </c>
      <c r="B626" t="inlineStr">
        <is>
          <t>Wattle Plan Services</t>
        </is>
      </c>
      <c r="C626" s="5" t="n">
        <v>46227</v>
      </c>
      <c r="D626" t="inlineStr">
        <is>
          <t>INV/2026/01977</t>
        </is>
      </c>
      <c r="E626" s="9" t="n">
        <v>145.49</v>
      </c>
      <c r="F626" s="9" t="n">
        <v>145.49</v>
      </c>
      <c r="G626" s="9">
        <f>ROUND(E626-F626,2)</f>
        <v>0</v>
      </c>
    </row>
    <row r="627">
      <c r="A627" t="inlineStr">
        <is>
          <t>RA44918</t>
        </is>
      </c>
      <c r="B627" t="inlineStr">
        <is>
          <t>Wattle Plan Services</t>
        </is>
      </c>
      <c r="C627" s="5" t="n">
        <v>46227</v>
      </c>
      <c r="D627" t="inlineStr">
        <is>
          <t>INV/2026/01996</t>
        </is>
      </c>
      <c r="E627" s="9" t="n">
        <v>290.98</v>
      </c>
      <c r="F627" s="9" t="n">
        <v>290.98</v>
      </c>
      <c r="G627" s="9">
        <f>ROUND(E627-F627,2)</f>
        <v>0</v>
      </c>
    </row>
    <row r="628">
      <c r="A628" t="inlineStr">
        <is>
          <t>RA44918</t>
        </is>
      </c>
      <c r="B628" t="inlineStr">
        <is>
          <t>Wattle Plan Services</t>
        </is>
      </c>
      <c r="C628" s="5" t="n">
        <v>46227</v>
      </c>
      <c r="D628" t="inlineStr">
        <is>
          <t>INV/2026/01997</t>
        </is>
      </c>
      <c r="E628" s="9" t="n">
        <v>223.99</v>
      </c>
      <c r="F628" s="9" t="n">
        <v>223.99</v>
      </c>
      <c r="G628" s="9">
        <f>ROUND(E628-F628,2)</f>
        <v>0</v>
      </c>
    </row>
    <row r="629">
      <c r="A629" t="inlineStr">
        <is>
          <t>RA44919</t>
        </is>
      </c>
      <c r="B629" t="inlineStr">
        <is>
          <t>Kookaburra Plan Support</t>
        </is>
      </c>
      <c r="C629" s="5" t="n">
        <v>46227</v>
      </c>
      <c r="D629" t="inlineStr">
        <is>
          <t>INV/2026/02192</t>
        </is>
      </c>
      <c r="E629" s="9" t="n">
        <v>193.99</v>
      </c>
      <c r="F629" s="9" t="n">
        <v>193.99</v>
      </c>
      <c r="G629" s="9">
        <f>ROUND(E629-F629,2)</f>
        <v>0</v>
      </c>
    </row>
    <row r="630">
      <c r="A630" t="inlineStr">
        <is>
          <t>RA44919</t>
        </is>
      </c>
      <c r="B630" t="inlineStr">
        <is>
          <t>Kookaburra Plan Support</t>
        </is>
      </c>
      <c r="C630" s="5" t="n">
        <v>46227</v>
      </c>
      <c r="D630" t="inlineStr">
        <is>
          <t>INV/2026/02193</t>
        </is>
      </c>
      <c r="E630" s="9" t="n">
        <v>417.98</v>
      </c>
      <c r="F630" s="9" t="n">
        <v>417.98</v>
      </c>
      <c r="G630" s="9">
        <f>ROUND(E630-F630,2)</f>
        <v>0</v>
      </c>
    </row>
    <row r="631">
      <c r="A631" t="inlineStr">
        <is>
          <t>RA44919</t>
        </is>
      </c>
      <c r="B631" t="inlineStr">
        <is>
          <t>Kookaburra Plan Support</t>
        </is>
      </c>
      <c r="C631" s="5" t="n">
        <v>46227</v>
      </c>
      <c r="D631" t="inlineStr">
        <is>
          <t>INV/2026/02213</t>
        </is>
      </c>
      <c r="E631" s="9" t="n">
        <v>175.49</v>
      </c>
      <c r="F631" s="9" t="n">
        <v>175.49</v>
      </c>
      <c r="G631" s="9">
        <f>ROUND(E631-F631,2)</f>
        <v>0</v>
      </c>
    </row>
    <row r="632">
      <c r="A632" t="inlineStr">
        <is>
          <t>RA44920</t>
        </is>
      </c>
      <c r="B632" t="inlineStr">
        <is>
          <t>Saltbush Plan Managers</t>
        </is>
      </c>
      <c r="C632" s="5" t="n">
        <v>46227</v>
      </c>
      <c r="D632" t="inlineStr">
        <is>
          <t>INV/2026/01953</t>
        </is>
      </c>
      <c r="E632" s="9" t="n">
        <v>320.98</v>
      </c>
      <c r="F632" s="9" t="n">
        <v>320.98</v>
      </c>
      <c r="G632" s="9">
        <f>ROUND(E632-F632,2)</f>
        <v>0</v>
      </c>
    </row>
    <row r="633">
      <c r="A633" t="inlineStr">
        <is>
          <t>RA44920</t>
        </is>
      </c>
      <c r="B633" t="inlineStr">
        <is>
          <t>Saltbush Plan Managers</t>
        </is>
      </c>
      <c r="C633" s="5" t="n">
        <v>46227</v>
      </c>
      <c r="D633" t="inlineStr">
        <is>
          <t>INV/2026/01954</t>
        </is>
      </c>
      <c r="E633" s="9" t="n">
        <v>320.98</v>
      </c>
      <c r="F633" s="9" t="n">
        <v>320.98</v>
      </c>
      <c r="G633" s="9">
        <f>ROUND(E633-F633,2)</f>
        <v>0</v>
      </c>
    </row>
    <row r="634">
      <c r="A634" t="inlineStr">
        <is>
          <t>RA44920</t>
        </is>
      </c>
      <c r="B634" t="inlineStr">
        <is>
          <t>Saltbush Plan Managers</t>
        </is>
      </c>
      <c r="C634" s="5" t="n">
        <v>46227</v>
      </c>
      <c r="D634" t="inlineStr">
        <is>
          <t>INV/2026/01982</t>
        </is>
      </c>
      <c r="E634" s="9" t="n">
        <v>242.49</v>
      </c>
      <c r="F634" s="9" t="n">
        <v>242.49</v>
      </c>
      <c r="G634" s="9">
        <f>ROUND(E634-F634,2)</f>
        <v>0</v>
      </c>
    </row>
    <row r="635">
      <c r="A635" t="inlineStr">
        <is>
          <t>RA44920</t>
        </is>
      </c>
      <c r="B635" t="inlineStr">
        <is>
          <t>Saltbush Plan Managers</t>
        </is>
      </c>
      <c r="C635" s="5" t="n">
        <v>46227</v>
      </c>
      <c r="D635" t="inlineStr">
        <is>
          <t>INV/2026/01983</t>
        </is>
      </c>
      <c r="E635" s="9" t="n">
        <v>242.49</v>
      </c>
      <c r="F635" s="9" t="n">
        <v>242.49</v>
      </c>
      <c r="G635" s="9">
        <f>ROUND(E635-F635,2)</f>
        <v>0</v>
      </c>
    </row>
    <row r="636">
      <c r="A636" t="inlineStr">
        <is>
          <t>RA44920</t>
        </is>
      </c>
      <c r="B636" t="inlineStr">
        <is>
          <t>Saltbush Plan Managers</t>
        </is>
      </c>
      <c r="C636" s="5" t="n">
        <v>46227</v>
      </c>
      <c r="D636" t="inlineStr">
        <is>
          <t>INV/2026/02002</t>
        </is>
      </c>
      <c r="E636" s="9" t="n">
        <v>446.18</v>
      </c>
      <c r="F636" s="9" t="n">
        <v>446.18</v>
      </c>
      <c r="G636" s="9">
        <f>ROUND(E636-F636,2)</f>
        <v>0</v>
      </c>
    </row>
    <row r="637">
      <c r="A637" t="inlineStr">
        <is>
          <t>RA44920</t>
        </is>
      </c>
      <c r="B637" t="inlineStr">
        <is>
          <t>Saltbush Plan Managers</t>
        </is>
      </c>
      <c r="C637" s="5" t="n">
        <v>46227</v>
      </c>
      <c r="D637" t="inlineStr">
        <is>
          <t>INV/2026/02003</t>
        </is>
      </c>
      <c r="E637" s="9" t="n">
        <v>290.98</v>
      </c>
      <c r="F637" s="9" t="n">
        <v>290.98</v>
      </c>
      <c r="G637" s="9">
        <f>ROUND(E637-F637,2)</f>
        <v>0</v>
      </c>
    </row>
    <row r="638">
      <c r="A638" t="inlineStr">
        <is>
          <t>RA44921</t>
        </is>
      </c>
      <c r="B638" t="inlineStr">
        <is>
          <t>Southern Cross Plan Mgmt</t>
        </is>
      </c>
      <c r="C638" s="5" t="n">
        <v>46227</v>
      </c>
      <c r="D638" t="inlineStr">
        <is>
          <t>INV/2026/01488</t>
        </is>
      </c>
      <c r="E638" s="9" t="n">
        <v>446.18</v>
      </c>
      <c r="F638" s="9" t="n">
        <v>446.18</v>
      </c>
      <c r="G638" s="9">
        <f>ROUND(E638-F638,2)</f>
        <v>0</v>
      </c>
    </row>
    <row r="639">
      <c r="A639" t="inlineStr">
        <is>
          <t>RA44921</t>
        </is>
      </c>
      <c r="B639" t="inlineStr">
        <is>
          <t>Southern Cross Plan Mgmt</t>
        </is>
      </c>
      <c r="C639" s="5" t="n">
        <v>46227</v>
      </c>
      <c r="D639" t="inlineStr">
        <is>
          <t>INV/2026/01509</t>
        </is>
      </c>
      <c r="E639" s="9" t="n">
        <v>193.99</v>
      </c>
      <c r="F639" s="9" t="n">
        <v>193.99</v>
      </c>
      <c r="G639" s="9">
        <f>ROUND(E639-F639,2)</f>
        <v>0</v>
      </c>
    </row>
    <row r="640">
      <c r="A640" t="inlineStr">
        <is>
          <t>RA44921</t>
        </is>
      </c>
      <c r="B640" t="inlineStr">
        <is>
          <t>Southern Cross Plan Mgmt</t>
        </is>
      </c>
      <c r="C640" s="5" t="n">
        <v>46227</v>
      </c>
      <c r="D640" t="inlineStr">
        <is>
          <t>INV/2026/01529</t>
        </is>
      </c>
      <c r="E640" s="9" t="n">
        <v>96.98999999999999</v>
      </c>
      <c r="F640" s="9" t="n">
        <v>96.98999999999999</v>
      </c>
      <c r="G640" s="9">
        <f>ROUND(E640-F640,2)</f>
        <v>0</v>
      </c>
    </row>
    <row r="641">
      <c r="A641" t="inlineStr">
        <is>
          <t>RA44922</t>
        </is>
      </c>
      <c r="B641" t="inlineStr">
        <is>
          <t>Lyrebird Plan Management</t>
        </is>
      </c>
      <c r="C641" s="5" t="n">
        <v>46227</v>
      </c>
      <c r="D641" t="inlineStr">
        <is>
          <t>INV/2026/02199</t>
        </is>
      </c>
      <c r="E641" s="9" t="n">
        <v>387.98</v>
      </c>
      <c r="F641" s="9" t="n">
        <v>387.98</v>
      </c>
      <c r="G641" s="9">
        <f>ROUND(E641-F641,2)</f>
        <v>0</v>
      </c>
    </row>
    <row r="642">
      <c r="A642" t="inlineStr">
        <is>
          <t>RA44922</t>
        </is>
      </c>
      <c r="B642" t="inlineStr">
        <is>
          <t>Lyrebird Plan Management</t>
        </is>
      </c>
      <c r="C642" s="5" t="n">
        <v>46227</v>
      </c>
      <c r="D642" t="inlineStr">
        <is>
          <t>INV/2026/02243</t>
        </is>
      </c>
      <c r="E642" s="9" t="n">
        <v>126.99</v>
      </c>
      <c r="F642" s="9" t="n">
        <v>126.99</v>
      </c>
      <c r="G642" s="9">
        <f>ROUND(E642-F642,2)</f>
        <v>0</v>
      </c>
    </row>
    <row r="643">
      <c r="A643" t="inlineStr">
        <is>
          <t>RA44923</t>
        </is>
      </c>
      <c r="B643" t="inlineStr">
        <is>
          <t>Acacia Plan Partners</t>
        </is>
      </c>
      <c r="C643" s="5" t="n">
        <v>46227</v>
      </c>
      <c r="D643" t="inlineStr">
        <is>
          <t>INV/2026/02015</t>
        </is>
      </c>
      <c r="E643" s="9" t="n">
        <v>175.49</v>
      </c>
      <c r="F643" s="9" t="n">
        <v>175.49</v>
      </c>
      <c r="G643" s="9">
        <f>ROUND(E643-F643,2)</f>
        <v>0</v>
      </c>
    </row>
    <row r="644">
      <c r="A644" t="inlineStr">
        <is>
          <t>RA44923</t>
        </is>
      </c>
      <c r="B644" t="inlineStr">
        <is>
          <t>Acacia Plan Partners</t>
        </is>
      </c>
      <c r="C644" s="5" t="n">
        <v>46227</v>
      </c>
      <c r="D644" t="inlineStr">
        <is>
          <t>INV/2026/02033</t>
        </is>
      </c>
      <c r="E644" s="9" t="n">
        <v>175.49</v>
      </c>
      <c r="F644" s="9" t="n">
        <v>175.49</v>
      </c>
      <c r="G644" s="9">
        <f>ROUND(E644-F644,2)</f>
        <v>0</v>
      </c>
    </row>
    <row r="645">
      <c r="A645" t="inlineStr">
        <is>
          <t>RA44923</t>
        </is>
      </c>
      <c r="B645" t="inlineStr">
        <is>
          <t>Acacia Plan Partners</t>
        </is>
      </c>
      <c r="C645" s="5" t="n">
        <v>46227</v>
      </c>
      <c r="D645" t="inlineStr">
        <is>
          <t>INV/2026/02060</t>
        </is>
      </c>
      <c r="E645" s="9" t="n">
        <v>96.98999999999999</v>
      </c>
      <c r="F645" s="9" t="n">
        <v>96.98999999999999</v>
      </c>
      <c r="G645" s="9">
        <f>ROUND(E645-F645,2)</f>
        <v>0</v>
      </c>
    </row>
    <row r="646">
      <c r="A646" t="inlineStr">
        <is>
          <t>RA44923</t>
        </is>
      </c>
      <c r="B646" t="inlineStr">
        <is>
          <t>Acacia Plan Partners</t>
        </is>
      </c>
      <c r="C646" s="5" t="n">
        <v>46227</v>
      </c>
      <c r="D646" t="inlineStr">
        <is>
          <t>INV/2026/02061</t>
        </is>
      </c>
      <c r="E646" s="9" t="n">
        <v>252.19</v>
      </c>
      <c r="F646" s="9" t="n">
        <v>252.19</v>
      </c>
      <c r="G646" s="9">
        <f>ROUND(E646-F646,2)</f>
        <v>0</v>
      </c>
    </row>
    <row r="647">
      <c r="A647" t="inlineStr">
        <is>
          <t>RA44923</t>
        </is>
      </c>
      <c r="B647" t="inlineStr">
        <is>
          <t>Acacia Plan Partners</t>
        </is>
      </c>
      <c r="C647" s="5" t="n">
        <v>46227</v>
      </c>
      <c r="D647" t="inlineStr">
        <is>
          <t>INV/2026/02083</t>
        </is>
      </c>
      <c r="E647" s="9" t="n">
        <v>272.49</v>
      </c>
      <c r="F647" s="9" t="n">
        <v>272.49</v>
      </c>
      <c r="G647" s="9">
        <f>ROUND(E647-F647,2)</f>
        <v>0</v>
      </c>
    </row>
    <row r="648">
      <c r="A648" t="inlineStr">
        <is>
          <t>RA44923</t>
        </is>
      </c>
      <c r="B648" t="inlineStr">
        <is>
          <t>Acacia Plan Partners</t>
        </is>
      </c>
      <c r="C648" s="5" t="n">
        <v>46227</v>
      </c>
      <c r="D648" t="inlineStr">
        <is>
          <t>INV/2026/02101</t>
        </is>
      </c>
      <c r="E648" s="9" t="n">
        <v>203.69</v>
      </c>
      <c r="F648" s="9" t="n">
        <v>203.69</v>
      </c>
      <c r="G648" s="9">
        <f>ROUND(E648-F648,2)</f>
        <v>0</v>
      </c>
    </row>
    <row r="649">
      <c r="A649" t="inlineStr">
        <is>
          <t>RA44923</t>
        </is>
      </c>
      <c r="B649" t="inlineStr">
        <is>
          <t>Acacia Plan Partners</t>
        </is>
      </c>
      <c r="C649" s="5" t="n">
        <v>46227</v>
      </c>
      <c r="D649" t="inlineStr">
        <is>
          <t>INV/2026/02127</t>
        </is>
      </c>
      <c r="E649" s="9" t="n">
        <v>242.49</v>
      </c>
      <c r="F649" s="9" t="n">
        <v>242.49</v>
      </c>
      <c r="G649" s="9">
        <f>ROUND(E649-F649,2)</f>
        <v>0</v>
      </c>
    </row>
    <row r="650">
      <c r="A650" t="inlineStr">
        <is>
          <t>RA44923</t>
        </is>
      </c>
      <c r="B650" t="inlineStr">
        <is>
          <t>Acacia Plan Partners</t>
        </is>
      </c>
      <c r="C650" s="5" t="n">
        <v>46227</v>
      </c>
      <c r="D650" t="inlineStr">
        <is>
          <t>INV/2026/02150</t>
        </is>
      </c>
      <c r="E650" s="9" t="n">
        <v>145.49</v>
      </c>
      <c r="F650" s="9" t="n">
        <v>145.49</v>
      </c>
      <c r="G650" s="9">
        <f>ROUND(E650-F650,2)</f>
        <v>0</v>
      </c>
    </row>
    <row r="651">
      <c r="A651" t="inlineStr">
        <is>
          <t>RA44924</t>
        </is>
      </c>
      <c r="B651" t="inlineStr">
        <is>
          <t>Bluegum Plan Management</t>
        </is>
      </c>
      <c r="C651" s="5" t="n">
        <v>46230</v>
      </c>
      <c r="D651" t="inlineStr">
        <is>
          <t>INV/2026/01915</t>
        </is>
      </c>
      <c r="E651" s="9" t="n">
        <v>387.98</v>
      </c>
      <c r="F651" s="9" t="n">
        <v>387.98</v>
      </c>
      <c r="G651" s="9">
        <f>ROUND(E651-F651,2)</f>
        <v>0</v>
      </c>
    </row>
    <row r="652">
      <c r="A652" t="inlineStr">
        <is>
          <t>RA44924</t>
        </is>
      </c>
      <c r="B652" t="inlineStr">
        <is>
          <t>Bluegum Plan Management</t>
        </is>
      </c>
      <c r="C652" s="5" t="n">
        <v>46230</v>
      </c>
      <c r="D652" t="inlineStr">
        <is>
          <t>INV/2026/01916</t>
        </is>
      </c>
      <c r="E652" s="9" t="n">
        <v>320.98</v>
      </c>
      <c r="F652" s="9" t="n">
        <v>320.98</v>
      </c>
      <c r="G652" s="9">
        <f>ROUND(E652-F652,2)</f>
        <v>0</v>
      </c>
    </row>
    <row r="653">
      <c r="A653" t="inlineStr">
        <is>
          <t>RA44924</t>
        </is>
      </c>
      <c r="B653" t="inlineStr">
        <is>
          <t>Bluegum Plan Management</t>
        </is>
      </c>
      <c r="C653" s="5" t="n">
        <v>46230</v>
      </c>
      <c r="D653" t="inlineStr">
        <is>
          <t>INV/2026/01992</t>
        </is>
      </c>
      <c r="E653" s="9" t="n">
        <v>242.49</v>
      </c>
      <c r="F653" s="9" t="n">
        <v>242.49</v>
      </c>
      <c r="G653" s="9">
        <f>ROUND(E653-F653,2)</f>
        <v>0</v>
      </c>
    </row>
    <row r="654">
      <c r="A654" t="inlineStr">
        <is>
          <t>RA44924</t>
        </is>
      </c>
      <c r="B654" t="inlineStr">
        <is>
          <t>Bluegum Plan Management</t>
        </is>
      </c>
      <c r="C654" s="5" t="n">
        <v>46230</v>
      </c>
      <c r="D654" t="inlineStr">
        <is>
          <t>INV/2026/01993</t>
        </is>
      </c>
      <c r="E654" s="9" t="n">
        <v>272.49</v>
      </c>
      <c r="F654" s="9" t="n">
        <v>272.49</v>
      </c>
      <c r="G654" s="9">
        <f>ROUND(E654-F654,2)</f>
        <v>0</v>
      </c>
    </row>
    <row r="655">
      <c r="A655" t="inlineStr">
        <is>
          <t>RA44925</t>
        </is>
      </c>
      <c r="B655" t="inlineStr">
        <is>
          <t>Riverbend Plan Partners</t>
        </is>
      </c>
      <c r="C655" s="5" t="n">
        <v>46230</v>
      </c>
      <c r="D655" t="inlineStr">
        <is>
          <t>INV/2026/02272</t>
        </is>
      </c>
      <c r="E655" s="9" t="n">
        <v>272.49</v>
      </c>
      <c r="F655" s="9" t="n">
        <v>272.49</v>
      </c>
      <c r="G655" s="9">
        <f>ROUND(E655-F655,2)</f>
        <v>0</v>
      </c>
    </row>
    <row r="656">
      <c r="A656" t="inlineStr">
        <is>
          <t>RA44926</t>
        </is>
      </c>
      <c r="B656" t="inlineStr">
        <is>
          <t>Banksia Plan Co</t>
        </is>
      </c>
      <c r="C656" s="5" t="n">
        <v>46230</v>
      </c>
      <c r="D656" t="inlineStr">
        <is>
          <t>INV/2026/02234</t>
        </is>
      </c>
      <c r="E656" s="9" t="n">
        <v>126.99</v>
      </c>
      <c r="F656" s="9" t="n">
        <v>126.99</v>
      </c>
      <c r="G656" s="9">
        <f>ROUND(E656-F656,2)</f>
        <v>0</v>
      </c>
    </row>
    <row r="657">
      <c r="A657" t="inlineStr">
        <is>
          <t>RA44926</t>
        </is>
      </c>
      <c r="B657" t="inlineStr">
        <is>
          <t>Banksia Plan Co</t>
        </is>
      </c>
      <c r="C657" s="5" t="n">
        <v>46230</v>
      </c>
      <c r="D657" t="inlineStr">
        <is>
          <t>INV/2026/02256</t>
        </is>
      </c>
      <c r="E657" s="9" t="n">
        <v>96.98999999999999</v>
      </c>
      <c r="F657" s="9" t="n">
        <v>96.98999999999999</v>
      </c>
      <c r="G657" s="9">
        <f>ROUND(E657-F657,2)</f>
        <v>0</v>
      </c>
    </row>
    <row r="658">
      <c r="A658" t="inlineStr">
        <is>
          <t>RA44926</t>
        </is>
      </c>
      <c r="B658" t="inlineStr">
        <is>
          <t>Banksia Plan Co</t>
        </is>
      </c>
      <c r="C658" s="5" t="n">
        <v>46230</v>
      </c>
      <c r="D658" t="inlineStr">
        <is>
          <t>INV/2026/02275</t>
        </is>
      </c>
      <c r="E658" s="9" t="n">
        <v>96.98999999999999</v>
      </c>
      <c r="F658" s="9" t="n">
        <v>96.98999999999999</v>
      </c>
      <c r="G658" s="9">
        <f>ROUND(E658-F658,2)</f>
        <v>0</v>
      </c>
    </row>
    <row r="659">
      <c r="A659" t="inlineStr">
        <is>
          <t>RA44926</t>
        </is>
      </c>
      <c r="B659" t="inlineStr">
        <is>
          <t>Banksia Plan Co</t>
        </is>
      </c>
      <c r="C659" s="5" t="n">
        <v>46230</v>
      </c>
      <c r="D659" t="inlineStr">
        <is>
          <t>INV/2026/02304</t>
        </is>
      </c>
      <c r="E659" s="9" t="n">
        <v>387.98</v>
      </c>
      <c r="F659" s="9" t="n">
        <v>387.98</v>
      </c>
      <c r="G659" s="9">
        <f>ROUND(E659-F659,2)</f>
        <v>0</v>
      </c>
    </row>
    <row r="660">
      <c r="A660" t="inlineStr">
        <is>
          <t>RA44927</t>
        </is>
      </c>
      <c r="B660" t="inlineStr">
        <is>
          <t>Ironbark Plan Management</t>
        </is>
      </c>
      <c r="C660" s="5" t="n">
        <v>46230</v>
      </c>
      <c r="D660" t="inlineStr">
        <is>
          <t>INV/2026/02189</t>
        </is>
      </c>
      <c r="E660" s="9" t="n">
        <v>290.98</v>
      </c>
      <c r="F660" s="9" t="n">
        <v>290.98</v>
      </c>
      <c r="G660" s="9">
        <f>ROUND(E660-F660,2)</f>
        <v>0</v>
      </c>
    </row>
    <row r="661">
      <c r="A661" t="inlineStr">
        <is>
          <t>RA44927</t>
        </is>
      </c>
      <c r="B661" t="inlineStr">
        <is>
          <t>Ironbark Plan Management</t>
        </is>
      </c>
      <c r="C661" s="5" t="n">
        <v>46230</v>
      </c>
      <c r="D661" t="inlineStr">
        <is>
          <t>INV/2026/02190</t>
        </is>
      </c>
      <c r="E661" s="9" t="n">
        <v>242.49</v>
      </c>
      <c r="F661" s="9" t="n">
        <v>242.49</v>
      </c>
      <c r="G661" s="9">
        <f>ROUND(E661-F661,2)</f>
        <v>0</v>
      </c>
    </row>
    <row r="662">
      <c r="A662" t="inlineStr">
        <is>
          <t>RA44927</t>
        </is>
      </c>
      <c r="B662" t="inlineStr">
        <is>
          <t>Ironbark Plan Management</t>
        </is>
      </c>
      <c r="C662" s="5" t="n">
        <v>46230</v>
      </c>
      <c r="D662" t="inlineStr">
        <is>
          <t>INV/2026/02210</t>
        </is>
      </c>
      <c r="E662" s="9" t="n">
        <v>290.98</v>
      </c>
      <c r="F662" s="9" t="n">
        <v>290.98</v>
      </c>
      <c r="G662" s="9">
        <f>ROUND(E662-F662,2)</f>
        <v>0</v>
      </c>
    </row>
    <row r="663">
      <c r="A663" t="inlineStr">
        <is>
          <t>RA44927</t>
        </is>
      </c>
      <c r="B663" t="inlineStr">
        <is>
          <t>Ironbark Plan Management</t>
        </is>
      </c>
      <c r="C663" s="5" t="n">
        <v>46230</v>
      </c>
      <c r="D663" t="inlineStr">
        <is>
          <t>INV/2026/02211</t>
        </is>
      </c>
      <c r="E663" s="9" t="n">
        <v>203.69</v>
      </c>
      <c r="F663" s="9" t="n">
        <v>203.69</v>
      </c>
      <c r="G663" s="9">
        <f>ROUND(E663-F663,2)</f>
        <v>0</v>
      </c>
    </row>
    <row r="664">
      <c r="A664" t="inlineStr">
        <is>
          <t>RA44927</t>
        </is>
      </c>
      <c r="B664" t="inlineStr">
        <is>
          <t>Ironbark Plan Management</t>
        </is>
      </c>
      <c r="C664" s="5" t="n">
        <v>46230</v>
      </c>
      <c r="D664" t="inlineStr">
        <is>
          <t>INV/2026/02235</t>
        </is>
      </c>
      <c r="E664" s="9" t="n">
        <v>242.49</v>
      </c>
      <c r="F664" s="9" t="n">
        <v>242.49</v>
      </c>
      <c r="G664" s="9">
        <f>ROUND(E664-F664,2)</f>
        <v>0</v>
      </c>
    </row>
    <row r="665">
      <c r="A665" t="inlineStr">
        <is>
          <t>RA44927</t>
        </is>
      </c>
      <c r="B665" t="inlineStr">
        <is>
          <t>Ironbark Plan Management</t>
        </is>
      </c>
      <c r="C665" s="5" t="n">
        <v>46230</v>
      </c>
      <c r="D665" t="inlineStr">
        <is>
          <t>INV/2026/02257</t>
        </is>
      </c>
      <c r="E665" s="9" t="n">
        <v>290.98</v>
      </c>
      <c r="F665" s="9" t="n">
        <v>290.98</v>
      </c>
      <c r="G665" s="9">
        <f>ROUND(E665-F665,2)</f>
        <v>0</v>
      </c>
    </row>
    <row r="666">
      <c r="A666" t="inlineStr">
        <is>
          <t>RA44927</t>
        </is>
      </c>
      <c r="B666" t="inlineStr">
        <is>
          <t>Ironbark Plan Management</t>
        </is>
      </c>
      <c r="C666" s="5" t="n">
        <v>46230</v>
      </c>
      <c r="D666" t="inlineStr">
        <is>
          <t>INV/2026/02289</t>
        </is>
      </c>
      <c r="E666" s="9" t="n">
        <v>145.49</v>
      </c>
      <c r="F666" s="9" t="n">
        <v>145.49</v>
      </c>
      <c r="G666" s="9">
        <f>ROUND(E666-F666,2)</f>
        <v>0</v>
      </c>
    </row>
    <row r="667">
      <c r="A667" t="inlineStr">
        <is>
          <t>RA44927</t>
        </is>
      </c>
      <c r="B667" t="inlineStr">
        <is>
          <t>Ironbark Plan Management</t>
        </is>
      </c>
      <c r="C667" s="5" t="n">
        <v>46230</v>
      </c>
      <c r="D667" t="inlineStr">
        <is>
          <t>INV/2026/02306</t>
        </is>
      </c>
      <c r="E667" s="9" t="n">
        <v>242.49</v>
      </c>
      <c r="F667" s="9" t="n">
        <v>242.49</v>
      </c>
      <c r="G667" s="9">
        <f>ROUND(E667-F667,2)</f>
        <v>0</v>
      </c>
    </row>
    <row r="668">
      <c r="A668" t="inlineStr">
        <is>
          <t>RA44928</t>
        </is>
      </c>
      <c r="B668" t="inlineStr">
        <is>
          <t>Kookaburra Plan Support</t>
        </is>
      </c>
      <c r="C668" s="5" t="n">
        <v>46230</v>
      </c>
      <c r="D668" t="inlineStr">
        <is>
          <t>INV/2026/02236</t>
        </is>
      </c>
      <c r="E668" s="9" t="n">
        <v>145.49</v>
      </c>
      <c r="F668" s="9" t="n">
        <v>145.49</v>
      </c>
      <c r="G668" s="9">
        <f>ROUND(E668-F668,2)</f>
        <v>0</v>
      </c>
    </row>
    <row r="669">
      <c r="A669" t="inlineStr">
        <is>
          <t>RA44928</t>
        </is>
      </c>
      <c r="B669" t="inlineStr">
        <is>
          <t>Kookaburra Plan Support</t>
        </is>
      </c>
      <c r="C669" s="5" t="n">
        <v>46230</v>
      </c>
      <c r="D669" t="inlineStr">
        <is>
          <t>INV/2026/02258</t>
        </is>
      </c>
      <c r="E669" s="9" t="n">
        <v>193.99</v>
      </c>
      <c r="F669" s="9" t="n">
        <v>193.99</v>
      </c>
      <c r="G669" s="9">
        <f>ROUND(E669-F669,2)</f>
        <v>0</v>
      </c>
    </row>
    <row r="670">
      <c r="A670" t="inlineStr">
        <is>
          <t>RA44928</t>
        </is>
      </c>
      <c r="B670" t="inlineStr">
        <is>
          <t>Kookaburra Plan Support</t>
        </is>
      </c>
      <c r="C670" s="5" t="n">
        <v>46230</v>
      </c>
      <c r="D670" t="inlineStr">
        <is>
          <t>INV/2026/02276</t>
        </is>
      </c>
      <c r="E670" s="9" t="n">
        <v>96.98999999999999</v>
      </c>
      <c r="F670" s="9" t="n">
        <v>96.98999999999999</v>
      </c>
      <c r="G670" s="9">
        <f>ROUND(E670-F670,2)</f>
        <v>0</v>
      </c>
    </row>
    <row r="671">
      <c r="A671" t="inlineStr">
        <is>
          <t>RA44929</t>
        </is>
      </c>
      <c r="B671" t="inlineStr">
        <is>
          <t>Redgum Plan Admin</t>
        </is>
      </c>
      <c r="C671" s="5" t="n">
        <v>46230</v>
      </c>
      <c r="D671" t="inlineStr">
        <is>
          <t>INV/2026/02216</t>
        </is>
      </c>
      <c r="E671" s="9" t="n">
        <v>446.18</v>
      </c>
      <c r="F671" s="9" t="n">
        <v>446.18</v>
      </c>
      <c r="G671" s="9">
        <f>ROUND(E671-F671,2)</f>
        <v>0</v>
      </c>
    </row>
    <row r="672">
      <c r="A672" t="inlineStr">
        <is>
          <t>RA44930</t>
        </is>
      </c>
      <c r="B672" t="inlineStr">
        <is>
          <t>Lyrebird Plan Management</t>
        </is>
      </c>
      <c r="C672" s="5" t="n">
        <v>46230</v>
      </c>
      <c r="D672" t="inlineStr">
        <is>
          <t>INV/2026/02265</t>
        </is>
      </c>
      <c r="E672" s="9" t="n">
        <v>446.18</v>
      </c>
      <c r="F672" s="9" t="n">
        <v>446.18</v>
      </c>
      <c r="G672" s="9">
        <f>ROUND(E672-F672,2)</f>
        <v>0</v>
      </c>
    </row>
    <row r="673">
      <c r="A673" t="inlineStr">
        <is>
          <t>RA44930</t>
        </is>
      </c>
      <c r="B673" t="inlineStr">
        <is>
          <t>Lyrebird Plan Management</t>
        </is>
      </c>
      <c r="C673" s="5" t="n">
        <v>46230</v>
      </c>
      <c r="D673" t="inlineStr">
        <is>
          <t>INV/2026/02280</t>
        </is>
      </c>
      <c r="E673" s="9" t="n">
        <v>290.98</v>
      </c>
      <c r="F673" s="9" t="n">
        <v>290.98</v>
      </c>
      <c r="G673" s="9">
        <f>ROUND(E673-F673,2)</f>
        <v>0</v>
      </c>
    </row>
    <row r="674">
      <c r="A674" t="inlineStr">
        <is>
          <t>RA44930</t>
        </is>
      </c>
      <c r="B674" t="inlineStr">
        <is>
          <t>Lyrebird Plan Management</t>
        </is>
      </c>
      <c r="C674" s="5" t="n">
        <v>46230</v>
      </c>
      <c r="D674" t="inlineStr">
        <is>
          <t>INV/2026/02281</t>
        </is>
      </c>
      <c r="E674" s="9" t="n">
        <v>96.98999999999999</v>
      </c>
      <c r="F674" s="9" t="n">
        <v>96.98999999999999</v>
      </c>
      <c r="G674" s="9">
        <f>ROUND(E674-F674,2)</f>
        <v>0</v>
      </c>
    </row>
    <row r="675">
      <c r="A675" t="inlineStr">
        <is>
          <t>RA44931</t>
        </is>
      </c>
      <c r="B675" t="inlineStr">
        <is>
          <t>Acacia Plan Partners</t>
        </is>
      </c>
      <c r="C675" s="5" t="n">
        <v>46230</v>
      </c>
      <c r="D675" t="inlineStr">
        <is>
          <t>INV/2026/02151</t>
        </is>
      </c>
      <c r="E675" s="9" t="n">
        <v>242.49</v>
      </c>
      <c r="F675" s="9" t="n">
        <v>242.49</v>
      </c>
      <c r="G675" s="9">
        <f>ROUND(E675-F675,2)</f>
        <v>0</v>
      </c>
    </row>
    <row r="676">
      <c r="A676" t="inlineStr">
        <is>
          <t>RA44931</t>
        </is>
      </c>
      <c r="B676" t="inlineStr">
        <is>
          <t>Acacia Plan Partners</t>
        </is>
      </c>
      <c r="C676" s="5" t="n">
        <v>46230</v>
      </c>
      <c r="D676" t="inlineStr">
        <is>
          <t>INV/2026/02152</t>
        </is>
      </c>
      <c r="E676" s="9" t="n">
        <v>300.69</v>
      </c>
      <c r="F676" s="9" t="n">
        <v>300.69</v>
      </c>
      <c r="G676" s="9">
        <f>ROUND(E676-F676,2)</f>
        <v>0</v>
      </c>
    </row>
    <row r="677">
      <c r="A677" t="inlineStr">
        <is>
          <t>RA44931</t>
        </is>
      </c>
      <c r="B677" t="inlineStr">
        <is>
          <t>Acacia Plan Partners</t>
        </is>
      </c>
      <c r="C677" s="5" t="n">
        <v>46230</v>
      </c>
      <c r="D677" t="inlineStr">
        <is>
          <t>INV/2026/02177</t>
        </is>
      </c>
      <c r="E677" s="9" t="n">
        <v>193.99</v>
      </c>
      <c r="F677" s="9" t="n">
        <v>193.99</v>
      </c>
      <c r="G677" s="9">
        <f>ROUND(E677-F677,2)</f>
        <v>0</v>
      </c>
    </row>
    <row r="678">
      <c r="A678" t="inlineStr">
        <is>
          <t>RA44931</t>
        </is>
      </c>
      <c r="B678" t="inlineStr">
        <is>
          <t>Acacia Plan Partners</t>
        </is>
      </c>
      <c r="C678" s="5" t="n">
        <v>46230</v>
      </c>
      <c r="D678" t="inlineStr">
        <is>
          <t>INV/2026/02178</t>
        </is>
      </c>
      <c r="E678" s="9" t="n">
        <v>145.49</v>
      </c>
      <c r="F678" s="9" t="n">
        <v>145.49</v>
      </c>
      <c r="G678" s="9">
        <f>ROUND(E678-F678,2)</f>
        <v>0</v>
      </c>
    </row>
    <row r="679">
      <c r="A679" t="inlineStr">
        <is>
          <t>RA44931</t>
        </is>
      </c>
      <c r="B679" t="inlineStr">
        <is>
          <t>Acacia Plan Partners</t>
        </is>
      </c>
      <c r="C679" s="5" t="n">
        <v>46230</v>
      </c>
      <c r="D679" t="inlineStr">
        <is>
          <t>INV/2026/02179</t>
        </is>
      </c>
      <c r="E679" s="9" t="n">
        <v>242.49</v>
      </c>
      <c r="F679" s="9" t="n">
        <v>242.49</v>
      </c>
      <c r="G679" s="9">
        <f>ROUND(E679-F679,2)</f>
        <v>0</v>
      </c>
    </row>
    <row r="680">
      <c r="A680" t="inlineStr">
        <is>
          <t>RA44931</t>
        </is>
      </c>
      <c r="B680" t="inlineStr">
        <is>
          <t>Acacia Plan Partners</t>
        </is>
      </c>
      <c r="C680" s="5" t="n">
        <v>46230</v>
      </c>
      <c r="D680" t="inlineStr">
        <is>
          <t>INV/2026/02200</t>
        </is>
      </c>
      <c r="E680" s="9" t="n">
        <v>272.49</v>
      </c>
      <c r="F680" s="9" t="n">
        <v>272.49</v>
      </c>
      <c r="G680" s="9">
        <f>ROUND(E680-F680,2)</f>
        <v>0</v>
      </c>
    </row>
    <row r="681">
      <c r="A681" t="inlineStr">
        <is>
          <t>RA44932</t>
        </is>
      </c>
      <c r="B681" t="inlineStr">
        <is>
          <t>Mallee Plan Services</t>
        </is>
      </c>
      <c r="C681" s="5" t="n">
        <v>46230</v>
      </c>
      <c r="D681" t="inlineStr">
        <is>
          <t>INV/2026/02246</t>
        </is>
      </c>
      <c r="E681" s="9" t="n">
        <v>290.98</v>
      </c>
      <c r="F681" s="9" t="n">
        <v>290.98</v>
      </c>
      <c r="G681" s="9">
        <f>ROUND(E681-F681,2)</f>
        <v>0</v>
      </c>
    </row>
    <row r="682">
      <c r="A682" t="inlineStr">
        <is>
          <t>RA44932</t>
        </is>
      </c>
      <c r="B682" t="inlineStr">
        <is>
          <t>Mallee Plan Services</t>
        </is>
      </c>
      <c r="C682" s="5" t="n">
        <v>46230</v>
      </c>
      <c r="D682" t="inlineStr">
        <is>
          <t>INV/2026/02269</t>
        </is>
      </c>
      <c r="E682" s="9" t="n">
        <v>175.49</v>
      </c>
      <c r="F682" s="9" t="n">
        <v>175.49</v>
      </c>
      <c r="G682" s="9">
        <f>ROUND(E682-F682,2)</f>
        <v>0</v>
      </c>
    </row>
    <row r="683">
      <c r="A683" t="inlineStr">
        <is>
          <t>RA44932</t>
        </is>
      </c>
      <c r="B683" t="inlineStr">
        <is>
          <t>Mallee Plan Services</t>
        </is>
      </c>
      <c r="C683" s="5" t="n">
        <v>46230</v>
      </c>
      <c r="D683" t="inlineStr">
        <is>
          <t>INV/2026/02283</t>
        </is>
      </c>
      <c r="E683" s="9" t="n">
        <v>272.49</v>
      </c>
      <c r="F683" s="9" t="n">
        <v>272.49</v>
      </c>
      <c r="G683" s="9">
        <f>ROUND(E683-F683,2)</f>
        <v>0</v>
      </c>
    </row>
    <row r="684">
      <c r="A684" t="inlineStr">
        <is>
          <t>RA44933</t>
        </is>
      </c>
      <c r="B684" t="inlineStr">
        <is>
          <t>Bluegum Plan Management</t>
        </is>
      </c>
      <c r="C684" s="5" t="n">
        <v>46231</v>
      </c>
      <c r="D684" t="inlineStr">
        <is>
          <t>INV/2026/02019</t>
        </is>
      </c>
      <c r="E684" s="9" t="n">
        <v>349.18</v>
      </c>
      <c r="F684" s="9" t="n">
        <v>349.18</v>
      </c>
      <c r="G684" s="9">
        <f>ROUND(E684-F684,2)</f>
        <v>0</v>
      </c>
    </row>
    <row r="685">
      <c r="A685" t="inlineStr">
        <is>
          <t>RA44933</t>
        </is>
      </c>
      <c r="B685" t="inlineStr">
        <is>
          <t>Bluegum Plan Management</t>
        </is>
      </c>
      <c r="C685" s="5" t="n">
        <v>46231</v>
      </c>
      <c r="D685" t="inlineStr">
        <is>
          <t>INV/2026/02037</t>
        </is>
      </c>
      <c r="E685" s="9" t="n">
        <v>145.49</v>
      </c>
      <c r="F685" s="9" t="n">
        <v>145.49</v>
      </c>
      <c r="G685" s="9">
        <f>ROUND(E685-F685,2)</f>
        <v>0</v>
      </c>
    </row>
    <row r="686">
      <c r="A686" t="inlineStr">
        <is>
          <t>RA44933</t>
        </is>
      </c>
      <c r="B686" t="inlineStr">
        <is>
          <t>Bluegum Plan Management</t>
        </is>
      </c>
      <c r="C686" s="5" t="n">
        <v>46231</v>
      </c>
      <c r="D686" t="inlineStr">
        <is>
          <t>INV/2026/02066</t>
        </is>
      </c>
      <c r="E686" s="9" t="n">
        <v>290.98</v>
      </c>
      <c r="F686" s="9" t="n">
        <v>290.98</v>
      </c>
      <c r="G686" s="9">
        <f>ROUND(E686-F686,2)</f>
        <v>0</v>
      </c>
    </row>
    <row r="687">
      <c r="A687" t="inlineStr">
        <is>
          <t>RA44933</t>
        </is>
      </c>
      <c r="B687" t="inlineStr">
        <is>
          <t>Bluegum Plan Management</t>
        </is>
      </c>
      <c r="C687" s="5" t="n">
        <v>46231</v>
      </c>
      <c r="D687" t="inlineStr">
        <is>
          <t>INV/2026/02067</t>
        </is>
      </c>
      <c r="E687" s="9" t="n">
        <v>252.19</v>
      </c>
      <c r="F687" s="9" t="n">
        <v>252.19</v>
      </c>
      <c r="G687" s="9">
        <f>ROUND(E687-F687,2)</f>
        <v>0</v>
      </c>
    </row>
    <row r="688">
      <c r="A688" t="inlineStr">
        <is>
          <t>RA44933</t>
        </is>
      </c>
      <c r="B688" t="inlineStr">
        <is>
          <t>Bluegum Plan Management</t>
        </is>
      </c>
      <c r="C688" s="5" t="n">
        <v>46231</v>
      </c>
      <c r="D688" t="inlineStr">
        <is>
          <t>INV/2026/02068</t>
        </is>
      </c>
      <c r="E688" s="9" t="n">
        <v>193.99</v>
      </c>
      <c r="F688" s="9" t="n">
        <v>193.99</v>
      </c>
      <c r="G688" s="9">
        <f>ROUND(E688-F688,2)</f>
        <v>0</v>
      </c>
    </row>
    <row r="689">
      <c r="A689" t="inlineStr">
        <is>
          <t>RA44933</t>
        </is>
      </c>
      <c r="B689" t="inlineStr">
        <is>
          <t>Bluegum Plan Management</t>
        </is>
      </c>
      <c r="C689" s="5" t="n">
        <v>46231</v>
      </c>
      <c r="D689" t="inlineStr">
        <is>
          <t>INV/2026/02088</t>
        </is>
      </c>
      <c r="E689" s="9" t="n">
        <v>387.98</v>
      </c>
      <c r="F689" s="9" t="n">
        <v>387.98</v>
      </c>
      <c r="G689" s="9">
        <f>ROUND(E689-F689,2)</f>
        <v>0</v>
      </c>
    </row>
    <row r="690">
      <c r="A690" t="inlineStr">
        <is>
          <t>RA44934</t>
        </is>
      </c>
      <c r="B690" t="inlineStr">
        <is>
          <t>Riverbend Plan Partners</t>
        </is>
      </c>
      <c r="C690" s="5" t="n">
        <v>46231</v>
      </c>
      <c r="D690" t="inlineStr">
        <is>
          <t>INV/2026/02249</t>
        </is>
      </c>
      <c r="E690" s="9" t="n">
        <v>272.49</v>
      </c>
      <c r="F690" s="9" t="n">
        <v>272.49</v>
      </c>
      <c r="G690" s="9">
        <f>ROUND(E690-F690,2)</f>
        <v>0</v>
      </c>
    </row>
    <row r="691">
      <c r="A691" t="inlineStr">
        <is>
          <t>RA44934</t>
        </is>
      </c>
      <c r="B691" t="inlineStr">
        <is>
          <t>Riverbend Plan Partners</t>
        </is>
      </c>
      <c r="C691" s="5" t="n">
        <v>46231</v>
      </c>
      <c r="D691" t="inlineStr">
        <is>
          <t>INV/2026/02285</t>
        </is>
      </c>
      <c r="E691" s="9" t="n">
        <v>320.98</v>
      </c>
      <c r="F691" s="9" t="n">
        <v>320.98</v>
      </c>
      <c r="G691" s="9">
        <f>ROUND(E691-F691,2)</f>
        <v>0</v>
      </c>
    </row>
    <row r="692">
      <c r="A692" t="inlineStr">
        <is>
          <t>RA44934</t>
        </is>
      </c>
      <c r="B692" t="inlineStr">
        <is>
          <t>Riverbend Plan Partners</t>
        </is>
      </c>
      <c r="C692" s="5" t="n">
        <v>46231</v>
      </c>
      <c r="D692" t="inlineStr">
        <is>
          <t>INV/2026/02286</t>
        </is>
      </c>
      <c r="E692" s="9" t="n">
        <v>175.49</v>
      </c>
      <c r="F692" s="9" t="n">
        <v>175.49</v>
      </c>
      <c r="G692" s="9">
        <f>ROUND(E692-F692,2)</f>
        <v>0</v>
      </c>
    </row>
    <row r="693">
      <c r="A693" t="inlineStr">
        <is>
          <t>RA44935</t>
        </is>
      </c>
      <c r="B693" t="inlineStr">
        <is>
          <t>Clearpath NDIS Plans</t>
        </is>
      </c>
      <c r="C693" s="5" t="n">
        <v>46231</v>
      </c>
      <c r="D693" t="inlineStr">
        <is>
          <t>INV/2026/02205</t>
        </is>
      </c>
      <c r="E693" s="9" t="n">
        <v>145.49</v>
      </c>
      <c r="F693" s="9" t="n">
        <v>145.49</v>
      </c>
      <c r="G693" s="9">
        <f>ROUND(E693-F693,2)</f>
        <v>0</v>
      </c>
    </row>
    <row r="694">
      <c r="A694" t="inlineStr">
        <is>
          <t>RA44935</t>
        </is>
      </c>
      <c r="B694" t="inlineStr">
        <is>
          <t>Clearpath NDIS Plans</t>
        </is>
      </c>
      <c r="C694" s="5" t="n">
        <v>46231</v>
      </c>
      <c r="D694" t="inlineStr">
        <is>
          <t>INV/2026/02231</t>
        </is>
      </c>
      <c r="E694" s="9" t="n">
        <v>223.99</v>
      </c>
      <c r="F694" s="9" t="n">
        <v>223.99</v>
      </c>
      <c r="G694" s="9">
        <f>ROUND(E694-F694,2)</f>
        <v>0</v>
      </c>
    </row>
    <row r="695">
      <c r="A695" t="inlineStr">
        <is>
          <t>RA44936</t>
        </is>
      </c>
      <c r="B695" t="inlineStr">
        <is>
          <t>Ironbark Plan Management</t>
        </is>
      </c>
      <c r="C695" s="5" t="n">
        <v>46231</v>
      </c>
      <c r="D695" t="inlineStr">
        <is>
          <t>INV/2026/02307</t>
        </is>
      </c>
      <c r="E695" s="9" t="n">
        <v>242.49</v>
      </c>
      <c r="F695" s="9" t="n">
        <v>242.49</v>
      </c>
      <c r="G695" s="9">
        <f>ROUND(E695-F695,2)</f>
        <v>0</v>
      </c>
    </row>
    <row r="696">
      <c r="A696" t="inlineStr">
        <is>
          <t>RA44937</t>
        </is>
      </c>
      <c r="B696" t="inlineStr">
        <is>
          <t>Kookaburra Plan Support</t>
        </is>
      </c>
      <c r="C696" s="5" t="n">
        <v>46231</v>
      </c>
      <c r="D696" t="inlineStr">
        <is>
          <t>INV/2026/02259</t>
        </is>
      </c>
      <c r="E696" s="9" t="n">
        <v>242.49</v>
      </c>
      <c r="F696" s="9" t="n">
        <v>242.49</v>
      </c>
      <c r="G696" s="9">
        <f>ROUND(E696-F696,2)</f>
        <v>0</v>
      </c>
    </row>
    <row r="697">
      <c r="A697" t="inlineStr">
        <is>
          <t>RA44938</t>
        </is>
      </c>
      <c r="B697" t="inlineStr">
        <is>
          <t>Saltbush Plan Managers</t>
        </is>
      </c>
      <c r="C697" s="5" t="n">
        <v>46231</v>
      </c>
      <c r="D697" t="inlineStr">
        <is>
          <t>INV/2026/02027</t>
        </is>
      </c>
      <c r="E697" s="9" t="n">
        <v>193.99</v>
      </c>
      <c r="F697" s="9" t="n">
        <v>193.99</v>
      </c>
      <c r="G697" s="9">
        <f>ROUND(E697-F697,2)</f>
        <v>0</v>
      </c>
    </row>
    <row r="698">
      <c r="A698" t="inlineStr">
        <is>
          <t>RA44938</t>
        </is>
      </c>
      <c r="B698" t="inlineStr">
        <is>
          <t>Saltbush Plan Managers</t>
        </is>
      </c>
      <c r="C698" s="5" t="n">
        <v>46231</v>
      </c>
      <c r="D698" t="inlineStr">
        <is>
          <t>INV/2026/02028</t>
        </is>
      </c>
      <c r="E698" s="9" t="n">
        <v>193.99</v>
      </c>
      <c r="F698" s="9" t="n">
        <v>193.99</v>
      </c>
      <c r="G698" s="9">
        <f>ROUND(E698-F698,2)</f>
        <v>0</v>
      </c>
    </row>
    <row r="699">
      <c r="A699" t="inlineStr">
        <is>
          <t>RA44938</t>
        </is>
      </c>
      <c r="B699" t="inlineStr">
        <is>
          <t>Saltbush Plan Managers</t>
        </is>
      </c>
      <c r="C699" s="5" t="n">
        <v>46231</v>
      </c>
      <c r="D699" t="inlineStr">
        <is>
          <t>INV/2026/02050</t>
        </is>
      </c>
      <c r="E699" s="9" t="n">
        <v>145.49</v>
      </c>
      <c r="F699" s="9" t="n">
        <v>145.49</v>
      </c>
      <c r="G699" s="9">
        <f>ROUND(E699-F699,2)</f>
        <v>0</v>
      </c>
    </row>
    <row r="700">
      <c r="A700" t="inlineStr">
        <is>
          <t>RA44938</t>
        </is>
      </c>
      <c r="B700" t="inlineStr">
        <is>
          <t>Saltbush Plan Managers</t>
        </is>
      </c>
      <c r="C700" s="5" t="n">
        <v>46231</v>
      </c>
      <c r="D700" t="inlineStr">
        <is>
          <t>INV/2026/02077</t>
        </is>
      </c>
      <c r="E700" s="9" t="n">
        <v>387.98</v>
      </c>
      <c r="F700" s="9" t="n">
        <v>387.98</v>
      </c>
      <c r="G700" s="9">
        <f>ROUND(E700-F700,2)</f>
        <v>0</v>
      </c>
    </row>
    <row r="701">
      <c r="A701" t="inlineStr">
        <is>
          <t>RA44938</t>
        </is>
      </c>
      <c r="B701" t="inlineStr">
        <is>
          <t>Saltbush Plan Managers</t>
        </is>
      </c>
      <c r="C701" s="5" t="n">
        <v>46231</v>
      </c>
      <c r="D701" t="inlineStr">
        <is>
          <t>INV/2026/02078</t>
        </is>
      </c>
      <c r="E701" s="9" t="n">
        <v>349.18</v>
      </c>
      <c r="F701" s="9" t="n">
        <v>349.18</v>
      </c>
      <c r="G701" s="9">
        <f>ROUND(E701-F701,2)</f>
        <v>0</v>
      </c>
    </row>
    <row r="702">
      <c r="A702" t="inlineStr">
        <is>
          <t>RA44938</t>
        </is>
      </c>
      <c r="B702" t="inlineStr">
        <is>
          <t>Saltbush Plan Managers</t>
        </is>
      </c>
      <c r="C702" s="5" t="n">
        <v>46231</v>
      </c>
      <c r="D702" t="inlineStr">
        <is>
          <t>INV/2026/02079</t>
        </is>
      </c>
      <c r="E702" s="9" t="n">
        <v>252.19</v>
      </c>
      <c r="F702" s="9" t="n">
        <v>252.19</v>
      </c>
      <c r="G702" s="9">
        <f>ROUND(E702-F702,2)</f>
        <v>0</v>
      </c>
    </row>
    <row r="703">
      <c r="A703" t="inlineStr">
        <is>
          <t>RA44938</t>
        </is>
      </c>
      <c r="B703" t="inlineStr">
        <is>
          <t>Saltbush Plan Managers</t>
        </is>
      </c>
      <c r="C703" s="5" t="n">
        <v>46231</v>
      </c>
      <c r="D703" t="inlineStr">
        <is>
          <t>INV/2026/02097</t>
        </is>
      </c>
      <c r="E703" s="9" t="n">
        <v>349.18</v>
      </c>
      <c r="F703" s="9" t="n">
        <v>349.18</v>
      </c>
      <c r="G703" s="9">
        <f>ROUND(E703-F703,2)</f>
        <v>0</v>
      </c>
    </row>
    <row r="704">
      <c r="A704" t="inlineStr">
        <is>
          <t>RA44938</t>
        </is>
      </c>
      <c r="B704" t="inlineStr">
        <is>
          <t>Saltbush Plan Managers</t>
        </is>
      </c>
      <c r="C704" s="5" t="n">
        <v>46231</v>
      </c>
      <c r="D704" t="inlineStr">
        <is>
          <t>INV/2026/02121</t>
        </is>
      </c>
      <c r="E704" s="9" t="n">
        <v>126.99</v>
      </c>
      <c r="F704" s="9" t="n">
        <v>126.99</v>
      </c>
      <c r="G704" s="9">
        <f>ROUND(E704-F704,2)</f>
        <v>0</v>
      </c>
    </row>
    <row r="705">
      <c r="A705" t="inlineStr">
        <is>
          <t>RA44939</t>
        </is>
      </c>
      <c r="B705" t="inlineStr">
        <is>
          <t>Southern Cross Plan Mgmt</t>
        </is>
      </c>
      <c r="C705" s="5" t="n">
        <v>46231</v>
      </c>
      <c r="D705" t="inlineStr">
        <is>
          <t>INV/2026/01547</t>
        </is>
      </c>
      <c r="E705" s="9" t="n">
        <v>320.98</v>
      </c>
      <c r="F705" s="9" t="n">
        <v>320.98</v>
      </c>
      <c r="G705" s="9">
        <f>ROUND(E705-F705,2)</f>
        <v>0</v>
      </c>
    </row>
    <row r="706">
      <c r="A706" t="inlineStr">
        <is>
          <t>RA44939</t>
        </is>
      </c>
      <c r="B706" t="inlineStr">
        <is>
          <t>Southern Cross Plan Mgmt</t>
        </is>
      </c>
      <c r="C706" s="5" t="n">
        <v>46231</v>
      </c>
      <c r="D706" t="inlineStr">
        <is>
          <t>INV/2026/01570</t>
        </is>
      </c>
      <c r="E706" s="9" t="n">
        <v>387.98</v>
      </c>
      <c r="F706" s="9" t="n">
        <v>387.98</v>
      </c>
      <c r="G706" s="9">
        <f>ROUND(E706-F706,2)</f>
        <v>0</v>
      </c>
    </row>
    <row r="707">
      <c r="A707" t="inlineStr">
        <is>
          <t>RA44939</t>
        </is>
      </c>
      <c r="B707" t="inlineStr">
        <is>
          <t>Southern Cross Plan Mgmt</t>
        </is>
      </c>
      <c r="C707" s="5" t="n">
        <v>46231</v>
      </c>
      <c r="D707" t="inlineStr">
        <is>
          <t>INV/2026/01571</t>
        </is>
      </c>
      <c r="E707" s="9" t="n">
        <v>252.19</v>
      </c>
      <c r="F707" s="9" t="n">
        <v>252.19</v>
      </c>
      <c r="G707" s="9">
        <f>ROUND(E707-F707,2)</f>
        <v>0</v>
      </c>
    </row>
    <row r="708">
      <c r="A708" t="inlineStr">
        <is>
          <t>RA44939</t>
        </is>
      </c>
      <c r="B708" t="inlineStr">
        <is>
          <t>Southern Cross Plan Mgmt</t>
        </is>
      </c>
      <c r="C708" s="5" t="n">
        <v>46231</v>
      </c>
      <c r="D708" t="inlineStr">
        <is>
          <t>INV/2026/01572</t>
        </is>
      </c>
      <c r="E708" s="9" t="n">
        <v>223.99</v>
      </c>
      <c r="F708" s="9" t="n">
        <v>223.99</v>
      </c>
      <c r="G708" s="9">
        <f>ROUND(E708-F708,2)</f>
        <v>0</v>
      </c>
    </row>
    <row r="709">
      <c r="A709" t="inlineStr">
        <is>
          <t>RA44939</t>
        </is>
      </c>
      <c r="B709" t="inlineStr">
        <is>
          <t>Southern Cross Plan Mgmt</t>
        </is>
      </c>
      <c r="C709" s="5" t="n">
        <v>46231</v>
      </c>
      <c r="D709" t="inlineStr">
        <is>
          <t>INV/2026/01601</t>
        </is>
      </c>
      <c r="E709" s="9" t="n">
        <v>96.98999999999999</v>
      </c>
      <c r="F709" s="9" t="n">
        <v>96.98999999999999</v>
      </c>
      <c r="G709" s="9">
        <f>ROUND(E709-F709,2)</f>
        <v>0</v>
      </c>
    </row>
    <row r="710">
      <c r="A710" t="inlineStr">
        <is>
          <t>RA44939</t>
        </is>
      </c>
      <c r="B710" t="inlineStr">
        <is>
          <t>Southern Cross Plan Mgmt</t>
        </is>
      </c>
      <c r="C710" s="5" t="n">
        <v>46231</v>
      </c>
      <c r="D710" t="inlineStr">
        <is>
          <t>INV/2026/01602</t>
        </is>
      </c>
      <c r="E710" s="9" t="n">
        <v>320.98</v>
      </c>
      <c r="F710" s="9" t="n">
        <v>320.98</v>
      </c>
      <c r="G710" s="9">
        <f>ROUND(E710-F710,2)</f>
        <v>0</v>
      </c>
    </row>
    <row r="711">
      <c r="A711" t="inlineStr">
        <is>
          <t>RA44940</t>
        </is>
      </c>
      <c r="B711" t="inlineStr">
        <is>
          <t>Acacia Plan Partners</t>
        </is>
      </c>
      <c r="C711" s="5" t="n">
        <v>46231</v>
      </c>
      <c r="D711" t="inlineStr">
        <is>
          <t>INV/2026/02223</t>
        </is>
      </c>
      <c r="E711" s="9" t="n">
        <v>193.99</v>
      </c>
      <c r="F711" s="9" t="n">
        <v>193.99</v>
      </c>
      <c r="G711" s="9">
        <f>ROUND(E711-F711,2)</f>
        <v>0</v>
      </c>
    </row>
    <row r="712">
      <c r="A712" t="inlineStr">
        <is>
          <t>RA44940</t>
        </is>
      </c>
      <c r="B712" t="inlineStr">
        <is>
          <t>Acacia Plan Partners</t>
        </is>
      </c>
      <c r="C712" s="5" t="n">
        <v>46231</v>
      </c>
      <c r="D712" t="inlineStr">
        <is>
          <t>INV/2026/02224</t>
        </is>
      </c>
      <c r="E712" s="9" t="n">
        <v>446.18</v>
      </c>
      <c r="F712" s="9" t="n">
        <v>446.18</v>
      </c>
      <c r="G712" s="9">
        <f>ROUND(E712-F712,2)</f>
        <v>0</v>
      </c>
    </row>
    <row r="713">
      <c r="A713" t="inlineStr">
        <is>
          <t>RA44940</t>
        </is>
      </c>
      <c r="B713" t="inlineStr">
        <is>
          <t>Acacia Plan Partners</t>
        </is>
      </c>
      <c r="C713" s="5" t="n">
        <v>46231</v>
      </c>
      <c r="D713" t="inlineStr">
        <is>
          <t>INV/2026/02225</t>
        </is>
      </c>
      <c r="E713" s="9" t="n">
        <v>96.98999999999999</v>
      </c>
      <c r="F713" s="9" t="n">
        <v>96.98999999999999</v>
      </c>
      <c r="G713" s="9">
        <f>ROUND(E713-F713,2)</f>
        <v>0</v>
      </c>
    </row>
    <row r="714">
      <c r="A714" t="inlineStr">
        <is>
          <t>RA44940</t>
        </is>
      </c>
      <c r="B714" t="inlineStr">
        <is>
          <t>Acacia Plan Partners</t>
        </is>
      </c>
      <c r="C714" s="5" t="n">
        <v>46231</v>
      </c>
      <c r="D714" t="inlineStr">
        <is>
          <t>INV/2026/02245</t>
        </is>
      </c>
      <c r="E714" s="9" t="n">
        <v>446.18</v>
      </c>
      <c r="F714" s="9" t="n">
        <v>446.18</v>
      </c>
      <c r="G714" s="9">
        <f>ROUND(E714-F714,2)</f>
        <v>0</v>
      </c>
    </row>
    <row r="715">
      <c r="A715" t="inlineStr">
        <is>
          <t>RA44940</t>
        </is>
      </c>
      <c r="B715" t="inlineStr">
        <is>
          <t>Acacia Plan Partners</t>
        </is>
      </c>
      <c r="C715" s="5" t="n">
        <v>46231</v>
      </c>
      <c r="D715" t="inlineStr">
        <is>
          <t>INV/2026/02266</t>
        </is>
      </c>
      <c r="E715" s="9" t="n">
        <v>193.99</v>
      </c>
      <c r="F715" s="9" t="n">
        <v>193.99</v>
      </c>
      <c r="G715" s="9">
        <f>ROUND(E715-F715,2)</f>
        <v>0</v>
      </c>
    </row>
    <row r="716">
      <c r="A716" t="inlineStr">
        <is>
          <t>RA44940</t>
        </is>
      </c>
      <c r="B716" t="inlineStr">
        <is>
          <t>Acacia Plan Partners</t>
        </is>
      </c>
      <c r="C716" s="5" t="n">
        <v>46231</v>
      </c>
      <c r="D716" t="inlineStr">
        <is>
          <t>INV/2026/02267</t>
        </is>
      </c>
      <c r="E716" s="9" t="n">
        <v>96.98999999999999</v>
      </c>
      <c r="F716" s="9" t="n">
        <v>96.98999999999999</v>
      </c>
      <c r="G716" s="9">
        <f>ROUND(E716-F716,2)</f>
        <v>0</v>
      </c>
    </row>
    <row r="717">
      <c r="A717" t="inlineStr">
        <is>
          <t>RA44940</t>
        </is>
      </c>
      <c r="B717" t="inlineStr">
        <is>
          <t>Acacia Plan Partners</t>
        </is>
      </c>
      <c r="C717" s="5" t="n">
        <v>46231</v>
      </c>
      <c r="D717" t="inlineStr">
        <is>
          <t>INV/2026/02268</t>
        </is>
      </c>
      <c r="E717" s="9" t="n">
        <v>193.99</v>
      </c>
      <c r="F717" s="9" t="n">
        <v>193.99</v>
      </c>
      <c r="G717" s="9">
        <f>ROUND(E717-F717,2)</f>
        <v>0</v>
      </c>
    </row>
    <row r="718">
      <c r="A718" t="inlineStr">
        <is>
          <t>RA44940</t>
        </is>
      </c>
      <c r="B718" t="inlineStr">
        <is>
          <t>Acacia Plan Partners</t>
        </is>
      </c>
      <c r="C718" s="5" t="n">
        <v>46231</v>
      </c>
      <c r="D718" t="inlineStr">
        <is>
          <t>INV/2026/02282</t>
        </is>
      </c>
      <c r="E718" s="9" t="n">
        <v>349.18</v>
      </c>
      <c r="F718" s="9" t="n">
        <v>349.18</v>
      </c>
      <c r="G718" s="9">
        <f>ROUND(E718-F718,2)</f>
        <v>0</v>
      </c>
    </row>
    <row r="719">
      <c r="A719" t="inlineStr">
        <is>
          <t>RA44940</t>
        </is>
      </c>
      <c r="B719" t="inlineStr">
        <is>
          <t>Acacia Plan Partners</t>
        </is>
      </c>
      <c r="C719" s="5" t="n">
        <v>46231</v>
      </c>
      <c r="D719" t="inlineStr">
        <is>
          <t>INV/2026/02294</t>
        </is>
      </c>
      <c r="E719" s="9" t="n">
        <v>96.98999999999999</v>
      </c>
      <c r="F719" s="9" t="n">
        <v>96.98999999999999</v>
      </c>
      <c r="G719" s="9">
        <f>ROUND(E719-F719,2)</f>
        <v>0</v>
      </c>
    </row>
    <row r="720">
      <c r="A720" t="inlineStr">
        <is>
          <t>RA44940</t>
        </is>
      </c>
      <c r="B720" t="inlineStr">
        <is>
          <t>Acacia Plan Partners</t>
        </is>
      </c>
      <c r="C720" s="5" t="n">
        <v>46231</v>
      </c>
      <c r="D720" t="inlineStr">
        <is>
          <t>INV/2026/02314</t>
        </is>
      </c>
      <c r="E720" s="9" t="n">
        <v>145.49</v>
      </c>
      <c r="F720" s="9" t="n">
        <v>145.49</v>
      </c>
      <c r="G720" s="9">
        <f>ROUND(E720-F720,2)</f>
        <v>0</v>
      </c>
    </row>
    <row r="721">
      <c r="A721" t="inlineStr">
        <is>
          <t>RA44941</t>
        </is>
      </c>
      <c r="B721" t="inlineStr">
        <is>
          <t>Riverbend Plan Partners</t>
        </is>
      </c>
      <c r="C721" s="5" t="n">
        <v>46232</v>
      </c>
      <c r="D721" t="inlineStr">
        <is>
          <t>INV/2026/02300</t>
        </is>
      </c>
      <c r="E721" s="9" t="n">
        <v>387.98</v>
      </c>
      <c r="F721" s="9" t="n">
        <v>387.98</v>
      </c>
      <c r="G721" s="9">
        <f>ROUND(E721-F721,2)</f>
        <v>0</v>
      </c>
    </row>
    <row r="722">
      <c r="A722" t="inlineStr">
        <is>
          <t>RA44942</t>
        </is>
      </c>
      <c r="B722" t="inlineStr">
        <is>
          <t>Wattle Plan Services</t>
        </is>
      </c>
      <c r="C722" s="5" t="n">
        <v>46232</v>
      </c>
      <c r="D722" t="inlineStr">
        <is>
          <t>INV/2026/01998</t>
        </is>
      </c>
      <c r="E722" s="9" t="n">
        <v>242.49</v>
      </c>
      <c r="F722" s="9" t="n">
        <v>242.49</v>
      </c>
      <c r="G722" s="9">
        <f>ROUND(E722-F722,2)</f>
        <v>0</v>
      </c>
    </row>
    <row r="723">
      <c r="A723" t="inlineStr">
        <is>
          <t>RA44942</t>
        </is>
      </c>
      <c r="B723" t="inlineStr">
        <is>
          <t>Wattle Plan Services</t>
        </is>
      </c>
      <c r="C723" s="5" t="n">
        <v>46232</v>
      </c>
      <c r="D723" t="inlineStr">
        <is>
          <t>INV/2026/02022</t>
        </is>
      </c>
      <c r="E723" s="9" t="n">
        <v>320.98</v>
      </c>
      <c r="F723" s="9" t="n">
        <v>320.98</v>
      </c>
      <c r="G723" s="9">
        <f>ROUND(E723-F723,2)</f>
        <v>0</v>
      </c>
    </row>
    <row r="724">
      <c r="A724" t="inlineStr">
        <is>
          <t>RA44942</t>
        </is>
      </c>
      <c r="B724" t="inlineStr">
        <is>
          <t>Wattle Plan Services</t>
        </is>
      </c>
      <c r="C724" s="5" t="n">
        <v>46232</v>
      </c>
      <c r="D724" t="inlineStr">
        <is>
          <t>INV/2026/02043</t>
        </is>
      </c>
      <c r="E724" s="9" t="n">
        <v>96.98999999999999</v>
      </c>
      <c r="F724" s="9" t="n">
        <v>96.98999999999999</v>
      </c>
      <c r="G724" s="9">
        <f>ROUND(E724-F724,2)</f>
        <v>0</v>
      </c>
    </row>
    <row r="725">
      <c r="A725" t="inlineStr">
        <is>
          <t>RA44942</t>
        </is>
      </c>
      <c r="B725" t="inlineStr">
        <is>
          <t>Wattle Plan Services</t>
        </is>
      </c>
      <c r="C725" s="5" t="n">
        <v>46232</v>
      </c>
      <c r="D725" t="inlineStr">
        <is>
          <t>INV/2026/02044</t>
        </is>
      </c>
      <c r="E725" s="9" t="n">
        <v>203.69</v>
      </c>
      <c r="F725" s="9" t="n">
        <v>203.69</v>
      </c>
      <c r="G725" s="9">
        <f>ROUND(E725-F725,2)</f>
        <v>0</v>
      </c>
    </row>
    <row r="726">
      <c r="A726" t="inlineStr">
        <is>
          <t>RA44943</t>
        </is>
      </c>
      <c r="B726" t="inlineStr">
        <is>
          <t>Banksia Plan Co</t>
        </is>
      </c>
      <c r="C726" s="5" t="n">
        <v>46232</v>
      </c>
      <c r="D726" t="inlineStr">
        <is>
          <t>INV/2026/02255</t>
        </is>
      </c>
      <c r="E726" s="9" t="n">
        <v>193.99</v>
      </c>
      <c r="F726" s="9" t="n">
        <v>193.99</v>
      </c>
      <c r="G726" s="9">
        <f>ROUND(E726-F726,2)</f>
        <v>0</v>
      </c>
    </row>
    <row r="727">
      <c r="A727" t="inlineStr">
        <is>
          <t>RA44943</t>
        </is>
      </c>
      <c r="B727" t="inlineStr">
        <is>
          <t>Banksia Plan Co</t>
        </is>
      </c>
      <c r="C727" s="5" t="n">
        <v>46232</v>
      </c>
      <c r="D727" t="inlineStr">
        <is>
          <t>INV/2026/02305</t>
        </is>
      </c>
      <c r="E727" s="9" t="n">
        <v>290.98</v>
      </c>
      <c r="F727" s="9" t="n">
        <v>290.98</v>
      </c>
      <c r="G727" s="9">
        <f>ROUND(E727-F727,2)</f>
        <v>0</v>
      </c>
    </row>
    <row r="728">
      <c r="A728" t="inlineStr">
        <is>
          <t>RA44944</t>
        </is>
      </c>
      <c r="B728" t="inlineStr">
        <is>
          <t>Saltbush Plan Managers</t>
        </is>
      </c>
      <c r="C728" s="5" t="n">
        <v>46232</v>
      </c>
      <c r="D728" t="inlineStr">
        <is>
          <t>INV/2026/02122</t>
        </is>
      </c>
      <c r="E728" s="9" t="n">
        <v>193.99</v>
      </c>
      <c r="F728" s="9" t="n">
        <v>193.99</v>
      </c>
      <c r="G728" s="9">
        <f>ROUND(E728-F728,2)</f>
        <v>0</v>
      </c>
    </row>
    <row r="729">
      <c r="A729" t="inlineStr">
        <is>
          <t>RA44944</t>
        </is>
      </c>
      <c r="B729" t="inlineStr">
        <is>
          <t>Saltbush Plan Managers</t>
        </is>
      </c>
      <c r="C729" s="5" t="n">
        <v>46232</v>
      </c>
      <c r="D729" t="inlineStr">
        <is>
          <t>INV/2026/02167</t>
        </is>
      </c>
      <c r="E729" s="9" t="n">
        <v>96.98999999999999</v>
      </c>
      <c r="F729" s="9" t="n">
        <v>96.98999999999999</v>
      </c>
      <c r="G729" s="9">
        <f>ROUND(E729-F729,2)</f>
        <v>0</v>
      </c>
    </row>
    <row r="730">
      <c r="A730" t="inlineStr">
        <is>
          <t>RA44944</t>
        </is>
      </c>
      <c r="B730" t="inlineStr">
        <is>
          <t>Saltbush Plan Managers</t>
        </is>
      </c>
      <c r="C730" s="5" t="n">
        <v>46232</v>
      </c>
      <c r="D730" t="inlineStr">
        <is>
          <t>INV/2026/02168</t>
        </is>
      </c>
      <c r="E730" s="9" t="n">
        <v>193.99</v>
      </c>
      <c r="F730" s="9" t="n">
        <v>193.99</v>
      </c>
      <c r="G730" s="9">
        <f>ROUND(E730-F730,2)</f>
        <v>0</v>
      </c>
    </row>
    <row r="731">
      <c r="A731" t="inlineStr">
        <is>
          <t>RA44944</t>
        </is>
      </c>
      <c r="B731" t="inlineStr">
        <is>
          <t>Saltbush Plan Managers</t>
        </is>
      </c>
      <c r="C731" s="5" t="n">
        <v>46232</v>
      </c>
      <c r="D731" t="inlineStr">
        <is>
          <t>INV/2026/02194</t>
        </is>
      </c>
      <c r="E731" s="9" t="n">
        <v>145.49</v>
      </c>
      <c r="F731" s="9" t="n">
        <v>145.49</v>
      </c>
      <c r="G731" s="9">
        <f>ROUND(E731-F731,2)</f>
        <v>0</v>
      </c>
    </row>
    <row r="732">
      <c r="A732" t="inlineStr">
        <is>
          <t>RA44944</t>
        </is>
      </c>
      <c r="B732" t="inlineStr">
        <is>
          <t>Saltbush Plan Managers</t>
        </is>
      </c>
      <c r="C732" s="5" t="n">
        <v>46232</v>
      </c>
      <c r="D732" t="inlineStr">
        <is>
          <t>INV/2026/02195</t>
        </is>
      </c>
      <c r="E732" s="9" t="n">
        <v>290.98</v>
      </c>
      <c r="F732" s="9" t="n">
        <v>290.98</v>
      </c>
      <c r="G732" s="9">
        <f>ROUND(E732-F732,2)</f>
        <v>0</v>
      </c>
    </row>
    <row r="733">
      <c r="A733" t="inlineStr">
        <is>
          <t>RA44944</t>
        </is>
      </c>
      <c r="B733" t="inlineStr">
        <is>
          <t>Saltbush Plan Managers</t>
        </is>
      </c>
      <c r="C733" s="5" t="n">
        <v>46232</v>
      </c>
      <c r="D733" t="inlineStr">
        <is>
          <t>INV/2026/02214</t>
        </is>
      </c>
      <c r="E733" s="9" t="n">
        <v>145.49</v>
      </c>
      <c r="F733" s="9" t="n">
        <v>145.49</v>
      </c>
      <c r="G733" s="9">
        <f>ROUND(E733-F733,2)</f>
        <v>0</v>
      </c>
    </row>
    <row r="734">
      <c r="A734" t="inlineStr">
        <is>
          <t>RA44944</t>
        </is>
      </c>
      <c r="B734" t="inlineStr">
        <is>
          <t>Saltbush Plan Managers</t>
        </is>
      </c>
      <c r="C734" s="5" t="n">
        <v>46232</v>
      </c>
      <c r="D734" t="inlineStr">
        <is>
          <t>INV/2026/02215</t>
        </is>
      </c>
      <c r="E734" s="9" t="n">
        <v>387.98</v>
      </c>
      <c r="F734" s="9" t="n">
        <v>387.98</v>
      </c>
      <c r="G734" s="9">
        <f>ROUND(E734-F734,2)</f>
        <v>0</v>
      </c>
    </row>
    <row r="735">
      <c r="A735" t="inlineStr">
        <is>
          <t>RA44944</t>
        </is>
      </c>
      <c r="B735" t="inlineStr">
        <is>
          <t>Saltbush Plan Managers</t>
        </is>
      </c>
      <c r="C735" s="5" t="n">
        <v>46232</v>
      </c>
      <c r="D735" t="inlineStr">
        <is>
          <t>INV/2026/02237</t>
        </is>
      </c>
      <c r="E735" s="9" t="n">
        <v>417.98</v>
      </c>
      <c r="F735" s="9" t="n">
        <v>417.98</v>
      </c>
      <c r="G735" s="9">
        <f>ROUND(E735-F735,2)</f>
        <v>0</v>
      </c>
    </row>
    <row r="736">
      <c r="A736" t="inlineStr">
        <is>
          <t>RA44944</t>
        </is>
      </c>
      <c r="B736" t="inlineStr">
        <is>
          <t>Saltbush Plan Managers</t>
        </is>
      </c>
      <c r="C736" s="5" t="n">
        <v>46232</v>
      </c>
      <c r="D736" t="inlineStr">
        <is>
          <t>INV/2026/02238</t>
        </is>
      </c>
      <c r="E736" s="9" t="n">
        <v>446.18</v>
      </c>
      <c r="F736" s="9" t="n">
        <v>446.18</v>
      </c>
      <c r="G736" s="9">
        <f>ROUND(E736-F736,2)</f>
        <v>0</v>
      </c>
    </row>
    <row r="737">
      <c r="A737" t="inlineStr">
        <is>
          <t>RA44944</t>
        </is>
      </c>
      <c r="B737" t="inlineStr">
        <is>
          <t>Saltbush Plan Managers</t>
        </is>
      </c>
      <c r="C737" s="5" t="n">
        <v>46232</v>
      </c>
      <c r="D737" t="inlineStr">
        <is>
          <t>INV/2026/02260</t>
        </is>
      </c>
      <c r="E737" s="9" t="n">
        <v>155.19</v>
      </c>
      <c r="F737" s="9" t="n">
        <v>155.19</v>
      </c>
      <c r="G737" s="9">
        <f>ROUND(E737-F737,2)</f>
        <v>0</v>
      </c>
    </row>
    <row r="738">
      <c r="A738" t="inlineStr">
        <is>
          <t>RA44944</t>
        </is>
      </c>
      <c r="B738" t="inlineStr">
        <is>
          <t>Saltbush Plan Managers</t>
        </is>
      </c>
      <c r="C738" s="5" t="n">
        <v>46232</v>
      </c>
      <c r="D738" t="inlineStr">
        <is>
          <t>INV/2026/02277</t>
        </is>
      </c>
      <c r="E738" s="9" t="n">
        <v>387.98</v>
      </c>
      <c r="F738" s="9" t="n">
        <v>387.98</v>
      </c>
      <c r="G738" s="9">
        <f>ROUND(E738-F738,2)</f>
        <v>0</v>
      </c>
    </row>
    <row r="739">
      <c r="A739" t="inlineStr">
        <is>
          <t>RA44944</t>
        </is>
      </c>
      <c r="B739" t="inlineStr">
        <is>
          <t>Saltbush Plan Managers</t>
        </is>
      </c>
      <c r="C739" s="5" t="n">
        <v>46232</v>
      </c>
      <c r="D739" t="inlineStr">
        <is>
          <t>INV/2026/02278</t>
        </is>
      </c>
      <c r="E739" s="9" t="n">
        <v>272.49</v>
      </c>
      <c r="F739" s="9" t="n">
        <v>272.49</v>
      </c>
      <c r="G739" s="9">
        <f>ROUND(E739-F739,2)</f>
        <v>0</v>
      </c>
    </row>
    <row r="740">
      <c r="A740" t="inlineStr">
        <is>
          <t>RA44945</t>
        </is>
      </c>
      <c r="B740" t="inlineStr">
        <is>
          <t>Southern Cross Plan Mgmt</t>
        </is>
      </c>
      <c r="C740" s="5" t="n">
        <v>46232</v>
      </c>
      <c r="D740" t="inlineStr">
        <is>
          <t>INV/2026/01623</t>
        </is>
      </c>
      <c r="E740" s="9" t="n">
        <v>145.49</v>
      </c>
      <c r="F740" s="9" t="n">
        <v>145.49</v>
      </c>
      <c r="G740" s="9">
        <f>ROUND(E740-F740,2)</f>
        <v>0</v>
      </c>
    </row>
    <row r="741">
      <c r="A741" t="inlineStr">
        <is>
          <t>RA44945</t>
        </is>
      </c>
      <c r="B741" t="inlineStr">
        <is>
          <t>Southern Cross Plan Mgmt</t>
        </is>
      </c>
      <c r="C741" s="5" t="n">
        <v>46232</v>
      </c>
      <c r="D741" t="inlineStr">
        <is>
          <t>INV/2026/01624</t>
        </is>
      </c>
      <c r="E741" s="9" t="n">
        <v>320.98</v>
      </c>
      <c r="F741" s="9" t="n">
        <v>320.98</v>
      </c>
      <c r="G741" s="9">
        <f>ROUND(E741-F741,2)</f>
        <v>0</v>
      </c>
    </row>
    <row r="742">
      <c r="A742" t="inlineStr">
        <is>
          <t>RA44945</t>
        </is>
      </c>
      <c r="B742" t="inlineStr">
        <is>
          <t>Southern Cross Plan Mgmt</t>
        </is>
      </c>
      <c r="C742" s="5" t="n">
        <v>46232</v>
      </c>
      <c r="D742" t="inlineStr">
        <is>
          <t>INV/2026/01625</t>
        </is>
      </c>
      <c r="E742" s="9" t="n">
        <v>96.98999999999999</v>
      </c>
      <c r="F742" s="9" t="n">
        <v>96.98999999999999</v>
      </c>
      <c r="G742" s="9">
        <f>ROUND(E742-F742,2)</f>
        <v>0</v>
      </c>
    </row>
    <row r="743">
      <c r="A743" t="inlineStr">
        <is>
          <t>RA44945</t>
        </is>
      </c>
      <c r="B743" t="inlineStr">
        <is>
          <t>Southern Cross Plan Mgmt</t>
        </is>
      </c>
      <c r="C743" s="5" t="n">
        <v>46232</v>
      </c>
      <c r="D743" t="inlineStr">
        <is>
          <t>INV/2026/01675</t>
        </is>
      </c>
      <c r="E743" s="9" t="n">
        <v>145.49</v>
      </c>
      <c r="F743" s="9" t="n">
        <v>145.49</v>
      </c>
      <c r="G743" s="9">
        <f>ROUND(E743-F743,2)</f>
        <v>0</v>
      </c>
    </row>
    <row r="744">
      <c r="A744" t="inlineStr">
        <is>
          <t>RA44945</t>
        </is>
      </c>
      <c r="B744" t="inlineStr">
        <is>
          <t>Southern Cross Plan Mgmt</t>
        </is>
      </c>
      <c r="C744" s="5" t="n">
        <v>46232</v>
      </c>
      <c r="D744" t="inlineStr">
        <is>
          <t>INV/2026/01676</t>
        </is>
      </c>
      <c r="E744" s="9" t="n">
        <v>242.49</v>
      </c>
      <c r="F744" s="9" t="n">
        <v>242.49</v>
      </c>
      <c r="G744" s="9">
        <f>ROUND(E744-F744,2)</f>
        <v>0</v>
      </c>
    </row>
    <row r="745">
      <c r="A745" t="inlineStr">
        <is>
          <t>RA44945</t>
        </is>
      </c>
      <c r="B745" t="inlineStr">
        <is>
          <t>Southern Cross Plan Mgmt</t>
        </is>
      </c>
      <c r="C745" s="5" t="n">
        <v>46232</v>
      </c>
      <c r="D745" t="inlineStr">
        <is>
          <t>INV/2026/01677</t>
        </is>
      </c>
      <c r="E745" s="9" t="n">
        <v>387.98</v>
      </c>
      <c r="F745" s="9" t="n">
        <v>387.98</v>
      </c>
      <c r="G745" s="9">
        <f>ROUND(E745-F745,2)</f>
        <v>0</v>
      </c>
    </row>
    <row r="746">
      <c r="A746" t="inlineStr">
        <is>
          <t>RA44946</t>
        </is>
      </c>
      <c r="B746" t="inlineStr">
        <is>
          <t>Acacia Plan Partners</t>
        </is>
      </c>
      <c r="C746" s="5" t="n">
        <v>46232</v>
      </c>
      <c r="D746" t="inlineStr">
        <is>
          <t>INV/2026/02295</t>
        </is>
      </c>
      <c r="E746" s="9" t="n">
        <v>290.98</v>
      </c>
      <c r="F746" s="9" t="n">
        <v>290.98</v>
      </c>
      <c r="G746" s="9">
        <f>ROUND(E746-F746,2)</f>
        <v>0</v>
      </c>
    </row>
    <row r="747">
      <c r="A747" t="inlineStr">
        <is>
          <t>RA44947</t>
        </is>
      </c>
      <c r="B747" t="inlineStr">
        <is>
          <t>Mallee Plan Services</t>
        </is>
      </c>
      <c r="C747" s="5" t="n">
        <v>46232</v>
      </c>
      <c r="D747" t="inlineStr">
        <is>
          <t>INV/2026/02296</t>
        </is>
      </c>
      <c r="E747" s="9" t="n">
        <v>300.69</v>
      </c>
      <c r="F747" s="9" t="n">
        <v>300.69</v>
      </c>
      <c r="G747" s="9">
        <f>ROUND(E747-F747,2)</f>
        <v>0</v>
      </c>
    </row>
    <row r="748">
      <c r="A748" t="inlineStr">
        <is>
          <t>RA44947</t>
        </is>
      </c>
      <c r="B748" t="inlineStr">
        <is>
          <t>Mallee Plan Services</t>
        </is>
      </c>
      <c r="C748" s="5" t="n">
        <v>46232</v>
      </c>
      <c r="D748" t="inlineStr">
        <is>
          <t>INV/2026/02297</t>
        </is>
      </c>
      <c r="E748" s="9" t="n">
        <v>387.98</v>
      </c>
      <c r="F748" s="9" t="n">
        <v>387.98</v>
      </c>
      <c r="G748" s="9">
        <f>ROUND(E748-F748,2)</f>
        <v>0</v>
      </c>
    </row>
    <row r="749">
      <c r="A749" t="inlineStr">
        <is>
          <t>RA44948</t>
        </is>
      </c>
      <c r="B749" t="inlineStr">
        <is>
          <t>Bluegum Plan Management</t>
        </is>
      </c>
      <c r="C749" s="5" t="n">
        <v>46233</v>
      </c>
      <c r="D749" t="inlineStr">
        <is>
          <t>INV/2026/02089</t>
        </is>
      </c>
      <c r="E749" s="9" t="n">
        <v>387.98</v>
      </c>
      <c r="F749" s="9" t="n">
        <v>387.98</v>
      </c>
      <c r="G749" s="9">
        <f>ROUND(E749-F749,2)</f>
        <v>0</v>
      </c>
    </row>
    <row r="750">
      <c r="A750" t="inlineStr">
        <is>
          <t>RA44948</t>
        </is>
      </c>
      <c r="B750" t="inlineStr">
        <is>
          <t>Bluegum Plan Management</t>
        </is>
      </c>
      <c r="C750" s="5" t="n">
        <v>46233</v>
      </c>
      <c r="D750" t="inlineStr">
        <is>
          <t>INV/2026/02106</t>
        </is>
      </c>
      <c r="E750" s="9" t="n">
        <v>96.98999999999999</v>
      </c>
      <c r="F750" s="9" t="n">
        <v>96.98999999999999</v>
      </c>
      <c r="G750" s="9">
        <f>ROUND(E750-F750,2)</f>
        <v>0</v>
      </c>
    </row>
    <row r="751">
      <c r="A751" t="inlineStr">
        <is>
          <t>RA44948</t>
        </is>
      </c>
      <c r="B751" t="inlineStr">
        <is>
          <t>Bluegum Plan Management</t>
        </is>
      </c>
      <c r="C751" s="5" t="n">
        <v>46233</v>
      </c>
      <c r="D751" t="inlineStr">
        <is>
          <t>INV/2026/02107</t>
        </is>
      </c>
      <c r="E751" s="9" t="n">
        <v>242.49</v>
      </c>
      <c r="F751" s="9" t="n">
        <v>242.49</v>
      </c>
      <c r="G751" s="9">
        <f>ROUND(E751-F751,2)</f>
        <v>0</v>
      </c>
    </row>
    <row r="752">
      <c r="A752" t="inlineStr">
        <is>
          <t>RA44949</t>
        </is>
      </c>
      <c r="B752" t="inlineStr">
        <is>
          <t>Clearpath NDIS Plans</t>
        </is>
      </c>
      <c r="C752" s="5" t="n">
        <v>46233</v>
      </c>
      <c r="D752" t="inlineStr">
        <is>
          <t>INV/2026/02232</t>
        </is>
      </c>
      <c r="E752" s="9" t="n">
        <v>96.98999999999999</v>
      </c>
      <c r="F752" s="9" t="n">
        <v>96.98999999999999</v>
      </c>
      <c r="G752" s="9">
        <f>ROUND(E752-F752,2)</f>
        <v>0</v>
      </c>
    </row>
    <row r="753">
      <c r="A753" t="inlineStr">
        <is>
          <t>RA44949</t>
        </is>
      </c>
      <c r="B753" t="inlineStr">
        <is>
          <t>Clearpath NDIS Plans</t>
        </is>
      </c>
      <c r="C753" s="5" t="n">
        <v>46233</v>
      </c>
      <c r="D753" t="inlineStr">
        <is>
          <t>INV/2026/02250</t>
        </is>
      </c>
      <c r="E753" s="9" t="n">
        <v>290.98</v>
      </c>
      <c r="F753" s="9" t="n">
        <v>290.98</v>
      </c>
      <c r="G753" s="9">
        <f>ROUND(E753-F753,2)</f>
        <v>0</v>
      </c>
    </row>
    <row r="754">
      <c r="A754" t="inlineStr">
        <is>
          <t>RA44949</t>
        </is>
      </c>
      <c r="B754" t="inlineStr">
        <is>
          <t>Clearpath NDIS Plans</t>
        </is>
      </c>
      <c r="C754" s="5" t="n">
        <v>46233</v>
      </c>
      <c r="D754" t="inlineStr">
        <is>
          <t>INV/2026/02251</t>
        </is>
      </c>
      <c r="E754" s="9" t="n">
        <v>96.98999999999999</v>
      </c>
      <c r="F754" s="9" t="n">
        <v>96.98999999999999</v>
      </c>
      <c r="G754" s="9">
        <f>ROUND(E754-F754,2)</f>
        <v>0</v>
      </c>
    </row>
    <row r="755">
      <c r="A755" t="inlineStr">
        <is>
          <t>RA44950</t>
        </is>
      </c>
      <c r="B755" t="inlineStr">
        <is>
          <t>Wattle Plan Services</t>
        </is>
      </c>
      <c r="C755" s="5" t="n">
        <v>46233</v>
      </c>
      <c r="D755" t="inlineStr">
        <is>
          <t>INV/2026/02072</t>
        </is>
      </c>
      <c r="E755" s="9" t="n">
        <v>387.98</v>
      </c>
      <c r="F755" s="9" t="n">
        <v>387.98</v>
      </c>
      <c r="G755" s="9">
        <f>ROUND(E755-F755,2)</f>
        <v>0</v>
      </c>
    </row>
    <row r="756">
      <c r="A756" t="inlineStr">
        <is>
          <t>RA44950</t>
        </is>
      </c>
      <c r="B756" t="inlineStr">
        <is>
          <t>Wattle Plan Services</t>
        </is>
      </c>
      <c r="C756" s="5" t="n">
        <v>46233</v>
      </c>
      <c r="D756" t="inlineStr">
        <is>
          <t>INV/2026/02093</t>
        </is>
      </c>
      <c r="E756" s="9" t="n">
        <v>96.98999999999999</v>
      </c>
      <c r="F756" s="9" t="n">
        <v>96.98999999999999</v>
      </c>
      <c r="G756" s="9">
        <f>ROUND(E756-F756,2)</f>
        <v>0</v>
      </c>
    </row>
    <row r="757">
      <c r="A757" t="inlineStr">
        <is>
          <t>RA44950</t>
        </is>
      </c>
      <c r="B757" t="inlineStr">
        <is>
          <t>Wattle Plan Services</t>
        </is>
      </c>
      <c r="C757" s="5" t="n">
        <v>46233</v>
      </c>
      <c r="D757" t="inlineStr">
        <is>
          <t>INV/2026/02113</t>
        </is>
      </c>
      <c r="E757" s="9" t="n">
        <v>272.49</v>
      </c>
      <c r="F757" s="9" t="n">
        <v>272.49</v>
      </c>
      <c r="G757" s="9">
        <f>ROUND(E757-F757,2)</f>
        <v>0</v>
      </c>
    </row>
    <row r="758">
      <c r="A758" t="inlineStr">
        <is>
          <t>RA44950</t>
        </is>
      </c>
      <c r="B758" t="inlineStr">
        <is>
          <t>Wattle Plan Services</t>
        </is>
      </c>
      <c r="C758" s="5" t="n">
        <v>46233</v>
      </c>
      <c r="D758" t="inlineStr">
        <is>
          <t>INV/2026/02114</t>
        </is>
      </c>
      <c r="E758" s="9" t="n">
        <v>145.49</v>
      </c>
      <c r="F758" s="9" t="n">
        <v>145.49</v>
      </c>
      <c r="G758" s="9">
        <f>ROUND(E758-F758,2)</f>
        <v>0</v>
      </c>
    </row>
    <row r="759">
      <c r="A759" t="inlineStr">
        <is>
          <t>RA44950</t>
        </is>
      </c>
      <c r="B759" t="inlineStr">
        <is>
          <t>Wattle Plan Services</t>
        </is>
      </c>
      <c r="C759" s="5" t="n">
        <v>46233</v>
      </c>
      <c r="D759" t="inlineStr">
        <is>
          <t>INV/2026/02134</t>
        </is>
      </c>
      <c r="E759" s="9" t="n">
        <v>290.98</v>
      </c>
      <c r="F759" s="9" t="n">
        <v>290.98</v>
      </c>
      <c r="G759" s="9">
        <f>ROUND(E759-F759,2)</f>
        <v>0</v>
      </c>
    </row>
    <row r="760">
      <c r="A760" t="inlineStr">
        <is>
          <t>RA44950</t>
        </is>
      </c>
      <c r="B760" t="inlineStr">
        <is>
          <t>Wattle Plan Services</t>
        </is>
      </c>
      <c r="C760" s="5" t="n">
        <v>46233</v>
      </c>
      <c r="D760" t="inlineStr">
        <is>
          <t>INV/2026/02188</t>
        </is>
      </c>
      <c r="E760" s="9" t="n">
        <v>96.98999999999999</v>
      </c>
      <c r="F760" s="9" t="n">
        <v>96.98999999999999</v>
      </c>
      <c r="G760" s="9">
        <f>ROUND(E760-F760,2)</f>
        <v>0</v>
      </c>
    </row>
    <row r="761">
      <c r="A761" t="inlineStr">
        <is>
          <t>RA44950</t>
        </is>
      </c>
      <c r="B761" t="inlineStr">
        <is>
          <t>Wattle Plan Services</t>
        </is>
      </c>
      <c r="C761" s="5" t="n">
        <v>46233</v>
      </c>
      <c r="D761" t="inlineStr">
        <is>
          <t>INV/2026/02207</t>
        </is>
      </c>
      <c r="E761" s="9" t="n">
        <v>193.99</v>
      </c>
      <c r="F761" s="9" t="n">
        <v>193.99</v>
      </c>
      <c r="G761" s="9">
        <f>ROUND(E761-F761,2)</f>
        <v>0</v>
      </c>
    </row>
    <row r="762">
      <c r="A762" t="inlineStr">
        <is>
          <t>RA44950</t>
        </is>
      </c>
      <c r="B762" t="inlineStr">
        <is>
          <t>Wattle Plan Services</t>
        </is>
      </c>
      <c r="C762" s="5" t="n">
        <v>46233</v>
      </c>
      <c r="D762" t="inlineStr">
        <is>
          <t>INV/2026/02208</t>
        </is>
      </c>
      <c r="E762" s="9" t="n">
        <v>203.69</v>
      </c>
      <c r="F762" s="9" t="n">
        <v>203.69</v>
      </c>
      <c r="G762" s="9">
        <f>ROUND(E762-F762,2)</f>
        <v>0</v>
      </c>
    </row>
    <row r="763">
      <c r="A763" t="inlineStr">
        <is>
          <t>RA44950</t>
        </is>
      </c>
      <c r="B763" t="inlineStr">
        <is>
          <t>Wattle Plan Services</t>
        </is>
      </c>
      <c r="C763" s="5" t="n">
        <v>46233</v>
      </c>
      <c r="D763" t="inlineStr">
        <is>
          <t>INV/2026/02233</t>
        </is>
      </c>
      <c r="E763" s="9" t="n">
        <v>387.98</v>
      </c>
      <c r="F763" s="9" t="n">
        <v>387.98</v>
      </c>
      <c r="G763" s="9">
        <f>ROUND(E763-F763,2)</f>
        <v>0</v>
      </c>
    </row>
    <row r="764">
      <c r="A764" t="inlineStr">
        <is>
          <t>RA44950</t>
        </is>
      </c>
      <c r="B764" t="inlineStr">
        <is>
          <t>Wattle Plan Services</t>
        </is>
      </c>
      <c r="C764" s="5" t="n">
        <v>46233</v>
      </c>
      <c r="D764" t="inlineStr">
        <is>
          <t>INV/2026/02253</t>
        </is>
      </c>
      <c r="E764" s="9" t="n">
        <v>417.98</v>
      </c>
      <c r="F764" s="9" t="n">
        <v>417.98</v>
      </c>
      <c r="G764" s="9">
        <f>ROUND(E764-F764,2)</f>
        <v>0</v>
      </c>
    </row>
    <row r="765">
      <c r="A765" t="inlineStr">
        <is>
          <t>RA44950</t>
        </is>
      </c>
      <c r="B765" t="inlineStr">
        <is>
          <t>Wattle Plan Services</t>
        </is>
      </c>
      <c r="C765" s="5" t="n">
        <v>46233</v>
      </c>
      <c r="D765" t="inlineStr">
        <is>
          <t>INV/2026/02254</t>
        </is>
      </c>
      <c r="E765" s="9" t="n">
        <v>320.98</v>
      </c>
      <c r="F765" s="9" t="n">
        <v>320.98</v>
      </c>
      <c r="G765" s="9">
        <f>ROUND(E765-F765,2)</f>
        <v>0</v>
      </c>
    </row>
    <row r="766">
      <c r="A766" t="inlineStr">
        <is>
          <t>RA44950</t>
        </is>
      </c>
      <c r="B766" t="inlineStr">
        <is>
          <t>Wattle Plan Services</t>
        </is>
      </c>
      <c r="C766" s="5" t="n">
        <v>46233</v>
      </c>
      <c r="D766" t="inlineStr">
        <is>
          <t>INV/2026/02274</t>
        </is>
      </c>
      <c r="E766" s="9" t="n">
        <v>242.49</v>
      </c>
      <c r="F766" s="9" t="n">
        <v>242.49</v>
      </c>
      <c r="G766" s="9">
        <f>ROUND(E766-F766,2)</f>
        <v>0</v>
      </c>
    </row>
    <row r="767">
      <c r="A767" t="inlineStr">
        <is>
          <t>RA44951</t>
        </is>
      </c>
      <c r="B767" t="inlineStr">
        <is>
          <t>Kookaburra Plan Support</t>
        </is>
      </c>
      <c r="C767" s="5" t="n">
        <v>46233</v>
      </c>
      <c r="D767" t="inlineStr">
        <is>
          <t>INV/2026/02325</t>
        </is>
      </c>
      <c r="E767" s="9" t="n">
        <v>203.69</v>
      </c>
      <c r="F767" s="9" t="n">
        <v>203.69</v>
      </c>
      <c r="G767" s="9">
        <f>ROUND(E767-F767,2)</f>
        <v>0</v>
      </c>
    </row>
    <row r="768">
      <c r="A768" t="inlineStr">
        <is>
          <t>RA44951</t>
        </is>
      </c>
      <c r="B768" t="inlineStr">
        <is>
          <t>Kookaburra Plan Support</t>
        </is>
      </c>
      <c r="C768" s="5" t="n">
        <v>46233</v>
      </c>
      <c r="D768" t="inlineStr">
        <is>
          <t>INV/2026/02326</t>
        </is>
      </c>
      <c r="E768" s="9" t="n">
        <v>349.18</v>
      </c>
      <c r="F768" s="9" t="n">
        <v>349.18</v>
      </c>
      <c r="G768" s="9">
        <f>ROUND(E768-F768,2)</f>
        <v>0</v>
      </c>
    </row>
    <row r="769">
      <c r="A769" t="inlineStr">
        <is>
          <t>RA44952</t>
        </is>
      </c>
      <c r="B769" t="inlineStr">
        <is>
          <t>Saltbush Plan Managers</t>
        </is>
      </c>
      <c r="C769" s="5" t="n">
        <v>46233</v>
      </c>
      <c r="D769" t="inlineStr">
        <is>
          <t>INV/2026/02279</t>
        </is>
      </c>
      <c r="E769" s="9" t="n">
        <v>387.98</v>
      </c>
      <c r="F769" s="9" t="n">
        <v>387.98</v>
      </c>
      <c r="G769" s="9">
        <f>ROUND(E769-F769,2)</f>
        <v>0</v>
      </c>
    </row>
    <row r="770">
      <c r="A770" t="inlineStr">
        <is>
          <t>RA44952</t>
        </is>
      </c>
      <c r="B770" t="inlineStr">
        <is>
          <t>Saltbush Plan Managers</t>
        </is>
      </c>
      <c r="C770" s="5" t="n">
        <v>46233</v>
      </c>
      <c r="D770" t="inlineStr">
        <is>
          <t>INV/2026/02290</t>
        </is>
      </c>
      <c r="E770" s="9" t="n">
        <v>145.49</v>
      </c>
      <c r="F770" s="9" t="n">
        <v>145.49</v>
      </c>
      <c r="G770" s="9">
        <f>ROUND(E770-F770,2)</f>
        <v>0</v>
      </c>
    </row>
    <row r="771">
      <c r="A771" t="inlineStr">
        <is>
          <t>RA44952</t>
        </is>
      </c>
      <c r="B771" t="inlineStr">
        <is>
          <t>Saltbush Plan Managers</t>
        </is>
      </c>
      <c r="C771" s="5" t="n">
        <v>46233</v>
      </c>
      <c r="D771" t="inlineStr">
        <is>
          <t>INV/2026/02308</t>
        </is>
      </c>
      <c r="E771" s="9" t="n">
        <v>193.99</v>
      </c>
      <c r="F771" s="9" t="n">
        <v>193.99</v>
      </c>
      <c r="G771" s="9">
        <f>ROUND(E771-F771,2)</f>
        <v>0</v>
      </c>
    </row>
    <row r="772">
      <c r="A772" t="inlineStr">
        <is>
          <t>RA44952</t>
        </is>
      </c>
      <c r="B772" t="inlineStr">
        <is>
          <t>Saltbush Plan Managers</t>
        </is>
      </c>
      <c r="C772" s="5" t="n">
        <v>46233</v>
      </c>
      <c r="D772" t="inlineStr">
        <is>
          <t>INV/2026/02309</t>
        </is>
      </c>
      <c r="E772" s="9" t="n">
        <v>446.18</v>
      </c>
      <c r="F772" s="9" t="n">
        <v>446.18</v>
      </c>
      <c r="G772" s="9">
        <f>ROUND(E772-F772,2)</f>
        <v>0</v>
      </c>
    </row>
    <row r="773">
      <c r="A773" t="inlineStr">
        <is>
          <t>RA44953</t>
        </is>
      </c>
      <c r="B773" t="inlineStr">
        <is>
          <t>Mallee Plan Services</t>
        </is>
      </c>
      <c r="C773" s="5" t="n">
        <v>46233</v>
      </c>
      <c r="D773" t="inlineStr">
        <is>
          <t>INV/2026/02315</t>
        </is>
      </c>
      <c r="E773" s="9" t="n">
        <v>300.69</v>
      </c>
      <c r="F773" s="9" t="n">
        <v>300.69</v>
      </c>
      <c r="G773" s="9">
        <f>ROUND(E773-F773,2)</f>
        <v>0</v>
      </c>
    </row>
    <row r="774">
      <c r="A774" t="inlineStr">
        <is>
          <t>RA44953</t>
        </is>
      </c>
      <c r="B774" t="inlineStr">
        <is>
          <t>Mallee Plan Services</t>
        </is>
      </c>
      <c r="C774" s="5" t="n">
        <v>46233</v>
      </c>
      <c r="D774" t="inlineStr">
        <is>
          <t>INV/2026/02316</t>
        </is>
      </c>
      <c r="E774" s="9" t="n">
        <v>145.49</v>
      </c>
      <c r="F774" s="9" t="n">
        <v>145.49</v>
      </c>
      <c r="G774" s="9">
        <f>ROUND(E774-F774,2)</f>
        <v>0</v>
      </c>
    </row>
    <row r="775">
      <c r="A775" t="inlineStr">
        <is>
          <t>RA44953</t>
        </is>
      </c>
      <c r="B775" t="inlineStr">
        <is>
          <t>Mallee Plan Services</t>
        </is>
      </c>
      <c r="C775" s="5" t="n">
        <v>46233</v>
      </c>
      <c r="D775" t="inlineStr">
        <is>
          <t>INV/2026/02341</t>
        </is>
      </c>
      <c r="E775" s="9" t="n">
        <v>203.69</v>
      </c>
      <c r="F775" s="9" t="n">
        <v>203.69</v>
      </c>
      <c r="G775" s="9">
        <f>ROUND(E775-F775,2)</f>
        <v>0</v>
      </c>
    </row>
    <row r="776">
      <c r="A776" t="inlineStr">
        <is>
          <t>RA44954</t>
        </is>
      </c>
      <c r="B776" t="inlineStr">
        <is>
          <t>Riverbend Plan Partners</t>
        </is>
      </c>
      <c r="C776" s="5" t="n">
        <v>46234</v>
      </c>
      <c r="D776" t="inlineStr">
        <is>
          <t>INV/2026/02346</t>
        </is>
      </c>
      <c r="E776" s="9" t="n">
        <v>175.49</v>
      </c>
      <c r="F776" s="9" t="n">
        <v>175.49</v>
      </c>
      <c r="G776" s="9">
        <f>ROUND(E776-F776,2)</f>
        <v>0</v>
      </c>
    </row>
    <row r="777">
      <c r="A777" t="inlineStr">
        <is>
          <t>RA44954</t>
        </is>
      </c>
      <c r="B777" t="inlineStr">
        <is>
          <t>Riverbend Plan Partners</t>
        </is>
      </c>
      <c r="C777" s="5" t="n">
        <v>46234</v>
      </c>
      <c r="D777" t="inlineStr">
        <is>
          <t>INV/2026/02347</t>
        </is>
      </c>
      <c r="E777" s="9" t="n">
        <v>290.98</v>
      </c>
      <c r="F777" s="9" t="n">
        <v>290.98</v>
      </c>
      <c r="G777" s="9">
        <f>ROUND(E777-F777,2)</f>
        <v>0</v>
      </c>
    </row>
    <row r="778">
      <c r="A778" t="inlineStr">
        <is>
          <t>RA44955</t>
        </is>
      </c>
      <c r="B778" t="inlineStr">
        <is>
          <t>Wattle Plan Services</t>
        </is>
      </c>
      <c r="C778" s="5" t="n">
        <v>46234</v>
      </c>
      <c r="D778" t="inlineStr">
        <is>
          <t>INV/2026/02302</t>
        </is>
      </c>
      <c r="E778" s="9" t="n">
        <v>446.18</v>
      </c>
      <c r="F778" s="9" t="n">
        <v>446.18</v>
      </c>
      <c r="G778" s="9">
        <f>ROUND(E778-F778,2)</f>
        <v>0</v>
      </c>
    </row>
    <row r="779">
      <c r="A779" t="inlineStr">
        <is>
          <t>RA44956</t>
        </is>
      </c>
      <c r="B779" t="inlineStr">
        <is>
          <t>Banksia Plan Co</t>
        </is>
      </c>
      <c r="C779" s="5" t="n">
        <v>46234</v>
      </c>
      <c r="D779" t="inlineStr">
        <is>
          <t>INV/2026/02288</t>
        </is>
      </c>
      <c r="E779" s="9" t="n">
        <v>223.99</v>
      </c>
      <c r="F779" s="9" t="n">
        <v>223.99</v>
      </c>
      <c r="G779" s="9">
        <f>ROUND(E779-F779,2)</f>
        <v>0</v>
      </c>
    </row>
    <row r="780">
      <c r="A780" t="inlineStr">
        <is>
          <t>RA44957</t>
        </is>
      </c>
      <c r="B780" t="inlineStr">
        <is>
          <t>Ironbark Plan Management</t>
        </is>
      </c>
      <c r="C780" s="5" t="n">
        <v>46234</v>
      </c>
      <c r="D780" t="inlineStr">
        <is>
          <t>INV/2026/02354</t>
        </is>
      </c>
      <c r="E780" s="9" t="n">
        <v>223.99</v>
      </c>
      <c r="F780" s="9" t="n">
        <v>223.99</v>
      </c>
      <c r="G780" s="9">
        <f>ROUND(E780-F780,2)</f>
        <v>0</v>
      </c>
    </row>
    <row r="781">
      <c r="A781" t="inlineStr">
        <is>
          <t>RA44958</t>
        </is>
      </c>
      <c r="B781" t="inlineStr">
        <is>
          <t>Kookaburra Plan Support</t>
        </is>
      </c>
      <c r="C781" s="5" t="n">
        <v>46234</v>
      </c>
      <c r="D781" t="inlineStr">
        <is>
          <t>INV/2026/02324</t>
        </is>
      </c>
      <c r="E781" s="9" t="n">
        <v>242.49</v>
      </c>
      <c r="F781" s="9" t="n">
        <v>242.49</v>
      </c>
      <c r="G781" s="9">
        <f>ROUND(E781-F781,2)</f>
        <v>0</v>
      </c>
    </row>
    <row r="782">
      <c r="A782" t="inlineStr">
        <is>
          <t>RA44958</t>
        </is>
      </c>
      <c r="B782" t="inlineStr">
        <is>
          <t>Kookaburra Plan Support</t>
        </is>
      </c>
      <c r="C782" s="5" t="n">
        <v>46234</v>
      </c>
      <c r="D782" t="inlineStr">
        <is>
          <t>INV/2026/02355</t>
        </is>
      </c>
      <c r="E782" s="9" t="n">
        <v>203.69</v>
      </c>
      <c r="F782" s="9" t="n">
        <v>203.69</v>
      </c>
      <c r="G782" s="9">
        <f>ROUND(E782-F782,2)</f>
        <v>0</v>
      </c>
    </row>
    <row r="783">
      <c r="A783" t="inlineStr">
        <is>
          <t>RA44959</t>
        </is>
      </c>
      <c r="B783" t="inlineStr">
        <is>
          <t>Redgum Plan Admin</t>
        </is>
      </c>
      <c r="C783" s="5" t="n">
        <v>46234</v>
      </c>
      <c r="D783" t="inlineStr">
        <is>
          <t>INV/2026/02239</t>
        </is>
      </c>
      <c r="E783" s="9" t="n">
        <v>387.98</v>
      </c>
      <c r="F783" s="9" t="n">
        <v>387.98</v>
      </c>
      <c r="G783" s="9">
        <f>ROUND(E783-F783,2)</f>
        <v>0</v>
      </c>
    </row>
    <row r="784">
      <c r="A784" t="inlineStr">
        <is>
          <t>RA44959</t>
        </is>
      </c>
      <c r="B784" t="inlineStr">
        <is>
          <t>Redgum Plan Admin</t>
        </is>
      </c>
      <c r="C784" s="5" t="n">
        <v>46234</v>
      </c>
      <c r="D784" t="inlineStr">
        <is>
          <t>INV/2026/02261</t>
        </is>
      </c>
      <c r="E784" s="9" t="n">
        <v>145.49</v>
      </c>
      <c r="F784" s="9" t="n">
        <v>145.49</v>
      </c>
      <c r="G784" s="9">
        <f>ROUND(E784-F784,2)</f>
        <v>0</v>
      </c>
    </row>
    <row r="785">
      <c r="A785" t="inlineStr">
        <is>
          <t>RA44959</t>
        </is>
      </c>
      <c r="B785" t="inlineStr">
        <is>
          <t>Redgum Plan Admin</t>
        </is>
      </c>
      <c r="C785" s="5" t="n">
        <v>46234</v>
      </c>
      <c r="D785" t="inlineStr">
        <is>
          <t>INV/2026/02291</t>
        </is>
      </c>
      <c r="E785" s="9" t="n">
        <v>349.18</v>
      </c>
      <c r="F785" s="9" t="n">
        <v>349.18</v>
      </c>
      <c r="G785" s="9">
        <f>ROUND(E785-F785,2)</f>
        <v>0</v>
      </c>
    </row>
    <row r="786">
      <c r="A786" t="inlineStr">
        <is>
          <t>RA44959</t>
        </is>
      </c>
      <c r="B786" t="inlineStr">
        <is>
          <t>Redgum Plan Admin</t>
        </is>
      </c>
      <c r="C786" s="5" t="n">
        <v>46234</v>
      </c>
      <c r="D786" t="inlineStr">
        <is>
          <t>INV/2026/02310</t>
        </is>
      </c>
      <c r="E786" s="9" t="n">
        <v>242.49</v>
      </c>
      <c r="F786" s="9" t="n">
        <v>242.49</v>
      </c>
      <c r="G786" s="9">
        <f>ROUND(E786-F786,2)</f>
        <v>0</v>
      </c>
    </row>
    <row r="787">
      <c r="A787" t="inlineStr">
        <is>
          <t>RA44960</t>
        </is>
      </c>
      <c r="B787" t="inlineStr">
        <is>
          <t>Southern Cross Plan Mgmt</t>
        </is>
      </c>
      <c r="C787" s="5" t="n">
        <v>46234</v>
      </c>
      <c r="D787" t="inlineStr">
        <is>
          <t>INV/2026/01699</t>
        </is>
      </c>
      <c r="E787" s="9" t="n">
        <v>349.18</v>
      </c>
      <c r="F787" s="9" t="n">
        <v>349.18</v>
      </c>
      <c r="G787" s="9">
        <f>ROUND(E787-F787,2)</f>
        <v>0</v>
      </c>
    </row>
    <row r="788">
      <c r="A788" t="inlineStr">
        <is>
          <t>RA44960</t>
        </is>
      </c>
      <c r="B788" t="inlineStr">
        <is>
          <t>Southern Cross Plan Mgmt</t>
        </is>
      </c>
      <c r="C788" s="5" t="n">
        <v>46234</v>
      </c>
      <c r="D788" t="inlineStr">
        <is>
          <t>INV/2026/01721</t>
        </is>
      </c>
      <c r="E788" s="9" t="n">
        <v>387.98</v>
      </c>
      <c r="F788" s="9" t="n">
        <v>387.98</v>
      </c>
      <c r="G788" s="9">
        <f>ROUND(E788-F788,2)</f>
        <v>0</v>
      </c>
    </row>
    <row r="789">
      <c r="A789" t="inlineStr">
        <is>
          <t>RA44960</t>
        </is>
      </c>
      <c r="B789" t="inlineStr">
        <is>
          <t>Southern Cross Plan Mgmt</t>
        </is>
      </c>
      <c r="C789" s="5" t="n">
        <v>46234</v>
      </c>
      <c r="D789" t="inlineStr">
        <is>
          <t>INV/2026/01740</t>
        </is>
      </c>
      <c r="E789" s="9" t="n">
        <v>155.19</v>
      </c>
      <c r="F789" s="9" t="n">
        <v>155.19</v>
      </c>
      <c r="G789" s="9">
        <f>ROUND(E789-F789,2)</f>
        <v>0</v>
      </c>
    </row>
    <row r="790">
      <c r="A790" t="inlineStr">
        <is>
          <t>RA44961</t>
        </is>
      </c>
      <c r="B790" t="inlineStr">
        <is>
          <t>Tallowwood Plans</t>
        </is>
      </c>
      <c r="C790" s="5" t="n">
        <v>46234</v>
      </c>
      <c r="D790" t="inlineStr">
        <is>
          <t>INV/2026/02293</t>
        </is>
      </c>
      <c r="E790" s="9" t="n">
        <v>349.18</v>
      </c>
      <c r="F790" s="9" t="n">
        <v>349.18</v>
      </c>
      <c r="G790" s="9">
        <f>ROUND(E790-F790,2)</f>
        <v>0</v>
      </c>
    </row>
    <row r="791">
      <c r="A791" t="inlineStr">
        <is>
          <t>RA44961</t>
        </is>
      </c>
      <c r="B791" t="inlineStr">
        <is>
          <t>Tallowwood Plans</t>
        </is>
      </c>
      <c r="C791" s="5" t="n">
        <v>46234</v>
      </c>
      <c r="D791" t="inlineStr">
        <is>
          <t>INV/2026/02336</t>
        </is>
      </c>
      <c r="E791" s="9" t="n">
        <v>242.49</v>
      </c>
      <c r="F791" s="9" t="n">
        <v>242.49</v>
      </c>
      <c r="G791" s="9">
        <f>ROUND(E791-F791,2)</f>
        <v>0</v>
      </c>
    </row>
    <row r="792">
      <c r="A792" t="inlineStr">
        <is>
          <t>RA44962</t>
        </is>
      </c>
      <c r="B792" t="inlineStr">
        <is>
          <t>Mallee Plan Services</t>
        </is>
      </c>
      <c r="C792" s="5" t="n">
        <v>46234</v>
      </c>
      <c r="D792" t="inlineStr">
        <is>
          <t>INV/2026/02342</t>
        </is>
      </c>
      <c r="E792" s="9" t="n">
        <v>223.99</v>
      </c>
      <c r="F792" s="9" t="n">
        <v>223.99</v>
      </c>
      <c r="G792" s="9">
        <f>ROUND(E792-F792,2)</f>
        <v>0</v>
      </c>
    </row>
    <row r="793">
      <c r="A793" t="inlineStr">
        <is>
          <t>RA44962</t>
        </is>
      </c>
      <c r="B793" t="inlineStr">
        <is>
          <t>Mallee Plan Services</t>
        </is>
      </c>
      <c r="C793" s="5" t="n">
        <v>46234</v>
      </c>
      <c r="D793" t="inlineStr">
        <is>
          <t>INV/2026/02366</t>
        </is>
      </c>
      <c r="E793" s="9" t="n">
        <v>193.99</v>
      </c>
      <c r="F793" s="9" t="n">
        <v>193.99</v>
      </c>
      <c r="G793" s="9">
        <f>ROUND(E793-F793,2)</f>
        <v>0</v>
      </c>
    </row>
    <row r="794">
      <c r="A794" t="inlineStr">
        <is>
          <t>RA44963</t>
        </is>
      </c>
      <c r="B794" t="inlineStr">
        <is>
          <t>Bluegum Plan Management</t>
        </is>
      </c>
      <c r="C794" s="5" t="n">
        <v>46237</v>
      </c>
      <c r="D794" t="inlineStr">
        <is>
          <t>INV/2026/02131</t>
        </is>
      </c>
      <c r="E794" s="9" t="n">
        <v>96.98999999999999</v>
      </c>
      <c r="F794" s="9" t="n">
        <v>96.98999999999999</v>
      </c>
      <c r="G794" s="9">
        <f>ROUND(E794-F794,2)</f>
        <v>0</v>
      </c>
    </row>
    <row r="795">
      <c r="A795" t="inlineStr">
        <is>
          <t>RA44963</t>
        </is>
      </c>
      <c r="B795" t="inlineStr">
        <is>
          <t>Bluegum Plan Management</t>
        </is>
      </c>
      <c r="C795" s="5" t="n">
        <v>46237</v>
      </c>
      <c r="D795" t="inlineStr">
        <is>
          <t>INV/2026/02156</t>
        </is>
      </c>
      <c r="E795" s="9" t="n">
        <v>349.18</v>
      </c>
      <c r="F795" s="9" t="n">
        <v>349.18</v>
      </c>
      <c r="G795" s="9">
        <f>ROUND(E795-F795,2)</f>
        <v>0</v>
      </c>
    </row>
    <row r="796">
      <c r="A796" t="inlineStr">
        <is>
          <t>RA44963</t>
        </is>
      </c>
      <c r="B796" t="inlineStr">
        <is>
          <t>Bluegum Plan Management</t>
        </is>
      </c>
      <c r="C796" s="5" t="n">
        <v>46237</v>
      </c>
      <c r="D796" t="inlineStr">
        <is>
          <t>INV/2026/02157</t>
        </is>
      </c>
      <c r="E796" s="9" t="n">
        <v>145.49</v>
      </c>
      <c r="F796" s="9" t="n">
        <v>145.49</v>
      </c>
      <c r="G796" s="9">
        <f>ROUND(E796-F796,2)</f>
        <v>0</v>
      </c>
    </row>
    <row r="797">
      <c r="A797" t="inlineStr">
        <is>
          <t>RA44963</t>
        </is>
      </c>
      <c r="B797" t="inlineStr">
        <is>
          <t>Bluegum Plan Management</t>
        </is>
      </c>
      <c r="C797" s="5" t="n">
        <v>46237</v>
      </c>
      <c r="D797" t="inlineStr">
        <is>
          <t>INV/2026/02181</t>
        </is>
      </c>
      <c r="E797" s="9" t="n">
        <v>242.49</v>
      </c>
      <c r="F797" s="9" t="n">
        <v>242.49</v>
      </c>
      <c r="G797" s="9">
        <f>ROUND(E797-F797,2)</f>
        <v>0</v>
      </c>
    </row>
    <row r="798">
      <c r="A798" t="inlineStr">
        <is>
          <t>RA44963</t>
        </is>
      </c>
      <c r="B798" t="inlineStr">
        <is>
          <t>Bluegum Plan Management</t>
        </is>
      </c>
      <c r="C798" s="5" t="n">
        <v>46237</v>
      </c>
      <c r="D798" t="inlineStr">
        <is>
          <t>INV/2026/02182</t>
        </is>
      </c>
      <c r="E798" s="9" t="n">
        <v>387.98</v>
      </c>
      <c r="F798" s="9" t="n">
        <v>387.98</v>
      </c>
      <c r="G798" s="9">
        <f>ROUND(E798-F798,2)</f>
        <v>0</v>
      </c>
    </row>
    <row r="799">
      <c r="A799" t="inlineStr">
        <is>
          <t>RA44963</t>
        </is>
      </c>
      <c r="B799" t="inlineStr">
        <is>
          <t>Bluegum Plan Management</t>
        </is>
      </c>
      <c r="C799" s="5" t="n">
        <v>46237</v>
      </c>
      <c r="D799" t="inlineStr">
        <is>
          <t>INV/2026/02202</t>
        </is>
      </c>
      <c r="E799" s="9" t="n">
        <v>193.99</v>
      </c>
      <c r="F799" s="9" t="n">
        <v>193.99</v>
      </c>
      <c r="G799" s="9">
        <f>ROUND(E799-F799,2)</f>
        <v>0</v>
      </c>
    </row>
    <row r="800">
      <c r="A800" t="inlineStr">
        <is>
          <t>RA44963</t>
        </is>
      </c>
      <c r="B800" t="inlineStr">
        <is>
          <t>Bluegum Plan Management</t>
        </is>
      </c>
      <c r="C800" s="5" t="n">
        <v>46237</v>
      </c>
      <c r="D800" t="inlineStr">
        <is>
          <t>INV/2026/02203</t>
        </is>
      </c>
      <c r="E800" s="9" t="n">
        <v>290.98</v>
      </c>
      <c r="F800" s="9" t="n">
        <v>290.98</v>
      </c>
      <c r="G800" s="9">
        <f>ROUND(E800-F800,2)</f>
        <v>0</v>
      </c>
    </row>
    <row r="801">
      <c r="A801" t="inlineStr">
        <is>
          <t>RA44963</t>
        </is>
      </c>
      <c r="B801" t="inlineStr">
        <is>
          <t>Bluegum Plan Management</t>
        </is>
      </c>
      <c r="C801" s="5" t="n">
        <v>46237</v>
      </c>
      <c r="D801" t="inlineStr">
        <is>
          <t>INV/2026/02248</t>
        </is>
      </c>
      <c r="E801" s="9" t="n">
        <v>223.99</v>
      </c>
      <c r="F801" s="9" t="n">
        <v>223.99</v>
      </c>
      <c r="G801" s="9">
        <f>ROUND(E801-F801,2)</f>
        <v>0</v>
      </c>
    </row>
    <row r="802">
      <c r="A802" t="inlineStr">
        <is>
          <t>RA44964</t>
        </is>
      </c>
      <c r="B802" t="inlineStr">
        <is>
          <t>Clearpath NDIS Plans</t>
        </is>
      </c>
      <c r="C802" s="5" t="n">
        <v>46237</v>
      </c>
      <c r="D802" t="inlineStr">
        <is>
          <t>INV/2026/02252</t>
        </is>
      </c>
      <c r="E802" s="9" t="n">
        <v>290.98</v>
      </c>
      <c r="F802" s="9" t="n">
        <v>290.98</v>
      </c>
      <c r="G802" s="9">
        <f>ROUND(E802-F802,2)</f>
        <v>0</v>
      </c>
    </row>
    <row r="803">
      <c r="A803" t="inlineStr">
        <is>
          <t>RA44964</t>
        </is>
      </c>
      <c r="B803" t="inlineStr">
        <is>
          <t>Clearpath NDIS Plans</t>
        </is>
      </c>
      <c r="C803" s="5" t="n">
        <v>46237</v>
      </c>
      <c r="D803" t="inlineStr">
        <is>
          <t>INV/2026/02273</t>
        </is>
      </c>
      <c r="E803" s="9" t="n">
        <v>193.99</v>
      </c>
      <c r="F803" s="9" t="n">
        <v>193.99</v>
      </c>
      <c r="G803" s="9">
        <f>ROUND(E803-F803,2)</f>
        <v>0</v>
      </c>
    </row>
    <row r="804">
      <c r="A804" t="inlineStr">
        <is>
          <t>RA44964</t>
        </is>
      </c>
      <c r="B804" t="inlineStr">
        <is>
          <t>Clearpath NDIS Plans</t>
        </is>
      </c>
      <c r="C804" s="5" t="n">
        <v>46237</v>
      </c>
      <c r="D804" t="inlineStr">
        <is>
          <t>INV/2026/02287</t>
        </is>
      </c>
      <c r="E804" s="9" t="n">
        <v>96.98999999999999</v>
      </c>
      <c r="F804" s="9" t="n">
        <v>96.98999999999999</v>
      </c>
      <c r="G804" s="9">
        <f>ROUND(E804-F804,2)</f>
        <v>0</v>
      </c>
    </row>
    <row r="805">
      <c r="A805" t="inlineStr">
        <is>
          <t>RA44965</t>
        </is>
      </c>
      <c r="B805" t="inlineStr">
        <is>
          <t>Wattle Plan Services</t>
        </is>
      </c>
      <c r="C805" s="5" t="n">
        <v>46237</v>
      </c>
      <c r="D805" t="inlineStr">
        <is>
          <t>INV/2026/02303</t>
        </is>
      </c>
      <c r="E805" s="9" t="n">
        <v>242.49</v>
      </c>
      <c r="F805" s="9" t="n">
        <v>242.49</v>
      </c>
      <c r="G805" s="9">
        <f>ROUND(E805-F805,2)</f>
        <v>0</v>
      </c>
    </row>
    <row r="806">
      <c r="A806" t="inlineStr">
        <is>
          <t>RA44965</t>
        </is>
      </c>
      <c r="B806" t="inlineStr">
        <is>
          <t>Wattle Plan Services</t>
        </is>
      </c>
      <c r="C806" s="5" t="n">
        <v>46237</v>
      </c>
      <c r="D806" t="inlineStr">
        <is>
          <t>INV/2026/02352</t>
        </is>
      </c>
      <c r="E806" s="9" t="n">
        <v>203.69</v>
      </c>
      <c r="F806" s="9" t="n">
        <v>203.69</v>
      </c>
      <c r="G806" s="9">
        <f>ROUND(E806-F806,2)</f>
        <v>0</v>
      </c>
    </row>
    <row r="807">
      <c r="A807" t="inlineStr">
        <is>
          <t>RA44965</t>
        </is>
      </c>
      <c r="B807" t="inlineStr">
        <is>
          <t>Wattle Plan Services</t>
        </is>
      </c>
      <c r="C807" s="5" t="n">
        <v>46237</v>
      </c>
      <c r="D807" t="inlineStr">
        <is>
          <t>INV/2026/02396</t>
        </is>
      </c>
      <c r="E807" s="9" t="n">
        <v>96.98999999999999</v>
      </c>
      <c r="F807" s="9" t="n">
        <v>96.98999999999999</v>
      </c>
      <c r="G807" s="9">
        <f>ROUND(E807-F807,2)</f>
        <v>0</v>
      </c>
    </row>
    <row r="808">
      <c r="A808" t="inlineStr">
        <is>
          <t>RA44965</t>
        </is>
      </c>
      <c r="B808" t="inlineStr">
        <is>
          <t>Wattle Plan Services</t>
        </is>
      </c>
      <c r="C808" s="5" t="n">
        <v>46237</v>
      </c>
      <c r="D808" t="inlineStr">
        <is>
          <t>INV/2026/02422</t>
        </is>
      </c>
      <c r="E808" s="9" t="n">
        <v>203.69</v>
      </c>
      <c r="F808" s="9" t="n">
        <v>203.69</v>
      </c>
      <c r="G808" s="9">
        <f>ROUND(E808-F808,2)</f>
        <v>0</v>
      </c>
    </row>
    <row r="809">
      <c r="A809" t="inlineStr">
        <is>
          <t>RA44965</t>
        </is>
      </c>
      <c r="B809" t="inlineStr">
        <is>
          <t>Wattle Plan Services</t>
        </is>
      </c>
      <c r="C809" s="5" t="n">
        <v>46237</v>
      </c>
      <c r="D809" t="inlineStr">
        <is>
          <t>INV/2026/02423</t>
        </is>
      </c>
      <c r="E809" s="9" t="n">
        <v>242.49</v>
      </c>
      <c r="F809" s="9" t="n">
        <v>242.49</v>
      </c>
      <c r="G809" s="9">
        <f>ROUND(E809-F809,2)</f>
        <v>0</v>
      </c>
    </row>
    <row r="810">
      <c r="A810" t="inlineStr">
        <is>
          <t>RA44966</t>
        </is>
      </c>
      <c r="B810" t="inlineStr">
        <is>
          <t>Banksia Plan Co</t>
        </is>
      </c>
      <c r="C810" s="5" t="n">
        <v>46237</v>
      </c>
      <c r="D810" t="inlineStr">
        <is>
          <t>INV/2026/02321</t>
        </is>
      </c>
      <c r="E810" s="9" t="n">
        <v>272.49</v>
      </c>
      <c r="F810" s="9" t="n">
        <v>272.49</v>
      </c>
      <c r="G810" s="9">
        <f>ROUND(E810-F810,2)</f>
        <v>0</v>
      </c>
    </row>
    <row r="811">
      <c r="A811" t="inlineStr">
        <is>
          <t>RA44966</t>
        </is>
      </c>
      <c r="B811" t="inlineStr">
        <is>
          <t>Banksia Plan Co</t>
        </is>
      </c>
      <c r="C811" s="5" t="n">
        <v>46237</v>
      </c>
      <c r="D811" t="inlineStr">
        <is>
          <t>INV/2026/02374</t>
        </is>
      </c>
      <c r="E811" s="9" t="n">
        <v>272.49</v>
      </c>
      <c r="F811" s="9" t="n">
        <v>272.49</v>
      </c>
      <c r="G811" s="9">
        <f>ROUND(E811-F811,2)</f>
        <v>0</v>
      </c>
    </row>
    <row r="812">
      <c r="A812" t="inlineStr">
        <is>
          <t>RA44966</t>
        </is>
      </c>
      <c r="B812" t="inlineStr">
        <is>
          <t>Banksia Plan Co</t>
        </is>
      </c>
      <c r="C812" s="5" t="n">
        <v>46237</v>
      </c>
      <c r="D812" t="inlineStr">
        <is>
          <t>INV/2026/02397</t>
        </is>
      </c>
      <c r="E812" s="9" t="n">
        <v>290.98</v>
      </c>
      <c r="F812" s="9" t="n">
        <v>290.98</v>
      </c>
      <c r="G812" s="9">
        <f>ROUND(E812-F812,2)</f>
        <v>0</v>
      </c>
    </row>
    <row r="813">
      <c r="A813" t="inlineStr">
        <is>
          <t>RA44967</t>
        </is>
      </c>
      <c r="B813" t="inlineStr">
        <is>
          <t>Kookaburra Plan Support</t>
        </is>
      </c>
      <c r="C813" s="5" t="n">
        <v>46237</v>
      </c>
      <c r="D813" t="inlineStr">
        <is>
          <t>INV/2026/02377</t>
        </is>
      </c>
      <c r="E813" s="9" t="n">
        <v>96.98999999999999</v>
      </c>
      <c r="F813" s="9" t="n">
        <v>96.98999999999999</v>
      </c>
      <c r="G813" s="9">
        <f>ROUND(E813-F813,2)</f>
        <v>0</v>
      </c>
    </row>
    <row r="814">
      <c r="A814" t="inlineStr">
        <is>
          <t>RA44967</t>
        </is>
      </c>
      <c r="B814" t="inlineStr">
        <is>
          <t>Kookaburra Plan Support</t>
        </is>
      </c>
      <c r="C814" s="5" t="n">
        <v>46237</v>
      </c>
      <c r="D814" t="inlineStr">
        <is>
          <t>INV/2026/02378</t>
        </is>
      </c>
      <c r="E814" s="9" t="n">
        <v>145.49</v>
      </c>
      <c r="F814" s="9" t="n">
        <v>145.49</v>
      </c>
      <c r="G814" s="9">
        <f>ROUND(E814-F814,2)</f>
        <v>0</v>
      </c>
    </row>
    <row r="815">
      <c r="A815" t="inlineStr">
        <is>
          <t>RA44967</t>
        </is>
      </c>
      <c r="B815" t="inlineStr">
        <is>
          <t>Kookaburra Plan Support</t>
        </is>
      </c>
      <c r="C815" s="5" t="n">
        <v>46237</v>
      </c>
      <c r="D815" t="inlineStr">
        <is>
          <t>INV/2026/02379</t>
        </is>
      </c>
      <c r="E815" s="9" t="n">
        <v>155.19</v>
      </c>
      <c r="F815" s="9" t="n">
        <v>155.19</v>
      </c>
      <c r="G815" s="9">
        <f>ROUND(E815-F815,2)</f>
        <v>0</v>
      </c>
    </row>
    <row r="816">
      <c r="A816" t="inlineStr">
        <is>
          <t>RA44967</t>
        </is>
      </c>
      <c r="B816" t="inlineStr">
        <is>
          <t>Kookaburra Plan Support</t>
        </is>
      </c>
      <c r="C816" s="5" t="n">
        <v>46237</v>
      </c>
      <c r="D816" t="inlineStr">
        <is>
          <t>INV/2026/02401</t>
        </is>
      </c>
      <c r="E816" s="9" t="n">
        <v>242.49</v>
      </c>
      <c r="F816" s="9" t="n">
        <v>242.49</v>
      </c>
      <c r="G816" s="9">
        <f>ROUND(E816-F816,2)</f>
        <v>0</v>
      </c>
    </row>
    <row r="817">
      <c r="A817" t="inlineStr">
        <is>
          <t>RA44967</t>
        </is>
      </c>
      <c r="B817" t="inlineStr">
        <is>
          <t>Kookaburra Plan Support</t>
        </is>
      </c>
      <c r="C817" s="5" t="n">
        <v>46237</v>
      </c>
      <c r="D817" t="inlineStr">
        <is>
          <t>INV/2026/02402</t>
        </is>
      </c>
      <c r="E817" s="9" t="n">
        <v>446.18</v>
      </c>
      <c r="F817" s="9" t="n">
        <v>446.18</v>
      </c>
      <c r="G817" s="9">
        <f>ROUND(E817-F817,2)</f>
        <v>0</v>
      </c>
    </row>
    <row r="818">
      <c r="A818" t="inlineStr">
        <is>
          <t>RA44967</t>
        </is>
      </c>
      <c r="B818" t="inlineStr">
        <is>
          <t>Kookaburra Plan Support</t>
        </is>
      </c>
      <c r="C818" s="5" t="n">
        <v>46237</v>
      </c>
      <c r="D818" t="inlineStr">
        <is>
          <t>INV/2026/02428</t>
        </is>
      </c>
      <c r="E818" s="9" t="n">
        <v>320.98</v>
      </c>
      <c r="F818" s="9" t="n">
        <v>320.98</v>
      </c>
      <c r="G818" s="9">
        <f>ROUND(E818-F818,2)</f>
        <v>0</v>
      </c>
    </row>
    <row r="819">
      <c r="A819" t="inlineStr">
        <is>
          <t>RA44968</t>
        </is>
      </c>
      <c r="B819" t="inlineStr">
        <is>
          <t>Redgum Plan Admin</t>
        </is>
      </c>
      <c r="C819" s="5" t="n">
        <v>46237</v>
      </c>
      <c r="D819" t="inlineStr">
        <is>
          <t>INV/2026/02329</t>
        </is>
      </c>
      <c r="E819" s="9" t="n">
        <v>155.19</v>
      </c>
      <c r="F819" s="9" t="n">
        <v>155.19</v>
      </c>
      <c r="G819" s="9">
        <f>ROUND(E819-F819,2)</f>
        <v>0</v>
      </c>
    </row>
    <row r="820">
      <c r="A820" t="inlineStr">
        <is>
          <t>RA44968</t>
        </is>
      </c>
      <c r="B820" t="inlineStr">
        <is>
          <t>Redgum Plan Admin</t>
        </is>
      </c>
      <c r="C820" s="5" t="n">
        <v>46237</v>
      </c>
      <c r="D820" t="inlineStr">
        <is>
          <t>INV/2026/02405</t>
        </is>
      </c>
      <c r="E820" s="9" t="n">
        <v>242.49</v>
      </c>
      <c r="F820" s="9" t="n">
        <v>242.49</v>
      </c>
      <c r="G820" s="9">
        <f>ROUND(E820-F820,2)</f>
        <v>0</v>
      </c>
    </row>
    <row r="821">
      <c r="A821" t="inlineStr">
        <is>
          <t>RA44968</t>
        </is>
      </c>
      <c r="B821" t="inlineStr">
        <is>
          <t>Redgum Plan Admin</t>
        </is>
      </c>
      <c r="C821" s="5" t="n">
        <v>46237</v>
      </c>
      <c r="D821" t="inlineStr">
        <is>
          <t>INV/2026/02431</t>
        </is>
      </c>
      <c r="E821" s="9" t="n">
        <v>387.98</v>
      </c>
      <c r="F821" s="9" t="n">
        <v>387.98</v>
      </c>
      <c r="G821" s="9">
        <f>ROUND(E821-F821,2)</f>
        <v>0</v>
      </c>
    </row>
    <row r="822">
      <c r="A822" t="inlineStr">
        <is>
          <t>RA44969</t>
        </is>
      </c>
      <c r="B822" t="inlineStr">
        <is>
          <t>Southern Cross Plan Mgmt</t>
        </is>
      </c>
      <c r="C822" s="5" t="n">
        <v>46237</v>
      </c>
      <c r="D822" t="inlineStr">
        <is>
          <t>INV/2026/01765</t>
        </is>
      </c>
      <c r="E822" s="9" t="n">
        <v>155.19</v>
      </c>
      <c r="F822" s="9" t="n">
        <v>155.19</v>
      </c>
      <c r="G822" s="9">
        <f>ROUND(E822-F822,2)</f>
        <v>0</v>
      </c>
    </row>
    <row r="823">
      <c r="A823" t="inlineStr">
        <is>
          <t>RA44969</t>
        </is>
      </c>
      <c r="B823" t="inlineStr">
        <is>
          <t>Southern Cross Plan Mgmt</t>
        </is>
      </c>
      <c r="C823" s="5" t="n">
        <v>46237</v>
      </c>
      <c r="D823" t="inlineStr">
        <is>
          <t>INV/2026/01766</t>
        </is>
      </c>
      <c r="E823" s="9" t="n">
        <v>387.98</v>
      </c>
      <c r="F823" s="9" t="n">
        <v>387.98</v>
      </c>
      <c r="G823" s="9">
        <f>ROUND(E823-F823,2)</f>
        <v>0</v>
      </c>
    </row>
    <row r="824">
      <c r="A824" t="inlineStr">
        <is>
          <t>RA44970</t>
        </is>
      </c>
      <c r="B824" t="inlineStr">
        <is>
          <t>Lyrebird Plan Management</t>
        </is>
      </c>
      <c r="C824" s="5" t="n">
        <v>46237</v>
      </c>
      <c r="D824" t="inlineStr">
        <is>
          <t>INV/2026/02334</t>
        </is>
      </c>
      <c r="E824" s="9" t="n">
        <v>387.98</v>
      </c>
      <c r="F824" s="9" t="n">
        <v>387.98</v>
      </c>
      <c r="G824" s="9">
        <f>ROUND(E824-F824,2)</f>
        <v>0</v>
      </c>
    </row>
    <row r="825">
      <c r="A825" t="inlineStr">
        <is>
          <t>RA44970</t>
        </is>
      </c>
      <c r="B825" t="inlineStr">
        <is>
          <t>Lyrebird Plan Management</t>
        </is>
      </c>
      <c r="C825" s="5" t="n">
        <v>46237</v>
      </c>
      <c r="D825" t="inlineStr">
        <is>
          <t>INV/2026/02361</t>
        </is>
      </c>
      <c r="E825" s="9" t="n">
        <v>96.98999999999999</v>
      </c>
      <c r="F825" s="9" t="n">
        <v>96.98999999999999</v>
      </c>
      <c r="G825" s="9">
        <f>ROUND(E825-F825,2)</f>
        <v>0</v>
      </c>
    </row>
    <row r="826">
      <c r="A826" t="inlineStr">
        <is>
          <t>RA44971</t>
        </is>
      </c>
      <c r="B826" t="inlineStr">
        <is>
          <t>Acacia Plan Partners</t>
        </is>
      </c>
      <c r="C826" s="5" t="n">
        <v>46237</v>
      </c>
      <c r="D826" t="inlineStr">
        <is>
          <t>INV/2026/02313</t>
        </is>
      </c>
      <c r="E826" s="9" t="n">
        <v>272.49</v>
      </c>
      <c r="F826" s="9" t="n">
        <v>272.49</v>
      </c>
      <c r="G826" s="9">
        <f>ROUND(E826-F826,2)</f>
        <v>0</v>
      </c>
    </row>
    <row r="827">
      <c r="A827" t="inlineStr">
        <is>
          <t>RA44971</t>
        </is>
      </c>
      <c r="B827" t="inlineStr">
        <is>
          <t>Acacia Plan Partners</t>
        </is>
      </c>
      <c r="C827" s="5" t="n">
        <v>46237</v>
      </c>
      <c r="D827" t="inlineStr">
        <is>
          <t>INV/2026/02338</t>
        </is>
      </c>
      <c r="E827" s="9" t="n">
        <v>417.98</v>
      </c>
      <c r="F827" s="9" t="n">
        <v>417.98</v>
      </c>
      <c r="G827" s="9">
        <f>ROUND(E827-F827,2)</f>
        <v>0</v>
      </c>
    </row>
    <row r="828">
      <c r="A828" t="inlineStr">
        <is>
          <t>RA44971</t>
        </is>
      </c>
      <c r="B828" t="inlineStr">
        <is>
          <t>Acacia Plan Partners</t>
        </is>
      </c>
      <c r="C828" s="5" t="n">
        <v>46237</v>
      </c>
      <c r="D828" t="inlineStr">
        <is>
          <t>INV/2026/02340</t>
        </is>
      </c>
      <c r="E828" s="9" t="n">
        <v>290.98</v>
      </c>
      <c r="F828" s="9" t="n">
        <v>290.98</v>
      </c>
      <c r="G828" s="9">
        <f>ROUND(E828-F828,2)</f>
        <v>0</v>
      </c>
    </row>
    <row r="829">
      <c r="A829" t="inlineStr">
        <is>
          <t>RA44971</t>
        </is>
      </c>
      <c r="B829" t="inlineStr">
        <is>
          <t>Acacia Plan Partners</t>
        </is>
      </c>
      <c r="C829" s="5" t="n">
        <v>46237</v>
      </c>
      <c r="D829" t="inlineStr">
        <is>
          <t>INV/2026/02364</t>
        </is>
      </c>
      <c r="E829" s="9" t="n">
        <v>242.49</v>
      </c>
      <c r="F829" s="9" t="n">
        <v>242.49</v>
      </c>
      <c r="G829" s="9">
        <f>ROUND(E829-F829,2)</f>
        <v>0</v>
      </c>
    </row>
    <row r="830">
      <c r="A830" t="inlineStr">
        <is>
          <t>RA44971</t>
        </is>
      </c>
      <c r="B830" t="inlineStr">
        <is>
          <t>Acacia Plan Partners</t>
        </is>
      </c>
      <c r="C830" s="5" t="n">
        <v>46237</v>
      </c>
      <c r="D830" t="inlineStr">
        <is>
          <t>INV/2026/02385</t>
        </is>
      </c>
      <c r="E830" s="9" t="n">
        <v>145.49</v>
      </c>
      <c r="F830" s="9" t="n">
        <v>145.49</v>
      </c>
      <c r="G830" s="9">
        <f>ROUND(E830-F830,2)</f>
        <v>0</v>
      </c>
    </row>
    <row r="831">
      <c r="A831" t="inlineStr">
        <is>
          <t>RA44971</t>
        </is>
      </c>
      <c r="B831" t="inlineStr">
        <is>
          <t>Acacia Plan Partners</t>
        </is>
      </c>
      <c r="C831" s="5" t="n">
        <v>46237</v>
      </c>
      <c r="D831" t="inlineStr">
        <is>
          <t>INV/2026/02412</t>
        </is>
      </c>
      <c r="E831" s="9" t="n">
        <v>242.49</v>
      </c>
      <c r="F831" s="9" t="n">
        <v>242.49</v>
      </c>
      <c r="G831" s="9">
        <f>ROUND(E831-F831,2)</f>
        <v>0</v>
      </c>
    </row>
    <row r="832">
      <c r="A832" t="inlineStr">
        <is>
          <t>RA44972</t>
        </is>
      </c>
      <c r="B832" t="inlineStr">
        <is>
          <t>Mallee Plan Services</t>
        </is>
      </c>
      <c r="C832" s="5" t="n">
        <v>46237</v>
      </c>
      <c r="D832" t="inlineStr">
        <is>
          <t>INV/2026/02367</t>
        </is>
      </c>
      <c r="E832" s="9" t="n">
        <v>252.19</v>
      </c>
      <c r="F832" s="9" t="n">
        <v>252.19</v>
      </c>
      <c r="G832" s="9">
        <f>ROUND(E832-F832,2)</f>
        <v>0</v>
      </c>
    </row>
    <row r="833">
      <c r="A833" t="inlineStr">
        <is>
          <t>RA44972</t>
        </is>
      </c>
      <c r="B833" t="inlineStr">
        <is>
          <t>Mallee Plan Services</t>
        </is>
      </c>
      <c r="C833" s="5" t="n">
        <v>46237</v>
      </c>
      <c r="D833" t="inlineStr">
        <is>
          <t>INV/2026/02414</t>
        </is>
      </c>
      <c r="E833" s="9" t="n">
        <v>193.99</v>
      </c>
      <c r="F833" s="9" t="n">
        <v>193.99</v>
      </c>
      <c r="G833" s="9">
        <f>ROUND(E833-F833,2)</f>
        <v>0</v>
      </c>
    </row>
    <row r="834">
      <c r="A834" t="inlineStr">
        <is>
          <t>RA44972</t>
        </is>
      </c>
      <c r="B834" t="inlineStr">
        <is>
          <t>Mallee Plan Services</t>
        </is>
      </c>
      <c r="C834" s="5" t="n">
        <v>46237</v>
      </c>
      <c r="D834" t="inlineStr">
        <is>
          <t>INV/2026/02437</t>
        </is>
      </c>
      <c r="E834" s="9" t="n">
        <v>300.69</v>
      </c>
      <c r="F834" s="9" t="n">
        <v>300.69</v>
      </c>
      <c r="G834" s="9">
        <f>ROUND(E834-F834,2)</f>
        <v>0</v>
      </c>
    </row>
    <row r="835">
      <c r="A835" t="inlineStr">
        <is>
          <t>RA44972</t>
        </is>
      </c>
      <c r="B835" t="inlineStr">
        <is>
          <t>Mallee Plan Services</t>
        </is>
      </c>
      <c r="C835" s="5" t="n">
        <v>46237</v>
      </c>
      <c r="D835" t="inlineStr">
        <is>
          <t>INV/2026/02438</t>
        </is>
      </c>
      <c r="E835" s="9" t="n">
        <v>96.98999999999999</v>
      </c>
      <c r="F835" s="9" t="n">
        <v>96.98999999999999</v>
      </c>
      <c r="G835" s="9">
        <f>ROUND(E835-F835,2)</f>
        <v>0</v>
      </c>
    </row>
    <row r="836">
      <c r="A836" t="inlineStr">
        <is>
          <t>RA44973</t>
        </is>
      </c>
      <c r="B836" t="inlineStr">
        <is>
          <t>Clearpath NDIS Plans</t>
        </is>
      </c>
      <c r="C836" s="5" t="n">
        <v>46238</v>
      </c>
      <c r="D836" t="inlineStr">
        <is>
          <t>INV/2026/02301</t>
        </is>
      </c>
      <c r="E836" s="9" t="n">
        <v>290.98</v>
      </c>
      <c r="F836" s="9" t="n">
        <v>290.98</v>
      </c>
      <c r="G836" s="9">
        <f>ROUND(E836-F836,2)</f>
        <v>0</v>
      </c>
    </row>
    <row r="837">
      <c r="A837" t="inlineStr">
        <is>
          <t>RA44973</t>
        </is>
      </c>
      <c r="B837" t="inlineStr">
        <is>
          <t>Clearpath NDIS Plans</t>
        </is>
      </c>
      <c r="C837" s="5" t="n">
        <v>46238</v>
      </c>
      <c r="D837" t="inlineStr">
        <is>
          <t>INV/2026/02320</t>
        </is>
      </c>
      <c r="E837" s="9" t="n">
        <v>300.69</v>
      </c>
      <c r="F837" s="9" t="n">
        <v>300.69</v>
      </c>
      <c r="G837" s="9">
        <f>ROUND(E837-F837,2)</f>
        <v>0</v>
      </c>
    </row>
    <row r="838">
      <c r="A838" t="inlineStr">
        <is>
          <t>RA44973</t>
        </is>
      </c>
      <c r="B838" t="inlineStr">
        <is>
          <t>Clearpath NDIS Plans</t>
        </is>
      </c>
      <c r="C838" s="5" t="n">
        <v>46238</v>
      </c>
      <c r="D838" t="inlineStr">
        <is>
          <t>INV/2026/02349</t>
        </is>
      </c>
      <c r="E838" s="9" t="n">
        <v>145.49</v>
      </c>
      <c r="F838" s="9" t="n">
        <v>145.49</v>
      </c>
      <c r="G838" s="9">
        <f>ROUND(E838-F838,2)</f>
        <v>0</v>
      </c>
    </row>
    <row r="839">
      <c r="A839" t="inlineStr">
        <is>
          <t>RA44973</t>
        </is>
      </c>
      <c r="B839" t="inlineStr">
        <is>
          <t>Clearpath NDIS Plans</t>
        </is>
      </c>
      <c r="C839" s="5" t="n">
        <v>46238</v>
      </c>
      <c r="D839" t="inlineStr">
        <is>
          <t>INV/2026/02373</t>
        </is>
      </c>
      <c r="E839" s="9" t="n">
        <v>387.98</v>
      </c>
      <c r="F839" s="9" t="n">
        <v>387.98</v>
      </c>
      <c r="G839" s="9">
        <f>ROUND(E839-F839,2)</f>
        <v>0</v>
      </c>
    </row>
    <row r="840">
      <c r="A840" t="inlineStr">
        <is>
          <t>RA44974</t>
        </is>
      </c>
      <c r="B840" t="inlineStr">
        <is>
          <t>Ironbark Plan Management</t>
        </is>
      </c>
      <c r="C840" s="5" t="n">
        <v>46238</v>
      </c>
      <c r="D840" t="inlineStr">
        <is>
          <t>INV/2026/02323</t>
        </is>
      </c>
      <c r="E840" s="9" t="n">
        <v>242.49</v>
      </c>
      <c r="F840" s="9" t="n">
        <v>242.49</v>
      </c>
      <c r="G840" s="9">
        <f>ROUND(E840-F840,2)</f>
        <v>0</v>
      </c>
    </row>
    <row r="841">
      <c r="A841" t="inlineStr">
        <is>
          <t>RA44974</t>
        </is>
      </c>
      <c r="B841" t="inlineStr">
        <is>
          <t>Ironbark Plan Management</t>
        </is>
      </c>
      <c r="C841" s="5" t="n">
        <v>46238</v>
      </c>
      <c r="D841" t="inlineStr">
        <is>
          <t>INV/2026/02376</t>
        </is>
      </c>
      <c r="E841" s="9" t="n">
        <v>290.98</v>
      </c>
      <c r="F841" s="9" t="n">
        <v>290.98</v>
      </c>
      <c r="G841" s="9">
        <f>ROUND(E841-F841,2)</f>
        <v>0</v>
      </c>
    </row>
    <row r="842">
      <c r="A842" t="inlineStr">
        <is>
          <t>RA44974</t>
        </is>
      </c>
      <c r="B842" t="inlineStr">
        <is>
          <t>Ironbark Plan Management</t>
        </is>
      </c>
      <c r="C842" s="5" t="n">
        <v>46238</v>
      </c>
      <c r="D842" t="inlineStr">
        <is>
          <t>INV/2026/02399</t>
        </is>
      </c>
      <c r="E842" s="9" t="n">
        <v>387.98</v>
      </c>
      <c r="F842" s="9" t="n">
        <v>387.98</v>
      </c>
      <c r="G842" s="9">
        <f>ROUND(E842-F842,2)</f>
        <v>0</v>
      </c>
    </row>
    <row r="843">
      <c r="A843" t="inlineStr">
        <is>
          <t>RA44974</t>
        </is>
      </c>
      <c r="B843" t="inlineStr">
        <is>
          <t>Ironbark Plan Management</t>
        </is>
      </c>
      <c r="C843" s="5" t="n">
        <v>46238</v>
      </c>
      <c r="D843" t="inlineStr">
        <is>
          <t>INV/2026/02425</t>
        </is>
      </c>
      <c r="E843" s="9" t="n">
        <v>387.98</v>
      </c>
      <c r="F843" s="9" t="n">
        <v>387.98</v>
      </c>
      <c r="G843" s="9">
        <f>ROUND(E843-F843,2)</f>
        <v>0</v>
      </c>
    </row>
    <row r="844">
      <c r="A844" t="inlineStr">
        <is>
          <t>RA44975</t>
        </is>
      </c>
      <c r="B844" t="inlineStr">
        <is>
          <t>Southern Cross Plan Mgmt</t>
        </is>
      </c>
      <c r="C844" s="5" t="n">
        <v>46238</v>
      </c>
      <c r="D844" t="inlineStr">
        <is>
          <t>INV/2026/01812</t>
        </is>
      </c>
      <c r="E844" s="9" t="n">
        <v>193.99</v>
      </c>
      <c r="F844" s="9" t="n">
        <v>193.99</v>
      </c>
      <c r="G844" s="9">
        <f>ROUND(E844-F844,2)</f>
        <v>0</v>
      </c>
    </row>
    <row r="845">
      <c r="A845" t="inlineStr">
        <is>
          <t>RA44975</t>
        </is>
      </c>
      <c r="B845" t="inlineStr">
        <is>
          <t>Southern Cross Plan Mgmt</t>
        </is>
      </c>
      <c r="C845" s="5" t="n">
        <v>46238</v>
      </c>
      <c r="D845" t="inlineStr">
        <is>
          <t>INV/2026/01813</t>
        </is>
      </c>
      <c r="E845" s="9" t="n">
        <v>290.98</v>
      </c>
      <c r="F845" s="9" t="n">
        <v>290.98</v>
      </c>
      <c r="G845" s="9">
        <f>ROUND(E845-F845,2)</f>
        <v>0</v>
      </c>
    </row>
    <row r="846">
      <c r="A846" t="inlineStr">
        <is>
          <t>RA44975</t>
        </is>
      </c>
      <c r="B846" t="inlineStr">
        <is>
          <t>Southern Cross Plan Mgmt</t>
        </is>
      </c>
      <c r="C846" s="5" t="n">
        <v>46238</v>
      </c>
      <c r="D846" t="inlineStr">
        <is>
          <t>INV/2026/01814</t>
        </is>
      </c>
      <c r="E846" s="9" t="n">
        <v>193.99</v>
      </c>
      <c r="F846" s="9" t="n">
        <v>193.99</v>
      </c>
      <c r="G846" s="9">
        <f>ROUND(E846-F846,2)</f>
        <v>0</v>
      </c>
    </row>
    <row r="847">
      <c r="A847" t="inlineStr">
        <is>
          <t>RA44976</t>
        </is>
      </c>
      <c r="B847" t="inlineStr">
        <is>
          <t>Mallee Plan Services</t>
        </is>
      </c>
      <c r="C847" s="5" t="n">
        <v>46238</v>
      </c>
      <c r="D847" t="inlineStr">
        <is>
          <t>INV/2026/02415</t>
        </is>
      </c>
      <c r="E847" s="9" t="n">
        <v>320.98</v>
      </c>
      <c r="F847" s="9" t="n">
        <v>320.98</v>
      </c>
      <c r="G847" s="9">
        <f>ROUND(E847-F847,2)</f>
        <v>0</v>
      </c>
    </row>
    <row r="848">
      <c r="A848" t="inlineStr">
        <is>
          <t>RA44977</t>
        </is>
      </c>
      <c r="B848" t="inlineStr">
        <is>
          <t>Riverbend Plan Partners</t>
        </is>
      </c>
      <c r="C848" s="5" t="n">
        <v>46239</v>
      </c>
      <c r="D848" t="inlineStr">
        <is>
          <t>INV/2026/02348</t>
        </is>
      </c>
      <c r="E848" s="9" t="n">
        <v>193.99</v>
      </c>
      <c r="F848" s="9" t="n">
        <v>193.99</v>
      </c>
      <c r="G848" s="9">
        <f>ROUND(E848-F848,2)</f>
        <v>0</v>
      </c>
    </row>
    <row r="849">
      <c r="A849" t="inlineStr">
        <is>
          <t>RA44977</t>
        </is>
      </c>
      <c r="B849" t="inlineStr">
        <is>
          <t>Riverbend Plan Partners</t>
        </is>
      </c>
      <c r="C849" s="5" t="n">
        <v>46239</v>
      </c>
      <c r="D849" t="inlineStr">
        <is>
          <t>INV/2026/02390</t>
        </is>
      </c>
      <c r="E849" s="9" t="n">
        <v>290.98</v>
      </c>
      <c r="F849" s="9" t="n">
        <v>290.98</v>
      </c>
      <c r="G849" s="9">
        <f>ROUND(E849-F849,2)</f>
        <v>0</v>
      </c>
    </row>
    <row r="850">
      <c r="A850" t="inlineStr">
        <is>
          <t>RA44977</t>
        </is>
      </c>
      <c r="B850" t="inlineStr">
        <is>
          <t>Riverbend Plan Partners</t>
        </is>
      </c>
      <c r="C850" s="5" t="n">
        <v>46239</v>
      </c>
      <c r="D850" t="inlineStr">
        <is>
          <t>INV/2026/02391</t>
        </is>
      </c>
      <c r="E850" s="9" t="n">
        <v>387.98</v>
      </c>
      <c r="F850" s="9" t="n">
        <v>387.98</v>
      </c>
      <c r="G850" s="9">
        <f>ROUND(E850-F850,2)</f>
        <v>0</v>
      </c>
    </row>
    <row r="851">
      <c r="A851" t="inlineStr">
        <is>
          <t>RA44977</t>
        </is>
      </c>
      <c r="B851" t="inlineStr">
        <is>
          <t>Riverbend Plan Partners</t>
        </is>
      </c>
      <c r="C851" s="5" t="n">
        <v>46239</v>
      </c>
      <c r="D851" t="inlineStr">
        <is>
          <t>INV/2026/02392</t>
        </is>
      </c>
      <c r="E851" s="9" t="n">
        <v>290.98</v>
      </c>
      <c r="F851" s="9" t="n">
        <v>290.98</v>
      </c>
      <c r="G851" s="9">
        <f>ROUND(E851-F851,2)</f>
        <v>0</v>
      </c>
    </row>
    <row r="852">
      <c r="A852" t="inlineStr">
        <is>
          <t>RA44977</t>
        </is>
      </c>
      <c r="B852" t="inlineStr">
        <is>
          <t>Riverbend Plan Partners</t>
        </is>
      </c>
      <c r="C852" s="5" t="n">
        <v>46239</v>
      </c>
      <c r="D852" t="inlineStr">
        <is>
          <t>INV/2026/02420</t>
        </is>
      </c>
      <c r="E852" s="9" t="n">
        <v>193.99</v>
      </c>
      <c r="F852" s="9" t="n">
        <v>193.99</v>
      </c>
      <c r="G852" s="9">
        <f>ROUND(E852-F852,2)</f>
        <v>0</v>
      </c>
    </row>
    <row r="853">
      <c r="A853" t="inlineStr">
        <is>
          <t>RA44978</t>
        </is>
      </c>
      <c r="B853" t="inlineStr">
        <is>
          <t>Saltbush Plan Managers</t>
        </is>
      </c>
      <c r="C853" s="5" t="n">
        <v>46239</v>
      </c>
      <c r="D853" t="inlineStr">
        <is>
          <t>INV/2026/02327</t>
        </is>
      </c>
      <c r="E853" s="9" t="n">
        <v>349.18</v>
      </c>
      <c r="F853" s="9" t="n">
        <v>349.18</v>
      </c>
      <c r="G853" s="9">
        <f>ROUND(E853-F853,2)</f>
        <v>0</v>
      </c>
    </row>
    <row r="854">
      <c r="A854" t="inlineStr">
        <is>
          <t>RA44978</t>
        </is>
      </c>
      <c r="B854" t="inlineStr">
        <is>
          <t>Saltbush Plan Managers</t>
        </is>
      </c>
      <c r="C854" s="5" t="n">
        <v>46239</v>
      </c>
      <c r="D854" t="inlineStr">
        <is>
          <t>INV/2026/02328</t>
        </is>
      </c>
      <c r="E854" s="9" t="n">
        <v>126.99</v>
      </c>
      <c r="F854" s="9" t="n">
        <v>126.99</v>
      </c>
      <c r="G854" s="9">
        <f>ROUND(E854-F854,2)</f>
        <v>0</v>
      </c>
    </row>
    <row r="855">
      <c r="A855" t="inlineStr">
        <is>
          <t>RA44978</t>
        </is>
      </c>
      <c r="B855" t="inlineStr">
        <is>
          <t>Saltbush Plan Managers</t>
        </is>
      </c>
      <c r="C855" s="5" t="n">
        <v>46239</v>
      </c>
      <c r="D855" t="inlineStr">
        <is>
          <t>INV/2026/02380</t>
        </is>
      </c>
      <c r="E855" s="9" t="n">
        <v>417.98</v>
      </c>
      <c r="F855" s="9" t="n">
        <v>417.98</v>
      </c>
      <c r="G855" s="9">
        <f>ROUND(E855-F855,2)</f>
        <v>0</v>
      </c>
    </row>
    <row r="856">
      <c r="A856" t="inlineStr">
        <is>
          <t>RA44979</t>
        </is>
      </c>
      <c r="B856" t="inlineStr">
        <is>
          <t>Redgum Plan Admin</t>
        </is>
      </c>
      <c r="C856" s="5" t="n">
        <v>46239</v>
      </c>
      <c r="D856" t="inlineStr">
        <is>
          <t>INV/2026/02358</t>
        </is>
      </c>
      <c r="E856" s="9" t="n">
        <v>96.98999999999999</v>
      </c>
      <c r="F856" s="9" t="n">
        <v>96.98999999999999</v>
      </c>
      <c r="G856" s="9">
        <f>ROUND(E856-F856,2)</f>
        <v>0</v>
      </c>
    </row>
    <row r="857">
      <c r="A857" t="inlineStr">
        <is>
          <t>RA44979</t>
        </is>
      </c>
      <c r="B857" t="inlineStr">
        <is>
          <t>Redgum Plan Admin</t>
        </is>
      </c>
      <c r="C857" s="5" t="n">
        <v>46239</v>
      </c>
      <c r="D857" t="inlineStr">
        <is>
          <t>INV/2026/02381</t>
        </is>
      </c>
      <c r="E857" s="9" t="n">
        <v>272.49</v>
      </c>
      <c r="F857" s="9" t="n">
        <v>272.49</v>
      </c>
      <c r="G857" s="9">
        <f>ROUND(E857-F857,2)</f>
        <v>0</v>
      </c>
    </row>
    <row r="858">
      <c r="A858" t="inlineStr">
        <is>
          <t>RA44979</t>
        </is>
      </c>
      <c r="B858" t="inlineStr">
        <is>
          <t>Redgum Plan Admin</t>
        </is>
      </c>
      <c r="C858" s="5" t="n">
        <v>46239</v>
      </c>
      <c r="D858" t="inlineStr">
        <is>
          <t>INV/2026/02404</t>
        </is>
      </c>
      <c r="E858" s="9" t="n">
        <v>96.98999999999999</v>
      </c>
      <c r="F858" s="9" t="n">
        <v>96.98999999999999</v>
      </c>
      <c r="G858" s="9">
        <f>ROUND(E858-F858,2)</f>
        <v>0</v>
      </c>
    </row>
    <row r="859">
      <c r="A859" t="inlineStr">
        <is>
          <t>RA44979</t>
        </is>
      </c>
      <c r="B859" t="inlineStr">
        <is>
          <t>Redgum Plan Admin</t>
        </is>
      </c>
      <c r="C859" s="5" t="n">
        <v>46239</v>
      </c>
      <c r="D859" t="inlineStr">
        <is>
          <t>INV/2026/02430</t>
        </is>
      </c>
      <c r="E859" s="9" t="n">
        <v>175.49</v>
      </c>
      <c r="F859" s="9" t="n">
        <v>175.49</v>
      </c>
      <c r="G859" s="9">
        <f>ROUND(E859-F859,2)</f>
        <v>0</v>
      </c>
    </row>
    <row r="860">
      <c r="A860" t="inlineStr">
        <is>
          <t>RA44979</t>
        </is>
      </c>
      <c r="B860" t="inlineStr">
        <is>
          <t>Redgum Plan Admin</t>
        </is>
      </c>
      <c r="C860" s="5" t="n">
        <v>46239</v>
      </c>
      <c r="D860" t="inlineStr">
        <is>
          <t>INV/2026/02432</t>
        </is>
      </c>
      <c r="E860" s="9" t="n">
        <v>290.98</v>
      </c>
      <c r="F860" s="9" t="n">
        <v>290.98</v>
      </c>
      <c r="G860" s="9">
        <f>ROUND(E860-F860,2)</f>
        <v>0</v>
      </c>
    </row>
    <row r="861">
      <c r="A861" t="inlineStr">
        <is>
          <t>RA44980</t>
        </is>
      </c>
      <c r="B861" t="inlineStr">
        <is>
          <t>Tallowwood Plans</t>
        </is>
      </c>
      <c r="C861" s="5" t="n">
        <v>46239</v>
      </c>
      <c r="D861" t="inlineStr">
        <is>
          <t>INV/2026/02335</t>
        </is>
      </c>
      <c r="E861" s="9" t="n">
        <v>446.18</v>
      </c>
      <c r="F861" s="9" t="n">
        <v>446.18</v>
      </c>
      <c r="G861" s="9">
        <f>ROUND(E861-F861,2)</f>
        <v>0</v>
      </c>
    </row>
    <row r="862">
      <c r="A862" t="inlineStr">
        <is>
          <t>RA44980</t>
        </is>
      </c>
      <c r="B862" t="inlineStr">
        <is>
          <t>Tallowwood Plans</t>
        </is>
      </c>
      <c r="C862" s="5" t="n">
        <v>46239</v>
      </c>
      <c r="D862" t="inlineStr">
        <is>
          <t>INV/2026/02337</t>
        </is>
      </c>
      <c r="E862" s="9" t="n">
        <v>417.98</v>
      </c>
      <c r="F862" s="9" t="n">
        <v>417.98</v>
      </c>
      <c r="G862" s="9">
        <f>ROUND(E862-F862,2)</f>
        <v>0</v>
      </c>
    </row>
    <row r="863">
      <c r="A863" t="inlineStr">
        <is>
          <t>RA44980</t>
        </is>
      </c>
      <c r="B863" t="inlineStr">
        <is>
          <t>Tallowwood Plans</t>
        </is>
      </c>
      <c r="C863" s="5" t="n">
        <v>46239</v>
      </c>
      <c r="D863" t="inlineStr">
        <is>
          <t>INV/2026/02384</t>
        </is>
      </c>
      <c r="E863" s="9" t="n">
        <v>193.99</v>
      </c>
      <c r="F863" s="9" t="n">
        <v>193.99</v>
      </c>
      <c r="G863" s="9">
        <f>ROUND(E863-F863,2)</f>
        <v>0</v>
      </c>
    </row>
    <row r="864">
      <c r="A864" t="inlineStr">
        <is>
          <t>RA44981</t>
        </is>
      </c>
      <c r="B864" t="inlineStr">
        <is>
          <t>Acacia Plan Partners</t>
        </is>
      </c>
      <c r="C864" s="5" t="n">
        <v>46239</v>
      </c>
      <c r="D864" t="inlineStr">
        <is>
          <t>INV/2026/02339</t>
        </is>
      </c>
      <c r="E864" s="9" t="n">
        <v>203.69</v>
      </c>
      <c r="F864" s="9" t="n">
        <v>203.69</v>
      </c>
      <c r="G864" s="9">
        <f>ROUND(E864-F864,2)</f>
        <v>0</v>
      </c>
    </row>
    <row r="865">
      <c r="A865" t="inlineStr">
        <is>
          <t>RA44981</t>
        </is>
      </c>
      <c r="B865" t="inlineStr">
        <is>
          <t>Acacia Plan Partners</t>
        </is>
      </c>
      <c r="C865" s="5" t="n">
        <v>46239</v>
      </c>
      <c r="D865" t="inlineStr">
        <is>
          <t>INV/2026/02365</t>
        </is>
      </c>
      <c r="E865" s="9" t="n">
        <v>290.98</v>
      </c>
      <c r="F865" s="9" t="n">
        <v>290.98</v>
      </c>
      <c r="G865" s="9">
        <f>ROUND(E865-F865,2)</f>
        <v>0</v>
      </c>
    </row>
    <row r="866">
      <c r="A866" t="inlineStr">
        <is>
          <t>RA44982</t>
        </is>
      </c>
      <c r="B866" t="inlineStr">
        <is>
          <t>Clearpath NDIS Plans</t>
        </is>
      </c>
      <c r="C866" s="5" t="n">
        <v>46240</v>
      </c>
      <c r="D866" t="inlineStr">
        <is>
          <t>INV/2026/02350</t>
        </is>
      </c>
      <c r="E866" s="9" t="n">
        <v>290.98</v>
      </c>
      <c r="F866" s="9" t="n">
        <v>290.98</v>
      </c>
      <c r="G866" s="9">
        <f>ROUND(E866-F866,2)</f>
        <v>0</v>
      </c>
    </row>
    <row r="867">
      <c r="A867" t="inlineStr">
        <is>
          <t>RA44982</t>
        </is>
      </c>
      <c r="B867" t="inlineStr">
        <is>
          <t>Clearpath NDIS Plans</t>
        </is>
      </c>
      <c r="C867" s="5" t="n">
        <v>46240</v>
      </c>
      <c r="D867" t="inlineStr">
        <is>
          <t>INV/2026/02394</t>
        </is>
      </c>
      <c r="E867" s="9" t="n">
        <v>126.99</v>
      </c>
      <c r="F867" s="9" t="n">
        <v>126.99</v>
      </c>
      <c r="G867" s="9">
        <f>ROUND(E867-F867,2)</f>
        <v>0</v>
      </c>
    </row>
    <row r="868">
      <c r="A868" t="inlineStr">
        <is>
          <t>RA44982</t>
        </is>
      </c>
      <c r="B868" t="inlineStr">
        <is>
          <t>Clearpath NDIS Plans</t>
        </is>
      </c>
      <c r="C868" s="5" t="n">
        <v>46240</v>
      </c>
      <c r="D868" t="inlineStr">
        <is>
          <t>INV/2026/02395</t>
        </is>
      </c>
      <c r="E868" s="9" t="n">
        <v>320.98</v>
      </c>
      <c r="F868" s="9" t="n">
        <v>320.98</v>
      </c>
      <c r="G868" s="9">
        <f>ROUND(E868-F868,2)</f>
        <v>0</v>
      </c>
    </row>
    <row r="869">
      <c r="A869" t="inlineStr">
        <is>
          <t>RA44982</t>
        </is>
      </c>
      <c r="B869" t="inlineStr">
        <is>
          <t>Clearpath NDIS Plans</t>
        </is>
      </c>
      <c r="C869" s="5" t="n">
        <v>46240</v>
      </c>
      <c r="D869" t="inlineStr">
        <is>
          <t>INV/2026/02421</t>
        </is>
      </c>
      <c r="E869" s="9" t="n">
        <v>417.98</v>
      </c>
      <c r="F869" s="9" t="n">
        <v>417.98</v>
      </c>
      <c r="G869" s="9">
        <f>ROUND(E869-F869,2)</f>
        <v>0</v>
      </c>
    </row>
    <row r="870">
      <c r="A870" t="inlineStr">
        <is>
          <t>RA44983</t>
        </is>
      </c>
      <c r="B870" t="inlineStr">
        <is>
          <t>Wattle Plan Services</t>
        </is>
      </c>
      <c r="C870" s="5" t="n">
        <v>46240</v>
      </c>
      <c r="D870" t="inlineStr">
        <is>
          <t>INV/2026/02351</t>
        </is>
      </c>
      <c r="E870" s="9" t="n">
        <v>290.98</v>
      </c>
      <c r="F870" s="9" t="n">
        <v>290.98</v>
      </c>
      <c r="G870" s="9">
        <f>ROUND(E870-F870,2)</f>
        <v>0</v>
      </c>
    </row>
    <row r="871">
      <c r="A871" t="inlineStr">
        <is>
          <t>RA44984</t>
        </is>
      </c>
      <c r="B871" t="inlineStr">
        <is>
          <t>Saltbush Plan Managers</t>
        </is>
      </c>
      <c r="C871" s="5" t="n">
        <v>46240</v>
      </c>
      <c r="D871" t="inlineStr">
        <is>
          <t>INV/2026/02429</t>
        </is>
      </c>
      <c r="E871" s="9" t="n">
        <v>175.49</v>
      </c>
      <c r="F871" s="9" t="n">
        <v>175.49</v>
      </c>
      <c r="G871" s="9">
        <f>ROUND(E871-F871,2)</f>
        <v>0</v>
      </c>
    </row>
    <row r="872">
      <c r="A872" t="inlineStr">
        <is>
          <t>RA44985</t>
        </is>
      </c>
      <c r="B872" t="inlineStr">
        <is>
          <t>Lyrebird Plan Management</t>
        </is>
      </c>
      <c r="C872" s="5" t="n">
        <v>46240</v>
      </c>
      <c r="D872" t="inlineStr">
        <is>
          <t>INV/2026/02332</t>
        </is>
      </c>
      <c r="E872" s="9" t="n">
        <v>290.98</v>
      </c>
      <c r="F872" s="9" t="n">
        <v>290.98</v>
      </c>
      <c r="G872" s="9">
        <f>ROUND(E872-F872,2)</f>
        <v>0</v>
      </c>
    </row>
    <row r="873">
      <c r="A873" t="inlineStr">
        <is>
          <t>RA44985</t>
        </is>
      </c>
      <c r="B873" t="inlineStr">
        <is>
          <t>Lyrebird Plan Management</t>
        </is>
      </c>
      <c r="C873" s="5" t="n">
        <v>46240</v>
      </c>
      <c r="D873" t="inlineStr">
        <is>
          <t>INV/2026/02333</t>
        </is>
      </c>
      <c r="E873" s="9" t="n">
        <v>252.19</v>
      </c>
      <c r="F873" s="9" t="n">
        <v>252.19</v>
      </c>
      <c r="G873" s="9">
        <f>ROUND(E873-F873,2)</f>
        <v>0</v>
      </c>
    </row>
    <row r="874">
      <c r="A874" t="inlineStr">
        <is>
          <t>RA44985</t>
        </is>
      </c>
      <c r="B874" t="inlineStr">
        <is>
          <t>Lyrebird Plan Management</t>
        </is>
      </c>
      <c r="C874" s="5" t="n">
        <v>46240</v>
      </c>
      <c r="D874" t="inlineStr">
        <is>
          <t>INV/2026/02362</t>
        </is>
      </c>
      <c r="E874" s="9" t="n">
        <v>242.49</v>
      </c>
      <c r="F874" s="9" t="n">
        <v>242.49</v>
      </c>
      <c r="G874" s="9">
        <f>ROUND(E874-F874,2)</f>
        <v>0</v>
      </c>
    </row>
    <row r="875">
      <c r="A875" t="inlineStr">
        <is>
          <t>RA44985</t>
        </is>
      </c>
      <c r="B875" t="inlineStr">
        <is>
          <t>Lyrebird Plan Management</t>
        </is>
      </c>
      <c r="C875" s="5" t="n">
        <v>46240</v>
      </c>
      <c r="D875" t="inlineStr">
        <is>
          <t>INV/2026/02363</t>
        </is>
      </c>
      <c r="E875" s="9" t="n">
        <v>349.18</v>
      </c>
      <c r="F875" s="9" t="n">
        <v>349.18</v>
      </c>
      <c r="G875" s="9">
        <f>ROUND(E875-F875,2)</f>
        <v>0</v>
      </c>
    </row>
    <row r="876">
      <c r="A876" t="inlineStr">
        <is>
          <t>RA44985</t>
        </is>
      </c>
      <c r="B876" t="inlineStr">
        <is>
          <t>Lyrebird Plan Management</t>
        </is>
      </c>
      <c r="C876" s="5" t="n">
        <v>46240</v>
      </c>
      <c r="D876" t="inlineStr">
        <is>
          <t>INV/2026/02408</t>
        </is>
      </c>
      <c r="E876" s="9" t="n">
        <v>155.19</v>
      </c>
      <c r="F876" s="9" t="n">
        <v>155.19</v>
      </c>
      <c r="G876" s="9">
        <f>ROUND(E876-F876,2)</f>
        <v>0</v>
      </c>
    </row>
    <row r="877">
      <c r="A877" t="inlineStr">
        <is>
          <t>RA44985</t>
        </is>
      </c>
      <c r="B877" t="inlineStr">
        <is>
          <t>Lyrebird Plan Management</t>
        </is>
      </c>
      <c r="C877" s="5" t="n">
        <v>46240</v>
      </c>
      <c r="D877" t="inlineStr">
        <is>
          <t>INV/2026/02409</t>
        </is>
      </c>
      <c r="E877" s="9" t="n">
        <v>145.49</v>
      </c>
      <c r="F877" s="9" t="n">
        <v>145.49</v>
      </c>
      <c r="G877" s="9">
        <f>ROUND(E877-F877,2)</f>
        <v>0</v>
      </c>
    </row>
    <row r="878">
      <c r="A878" t="inlineStr">
        <is>
          <t>RA44985</t>
        </is>
      </c>
      <c r="B878" t="inlineStr">
        <is>
          <t>Lyrebird Plan Management</t>
        </is>
      </c>
      <c r="C878" s="5" t="n">
        <v>46240</v>
      </c>
      <c r="D878" t="inlineStr">
        <is>
          <t>INV/2026/02435</t>
        </is>
      </c>
      <c r="E878" s="9" t="n">
        <v>242.49</v>
      </c>
      <c r="F878" s="9" t="n">
        <v>242.49</v>
      </c>
      <c r="G878" s="9">
        <f>ROUND(E878-F878,2)</f>
        <v>0</v>
      </c>
    </row>
    <row r="879">
      <c r="A879" t="inlineStr">
        <is>
          <t>RA44986</t>
        </is>
      </c>
      <c r="B879" t="inlineStr">
        <is>
          <t>Tallowwood Plans</t>
        </is>
      </c>
      <c r="C879" s="5" t="n">
        <v>46240</v>
      </c>
      <c r="D879" t="inlineStr">
        <is>
          <t>INV/2026/02410</t>
        </is>
      </c>
      <c r="E879" s="9" t="n">
        <v>387.98</v>
      </c>
      <c r="F879" s="9" t="n">
        <v>387.98</v>
      </c>
      <c r="G879" s="9">
        <f>ROUND(E879-F879,2)</f>
        <v>0</v>
      </c>
    </row>
    <row r="880">
      <c r="A880" t="inlineStr">
        <is>
          <t>RA44987</t>
        </is>
      </c>
      <c r="B880" t="inlineStr">
        <is>
          <t>Acacia Plan Partners</t>
        </is>
      </c>
      <c r="C880" s="5" t="n">
        <v>46240</v>
      </c>
      <c r="D880" t="inlineStr">
        <is>
          <t>INV/2026/02411</t>
        </is>
      </c>
      <c r="E880" s="9" t="n">
        <v>242.49</v>
      </c>
      <c r="F880" s="9" t="n">
        <v>242.49</v>
      </c>
      <c r="G880" s="9">
        <f>ROUND(E880-F880,2)</f>
        <v>0</v>
      </c>
    </row>
    <row r="881">
      <c r="A881" t="inlineStr">
        <is>
          <t>RA44987</t>
        </is>
      </c>
      <c r="B881" t="inlineStr">
        <is>
          <t>Acacia Plan Partners</t>
        </is>
      </c>
      <c r="C881" s="5" t="n">
        <v>46240</v>
      </c>
      <c r="D881" t="inlineStr">
        <is>
          <t>INV/2026/02413</t>
        </is>
      </c>
      <c r="E881" s="9" t="n">
        <v>193.99</v>
      </c>
      <c r="F881" s="9" t="n">
        <v>193.99</v>
      </c>
      <c r="G881" s="9">
        <f>ROUND(E881-F881,2)</f>
        <v>0</v>
      </c>
    </row>
    <row r="882">
      <c r="A882" t="inlineStr">
        <is>
          <t>RA44987</t>
        </is>
      </c>
      <c r="B882" t="inlineStr">
        <is>
          <t>Acacia Plan Partners</t>
        </is>
      </c>
      <c r="C882" s="5" t="n">
        <v>46240</v>
      </c>
      <c r="D882" t="inlineStr">
        <is>
          <t>INV/2026/02457</t>
        </is>
      </c>
      <c r="E882" s="9" t="n">
        <v>446.18</v>
      </c>
      <c r="F882" s="9" t="n">
        <v>446.18</v>
      </c>
      <c r="G882" s="9">
        <f>ROUND(E882-F882,2)</f>
        <v>0</v>
      </c>
    </row>
    <row r="883">
      <c r="A883" t="inlineStr">
        <is>
          <t>RA44988</t>
        </is>
      </c>
      <c r="B883" t="inlineStr">
        <is>
          <t>Bluegum Plan Management</t>
        </is>
      </c>
      <c r="C883" s="5" t="n">
        <v>46241</v>
      </c>
      <c r="D883" t="inlineStr">
        <is>
          <t>INV/2026/02271</t>
        </is>
      </c>
      <c r="E883" s="9" t="n">
        <v>290.98</v>
      </c>
      <c r="F883" s="9" t="n">
        <v>290.98</v>
      </c>
      <c r="G883" s="9">
        <f>ROUND(E883-F883,2)</f>
        <v>0</v>
      </c>
    </row>
    <row r="884">
      <c r="A884" t="inlineStr">
        <is>
          <t>RA44988</t>
        </is>
      </c>
      <c r="B884" t="inlineStr">
        <is>
          <t>Bluegum Plan Management</t>
        </is>
      </c>
      <c r="C884" s="5" t="n">
        <v>46241</v>
      </c>
      <c r="D884" t="inlineStr">
        <is>
          <t>INV/2026/02299</t>
        </is>
      </c>
      <c r="E884" s="9" t="n">
        <v>242.49</v>
      </c>
      <c r="F884" s="9" t="n">
        <v>242.49</v>
      </c>
      <c r="G884" s="9">
        <f>ROUND(E884-F884,2)</f>
        <v>0</v>
      </c>
    </row>
    <row r="885">
      <c r="A885" t="inlineStr">
        <is>
          <t>RA44988</t>
        </is>
      </c>
      <c r="B885" t="inlineStr">
        <is>
          <t>Bluegum Plan Management</t>
        </is>
      </c>
      <c r="C885" s="5" t="n">
        <v>46241</v>
      </c>
      <c r="D885" t="inlineStr">
        <is>
          <t>INV/2026/02318</t>
        </is>
      </c>
      <c r="E885" s="9" t="n">
        <v>203.69</v>
      </c>
      <c r="F885" s="9" t="n">
        <v>203.69</v>
      </c>
      <c r="G885" s="9">
        <f>ROUND(E885-F885,2)</f>
        <v>0</v>
      </c>
    </row>
    <row r="886">
      <c r="A886" t="inlineStr">
        <is>
          <t>RA44989</t>
        </is>
      </c>
      <c r="B886" t="inlineStr">
        <is>
          <t>Riverbend Plan Partners</t>
        </is>
      </c>
      <c r="C886" s="5" t="n">
        <v>46241</v>
      </c>
      <c r="D886" t="inlineStr">
        <is>
          <t>INV/2026/02372</t>
        </is>
      </c>
      <c r="E886" s="9" t="n">
        <v>300.69</v>
      </c>
      <c r="F886" s="9" t="n">
        <v>300.69</v>
      </c>
      <c r="G886" s="9">
        <f>ROUND(E886-F886,2)</f>
        <v>0</v>
      </c>
    </row>
    <row r="887">
      <c r="A887" t="inlineStr">
        <is>
          <t>RA44989</t>
        </is>
      </c>
      <c r="B887" t="inlineStr">
        <is>
          <t>Riverbend Plan Partners</t>
        </is>
      </c>
      <c r="C887" s="5" t="n">
        <v>46241</v>
      </c>
      <c r="D887" t="inlineStr">
        <is>
          <t>INV/2026/02419</t>
        </is>
      </c>
      <c r="E887" s="9" t="n">
        <v>223.99</v>
      </c>
      <c r="F887" s="9" t="n">
        <v>223.99</v>
      </c>
      <c r="G887" s="9">
        <f>ROUND(E887-F887,2)</f>
        <v>0</v>
      </c>
    </row>
    <row r="888">
      <c r="A888" t="inlineStr">
        <is>
          <t>RA44990</t>
        </is>
      </c>
      <c r="B888" t="inlineStr">
        <is>
          <t>Clearpath NDIS Plans</t>
        </is>
      </c>
      <c r="C888" s="5" t="n">
        <v>46241</v>
      </c>
      <c r="D888" t="inlineStr">
        <is>
          <t>INV/2026/02393</t>
        </is>
      </c>
      <c r="E888" s="9" t="n">
        <v>290.98</v>
      </c>
      <c r="F888" s="9" t="n">
        <v>290.98</v>
      </c>
      <c r="G888" s="9">
        <f>ROUND(E888-F888,2)</f>
        <v>0</v>
      </c>
    </row>
    <row r="889">
      <c r="A889" t="inlineStr">
        <is>
          <t>RA44991</t>
        </is>
      </c>
      <c r="B889" t="inlineStr">
        <is>
          <t>Banksia Plan Co</t>
        </is>
      </c>
      <c r="C889" s="5" t="n">
        <v>46241</v>
      </c>
      <c r="D889" t="inlineStr">
        <is>
          <t>INV/2026/02322</t>
        </is>
      </c>
      <c r="E889" s="9" t="n">
        <v>193.99</v>
      </c>
      <c r="F889" s="9" t="n">
        <v>193.99</v>
      </c>
      <c r="G889" s="9">
        <f>ROUND(E889-F889,2)</f>
        <v>0</v>
      </c>
    </row>
    <row r="890">
      <c r="A890" t="inlineStr">
        <is>
          <t>RA44991</t>
        </is>
      </c>
      <c r="B890" t="inlineStr">
        <is>
          <t>Banksia Plan Co</t>
        </is>
      </c>
      <c r="C890" s="5" t="n">
        <v>46241</v>
      </c>
      <c r="D890" t="inlineStr">
        <is>
          <t>INV/2026/02447</t>
        </is>
      </c>
      <c r="E890" s="9" t="n">
        <v>126.99</v>
      </c>
      <c r="F890" s="9" t="n">
        <v>126.99</v>
      </c>
      <c r="G890" s="9">
        <f>ROUND(E890-F890,2)</f>
        <v>0</v>
      </c>
    </row>
    <row r="891">
      <c r="A891" t="inlineStr">
        <is>
          <t>RA44991</t>
        </is>
      </c>
      <c r="B891" t="inlineStr">
        <is>
          <t>Banksia Plan Co</t>
        </is>
      </c>
      <c r="C891" s="5" t="n">
        <v>46241</v>
      </c>
      <c r="D891" t="inlineStr">
        <is>
          <t>INV/2026/02468</t>
        </is>
      </c>
      <c r="E891" s="9" t="n">
        <v>145.49</v>
      </c>
      <c r="F891" s="9" t="n">
        <v>145.49</v>
      </c>
      <c r="G891" s="9">
        <f>ROUND(E891-F891,2)</f>
        <v>0</v>
      </c>
    </row>
    <row r="892">
      <c r="A892" t="inlineStr">
        <is>
          <t>RA44991</t>
        </is>
      </c>
      <c r="B892" t="inlineStr">
        <is>
          <t>Banksia Plan Co</t>
        </is>
      </c>
      <c r="C892" s="5" t="n">
        <v>46241</v>
      </c>
      <c r="D892" t="inlineStr">
        <is>
          <t>INV/2026/02469</t>
        </is>
      </c>
      <c r="E892" s="9" t="n">
        <v>193.99</v>
      </c>
      <c r="F892" s="9" t="n">
        <v>193.99</v>
      </c>
      <c r="G892" s="9">
        <f>ROUND(E892-F892,2)</f>
        <v>0</v>
      </c>
    </row>
    <row r="893">
      <c r="A893" t="inlineStr">
        <is>
          <t>RA44991</t>
        </is>
      </c>
      <c r="B893" t="inlineStr">
        <is>
          <t>Banksia Plan Co</t>
        </is>
      </c>
      <c r="C893" s="5" t="n">
        <v>46241</v>
      </c>
      <c r="D893" t="inlineStr">
        <is>
          <t>INV/2026/02470</t>
        </is>
      </c>
      <c r="E893" s="9" t="n">
        <v>242.49</v>
      </c>
      <c r="F893" s="9" t="n">
        <v>242.49</v>
      </c>
      <c r="G893" s="9">
        <f>ROUND(E893-F893,2)</f>
        <v>0</v>
      </c>
    </row>
    <row r="894">
      <c r="A894" t="inlineStr">
        <is>
          <t>RA44992</t>
        </is>
      </c>
      <c r="B894" t="inlineStr">
        <is>
          <t>Kookaburra Plan Support</t>
        </is>
      </c>
      <c r="C894" s="5" t="n">
        <v>46241</v>
      </c>
      <c r="D894" t="inlineStr">
        <is>
          <t>INV/2026/02356</t>
        </is>
      </c>
      <c r="E894" s="9" t="n">
        <v>290.98</v>
      </c>
      <c r="F894" s="9" t="n">
        <v>290.98</v>
      </c>
      <c r="G894" s="9">
        <f>ROUND(E894-F894,2)</f>
        <v>0</v>
      </c>
    </row>
    <row r="895">
      <c r="A895" t="inlineStr">
        <is>
          <t>RA44992</t>
        </is>
      </c>
      <c r="B895" t="inlineStr">
        <is>
          <t>Kookaburra Plan Support</t>
        </is>
      </c>
      <c r="C895" s="5" t="n">
        <v>46241</v>
      </c>
      <c r="D895" t="inlineStr">
        <is>
          <t>INV/2026/02357</t>
        </is>
      </c>
      <c r="E895" s="9" t="n">
        <v>242.49</v>
      </c>
      <c r="F895" s="9" t="n">
        <v>242.49</v>
      </c>
      <c r="G895" s="9">
        <f>ROUND(E895-F895,2)</f>
        <v>0</v>
      </c>
    </row>
    <row r="896">
      <c r="A896" t="inlineStr">
        <is>
          <t>RA44993</t>
        </is>
      </c>
      <c r="B896" t="inlineStr">
        <is>
          <t>Acacia Plan Partners</t>
        </is>
      </c>
      <c r="C896" s="5" t="n">
        <v>46241</v>
      </c>
      <c r="D896" t="inlineStr">
        <is>
          <t>INV/2026/02436</t>
        </is>
      </c>
      <c r="E896" s="9" t="n">
        <v>175.49</v>
      </c>
      <c r="F896" s="9" t="n">
        <v>175.49</v>
      </c>
      <c r="G896" s="9">
        <f>ROUND(E896-F896,2)</f>
        <v>0</v>
      </c>
    </row>
    <row r="897">
      <c r="A897" t="inlineStr">
        <is>
          <t>RA44994</t>
        </is>
      </c>
      <c r="B897" t="inlineStr">
        <is>
          <t>Mallee Plan Services</t>
        </is>
      </c>
      <c r="C897" s="5" t="n">
        <v>46241</v>
      </c>
      <c r="D897" t="inlineStr">
        <is>
          <t>INV/2026/02460</t>
        </is>
      </c>
      <c r="E897" s="9" t="n">
        <v>193.99</v>
      </c>
      <c r="F897" s="9" t="n">
        <v>193.99</v>
      </c>
      <c r="G897" s="9">
        <f>ROUND(E897-F897,2)</f>
        <v>0</v>
      </c>
    </row>
    <row r="898">
      <c r="A898" t="inlineStr">
        <is>
          <t>RA44995</t>
        </is>
      </c>
      <c r="B898" t="inlineStr">
        <is>
          <t>Riverbend Plan Partners</t>
        </is>
      </c>
      <c r="C898" s="5" t="n">
        <v>46244</v>
      </c>
      <c r="D898" t="inlineStr">
        <is>
          <t>INV/2026/02443</t>
        </is>
      </c>
      <c r="E898" s="9" t="n">
        <v>300.69</v>
      </c>
      <c r="F898" s="9" t="n">
        <v>300.69</v>
      </c>
      <c r="G898" s="9">
        <f>ROUND(E898-F898,2)</f>
        <v>0</v>
      </c>
    </row>
    <row r="899">
      <c r="A899" t="inlineStr">
        <is>
          <t>RA44995</t>
        </is>
      </c>
      <c r="B899" t="inlineStr">
        <is>
          <t>Riverbend Plan Partners</t>
        </is>
      </c>
      <c r="C899" s="5" t="n">
        <v>46244</v>
      </c>
      <c r="D899" t="inlineStr">
        <is>
          <t>INV/2026/02463</t>
        </is>
      </c>
      <c r="E899" s="9" t="n">
        <v>272.49</v>
      </c>
      <c r="F899" s="9" t="n">
        <v>272.49</v>
      </c>
      <c r="G899" s="9">
        <f>ROUND(E899-F899,2)</f>
        <v>0</v>
      </c>
    </row>
    <row r="900">
      <c r="A900" t="inlineStr">
        <is>
          <t>RA44995</t>
        </is>
      </c>
      <c r="B900" t="inlineStr">
        <is>
          <t>Riverbend Plan Partners</t>
        </is>
      </c>
      <c r="C900" s="5" t="n">
        <v>46244</v>
      </c>
      <c r="D900" t="inlineStr">
        <is>
          <t>INV/2026/02465</t>
        </is>
      </c>
      <c r="E900" s="9" t="n">
        <v>193.99</v>
      </c>
      <c r="F900" s="9" t="n">
        <v>193.99</v>
      </c>
      <c r="G900" s="9">
        <f>ROUND(E900-F900,2)</f>
        <v>0</v>
      </c>
    </row>
    <row r="901">
      <c r="A901" t="inlineStr">
        <is>
          <t>RA44996</t>
        </is>
      </c>
      <c r="B901" t="inlineStr">
        <is>
          <t>Clearpath NDIS Plans</t>
        </is>
      </c>
      <c r="C901" s="5" t="n">
        <v>46244</v>
      </c>
      <c r="D901" t="inlineStr">
        <is>
          <t>INV/2026/02444</t>
        </is>
      </c>
      <c r="E901" s="9" t="n">
        <v>126.99</v>
      </c>
      <c r="F901" s="9" t="n">
        <v>126.99</v>
      </c>
      <c r="G901" s="9">
        <f>ROUND(E901-F901,2)</f>
        <v>0</v>
      </c>
    </row>
    <row r="902">
      <c r="A902" t="inlineStr">
        <is>
          <t>RA44996</t>
        </is>
      </c>
      <c r="B902" t="inlineStr">
        <is>
          <t>Clearpath NDIS Plans</t>
        </is>
      </c>
      <c r="C902" s="5" t="n">
        <v>46244</v>
      </c>
      <c r="D902" t="inlineStr">
        <is>
          <t>INV/2026/02466</t>
        </is>
      </c>
      <c r="E902" s="9" t="n">
        <v>175.49</v>
      </c>
      <c r="F902" s="9" t="n">
        <v>175.49</v>
      </c>
      <c r="G902" s="9">
        <f>ROUND(E902-F902,2)</f>
        <v>0</v>
      </c>
    </row>
    <row r="903">
      <c r="A903" t="inlineStr">
        <is>
          <t>RA44996</t>
        </is>
      </c>
      <c r="B903" t="inlineStr">
        <is>
          <t>Clearpath NDIS Plans</t>
        </is>
      </c>
      <c r="C903" s="5" t="n">
        <v>46244</v>
      </c>
      <c r="D903" t="inlineStr">
        <is>
          <t>INV/2026/02493</t>
        </is>
      </c>
      <c r="E903" s="9" t="n">
        <v>223.99</v>
      </c>
      <c r="F903" s="9" t="n">
        <v>223.99</v>
      </c>
      <c r="G903" s="9">
        <f>ROUND(E903-F903,2)</f>
        <v>0</v>
      </c>
    </row>
    <row r="904">
      <c r="A904" t="inlineStr">
        <is>
          <t>RA44996</t>
        </is>
      </c>
      <c r="B904" t="inlineStr">
        <is>
          <t>Clearpath NDIS Plans</t>
        </is>
      </c>
      <c r="C904" s="5" t="n">
        <v>46244</v>
      </c>
      <c r="D904" t="inlineStr">
        <is>
          <t>INV/2026/02514</t>
        </is>
      </c>
      <c r="E904" s="9" t="n">
        <v>349.18</v>
      </c>
      <c r="F904" s="9" t="n">
        <v>349.18</v>
      </c>
      <c r="G904" s="9">
        <f>ROUND(E904-F904,2)</f>
        <v>0</v>
      </c>
    </row>
    <row r="905">
      <c r="A905" t="inlineStr">
        <is>
          <t>RA44997</t>
        </is>
      </c>
      <c r="B905" t="inlineStr">
        <is>
          <t>Wattle Plan Services</t>
        </is>
      </c>
      <c r="C905" s="5" t="n">
        <v>46244</v>
      </c>
      <c r="D905" t="inlineStr">
        <is>
          <t>INV/2026/02494</t>
        </is>
      </c>
      <c r="E905" s="9" t="n">
        <v>272.49</v>
      </c>
      <c r="F905" s="9" t="n">
        <v>272.49</v>
      </c>
      <c r="G905" s="9">
        <f>ROUND(E905-F905,2)</f>
        <v>0</v>
      </c>
    </row>
    <row r="906">
      <c r="A906" t="inlineStr">
        <is>
          <t>RA44997</t>
        </is>
      </c>
      <c r="B906" t="inlineStr">
        <is>
          <t>Wattle Plan Services</t>
        </is>
      </c>
      <c r="C906" s="5" t="n">
        <v>46244</v>
      </c>
      <c r="D906" t="inlineStr">
        <is>
          <t>INV/2026/02517</t>
        </is>
      </c>
      <c r="E906" s="9" t="n">
        <v>252.19</v>
      </c>
      <c r="F906" s="9" t="n">
        <v>252.19</v>
      </c>
      <c r="G906" s="9">
        <f>ROUND(E906-F906,2)</f>
        <v>0</v>
      </c>
    </row>
    <row r="907">
      <c r="A907" t="inlineStr">
        <is>
          <t>RA44997</t>
        </is>
      </c>
      <c r="B907" t="inlineStr">
        <is>
          <t>Wattle Plan Services</t>
        </is>
      </c>
      <c r="C907" s="5" t="n">
        <v>46244</v>
      </c>
      <c r="D907" t="inlineStr">
        <is>
          <t>INV/2026/02518</t>
        </is>
      </c>
      <c r="E907" s="9" t="n">
        <v>387.98</v>
      </c>
      <c r="F907" s="9" t="n">
        <v>387.98</v>
      </c>
      <c r="G907" s="9">
        <f>ROUND(E907-F907,2)</f>
        <v>0</v>
      </c>
    </row>
    <row r="908">
      <c r="A908" t="inlineStr">
        <is>
          <t>RA44998</t>
        </is>
      </c>
      <c r="B908" t="inlineStr">
        <is>
          <t>Kookaburra Plan Support</t>
        </is>
      </c>
      <c r="C908" s="5" t="n">
        <v>46244</v>
      </c>
      <c r="D908" t="inlineStr">
        <is>
          <t>INV/2026/02400</t>
        </is>
      </c>
      <c r="E908" s="9" t="n">
        <v>417.98</v>
      </c>
      <c r="F908" s="9" t="n">
        <v>417.98</v>
      </c>
      <c r="G908" s="9">
        <f>ROUND(E908-F908,2)</f>
        <v>0</v>
      </c>
    </row>
    <row r="909">
      <c r="A909" t="inlineStr">
        <is>
          <t>RA44998</t>
        </is>
      </c>
      <c r="B909" t="inlineStr">
        <is>
          <t>Kookaburra Plan Support</t>
        </is>
      </c>
      <c r="C909" s="5" t="n">
        <v>46244</v>
      </c>
      <c r="D909" t="inlineStr">
        <is>
          <t>INV/2026/02451</t>
        </is>
      </c>
      <c r="E909" s="9" t="n">
        <v>387.98</v>
      </c>
      <c r="F909" s="9" t="n">
        <v>387.98</v>
      </c>
      <c r="G909" s="9">
        <f>ROUND(E909-F909,2)</f>
        <v>0</v>
      </c>
    </row>
    <row r="910">
      <c r="A910" t="inlineStr">
        <is>
          <t>RA44998</t>
        </is>
      </c>
      <c r="B910" t="inlineStr">
        <is>
          <t>Kookaburra Plan Support</t>
        </is>
      </c>
      <c r="C910" s="5" t="n">
        <v>46244</v>
      </c>
      <c r="D910" t="inlineStr">
        <is>
          <t>INV/2026/02474</t>
        </is>
      </c>
      <c r="E910" s="9" t="n">
        <v>96.98999999999999</v>
      </c>
      <c r="F910" s="9" t="n">
        <v>96.98999999999999</v>
      </c>
      <c r="G910" s="9">
        <f>ROUND(E910-F910,2)</f>
        <v>0</v>
      </c>
    </row>
    <row r="911">
      <c r="A911" t="inlineStr">
        <is>
          <t>RA44998</t>
        </is>
      </c>
      <c r="B911" t="inlineStr">
        <is>
          <t>Kookaburra Plan Support</t>
        </is>
      </c>
      <c r="C911" s="5" t="n">
        <v>46244</v>
      </c>
      <c r="D911" t="inlineStr">
        <is>
          <t>INV/2026/02475</t>
        </is>
      </c>
      <c r="E911" s="9" t="n">
        <v>349.18</v>
      </c>
      <c r="F911" s="9" t="n">
        <v>349.18</v>
      </c>
      <c r="G911" s="9">
        <f>ROUND(E911-F911,2)</f>
        <v>0</v>
      </c>
    </row>
    <row r="912">
      <c r="A912" t="inlineStr">
        <is>
          <t>RA44998</t>
        </is>
      </c>
      <c r="B912" t="inlineStr">
        <is>
          <t>Kookaburra Plan Support</t>
        </is>
      </c>
      <c r="C912" s="5" t="n">
        <v>46244</v>
      </c>
      <c r="D912" t="inlineStr">
        <is>
          <t>INV/2026/02498</t>
        </is>
      </c>
      <c r="E912" s="9" t="n">
        <v>272.49</v>
      </c>
      <c r="F912" s="9" t="n">
        <v>272.49</v>
      </c>
      <c r="G912" s="9">
        <f>ROUND(E912-F912,2)</f>
        <v>0</v>
      </c>
    </row>
    <row r="913">
      <c r="A913" t="inlineStr">
        <is>
          <t>RA44998</t>
        </is>
      </c>
      <c r="B913" t="inlineStr">
        <is>
          <t>Kookaburra Plan Support</t>
        </is>
      </c>
      <c r="C913" s="5" t="n">
        <v>46244</v>
      </c>
      <c r="D913" t="inlineStr">
        <is>
          <t>INV/2026/02522</t>
        </is>
      </c>
      <c r="E913" s="9" t="n">
        <v>446.18</v>
      </c>
      <c r="F913" s="9" t="n">
        <v>446.18</v>
      </c>
      <c r="G913" s="9">
        <f>ROUND(E913-F913,2)</f>
        <v>0</v>
      </c>
    </row>
    <row r="914">
      <c r="A914" t="inlineStr">
        <is>
          <t>RA44999</t>
        </is>
      </c>
      <c r="B914" t="inlineStr">
        <is>
          <t>Saltbush Plan Managers</t>
        </is>
      </c>
      <c r="C914" s="5" t="n">
        <v>46244</v>
      </c>
      <c r="D914" t="inlineStr">
        <is>
          <t>INV/2026/02403</t>
        </is>
      </c>
      <c r="E914" s="9" t="n">
        <v>387.98</v>
      </c>
      <c r="F914" s="9" t="n">
        <v>387.98</v>
      </c>
      <c r="G914" s="9">
        <f>ROUND(E914-F914,2)</f>
        <v>0</v>
      </c>
    </row>
    <row r="915">
      <c r="A915" t="inlineStr">
        <is>
          <t>RA44999</t>
        </is>
      </c>
      <c r="B915" t="inlineStr">
        <is>
          <t>Saltbush Plan Managers</t>
        </is>
      </c>
      <c r="C915" s="5" t="n">
        <v>46244</v>
      </c>
      <c r="D915" t="inlineStr">
        <is>
          <t>INV/2026/02476</t>
        </is>
      </c>
      <c r="E915" s="9" t="n">
        <v>349.18</v>
      </c>
      <c r="F915" s="9" t="n">
        <v>349.18</v>
      </c>
      <c r="G915" s="9">
        <f>ROUND(E915-F915,2)</f>
        <v>0</v>
      </c>
    </row>
    <row r="916">
      <c r="A916" t="inlineStr">
        <is>
          <t>RA44999</t>
        </is>
      </c>
      <c r="B916" t="inlineStr">
        <is>
          <t>Saltbush Plan Managers</t>
        </is>
      </c>
      <c r="C916" s="5" t="n">
        <v>46244</v>
      </c>
      <c r="D916" t="inlineStr">
        <is>
          <t>INV/2026/02477</t>
        </is>
      </c>
      <c r="E916" s="9" t="n">
        <v>387.98</v>
      </c>
      <c r="F916" s="9" t="n">
        <v>387.98</v>
      </c>
      <c r="G916" s="9">
        <f>ROUND(E916-F916,2)</f>
        <v>0</v>
      </c>
    </row>
    <row r="917">
      <c r="A917" t="inlineStr">
        <is>
          <t>RA44999</t>
        </is>
      </c>
      <c r="B917" t="inlineStr">
        <is>
          <t>Saltbush Plan Managers</t>
        </is>
      </c>
      <c r="C917" s="5" t="n">
        <v>46244</v>
      </c>
      <c r="D917" t="inlineStr">
        <is>
          <t>INV/2026/02478</t>
        </is>
      </c>
      <c r="E917" s="9" t="n">
        <v>175.49</v>
      </c>
      <c r="F917" s="9" t="n">
        <v>175.49</v>
      </c>
      <c r="G917" s="9">
        <f>ROUND(E917-F917,2)</f>
        <v>0</v>
      </c>
    </row>
    <row r="918">
      <c r="A918" t="inlineStr">
        <is>
          <t>RA45000</t>
        </is>
      </c>
      <c r="B918" t="inlineStr">
        <is>
          <t>Redgum Plan Admin</t>
        </is>
      </c>
      <c r="C918" s="5" t="n">
        <v>46244</v>
      </c>
      <c r="D918" t="inlineStr">
        <is>
          <t>INV/2026/02382</t>
        </is>
      </c>
      <c r="E918" s="9" t="n">
        <v>145.49</v>
      </c>
      <c r="F918" s="9" t="n">
        <v>145.49</v>
      </c>
      <c r="G918" s="9">
        <f>ROUND(E918-F918,2)</f>
        <v>0</v>
      </c>
    </row>
    <row r="919">
      <c r="A919" t="inlineStr">
        <is>
          <t>RA45000</t>
        </is>
      </c>
      <c r="B919" t="inlineStr">
        <is>
          <t>Redgum Plan Admin</t>
        </is>
      </c>
      <c r="C919" s="5" t="n">
        <v>46244</v>
      </c>
      <c r="D919" t="inlineStr">
        <is>
          <t>INV/2026/02452</t>
        </is>
      </c>
      <c r="E919" s="9" t="n">
        <v>242.49</v>
      </c>
      <c r="F919" s="9" t="n">
        <v>242.49</v>
      </c>
      <c r="G919" s="9">
        <f>ROUND(E919-F919,2)</f>
        <v>0</v>
      </c>
    </row>
    <row r="920">
      <c r="A920" t="inlineStr">
        <is>
          <t>RA45000</t>
        </is>
      </c>
      <c r="B920" t="inlineStr">
        <is>
          <t>Redgum Plan Admin</t>
        </is>
      </c>
      <c r="C920" s="5" t="n">
        <v>46244</v>
      </c>
      <c r="D920" t="inlineStr">
        <is>
          <t>INV/2026/02479</t>
        </is>
      </c>
      <c r="E920" s="9" t="n">
        <v>320.98</v>
      </c>
      <c r="F920" s="9" t="n">
        <v>320.98</v>
      </c>
      <c r="G920" s="9">
        <f>ROUND(E920-F920,2)</f>
        <v>0</v>
      </c>
    </row>
    <row r="921">
      <c r="A921" t="inlineStr">
        <is>
          <t>RA45000</t>
        </is>
      </c>
      <c r="B921" t="inlineStr">
        <is>
          <t>Redgum Plan Admin</t>
        </is>
      </c>
      <c r="C921" s="5" t="n">
        <v>46244</v>
      </c>
      <c r="D921" t="inlineStr">
        <is>
          <t>INV/2026/02480</t>
        </is>
      </c>
      <c r="E921" s="9" t="n">
        <v>193.99</v>
      </c>
      <c r="F921" s="9" t="n">
        <v>193.99</v>
      </c>
      <c r="G921" s="9">
        <f>ROUND(E921-F921,2)</f>
        <v>0</v>
      </c>
    </row>
    <row r="922">
      <c r="A922" t="inlineStr">
        <is>
          <t>RA45000</t>
        </is>
      </c>
      <c r="B922" t="inlineStr">
        <is>
          <t>Redgum Plan Admin</t>
        </is>
      </c>
      <c r="C922" s="5" t="n">
        <v>46244</v>
      </c>
      <c r="D922" t="inlineStr">
        <is>
          <t>INV/2026/02525</t>
        </is>
      </c>
      <c r="E922" s="9" t="n">
        <v>193.99</v>
      </c>
      <c r="F922" s="9" t="n">
        <v>193.99</v>
      </c>
      <c r="G922" s="9">
        <f>ROUND(E922-F922,2)</f>
        <v>0</v>
      </c>
    </row>
    <row r="923">
      <c r="A923" t="inlineStr">
        <is>
          <t>RA45001</t>
        </is>
      </c>
      <c r="B923" t="inlineStr">
        <is>
          <t>Acacia Plan Partners</t>
        </is>
      </c>
      <c r="C923" s="5" t="n">
        <v>46244</v>
      </c>
      <c r="D923" t="inlineStr">
        <is>
          <t>INV/2026/02458</t>
        </is>
      </c>
      <c r="E923" s="9" t="n">
        <v>126.99</v>
      </c>
      <c r="F923" s="9" t="n">
        <v>126.99</v>
      </c>
      <c r="G923" s="9">
        <f>ROUND(E923-F923,2)</f>
        <v>0</v>
      </c>
    </row>
    <row r="924">
      <c r="A924" t="inlineStr">
        <is>
          <t>RA45001</t>
        </is>
      </c>
      <c r="B924" t="inlineStr">
        <is>
          <t>Acacia Plan Partners</t>
        </is>
      </c>
      <c r="C924" s="5" t="n">
        <v>46244</v>
      </c>
      <c r="D924" t="inlineStr">
        <is>
          <t>INV/2026/02486</t>
        </is>
      </c>
      <c r="E924" s="9" t="n">
        <v>252.19</v>
      </c>
      <c r="F924" s="9" t="n">
        <v>252.19</v>
      </c>
      <c r="G924" s="9">
        <f>ROUND(E924-F924,2)</f>
        <v>0</v>
      </c>
    </row>
    <row r="925">
      <c r="A925" t="inlineStr">
        <is>
          <t>RA45001</t>
        </is>
      </c>
      <c r="B925" t="inlineStr">
        <is>
          <t>Acacia Plan Partners</t>
        </is>
      </c>
      <c r="C925" s="5" t="n">
        <v>46244</v>
      </c>
      <c r="D925" t="inlineStr">
        <is>
          <t>INV/2026/02507</t>
        </is>
      </c>
      <c r="E925" s="9" t="n">
        <v>155.19</v>
      </c>
      <c r="F925" s="9" t="n">
        <v>155.19</v>
      </c>
      <c r="G925" s="9">
        <f>ROUND(E925-F925,2)</f>
        <v>0</v>
      </c>
    </row>
    <row r="926">
      <c r="A926" t="inlineStr">
        <is>
          <t>RA45002</t>
        </is>
      </c>
      <c r="B926" t="inlineStr">
        <is>
          <t>Bluegum Plan Management</t>
        </is>
      </c>
      <c r="C926" s="5" t="n">
        <v>46245</v>
      </c>
      <c r="D926" t="inlineStr">
        <is>
          <t>INV/2026/02319</t>
        </is>
      </c>
      <c r="E926" s="9" t="n">
        <v>272.49</v>
      </c>
      <c r="F926" s="9" t="n">
        <v>272.49</v>
      </c>
      <c r="G926" s="9">
        <f>ROUND(E926-F926,2)</f>
        <v>0</v>
      </c>
    </row>
    <row r="927">
      <c r="A927" t="inlineStr">
        <is>
          <t>RA45002</t>
        </is>
      </c>
      <c r="B927" t="inlineStr">
        <is>
          <t>Bluegum Plan Management</t>
        </is>
      </c>
      <c r="C927" s="5" t="n">
        <v>46245</v>
      </c>
      <c r="D927" t="inlineStr">
        <is>
          <t>INV/2026/02343</t>
        </is>
      </c>
      <c r="E927" s="9" t="n">
        <v>223.99</v>
      </c>
      <c r="F927" s="9" t="n">
        <v>223.99</v>
      </c>
      <c r="G927" s="9">
        <f>ROUND(E927-F927,2)</f>
        <v>0</v>
      </c>
    </row>
    <row r="928">
      <c r="A928" t="inlineStr">
        <is>
          <t>RA45002</t>
        </is>
      </c>
      <c r="B928" t="inlineStr">
        <is>
          <t>Bluegum Plan Management</t>
        </is>
      </c>
      <c r="C928" s="5" t="n">
        <v>46245</v>
      </c>
      <c r="D928" t="inlineStr">
        <is>
          <t>INV/2026/02344</t>
        </is>
      </c>
      <c r="E928" s="9" t="n">
        <v>96.98999999999999</v>
      </c>
      <c r="F928" s="9" t="n">
        <v>96.98999999999999</v>
      </c>
      <c r="G928" s="9">
        <f>ROUND(E928-F928,2)</f>
        <v>0</v>
      </c>
    </row>
    <row r="929">
      <c r="A929" t="inlineStr">
        <is>
          <t>RA45002</t>
        </is>
      </c>
      <c r="B929" t="inlineStr">
        <is>
          <t>Bluegum Plan Management</t>
        </is>
      </c>
      <c r="C929" s="5" t="n">
        <v>46245</v>
      </c>
      <c r="D929" t="inlineStr">
        <is>
          <t>INV/2026/02345</t>
        </is>
      </c>
      <c r="E929" s="9" t="n">
        <v>290.98</v>
      </c>
      <c r="F929" s="9" t="n">
        <v>290.98</v>
      </c>
      <c r="G929" s="9">
        <f>ROUND(E929-F929,2)</f>
        <v>0</v>
      </c>
    </row>
    <row r="930">
      <c r="A930" t="inlineStr">
        <is>
          <t>RA45002</t>
        </is>
      </c>
      <c r="B930" t="inlineStr">
        <is>
          <t>Bluegum Plan Management</t>
        </is>
      </c>
      <c r="C930" s="5" t="n">
        <v>46245</v>
      </c>
      <c r="D930" t="inlineStr">
        <is>
          <t>INV/2026/02371</t>
        </is>
      </c>
      <c r="E930" s="9" t="n">
        <v>193.99</v>
      </c>
      <c r="F930" s="9" t="n">
        <v>193.99</v>
      </c>
      <c r="G930" s="9">
        <f>ROUND(E930-F930,2)</f>
        <v>0</v>
      </c>
    </row>
    <row r="931">
      <c r="A931" t="inlineStr">
        <is>
          <t>RA45002</t>
        </is>
      </c>
      <c r="B931" t="inlineStr">
        <is>
          <t>Bluegum Plan Management</t>
        </is>
      </c>
      <c r="C931" s="5" t="n">
        <v>46245</v>
      </c>
      <c r="D931" t="inlineStr">
        <is>
          <t>INV/2026/02389</t>
        </is>
      </c>
      <c r="E931" s="9" t="n">
        <v>300.69</v>
      </c>
      <c r="F931" s="9" t="n">
        <v>300.69</v>
      </c>
      <c r="G931" s="9">
        <f>ROUND(E931-F931,2)</f>
        <v>0</v>
      </c>
    </row>
    <row r="932">
      <c r="A932" t="inlineStr">
        <is>
          <t>RA45003</t>
        </is>
      </c>
      <c r="B932" t="inlineStr">
        <is>
          <t>Wattle Plan Services</t>
        </is>
      </c>
      <c r="C932" s="5" t="n">
        <v>46245</v>
      </c>
      <c r="D932" t="inlineStr">
        <is>
          <t>INV/2026/02516</t>
        </is>
      </c>
      <c r="E932" s="9" t="n">
        <v>193.99</v>
      </c>
      <c r="F932" s="9" t="n">
        <v>193.99</v>
      </c>
      <c r="G932" s="9">
        <f>ROUND(E932-F932,2)</f>
        <v>0</v>
      </c>
    </row>
    <row r="933">
      <c r="A933" t="inlineStr">
        <is>
          <t>RA45003</t>
        </is>
      </c>
      <c r="B933" t="inlineStr">
        <is>
          <t>Wattle Plan Services</t>
        </is>
      </c>
      <c r="C933" s="5" t="n">
        <v>46245</v>
      </c>
      <c r="D933" t="inlineStr">
        <is>
          <t>INV/2026/02543</t>
        </is>
      </c>
      <c r="E933" s="9" t="n">
        <v>290.98</v>
      </c>
      <c r="F933" s="9" t="n">
        <v>290.98</v>
      </c>
      <c r="G933" s="9">
        <f>ROUND(E933-F933,2)</f>
        <v>0</v>
      </c>
    </row>
    <row r="934">
      <c r="A934" t="inlineStr">
        <is>
          <t>RA45004</t>
        </is>
      </c>
      <c r="B934" t="inlineStr">
        <is>
          <t>Banksia Plan Co</t>
        </is>
      </c>
      <c r="C934" s="5" t="n">
        <v>46245</v>
      </c>
      <c r="D934" t="inlineStr">
        <is>
          <t>INV/2026/02424</t>
        </is>
      </c>
      <c r="E934" s="9" t="n">
        <v>446.18</v>
      </c>
      <c r="F934" s="9" t="n">
        <v>446.18</v>
      </c>
      <c r="G934" s="9">
        <f>ROUND(E934-F934,2)</f>
        <v>0</v>
      </c>
    </row>
    <row r="935">
      <c r="A935" t="inlineStr">
        <is>
          <t>RA45004</t>
        </is>
      </c>
      <c r="B935" t="inlineStr">
        <is>
          <t>Banksia Plan Co</t>
        </is>
      </c>
      <c r="C935" s="5" t="n">
        <v>46245</v>
      </c>
      <c r="D935" t="inlineStr">
        <is>
          <t>INV/2026/02445</t>
        </is>
      </c>
      <c r="E935" s="9" t="n">
        <v>193.99</v>
      </c>
      <c r="F935" s="9" t="n">
        <v>193.99</v>
      </c>
      <c r="G935" s="9">
        <f>ROUND(E935-F935,2)</f>
        <v>0</v>
      </c>
    </row>
    <row r="936">
      <c r="A936" t="inlineStr">
        <is>
          <t>RA45005</t>
        </is>
      </c>
      <c r="B936" t="inlineStr">
        <is>
          <t>Ironbark Plan Management</t>
        </is>
      </c>
      <c r="C936" s="5" t="n">
        <v>46245</v>
      </c>
      <c r="D936" t="inlineStr">
        <is>
          <t>INV/2026/02353</t>
        </is>
      </c>
      <c r="E936" s="9" t="n">
        <v>290.98</v>
      </c>
      <c r="F936" s="9" t="n">
        <v>261.88</v>
      </c>
      <c r="G936" s="9">
        <f>ROUND(E936-F936,2)</f>
        <v>29.1</v>
      </c>
    </row>
    <row r="937">
      <c r="A937" t="inlineStr">
        <is>
          <t>RA45005</t>
        </is>
      </c>
      <c r="B937" t="inlineStr">
        <is>
          <t>Ironbark Plan Management</t>
        </is>
      </c>
      <c r="C937" s="5" t="n">
        <v>46245</v>
      </c>
      <c r="D937" t="inlineStr">
        <is>
          <t>INV/2026/02375</t>
        </is>
      </c>
      <c r="E937" s="9" t="n">
        <v>193.99</v>
      </c>
      <c r="F937" s="9" t="n">
        <v>193.99</v>
      </c>
      <c r="G937" s="9">
        <f>ROUND(E937-F937,2)</f>
        <v>0</v>
      </c>
    </row>
    <row r="938">
      <c r="A938" t="inlineStr">
        <is>
          <t>RA45005</t>
        </is>
      </c>
      <c r="B938" t="inlineStr">
        <is>
          <t>Ironbark Plan Management</t>
        </is>
      </c>
      <c r="C938" s="5" t="n">
        <v>46245</v>
      </c>
      <c r="D938" t="inlineStr">
        <is>
          <t>INV/2026/02398</t>
        </is>
      </c>
      <c r="E938" s="9" t="n">
        <v>145.49</v>
      </c>
      <c r="F938" s="9" t="n">
        <v>145.49</v>
      </c>
      <c r="G938" s="9">
        <f>ROUND(E938-F938,2)</f>
        <v>0</v>
      </c>
    </row>
    <row r="939">
      <c r="A939" t="inlineStr">
        <is>
          <t>RA45005</t>
        </is>
      </c>
      <c r="B939" t="inlineStr">
        <is>
          <t>Ironbark Plan Management</t>
        </is>
      </c>
      <c r="C939" s="5" t="n">
        <v>46245</v>
      </c>
      <c r="D939" t="inlineStr">
        <is>
          <t>INV/2026/02426</t>
        </is>
      </c>
      <c r="E939" s="9" t="n">
        <v>387.98</v>
      </c>
      <c r="F939" s="9" t="n">
        <v>387.98</v>
      </c>
      <c r="G939" s="9">
        <f>ROUND(E939-F939,2)</f>
        <v>0</v>
      </c>
    </row>
    <row r="940">
      <c r="A940" t="inlineStr">
        <is>
          <t>RA45006</t>
        </is>
      </c>
      <c r="B940" t="inlineStr">
        <is>
          <t>Redgum Plan Admin</t>
        </is>
      </c>
      <c r="C940" s="5" t="n">
        <v>46245</v>
      </c>
      <c r="D940" t="inlineStr">
        <is>
          <t>INV/2026/02524</t>
        </is>
      </c>
      <c r="E940" s="9" t="n">
        <v>349.18</v>
      </c>
      <c r="F940" s="9" t="n">
        <v>349.18</v>
      </c>
      <c r="G940" s="9">
        <f>ROUND(E940-F940,2)</f>
        <v>0</v>
      </c>
    </row>
    <row r="941">
      <c r="A941" t="inlineStr">
        <is>
          <t>RA45006</t>
        </is>
      </c>
      <c r="B941" t="inlineStr">
        <is>
          <t>Redgum Plan Admin</t>
        </is>
      </c>
      <c r="C941" s="5" t="n">
        <v>46245</v>
      </c>
      <c r="D941" t="inlineStr">
        <is>
          <t>INV/2026/02553</t>
        </is>
      </c>
      <c r="E941" s="9" t="n">
        <v>193.99</v>
      </c>
      <c r="F941" s="9" t="n">
        <v>193.99</v>
      </c>
      <c r="G941" s="9">
        <f>ROUND(E941-F941,2)</f>
        <v>0</v>
      </c>
    </row>
    <row r="942">
      <c r="A942" t="inlineStr">
        <is>
          <t>RA45007</t>
        </is>
      </c>
      <c r="B942" t="inlineStr">
        <is>
          <t>Lyrebird Plan Management</t>
        </is>
      </c>
      <c r="C942" s="5" t="n">
        <v>46245</v>
      </c>
      <c r="D942" t="inlineStr">
        <is>
          <t>INV/2026/02407</t>
        </is>
      </c>
      <c r="E942" s="9" t="n">
        <v>145.49</v>
      </c>
      <c r="F942" s="9" t="n">
        <v>145.49</v>
      </c>
      <c r="G942" s="9">
        <f>ROUND(E942-F942,2)</f>
        <v>0</v>
      </c>
    </row>
    <row r="943">
      <c r="A943" t="inlineStr">
        <is>
          <t>RA45007</t>
        </is>
      </c>
      <c r="B943" t="inlineStr">
        <is>
          <t>Lyrebird Plan Management</t>
        </is>
      </c>
      <c r="C943" s="5" t="n">
        <v>46245</v>
      </c>
      <c r="D943" t="inlineStr">
        <is>
          <t>INV/2026/02455</t>
        </is>
      </c>
      <c r="E943" s="9" t="n">
        <v>96.98999999999999</v>
      </c>
      <c r="F943" s="9" t="n">
        <v>96.98999999999999</v>
      </c>
      <c r="G943" s="9">
        <f>ROUND(E943-F943,2)</f>
        <v>0</v>
      </c>
    </row>
    <row r="944">
      <c r="A944" t="inlineStr">
        <is>
          <t>RA45007</t>
        </is>
      </c>
      <c r="B944" t="inlineStr">
        <is>
          <t>Lyrebird Plan Management</t>
        </is>
      </c>
      <c r="C944" s="5" t="n">
        <v>46245</v>
      </c>
      <c r="D944" t="inlineStr">
        <is>
          <t>INV/2026/02456</t>
        </is>
      </c>
      <c r="E944" s="9" t="n">
        <v>290.98</v>
      </c>
      <c r="F944" s="9" t="n">
        <v>290.98</v>
      </c>
      <c r="G944" s="9">
        <f>ROUND(E944-F944,2)</f>
        <v>0</v>
      </c>
    </row>
    <row r="945">
      <c r="A945" t="inlineStr">
        <is>
          <t>RA45007</t>
        </is>
      </c>
      <c r="B945" t="inlineStr">
        <is>
          <t>Lyrebird Plan Management</t>
        </is>
      </c>
      <c r="C945" s="5" t="n">
        <v>46245</v>
      </c>
      <c r="D945" t="inlineStr">
        <is>
          <t>INV/2026/02505</t>
        </is>
      </c>
      <c r="E945" s="9" t="n">
        <v>387.98</v>
      </c>
      <c r="F945" s="9" t="n">
        <v>387.98</v>
      </c>
      <c r="G945" s="9">
        <f>ROUND(E945-F945,2)</f>
        <v>0</v>
      </c>
    </row>
    <row r="946">
      <c r="A946" t="inlineStr">
        <is>
          <t>RA45008</t>
        </is>
      </c>
      <c r="B946" t="inlineStr">
        <is>
          <t>Mallee Plan Services</t>
        </is>
      </c>
      <c r="C946" s="5" t="n">
        <v>46245</v>
      </c>
      <c r="D946" t="inlineStr">
        <is>
          <t>INV/2026/02459</t>
        </is>
      </c>
      <c r="E946" s="9" t="n">
        <v>145.49</v>
      </c>
      <c r="F946" s="9" t="n">
        <v>145.49</v>
      </c>
      <c r="G946" s="9">
        <f>ROUND(E946-F946,2)</f>
        <v>0</v>
      </c>
    </row>
    <row r="947">
      <c r="A947" t="inlineStr">
        <is>
          <t>RA45008</t>
        </is>
      </c>
      <c r="B947" t="inlineStr">
        <is>
          <t>Mallee Plan Services</t>
        </is>
      </c>
      <c r="C947" s="5" t="n">
        <v>46245</v>
      </c>
      <c r="D947" t="inlineStr">
        <is>
          <t>INV/2026/02509</t>
        </is>
      </c>
      <c r="E947" s="9" t="n">
        <v>145.49</v>
      </c>
      <c r="F947" s="9" t="n">
        <v>145.49</v>
      </c>
      <c r="G947" s="9">
        <f>ROUND(E947-F947,2)</f>
        <v>0</v>
      </c>
    </row>
    <row r="948">
      <c r="A948" t="inlineStr">
        <is>
          <t>RA45008</t>
        </is>
      </c>
      <c r="B948" t="inlineStr">
        <is>
          <t>Mallee Plan Services</t>
        </is>
      </c>
      <c r="C948" s="5" t="n">
        <v>46245</v>
      </c>
      <c r="D948" t="inlineStr">
        <is>
          <t>INV/2026/02531</t>
        </is>
      </c>
      <c r="E948" s="9" t="n">
        <v>387.98</v>
      </c>
      <c r="F948" s="9" t="n">
        <v>387.98</v>
      </c>
      <c r="G948" s="9">
        <f>ROUND(E948-F948,2)</f>
        <v>0</v>
      </c>
    </row>
    <row r="949">
      <c r="A949" t="inlineStr">
        <is>
          <t>RA45009</t>
        </is>
      </c>
      <c r="B949" t="inlineStr">
        <is>
          <t>Bluegum Plan Management</t>
        </is>
      </c>
      <c r="C949" s="5" t="n">
        <v>46246</v>
      </c>
      <c r="D949" t="inlineStr">
        <is>
          <t>INV/2026/02418</t>
        </is>
      </c>
      <c r="E949" s="9" t="n">
        <v>193.99</v>
      </c>
      <c r="F949" s="9" t="n">
        <v>163.99</v>
      </c>
      <c r="G949" s="9">
        <f>ROUND(E949-F949,2)</f>
        <v>30</v>
      </c>
    </row>
    <row r="950">
      <c r="A950" t="inlineStr">
        <is>
          <t>RA45009</t>
        </is>
      </c>
      <c r="B950" t="inlineStr">
        <is>
          <t>Bluegum Plan Management</t>
        </is>
      </c>
      <c r="C950" s="5" t="n">
        <v>46246</v>
      </c>
      <c r="D950" t="inlineStr">
        <is>
          <t>INV/2026/02442</t>
        </is>
      </c>
      <c r="E950" s="9" t="n">
        <v>320.98</v>
      </c>
      <c r="F950" s="9" t="n">
        <v>320.98</v>
      </c>
      <c r="G950" s="9">
        <f>ROUND(E950-F950,2)</f>
        <v>0</v>
      </c>
    </row>
    <row r="951">
      <c r="A951" t="inlineStr">
        <is>
          <t>RA45010</t>
        </is>
      </c>
      <c r="B951" t="inlineStr">
        <is>
          <t>Riverbend Plan Partners</t>
        </is>
      </c>
      <c r="C951" s="5" t="n">
        <v>46246</v>
      </c>
      <c r="D951" t="inlineStr">
        <is>
          <t>INV/2026/02464</t>
        </is>
      </c>
      <c r="E951" s="9" t="n">
        <v>126.99</v>
      </c>
      <c r="F951" s="9" t="n">
        <v>126.99</v>
      </c>
      <c r="G951" s="9">
        <f>ROUND(E951-F951,2)</f>
        <v>0</v>
      </c>
    </row>
    <row r="952">
      <c r="A952" t="inlineStr">
        <is>
          <t>RA45010</t>
        </is>
      </c>
      <c r="B952" t="inlineStr">
        <is>
          <t>Riverbend Plan Partners</t>
        </is>
      </c>
      <c r="C952" s="5" t="n">
        <v>46246</v>
      </c>
      <c r="D952" t="inlineStr">
        <is>
          <t>INV/2026/02513</t>
        </is>
      </c>
      <c r="E952" s="9" t="n">
        <v>242.49</v>
      </c>
      <c r="F952" s="9" t="n">
        <v>242.49</v>
      </c>
      <c r="G952" s="9">
        <f>ROUND(E952-F952,2)</f>
        <v>0</v>
      </c>
    </row>
    <row r="953">
      <c r="A953" t="inlineStr">
        <is>
          <t>RA45011</t>
        </is>
      </c>
      <c r="B953" t="inlineStr">
        <is>
          <t>Banksia Plan Co</t>
        </is>
      </c>
      <c r="C953" s="5" t="n">
        <v>46246</v>
      </c>
      <c r="D953" t="inlineStr">
        <is>
          <t>INV/2026/02446</t>
        </is>
      </c>
      <c r="E953" s="9" t="n">
        <v>242.49</v>
      </c>
      <c r="F953" s="9" t="n">
        <v>242.49</v>
      </c>
      <c r="G953" s="9">
        <f>ROUND(E953-F953,2)</f>
        <v>0</v>
      </c>
    </row>
    <row r="954">
      <c r="A954" t="inlineStr">
        <is>
          <t>RA45011</t>
        </is>
      </c>
      <c r="B954" t="inlineStr">
        <is>
          <t>Banksia Plan Co</t>
        </is>
      </c>
      <c r="C954" s="5" t="n">
        <v>46246</v>
      </c>
      <c r="D954" t="inlineStr">
        <is>
          <t>INV/2026/02519</t>
        </is>
      </c>
      <c r="E954" s="9" t="n">
        <v>320.98</v>
      </c>
      <c r="F954" s="9" t="n">
        <v>320.98</v>
      </c>
      <c r="G954" s="9">
        <f>ROUND(E954-F954,2)</f>
        <v>0</v>
      </c>
    </row>
    <row r="955">
      <c r="A955" t="inlineStr">
        <is>
          <t>RA45012</t>
        </is>
      </c>
      <c r="B955" t="inlineStr">
        <is>
          <t>Lyrebird Plan Management</t>
        </is>
      </c>
      <c r="C955" s="5" t="n">
        <v>46246</v>
      </c>
      <c r="D955" t="inlineStr">
        <is>
          <t>INV/2026/02482</t>
        </is>
      </c>
      <c r="E955" s="9" t="n">
        <v>387.98</v>
      </c>
      <c r="F955" s="9" t="n">
        <v>387.98</v>
      </c>
      <c r="G955" s="9">
        <f>ROUND(E955-F955,2)</f>
        <v>0</v>
      </c>
    </row>
    <row r="956">
      <c r="A956" t="inlineStr">
        <is>
          <t>RA45013</t>
        </is>
      </c>
      <c r="B956" t="inlineStr">
        <is>
          <t>Acacia Plan Partners</t>
        </is>
      </c>
      <c r="C956" s="5" t="n">
        <v>46246</v>
      </c>
      <c r="D956" t="inlineStr">
        <is>
          <t>INV/2026/02530</t>
        </is>
      </c>
      <c r="E956" s="9" t="n">
        <v>96.98999999999999</v>
      </c>
      <c r="F956" s="9" t="n">
        <v>96.98999999999999</v>
      </c>
      <c r="G956" s="9">
        <f>ROUND(E956-F956,2)</f>
        <v>0</v>
      </c>
    </row>
    <row r="957">
      <c r="A957" t="inlineStr">
        <is>
          <t>RA45014</t>
        </is>
      </c>
      <c r="B957" t="inlineStr">
        <is>
          <t>Bluegum Plan Management</t>
        </is>
      </c>
      <c r="C957" s="5" t="n">
        <v>46247</v>
      </c>
      <c r="D957" t="inlineStr">
        <is>
          <t>INV/2026/02462</t>
        </is>
      </c>
      <c r="E957" s="9" t="n">
        <v>96.98999999999999</v>
      </c>
      <c r="F957" s="9" t="n">
        <v>96.98999999999999</v>
      </c>
      <c r="G957" s="9">
        <f>ROUND(E957-F957,2)</f>
        <v>0</v>
      </c>
    </row>
    <row r="958">
      <c r="A958" t="inlineStr">
        <is>
          <t>RA45014</t>
        </is>
      </c>
      <c r="B958" t="inlineStr">
        <is>
          <t>Bluegum Plan Management</t>
        </is>
      </c>
      <c r="C958" s="5" t="n">
        <v>46247</v>
      </c>
      <c r="D958" t="inlineStr">
        <is>
          <t>INV/2026/02511</t>
        </is>
      </c>
      <c r="E958" s="9" t="n">
        <v>252.19</v>
      </c>
      <c r="F958" s="9" t="n">
        <v>252.19</v>
      </c>
      <c r="G958" s="9">
        <f>ROUND(E958-F958,2)</f>
        <v>0</v>
      </c>
    </row>
    <row r="959">
      <c r="A959" t="inlineStr">
        <is>
          <t>RA45014</t>
        </is>
      </c>
      <c r="B959" t="inlineStr">
        <is>
          <t>Bluegum Plan Management</t>
        </is>
      </c>
      <c r="C959" s="5" t="n">
        <v>46247</v>
      </c>
      <c r="D959" t="inlineStr">
        <is>
          <t>INV/2026/02512</t>
        </is>
      </c>
      <c r="E959" s="9" t="n">
        <v>387.98</v>
      </c>
      <c r="F959" s="9" t="n">
        <v>387.98</v>
      </c>
      <c r="G959" s="9">
        <f>ROUND(E959-F959,2)</f>
        <v>0</v>
      </c>
    </row>
    <row r="960">
      <c r="A960" t="inlineStr">
        <is>
          <t>RA45015</t>
        </is>
      </c>
      <c r="B960" t="inlineStr">
        <is>
          <t>Riverbend Plan Partners</t>
        </is>
      </c>
      <c r="C960" s="5" t="n">
        <v>46247</v>
      </c>
      <c r="D960" t="inlineStr">
        <is>
          <t>INV/2026/02537</t>
        </is>
      </c>
      <c r="E960" s="9" t="n">
        <v>242.49</v>
      </c>
      <c r="F960" s="9" t="n">
        <v>242.49</v>
      </c>
      <c r="G960" s="9">
        <f>ROUND(E960-F960,2)</f>
        <v>0</v>
      </c>
    </row>
    <row r="961">
      <c r="A961" t="inlineStr">
        <is>
          <t>RA45015</t>
        </is>
      </c>
      <c r="B961" t="inlineStr">
        <is>
          <t>Riverbend Plan Partners</t>
        </is>
      </c>
      <c r="C961" s="5" t="n">
        <v>46247</v>
      </c>
      <c r="D961" t="inlineStr">
        <is>
          <t>INV/2026/02538</t>
        </is>
      </c>
      <c r="E961" s="9" t="n">
        <v>320.98</v>
      </c>
      <c r="F961" s="9" t="n">
        <v>320.98</v>
      </c>
      <c r="G961" s="9">
        <f>ROUND(E961-F961,2)</f>
        <v>0</v>
      </c>
    </row>
    <row r="962">
      <c r="A962" t="inlineStr">
        <is>
          <t>RA45015</t>
        </is>
      </c>
      <c r="B962" t="inlineStr">
        <is>
          <t>Riverbend Plan Partners</t>
        </is>
      </c>
      <c r="C962" s="5" t="n">
        <v>46247</v>
      </c>
      <c r="D962" t="inlineStr">
        <is>
          <t>INV/2026/02539</t>
        </is>
      </c>
      <c r="E962" s="9" t="n">
        <v>96.98999999999999</v>
      </c>
      <c r="F962" s="9" t="n">
        <v>96.98999999999999</v>
      </c>
      <c r="G962" s="9">
        <f>ROUND(E962-F962,2)</f>
        <v>0</v>
      </c>
    </row>
    <row r="963">
      <c r="A963" t="inlineStr">
        <is>
          <t>RA45016</t>
        </is>
      </c>
      <c r="B963" t="inlineStr">
        <is>
          <t>Banksia Plan Co</t>
        </is>
      </c>
      <c r="C963" s="5" t="n">
        <v>46247</v>
      </c>
      <c r="D963" t="inlineStr">
        <is>
          <t>INV/2026/02495</t>
        </is>
      </c>
      <c r="E963" s="9" t="n">
        <v>96.98999999999999</v>
      </c>
      <c r="F963" s="9" t="n">
        <v>96.98999999999999</v>
      </c>
      <c r="G963" s="9">
        <f>ROUND(E963-F963,2)</f>
        <v>0</v>
      </c>
    </row>
    <row r="964">
      <c r="A964" t="inlineStr">
        <is>
          <t>RA45016</t>
        </is>
      </c>
      <c r="B964" t="inlineStr">
        <is>
          <t>Banksia Plan Co</t>
        </is>
      </c>
      <c r="C964" s="5" t="n">
        <v>46247</v>
      </c>
      <c r="D964" t="inlineStr">
        <is>
          <t>INV/2026/02544</t>
        </is>
      </c>
      <c r="E964" s="9" t="n">
        <v>175.49</v>
      </c>
      <c r="F964" s="9" t="n">
        <v>175.49</v>
      </c>
      <c r="G964" s="9">
        <f>ROUND(E964-F964,2)</f>
        <v>0</v>
      </c>
    </row>
    <row r="965">
      <c r="A965" t="inlineStr">
        <is>
          <t>RA45017</t>
        </is>
      </c>
      <c r="B965" t="inlineStr">
        <is>
          <t>Lyrebird Plan Management</t>
        </is>
      </c>
      <c r="C965" s="5" t="n">
        <v>46247</v>
      </c>
      <c r="D965" t="inlineStr">
        <is>
          <t>INV/2026/02555</t>
        </is>
      </c>
      <c r="E965" s="9" t="n">
        <v>145.49</v>
      </c>
      <c r="F965" s="9" t="n">
        <v>145.49</v>
      </c>
      <c r="G965" s="9">
        <f>ROUND(E965-F965,2)</f>
        <v>0</v>
      </c>
    </row>
    <row r="966">
      <c r="A966" t="inlineStr">
        <is>
          <t>RA45017</t>
        </is>
      </c>
      <c r="B966" t="inlineStr">
        <is>
          <t>Lyrebird Plan Management</t>
        </is>
      </c>
      <c r="C966" s="5" t="n">
        <v>46247</v>
      </c>
      <c r="D966" t="inlineStr">
        <is>
          <t>INV/2026/02556</t>
        </is>
      </c>
      <c r="E966" s="9" t="n">
        <v>242.49</v>
      </c>
      <c r="F966" s="9" t="n">
        <v>242.49</v>
      </c>
      <c r="G966" s="9">
        <f>ROUND(E966-F966,2)</f>
        <v>0</v>
      </c>
    </row>
    <row r="967">
      <c r="A967" t="inlineStr">
        <is>
          <t>RA45018</t>
        </is>
      </c>
      <c r="B967" t="inlineStr">
        <is>
          <t>Tallowwood Plans</t>
        </is>
      </c>
      <c r="C967" s="5" t="n">
        <v>46247</v>
      </c>
      <c r="D967" t="inlineStr">
        <is>
          <t>INV/2026/02483</t>
        </is>
      </c>
      <c r="E967" s="9" t="n">
        <v>155.19</v>
      </c>
      <c r="F967" s="9" t="n">
        <v>155.19</v>
      </c>
      <c r="G967" s="9">
        <f>ROUND(E967-F967,2)</f>
        <v>0</v>
      </c>
    </row>
    <row r="968">
      <c r="A968" t="inlineStr">
        <is>
          <t>RA45018</t>
        </is>
      </c>
      <c r="B968" t="inlineStr">
        <is>
          <t>Tallowwood Plans</t>
        </is>
      </c>
      <c r="C968" s="5" t="n">
        <v>46247</v>
      </c>
      <c r="D968" t="inlineStr">
        <is>
          <t>INV/2026/02484</t>
        </is>
      </c>
      <c r="E968" s="9" t="n">
        <v>272.49</v>
      </c>
      <c r="F968" s="9" t="n">
        <v>272.49</v>
      </c>
      <c r="G968" s="9">
        <f>ROUND(E968-F968,2)</f>
        <v>0</v>
      </c>
    </row>
    <row r="969">
      <c r="A969" t="inlineStr">
        <is>
          <t>RA45018</t>
        </is>
      </c>
      <c r="B969" t="inlineStr">
        <is>
          <t>Tallowwood Plans</t>
        </is>
      </c>
      <c r="C969" s="5" t="n">
        <v>46247</v>
      </c>
      <c r="D969" t="inlineStr">
        <is>
          <t>INV/2026/02485</t>
        </is>
      </c>
      <c r="E969" s="9" t="n">
        <v>193.99</v>
      </c>
      <c r="F969" s="9" t="n">
        <v>193.99</v>
      </c>
      <c r="G969" s="9">
        <f>ROUND(E969-F969,2)</f>
        <v>0</v>
      </c>
    </row>
    <row r="970">
      <c r="A970" t="inlineStr">
        <is>
          <t>RA45018</t>
        </is>
      </c>
      <c r="B970" t="inlineStr">
        <is>
          <t>Tallowwood Plans</t>
        </is>
      </c>
      <c r="C970" s="5" t="n">
        <v>46247</v>
      </c>
      <c r="D970" t="inlineStr">
        <is>
          <t>INV/2026/02506</t>
        </is>
      </c>
      <c r="E970" s="9" t="n">
        <v>145.49</v>
      </c>
      <c r="F970" s="9" t="n">
        <v>145.49</v>
      </c>
      <c r="G970" s="9">
        <f>ROUND(E970-F970,2)</f>
        <v>0</v>
      </c>
    </row>
    <row r="971">
      <c r="A971" t="inlineStr">
        <is>
          <t>RA45018</t>
        </is>
      </c>
      <c r="B971" t="inlineStr">
        <is>
          <t>Tallowwood Plans</t>
        </is>
      </c>
      <c r="C971" s="5" t="n">
        <v>46247</v>
      </c>
      <c r="D971" t="inlineStr">
        <is>
          <t>INV/2026/02528</t>
        </is>
      </c>
      <c r="E971" s="9" t="n">
        <v>320.98</v>
      </c>
      <c r="F971" s="9" t="n">
        <v>320.98</v>
      </c>
      <c r="G971" s="9">
        <f>ROUND(E971-F971,2)</f>
        <v>0</v>
      </c>
    </row>
    <row r="972">
      <c r="A972" t="inlineStr">
        <is>
          <t>RA45018</t>
        </is>
      </c>
      <c r="B972" t="inlineStr">
        <is>
          <t>Tallowwood Plans</t>
        </is>
      </c>
      <c r="C972" s="5" t="n">
        <v>46247</v>
      </c>
      <c r="D972" t="inlineStr">
        <is>
          <t>INV/2026/02529</t>
        </is>
      </c>
      <c r="E972" s="9" t="n">
        <v>242.49</v>
      </c>
      <c r="F972" s="9" t="n">
        <v>242.49</v>
      </c>
      <c r="G972" s="9">
        <f>ROUND(E972-F972,2)</f>
        <v>0</v>
      </c>
    </row>
    <row r="973">
      <c r="A973" t="inlineStr">
        <is>
          <t>RA45019</t>
        </is>
      </c>
      <c r="B973" t="inlineStr">
        <is>
          <t>Bluegum Plan Management</t>
        </is>
      </c>
      <c r="C973" s="5" t="n">
        <v>46248</v>
      </c>
      <c r="D973" t="inlineStr">
        <is>
          <t>INV/2026/02535</t>
        </is>
      </c>
      <c r="E973" s="9" t="n">
        <v>417.98</v>
      </c>
      <c r="F973" s="9" t="n">
        <v>417.98</v>
      </c>
      <c r="G973" s="9">
        <f>ROUND(E973-F973,2)</f>
        <v>0</v>
      </c>
    </row>
    <row r="974">
      <c r="A974" t="inlineStr">
        <is>
          <t>RA45019</t>
        </is>
      </c>
      <c r="B974" t="inlineStr">
        <is>
          <t>Bluegum Plan Management</t>
        </is>
      </c>
      <c r="C974" s="5" t="n">
        <v>46248</v>
      </c>
      <c r="D974" t="inlineStr">
        <is>
          <t>INV/2026/02536</t>
        </is>
      </c>
      <c r="E974" s="9" t="n">
        <v>145.49</v>
      </c>
      <c r="F974" s="9" t="n">
        <v>145.49</v>
      </c>
      <c r="G974" s="9">
        <f>ROUND(E974-F974,2)</f>
        <v>0</v>
      </c>
    </row>
    <row r="975">
      <c r="A975" t="inlineStr">
        <is>
          <t>RA45020</t>
        </is>
      </c>
      <c r="B975" t="inlineStr">
        <is>
          <t>Clearpath NDIS Plans</t>
        </is>
      </c>
      <c r="C975" s="5" t="n">
        <v>46248</v>
      </c>
      <c r="D975" t="inlineStr">
        <is>
          <t>INV/2026/02467</t>
        </is>
      </c>
      <c r="E975" s="9" t="n">
        <v>446.18</v>
      </c>
      <c r="F975" s="9" t="n">
        <v>446.18</v>
      </c>
      <c r="G975" s="9">
        <f>ROUND(E975-F975,2)</f>
        <v>0</v>
      </c>
    </row>
    <row r="976">
      <c r="A976" t="inlineStr">
        <is>
          <t>RA45020</t>
        </is>
      </c>
      <c r="B976" t="inlineStr">
        <is>
          <t>Clearpath NDIS Plans</t>
        </is>
      </c>
      <c r="C976" s="5" t="n">
        <v>46248</v>
      </c>
      <c r="D976" t="inlineStr">
        <is>
          <t>INV/2026/02492</t>
        </is>
      </c>
      <c r="E976" s="9" t="n">
        <v>145.49</v>
      </c>
      <c r="F976" s="9" t="n">
        <v>145.49</v>
      </c>
      <c r="G976" s="9">
        <f>ROUND(E976-F976,2)</f>
        <v>0</v>
      </c>
    </row>
    <row r="977">
      <c r="A977" t="inlineStr">
        <is>
          <t>RA45020</t>
        </is>
      </c>
      <c r="B977" t="inlineStr">
        <is>
          <t>Clearpath NDIS Plans</t>
        </is>
      </c>
      <c r="C977" s="5" t="n">
        <v>46248</v>
      </c>
      <c r="D977" t="inlineStr">
        <is>
          <t>INV/2026/02515</t>
        </is>
      </c>
      <c r="E977" s="9" t="n">
        <v>242.49</v>
      </c>
      <c r="F977" s="9" t="n">
        <v>242.49</v>
      </c>
      <c r="G977" s="9">
        <f>ROUND(E977-F977,2)</f>
        <v>0</v>
      </c>
    </row>
    <row r="978">
      <c r="A978" t="inlineStr">
        <is>
          <t>RA45021</t>
        </is>
      </c>
      <c r="B978" t="inlineStr">
        <is>
          <t>Banksia Plan Co</t>
        </is>
      </c>
      <c r="C978" s="5" t="n">
        <v>46248</v>
      </c>
      <c r="D978" t="inlineStr">
        <is>
          <t>INV/2026/02590</t>
        </is>
      </c>
      <c r="E978" s="9" t="n">
        <v>193.99</v>
      </c>
      <c r="F978" s="9" t="n">
        <v>193.99</v>
      </c>
      <c r="G978" s="9">
        <f>ROUND(E978-F978,2)</f>
        <v>0</v>
      </c>
    </row>
    <row r="979">
      <c r="A979" t="inlineStr">
        <is>
          <t>RA45022</t>
        </is>
      </c>
      <c r="B979" t="inlineStr">
        <is>
          <t>Ironbark Plan Management</t>
        </is>
      </c>
      <c r="C979" s="5" t="n">
        <v>46248</v>
      </c>
      <c r="D979" t="inlineStr">
        <is>
          <t>INV/2026/02427</t>
        </is>
      </c>
      <c r="E979" s="9" t="n">
        <v>193.99</v>
      </c>
      <c r="F979" s="9" t="n">
        <v>193.99</v>
      </c>
      <c r="G979" s="9">
        <f>ROUND(E979-F979,2)</f>
        <v>0</v>
      </c>
    </row>
    <row r="980">
      <c r="A980" t="inlineStr">
        <is>
          <t>RA45022</t>
        </is>
      </c>
      <c r="B980" t="inlineStr">
        <is>
          <t>Ironbark Plan Management</t>
        </is>
      </c>
      <c r="C980" s="5" t="n">
        <v>46248</v>
      </c>
      <c r="D980" t="inlineStr">
        <is>
          <t>INV/2026/02448</t>
        </is>
      </c>
      <c r="E980" s="9" t="n">
        <v>96.98999999999999</v>
      </c>
      <c r="F980" s="9" t="n">
        <v>96.98999999999999</v>
      </c>
      <c r="G980" s="9">
        <f>ROUND(E980-F980,2)</f>
        <v>0</v>
      </c>
    </row>
    <row r="981">
      <c r="A981" t="inlineStr">
        <is>
          <t>RA45023</t>
        </is>
      </c>
      <c r="B981" t="inlineStr">
        <is>
          <t>Kookaburra Plan Support</t>
        </is>
      </c>
      <c r="C981" s="5" t="n">
        <v>46248</v>
      </c>
      <c r="D981" t="inlineStr">
        <is>
          <t>INV/2026/02473</t>
        </is>
      </c>
      <c r="E981" s="9" t="n">
        <v>193.99</v>
      </c>
      <c r="F981" s="9" t="n">
        <v>193.99</v>
      </c>
      <c r="G981" s="9">
        <f>ROUND(E981-F981,2)</f>
        <v>0</v>
      </c>
    </row>
    <row r="982">
      <c r="A982" t="inlineStr">
        <is>
          <t>RA45023</t>
        </is>
      </c>
      <c r="B982" t="inlineStr">
        <is>
          <t>Kookaburra Plan Support</t>
        </is>
      </c>
      <c r="C982" s="5" t="n">
        <v>46248</v>
      </c>
      <c r="D982" t="inlineStr">
        <is>
          <t>INV/2026/02546</t>
        </is>
      </c>
      <c r="E982" s="9" t="n">
        <v>387.98</v>
      </c>
      <c r="F982" s="9" t="n">
        <v>387.98</v>
      </c>
      <c r="G982" s="9">
        <f>ROUND(E982-F982,2)</f>
        <v>0</v>
      </c>
    </row>
    <row r="983">
      <c r="A983" t="inlineStr">
        <is>
          <t>RA45023</t>
        </is>
      </c>
      <c r="B983" t="inlineStr">
        <is>
          <t>Kookaburra Plan Support</t>
        </is>
      </c>
      <c r="C983" s="5" t="n">
        <v>46248</v>
      </c>
      <c r="D983" t="inlineStr">
        <is>
          <t>INV/2026/02547</t>
        </is>
      </c>
      <c r="E983" s="9" t="n">
        <v>223.99</v>
      </c>
      <c r="F983" s="9" t="n">
        <v>223.99</v>
      </c>
      <c r="G983" s="9">
        <f>ROUND(E983-F983,2)</f>
        <v>0</v>
      </c>
    </row>
    <row r="984">
      <c r="A984" t="inlineStr">
        <is>
          <t>RA45024</t>
        </is>
      </c>
      <c r="B984" t="inlineStr">
        <is>
          <t>Lyrebird Plan Management</t>
        </is>
      </c>
      <c r="C984" s="5" t="n">
        <v>46248</v>
      </c>
      <c r="D984" t="inlineStr">
        <is>
          <t>INV/2026/02571</t>
        </is>
      </c>
      <c r="E984" s="9" t="n">
        <v>96.98999999999999</v>
      </c>
      <c r="F984" s="9" t="n">
        <v>96.98999999999999</v>
      </c>
      <c r="G984" s="9">
        <f>ROUND(E984-F984,2)</f>
        <v>0</v>
      </c>
    </row>
    <row r="985">
      <c r="A985" t="inlineStr">
        <is>
          <t>RA45024</t>
        </is>
      </c>
      <c r="B985" t="inlineStr">
        <is>
          <t>Lyrebird Plan Management</t>
        </is>
      </c>
      <c r="C985" s="5" t="n">
        <v>46248</v>
      </c>
      <c r="D985" t="inlineStr">
        <is>
          <t>INV/2026/02572</t>
        </is>
      </c>
      <c r="E985" s="9" t="n">
        <v>223.99</v>
      </c>
      <c r="F985" s="9" t="n">
        <v>223.99</v>
      </c>
      <c r="G985" s="9">
        <f>ROUND(E985-F985,2)</f>
        <v>0</v>
      </c>
    </row>
    <row r="986">
      <c r="A986" t="inlineStr">
        <is>
          <t>RA45025</t>
        </is>
      </c>
      <c r="B986" t="inlineStr">
        <is>
          <t>Mallee Plan Services</t>
        </is>
      </c>
      <c r="C986" s="5" t="n">
        <v>46248</v>
      </c>
      <c r="D986" t="inlineStr">
        <is>
          <t>INV/2026/02487</t>
        </is>
      </c>
      <c r="E986" s="9" t="n">
        <v>155.19</v>
      </c>
      <c r="F986" s="9" t="n">
        <v>155.19</v>
      </c>
      <c r="G986" s="9">
        <f>ROUND(E986-F986,2)</f>
        <v>0</v>
      </c>
    </row>
    <row r="987">
      <c r="A987" t="inlineStr">
        <is>
          <t>RA45025</t>
        </is>
      </c>
      <c r="B987" t="inlineStr">
        <is>
          <t>Mallee Plan Services</t>
        </is>
      </c>
      <c r="C987" s="5" t="n">
        <v>46248</v>
      </c>
      <c r="D987" t="inlineStr">
        <is>
          <t>INV/2026/02508</t>
        </is>
      </c>
      <c r="E987" s="9" t="n">
        <v>96.98999999999999</v>
      </c>
      <c r="F987" s="9" t="n">
        <v>96.98999999999999</v>
      </c>
      <c r="G987" s="9">
        <f>ROUND(E987-F987,2)</f>
        <v>0</v>
      </c>
    </row>
    <row r="988">
      <c r="A988" t="inlineStr">
        <is>
          <t>RA45025</t>
        </is>
      </c>
      <c r="B988" t="inlineStr">
        <is>
          <t>Mallee Plan Services</t>
        </is>
      </c>
      <c r="C988" s="5" t="n">
        <v>46248</v>
      </c>
      <c r="D988" t="inlineStr">
        <is>
          <t>INV/2026/02532</t>
        </is>
      </c>
      <c r="E988" s="9" t="n">
        <v>252.19</v>
      </c>
      <c r="F988" s="9" t="n">
        <v>252.19</v>
      </c>
      <c r="G988" s="9">
        <f>ROUND(E988-F988,2)</f>
        <v>0</v>
      </c>
    </row>
    <row r="989">
      <c r="A989" t="inlineStr">
        <is>
          <t>RA45025</t>
        </is>
      </c>
      <c r="B989" t="inlineStr">
        <is>
          <t>Mallee Plan Services</t>
        </is>
      </c>
      <c r="C989" s="5" t="n">
        <v>46248</v>
      </c>
      <c r="D989" t="inlineStr">
        <is>
          <t>INV/2026/02533</t>
        </is>
      </c>
      <c r="E989" s="9" t="n">
        <v>193.99</v>
      </c>
      <c r="F989" s="9" t="n">
        <v>193.99</v>
      </c>
      <c r="G989" s="9">
        <f>ROUND(E989-F989,2)</f>
        <v>0</v>
      </c>
    </row>
    <row r="990">
      <c r="A990" t="inlineStr">
        <is>
          <t>RA45025</t>
        </is>
      </c>
      <c r="B990" t="inlineStr">
        <is>
          <t>Mallee Plan Services</t>
        </is>
      </c>
      <c r="C990" s="5" t="n">
        <v>46248</v>
      </c>
      <c r="D990" t="inlineStr">
        <is>
          <t>INV/2026/02558</t>
        </is>
      </c>
      <c r="E990" s="9" t="n">
        <v>290.98</v>
      </c>
      <c r="F990" s="9" t="n">
        <v>290.98</v>
      </c>
      <c r="G990" s="9">
        <f>ROUND(E990-F990,2)</f>
        <v>0</v>
      </c>
    </row>
    <row r="991">
      <c r="A991" t="inlineStr">
        <is>
          <t>RA45025</t>
        </is>
      </c>
      <c r="B991" t="inlineStr">
        <is>
          <t>Mallee Plan Services</t>
        </is>
      </c>
      <c r="C991" s="5" t="n">
        <v>46248</v>
      </c>
      <c r="D991" t="inlineStr">
        <is>
          <t>INV/2026/02607</t>
        </is>
      </c>
      <c r="E991" s="9" t="n">
        <v>387.98</v>
      </c>
      <c r="F991" s="9" t="n">
        <v>387.98</v>
      </c>
      <c r="G991" s="9">
        <f>ROUND(E991-F991,2)</f>
        <v>0</v>
      </c>
    </row>
    <row r="992">
      <c r="A992" t="inlineStr">
        <is>
          <t>RA45025</t>
        </is>
      </c>
      <c r="B992" t="inlineStr">
        <is>
          <t>Mallee Plan Services</t>
        </is>
      </c>
      <c r="C992" s="5" t="n">
        <v>46248</v>
      </c>
      <c r="D992" t="inlineStr">
        <is>
          <t>INV/2026/02609</t>
        </is>
      </c>
      <c r="E992" s="9" t="n">
        <v>145.49</v>
      </c>
      <c r="F992" s="9" t="n">
        <v>145.49</v>
      </c>
      <c r="G992" s="9">
        <f>ROUND(E992-F992,2)</f>
        <v>0</v>
      </c>
    </row>
    <row r="993">
      <c r="A993" t="inlineStr">
        <is>
          <t>RA45026</t>
        </is>
      </c>
      <c r="B993" t="inlineStr">
        <is>
          <t>Riverbend Plan Partners</t>
        </is>
      </c>
      <c r="C993" s="5" t="n">
        <v>46251</v>
      </c>
      <c r="D993" t="inlineStr">
        <is>
          <t>INV/2026/02563</t>
        </is>
      </c>
      <c r="E993" s="9" t="n">
        <v>242.49</v>
      </c>
      <c r="F993" s="9" t="n">
        <v>242.49</v>
      </c>
      <c r="G993" s="9">
        <f>ROUND(E993-F993,2)</f>
        <v>0</v>
      </c>
    </row>
    <row r="994">
      <c r="A994" t="inlineStr">
        <is>
          <t>RA45026</t>
        </is>
      </c>
      <c r="B994" t="inlineStr">
        <is>
          <t>Riverbend Plan Partners</t>
        </is>
      </c>
      <c r="C994" s="5" t="n">
        <v>46251</v>
      </c>
      <c r="D994" t="inlineStr">
        <is>
          <t>INV/2026/02564</t>
        </is>
      </c>
      <c r="E994" s="9" t="n">
        <v>387.98</v>
      </c>
      <c r="F994" s="9" t="n">
        <v>387.98</v>
      </c>
      <c r="G994" s="9">
        <f>ROUND(E994-F994,2)</f>
        <v>0</v>
      </c>
    </row>
    <row r="995">
      <c r="A995" t="inlineStr">
        <is>
          <t>RA45026</t>
        </is>
      </c>
      <c r="B995" t="inlineStr">
        <is>
          <t>Riverbend Plan Partners</t>
        </is>
      </c>
      <c r="C995" s="5" t="n">
        <v>46251</v>
      </c>
      <c r="D995" t="inlineStr">
        <is>
          <t>INV/2026/02581</t>
        </is>
      </c>
      <c r="E995" s="9" t="n">
        <v>203.69</v>
      </c>
      <c r="F995" s="9" t="n">
        <v>203.69</v>
      </c>
      <c r="G995" s="9">
        <f>ROUND(E995-F995,2)</f>
        <v>0</v>
      </c>
    </row>
    <row r="996">
      <c r="A996" t="inlineStr">
        <is>
          <t>RA45027</t>
        </is>
      </c>
      <c r="B996" t="inlineStr">
        <is>
          <t>Ironbark Plan Management</t>
        </is>
      </c>
      <c r="C996" s="5" t="n">
        <v>46251</v>
      </c>
      <c r="D996" t="inlineStr">
        <is>
          <t>INV/2026/02449</t>
        </is>
      </c>
      <c r="E996" s="9" t="n">
        <v>417.98</v>
      </c>
      <c r="F996" s="9" t="n">
        <v>417.98</v>
      </c>
      <c r="G996" s="9">
        <f>ROUND(E996-F996,2)</f>
        <v>0</v>
      </c>
    </row>
    <row r="997">
      <c r="A997" t="inlineStr">
        <is>
          <t>RA45027</t>
        </is>
      </c>
      <c r="B997" t="inlineStr">
        <is>
          <t>Ironbark Plan Management</t>
        </is>
      </c>
      <c r="C997" s="5" t="n">
        <v>46251</v>
      </c>
      <c r="D997" t="inlineStr">
        <is>
          <t>INV/2026/02450</t>
        </is>
      </c>
      <c r="E997" s="9" t="n">
        <v>193.99</v>
      </c>
      <c r="F997" s="9" t="n">
        <v>193.99</v>
      </c>
      <c r="G997" s="9">
        <f>ROUND(E997-F997,2)</f>
        <v>0</v>
      </c>
    </row>
    <row r="998">
      <c r="A998" t="inlineStr">
        <is>
          <t>RA45027</t>
        </is>
      </c>
      <c r="B998" t="inlineStr">
        <is>
          <t>Ironbark Plan Management</t>
        </is>
      </c>
      <c r="C998" s="5" t="n">
        <v>46251</v>
      </c>
      <c r="D998" t="inlineStr">
        <is>
          <t>INV/2026/02471</t>
        </is>
      </c>
      <c r="E998" s="9" t="n">
        <v>203.69</v>
      </c>
      <c r="F998" s="9" t="n">
        <v>203.69</v>
      </c>
      <c r="G998" s="9">
        <f>ROUND(E998-F998,2)</f>
        <v>0</v>
      </c>
    </row>
    <row r="999">
      <c r="A999" t="inlineStr">
        <is>
          <t>RA45027</t>
        </is>
      </c>
      <c r="B999" t="inlineStr">
        <is>
          <t>Ironbark Plan Management</t>
        </is>
      </c>
      <c r="C999" s="5" t="n">
        <v>46251</v>
      </c>
      <c r="D999" t="inlineStr">
        <is>
          <t>INV/2026/02472</t>
        </is>
      </c>
      <c r="E999" s="9" t="n">
        <v>349.18</v>
      </c>
      <c r="F999" s="9" t="n">
        <v>349.18</v>
      </c>
      <c r="G999" s="9">
        <f>ROUND(E999-F999,2)</f>
        <v>0</v>
      </c>
    </row>
    <row r="1000">
      <c r="A1000" t="inlineStr">
        <is>
          <t>RA45027</t>
        </is>
      </c>
      <c r="B1000" t="inlineStr">
        <is>
          <t>Ironbark Plan Management</t>
        </is>
      </c>
      <c r="C1000" s="5" t="n">
        <v>46251</v>
      </c>
      <c r="D1000" t="inlineStr">
        <is>
          <t>INV/2026/02496</t>
        </is>
      </c>
      <c r="E1000" s="9" t="n">
        <v>387.98</v>
      </c>
      <c r="F1000" s="9" t="n">
        <v>387.98</v>
      </c>
      <c r="G1000" s="9">
        <f>ROUND(E1000-F1000,2)</f>
        <v>0</v>
      </c>
    </row>
    <row r="1001">
      <c r="A1001" t="inlineStr">
        <is>
          <t>RA45027</t>
        </is>
      </c>
      <c r="B1001" t="inlineStr">
        <is>
          <t>Ironbark Plan Management</t>
        </is>
      </c>
      <c r="C1001" s="5" t="n">
        <v>46251</v>
      </c>
      <c r="D1001" t="inlineStr">
        <is>
          <t>INV/2026/02497</t>
        </is>
      </c>
      <c r="E1001" s="9" t="n">
        <v>193.99</v>
      </c>
      <c r="F1001" s="9" t="n">
        <v>193.99</v>
      </c>
      <c r="G1001" s="9">
        <f>ROUND(E1001-F1001,2)</f>
        <v>0</v>
      </c>
    </row>
    <row r="1002">
      <c r="A1002" t="inlineStr">
        <is>
          <t>RA45028</t>
        </is>
      </c>
      <c r="B1002" t="inlineStr">
        <is>
          <t>Southern Cross Plan Mgmt</t>
        </is>
      </c>
      <c r="C1002" s="5" t="n">
        <v>46251</v>
      </c>
      <c r="D1002" t="inlineStr">
        <is>
          <t>INV/2026/01833</t>
        </is>
      </c>
      <c r="E1002" s="9" t="n">
        <v>96.98999999999999</v>
      </c>
      <c r="F1002" s="9" t="n">
        <v>96.98999999999999</v>
      </c>
      <c r="G1002" s="9">
        <f>ROUND(E1002-F1002,2)</f>
        <v>0</v>
      </c>
    </row>
    <row r="1003">
      <c r="A1003" t="inlineStr">
        <is>
          <t>RA45028</t>
        </is>
      </c>
      <c r="B1003" t="inlineStr">
        <is>
          <t>Southern Cross Plan Mgmt</t>
        </is>
      </c>
      <c r="C1003" s="5" t="n">
        <v>46251</v>
      </c>
      <c r="D1003" t="inlineStr">
        <is>
          <t>INV/2026/01856</t>
        </is>
      </c>
      <c r="E1003" s="9" t="n">
        <v>242.49</v>
      </c>
      <c r="F1003" s="9" t="n">
        <v>242.49</v>
      </c>
      <c r="G1003" s="9">
        <f>ROUND(E1003-F1003,2)</f>
        <v>0</v>
      </c>
    </row>
    <row r="1004">
      <c r="A1004" t="inlineStr">
        <is>
          <t>RA45028</t>
        </is>
      </c>
      <c r="B1004" t="inlineStr">
        <is>
          <t>Southern Cross Plan Mgmt</t>
        </is>
      </c>
      <c r="C1004" s="5" t="n">
        <v>46251</v>
      </c>
      <c r="D1004" t="inlineStr">
        <is>
          <t>INV/2026/01857</t>
        </is>
      </c>
      <c r="E1004" s="9" t="n">
        <v>387.98</v>
      </c>
      <c r="F1004" s="9" t="n">
        <v>387.98</v>
      </c>
      <c r="G1004" s="9">
        <f>ROUND(E1004-F1004,2)</f>
        <v>0</v>
      </c>
    </row>
    <row r="1005">
      <c r="A1005" t="inlineStr">
        <is>
          <t>RA45028</t>
        </is>
      </c>
      <c r="B1005" t="inlineStr">
        <is>
          <t>Southern Cross Plan Mgmt</t>
        </is>
      </c>
      <c r="C1005" s="5" t="n">
        <v>46251</v>
      </c>
      <c r="D1005" t="inlineStr">
        <is>
          <t>INV/2026/01858</t>
        </is>
      </c>
      <c r="E1005" s="9" t="n">
        <v>203.69</v>
      </c>
      <c r="F1005" s="9" t="n">
        <v>203.69</v>
      </c>
      <c r="G1005" s="9">
        <f>ROUND(E1005-F1005,2)</f>
        <v>0</v>
      </c>
    </row>
    <row r="1006">
      <c r="A1006" t="inlineStr">
        <is>
          <t>RA45028</t>
        </is>
      </c>
      <c r="B1006" t="inlineStr">
        <is>
          <t>Southern Cross Plan Mgmt</t>
        </is>
      </c>
      <c r="C1006" s="5" t="n">
        <v>46251</v>
      </c>
      <c r="D1006" t="inlineStr">
        <is>
          <t>INV/2026/01888</t>
        </is>
      </c>
      <c r="E1006" s="9" t="n">
        <v>320.98</v>
      </c>
      <c r="F1006" s="9" t="n">
        <v>320.98</v>
      </c>
      <c r="G1006" s="9">
        <f>ROUND(E1006-F1006,2)</f>
        <v>0</v>
      </c>
    </row>
    <row r="1007">
      <c r="A1007" t="inlineStr">
        <is>
          <t>RA45028</t>
        </is>
      </c>
      <c r="B1007" t="inlineStr">
        <is>
          <t>Southern Cross Plan Mgmt</t>
        </is>
      </c>
      <c r="C1007" s="5" t="n">
        <v>46251</v>
      </c>
      <c r="D1007" t="inlineStr">
        <is>
          <t>INV/2026/01908</t>
        </is>
      </c>
      <c r="E1007" s="9" t="n">
        <v>446.18</v>
      </c>
      <c r="F1007" s="9" t="n">
        <v>446.18</v>
      </c>
      <c r="G1007" s="9">
        <f>ROUND(E1007-F1007,2)</f>
        <v>0</v>
      </c>
    </row>
    <row r="1008">
      <c r="A1008" t="inlineStr">
        <is>
          <t>RA45029</t>
        </is>
      </c>
      <c r="B1008" t="inlineStr">
        <is>
          <t>Tallowwood Plans</t>
        </is>
      </c>
      <c r="C1008" s="5" t="n">
        <v>46251</v>
      </c>
      <c r="D1008" t="inlineStr">
        <is>
          <t>INV/2026/02574</t>
        </is>
      </c>
      <c r="E1008" s="9" t="n">
        <v>145.49</v>
      </c>
      <c r="F1008" s="9" t="n">
        <v>145.49</v>
      </c>
      <c r="G1008" s="9">
        <f>ROUND(E1008-F1008,2)</f>
        <v>0</v>
      </c>
    </row>
    <row r="1009">
      <c r="A1009" t="inlineStr">
        <is>
          <t>RA45029</t>
        </is>
      </c>
      <c r="B1009" t="inlineStr">
        <is>
          <t>Tallowwood Plans</t>
        </is>
      </c>
      <c r="C1009" s="5" t="n">
        <v>46251</v>
      </c>
      <c r="D1009" t="inlineStr">
        <is>
          <t>INV/2026/02575</t>
        </is>
      </c>
      <c r="E1009" s="9" t="n">
        <v>193.99</v>
      </c>
      <c r="F1009" s="9" t="n">
        <v>193.99</v>
      </c>
      <c r="G1009" s="9">
        <f>ROUND(E1009-F1009,2)</f>
        <v>0</v>
      </c>
    </row>
    <row r="1010">
      <c r="A1010" t="inlineStr">
        <is>
          <t>RA45029</t>
        </is>
      </c>
      <c r="B1010" t="inlineStr">
        <is>
          <t>Tallowwood Plans</t>
        </is>
      </c>
      <c r="C1010" s="5" t="n">
        <v>46251</v>
      </c>
      <c r="D1010" t="inlineStr">
        <is>
          <t>INV/2026/02602</t>
        </is>
      </c>
      <c r="E1010" s="9" t="n">
        <v>242.49</v>
      </c>
      <c r="F1010" s="9" t="n">
        <v>242.49</v>
      </c>
      <c r="G1010" s="9">
        <f>ROUND(E1010-F1010,2)</f>
        <v>0</v>
      </c>
    </row>
    <row r="1011">
      <c r="A1011" t="inlineStr">
        <is>
          <t>RA45029</t>
        </is>
      </c>
      <c r="B1011" t="inlineStr">
        <is>
          <t>Tallowwood Plans</t>
        </is>
      </c>
      <c r="C1011" s="5" t="n">
        <v>46251</v>
      </c>
      <c r="D1011" t="inlineStr">
        <is>
          <t>INV/2026/02603</t>
        </is>
      </c>
      <c r="E1011" s="9" t="n">
        <v>145.49</v>
      </c>
      <c r="F1011" s="9" t="n">
        <v>145.49</v>
      </c>
      <c r="G1011" s="9">
        <f>ROUND(E1011-F1011,2)</f>
        <v>0</v>
      </c>
    </row>
    <row r="1012">
      <c r="A1012" t="inlineStr">
        <is>
          <t>RA45029</t>
        </is>
      </c>
      <c r="B1012" t="inlineStr">
        <is>
          <t>Tallowwood Plans</t>
        </is>
      </c>
      <c r="C1012" s="5" t="n">
        <v>46251</v>
      </c>
      <c r="D1012" t="inlineStr">
        <is>
          <t>INV/2026/02604</t>
        </is>
      </c>
      <c r="E1012" s="9" t="n">
        <v>203.69</v>
      </c>
      <c r="F1012" s="9" t="n">
        <v>203.69</v>
      </c>
      <c r="G1012" s="9">
        <f>ROUND(E1012-F1012,2)</f>
        <v>0</v>
      </c>
    </row>
    <row r="1013">
      <c r="A1013" t="inlineStr">
        <is>
          <t>RA45029</t>
        </is>
      </c>
      <c r="B1013" t="inlineStr">
        <is>
          <t>Tallowwood Plans</t>
        </is>
      </c>
      <c r="C1013" s="5" t="n">
        <v>46251</v>
      </c>
      <c r="D1013" t="inlineStr">
        <is>
          <t>INV/2026/02627</t>
        </is>
      </c>
      <c r="E1013" s="9" t="n">
        <v>290.98</v>
      </c>
      <c r="F1013" s="9" t="n">
        <v>290.98</v>
      </c>
      <c r="G1013" s="9">
        <f>ROUND(E1013-F1013,2)</f>
        <v>0</v>
      </c>
    </row>
    <row r="1014">
      <c r="A1014" t="inlineStr">
        <is>
          <t>RA45030</t>
        </is>
      </c>
      <c r="B1014" t="inlineStr">
        <is>
          <t>Acacia Plan Partners</t>
        </is>
      </c>
      <c r="C1014" s="5" t="n">
        <v>46251</v>
      </c>
      <c r="D1014" t="inlineStr">
        <is>
          <t>INV/2026/02557</t>
        </is>
      </c>
      <c r="E1014" s="9" t="n">
        <v>242.49</v>
      </c>
      <c r="F1014" s="9" t="n">
        <v>242.49</v>
      </c>
      <c r="G1014" s="9">
        <f>ROUND(E1014-F1014,2)</f>
        <v>0</v>
      </c>
    </row>
    <row r="1015">
      <c r="A1015" t="inlineStr">
        <is>
          <t>RA45030</t>
        </is>
      </c>
      <c r="B1015" t="inlineStr">
        <is>
          <t>Acacia Plan Partners</t>
        </is>
      </c>
      <c r="C1015" s="5" t="n">
        <v>46251</v>
      </c>
      <c r="D1015" t="inlineStr">
        <is>
          <t>INV/2026/02679</t>
        </is>
      </c>
      <c r="E1015" s="9" t="n">
        <v>145.49</v>
      </c>
      <c r="F1015" s="9" t="n">
        <v>145.49</v>
      </c>
      <c r="G1015" s="9">
        <f>ROUND(E1015-F1015,2)</f>
        <v>0</v>
      </c>
    </row>
    <row r="1016">
      <c r="A1016" t="inlineStr">
        <is>
          <t>RA45031</t>
        </is>
      </c>
      <c r="B1016" t="inlineStr">
        <is>
          <t>Wattle Plan Services</t>
        </is>
      </c>
      <c r="C1016" s="5" t="n">
        <v>46252</v>
      </c>
      <c r="D1016" t="inlineStr">
        <is>
          <t>INV/2026/02542</t>
        </is>
      </c>
      <c r="E1016" s="9" t="n">
        <v>96.98999999999999</v>
      </c>
      <c r="F1016" s="9" t="n">
        <v>96.98999999999999</v>
      </c>
      <c r="G1016" s="9">
        <f>ROUND(E1016-F1016,2)</f>
        <v>0</v>
      </c>
    </row>
    <row r="1017">
      <c r="A1017" t="inlineStr">
        <is>
          <t>RA45031</t>
        </is>
      </c>
      <c r="B1017" t="inlineStr">
        <is>
          <t>Wattle Plan Services</t>
        </is>
      </c>
      <c r="C1017" s="5" t="n">
        <v>46252</v>
      </c>
      <c r="D1017" t="inlineStr">
        <is>
          <t>INV/2026/02587</t>
        </is>
      </c>
      <c r="E1017" s="9" t="n">
        <v>126.99</v>
      </c>
      <c r="F1017" s="9" t="n">
        <v>126.99</v>
      </c>
      <c r="G1017" s="9">
        <f>ROUND(E1017-F1017,2)</f>
        <v>0</v>
      </c>
    </row>
    <row r="1018">
      <c r="A1018" t="inlineStr">
        <is>
          <t>RA45031</t>
        </is>
      </c>
      <c r="B1018" t="inlineStr">
        <is>
          <t>Wattle Plan Services</t>
        </is>
      </c>
      <c r="C1018" s="5" t="n">
        <v>46252</v>
      </c>
      <c r="D1018" t="inlineStr">
        <is>
          <t>INV/2026/02588</t>
        </is>
      </c>
      <c r="E1018" s="9" t="n">
        <v>203.69</v>
      </c>
      <c r="F1018" s="9" t="n">
        <v>203.69</v>
      </c>
      <c r="G1018" s="9">
        <f>ROUND(E1018-F1018,2)</f>
        <v>0</v>
      </c>
    </row>
    <row r="1019">
      <c r="A1019" t="inlineStr">
        <is>
          <t>RA45031</t>
        </is>
      </c>
      <c r="B1019" t="inlineStr">
        <is>
          <t>Wattle Plan Services</t>
        </is>
      </c>
      <c r="C1019" s="5" t="n">
        <v>46252</v>
      </c>
      <c r="D1019" t="inlineStr">
        <is>
          <t>INV/2026/02612</t>
        </is>
      </c>
      <c r="E1019" s="9" t="n">
        <v>417.98</v>
      </c>
      <c r="F1019" s="9" t="n">
        <v>417.98</v>
      </c>
      <c r="G1019" s="9">
        <f>ROUND(E1019-F1019,2)</f>
        <v>0</v>
      </c>
    </row>
    <row r="1020">
      <c r="A1020" t="inlineStr">
        <is>
          <t>RA45031</t>
        </is>
      </c>
      <c r="B1020" t="inlineStr">
        <is>
          <t>Wattle Plan Services</t>
        </is>
      </c>
      <c r="C1020" s="5" t="n">
        <v>46252</v>
      </c>
      <c r="D1020" t="inlineStr">
        <is>
          <t>INV/2026/02613</t>
        </is>
      </c>
      <c r="E1020" s="9" t="n">
        <v>126.99</v>
      </c>
      <c r="F1020" s="9" t="n">
        <v>126.99</v>
      </c>
      <c r="G1020" s="9">
        <f>ROUND(E1020-F1020,2)</f>
        <v>0</v>
      </c>
    </row>
    <row r="1021">
      <c r="A1021" t="inlineStr">
        <is>
          <t>RA45031</t>
        </is>
      </c>
      <c r="B1021" t="inlineStr">
        <is>
          <t>Wattle Plan Services</t>
        </is>
      </c>
      <c r="C1021" s="5" t="n">
        <v>46252</v>
      </c>
      <c r="D1021" t="inlineStr">
        <is>
          <t>INV/2026/02614</t>
        </is>
      </c>
      <c r="E1021" s="9" t="n">
        <v>446.18</v>
      </c>
      <c r="F1021" s="9" t="n">
        <v>446.18</v>
      </c>
      <c r="G1021" s="9">
        <f>ROUND(E1021-F1021,2)</f>
        <v>0</v>
      </c>
    </row>
    <row r="1022">
      <c r="A1022" t="inlineStr">
        <is>
          <t>RA45031</t>
        </is>
      </c>
      <c r="B1022" t="inlineStr">
        <is>
          <t>Wattle Plan Services</t>
        </is>
      </c>
      <c r="C1022" s="5" t="n">
        <v>46252</v>
      </c>
      <c r="D1022" t="inlineStr">
        <is>
          <t>INV/2026/02635</t>
        </is>
      </c>
      <c r="E1022" s="9" t="n">
        <v>193.99</v>
      </c>
      <c r="F1022" s="9" t="n">
        <v>193.99</v>
      </c>
      <c r="G1022" s="9">
        <f>ROUND(E1022-F1022,2)</f>
        <v>0</v>
      </c>
    </row>
    <row r="1023">
      <c r="A1023" t="inlineStr">
        <is>
          <t>RA45032</t>
        </is>
      </c>
      <c r="B1023" t="inlineStr">
        <is>
          <t>Saltbush Plan Managers</t>
        </is>
      </c>
      <c r="C1023" s="5" t="n">
        <v>46252</v>
      </c>
      <c r="D1023" t="inlineStr">
        <is>
          <t>INV/2026/02499</t>
        </is>
      </c>
      <c r="E1023" s="9" t="n">
        <v>290.98</v>
      </c>
      <c r="F1023" s="9" t="n">
        <v>290.98</v>
      </c>
      <c r="G1023" s="9">
        <f>ROUND(E1023-F1023,2)</f>
        <v>0</v>
      </c>
    </row>
    <row r="1024">
      <c r="A1024" t="inlineStr">
        <is>
          <t>RA45032</t>
        </is>
      </c>
      <c r="B1024" t="inlineStr">
        <is>
          <t>Saltbush Plan Managers</t>
        </is>
      </c>
      <c r="C1024" s="5" t="n">
        <v>46252</v>
      </c>
      <c r="D1024" t="inlineStr">
        <is>
          <t>INV/2026/02500</t>
        </is>
      </c>
      <c r="E1024" s="9" t="n">
        <v>417.98</v>
      </c>
      <c r="F1024" s="9" t="n">
        <v>417.98</v>
      </c>
      <c r="G1024" s="9">
        <f>ROUND(E1024-F1024,2)</f>
        <v>0</v>
      </c>
    </row>
    <row r="1025">
      <c r="A1025" t="inlineStr">
        <is>
          <t>RA45032</t>
        </is>
      </c>
      <c r="B1025" t="inlineStr">
        <is>
          <t>Saltbush Plan Managers</t>
        </is>
      </c>
      <c r="C1025" s="5" t="n">
        <v>46252</v>
      </c>
      <c r="D1025" t="inlineStr">
        <is>
          <t>INV/2026/02501</t>
        </is>
      </c>
      <c r="E1025" s="9" t="n">
        <v>96.98999999999999</v>
      </c>
      <c r="F1025" s="9" t="n">
        <v>96.98999999999999</v>
      </c>
      <c r="G1025" s="9">
        <f>ROUND(E1025-F1025,2)</f>
        <v>0</v>
      </c>
    </row>
    <row r="1026">
      <c r="A1026" t="inlineStr">
        <is>
          <t>RA45032</t>
        </is>
      </c>
      <c r="B1026" t="inlineStr">
        <is>
          <t>Saltbush Plan Managers</t>
        </is>
      </c>
      <c r="C1026" s="5" t="n">
        <v>46252</v>
      </c>
      <c r="D1026" t="inlineStr">
        <is>
          <t>INV/2026/02549</t>
        </is>
      </c>
      <c r="E1026" s="9" t="n">
        <v>387.98</v>
      </c>
      <c r="F1026" s="9" t="n">
        <v>387.98</v>
      </c>
      <c r="G1026" s="9">
        <f>ROUND(E1026-F1026,2)</f>
        <v>0</v>
      </c>
    </row>
    <row r="1027">
      <c r="A1027" t="inlineStr">
        <is>
          <t>RA45032</t>
        </is>
      </c>
      <c r="B1027" t="inlineStr">
        <is>
          <t>Saltbush Plan Managers</t>
        </is>
      </c>
      <c r="C1027" s="5" t="n">
        <v>46252</v>
      </c>
      <c r="D1027" t="inlineStr">
        <is>
          <t>INV/2026/02550</t>
        </is>
      </c>
      <c r="E1027" s="9" t="n">
        <v>242.49</v>
      </c>
      <c r="F1027" s="9" t="n">
        <v>242.49</v>
      </c>
      <c r="G1027" s="9">
        <f>ROUND(E1027-F1027,2)</f>
        <v>0</v>
      </c>
    </row>
    <row r="1028">
      <c r="A1028" t="inlineStr">
        <is>
          <t>RA45032</t>
        </is>
      </c>
      <c r="B1028" t="inlineStr">
        <is>
          <t>Saltbush Plan Managers</t>
        </is>
      </c>
      <c r="C1028" s="5" t="n">
        <v>46252</v>
      </c>
      <c r="D1028" t="inlineStr">
        <is>
          <t>INV/2026/02568</t>
        </is>
      </c>
      <c r="E1028" s="9" t="n">
        <v>349.18</v>
      </c>
      <c r="F1028" s="9" t="n">
        <v>349.18</v>
      </c>
      <c r="G1028" s="9">
        <f>ROUND(E1028-F1028,2)</f>
        <v>0</v>
      </c>
    </row>
    <row r="1029">
      <c r="A1029" t="inlineStr">
        <is>
          <t>RA45032</t>
        </is>
      </c>
      <c r="B1029" t="inlineStr">
        <is>
          <t>Saltbush Plan Managers</t>
        </is>
      </c>
      <c r="C1029" s="5" t="n">
        <v>46252</v>
      </c>
      <c r="D1029" t="inlineStr">
        <is>
          <t>INV/2026/02595</t>
        </is>
      </c>
      <c r="E1029" s="9" t="n">
        <v>417.98</v>
      </c>
      <c r="F1029" s="9" t="n">
        <v>417.98</v>
      </c>
      <c r="G1029" s="9">
        <f>ROUND(E1029-F1029,2)</f>
        <v>0</v>
      </c>
    </row>
    <row r="1030">
      <c r="A1030" t="inlineStr">
        <is>
          <t>RA45032</t>
        </is>
      </c>
      <c r="B1030" t="inlineStr">
        <is>
          <t>Saltbush Plan Managers</t>
        </is>
      </c>
      <c r="C1030" s="5" t="n">
        <v>46252</v>
      </c>
      <c r="D1030" t="inlineStr">
        <is>
          <t>INV/2026/02620</t>
        </is>
      </c>
      <c r="E1030" s="9" t="n">
        <v>387.98</v>
      </c>
      <c r="F1030" s="9" t="n">
        <v>387.98</v>
      </c>
      <c r="G1030" s="9">
        <f>ROUND(E1030-F1030,2)</f>
        <v>0</v>
      </c>
    </row>
    <row r="1031">
      <c r="A1031" t="inlineStr">
        <is>
          <t>RA45033</t>
        </is>
      </c>
      <c r="B1031" t="inlineStr">
        <is>
          <t>Redgum Plan Admin</t>
        </is>
      </c>
      <c r="C1031" s="5" t="n">
        <v>46252</v>
      </c>
      <c r="D1031" t="inlineStr">
        <is>
          <t>INV/2026/02523</t>
        </is>
      </c>
      <c r="E1031" s="9" t="n">
        <v>290.98</v>
      </c>
      <c r="F1031" s="9" t="n">
        <v>290.98</v>
      </c>
      <c r="G1031" s="9">
        <f>ROUND(E1031-F1031,2)</f>
        <v>0</v>
      </c>
    </row>
    <row r="1032">
      <c r="A1032" t="inlineStr">
        <is>
          <t>RA45033</t>
        </is>
      </c>
      <c r="B1032" t="inlineStr">
        <is>
          <t>Redgum Plan Admin</t>
        </is>
      </c>
      <c r="C1032" s="5" t="n">
        <v>46252</v>
      </c>
      <c r="D1032" t="inlineStr">
        <is>
          <t>INV/2026/02551</t>
        </is>
      </c>
      <c r="E1032" s="9" t="n">
        <v>145.49</v>
      </c>
      <c r="F1032" s="9" t="n">
        <v>145.49</v>
      </c>
      <c r="G1032" s="9">
        <f>ROUND(E1032-F1032,2)</f>
        <v>0</v>
      </c>
    </row>
    <row r="1033">
      <c r="A1033" t="inlineStr">
        <is>
          <t>RA45033</t>
        </is>
      </c>
      <c r="B1033" t="inlineStr">
        <is>
          <t>Redgum Plan Admin</t>
        </is>
      </c>
      <c r="C1033" s="5" t="n">
        <v>46252</v>
      </c>
      <c r="D1033" t="inlineStr">
        <is>
          <t>INV/2026/02552</t>
        </is>
      </c>
      <c r="E1033" s="9" t="n">
        <v>387.98</v>
      </c>
      <c r="F1033" s="9" t="n">
        <v>387.98</v>
      </c>
      <c r="G1033" s="9">
        <f>ROUND(E1033-F1033,2)</f>
        <v>0</v>
      </c>
    </row>
    <row r="1034">
      <c r="A1034" t="inlineStr">
        <is>
          <t>RA45033</t>
        </is>
      </c>
      <c r="B1034" t="inlineStr">
        <is>
          <t>Redgum Plan Admin</t>
        </is>
      </c>
      <c r="C1034" s="5" t="n">
        <v>46252</v>
      </c>
      <c r="D1034" t="inlineStr">
        <is>
          <t>INV/2026/02569</t>
        </is>
      </c>
      <c r="E1034" s="9" t="n">
        <v>300.69</v>
      </c>
      <c r="F1034" s="9" t="n">
        <v>300.69</v>
      </c>
      <c r="G1034" s="9">
        <f>ROUND(E1034-F1034,2)</f>
        <v>0</v>
      </c>
    </row>
    <row r="1035">
      <c r="A1035" t="inlineStr">
        <is>
          <t>RA45034</t>
        </is>
      </c>
      <c r="B1035" t="inlineStr">
        <is>
          <t>Lyrebird Plan Management</t>
        </is>
      </c>
      <c r="C1035" s="5" t="n">
        <v>46252</v>
      </c>
      <c r="D1035" t="inlineStr">
        <is>
          <t>INV/2026/02573</t>
        </is>
      </c>
      <c r="E1035" s="9" t="n">
        <v>242.49</v>
      </c>
      <c r="F1035" s="9" t="n">
        <v>242.49</v>
      </c>
      <c r="G1035" s="9">
        <f>ROUND(E1035-F1035,2)</f>
        <v>0</v>
      </c>
    </row>
    <row r="1036">
      <c r="A1036" t="inlineStr">
        <is>
          <t>RA45034</t>
        </is>
      </c>
      <c r="B1036" t="inlineStr">
        <is>
          <t>Lyrebird Plan Management</t>
        </is>
      </c>
      <c r="C1036" s="5" t="n">
        <v>46252</v>
      </c>
      <c r="D1036" t="inlineStr">
        <is>
          <t>INV/2026/02601</t>
        </is>
      </c>
      <c r="E1036" s="9" t="n">
        <v>242.49</v>
      </c>
      <c r="F1036" s="9" t="n">
        <v>242.49</v>
      </c>
      <c r="G1036" s="9">
        <f>ROUND(E1036-F1036,2)</f>
        <v>0</v>
      </c>
    </row>
    <row r="1037">
      <c r="A1037" t="inlineStr">
        <is>
          <t>RA45034</t>
        </is>
      </c>
      <c r="B1037" t="inlineStr">
        <is>
          <t>Lyrebird Plan Management</t>
        </is>
      </c>
      <c r="C1037" s="5" t="n">
        <v>46252</v>
      </c>
      <c r="D1037" t="inlineStr">
        <is>
          <t>INV/2026/02626</t>
        </is>
      </c>
      <c r="E1037" s="9" t="n">
        <v>203.69</v>
      </c>
      <c r="F1037" s="9" t="n">
        <v>203.69</v>
      </c>
      <c r="G1037" s="9">
        <f>ROUND(E1037-F1037,2)</f>
        <v>0</v>
      </c>
    </row>
    <row r="1038">
      <c r="A1038" t="inlineStr">
        <is>
          <t>RA45034</t>
        </is>
      </c>
      <c r="B1038" t="inlineStr">
        <is>
          <t>Lyrebird Plan Management</t>
        </is>
      </c>
      <c r="C1038" s="5" t="n">
        <v>46252</v>
      </c>
      <c r="D1038" t="inlineStr">
        <is>
          <t>INV/2026/02645</t>
        </is>
      </c>
      <c r="E1038" s="9" t="n">
        <v>126.99</v>
      </c>
      <c r="F1038" s="9" t="n">
        <v>126.99</v>
      </c>
      <c r="G1038" s="9">
        <f>ROUND(E1038-F1038,2)</f>
        <v>0</v>
      </c>
    </row>
    <row r="1039">
      <c r="A1039" t="inlineStr">
        <is>
          <t>RA45034</t>
        </is>
      </c>
      <c r="B1039" t="inlineStr">
        <is>
          <t>Lyrebird Plan Management</t>
        </is>
      </c>
      <c r="C1039" s="5" t="n">
        <v>46252</v>
      </c>
      <c r="D1039" t="inlineStr">
        <is>
          <t>INV/2026/02646</t>
        </is>
      </c>
      <c r="E1039" s="9" t="n">
        <v>320.98</v>
      </c>
      <c r="F1039" s="9" t="n">
        <v>320.98</v>
      </c>
      <c r="G1039" s="9">
        <f>ROUND(E1039-F1039,2)</f>
        <v>0</v>
      </c>
    </row>
    <row r="1040">
      <c r="A1040" t="inlineStr">
        <is>
          <t>RA45035</t>
        </is>
      </c>
      <c r="B1040" t="inlineStr">
        <is>
          <t>Tallowwood Plans</t>
        </is>
      </c>
      <c r="C1040" s="5" t="n">
        <v>46252</v>
      </c>
      <c r="D1040" t="inlineStr">
        <is>
          <t>INV/2026/02628</t>
        </is>
      </c>
      <c r="E1040" s="9" t="n">
        <v>145.49</v>
      </c>
      <c r="F1040" s="9" t="n">
        <v>145.49</v>
      </c>
      <c r="G1040" s="9">
        <f>ROUND(E1040-F1040,2)</f>
        <v>0</v>
      </c>
    </row>
    <row r="1041">
      <c r="A1041" t="inlineStr">
        <is>
          <t>RA45035</t>
        </is>
      </c>
      <c r="B1041" t="inlineStr">
        <is>
          <t>Tallowwood Plans</t>
        </is>
      </c>
      <c r="C1041" s="5" t="n">
        <v>46252</v>
      </c>
      <c r="D1041" t="inlineStr">
        <is>
          <t>INV/2026/02629</t>
        </is>
      </c>
      <c r="E1041" s="9" t="n">
        <v>290.98</v>
      </c>
      <c r="F1041" s="9" t="n">
        <v>290.98</v>
      </c>
      <c r="G1041" s="9">
        <f>ROUND(E1041-F1041,2)</f>
        <v>0</v>
      </c>
    </row>
    <row r="1042">
      <c r="A1042" t="inlineStr">
        <is>
          <t>RA45035</t>
        </is>
      </c>
      <c r="B1042" t="inlineStr">
        <is>
          <t>Tallowwood Plans</t>
        </is>
      </c>
      <c r="C1042" s="5" t="n">
        <v>46252</v>
      </c>
      <c r="D1042" t="inlineStr">
        <is>
          <t>INV/2026/02647</t>
        </is>
      </c>
      <c r="E1042" s="9" t="n">
        <v>193.99</v>
      </c>
      <c r="F1042" s="9" t="n">
        <v>193.99</v>
      </c>
      <c r="G1042" s="9">
        <f>ROUND(E1042-F1042,2)</f>
        <v>0</v>
      </c>
    </row>
    <row r="1043">
      <c r="A1043" t="inlineStr">
        <is>
          <t>RA45035</t>
        </is>
      </c>
      <c r="B1043" t="inlineStr">
        <is>
          <t>Tallowwood Plans</t>
        </is>
      </c>
      <c r="C1043" s="5" t="n">
        <v>46252</v>
      </c>
      <c r="D1043" t="inlineStr">
        <is>
          <t>INV/2026/02648</t>
        </is>
      </c>
      <c r="E1043" s="9" t="n">
        <v>193.99</v>
      </c>
      <c r="F1043" s="9" t="n">
        <v>193.99</v>
      </c>
      <c r="G1043" s="9">
        <f>ROUND(E1043-F1043,2)</f>
        <v>0</v>
      </c>
    </row>
    <row r="1044">
      <c r="A1044" t="inlineStr">
        <is>
          <t>RA45035</t>
        </is>
      </c>
      <c r="B1044" t="inlineStr">
        <is>
          <t>Tallowwood Plans</t>
        </is>
      </c>
      <c r="C1044" s="5" t="n">
        <v>46252</v>
      </c>
      <c r="D1044" t="inlineStr">
        <is>
          <t>INV/2026/02649</t>
        </is>
      </c>
      <c r="E1044" s="9" t="n">
        <v>145.49</v>
      </c>
      <c r="F1044" s="9" t="n">
        <v>145.49</v>
      </c>
      <c r="G1044" s="9">
        <f>ROUND(E1044-F1044,2)</f>
        <v>0</v>
      </c>
    </row>
    <row r="1045">
      <c r="A1045" t="inlineStr">
        <is>
          <t>RA45035</t>
        </is>
      </c>
      <c r="B1045" t="inlineStr">
        <is>
          <t>Tallowwood Plans</t>
        </is>
      </c>
      <c r="C1045" s="5" t="n">
        <v>46252</v>
      </c>
      <c r="D1045" t="inlineStr">
        <is>
          <t>INV/2026/02678</t>
        </is>
      </c>
      <c r="E1045" s="9" t="n">
        <v>145.49</v>
      </c>
      <c r="F1045" s="9" t="n">
        <v>145.49</v>
      </c>
      <c r="G1045" s="9">
        <f>ROUND(E1045-F1045,2)</f>
        <v>0</v>
      </c>
    </row>
    <row r="1046">
      <c r="A1046" t="inlineStr">
        <is>
          <t>RA45036</t>
        </is>
      </c>
      <c r="B1046" t="inlineStr">
        <is>
          <t>Acacia Plan Partners</t>
        </is>
      </c>
      <c r="C1046" s="5" t="n">
        <v>46252</v>
      </c>
      <c r="D1046" t="inlineStr">
        <is>
          <t>INV/2026/02576</t>
        </is>
      </c>
      <c r="E1046" s="9" t="n">
        <v>145.49</v>
      </c>
      <c r="F1046" s="9" t="n">
        <v>145.49</v>
      </c>
      <c r="G1046" s="9">
        <f>ROUND(E1046-F1046,2)</f>
        <v>0</v>
      </c>
    </row>
    <row r="1047">
      <c r="A1047" t="inlineStr">
        <is>
          <t>RA45036</t>
        </is>
      </c>
      <c r="B1047" t="inlineStr">
        <is>
          <t>Acacia Plan Partners</t>
        </is>
      </c>
      <c r="C1047" s="5" t="n">
        <v>46252</v>
      </c>
      <c r="D1047" t="inlineStr">
        <is>
          <t>INV/2026/02606</t>
        </is>
      </c>
      <c r="E1047" s="9" t="n">
        <v>446.18</v>
      </c>
      <c r="F1047" s="9" t="n">
        <v>446.18</v>
      </c>
      <c r="G1047" s="9">
        <f>ROUND(E1047-F1047,2)</f>
        <v>0</v>
      </c>
    </row>
    <row r="1048">
      <c r="A1048" t="inlineStr">
        <is>
          <t>RA45036</t>
        </is>
      </c>
      <c r="B1048" t="inlineStr">
        <is>
          <t>Acacia Plan Partners</t>
        </is>
      </c>
      <c r="C1048" s="5" t="n">
        <v>46252</v>
      </c>
      <c r="D1048" t="inlineStr">
        <is>
          <t>INV/2026/02650</t>
        </is>
      </c>
      <c r="E1048" s="9" t="n">
        <v>145.49</v>
      </c>
      <c r="F1048" s="9" t="n">
        <v>145.49</v>
      </c>
      <c r="G1048" s="9">
        <f>ROUND(E1048-F1048,2)</f>
        <v>0</v>
      </c>
    </row>
    <row r="1049">
      <c r="A1049" t="inlineStr">
        <is>
          <t>RA45037</t>
        </is>
      </c>
      <c r="B1049" t="inlineStr">
        <is>
          <t>Bluegum Plan Management</t>
        </is>
      </c>
      <c r="C1049" s="5" t="n">
        <v>46253</v>
      </c>
      <c r="D1049" t="inlineStr">
        <is>
          <t>INV/2026/02561</t>
        </is>
      </c>
      <c r="E1049" s="9" t="n">
        <v>96.98999999999999</v>
      </c>
      <c r="F1049" s="9" t="n">
        <v>96.98999999999999</v>
      </c>
      <c r="G1049" s="9">
        <f>ROUND(E1049-F1049,2)</f>
        <v>0</v>
      </c>
    </row>
    <row r="1050">
      <c r="A1050" t="inlineStr">
        <is>
          <t>RA45037</t>
        </is>
      </c>
      <c r="B1050" t="inlineStr">
        <is>
          <t>Bluegum Plan Management</t>
        </is>
      </c>
      <c r="C1050" s="5" t="n">
        <v>46253</v>
      </c>
      <c r="D1050" t="inlineStr">
        <is>
          <t>INV/2026/02562</t>
        </is>
      </c>
      <c r="E1050" s="9" t="n">
        <v>193.99</v>
      </c>
      <c r="F1050" s="9" t="n">
        <v>193.99</v>
      </c>
      <c r="G1050" s="9">
        <f>ROUND(E1050-F1050,2)</f>
        <v>0</v>
      </c>
    </row>
    <row r="1051">
      <c r="A1051" t="inlineStr">
        <is>
          <t>RA45037</t>
        </is>
      </c>
      <c r="B1051" t="inlineStr">
        <is>
          <t>Bluegum Plan Management</t>
        </is>
      </c>
      <c r="C1051" s="5" t="n">
        <v>46253</v>
      </c>
      <c r="D1051" t="inlineStr">
        <is>
          <t>INV/2026/02611</t>
        </is>
      </c>
      <c r="E1051" s="9" t="n">
        <v>417.98</v>
      </c>
      <c r="F1051" s="9" t="n">
        <v>417.98</v>
      </c>
      <c r="G1051" s="9">
        <f>ROUND(E1051-F1051,2)</f>
        <v>0</v>
      </c>
    </row>
    <row r="1052">
      <c r="A1052" t="inlineStr">
        <is>
          <t>RA45037</t>
        </is>
      </c>
      <c r="B1052" t="inlineStr">
        <is>
          <t>Bluegum Plan Management</t>
        </is>
      </c>
      <c r="C1052" s="5" t="n">
        <v>46253</v>
      </c>
      <c r="D1052" t="inlineStr">
        <is>
          <t>INV/2026/02658</t>
        </is>
      </c>
      <c r="E1052" s="9" t="n">
        <v>96.98999999999999</v>
      </c>
      <c r="F1052" s="9" t="n">
        <v>96.98999999999999</v>
      </c>
      <c r="G1052" s="9">
        <f>ROUND(E1052-F1052,2)</f>
        <v>0</v>
      </c>
    </row>
    <row r="1053">
      <c r="A1053" t="inlineStr">
        <is>
          <t>RA45038</t>
        </is>
      </c>
      <c r="B1053" t="inlineStr">
        <is>
          <t>Riverbend Plan Partners</t>
        </is>
      </c>
      <c r="C1053" s="5" t="n">
        <v>46253</v>
      </c>
      <c r="D1053" t="inlineStr">
        <is>
          <t>INV/2026/02582</t>
        </is>
      </c>
      <c r="E1053" s="9" t="n">
        <v>387.98</v>
      </c>
      <c r="F1053" s="9" t="n">
        <v>387.98</v>
      </c>
      <c r="G1053" s="9">
        <f>ROUND(E1053-F1053,2)</f>
        <v>0</v>
      </c>
    </row>
    <row r="1054">
      <c r="A1054" t="inlineStr">
        <is>
          <t>RA45038</t>
        </is>
      </c>
      <c r="B1054" t="inlineStr">
        <is>
          <t>Riverbend Plan Partners</t>
        </is>
      </c>
      <c r="C1054" s="5" t="n">
        <v>46253</v>
      </c>
      <c r="D1054" t="inlineStr">
        <is>
          <t>INV/2026/02660</t>
        </is>
      </c>
      <c r="E1054" s="9" t="n">
        <v>145.49</v>
      </c>
      <c r="F1054" s="9" t="n">
        <v>145.49</v>
      </c>
      <c r="G1054" s="9">
        <f>ROUND(E1054-F1054,2)</f>
        <v>0</v>
      </c>
    </row>
    <row r="1055">
      <c r="A1055" t="inlineStr">
        <is>
          <t>RA45038</t>
        </is>
      </c>
      <c r="B1055" t="inlineStr">
        <is>
          <t>Riverbend Plan Partners</t>
        </is>
      </c>
      <c r="C1055" s="5" t="n">
        <v>46253</v>
      </c>
      <c r="D1055" t="inlineStr">
        <is>
          <t>INV/2026/02661</t>
        </is>
      </c>
      <c r="E1055" s="9" t="n">
        <v>446.18</v>
      </c>
      <c r="F1055" s="9" t="n">
        <v>446.18</v>
      </c>
      <c r="G1055" s="9">
        <f>ROUND(E1055-F1055,2)</f>
        <v>0</v>
      </c>
    </row>
    <row r="1056">
      <c r="A1056" t="inlineStr">
        <is>
          <t>RA45039</t>
        </is>
      </c>
      <c r="B1056" t="inlineStr">
        <is>
          <t>Banksia Plan Co</t>
        </is>
      </c>
      <c r="C1056" s="5" t="n">
        <v>46253</v>
      </c>
      <c r="D1056" t="inlineStr">
        <is>
          <t>INV/2026/02566</t>
        </is>
      </c>
      <c r="E1056" s="9" t="n">
        <v>175.49</v>
      </c>
      <c r="F1056" s="9" t="n">
        <v>175.49</v>
      </c>
      <c r="G1056" s="9">
        <f>ROUND(E1056-F1056,2)</f>
        <v>0</v>
      </c>
    </row>
    <row r="1057">
      <c r="A1057" t="inlineStr">
        <is>
          <t>RA45039</t>
        </is>
      </c>
      <c r="B1057" t="inlineStr">
        <is>
          <t>Banksia Plan Co</t>
        </is>
      </c>
      <c r="C1057" s="5" t="n">
        <v>46253</v>
      </c>
      <c r="D1057" t="inlineStr">
        <is>
          <t>INV/2026/02589</t>
        </is>
      </c>
      <c r="E1057" s="9" t="n">
        <v>387.98</v>
      </c>
      <c r="F1057" s="9" t="n">
        <v>387.98</v>
      </c>
      <c r="G1057" s="9">
        <f>ROUND(E1057-F1057,2)</f>
        <v>0</v>
      </c>
    </row>
    <row r="1058">
      <c r="A1058" t="inlineStr">
        <is>
          <t>RA45039</t>
        </is>
      </c>
      <c r="B1058" t="inlineStr">
        <is>
          <t>Banksia Plan Co</t>
        </is>
      </c>
      <c r="C1058" s="5" t="n">
        <v>46253</v>
      </c>
      <c r="D1058" t="inlineStr">
        <is>
          <t>INV/2026/02615</t>
        </is>
      </c>
      <c r="E1058" s="9" t="n">
        <v>193.99</v>
      </c>
      <c r="F1058" s="9" t="n">
        <v>193.99</v>
      </c>
      <c r="G1058" s="9">
        <f>ROUND(E1058-F1058,2)</f>
        <v>0</v>
      </c>
    </row>
    <row r="1059">
      <c r="A1059" t="inlineStr">
        <is>
          <t>RA45039</t>
        </is>
      </c>
      <c r="B1059" t="inlineStr">
        <is>
          <t>Banksia Plan Co</t>
        </is>
      </c>
      <c r="C1059" s="5" t="n">
        <v>46253</v>
      </c>
      <c r="D1059" t="inlineStr">
        <is>
          <t>INV/2026/02616</t>
        </is>
      </c>
      <c r="E1059" s="9" t="n">
        <v>145.49</v>
      </c>
      <c r="F1059" s="9" t="n">
        <v>145.49</v>
      </c>
      <c r="G1059" s="9">
        <f>ROUND(E1059-F1059,2)</f>
        <v>0</v>
      </c>
    </row>
    <row r="1060">
      <c r="A1060" t="inlineStr">
        <is>
          <t>RA45039</t>
        </is>
      </c>
      <c r="B1060" t="inlineStr">
        <is>
          <t>Banksia Plan Co</t>
        </is>
      </c>
      <c r="C1060" s="5" t="n">
        <v>46253</v>
      </c>
      <c r="D1060" t="inlineStr">
        <is>
          <t>INV/2026/02638</t>
        </is>
      </c>
      <c r="E1060" s="9" t="n">
        <v>290.98</v>
      </c>
      <c r="F1060" s="9" t="n">
        <v>290.98</v>
      </c>
      <c r="G1060" s="9">
        <f>ROUND(E1060-F1060,2)</f>
        <v>0</v>
      </c>
    </row>
    <row r="1061">
      <c r="A1061" t="inlineStr">
        <is>
          <t>RA45039</t>
        </is>
      </c>
      <c r="B1061" t="inlineStr">
        <is>
          <t>Banksia Plan Co</t>
        </is>
      </c>
      <c r="C1061" s="5" t="n">
        <v>46253</v>
      </c>
      <c r="D1061" t="inlineStr">
        <is>
          <t>INV/2026/02667</t>
        </is>
      </c>
      <c r="E1061" s="9" t="n">
        <v>242.49</v>
      </c>
      <c r="F1061" s="9" t="n">
        <v>242.49</v>
      </c>
      <c r="G1061" s="9">
        <f>ROUND(E1061-F1061,2)</f>
        <v>0</v>
      </c>
    </row>
    <row r="1062">
      <c r="A1062" t="inlineStr">
        <is>
          <t>RA45039</t>
        </is>
      </c>
      <c r="B1062" t="inlineStr">
        <is>
          <t>Banksia Plan Co</t>
        </is>
      </c>
      <c r="C1062" s="5" t="n">
        <v>46253</v>
      </c>
      <c r="D1062" t="inlineStr">
        <is>
          <t>INV/2026/02668</t>
        </is>
      </c>
      <c r="E1062" s="9" t="n">
        <v>155.19</v>
      </c>
      <c r="F1062" s="9" t="n">
        <v>155.19</v>
      </c>
      <c r="G1062" s="9">
        <f>ROUND(E1062-F1062,2)</f>
        <v>0</v>
      </c>
    </row>
    <row r="1063">
      <c r="A1063" t="inlineStr">
        <is>
          <t>RA45039</t>
        </is>
      </c>
      <c r="B1063" t="inlineStr">
        <is>
          <t>Banksia Plan Co</t>
        </is>
      </c>
      <c r="C1063" s="5" t="n">
        <v>46253</v>
      </c>
      <c r="D1063" t="inlineStr">
        <is>
          <t>INV/2026/02669</t>
        </is>
      </c>
      <c r="E1063" s="9" t="n">
        <v>126.99</v>
      </c>
      <c r="F1063" s="9" t="n">
        <v>126.99</v>
      </c>
      <c r="G1063" s="9">
        <f>ROUND(E1063-F1063,2)</f>
        <v>0</v>
      </c>
    </row>
    <row r="1064">
      <c r="A1064" t="inlineStr">
        <is>
          <t>RA45040</t>
        </is>
      </c>
      <c r="B1064" t="inlineStr">
        <is>
          <t>Kookaburra Plan Support</t>
        </is>
      </c>
      <c r="C1064" s="5" t="n">
        <v>46253</v>
      </c>
      <c r="D1064" t="inlineStr">
        <is>
          <t>INV/2026/02548</t>
        </is>
      </c>
      <c r="E1064" s="9" t="n">
        <v>252.19</v>
      </c>
      <c r="F1064" s="9" t="n">
        <v>252.19</v>
      </c>
      <c r="G1064" s="9">
        <f>ROUND(E1064-F1064,2)</f>
        <v>0</v>
      </c>
    </row>
    <row r="1065">
      <c r="A1065" t="inlineStr">
        <is>
          <t>RA45040</t>
        </is>
      </c>
      <c r="B1065" t="inlineStr">
        <is>
          <t>Kookaburra Plan Support</t>
        </is>
      </c>
      <c r="C1065" s="5" t="n">
        <v>46253</v>
      </c>
      <c r="D1065" t="inlineStr">
        <is>
          <t>INV/2026/02567</t>
        </is>
      </c>
      <c r="E1065" s="9" t="n">
        <v>145.49</v>
      </c>
      <c r="F1065" s="9" t="n">
        <v>145.49</v>
      </c>
      <c r="G1065" s="9">
        <f>ROUND(E1065-F1065,2)</f>
        <v>0</v>
      </c>
    </row>
    <row r="1066">
      <c r="A1066" t="inlineStr">
        <is>
          <t>RA45040</t>
        </is>
      </c>
      <c r="B1066" t="inlineStr">
        <is>
          <t>Kookaburra Plan Support</t>
        </is>
      </c>
      <c r="C1066" s="5" t="n">
        <v>46253</v>
      </c>
      <c r="D1066" t="inlineStr">
        <is>
          <t>INV/2026/02593</t>
        </is>
      </c>
      <c r="E1066" s="9" t="n">
        <v>175.49</v>
      </c>
      <c r="F1066" s="9" t="n">
        <v>175.49</v>
      </c>
      <c r="G1066" s="9">
        <f>ROUND(E1066-F1066,2)</f>
        <v>0</v>
      </c>
    </row>
    <row r="1067">
      <c r="A1067" t="inlineStr">
        <is>
          <t>RA45041</t>
        </is>
      </c>
      <c r="B1067" t="inlineStr">
        <is>
          <t>Redgum Plan Admin</t>
        </is>
      </c>
      <c r="C1067" s="5" t="n">
        <v>46253</v>
      </c>
      <c r="D1067" t="inlineStr">
        <is>
          <t>INV/2026/02570</t>
        </is>
      </c>
      <c r="E1067" s="9" t="n">
        <v>96.98999999999999</v>
      </c>
      <c r="F1067" s="9" t="n">
        <v>96.98999999999999</v>
      </c>
      <c r="G1067" s="9">
        <f>ROUND(E1067-F1067,2)</f>
        <v>0</v>
      </c>
    </row>
    <row r="1068">
      <c r="A1068" t="inlineStr">
        <is>
          <t>RA45041</t>
        </is>
      </c>
      <c r="B1068" t="inlineStr">
        <is>
          <t>Redgum Plan Admin</t>
        </is>
      </c>
      <c r="C1068" s="5" t="n">
        <v>46253</v>
      </c>
      <c r="D1068" t="inlineStr">
        <is>
          <t>INV/2026/02596</t>
        </is>
      </c>
      <c r="E1068" s="9" t="n">
        <v>242.49</v>
      </c>
      <c r="F1068" s="9" t="n">
        <v>242.49</v>
      </c>
      <c r="G1068" s="9">
        <f>ROUND(E1068-F1068,2)</f>
        <v>0</v>
      </c>
    </row>
    <row r="1069">
      <c r="A1069" t="inlineStr">
        <is>
          <t>RA45041</t>
        </is>
      </c>
      <c r="B1069" t="inlineStr">
        <is>
          <t>Redgum Plan Admin</t>
        </is>
      </c>
      <c r="C1069" s="5" t="n">
        <v>46253</v>
      </c>
      <c r="D1069" t="inlineStr">
        <is>
          <t>INV/2026/02597</t>
        </is>
      </c>
      <c r="E1069" s="9" t="n">
        <v>193.99</v>
      </c>
      <c r="F1069" s="9" t="n">
        <v>193.99</v>
      </c>
      <c r="G1069" s="9">
        <f>ROUND(E1069-F1069,2)</f>
        <v>0</v>
      </c>
    </row>
    <row r="1070">
      <c r="A1070" t="inlineStr">
        <is>
          <t>RA45041</t>
        </is>
      </c>
      <c r="B1070" t="inlineStr">
        <is>
          <t>Redgum Plan Admin</t>
        </is>
      </c>
      <c r="C1070" s="5" t="n">
        <v>46253</v>
      </c>
      <c r="D1070" t="inlineStr">
        <is>
          <t>INV/2026/02621</t>
        </is>
      </c>
      <c r="E1070" s="9" t="n">
        <v>387.98</v>
      </c>
      <c r="F1070" s="9" t="n">
        <v>387.98</v>
      </c>
      <c r="G1070" s="9">
        <f>ROUND(E1070-F1070,2)</f>
        <v>0</v>
      </c>
    </row>
    <row r="1071">
      <c r="A1071" t="inlineStr">
        <is>
          <t>RA45041</t>
        </is>
      </c>
      <c r="B1071" t="inlineStr">
        <is>
          <t>Redgum Plan Admin</t>
        </is>
      </c>
      <c r="C1071" s="5" t="n">
        <v>46253</v>
      </c>
      <c r="D1071" t="inlineStr">
        <is>
          <t>INV/2026/02622</t>
        </is>
      </c>
      <c r="E1071" s="9" t="n">
        <v>252.19</v>
      </c>
      <c r="F1071" s="9" t="n">
        <v>252.19</v>
      </c>
      <c r="G1071" s="9">
        <f>ROUND(E1071-F1071,2)</f>
        <v>0</v>
      </c>
    </row>
    <row r="1072">
      <c r="A1072" t="inlineStr">
        <is>
          <t>RA45041</t>
        </is>
      </c>
      <c r="B1072" t="inlineStr">
        <is>
          <t>Redgum Plan Admin</t>
        </is>
      </c>
      <c r="C1072" s="5" t="n">
        <v>46253</v>
      </c>
      <c r="D1072" t="inlineStr">
        <is>
          <t>INV/2026/02674</t>
        </is>
      </c>
      <c r="E1072" s="9" t="n">
        <v>193.99</v>
      </c>
      <c r="F1072" s="9" t="n">
        <v>193.99</v>
      </c>
      <c r="G1072" s="9">
        <f>ROUND(E1072-F1072,2)</f>
        <v>0</v>
      </c>
    </row>
    <row r="1073">
      <c r="A1073" t="inlineStr">
        <is>
          <t>RA45041</t>
        </is>
      </c>
      <c r="B1073" t="inlineStr">
        <is>
          <t>Redgum Plan Admin</t>
        </is>
      </c>
      <c r="C1073" s="5" t="n">
        <v>46253</v>
      </c>
      <c r="D1073" t="inlineStr">
        <is>
          <t>INV/2026/02675</t>
        </is>
      </c>
      <c r="E1073" s="9" t="n">
        <v>387.98</v>
      </c>
      <c r="F1073" s="9" t="n">
        <v>387.98</v>
      </c>
      <c r="G1073" s="9">
        <f>ROUND(E1073-F1073,2)</f>
        <v>0</v>
      </c>
    </row>
    <row r="1074">
      <c r="A1074" t="inlineStr">
        <is>
          <t>RA45042</t>
        </is>
      </c>
      <c r="B1074" t="inlineStr">
        <is>
          <t>Mallee Plan Services</t>
        </is>
      </c>
      <c r="C1074" s="5" t="n">
        <v>46253</v>
      </c>
      <c r="D1074" t="inlineStr">
        <is>
          <t>INV/2026/02577</t>
        </is>
      </c>
      <c r="E1074" s="9" t="n">
        <v>446.18</v>
      </c>
      <c r="F1074" s="9" t="n">
        <v>446.18</v>
      </c>
      <c r="G1074" s="9">
        <f>ROUND(E1074-F1074,2)</f>
        <v>0</v>
      </c>
    </row>
    <row r="1075">
      <c r="A1075" t="inlineStr">
        <is>
          <t>RA45042</t>
        </is>
      </c>
      <c r="B1075" t="inlineStr">
        <is>
          <t>Mallee Plan Services</t>
        </is>
      </c>
      <c r="C1075" s="5" t="n">
        <v>46253</v>
      </c>
      <c r="D1075" t="inlineStr">
        <is>
          <t>INV/2026/02578</t>
        </is>
      </c>
      <c r="E1075" s="9" t="n">
        <v>175.49</v>
      </c>
      <c r="F1075" s="9" t="n">
        <v>175.49</v>
      </c>
      <c r="G1075" s="9">
        <f>ROUND(E1075-F1075,2)</f>
        <v>0</v>
      </c>
    </row>
    <row r="1076">
      <c r="A1076" t="inlineStr">
        <is>
          <t>RA45042</t>
        </is>
      </c>
      <c r="B1076" t="inlineStr">
        <is>
          <t>Mallee Plan Services</t>
        </is>
      </c>
      <c r="C1076" s="5" t="n">
        <v>46253</v>
      </c>
      <c r="D1076" t="inlineStr">
        <is>
          <t>INV/2026/02579</t>
        </is>
      </c>
      <c r="E1076" s="9" t="n">
        <v>242.49</v>
      </c>
      <c r="F1076" s="9" t="n">
        <v>242.49</v>
      </c>
      <c r="G1076" s="9">
        <f>ROUND(E1076-F1076,2)</f>
        <v>0</v>
      </c>
    </row>
    <row r="1077">
      <c r="A1077" t="inlineStr">
        <is>
          <t>RA45042</t>
        </is>
      </c>
      <c r="B1077" t="inlineStr">
        <is>
          <t>Mallee Plan Services</t>
        </is>
      </c>
      <c r="C1077" s="5" t="n">
        <v>46253</v>
      </c>
      <c r="D1077" t="inlineStr">
        <is>
          <t>INV/2026/02608</t>
        </is>
      </c>
      <c r="E1077" s="9" t="n">
        <v>387.98</v>
      </c>
      <c r="F1077" s="9" t="n">
        <v>387.98</v>
      </c>
      <c r="G1077" s="9">
        <f>ROUND(E1077-F1077,2)</f>
        <v>0</v>
      </c>
    </row>
    <row r="1078">
      <c r="A1078" t="inlineStr">
        <is>
          <t>RA45043</t>
        </is>
      </c>
      <c r="B1078" t="inlineStr">
        <is>
          <t>Riverbend Plan Partners</t>
        </is>
      </c>
      <c r="C1078" s="5" t="n">
        <v>46254</v>
      </c>
      <c r="D1078" t="inlineStr">
        <is>
          <t>INV/2026/02631</t>
        </is>
      </c>
      <c r="E1078" s="9" t="n">
        <v>175.49</v>
      </c>
      <c r="F1078" s="9" t="n">
        <v>175.49</v>
      </c>
      <c r="G1078" s="9">
        <f>ROUND(E1078-F1078,2)</f>
        <v>0</v>
      </c>
    </row>
    <row r="1079">
      <c r="A1079" t="inlineStr">
        <is>
          <t>RA45043</t>
        </is>
      </c>
      <c r="B1079" t="inlineStr">
        <is>
          <t>Riverbend Plan Partners</t>
        </is>
      </c>
      <c r="C1079" s="5" t="n">
        <v>46254</v>
      </c>
      <c r="D1079" t="inlineStr">
        <is>
          <t>INV/2026/02688</t>
        </is>
      </c>
      <c r="E1079" s="9" t="n">
        <v>252.19</v>
      </c>
      <c r="F1079" s="9" t="n">
        <v>252.19</v>
      </c>
      <c r="G1079" s="9">
        <f>ROUND(E1079-F1079,2)</f>
        <v>0</v>
      </c>
    </row>
    <row r="1080">
      <c r="A1080" t="inlineStr">
        <is>
          <t>RA45044</t>
        </is>
      </c>
      <c r="B1080" t="inlineStr">
        <is>
          <t>Ironbark Plan Management</t>
        </is>
      </c>
      <c r="C1080" s="5" t="n">
        <v>46254</v>
      </c>
      <c r="D1080" t="inlineStr">
        <is>
          <t>INV/2026/02520</t>
        </is>
      </c>
      <c r="E1080" s="9" t="n">
        <v>203.69</v>
      </c>
      <c r="F1080" s="9" t="n">
        <v>203.69</v>
      </c>
      <c r="G1080" s="9">
        <f>ROUND(E1080-F1080,2)</f>
        <v>0</v>
      </c>
    </row>
    <row r="1081">
      <c r="A1081" t="inlineStr">
        <is>
          <t>RA45044</t>
        </is>
      </c>
      <c r="B1081" t="inlineStr">
        <is>
          <t>Ironbark Plan Management</t>
        </is>
      </c>
      <c r="C1081" s="5" t="n">
        <v>46254</v>
      </c>
      <c r="D1081" t="inlineStr">
        <is>
          <t>INV/2026/02521</t>
        </is>
      </c>
      <c r="E1081" s="9" t="n">
        <v>223.99</v>
      </c>
      <c r="F1081" s="9" t="n">
        <v>223.99</v>
      </c>
      <c r="G1081" s="9">
        <f>ROUND(E1081-F1081,2)</f>
        <v>0</v>
      </c>
    </row>
    <row r="1082">
      <c r="A1082" t="inlineStr">
        <is>
          <t>RA45044</t>
        </is>
      </c>
      <c r="B1082" t="inlineStr">
        <is>
          <t>Ironbark Plan Management</t>
        </is>
      </c>
      <c r="C1082" s="5" t="n">
        <v>46254</v>
      </c>
      <c r="D1082" t="inlineStr">
        <is>
          <t>INV/2026/02545</t>
        </is>
      </c>
      <c r="E1082" s="9" t="n">
        <v>300.69</v>
      </c>
      <c r="F1082" s="9" t="n">
        <v>300.69</v>
      </c>
      <c r="G1082" s="9">
        <f>ROUND(E1082-F1082,2)</f>
        <v>0</v>
      </c>
    </row>
    <row r="1083">
      <c r="A1083" t="inlineStr">
        <is>
          <t>RA45044</t>
        </is>
      </c>
      <c r="B1083" t="inlineStr">
        <is>
          <t>Ironbark Plan Management</t>
        </is>
      </c>
      <c r="C1083" s="5" t="n">
        <v>46254</v>
      </c>
      <c r="D1083" t="inlineStr">
        <is>
          <t>INV/2026/02591</t>
        </is>
      </c>
      <c r="E1083" s="9" t="n">
        <v>193.99</v>
      </c>
      <c r="F1083" s="9" t="n">
        <v>193.99</v>
      </c>
      <c r="G1083" s="9">
        <f>ROUND(E1083-F1083,2)</f>
        <v>0</v>
      </c>
    </row>
    <row r="1084">
      <c r="A1084" t="inlineStr">
        <is>
          <t>RA45044</t>
        </is>
      </c>
      <c r="B1084" t="inlineStr">
        <is>
          <t>Ironbark Plan Management</t>
        </is>
      </c>
      <c r="C1084" s="5" t="n">
        <v>46254</v>
      </c>
      <c r="D1084" t="inlineStr">
        <is>
          <t>INV/2026/02592</t>
        </is>
      </c>
      <c r="E1084" s="9" t="n">
        <v>96.98999999999999</v>
      </c>
      <c r="F1084" s="9" t="n">
        <v>96.98999999999999</v>
      </c>
      <c r="G1084" s="9">
        <f>ROUND(E1084-F1084,2)</f>
        <v>0</v>
      </c>
    </row>
    <row r="1085">
      <c r="A1085" t="inlineStr">
        <is>
          <t>RA45044</t>
        </is>
      </c>
      <c r="B1085" t="inlineStr">
        <is>
          <t>Ironbark Plan Management</t>
        </is>
      </c>
      <c r="C1085" s="5" t="n">
        <v>46254</v>
      </c>
      <c r="D1085" t="inlineStr">
        <is>
          <t>INV/2026/02640</t>
        </is>
      </c>
      <c r="E1085" s="9" t="n">
        <v>417.98</v>
      </c>
      <c r="F1085" s="9" t="n">
        <v>417.98</v>
      </c>
      <c r="G1085" s="9">
        <f>ROUND(E1085-F1085,2)</f>
        <v>0</v>
      </c>
    </row>
    <row r="1086">
      <c r="A1086" t="inlineStr">
        <is>
          <t>RA45044</t>
        </is>
      </c>
      <c r="B1086" t="inlineStr">
        <is>
          <t>Ironbark Plan Management</t>
        </is>
      </c>
      <c r="C1086" s="5" t="n">
        <v>46254</v>
      </c>
      <c r="D1086" t="inlineStr">
        <is>
          <t>INV/2026/02671</t>
        </is>
      </c>
      <c r="E1086" s="9" t="n">
        <v>145.49</v>
      </c>
      <c r="F1086" s="9" t="n">
        <v>145.49</v>
      </c>
      <c r="G1086" s="9">
        <f>ROUND(E1086-F1086,2)</f>
        <v>0</v>
      </c>
    </row>
    <row r="1087">
      <c r="A1087" t="inlineStr">
        <is>
          <t>RA45045</t>
        </is>
      </c>
      <c r="B1087" t="inlineStr">
        <is>
          <t>Kookaburra Plan Support</t>
        </is>
      </c>
      <c r="C1087" s="5" t="n">
        <v>46254</v>
      </c>
      <c r="D1087" t="inlineStr">
        <is>
          <t>INV/2026/02594</t>
        </is>
      </c>
      <c r="E1087" s="9" t="n">
        <v>349.18</v>
      </c>
      <c r="F1087" s="9" t="n">
        <v>349.18</v>
      </c>
      <c r="G1087" s="9">
        <f>ROUND(E1087-F1087,2)</f>
        <v>0</v>
      </c>
    </row>
    <row r="1088">
      <c r="A1088" t="inlineStr">
        <is>
          <t>RA45045</t>
        </is>
      </c>
      <c r="B1088" t="inlineStr">
        <is>
          <t>Kookaburra Plan Support</t>
        </is>
      </c>
      <c r="C1088" s="5" t="n">
        <v>46254</v>
      </c>
      <c r="D1088" t="inlineStr">
        <is>
          <t>INV/2026/02617</t>
        </is>
      </c>
      <c r="E1088" s="9" t="n">
        <v>417.98</v>
      </c>
      <c r="F1088" s="9" t="n">
        <v>417.98</v>
      </c>
      <c r="G1088" s="9">
        <f>ROUND(E1088-F1088,2)</f>
        <v>0</v>
      </c>
    </row>
    <row r="1089">
      <c r="A1089" t="inlineStr">
        <is>
          <t>RA45045</t>
        </is>
      </c>
      <c r="B1089" t="inlineStr">
        <is>
          <t>Kookaburra Plan Support</t>
        </is>
      </c>
      <c r="C1089" s="5" t="n">
        <v>46254</v>
      </c>
      <c r="D1089" t="inlineStr">
        <is>
          <t>INV/2026/02618</t>
        </is>
      </c>
      <c r="E1089" s="9" t="n">
        <v>96.98999999999999</v>
      </c>
      <c r="F1089" s="9" t="n">
        <v>96.98999999999999</v>
      </c>
      <c r="G1089" s="9">
        <f>ROUND(E1089-F1089,2)</f>
        <v>0</v>
      </c>
    </row>
    <row r="1090">
      <c r="A1090" t="inlineStr">
        <is>
          <t>RA45046</t>
        </is>
      </c>
      <c r="B1090" t="inlineStr">
        <is>
          <t>Saltbush Plan Managers</t>
        </is>
      </c>
      <c r="C1090" s="5" t="n">
        <v>46254</v>
      </c>
      <c r="D1090" t="inlineStr">
        <is>
          <t>INV/2026/02619</t>
        </is>
      </c>
      <c r="E1090" s="9" t="n">
        <v>96.98999999999999</v>
      </c>
      <c r="F1090" s="9" t="n">
        <v>96.98999999999999</v>
      </c>
      <c r="G1090" s="9">
        <f>ROUND(E1090-F1090,2)</f>
        <v>0</v>
      </c>
    </row>
    <row r="1091">
      <c r="A1091" t="inlineStr">
        <is>
          <t>RA45046</t>
        </is>
      </c>
      <c r="B1091" t="inlineStr">
        <is>
          <t>Saltbush Plan Managers</t>
        </is>
      </c>
      <c r="C1091" s="5" t="n">
        <v>46254</v>
      </c>
      <c r="D1091" t="inlineStr">
        <is>
          <t>INV/2026/02643</t>
        </is>
      </c>
      <c r="E1091" s="9" t="n">
        <v>242.49</v>
      </c>
      <c r="F1091" s="9" t="n">
        <v>242.49</v>
      </c>
      <c r="G1091" s="9">
        <f>ROUND(E1091-F1091,2)</f>
        <v>0</v>
      </c>
    </row>
    <row r="1092">
      <c r="A1092" t="inlineStr">
        <is>
          <t>RA45046</t>
        </is>
      </c>
      <c r="B1092" t="inlineStr">
        <is>
          <t>Saltbush Plan Managers</t>
        </is>
      </c>
      <c r="C1092" s="5" t="n">
        <v>46254</v>
      </c>
      <c r="D1092" t="inlineStr">
        <is>
          <t>INV/2026/02672</t>
        </is>
      </c>
      <c r="E1092" s="9" t="n">
        <v>145.49</v>
      </c>
      <c r="F1092" s="9" t="n">
        <v>145.49</v>
      </c>
      <c r="G1092" s="9">
        <f>ROUND(E1092-F1092,2)</f>
        <v>0</v>
      </c>
    </row>
    <row r="1093">
      <c r="A1093" t="inlineStr">
        <is>
          <t>RA45046</t>
        </is>
      </c>
      <c r="B1093" t="inlineStr">
        <is>
          <t>Saltbush Plan Managers</t>
        </is>
      </c>
      <c r="C1093" s="5" t="n">
        <v>46254</v>
      </c>
      <c r="D1093" t="inlineStr">
        <is>
          <t>INV/2026/02697</t>
        </is>
      </c>
      <c r="E1093" s="9" t="n">
        <v>417.98</v>
      </c>
      <c r="F1093" s="9" t="n">
        <v>417.98</v>
      </c>
      <c r="G1093" s="9">
        <f>ROUND(E1093-F1093,2)</f>
        <v>0</v>
      </c>
    </row>
    <row r="1094">
      <c r="A1094" t="inlineStr">
        <is>
          <t>RA45046</t>
        </is>
      </c>
      <c r="B1094" t="inlineStr">
        <is>
          <t>Saltbush Plan Managers</t>
        </is>
      </c>
      <c r="C1094" s="5" t="n">
        <v>46254</v>
      </c>
      <c r="D1094" t="inlineStr">
        <is>
          <t>INV/2026/02698</t>
        </is>
      </c>
      <c r="E1094" s="9" t="n">
        <v>387.98</v>
      </c>
      <c r="F1094" s="9" t="n">
        <v>387.98</v>
      </c>
      <c r="G1094" s="9">
        <f>ROUND(E1094-F1094,2)</f>
        <v>0</v>
      </c>
    </row>
    <row r="1095">
      <c r="A1095" t="inlineStr">
        <is>
          <t>RA45047</t>
        </is>
      </c>
      <c r="B1095" t="inlineStr">
        <is>
          <t>Redgum Plan Admin</t>
        </is>
      </c>
      <c r="C1095" s="5" t="n">
        <v>46254</v>
      </c>
      <c r="D1095" t="inlineStr">
        <is>
          <t>INV/2026/02700</t>
        </is>
      </c>
      <c r="E1095" s="9" t="n">
        <v>175.49</v>
      </c>
      <c r="F1095" s="9" t="n">
        <v>175.49</v>
      </c>
      <c r="G1095" s="9">
        <f>ROUND(E1095-F1095,2)</f>
        <v>0</v>
      </c>
    </row>
    <row r="1096">
      <c r="A1096" t="inlineStr">
        <is>
          <t>RA45048</t>
        </is>
      </c>
      <c r="B1096" t="inlineStr">
        <is>
          <t>Tallowwood Plans</t>
        </is>
      </c>
      <c r="C1096" s="5" t="n">
        <v>46254</v>
      </c>
      <c r="D1096" t="inlineStr">
        <is>
          <t>INV/2026/02705</t>
        </is>
      </c>
      <c r="E1096" s="9" t="n">
        <v>387.98</v>
      </c>
      <c r="F1096" s="9" t="n">
        <v>387.98</v>
      </c>
      <c r="G1096" s="9">
        <f>ROUND(E1096-F1096,2)</f>
        <v>0</v>
      </c>
    </row>
    <row r="1097">
      <c r="A1097" t="inlineStr">
        <is>
          <t>RA45049</t>
        </is>
      </c>
      <c r="B1097" t="inlineStr">
        <is>
          <t>Acacia Plan Partners</t>
        </is>
      </c>
      <c r="C1097" s="5" t="n">
        <v>46254</v>
      </c>
      <c r="D1097" t="inlineStr">
        <is>
          <t>INV/2026/02605</t>
        </is>
      </c>
      <c r="E1097" s="9" t="n">
        <v>417.98</v>
      </c>
      <c r="F1097" s="9" t="n">
        <v>417.98</v>
      </c>
      <c r="G1097" s="9">
        <f>ROUND(E1097-F1097,2)</f>
        <v>0</v>
      </c>
    </row>
    <row r="1098">
      <c r="A1098" t="inlineStr">
        <is>
          <t>RA45049</t>
        </is>
      </c>
      <c r="B1098" t="inlineStr">
        <is>
          <t>Acacia Plan Partners</t>
        </is>
      </c>
      <c r="C1098" s="5" t="n">
        <v>46254</v>
      </c>
      <c r="D1098" t="inlineStr">
        <is>
          <t>INV/2026/02651</t>
        </is>
      </c>
      <c r="E1098" s="9" t="n">
        <v>290.98</v>
      </c>
      <c r="F1098" s="9" t="n">
        <v>290.98</v>
      </c>
      <c r="G1098" s="9">
        <f>ROUND(E1098-F1098,2)</f>
        <v>0</v>
      </c>
    </row>
    <row r="1099">
      <c r="A1099" t="inlineStr">
        <is>
          <t>RA45049</t>
        </is>
      </c>
      <c r="B1099" t="inlineStr">
        <is>
          <t>Acacia Plan Partners</t>
        </is>
      </c>
      <c r="C1099" s="5" t="n">
        <v>46254</v>
      </c>
      <c r="D1099" t="inlineStr">
        <is>
          <t>INV/2026/02652</t>
        </is>
      </c>
      <c r="E1099" s="9" t="n">
        <v>417.98</v>
      </c>
      <c r="F1099" s="9" t="n">
        <v>417.98</v>
      </c>
      <c r="G1099" s="9">
        <f>ROUND(E1099-F1099,2)</f>
        <v>0</v>
      </c>
    </row>
    <row r="1100">
      <c r="A1100" t="inlineStr">
        <is>
          <t>RA45049</t>
        </is>
      </c>
      <c r="B1100" t="inlineStr">
        <is>
          <t>Acacia Plan Partners</t>
        </is>
      </c>
      <c r="C1100" s="5" t="n">
        <v>46254</v>
      </c>
      <c r="D1100" t="inlineStr">
        <is>
          <t>INV/2026/02680</t>
        </is>
      </c>
      <c r="E1100" s="9" t="n">
        <v>203.69</v>
      </c>
      <c r="F1100" s="9" t="n">
        <v>203.69</v>
      </c>
      <c r="G1100" s="9">
        <f>ROUND(E1100-F1100,2)</f>
        <v>0</v>
      </c>
    </row>
    <row r="1101">
      <c r="A1101" t="inlineStr">
        <is>
          <t>RA45050</t>
        </is>
      </c>
      <c r="B1101" t="inlineStr">
        <is>
          <t>Clearpath NDIS Plans</t>
        </is>
      </c>
      <c r="C1101" s="5" t="n">
        <v>46255</v>
      </c>
      <c r="D1101" t="inlineStr">
        <is>
          <t>INV/2026/02540</t>
        </is>
      </c>
      <c r="E1101" s="9" t="n">
        <v>300.69</v>
      </c>
      <c r="F1101" s="9" t="n">
        <v>300.69</v>
      </c>
      <c r="G1101" s="9">
        <f>ROUND(E1101-F1101,2)</f>
        <v>0</v>
      </c>
    </row>
    <row r="1102">
      <c r="A1102" t="inlineStr">
        <is>
          <t>RA45050</t>
        </is>
      </c>
      <c r="B1102" t="inlineStr">
        <is>
          <t>Clearpath NDIS Plans</t>
        </is>
      </c>
      <c r="C1102" s="5" t="n">
        <v>46255</v>
      </c>
      <c r="D1102" t="inlineStr">
        <is>
          <t>INV/2026/02541</t>
        </is>
      </c>
      <c r="E1102" s="9" t="n">
        <v>349.18</v>
      </c>
      <c r="F1102" s="9" t="n">
        <v>349.18</v>
      </c>
      <c r="G1102" s="9">
        <f>ROUND(E1102-F1102,2)</f>
        <v>0</v>
      </c>
    </row>
    <row r="1103">
      <c r="A1103" t="inlineStr">
        <is>
          <t>RA45050</t>
        </is>
      </c>
      <c r="B1103" t="inlineStr">
        <is>
          <t>Clearpath NDIS Plans</t>
        </is>
      </c>
      <c r="C1103" s="5" t="n">
        <v>46255</v>
      </c>
      <c r="D1103" t="inlineStr">
        <is>
          <t>INV/2026/02565</t>
        </is>
      </c>
      <c r="E1103" s="9" t="n">
        <v>349.18</v>
      </c>
      <c r="F1103" s="9" t="n">
        <v>349.18</v>
      </c>
      <c r="G1103" s="9">
        <f>ROUND(E1103-F1103,2)</f>
        <v>0</v>
      </c>
    </row>
    <row r="1104">
      <c r="A1104" t="inlineStr">
        <is>
          <t>RA45050</t>
        </is>
      </c>
      <c r="B1104" t="inlineStr">
        <is>
          <t>Clearpath NDIS Plans</t>
        </is>
      </c>
      <c r="C1104" s="5" t="n">
        <v>46255</v>
      </c>
      <c r="D1104" t="inlineStr">
        <is>
          <t>INV/2026/02583</t>
        </is>
      </c>
      <c r="E1104" s="9" t="n">
        <v>96.98999999999999</v>
      </c>
      <c r="F1104" s="9" t="n">
        <v>96.98999999999999</v>
      </c>
      <c r="G1104" s="9">
        <f>ROUND(E1104-F1104,2)</f>
        <v>0</v>
      </c>
    </row>
    <row r="1105">
      <c r="A1105" t="inlineStr">
        <is>
          <t>RA45050</t>
        </is>
      </c>
      <c r="B1105" t="inlineStr">
        <is>
          <t>Clearpath NDIS Plans</t>
        </is>
      </c>
      <c r="C1105" s="5" t="n">
        <v>46255</v>
      </c>
      <c r="D1105" t="inlineStr">
        <is>
          <t>INV/2026/02584</t>
        </is>
      </c>
      <c r="E1105" s="9" t="n">
        <v>387.98</v>
      </c>
      <c r="F1105" s="9" t="n">
        <v>387.98</v>
      </c>
      <c r="G1105" s="9">
        <f>ROUND(E1105-F1105,2)</f>
        <v>0</v>
      </c>
    </row>
    <row r="1106">
      <c r="A1106" t="inlineStr">
        <is>
          <t>RA45050</t>
        </is>
      </c>
      <c r="B1106" t="inlineStr">
        <is>
          <t>Clearpath NDIS Plans</t>
        </is>
      </c>
      <c r="C1106" s="5" t="n">
        <v>46255</v>
      </c>
      <c r="D1106" t="inlineStr">
        <is>
          <t>INV/2026/02585</t>
        </is>
      </c>
      <c r="E1106" s="9" t="n">
        <v>387.98</v>
      </c>
      <c r="F1106" s="9" t="n">
        <v>387.98</v>
      </c>
      <c r="G1106" s="9">
        <f>ROUND(E1106-F1106,2)</f>
        <v>0</v>
      </c>
    </row>
    <row r="1107">
      <c r="A1107" t="inlineStr">
        <is>
          <t>RA45050</t>
        </is>
      </c>
      <c r="B1107" t="inlineStr">
        <is>
          <t>Clearpath NDIS Plans</t>
        </is>
      </c>
      <c r="C1107" s="5" t="n">
        <v>46255</v>
      </c>
      <c r="D1107" t="inlineStr">
        <is>
          <t>INV/2026/02632</t>
        </is>
      </c>
      <c r="E1107" s="9" t="n">
        <v>387.98</v>
      </c>
      <c r="F1107" s="9" t="n">
        <v>387.98</v>
      </c>
      <c r="G1107" s="9">
        <f>ROUND(E1107-F1107,2)</f>
        <v>0</v>
      </c>
    </row>
    <row r="1108">
      <c r="A1108" t="inlineStr">
        <is>
          <t>RA45050</t>
        </is>
      </c>
      <c r="B1108" t="inlineStr">
        <is>
          <t>Clearpath NDIS Plans</t>
        </is>
      </c>
      <c r="C1108" s="5" t="n">
        <v>46255</v>
      </c>
      <c r="D1108" t="inlineStr">
        <is>
          <t>INV/2026/02633</t>
        </is>
      </c>
      <c r="E1108" s="9" t="n">
        <v>96.98999999999999</v>
      </c>
      <c r="F1108" s="9" t="n">
        <v>96.98999999999999</v>
      </c>
      <c r="G1108" s="9">
        <f>ROUND(E1108-F1108,2)</f>
        <v>0</v>
      </c>
    </row>
    <row r="1109">
      <c r="A1109" t="inlineStr">
        <is>
          <t>RA45050</t>
        </is>
      </c>
      <c r="B1109" t="inlineStr">
        <is>
          <t>Clearpath NDIS Plans</t>
        </is>
      </c>
      <c r="C1109" s="5" t="n">
        <v>46255</v>
      </c>
      <c r="D1109" t="inlineStr">
        <is>
          <t>INV/2026/02634</t>
        </is>
      </c>
      <c r="E1109" s="9" t="n">
        <v>272.49</v>
      </c>
      <c r="F1109" s="9" t="n">
        <v>272.49</v>
      </c>
      <c r="G1109" s="9">
        <f>ROUND(E1109-F1109,2)</f>
        <v>0</v>
      </c>
    </row>
    <row r="1110">
      <c r="A1110" t="inlineStr">
        <is>
          <t>RA45050</t>
        </is>
      </c>
      <c r="B1110" t="inlineStr">
        <is>
          <t>Clearpath NDIS Plans</t>
        </is>
      </c>
      <c r="C1110" s="5" t="n">
        <v>46255</v>
      </c>
      <c r="D1110" t="inlineStr">
        <is>
          <t>INV/2026/02663</t>
        </is>
      </c>
      <c r="E1110" s="9" t="n">
        <v>387.98</v>
      </c>
      <c r="F1110" s="9" t="n">
        <v>387.98</v>
      </c>
      <c r="G1110" s="9">
        <f>ROUND(E1110-F1110,2)</f>
        <v>0</v>
      </c>
    </row>
    <row r="1111">
      <c r="A1111" t="inlineStr">
        <is>
          <t>RA45050</t>
        </is>
      </c>
      <c r="B1111" t="inlineStr">
        <is>
          <t>Clearpath NDIS Plans</t>
        </is>
      </c>
      <c r="C1111" s="5" t="n">
        <v>46255</v>
      </c>
      <c r="D1111" t="inlineStr">
        <is>
          <t>INV/2026/02689</t>
        </is>
      </c>
      <c r="E1111" s="9" t="n">
        <v>193.99</v>
      </c>
      <c r="F1111" s="9" t="n">
        <v>193.99</v>
      </c>
      <c r="G1111" s="9">
        <f>ROUND(E1111-F1111,2)</f>
        <v>0</v>
      </c>
    </row>
    <row r="1112">
      <c r="A1112" t="inlineStr">
        <is>
          <t>RA45051</t>
        </is>
      </c>
      <c r="B1112" t="inlineStr">
        <is>
          <t>Wattle Plan Services</t>
        </is>
      </c>
      <c r="C1112" s="5" t="n">
        <v>46255</v>
      </c>
      <c r="D1112" t="inlineStr">
        <is>
          <t>INV/2026/02586</t>
        </is>
      </c>
      <c r="E1112" s="9" t="n">
        <v>242.49</v>
      </c>
      <c r="F1112" s="9" t="n">
        <v>242.49</v>
      </c>
      <c r="G1112" s="9">
        <f>ROUND(E1112-F1112,2)</f>
        <v>0</v>
      </c>
    </row>
    <row r="1113">
      <c r="A1113" t="inlineStr">
        <is>
          <t>RA45051</t>
        </is>
      </c>
      <c r="B1113" t="inlineStr">
        <is>
          <t>Wattle Plan Services</t>
        </is>
      </c>
      <c r="C1113" s="5" t="n">
        <v>46255</v>
      </c>
      <c r="D1113" t="inlineStr">
        <is>
          <t>INV/2026/02636</t>
        </is>
      </c>
      <c r="E1113" s="9" t="n">
        <v>145.49</v>
      </c>
      <c r="F1113" s="9" t="n">
        <v>145.49</v>
      </c>
      <c r="G1113" s="9">
        <f>ROUND(E1113-F1113,2)</f>
        <v>0</v>
      </c>
    </row>
    <row r="1114">
      <c r="A1114" t="inlineStr">
        <is>
          <t>RA45052</t>
        </is>
      </c>
      <c r="B1114" t="inlineStr">
        <is>
          <t>Banksia Plan Co</t>
        </is>
      </c>
      <c r="C1114" s="5" t="n">
        <v>46255</v>
      </c>
      <c r="D1114" t="inlineStr">
        <is>
          <t>INV/2026/02693</t>
        </is>
      </c>
      <c r="E1114" s="9" t="n">
        <v>126.99</v>
      </c>
      <c r="F1114" s="9" t="n">
        <v>126.99</v>
      </c>
      <c r="G1114" s="9">
        <f>ROUND(E1114-F1114,2)</f>
        <v>0</v>
      </c>
    </row>
    <row r="1115">
      <c r="A1115" t="inlineStr">
        <is>
          <t>RA45053</t>
        </is>
      </c>
      <c r="B1115" t="inlineStr">
        <is>
          <t>Ironbark Plan Management</t>
        </is>
      </c>
      <c r="C1115" s="5" t="n">
        <v>46255</v>
      </c>
      <c r="D1115" t="inlineStr">
        <is>
          <t>INV/2026/02639</t>
        </is>
      </c>
      <c r="E1115" s="9" t="n">
        <v>145.49</v>
      </c>
      <c r="F1115" s="9" t="n">
        <v>145.49</v>
      </c>
      <c r="G1115" s="9">
        <f>ROUND(E1115-F1115,2)</f>
        <v>0</v>
      </c>
    </row>
    <row r="1116">
      <c r="A1116" t="inlineStr">
        <is>
          <t>RA45053</t>
        </is>
      </c>
      <c r="B1116" t="inlineStr">
        <is>
          <t>Ironbark Plan Management</t>
        </is>
      </c>
      <c r="C1116" s="5" t="n">
        <v>46255</v>
      </c>
      <c r="D1116" t="inlineStr">
        <is>
          <t>INV/2026/02670</t>
        </is>
      </c>
      <c r="E1116" s="9" t="n">
        <v>272.49</v>
      </c>
      <c r="F1116" s="9" t="n">
        <v>272.49</v>
      </c>
      <c r="G1116" s="9">
        <f>ROUND(E1116-F1116,2)</f>
        <v>0</v>
      </c>
    </row>
    <row r="1117">
      <c r="A1117" t="inlineStr">
        <is>
          <t>RA45053</t>
        </is>
      </c>
      <c r="B1117" t="inlineStr">
        <is>
          <t>Ironbark Plan Management</t>
        </is>
      </c>
      <c r="C1117" s="5" t="n">
        <v>46255</v>
      </c>
      <c r="D1117" t="inlineStr">
        <is>
          <t>INV/2026/02695</t>
        </is>
      </c>
      <c r="E1117" s="9" t="n">
        <v>145.49</v>
      </c>
      <c r="F1117" s="9" t="n">
        <v>145.49</v>
      </c>
      <c r="G1117" s="9">
        <f>ROUND(E1117-F1117,2)</f>
        <v>0</v>
      </c>
    </row>
    <row r="1118">
      <c r="A1118" t="inlineStr">
        <is>
          <t>RA45053</t>
        </is>
      </c>
      <c r="B1118" t="inlineStr">
        <is>
          <t>Ironbark Plan Management</t>
        </is>
      </c>
      <c r="C1118" s="5" t="n">
        <v>46255</v>
      </c>
      <c r="D1118" t="inlineStr">
        <is>
          <t>INV/2026/02720</t>
        </is>
      </c>
      <c r="E1118" s="9" t="n">
        <v>145.49</v>
      </c>
      <c r="F1118" s="9" t="n">
        <v>145.49</v>
      </c>
      <c r="G1118" s="9">
        <f>ROUND(E1118-F1118,2)</f>
        <v>0</v>
      </c>
    </row>
    <row r="1119">
      <c r="A1119" t="inlineStr">
        <is>
          <t>RA45054</t>
        </is>
      </c>
      <c r="B1119" t="inlineStr">
        <is>
          <t>Southern Cross Plan Mgmt</t>
        </is>
      </c>
      <c r="C1119" s="5" t="n">
        <v>46255</v>
      </c>
      <c r="D1119" t="inlineStr">
        <is>
          <t>INV/2026/01929</t>
        </is>
      </c>
      <c r="E1119" s="9" t="n">
        <v>320.98</v>
      </c>
      <c r="F1119" s="9" t="n">
        <v>320.98</v>
      </c>
      <c r="G1119" s="9">
        <f>ROUND(E1119-F1119,2)</f>
        <v>0</v>
      </c>
    </row>
    <row r="1120">
      <c r="A1120" t="inlineStr">
        <is>
          <t>RA45054</t>
        </is>
      </c>
      <c r="B1120" t="inlineStr">
        <is>
          <t>Southern Cross Plan Mgmt</t>
        </is>
      </c>
      <c r="C1120" s="5" t="n">
        <v>46255</v>
      </c>
      <c r="D1120" t="inlineStr">
        <is>
          <t>INV/2026/01930</t>
        </is>
      </c>
      <c r="E1120" s="9" t="n">
        <v>252.19</v>
      </c>
      <c r="F1120" s="9" t="n">
        <v>252.19</v>
      </c>
      <c r="G1120" s="9">
        <f>ROUND(E1120-F1120,2)</f>
        <v>0</v>
      </c>
    </row>
    <row r="1121">
      <c r="A1121" t="inlineStr">
        <is>
          <t>RA45054</t>
        </is>
      </c>
      <c r="B1121" t="inlineStr">
        <is>
          <t>Southern Cross Plan Mgmt</t>
        </is>
      </c>
      <c r="C1121" s="5" t="n">
        <v>46255</v>
      </c>
      <c r="D1121" t="inlineStr">
        <is>
          <t>INV/2026/01931</t>
        </is>
      </c>
      <c r="E1121" s="9" t="n">
        <v>193.99</v>
      </c>
      <c r="F1121" s="9" t="n">
        <v>193.99</v>
      </c>
      <c r="G1121" s="9">
        <f>ROUND(E1121-F1121,2)</f>
        <v>0</v>
      </c>
    </row>
    <row r="1122">
      <c r="A1122" t="inlineStr">
        <is>
          <t>RA45055</t>
        </is>
      </c>
      <c r="B1122" t="inlineStr">
        <is>
          <t>Mallee Plan Services</t>
        </is>
      </c>
      <c r="C1122" s="5" t="n">
        <v>46255</v>
      </c>
      <c r="D1122" t="inlineStr">
        <is>
          <t>INV/2026/02653</t>
        </is>
      </c>
      <c r="E1122" s="9" t="n">
        <v>96.98999999999999</v>
      </c>
      <c r="F1122" s="9" t="n">
        <v>96.98999999999999</v>
      </c>
      <c r="G1122" s="9">
        <f>ROUND(E1122-F1122,2)</f>
        <v>0</v>
      </c>
    </row>
    <row r="1123">
      <c r="A1123" t="inlineStr">
        <is>
          <t>RA45055</t>
        </is>
      </c>
      <c r="B1123" t="inlineStr">
        <is>
          <t>Mallee Plan Services</t>
        </is>
      </c>
      <c r="C1123" s="5" t="n">
        <v>46255</v>
      </c>
      <c r="D1123" t="inlineStr">
        <is>
          <t>INV/2026/02683</t>
        </is>
      </c>
      <c r="E1123" s="9" t="n">
        <v>126.99</v>
      </c>
      <c r="F1123" s="9" t="n">
        <v>126.99</v>
      </c>
      <c r="G1123" s="9">
        <f>ROUND(E1123-F1123,2)</f>
        <v>0</v>
      </c>
    </row>
    <row r="1124">
      <c r="A1124" t="inlineStr">
        <is>
          <t>RA45055</t>
        </is>
      </c>
      <c r="B1124" t="inlineStr">
        <is>
          <t>Mallee Plan Services</t>
        </is>
      </c>
      <c r="C1124" s="5" t="n">
        <v>46255</v>
      </c>
      <c r="D1124" t="inlineStr">
        <is>
          <t>INV/2026/02732</t>
        </is>
      </c>
      <c r="E1124" s="9" t="n">
        <v>145.49</v>
      </c>
      <c r="F1124" s="9" t="n">
        <v>145.49</v>
      </c>
      <c r="G1124" s="9">
        <f>ROUND(E1124-F1124,2)</f>
        <v>0</v>
      </c>
    </row>
    <row r="1125">
      <c r="A1125" t="inlineStr">
        <is>
          <t>RA45055</t>
        </is>
      </c>
      <c r="B1125" t="inlineStr">
        <is>
          <t>Mallee Plan Services</t>
        </is>
      </c>
      <c r="C1125" s="5" t="n">
        <v>46255</v>
      </c>
      <c r="D1125" t="inlineStr">
        <is>
          <t>INV/2026/02733</t>
        </is>
      </c>
      <c r="E1125" s="9" t="n">
        <v>145.49</v>
      </c>
      <c r="F1125" s="9" t="n">
        <v>145.49</v>
      </c>
      <c r="G1125" s="9">
        <f>ROUND(E1125-F1125,2)</f>
        <v>0</v>
      </c>
    </row>
    <row r="1126">
      <c r="A1126" t="inlineStr">
        <is>
          <t>RA45056</t>
        </is>
      </c>
      <c r="B1126" t="inlineStr">
        <is>
          <t>Bluegum Plan Management</t>
        </is>
      </c>
      <c r="C1126" s="5" t="n">
        <v>46258</v>
      </c>
      <c r="D1126" t="inlineStr">
        <is>
          <t>INV/2026/02630</t>
        </is>
      </c>
      <c r="E1126" s="9" t="n">
        <v>155.19</v>
      </c>
      <c r="F1126" s="9" t="n">
        <v>155.19</v>
      </c>
      <c r="G1126" s="9">
        <f>ROUND(E1126-F1126,2)</f>
        <v>0</v>
      </c>
    </row>
    <row r="1127">
      <c r="A1127" t="inlineStr">
        <is>
          <t>RA45056</t>
        </is>
      </c>
      <c r="B1127" t="inlineStr">
        <is>
          <t>Bluegum Plan Management</t>
        </is>
      </c>
      <c r="C1127" s="5" t="n">
        <v>46258</v>
      </c>
      <c r="D1127" t="inlineStr">
        <is>
          <t>INV/2026/02659</t>
        </is>
      </c>
      <c r="E1127" s="9" t="n">
        <v>145.49</v>
      </c>
      <c r="F1127" s="9" t="n">
        <v>145.49</v>
      </c>
      <c r="G1127" s="9">
        <f>ROUND(E1127-F1127,2)</f>
        <v>0</v>
      </c>
    </row>
    <row r="1128">
      <c r="A1128" t="inlineStr">
        <is>
          <t>RA45057</t>
        </is>
      </c>
      <c r="B1128" t="inlineStr">
        <is>
          <t>Riverbend Plan Partners</t>
        </is>
      </c>
      <c r="C1128" s="5" t="n">
        <v>46258</v>
      </c>
      <c r="D1128" t="inlineStr">
        <is>
          <t>INV/2026/02714</t>
        </is>
      </c>
      <c r="E1128" s="9" t="n">
        <v>349.18</v>
      </c>
      <c r="F1128" s="9" t="n">
        <v>349.18</v>
      </c>
      <c r="G1128" s="9">
        <f>ROUND(E1128-F1128,2)</f>
        <v>0</v>
      </c>
    </row>
    <row r="1129">
      <c r="A1129" t="inlineStr">
        <is>
          <t>RA45057</t>
        </is>
      </c>
      <c r="B1129" t="inlineStr">
        <is>
          <t>Riverbend Plan Partners</t>
        </is>
      </c>
      <c r="C1129" s="5" t="n">
        <v>46258</v>
      </c>
      <c r="D1129" t="inlineStr">
        <is>
          <t>INV/2026/02715</t>
        </is>
      </c>
      <c r="E1129" s="9" t="n">
        <v>252.19</v>
      </c>
      <c r="F1129" s="9" t="n">
        <v>252.19</v>
      </c>
      <c r="G1129" s="9">
        <f>ROUND(E1129-F1129,2)</f>
        <v>0</v>
      </c>
    </row>
    <row r="1130">
      <c r="A1130" t="inlineStr">
        <is>
          <t>RA45057</t>
        </is>
      </c>
      <c r="B1130" t="inlineStr">
        <is>
          <t>Riverbend Plan Partners</t>
        </is>
      </c>
      <c r="C1130" s="5" t="n">
        <v>46258</v>
      </c>
      <c r="D1130" t="inlineStr">
        <is>
          <t>INV/2026/02755</t>
        </is>
      </c>
      <c r="E1130" s="9" t="n">
        <v>417.98</v>
      </c>
      <c r="F1130" s="9" t="n">
        <v>417.98</v>
      </c>
      <c r="G1130" s="9">
        <f>ROUND(E1130-F1130,2)</f>
        <v>0</v>
      </c>
    </row>
    <row r="1131">
      <c r="A1131" t="inlineStr">
        <is>
          <t>RA45058</t>
        </is>
      </c>
      <c r="B1131" t="inlineStr">
        <is>
          <t>Banksia Plan Co</t>
        </is>
      </c>
      <c r="C1131" s="5" t="n">
        <v>46258</v>
      </c>
      <c r="D1131" t="inlineStr">
        <is>
          <t>INV/2026/02762</t>
        </is>
      </c>
      <c r="E1131" s="9" t="n">
        <v>290.98</v>
      </c>
      <c r="F1131" s="9" t="n">
        <v>290.98</v>
      </c>
      <c r="G1131" s="9">
        <f>ROUND(E1131-F1131,2)</f>
        <v>0</v>
      </c>
    </row>
    <row r="1132">
      <c r="A1132" t="inlineStr">
        <is>
          <t>RA45058</t>
        </is>
      </c>
      <c r="B1132" t="inlineStr">
        <is>
          <t>Banksia Plan Co</t>
        </is>
      </c>
      <c r="C1132" s="5" t="n">
        <v>46258</v>
      </c>
      <c r="D1132" t="inlineStr">
        <is>
          <t>INV/2026/02763</t>
        </is>
      </c>
      <c r="E1132" s="9" t="n">
        <v>387.98</v>
      </c>
      <c r="F1132" s="9" t="n">
        <v>387.98</v>
      </c>
      <c r="G1132" s="9">
        <f>ROUND(E1132-F1132,2)</f>
        <v>0</v>
      </c>
    </row>
    <row r="1133">
      <c r="A1133" t="inlineStr">
        <is>
          <t>RA45059</t>
        </is>
      </c>
      <c r="B1133" t="inlineStr">
        <is>
          <t>Saltbush Plan Managers</t>
        </is>
      </c>
      <c r="C1133" s="5" t="n">
        <v>46258</v>
      </c>
      <c r="D1133" t="inlineStr">
        <is>
          <t>INV/2026/02673</t>
        </is>
      </c>
      <c r="E1133" s="9" t="n">
        <v>96.98999999999999</v>
      </c>
      <c r="F1133" s="9" t="n">
        <v>96.98999999999999</v>
      </c>
      <c r="G1133" s="9">
        <f>ROUND(E1133-F1133,2)</f>
        <v>0</v>
      </c>
    </row>
    <row r="1134">
      <c r="A1134" t="inlineStr">
        <is>
          <t>RA45059</t>
        </is>
      </c>
      <c r="B1134" t="inlineStr">
        <is>
          <t>Saltbush Plan Managers</t>
        </is>
      </c>
      <c r="C1134" s="5" t="n">
        <v>46258</v>
      </c>
      <c r="D1134" t="inlineStr">
        <is>
          <t>INV/2026/02723</t>
        </is>
      </c>
      <c r="E1134" s="9" t="n">
        <v>223.99</v>
      </c>
      <c r="F1134" s="9" t="n">
        <v>223.99</v>
      </c>
      <c r="G1134" s="9">
        <f>ROUND(E1134-F1134,2)</f>
        <v>0</v>
      </c>
    </row>
    <row r="1135">
      <c r="A1135" t="inlineStr">
        <is>
          <t>RA45059</t>
        </is>
      </c>
      <c r="B1135" t="inlineStr">
        <is>
          <t>Saltbush Plan Managers</t>
        </is>
      </c>
      <c r="C1135" s="5" t="n">
        <v>46258</v>
      </c>
      <c r="D1135" t="inlineStr">
        <is>
          <t>INV/2026/02724</t>
        </is>
      </c>
      <c r="E1135" s="9" t="n">
        <v>290.98</v>
      </c>
      <c r="F1135" s="9" t="n">
        <v>290.98</v>
      </c>
      <c r="G1135" s="9">
        <f>ROUND(E1135-F1135,2)</f>
        <v>0</v>
      </c>
    </row>
    <row r="1136">
      <c r="A1136" t="inlineStr">
        <is>
          <t>RA45060</t>
        </is>
      </c>
      <c r="B1136" t="inlineStr">
        <is>
          <t>Redgum Plan Admin</t>
        </is>
      </c>
      <c r="C1136" s="5" t="n">
        <v>46258</v>
      </c>
      <c r="D1136" t="inlineStr">
        <is>
          <t>INV/2026/02725</t>
        </is>
      </c>
      <c r="E1136" s="9" t="n">
        <v>290.98</v>
      </c>
      <c r="F1136" s="9" t="n">
        <v>290.98</v>
      </c>
      <c r="G1136" s="9">
        <f>ROUND(E1136-F1136,2)</f>
        <v>0</v>
      </c>
    </row>
    <row r="1137">
      <c r="A1137" t="inlineStr">
        <is>
          <t>RA45060</t>
        </is>
      </c>
      <c r="B1137" t="inlineStr">
        <is>
          <t>Redgum Plan Admin</t>
        </is>
      </c>
      <c r="C1137" s="5" t="n">
        <v>46258</v>
      </c>
      <c r="D1137" t="inlineStr">
        <is>
          <t>INV/2026/02744</t>
        </is>
      </c>
      <c r="E1137" s="9" t="n">
        <v>203.69</v>
      </c>
      <c r="F1137" s="9" t="n">
        <v>203.69</v>
      </c>
      <c r="G1137" s="9">
        <f>ROUND(E1137-F1137,2)</f>
        <v>0</v>
      </c>
    </row>
    <row r="1138">
      <c r="A1138" t="inlineStr">
        <is>
          <t>RA45061</t>
        </is>
      </c>
      <c r="B1138" t="inlineStr">
        <is>
          <t>Southern Cross Plan Mgmt</t>
        </is>
      </c>
      <c r="C1138" s="5" t="n">
        <v>46258</v>
      </c>
      <c r="D1138" t="inlineStr">
        <is>
          <t>INV/2026/01958</t>
        </is>
      </c>
      <c r="E1138" s="9" t="n">
        <v>242.49</v>
      </c>
      <c r="F1138" s="9" t="n">
        <v>242.49</v>
      </c>
      <c r="G1138" s="9">
        <f>ROUND(E1138-F1138,2)</f>
        <v>0</v>
      </c>
    </row>
    <row r="1139">
      <c r="A1139" t="inlineStr">
        <is>
          <t>RA45061</t>
        </is>
      </c>
      <c r="B1139" t="inlineStr">
        <is>
          <t>Southern Cross Plan Mgmt</t>
        </is>
      </c>
      <c r="C1139" s="5" t="n">
        <v>46258</v>
      </c>
      <c r="D1139" t="inlineStr">
        <is>
          <t>INV/2026/01959</t>
        </is>
      </c>
      <c r="E1139" s="9" t="n">
        <v>417.98</v>
      </c>
      <c r="F1139" s="9" t="n">
        <v>417.98</v>
      </c>
      <c r="G1139" s="9">
        <f>ROUND(E1139-F1139,2)</f>
        <v>0</v>
      </c>
    </row>
    <row r="1140">
      <c r="A1140" t="inlineStr">
        <is>
          <t>RA45061</t>
        </is>
      </c>
      <c r="B1140" t="inlineStr">
        <is>
          <t>Southern Cross Plan Mgmt</t>
        </is>
      </c>
      <c r="C1140" s="5" t="n">
        <v>46258</v>
      </c>
      <c r="D1140" t="inlineStr">
        <is>
          <t>INV/2026/01984</t>
        </is>
      </c>
      <c r="E1140" s="9" t="n">
        <v>252.19</v>
      </c>
      <c r="F1140" s="9" t="n">
        <v>252.19</v>
      </c>
      <c r="G1140" s="9">
        <f>ROUND(E1140-F1140,2)</f>
        <v>0</v>
      </c>
    </row>
    <row r="1141">
      <c r="A1141" t="inlineStr">
        <is>
          <t>RA45061</t>
        </is>
      </c>
      <c r="B1141" t="inlineStr">
        <is>
          <t>Southern Cross Plan Mgmt</t>
        </is>
      </c>
      <c r="C1141" s="5" t="n">
        <v>46258</v>
      </c>
      <c r="D1141" t="inlineStr">
        <is>
          <t>INV/2026/01985</t>
        </is>
      </c>
      <c r="E1141" s="9" t="n">
        <v>242.49</v>
      </c>
      <c r="F1141" s="9" t="n">
        <v>242.49</v>
      </c>
      <c r="G1141" s="9">
        <f>ROUND(E1141-F1141,2)</f>
        <v>0</v>
      </c>
    </row>
    <row r="1142">
      <c r="A1142" t="inlineStr">
        <is>
          <t>RA45061</t>
        </is>
      </c>
      <c r="B1142" t="inlineStr">
        <is>
          <t>Southern Cross Plan Mgmt</t>
        </is>
      </c>
      <c r="C1142" s="5" t="n">
        <v>46258</v>
      </c>
      <c r="D1142" t="inlineStr">
        <is>
          <t>INV/2026/02007</t>
        </is>
      </c>
      <c r="E1142" s="9" t="n">
        <v>300.69</v>
      </c>
      <c r="F1142" s="9" t="n">
        <v>300.69</v>
      </c>
      <c r="G1142" s="9">
        <f>ROUND(E1142-F1142,2)</f>
        <v>0</v>
      </c>
    </row>
    <row r="1143">
      <c r="A1143" t="inlineStr">
        <is>
          <t>RA45061</t>
        </is>
      </c>
      <c r="B1143" t="inlineStr">
        <is>
          <t>Southern Cross Plan Mgmt</t>
        </is>
      </c>
      <c r="C1143" s="5" t="n">
        <v>46258</v>
      </c>
      <c r="D1143" t="inlineStr">
        <is>
          <t>INV/2026/02008</t>
        </is>
      </c>
      <c r="E1143" s="9" t="n">
        <v>387.98</v>
      </c>
      <c r="F1143" s="9" t="n">
        <v>387.98</v>
      </c>
      <c r="G1143" s="9">
        <f>ROUND(E1143-F1143,2)</f>
        <v>0</v>
      </c>
    </row>
    <row r="1144">
      <c r="A1144" t="inlineStr">
        <is>
          <t>RA45061</t>
        </is>
      </c>
      <c r="B1144" t="inlineStr">
        <is>
          <t>Southern Cross Plan Mgmt</t>
        </is>
      </c>
      <c r="C1144" s="5" t="n">
        <v>46258</v>
      </c>
      <c r="D1144" t="inlineStr">
        <is>
          <t>INV/2026/02009</t>
        </is>
      </c>
      <c r="E1144" s="9" t="n">
        <v>349.18</v>
      </c>
      <c r="F1144" s="9" t="n">
        <v>349.18</v>
      </c>
      <c r="G1144" s="9">
        <f>ROUND(E1144-F1144,2)</f>
        <v>0</v>
      </c>
    </row>
    <row r="1145">
      <c r="A1145" t="inlineStr">
        <is>
          <t>RA45061</t>
        </is>
      </c>
      <c r="B1145" t="inlineStr">
        <is>
          <t>Southern Cross Plan Mgmt</t>
        </is>
      </c>
      <c r="C1145" s="5" t="n">
        <v>46258</v>
      </c>
      <c r="D1145" t="inlineStr">
        <is>
          <t>INV/2026/02052</t>
        </is>
      </c>
      <c r="E1145" s="9" t="n">
        <v>387.98</v>
      </c>
      <c r="F1145" s="9" t="n">
        <v>387.98</v>
      </c>
      <c r="G1145" s="9">
        <f>ROUND(E1145-F1145,2)</f>
        <v>0</v>
      </c>
    </row>
    <row r="1146">
      <c r="A1146" t="inlineStr">
        <is>
          <t>RA45062</t>
        </is>
      </c>
      <c r="B1146" t="inlineStr">
        <is>
          <t>Mallee Plan Services</t>
        </is>
      </c>
      <c r="C1146" s="5" t="n">
        <v>46258</v>
      </c>
      <c r="D1146" t="inlineStr">
        <is>
          <t>INV/2026/02682</t>
        </is>
      </c>
      <c r="E1146" s="9" t="n">
        <v>300.69</v>
      </c>
      <c r="F1146" s="9" t="n">
        <v>300.69</v>
      </c>
      <c r="G1146" s="9">
        <f>ROUND(E1146-F1146,2)</f>
        <v>0</v>
      </c>
    </row>
    <row r="1147">
      <c r="A1147" t="inlineStr">
        <is>
          <t>RA45062</t>
        </is>
      </c>
      <c r="B1147" t="inlineStr">
        <is>
          <t>Mallee Plan Services</t>
        </is>
      </c>
      <c r="C1147" s="5" t="n">
        <v>46258</v>
      </c>
      <c r="D1147" t="inlineStr">
        <is>
          <t>INV/2026/02707</t>
        </is>
      </c>
      <c r="E1147" s="9" t="n">
        <v>242.49</v>
      </c>
      <c r="F1147" s="9" t="n">
        <v>242.49</v>
      </c>
      <c r="G1147" s="9">
        <f>ROUND(E1147-F1147,2)</f>
        <v>0</v>
      </c>
    </row>
    <row r="1148">
      <c r="A1148" t="inlineStr">
        <is>
          <t>RA45062</t>
        </is>
      </c>
      <c r="B1148" t="inlineStr">
        <is>
          <t>Mallee Plan Services</t>
        </is>
      </c>
      <c r="C1148" s="5" t="n">
        <v>46258</v>
      </c>
      <c r="D1148" t="inlineStr">
        <is>
          <t>INV/2026/02751</t>
        </is>
      </c>
      <c r="E1148" s="9" t="n">
        <v>193.99</v>
      </c>
      <c r="F1148" s="9" t="n">
        <v>193.99</v>
      </c>
      <c r="G1148" s="9">
        <f>ROUND(E1148-F1148,2)</f>
        <v>0</v>
      </c>
    </row>
    <row r="1149">
      <c r="A1149" t="inlineStr">
        <is>
          <t>RA45063</t>
        </is>
      </c>
      <c r="B1149" t="inlineStr">
        <is>
          <t>Clearpath NDIS Plans</t>
        </is>
      </c>
      <c r="C1149" s="5" t="n">
        <v>46259</v>
      </c>
      <c r="D1149" t="inlineStr">
        <is>
          <t>INV/2026/02662</t>
        </is>
      </c>
      <c r="E1149" s="9" t="n">
        <v>272.49</v>
      </c>
      <c r="F1149" s="9" t="n">
        <v>272.49</v>
      </c>
      <c r="G1149" s="9">
        <f>ROUND(E1149-F1149,2)</f>
        <v>0</v>
      </c>
    </row>
    <row r="1150">
      <c r="A1150" t="inlineStr">
        <is>
          <t>RA45063</t>
        </is>
      </c>
      <c r="B1150" t="inlineStr">
        <is>
          <t>Clearpath NDIS Plans</t>
        </is>
      </c>
      <c r="C1150" s="5" t="n">
        <v>46259</v>
      </c>
      <c r="D1150" t="inlineStr">
        <is>
          <t>INV/2026/02664</t>
        </is>
      </c>
      <c r="E1150" s="9" t="n">
        <v>252.19</v>
      </c>
      <c r="F1150" s="9" t="n">
        <v>252.19</v>
      </c>
      <c r="G1150" s="9">
        <f>ROUND(E1150-F1150,2)</f>
        <v>0</v>
      </c>
    </row>
    <row r="1151">
      <c r="A1151" t="inlineStr">
        <is>
          <t>RA45063</t>
        </is>
      </c>
      <c r="B1151" t="inlineStr">
        <is>
          <t>Clearpath NDIS Plans</t>
        </is>
      </c>
      <c r="C1151" s="5" t="n">
        <v>46259</v>
      </c>
      <c r="D1151" t="inlineStr">
        <is>
          <t>INV/2026/02690</t>
        </is>
      </c>
      <c r="E1151" s="9" t="n">
        <v>252.19</v>
      </c>
      <c r="F1151" s="9" t="n">
        <v>252.19</v>
      </c>
      <c r="G1151" s="9">
        <f>ROUND(E1151-F1151,2)</f>
        <v>0</v>
      </c>
    </row>
    <row r="1152">
      <c r="A1152" t="inlineStr">
        <is>
          <t>RA45063</t>
        </is>
      </c>
      <c r="B1152" t="inlineStr">
        <is>
          <t>Clearpath NDIS Plans</t>
        </is>
      </c>
      <c r="C1152" s="5" t="n">
        <v>46259</v>
      </c>
      <c r="D1152" t="inlineStr">
        <is>
          <t>INV/2026/02716</t>
        </is>
      </c>
      <c r="E1152" s="9" t="n">
        <v>242.49</v>
      </c>
      <c r="F1152" s="9" t="n">
        <v>242.49</v>
      </c>
      <c r="G1152" s="9">
        <f>ROUND(E1152-F1152,2)</f>
        <v>0</v>
      </c>
    </row>
    <row r="1153">
      <c r="A1153" t="inlineStr">
        <is>
          <t>RA45063</t>
        </is>
      </c>
      <c r="B1153" t="inlineStr">
        <is>
          <t>Clearpath NDIS Plans</t>
        </is>
      </c>
      <c r="C1153" s="5" t="n">
        <v>46259</v>
      </c>
      <c r="D1153" t="inlineStr">
        <is>
          <t>INV/2026/02717</t>
        </is>
      </c>
      <c r="E1153" s="9" t="n">
        <v>145.49</v>
      </c>
      <c r="F1153" s="9" t="n">
        <v>145.49</v>
      </c>
      <c r="G1153" s="9">
        <f>ROUND(E1153-F1153,2)</f>
        <v>0</v>
      </c>
    </row>
    <row r="1154">
      <c r="A1154" t="inlineStr">
        <is>
          <t>RA45063</t>
        </is>
      </c>
      <c r="B1154" t="inlineStr">
        <is>
          <t>Clearpath NDIS Plans</t>
        </is>
      </c>
      <c r="C1154" s="5" t="n">
        <v>46259</v>
      </c>
      <c r="D1154" t="inlineStr">
        <is>
          <t>INV/2026/02759</t>
        </is>
      </c>
      <c r="E1154" s="9" t="n">
        <v>242.49</v>
      </c>
      <c r="F1154" s="9" t="n">
        <v>242.49</v>
      </c>
      <c r="G1154" s="9">
        <f>ROUND(E1154-F1154,2)</f>
        <v>0</v>
      </c>
    </row>
    <row r="1155">
      <c r="A1155" t="inlineStr">
        <is>
          <t>RA45064</t>
        </is>
      </c>
      <c r="B1155" t="inlineStr">
        <is>
          <t>Wattle Plan Services</t>
        </is>
      </c>
      <c r="C1155" s="5" t="n">
        <v>46259</v>
      </c>
      <c r="D1155" t="inlineStr">
        <is>
          <t>INV/2026/02637</t>
        </is>
      </c>
      <c r="E1155" s="9" t="n">
        <v>387.98</v>
      </c>
      <c r="F1155" s="9" t="n">
        <v>387.98</v>
      </c>
      <c r="G1155" s="9">
        <f>ROUND(E1155-F1155,2)</f>
        <v>0</v>
      </c>
    </row>
    <row r="1156">
      <c r="A1156" t="inlineStr">
        <is>
          <t>RA45064</t>
        </is>
      </c>
      <c r="B1156" t="inlineStr">
        <is>
          <t>Wattle Plan Services</t>
        </is>
      </c>
      <c r="C1156" s="5" t="n">
        <v>46259</v>
      </c>
      <c r="D1156" t="inlineStr">
        <is>
          <t>INV/2026/02665</t>
        </is>
      </c>
      <c r="E1156" s="9" t="n">
        <v>349.18</v>
      </c>
      <c r="F1156" s="9" t="n">
        <v>349.18</v>
      </c>
      <c r="G1156" s="9">
        <f>ROUND(E1156-F1156,2)</f>
        <v>0</v>
      </c>
    </row>
    <row r="1157">
      <c r="A1157" t="inlineStr">
        <is>
          <t>RA45064</t>
        </is>
      </c>
      <c r="B1157" t="inlineStr">
        <is>
          <t>Wattle Plan Services</t>
        </is>
      </c>
      <c r="C1157" s="5" t="n">
        <v>46259</v>
      </c>
      <c r="D1157" t="inlineStr">
        <is>
          <t>INV/2026/02666</t>
        </is>
      </c>
      <c r="E1157" s="9" t="n">
        <v>387.98</v>
      </c>
      <c r="F1157" s="9" t="n">
        <v>387.98</v>
      </c>
      <c r="G1157" s="9">
        <f>ROUND(E1157-F1157,2)</f>
        <v>0</v>
      </c>
    </row>
    <row r="1158">
      <c r="A1158" t="inlineStr">
        <is>
          <t>RA45064</t>
        </is>
      </c>
      <c r="B1158" t="inlineStr">
        <is>
          <t>Wattle Plan Services</t>
        </is>
      </c>
      <c r="C1158" s="5" t="n">
        <v>46259</v>
      </c>
      <c r="D1158" t="inlineStr">
        <is>
          <t>INV/2026/02691</t>
        </is>
      </c>
      <c r="E1158" s="9" t="n">
        <v>272.49</v>
      </c>
      <c r="F1158" s="9" t="n">
        <v>272.49</v>
      </c>
      <c r="G1158" s="9">
        <f>ROUND(E1158-F1158,2)</f>
        <v>0</v>
      </c>
    </row>
    <row r="1159">
      <c r="A1159" t="inlineStr">
        <is>
          <t>RA45065</t>
        </is>
      </c>
      <c r="B1159" t="inlineStr">
        <is>
          <t>Banksia Plan Co</t>
        </is>
      </c>
      <c r="C1159" s="5" t="n">
        <v>46259</v>
      </c>
      <c r="D1159" t="inlineStr">
        <is>
          <t>INV/2026/02694</t>
        </is>
      </c>
      <c r="E1159" s="9" t="n">
        <v>387.98</v>
      </c>
      <c r="F1159" s="9" t="n">
        <v>387.98</v>
      </c>
      <c r="G1159" s="9">
        <f>ROUND(E1159-F1159,2)</f>
        <v>0</v>
      </c>
    </row>
    <row r="1160">
      <c r="A1160" t="inlineStr">
        <is>
          <t>RA45066</t>
        </is>
      </c>
      <c r="B1160" t="inlineStr">
        <is>
          <t>Kookaburra Plan Support</t>
        </is>
      </c>
      <c r="C1160" s="5" t="n">
        <v>46259</v>
      </c>
      <c r="D1160" t="inlineStr">
        <is>
          <t>INV/2026/02641</t>
        </is>
      </c>
      <c r="E1160" s="9" t="n">
        <v>242.49</v>
      </c>
      <c r="F1160" s="9" t="n">
        <v>242.49</v>
      </c>
      <c r="G1160" s="9">
        <f>ROUND(E1160-F1160,2)</f>
        <v>0</v>
      </c>
    </row>
    <row r="1161">
      <c r="A1161" t="inlineStr">
        <is>
          <t>RA45066</t>
        </is>
      </c>
      <c r="B1161" t="inlineStr">
        <is>
          <t>Kookaburra Plan Support</t>
        </is>
      </c>
      <c r="C1161" s="5" t="n">
        <v>46259</v>
      </c>
      <c r="D1161" t="inlineStr">
        <is>
          <t>INV/2026/02642</t>
        </is>
      </c>
      <c r="E1161" s="9" t="n">
        <v>242.49</v>
      </c>
      <c r="F1161" s="9" t="n">
        <v>242.49</v>
      </c>
      <c r="G1161" s="9">
        <f>ROUND(E1161-F1161,2)</f>
        <v>0</v>
      </c>
    </row>
    <row r="1162">
      <c r="A1162" t="inlineStr">
        <is>
          <t>RA45066</t>
        </is>
      </c>
      <c r="B1162" t="inlineStr">
        <is>
          <t>Kookaburra Plan Support</t>
        </is>
      </c>
      <c r="C1162" s="5" t="n">
        <v>46259</v>
      </c>
      <c r="D1162" t="inlineStr">
        <is>
          <t>INV/2026/02696</t>
        </is>
      </c>
      <c r="E1162" s="9" t="n">
        <v>349.18</v>
      </c>
      <c r="F1162" s="9" t="n">
        <v>349.18</v>
      </c>
      <c r="G1162" s="9">
        <f>ROUND(E1162-F1162,2)</f>
        <v>0</v>
      </c>
    </row>
    <row r="1163">
      <c r="A1163" t="inlineStr">
        <is>
          <t>RA45066</t>
        </is>
      </c>
      <c r="B1163" t="inlineStr">
        <is>
          <t>Kookaburra Plan Support</t>
        </is>
      </c>
      <c r="C1163" s="5" t="n">
        <v>46259</v>
      </c>
      <c r="D1163" t="inlineStr">
        <is>
          <t>INV/2026/02721</t>
        </is>
      </c>
      <c r="E1163" s="9" t="n">
        <v>290.98</v>
      </c>
      <c r="F1163" s="9" t="n">
        <v>290.98</v>
      </c>
      <c r="G1163" s="9">
        <f>ROUND(E1163-F1163,2)</f>
        <v>0</v>
      </c>
    </row>
    <row r="1164">
      <c r="A1164" t="inlineStr">
        <is>
          <t>RA45066</t>
        </is>
      </c>
      <c r="B1164" t="inlineStr">
        <is>
          <t>Kookaburra Plan Support</t>
        </is>
      </c>
      <c r="C1164" s="5" t="n">
        <v>46259</v>
      </c>
      <c r="D1164" t="inlineStr">
        <is>
          <t>INV/2026/02722</t>
        </is>
      </c>
      <c r="E1164" s="9" t="n">
        <v>242.49</v>
      </c>
      <c r="F1164" s="9" t="n">
        <v>242.49</v>
      </c>
      <c r="G1164" s="9">
        <f>ROUND(E1164-F1164,2)</f>
        <v>0</v>
      </c>
    </row>
    <row r="1165">
      <c r="A1165" t="inlineStr">
        <is>
          <t>RA45066</t>
        </is>
      </c>
      <c r="B1165" t="inlineStr">
        <is>
          <t>Kookaburra Plan Support</t>
        </is>
      </c>
      <c r="C1165" s="5" t="n">
        <v>46259</v>
      </c>
      <c r="D1165" t="inlineStr">
        <is>
          <t>INV/2026/02765</t>
        </is>
      </c>
      <c r="E1165" s="9" t="n">
        <v>242.49</v>
      </c>
      <c r="F1165" s="9" t="n">
        <v>242.49</v>
      </c>
      <c r="G1165" s="9">
        <f>ROUND(E1165-F1165,2)</f>
        <v>0</v>
      </c>
    </row>
    <row r="1166">
      <c r="A1166" t="inlineStr">
        <is>
          <t>RA45067</t>
        </is>
      </c>
      <c r="B1166" t="inlineStr">
        <is>
          <t>Bluegum Plan Management</t>
        </is>
      </c>
      <c r="C1166" s="5" t="n">
        <v>46260</v>
      </c>
      <c r="D1166" t="inlineStr">
        <is>
          <t>INV/2026/02685</t>
        </is>
      </c>
      <c r="E1166" s="9" t="n">
        <v>126.99</v>
      </c>
      <c r="F1166" s="9" t="n">
        <v>126.99</v>
      </c>
      <c r="G1166" s="9">
        <f>ROUND(E1166-F1166,2)</f>
        <v>0</v>
      </c>
    </row>
    <row r="1167">
      <c r="A1167" t="inlineStr">
        <is>
          <t>RA45067</t>
        </is>
      </c>
      <c r="B1167" t="inlineStr">
        <is>
          <t>Bluegum Plan Management</t>
        </is>
      </c>
      <c r="C1167" s="5" t="n">
        <v>46260</v>
      </c>
      <c r="D1167" t="inlineStr">
        <is>
          <t>INV/2026/02686</t>
        </is>
      </c>
      <c r="E1167" s="9" t="n">
        <v>417.98</v>
      </c>
      <c r="F1167" s="9" t="n">
        <v>417.98</v>
      </c>
      <c r="G1167" s="9">
        <f>ROUND(E1167-F1167,2)</f>
        <v>0</v>
      </c>
    </row>
    <row r="1168">
      <c r="A1168" t="inlineStr">
        <is>
          <t>RA45067</t>
        </is>
      </c>
      <c r="B1168" t="inlineStr">
        <is>
          <t>Bluegum Plan Management</t>
        </is>
      </c>
      <c r="C1168" s="5" t="n">
        <v>46260</v>
      </c>
      <c r="D1168" t="inlineStr">
        <is>
          <t>INV/2026/02687</t>
        </is>
      </c>
      <c r="E1168" s="9" t="n">
        <v>193.99</v>
      </c>
      <c r="F1168" s="9" t="n">
        <v>193.99</v>
      </c>
      <c r="G1168" s="9">
        <f>ROUND(E1168-F1168,2)</f>
        <v>0</v>
      </c>
    </row>
    <row r="1169">
      <c r="A1169" t="inlineStr">
        <is>
          <t>RA45067</t>
        </is>
      </c>
      <c r="B1169" t="inlineStr">
        <is>
          <t>Bluegum Plan Management</t>
        </is>
      </c>
      <c r="C1169" s="5" t="n">
        <v>46260</v>
      </c>
      <c r="D1169" t="inlineStr">
        <is>
          <t>INV/2026/02710</t>
        </is>
      </c>
      <c r="E1169" s="9" t="n">
        <v>290.98</v>
      </c>
      <c r="F1169" s="9" t="n">
        <v>290.98</v>
      </c>
      <c r="G1169" s="9">
        <f>ROUND(E1169-F1169,2)</f>
        <v>0</v>
      </c>
    </row>
    <row r="1170">
      <c r="A1170" t="inlineStr">
        <is>
          <t>RA45067</t>
        </is>
      </c>
      <c r="B1170" t="inlineStr">
        <is>
          <t>Bluegum Plan Management</t>
        </is>
      </c>
      <c r="C1170" s="5" t="n">
        <v>46260</v>
      </c>
      <c r="D1170" t="inlineStr">
        <is>
          <t>INV/2026/02711</t>
        </is>
      </c>
      <c r="E1170" s="9" t="n">
        <v>145.49</v>
      </c>
      <c r="F1170" s="9" t="n">
        <v>145.49</v>
      </c>
      <c r="G1170" s="9">
        <f>ROUND(E1170-F1170,2)</f>
        <v>0</v>
      </c>
    </row>
    <row r="1171">
      <c r="A1171" t="inlineStr">
        <is>
          <t>RA45067</t>
        </is>
      </c>
      <c r="B1171" t="inlineStr">
        <is>
          <t>Bluegum Plan Management</t>
        </is>
      </c>
      <c r="C1171" s="5" t="n">
        <v>46260</v>
      </c>
      <c r="D1171" t="inlineStr">
        <is>
          <t>INV/2026/02712</t>
        </is>
      </c>
      <c r="E1171" s="9" t="n">
        <v>290.98</v>
      </c>
      <c r="F1171" s="9" t="n">
        <v>290.98</v>
      </c>
      <c r="G1171" s="9">
        <f>ROUND(E1171-F1171,2)</f>
        <v>0</v>
      </c>
    </row>
    <row r="1172">
      <c r="A1172" t="inlineStr">
        <is>
          <t>RA45067</t>
        </is>
      </c>
      <c r="B1172" t="inlineStr">
        <is>
          <t>Bluegum Plan Management</t>
        </is>
      </c>
      <c r="C1172" s="5" t="n">
        <v>46260</v>
      </c>
      <c r="D1172" t="inlineStr">
        <is>
          <t>INV/2026/02737</t>
        </is>
      </c>
      <c r="E1172" s="9" t="n">
        <v>252.19</v>
      </c>
      <c r="F1172" s="9" t="n">
        <v>252.19</v>
      </c>
      <c r="G1172" s="9">
        <f>ROUND(E1172-F1172,2)</f>
        <v>0</v>
      </c>
    </row>
    <row r="1173">
      <c r="A1173" t="inlineStr">
        <is>
          <t>RA45067</t>
        </is>
      </c>
      <c r="B1173" t="inlineStr">
        <is>
          <t>Bluegum Plan Management</t>
        </is>
      </c>
      <c r="C1173" s="5" t="n">
        <v>46260</v>
      </c>
      <c r="D1173" t="inlineStr">
        <is>
          <t>INV/2026/02738</t>
        </is>
      </c>
      <c r="E1173" s="9" t="n">
        <v>290.98</v>
      </c>
      <c r="F1173" s="9" t="n">
        <v>290.98</v>
      </c>
      <c r="G1173" s="9">
        <f>ROUND(E1173-F1173,2)</f>
        <v>0</v>
      </c>
    </row>
    <row r="1174">
      <c r="A1174" t="inlineStr">
        <is>
          <t>RA45067</t>
        </is>
      </c>
      <c r="B1174" t="inlineStr">
        <is>
          <t>Bluegum Plan Management</t>
        </is>
      </c>
      <c r="C1174" s="5" t="n">
        <v>46260</v>
      </c>
      <c r="D1174" t="inlineStr">
        <is>
          <t>INV/2026/02754</t>
        </is>
      </c>
      <c r="E1174" s="9" t="n">
        <v>193.99</v>
      </c>
      <c r="F1174" s="9" t="n">
        <v>193.99</v>
      </c>
      <c r="G1174" s="9">
        <f>ROUND(E1174-F1174,2)</f>
        <v>0</v>
      </c>
    </row>
    <row r="1175">
      <c r="A1175" t="inlineStr">
        <is>
          <t>RA45067</t>
        </is>
      </c>
      <c r="B1175" t="inlineStr">
        <is>
          <t>Bluegum Plan Management</t>
        </is>
      </c>
      <c r="C1175" s="5" t="n">
        <v>46260</v>
      </c>
      <c r="D1175" t="inlineStr">
        <is>
          <t>INV/2026/02778</t>
        </is>
      </c>
      <c r="E1175" s="9" t="n">
        <v>272.49</v>
      </c>
      <c r="F1175" s="9" t="n">
        <v>272.49</v>
      </c>
      <c r="G1175" s="9">
        <f>ROUND(E1175-F1175,2)</f>
        <v>0</v>
      </c>
    </row>
    <row r="1176">
      <c r="A1176" t="inlineStr">
        <is>
          <t>RA45068</t>
        </is>
      </c>
      <c r="B1176" t="inlineStr">
        <is>
          <t>Riverbend Plan Partners</t>
        </is>
      </c>
      <c r="C1176" s="5" t="n">
        <v>46260</v>
      </c>
      <c r="D1176" t="inlineStr">
        <is>
          <t>INV/2026/02713</t>
        </is>
      </c>
      <c r="E1176" s="9" t="n">
        <v>96.98999999999999</v>
      </c>
      <c r="F1176" s="9" t="n">
        <v>96.98999999999999</v>
      </c>
      <c r="G1176" s="9">
        <f>ROUND(E1176-F1176,2)</f>
        <v>0</v>
      </c>
    </row>
    <row r="1177">
      <c r="A1177" t="inlineStr">
        <is>
          <t>RA45068</t>
        </is>
      </c>
      <c r="B1177" t="inlineStr">
        <is>
          <t>Riverbend Plan Partners</t>
        </is>
      </c>
      <c r="C1177" s="5" t="n">
        <v>46260</v>
      </c>
      <c r="D1177" t="inlineStr">
        <is>
          <t>INV/2026/02739</t>
        </is>
      </c>
      <c r="E1177" s="9" t="n">
        <v>145.49</v>
      </c>
      <c r="F1177" s="9" t="n">
        <v>145.49</v>
      </c>
      <c r="G1177" s="9">
        <f>ROUND(E1177-F1177,2)</f>
        <v>0</v>
      </c>
    </row>
    <row r="1178">
      <c r="A1178" t="inlineStr">
        <is>
          <t>RA45068</t>
        </is>
      </c>
      <c r="B1178" t="inlineStr">
        <is>
          <t>Riverbend Plan Partners</t>
        </is>
      </c>
      <c r="C1178" s="5" t="n">
        <v>46260</v>
      </c>
      <c r="D1178" t="inlineStr">
        <is>
          <t>INV/2026/02757</t>
        </is>
      </c>
      <c r="E1178" s="9" t="n">
        <v>242.49</v>
      </c>
      <c r="F1178" s="9" t="n">
        <v>242.49</v>
      </c>
      <c r="G1178" s="9">
        <f>ROUND(E1178-F1178,2)</f>
        <v>0</v>
      </c>
    </row>
    <row r="1179">
      <c r="A1179" t="inlineStr">
        <is>
          <t>RA45069</t>
        </is>
      </c>
      <c r="B1179" t="inlineStr">
        <is>
          <t>Clearpath NDIS Plans</t>
        </is>
      </c>
      <c r="C1179" s="5" t="n">
        <v>46260</v>
      </c>
      <c r="D1179" t="inlineStr">
        <is>
          <t>INV/2026/02781</t>
        </is>
      </c>
      <c r="E1179" s="9" t="n">
        <v>96.98999999999999</v>
      </c>
      <c r="F1179" s="9" t="n">
        <v>96.98999999999999</v>
      </c>
      <c r="G1179" s="9">
        <f>ROUND(E1179-F1179,2)</f>
        <v>0</v>
      </c>
    </row>
    <row r="1180">
      <c r="A1180" t="inlineStr">
        <is>
          <t>RA45069</t>
        </is>
      </c>
      <c r="B1180" t="inlineStr">
        <is>
          <t>Clearpath NDIS Plans</t>
        </is>
      </c>
      <c r="C1180" s="5" t="n">
        <v>46260</v>
      </c>
      <c r="D1180" t="inlineStr">
        <is>
          <t>INV/2026/02782</t>
        </is>
      </c>
      <c r="E1180" s="9" t="n">
        <v>417.98</v>
      </c>
      <c r="F1180" s="9" t="n">
        <v>417.98</v>
      </c>
      <c r="G1180" s="9">
        <f>ROUND(E1180-F1180,2)</f>
        <v>0</v>
      </c>
    </row>
    <row r="1181">
      <c r="A1181" t="inlineStr">
        <is>
          <t>RA45070</t>
        </is>
      </c>
      <c r="B1181" t="inlineStr">
        <is>
          <t>Wattle Plan Services</t>
        </is>
      </c>
      <c r="C1181" s="5" t="n">
        <v>46260</v>
      </c>
      <c r="D1181" t="inlineStr">
        <is>
          <t>INV/2026/02692</t>
        </is>
      </c>
      <c r="E1181" s="9" t="n">
        <v>203.69</v>
      </c>
      <c r="F1181" s="9" t="n">
        <v>203.69</v>
      </c>
      <c r="G1181" s="9">
        <f>ROUND(E1181-F1181,2)</f>
        <v>0</v>
      </c>
    </row>
    <row r="1182">
      <c r="A1182" t="inlineStr">
        <is>
          <t>RA45070</t>
        </is>
      </c>
      <c r="B1182" t="inlineStr">
        <is>
          <t>Wattle Plan Services</t>
        </is>
      </c>
      <c r="C1182" s="5" t="n">
        <v>46260</v>
      </c>
      <c r="D1182" t="inlineStr">
        <is>
          <t>INV/2026/02718</t>
        </is>
      </c>
      <c r="E1182" s="9" t="n">
        <v>242.49</v>
      </c>
      <c r="F1182" s="9" t="n">
        <v>242.49</v>
      </c>
      <c r="G1182" s="9">
        <f>ROUND(E1182-F1182,2)</f>
        <v>0</v>
      </c>
    </row>
    <row r="1183">
      <c r="A1183" t="inlineStr">
        <is>
          <t>RA45070</t>
        </is>
      </c>
      <c r="B1183" t="inlineStr">
        <is>
          <t>Wattle Plan Services</t>
        </is>
      </c>
      <c r="C1183" s="5" t="n">
        <v>46260</v>
      </c>
      <c r="D1183" t="inlineStr">
        <is>
          <t>INV/2026/02740</t>
        </is>
      </c>
      <c r="E1183" s="9" t="n">
        <v>242.49</v>
      </c>
      <c r="F1183" s="9" t="n">
        <v>242.49</v>
      </c>
      <c r="G1183" s="9">
        <f>ROUND(E1183-F1183,2)</f>
        <v>0</v>
      </c>
    </row>
    <row r="1184">
      <c r="A1184" t="inlineStr">
        <is>
          <t>RA45070</t>
        </is>
      </c>
      <c r="B1184" t="inlineStr">
        <is>
          <t>Wattle Plan Services</t>
        </is>
      </c>
      <c r="C1184" s="5" t="n">
        <v>46260</v>
      </c>
      <c r="D1184" t="inlineStr">
        <is>
          <t>INV/2026/02741</t>
        </is>
      </c>
      <c r="E1184" s="9" t="n">
        <v>272.49</v>
      </c>
      <c r="F1184" s="9" t="n">
        <v>272.49</v>
      </c>
      <c r="G1184" s="9">
        <f>ROUND(E1184-F1184,2)</f>
        <v>0</v>
      </c>
    </row>
    <row r="1185">
      <c r="A1185" t="inlineStr">
        <is>
          <t>RA45070</t>
        </is>
      </c>
      <c r="B1185" t="inlineStr">
        <is>
          <t>Wattle Plan Services</t>
        </is>
      </c>
      <c r="C1185" s="5" t="n">
        <v>46260</v>
      </c>
      <c r="D1185" t="inlineStr">
        <is>
          <t>INV/2026/02761</t>
        </is>
      </c>
      <c r="E1185" s="9" t="n">
        <v>446.18</v>
      </c>
      <c r="F1185" s="9" t="n">
        <v>446.18</v>
      </c>
      <c r="G1185" s="9">
        <f>ROUND(E1185-F1185,2)</f>
        <v>0</v>
      </c>
    </row>
    <row r="1186">
      <c r="A1186" t="inlineStr">
        <is>
          <t>RA45071</t>
        </is>
      </c>
      <c r="B1186" t="inlineStr">
        <is>
          <t>Redgum Plan Admin</t>
        </is>
      </c>
      <c r="C1186" s="5" t="n">
        <v>46260</v>
      </c>
      <c r="D1186" t="inlineStr">
        <is>
          <t>INV/2026/02699</t>
        </is>
      </c>
      <c r="E1186" s="9" t="n">
        <v>96.98999999999999</v>
      </c>
      <c r="F1186" s="9" t="n">
        <v>96.98999999999999</v>
      </c>
      <c r="G1186" s="9">
        <f>ROUND(E1186-F1186,2)</f>
        <v>0</v>
      </c>
    </row>
    <row r="1187">
      <c r="A1187" t="inlineStr">
        <is>
          <t>RA45071</t>
        </is>
      </c>
      <c r="B1187" t="inlineStr">
        <is>
          <t>Redgum Plan Admin</t>
        </is>
      </c>
      <c r="C1187" s="5" t="n">
        <v>46260</v>
      </c>
      <c r="D1187" t="inlineStr">
        <is>
          <t>INV/2026/02767</t>
        </is>
      </c>
      <c r="E1187" s="9" t="n">
        <v>193.99</v>
      </c>
      <c r="F1187" s="9" t="n">
        <v>193.99</v>
      </c>
      <c r="G1187" s="9">
        <f>ROUND(E1187-F1187,2)</f>
        <v>0</v>
      </c>
    </row>
    <row r="1188">
      <c r="A1188" t="inlineStr">
        <is>
          <t>RA45071</t>
        </is>
      </c>
      <c r="B1188" t="inlineStr">
        <is>
          <t>Redgum Plan Admin</t>
        </is>
      </c>
      <c r="C1188" s="5" t="n">
        <v>46260</v>
      </c>
      <c r="D1188" t="inlineStr">
        <is>
          <t>INV/2026/02768</t>
        </is>
      </c>
      <c r="E1188" s="9" t="n">
        <v>417.98</v>
      </c>
      <c r="F1188" s="9" t="n">
        <v>417.98</v>
      </c>
      <c r="G1188" s="9">
        <f>ROUND(E1188-F1188,2)</f>
        <v>0</v>
      </c>
    </row>
    <row r="1189">
      <c r="A1189" t="inlineStr">
        <is>
          <t>RA45071</t>
        </is>
      </c>
      <c r="B1189" t="inlineStr">
        <is>
          <t>Redgum Plan Admin</t>
        </is>
      </c>
      <c r="C1189" s="5" t="n">
        <v>46260</v>
      </c>
      <c r="D1189" t="inlineStr">
        <is>
          <t>INV/2026/02769</t>
        </is>
      </c>
      <c r="E1189" s="9" t="n">
        <v>387.98</v>
      </c>
      <c r="F1189" s="9" t="n">
        <v>387.98</v>
      </c>
      <c r="G1189" s="9">
        <f>ROUND(E1189-F1189,2)</f>
        <v>0</v>
      </c>
    </row>
    <row r="1190">
      <c r="A1190" t="inlineStr">
        <is>
          <t>RA45072</t>
        </is>
      </c>
      <c r="B1190" t="inlineStr">
        <is>
          <t>Lyrebird Plan Management</t>
        </is>
      </c>
      <c r="C1190" s="5" t="n">
        <v>46260</v>
      </c>
      <c r="D1190" t="inlineStr">
        <is>
          <t>INV/2026/02600</t>
        </is>
      </c>
      <c r="E1190" s="9" t="n">
        <v>290.98</v>
      </c>
      <c r="F1190" s="9" t="n">
        <v>290.98</v>
      </c>
      <c r="G1190" s="9">
        <f>ROUND(E1190-F1190,2)</f>
        <v>0</v>
      </c>
    </row>
    <row r="1191">
      <c r="A1191" t="inlineStr">
        <is>
          <t>RA45072</t>
        </is>
      </c>
      <c r="B1191" t="inlineStr">
        <is>
          <t>Lyrebird Plan Management</t>
        </is>
      </c>
      <c r="C1191" s="5" t="n">
        <v>46260</v>
      </c>
      <c r="D1191" t="inlineStr">
        <is>
          <t>INV/2026/02677</t>
        </is>
      </c>
      <c r="E1191" s="9" t="n">
        <v>96.98999999999999</v>
      </c>
      <c r="F1191" s="9" t="n">
        <v>96.98999999999999</v>
      </c>
      <c r="G1191" s="9">
        <f>ROUND(E1191-F1191,2)</f>
        <v>0</v>
      </c>
    </row>
    <row r="1192">
      <c r="A1192" t="inlineStr">
        <is>
          <t>RA45072</t>
        </is>
      </c>
      <c r="B1192" t="inlineStr">
        <is>
          <t>Lyrebird Plan Management</t>
        </is>
      </c>
      <c r="C1192" s="5" t="n">
        <v>46260</v>
      </c>
      <c r="D1192" t="inlineStr">
        <is>
          <t>INV/2026/02703</t>
        </is>
      </c>
      <c r="E1192" s="9" t="n">
        <v>175.49</v>
      </c>
      <c r="F1192" s="9" t="n">
        <v>175.49</v>
      </c>
      <c r="G1192" s="9">
        <f>ROUND(E1192-F1192,2)</f>
        <v>0</v>
      </c>
    </row>
    <row r="1193">
      <c r="A1193" t="inlineStr">
        <is>
          <t>RA45072</t>
        </is>
      </c>
      <c r="B1193" t="inlineStr">
        <is>
          <t>Lyrebird Plan Management</t>
        </is>
      </c>
      <c r="C1193" s="5" t="n">
        <v>46260</v>
      </c>
      <c r="D1193" t="inlineStr">
        <is>
          <t>INV/2026/02704</t>
        </is>
      </c>
      <c r="E1193" s="9" t="n">
        <v>223.99</v>
      </c>
      <c r="F1193" s="9" t="n">
        <v>223.99</v>
      </c>
      <c r="G1193" s="9">
        <f>ROUND(E1193-F1193,2)</f>
        <v>0</v>
      </c>
    </row>
    <row r="1194">
      <c r="A1194" t="inlineStr">
        <is>
          <t>RA45072</t>
        </is>
      </c>
      <c r="B1194" t="inlineStr">
        <is>
          <t>Lyrebird Plan Management</t>
        </is>
      </c>
      <c r="C1194" s="5" t="n">
        <v>46260</v>
      </c>
      <c r="D1194" t="inlineStr">
        <is>
          <t>INV/2026/02726</t>
        </is>
      </c>
      <c r="E1194" s="9" t="n">
        <v>387.98</v>
      </c>
      <c r="F1194" s="9" t="n">
        <v>387.98</v>
      </c>
      <c r="G1194" s="9">
        <f>ROUND(E1194-F1194,2)</f>
        <v>0</v>
      </c>
    </row>
    <row r="1195">
      <c r="A1195" t="inlineStr">
        <is>
          <t>RA45072</t>
        </is>
      </c>
      <c r="B1195" t="inlineStr">
        <is>
          <t>Lyrebird Plan Management</t>
        </is>
      </c>
      <c r="C1195" s="5" t="n">
        <v>46260</v>
      </c>
      <c r="D1195" t="inlineStr">
        <is>
          <t>INV/2026/02747</t>
        </is>
      </c>
      <c r="E1195" s="9" t="n">
        <v>96.98999999999999</v>
      </c>
      <c r="F1195" s="9" t="n">
        <v>96.98999999999999</v>
      </c>
      <c r="G1195" s="9">
        <f>ROUND(E1195-F1195,2)</f>
        <v>0</v>
      </c>
    </row>
    <row r="1196">
      <c r="A1196" t="inlineStr">
        <is>
          <t>RA45072</t>
        </is>
      </c>
      <c r="B1196" t="inlineStr">
        <is>
          <t>Lyrebird Plan Management</t>
        </is>
      </c>
      <c r="C1196" s="5" t="n">
        <v>46260</v>
      </c>
      <c r="D1196" t="inlineStr">
        <is>
          <t>INV/2026/02771</t>
        </is>
      </c>
      <c r="E1196" s="9" t="n">
        <v>242.49</v>
      </c>
      <c r="F1196" s="9" t="n">
        <v>242.49</v>
      </c>
      <c r="G1196" s="9">
        <f>ROUND(E1196-F1196,2)</f>
        <v>0</v>
      </c>
    </row>
    <row r="1197">
      <c r="A1197" t="inlineStr">
        <is>
          <t>RA45072</t>
        </is>
      </c>
      <c r="B1197" t="inlineStr">
        <is>
          <t>Lyrebird Plan Management</t>
        </is>
      </c>
      <c r="C1197" s="5" t="n">
        <v>46260</v>
      </c>
      <c r="D1197" t="inlineStr">
        <is>
          <t>INV/2026/02772</t>
        </is>
      </c>
      <c r="E1197" s="9" t="n">
        <v>417.98</v>
      </c>
      <c r="F1197" s="9" t="n">
        <v>417.98</v>
      </c>
      <c r="G1197" s="9">
        <f>ROUND(E1197-F1197,2)</f>
        <v>0</v>
      </c>
    </row>
    <row r="1198">
      <c r="A1198" t="inlineStr">
        <is>
          <t>RA45073</t>
        </is>
      </c>
      <c r="B1198" t="inlineStr">
        <is>
          <t>Mallee Plan Services</t>
        </is>
      </c>
      <c r="C1198" s="5" t="n">
        <v>46260</v>
      </c>
      <c r="D1198" t="inlineStr">
        <is>
          <t>INV/2026/02795</t>
        </is>
      </c>
      <c r="E1198" s="9" t="n">
        <v>203.69</v>
      </c>
      <c r="F1198" s="9" t="n">
        <v>203.69</v>
      </c>
      <c r="G1198" s="9">
        <f>ROUND(E1198-F1198,2)</f>
        <v>0</v>
      </c>
    </row>
    <row r="1199">
      <c r="A1199" t="inlineStr">
        <is>
          <t>RA45074</t>
        </is>
      </c>
      <c r="B1199" t="inlineStr">
        <is>
          <t>Bluegum Plan Management</t>
        </is>
      </c>
      <c r="C1199" s="5" t="n">
        <v>46261</v>
      </c>
      <c r="D1199" t="inlineStr">
        <is>
          <t>INV/2026/02779</t>
        </is>
      </c>
      <c r="E1199" s="9" t="n">
        <v>193.99</v>
      </c>
      <c r="F1199" s="9" t="n">
        <v>193.99</v>
      </c>
      <c r="G1199" s="9">
        <f>ROUND(E1199-F1199,2)</f>
        <v>0</v>
      </c>
    </row>
    <row r="1200">
      <c r="A1200" t="inlineStr">
        <is>
          <t>RA45074</t>
        </is>
      </c>
      <c r="B1200" t="inlineStr">
        <is>
          <t>Bluegum Plan Management</t>
        </is>
      </c>
      <c r="C1200" s="5" t="n">
        <v>46261</v>
      </c>
      <c r="D1200" t="inlineStr">
        <is>
          <t>INV/2026/02780</t>
        </is>
      </c>
      <c r="E1200" s="9" t="n">
        <v>417.98</v>
      </c>
      <c r="F1200" s="9" t="n">
        <v>417.98</v>
      </c>
      <c r="G1200" s="9">
        <f>ROUND(E1200-F1200,2)</f>
        <v>0</v>
      </c>
    </row>
    <row r="1201">
      <c r="A1201" t="inlineStr">
        <is>
          <t>RA45075</t>
        </is>
      </c>
      <c r="B1201" t="inlineStr">
        <is>
          <t>Ironbark Plan Management</t>
        </is>
      </c>
      <c r="C1201" s="5" t="n">
        <v>46261</v>
      </c>
      <c r="D1201" t="inlineStr">
        <is>
          <t>INV/2026/02719</t>
        </is>
      </c>
      <c r="E1201" s="9" t="n">
        <v>96.98999999999999</v>
      </c>
      <c r="F1201" s="9" t="n">
        <v>96.98999999999999</v>
      </c>
      <c r="G1201" s="9">
        <f>ROUND(E1201-F1201,2)</f>
        <v>0</v>
      </c>
    </row>
    <row r="1202">
      <c r="A1202" t="inlineStr">
        <is>
          <t>RA45075</t>
        </is>
      </c>
      <c r="B1202" t="inlineStr">
        <is>
          <t>Ironbark Plan Management</t>
        </is>
      </c>
      <c r="C1202" s="5" t="n">
        <v>46261</v>
      </c>
      <c r="D1202" t="inlineStr">
        <is>
          <t>INV/2026/02742</t>
        </is>
      </c>
      <c r="E1202" s="9" t="n">
        <v>290.98</v>
      </c>
      <c r="F1202" s="9" t="n">
        <v>290.98</v>
      </c>
      <c r="G1202" s="9">
        <f>ROUND(E1202-F1202,2)</f>
        <v>0</v>
      </c>
    </row>
    <row r="1203">
      <c r="A1203" t="inlineStr">
        <is>
          <t>RA45075</t>
        </is>
      </c>
      <c r="B1203" t="inlineStr">
        <is>
          <t>Ironbark Plan Management</t>
        </is>
      </c>
      <c r="C1203" s="5" t="n">
        <v>46261</v>
      </c>
      <c r="D1203" t="inlineStr">
        <is>
          <t>INV/2026/02743</t>
        </is>
      </c>
      <c r="E1203" s="9" t="n">
        <v>223.99</v>
      </c>
      <c r="F1203" s="9" t="n">
        <v>223.99</v>
      </c>
      <c r="G1203" s="9">
        <f>ROUND(E1203-F1203,2)</f>
        <v>0</v>
      </c>
    </row>
    <row r="1204">
      <c r="A1204" t="inlineStr">
        <is>
          <t>RA45075</t>
        </is>
      </c>
      <c r="B1204" t="inlineStr">
        <is>
          <t>Ironbark Plan Management</t>
        </is>
      </c>
      <c r="C1204" s="5" t="n">
        <v>46261</v>
      </c>
      <c r="D1204" t="inlineStr">
        <is>
          <t>INV/2026/02783</t>
        </is>
      </c>
      <c r="E1204" s="9" t="n">
        <v>300.69</v>
      </c>
      <c r="F1204" s="9" t="n">
        <v>300.69</v>
      </c>
      <c r="G1204" s="9">
        <f>ROUND(E1204-F1204,2)</f>
        <v>0</v>
      </c>
    </row>
    <row r="1205">
      <c r="A1205" t="inlineStr">
        <is>
          <t>RA45075</t>
        </is>
      </c>
      <c r="B1205" t="inlineStr">
        <is>
          <t>Ironbark Plan Management</t>
        </is>
      </c>
      <c r="C1205" s="5" t="n">
        <v>46261</v>
      </c>
      <c r="D1205" t="inlineStr">
        <is>
          <t>INV/2026/02785</t>
        </is>
      </c>
      <c r="E1205" s="9" t="n">
        <v>96.98999999999999</v>
      </c>
      <c r="F1205" s="9" t="n">
        <v>96.98999999999999</v>
      </c>
      <c r="G1205" s="9">
        <f>ROUND(E1205-F1205,2)</f>
        <v>0</v>
      </c>
    </row>
    <row r="1206">
      <c r="A1206" t="inlineStr">
        <is>
          <t>RA45076</t>
        </is>
      </c>
      <c r="B1206" t="inlineStr">
        <is>
          <t>Southern Cross Plan Mgmt</t>
        </is>
      </c>
      <c r="C1206" s="5" t="n">
        <v>46261</v>
      </c>
      <c r="D1206" t="inlineStr">
        <is>
          <t>INV/2026/02053</t>
        </is>
      </c>
      <c r="E1206" s="9" t="n">
        <v>300.69</v>
      </c>
      <c r="F1206" s="9" t="n">
        <v>300.69</v>
      </c>
      <c r="G1206" s="9">
        <f>ROUND(E1206-F1206,2)</f>
        <v>0</v>
      </c>
    </row>
    <row r="1207">
      <c r="A1207" t="inlineStr">
        <is>
          <t>RA45076</t>
        </is>
      </c>
      <c r="B1207" t="inlineStr">
        <is>
          <t>Southern Cross Plan Mgmt</t>
        </is>
      </c>
      <c r="C1207" s="5" t="n">
        <v>46261</v>
      </c>
      <c r="D1207" t="inlineStr">
        <is>
          <t>INV/2026/02054</t>
        </is>
      </c>
      <c r="E1207" s="9" t="n">
        <v>242.49</v>
      </c>
      <c r="F1207" s="9" t="n">
        <v>242.49</v>
      </c>
      <c r="G1207" s="9">
        <f>ROUND(E1207-F1207,2)</f>
        <v>0</v>
      </c>
    </row>
    <row r="1208">
      <c r="A1208" t="inlineStr">
        <is>
          <t>RA45076</t>
        </is>
      </c>
      <c r="B1208" t="inlineStr">
        <is>
          <t>Southern Cross Plan Mgmt</t>
        </is>
      </c>
      <c r="C1208" s="5" t="n">
        <v>46261</v>
      </c>
      <c r="D1208" t="inlineStr">
        <is>
          <t>INV/2026/02080</t>
        </is>
      </c>
      <c r="E1208" s="9" t="n">
        <v>193.99</v>
      </c>
      <c r="F1208" s="9" t="n">
        <v>193.99</v>
      </c>
      <c r="G1208" s="9">
        <f>ROUND(E1208-F1208,2)</f>
        <v>0</v>
      </c>
    </row>
    <row r="1209">
      <c r="A1209" t="inlineStr">
        <is>
          <t>RA45077</t>
        </is>
      </c>
      <c r="B1209" t="inlineStr">
        <is>
          <t>Bluegum Plan Management</t>
        </is>
      </c>
      <c r="C1209" s="5" t="n">
        <v>46262</v>
      </c>
      <c r="D1209" t="inlineStr">
        <is>
          <t>INV/2026/02821</t>
        </is>
      </c>
      <c r="E1209" s="9" t="n">
        <v>242.49</v>
      </c>
      <c r="F1209" s="9" t="n">
        <v>242.49</v>
      </c>
      <c r="G1209" s="9">
        <f>ROUND(E1209-F1209,2)</f>
        <v>0</v>
      </c>
    </row>
    <row r="1210">
      <c r="A1210" t="inlineStr">
        <is>
          <t>RA45077</t>
        </is>
      </c>
      <c r="B1210" t="inlineStr">
        <is>
          <t>Bluegum Plan Management</t>
        </is>
      </c>
      <c r="C1210" s="5" t="n">
        <v>46262</v>
      </c>
      <c r="D1210" t="inlineStr">
        <is>
          <t>INV/2026/02822</t>
        </is>
      </c>
      <c r="E1210" s="9" t="n">
        <v>193.99</v>
      </c>
      <c r="F1210" s="9" t="n">
        <v>193.99</v>
      </c>
      <c r="G1210" s="9">
        <f>ROUND(E1210-F1210,2)</f>
        <v>0</v>
      </c>
    </row>
    <row r="1211">
      <c r="A1211" t="inlineStr">
        <is>
          <t>RA45078</t>
        </is>
      </c>
      <c r="B1211" t="inlineStr">
        <is>
          <t>Riverbend Plan Partners</t>
        </is>
      </c>
      <c r="C1211" s="5" t="n">
        <v>46262</v>
      </c>
      <c r="D1211" t="inlineStr">
        <is>
          <t>INV/2026/02756</t>
        </is>
      </c>
      <c r="E1211" s="9" t="n">
        <v>272.49</v>
      </c>
      <c r="F1211" s="9" t="n">
        <v>272.49</v>
      </c>
      <c r="G1211" s="9">
        <f>ROUND(E1211-F1211,2)</f>
        <v>0</v>
      </c>
    </row>
    <row r="1212">
      <c r="A1212" t="inlineStr">
        <is>
          <t>RA45078</t>
        </is>
      </c>
      <c r="B1212" t="inlineStr">
        <is>
          <t>Riverbend Plan Partners</t>
        </is>
      </c>
      <c r="C1212" s="5" t="n">
        <v>46262</v>
      </c>
      <c r="D1212" t="inlineStr">
        <is>
          <t>INV/2026/02800</t>
        </is>
      </c>
      <c r="E1212" s="9" t="n">
        <v>272.49</v>
      </c>
      <c r="F1212" s="9" t="n">
        <v>272.49</v>
      </c>
      <c r="G1212" s="9">
        <f>ROUND(E1212-F1212,2)</f>
        <v>0</v>
      </c>
    </row>
    <row r="1213">
      <c r="A1213" t="inlineStr">
        <is>
          <t>RA45079</t>
        </is>
      </c>
      <c r="B1213" t="inlineStr">
        <is>
          <t>Banksia Plan Co</t>
        </is>
      </c>
      <c r="C1213" s="5" t="n">
        <v>46262</v>
      </c>
      <c r="D1213" t="inlineStr">
        <is>
          <t>INV/2026/02827</t>
        </is>
      </c>
      <c r="E1213" s="9" t="n">
        <v>193.99</v>
      </c>
      <c r="F1213" s="9" t="n">
        <v>193.99</v>
      </c>
      <c r="G1213" s="9">
        <f>ROUND(E1213-F1213,2)</f>
        <v>0</v>
      </c>
    </row>
    <row r="1214">
      <c r="A1214" t="inlineStr">
        <is>
          <t>RA45079</t>
        </is>
      </c>
      <c r="B1214" t="inlineStr">
        <is>
          <t>Banksia Plan Co</t>
        </is>
      </c>
      <c r="C1214" s="5" t="n">
        <v>46262</v>
      </c>
      <c r="D1214" t="inlineStr">
        <is>
          <t>INV/2026/02828</t>
        </is>
      </c>
      <c r="E1214" s="9" t="n">
        <v>96.98999999999999</v>
      </c>
      <c r="F1214" s="9" t="n">
        <v>96.98999999999999</v>
      </c>
      <c r="G1214" s="9">
        <f>ROUND(E1214-F1214,2)</f>
        <v>0</v>
      </c>
    </row>
    <row r="1215">
      <c r="A1215" t="inlineStr">
        <is>
          <t>RA45080</t>
        </is>
      </c>
      <c r="B1215" t="inlineStr">
        <is>
          <t>Kookaburra Plan Support</t>
        </is>
      </c>
      <c r="C1215" s="5" t="n">
        <v>46262</v>
      </c>
      <c r="D1215" t="inlineStr">
        <is>
          <t>INV/2026/02832</t>
        </is>
      </c>
      <c r="E1215" s="9" t="n">
        <v>242.49</v>
      </c>
      <c r="F1215" s="9" t="n">
        <v>242.49</v>
      </c>
      <c r="G1215" s="9">
        <f>ROUND(E1215-F1215,2)</f>
        <v>0</v>
      </c>
    </row>
    <row r="1216">
      <c r="A1216" t="inlineStr">
        <is>
          <t>RA45081</t>
        </is>
      </c>
      <c r="B1216" t="inlineStr">
        <is>
          <t>Southern Cross Plan Mgmt</t>
        </is>
      </c>
      <c r="C1216" s="5" t="n">
        <v>46262</v>
      </c>
      <c r="D1216" t="inlineStr">
        <is>
          <t>INV/2026/02144</t>
        </is>
      </c>
      <c r="E1216" s="9" t="n">
        <v>223.99</v>
      </c>
      <c r="F1216" s="9" t="n">
        <v>223.99</v>
      </c>
      <c r="G1216" s="9">
        <f>ROUND(E1216-F1216,2)</f>
        <v>0</v>
      </c>
    </row>
    <row r="1217">
      <c r="A1217" t="inlineStr">
        <is>
          <t>RA45081</t>
        </is>
      </c>
      <c r="B1217" t="inlineStr">
        <is>
          <t>Southern Cross Plan Mgmt</t>
        </is>
      </c>
      <c r="C1217" s="5" t="n">
        <v>46262</v>
      </c>
      <c r="D1217" t="inlineStr">
        <is>
          <t>INV/2026/02145</t>
        </is>
      </c>
      <c r="E1217" s="9" t="n">
        <v>320.98</v>
      </c>
      <c r="F1217" s="9" t="n">
        <v>320.98</v>
      </c>
      <c r="G1217" s="9">
        <f>ROUND(E1217-F1217,2)</f>
        <v>0</v>
      </c>
    </row>
    <row r="1218">
      <c r="A1218" t="inlineStr">
        <is>
          <t>RA45081</t>
        </is>
      </c>
      <c r="B1218" t="inlineStr">
        <is>
          <t>Southern Cross Plan Mgmt</t>
        </is>
      </c>
      <c r="C1218" s="5" t="n">
        <v>46262</v>
      </c>
      <c r="D1218" t="inlineStr">
        <is>
          <t>INV/2026/02170</t>
        </is>
      </c>
      <c r="E1218" s="9" t="n">
        <v>387.98</v>
      </c>
      <c r="F1218" s="9" t="n">
        <v>387.98</v>
      </c>
      <c r="G1218" s="9">
        <f>ROUND(E1218-F1218,2)</f>
        <v>0</v>
      </c>
    </row>
    <row r="1219">
      <c r="A1219" t="inlineStr">
        <is>
          <t>RA45081</t>
        </is>
      </c>
      <c r="B1219" t="inlineStr">
        <is>
          <t>Southern Cross Plan Mgmt</t>
        </is>
      </c>
      <c r="C1219" s="5" t="n">
        <v>46262</v>
      </c>
      <c r="D1219" t="inlineStr">
        <is>
          <t>INV/2026/02171</t>
        </is>
      </c>
      <c r="E1219" s="9" t="n">
        <v>223.99</v>
      </c>
      <c r="F1219" s="9" t="n">
        <v>223.99</v>
      </c>
      <c r="G1219" s="9">
        <f>ROUND(E1219-F1219,2)</f>
        <v>0</v>
      </c>
    </row>
    <row r="1220">
      <c r="A1220" t="inlineStr">
        <is>
          <t>RA45081</t>
        </is>
      </c>
      <c r="B1220" t="inlineStr">
        <is>
          <t>Southern Cross Plan Mgmt</t>
        </is>
      </c>
      <c r="C1220" s="5" t="n">
        <v>46262</v>
      </c>
      <c r="D1220" t="inlineStr">
        <is>
          <t>INV/2026/02196</t>
        </is>
      </c>
      <c r="E1220" s="9" t="n">
        <v>175.49</v>
      </c>
      <c r="F1220" s="9" t="n">
        <v>175.49</v>
      </c>
      <c r="G1220" s="9">
        <f>ROUND(E1220-F1220,2)</f>
        <v>0</v>
      </c>
    </row>
    <row r="1221">
      <c r="A1221" t="inlineStr">
        <is>
          <t>RA45081</t>
        </is>
      </c>
      <c r="B1221" t="inlineStr">
        <is>
          <t>Southern Cross Plan Mgmt</t>
        </is>
      </c>
      <c r="C1221" s="5" t="n">
        <v>46262</v>
      </c>
      <c r="D1221" t="inlineStr">
        <is>
          <t>INV/2026/02197</t>
        </is>
      </c>
      <c r="E1221" s="9" t="n">
        <v>145.49</v>
      </c>
      <c r="F1221" s="9" t="n">
        <v>145.49</v>
      </c>
      <c r="G1221" s="9">
        <f>ROUND(E1221-F1221,2)</f>
        <v>0</v>
      </c>
    </row>
    <row r="1222">
      <c r="A1222" t="inlineStr">
        <is>
          <t>RA45081</t>
        </is>
      </c>
      <c r="B1222" t="inlineStr">
        <is>
          <t>Southern Cross Plan Mgmt</t>
        </is>
      </c>
      <c r="C1222" s="5" t="n">
        <v>46262</v>
      </c>
      <c r="D1222" t="inlineStr">
        <is>
          <t>INV/2026/02218</t>
        </is>
      </c>
      <c r="E1222" s="9" t="n">
        <v>145.49</v>
      </c>
      <c r="F1222" s="9" t="n">
        <v>145.49</v>
      </c>
      <c r="G1222" s="9">
        <f>ROUND(E1222-F1222,2)</f>
        <v>0</v>
      </c>
    </row>
    <row r="1223">
      <c r="A1223" t="inlineStr">
        <is>
          <t>RA45081</t>
        </is>
      </c>
      <c r="B1223" t="inlineStr">
        <is>
          <t>Southern Cross Plan Mgmt</t>
        </is>
      </c>
      <c r="C1223" s="5" t="n">
        <v>46262</v>
      </c>
      <c r="D1223" t="inlineStr">
        <is>
          <t>INV/2026/02240</t>
        </is>
      </c>
      <c r="E1223" s="9" t="n">
        <v>155.19</v>
      </c>
      <c r="F1223" s="9" t="n">
        <v>155.19</v>
      </c>
      <c r="G1223" s="9">
        <f>ROUND(E1223-F1223,2)</f>
        <v>0</v>
      </c>
    </row>
    <row r="1224">
      <c r="A1224" t="inlineStr">
        <is>
          <t>RA45081</t>
        </is>
      </c>
      <c r="B1224" t="inlineStr">
        <is>
          <t>Southern Cross Plan Mgmt</t>
        </is>
      </c>
      <c r="C1224" s="5" t="n">
        <v>46262</v>
      </c>
      <c r="D1224" t="inlineStr">
        <is>
          <t>INV/2026/02241</t>
        </is>
      </c>
      <c r="E1224" s="9" t="n">
        <v>145.49</v>
      </c>
      <c r="F1224" s="9" t="n">
        <v>145.49</v>
      </c>
      <c r="G1224" s="9">
        <f>ROUND(E1224-F1224,2)</f>
        <v>0</v>
      </c>
    </row>
    <row r="1225">
      <c r="A1225" t="inlineStr">
        <is>
          <t>RA45081</t>
        </is>
      </c>
      <c r="B1225" t="inlineStr">
        <is>
          <t>Southern Cross Plan Mgmt</t>
        </is>
      </c>
      <c r="C1225" s="5" t="n">
        <v>46262</v>
      </c>
      <c r="D1225" t="inlineStr">
        <is>
          <t>INV/2026/02242</t>
        </is>
      </c>
      <c r="E1225" s="9" t="n">
        <v>145.49</v>
      </c>
      <c r="F1225" s="9" t="n">
        <v>145.49</v>
      </c>
      <c r="G1225" s="9">
        <f>ROUND(E1225-F1225,2)</f>
        <v>0</v>
      </c>
    </row>
    <row r="1226">
      <c r="A1226" t="inlineStr">
        <is>
          <t>RA45081</t>
        </is>
      </c>
      <c r="B1226" t="inlineStr">
        <is>
          <t>Southern Cross Plan Mgmt</t>
        </is>
      </c>
      <c r="C1226" s="5" t="n">
        <v>46262</v>
      </c>
      <c r="D1226" t="inlineStr">
        <is>
          <t>INV/2026/02262</t>
        </is>
      </c>
      <c r="E1226" s="9" t="n">
        <v>193.99</v>
      </c>
      <c r="F1226" s="9" t="n">
        <v>193.99</v>
      </c>
      <c r="G1226" s="9">
        <f>ROUND(E1226-F1226,2)</f>
        <v>0</v>
      </c>
    </row>
    <row r="1227">
      <c r="A1227" t="inlineStr">
        <is>
          <t>RA45081</t>
        </is>
      </c>
      <c r="B1227" t="inlineStr">
        <is>
          <t>Southern Cross Plan Mgmt</t>
        </is>
      </c>
      <c r="C1227" s="5" t="n">
        <v>46262</v>
      </c>
      <c r="D1227" t="inlineStr">
        <is>
          <t>INV/2026/02263</t>
        </is>
      </c>
      <c r="E1227" s="9" t="n">
        <v>242.49</v>
      </c>
      <c r="F1227" s="9" t="n">
        <v>242.49</v>
      </c>
      <c r="G1227" s="9">
        <f>ROUND(E1227-F1227,2)</f>
        <v>0</v>
      </c>
    </row>
    <row r="1228">
      <c r="A1228" t="inlineStr">
        <is>
          <t>RA45082</t>
        </is>
      </c>
      <c r="B1228" t="inlineStr">
        <is>
          <t>Bluegum Plan Management</t>
        </is>
      </c>
      <c r="C1228" s="5" t="n">
        <v>46265</v>
      </c>
      <c r="D1228" t="inlineStr">
        <is>
          <t>INV/2026/02841</t>
        </is>
      </c>
      <c r="E1228" s="9" t="n">
        <v>300.69</v>
      </c>
      <c r="F1228" s="9" t="n">
        <v>300.69</v>
      </c>
      <c r="G1228" s="9">
        <f>ROUND(E1228-F1228,2)</f>
        <v>0</v>
      </c>
    </row>
    <row r="1229">
      <c r="A1229" t="inlineStr">
        <is>
          <t>RA45083</t>
        </is>
      </c>
      <c r="B1229" t="inlineStr">
        <is>
          <t>Clearpath NDIS Plans</t>
        </is>
      </c>
      <c r="C1229" s="5" t="n">
        <v>46265</v>
      </c>
      <c r="D1229" t="inlineStr">
        <is>
          <t>INV/2026/02758</t>
        </is>
      </c>
      <c r="E1229" s="9" t="n">
        <v>155.19</v>
      </c>
      <c r="F1229" s="9" t="n">
        <v>155.19</v>
      </c>
      <c r="G1229" s="9">
        <f>ROUND(E1229-F1229,2)</f>
        <v>0</v>
      </c>
    </row>
    <row r="1230">
      <c r="A1230" t="inlineStr">
        <is>
          <t>RA45083</t>
        </is>
      </c>
      <c r="B1230" t="inlineStr">
        <is>
          <t>Clearpath NDIS Plans</t>
        </is>
      </c>
      <c r="C1230" s="5" t="n">
        <v>46265</v>
      </c>
      <c r="D1230" t="inlineStr">
        <is>
          <t>INV/2026/02760</t>
        </is>
      </c>
      <c r="E1230" s="9" t="n">
        <v>223.99</v>
      </c>
      <c r="F1230" s="9" t="n">
        <v>223.99</v>
      </c>
      <c r="G1230" s="9">
        <f>ROUND(E1230-F1230,2)</f>
        <v>0</v>
      </c>
    </row>
    <row r="1231">
      <c r="A1231" t="inlineStr">
        <is>
          <t>RA45083</t>
        </is>
      </c>
      <c r="B1231" t="inlineStr">
        <is>
          <t>Clearpath NDIS Plans</t>
        </is>
      </c>
      <c r="C1231" s="5" t="n">
        <v>46265</v>
      </c>
      <c r="D1231" t="inlineStr">
        <is>
          <t>INV/2026/02801</t>
        </is>
      </c>
      <c r="E1231" s="9" t="n">
        <v>387.98</v>
      </c>
      <c r="F1231" s="9" t="n">
        <v>387.98</v>
      </c>
      <c r="G1231" s="9">
        <f>ROUND(E1231-F1231,2)</f>
        <v>0</v>
      </c>
    </row>
    <row r="1232">
      <c r="A1232" t="inlineStr">
        <is>
          <t>RA45083</t>
        </is>
      </c>
      <c r="B1232" t="inlineStr">
        <is>
          <t>Clearpath NDIS Plans</t>
        </is>
      </c>
      <c r="C1232" s="5" t="n">
        <v>46265</v>
      </c>
      <c r="D1232" t="inlineStr">
        <is>
          <t>INV/2026/02802</t>
        </is>
      </c>
      <c r="E1232" s="9" t="n">
        <v>145.49</v>
      </c>
      <c r="F1232" s="9" t="n">
        <v>145.49</v>
      </c>
      <c r="G1232" s="9">
        <f>ROUND(E1232-F1232,2)</f>
        <v>0</v>
      </c>
    </row>
    <row r="1233">
      <c r="A1233" t="inlineStr">
        <is>
          <t>RA45084</t>
        </is>
      </c>
      <c r="B1233" t="inlineStr">
        <is>
          <t>Ironbark Plan Management</t>
        </is>
      </c>
      <c r="C1233" s="5" t="n">
        <v>46265</v>
      </c>
      <c r="D1233" t="inlineStr">
        <is>
          <t>INV/2026/02764</t>
        </is>
      </c>
      <c r="E1233" s="9" t="n">
        <v>96.98999999999999</v>
      </c>
      <c r="F1233" s="9" t="n">
        <v>96.98999999999999</v>
      </c>
      <c r="G1233" s="9">
        <f>ROUND(E1233-F1233,2)</f>
        <v>0</v>
      </c>
    </row>
    <row r="1234">
      <c r="A1234" t="inlineStr">
        <is>
          <t>RA45084</t>
        </is>
      </c>
      <c r="B1234" t="inlineStr">
        <is>
          <t>Ironbark Plan Management</t>
        </is>
      </c>
      <c r="C1234" s="5" t="n">
        <v>46265</v>
      </c>
      <c r="D1234" t="inlineStr">
        <is>
          <t>INV/2026/02784</t>
        </is>
      </c>
      <c r="E1234" s="9" t="n">
        <v>300.69</v>
      </c>
      <c r="F1234" s="9" t="n">
        <v>300.69</v>
      </c>
      <c r="G1234" s="9">
        <f>ROUND(E1234-F1234,2)</f>
        <v>0</v>
      </c>
    </row>
    <row r="1235">
      <c r="A1235" t="inlineStr">
        <is>
          <t>RA45084</t>
        </is>
      </c>
      <c r="B1235" t="inlineStr">
        <is>
          <t>Ironbark Plan Management</t>
        </is>
      </c>
      <c r="C1235" s="5" t="n">
        <v>46265</v>
      </c>
      <c r="D1235" t="inlineStr">
        <is>
          <t>INV/2026/02806</t>
        </is>
      </c>
      <c r="E1235" s="9" t="n">
        <v>145.49</v>
      </c>
      <c r="F1235" s="9" t="n">
        <v>145.49</v>
      </c>
      <c r="G1235" s="9">
        <f>ROUND(E1235-F1235,2)</f>
        <v>0</v>
      </c>
    </row>
    <row r="1236">
      <c r="A1236" t="inlineStr">
        <is>
          <t>RA45084</t>
        </is>
      </c>
      <c r="B1236" t="inlineStr">
        <is>
          <t>Ironbark Plan Management</t>
        </is>
      </c>
      <c r="C1236" s="5" t="n">
        <v>46265</v>
      </c>
      <c r="D1236" t="inlineStr">
        <is>
          <t>INV/2026/02829</t>
        </is>
      </c>
      <c r="E1236" s="9" t="n">
        <v>203.69</v>
      </c>
      <c r="F1236" s="9" t="n">
        <v>203.69</v>
      </c>
      <c r="G1236" s="9">
        <f>ROUND(E1236-F1236,2)</f>
        <v>0</v>
      </c>
    </row>
    <row r="1237">
      <c r="A1237" t="inlineStr">
        <is>
          <t>RA45085</t>
        </is>
      </c>
      <c r="B1237" t="inlineStr">
        <is>
          <t>Kookaburra Plan Support</t>
        </is>
      </c>
      <c r="C1237" s="5" t="n">
        <v>46265</v>
      </c>
      <c r="D1237" t="inlineStr">
        <is>
          <t>INV/2026/02831</t>
        </is>
      </c>
      <c r="E1237" s="9" t="n">
        <v>320.98</v>
      </c>
      <c r="F1237" s="9" t="n">
        <v>320.98</v>
      </c>
      <c r="G1237" s="9">
        <f>ROUND(E1237-F1237,2)</f>
        <v>0</v>
      </c>
    </row>
    <row r="1238">
      <c r="A1238" t="inlineStr">
        <is>
          <t>RA45085</t>
        </is>
      </c>
      <c r="B1238" t="inlineStr">
        <is>
          <t>Kookaburra Plan Support</t>
        </is>
      </c>
      <c r="C1238" s="5" t="n">
        <v>46265</v>
      </c>
      <c r="D1238" t="inlineStr">
        <is>
          <t>INV/2026/02847</t>
        </is>
      </c>
      <c r="E1238" s="9" t="n">
        <v>193.99</v>
      </c>
      <c r="F1238" s="9" t="n">
        <v>193.99</v>
      </c>
      <c r="G1238" s="9">
        <f>ROUND(E1238-F1238,2)</f>
        <v>0</v>
      </c>
    </row>
    <row r="1239">
      <c r="A1239" t="inlineStr">
        <is>
          <t>RA45085</t>
        </is>
      </c>
      <c r="B1239" t="inlineStr">
        <is>
          <t>Kookaburra Plan Support</t>
        </is>
      </c>
      <c r="C1239" s="5" t="n">
        <v>46265</v>
      </c>
      <c r="D1239" t="inlineStr">
        <is>
          <t>INV/2026/02848</t>
        </is>
      </c>
      <c r="E1239" s="9" t="n">
        <v>96.98999999999999</v>
      </c>
      <c r="F1239" s="9" t="n">
        <v>96.98999999999999</v>
      </c>
      <c r="G1239" s="9">
        <f>ROUND(E1239-F1239,2)</f>
        <v>0</v>
      </c>
    </row>
    <row r="1240">
      <c r="A1240" t="inlineStr">
        <is>
          <t>RA45086</t>
        </is>
      </c>
      <c r="B1240" t="inlineStr">
        <is>
          <t>Saltbush Plan Managers</t>
        </is>
      </c>
      <c r="C1240" s="5" t="n">
        <v>46265</v>
      </c>
      <c r="D1240" t="inlineStr">
        <is>
          <t>INV/2026/02766</t>
        </is>
      </c>
      <c r="E1240" s="9" t="n">
        <v>145.49</v>
      </c>
      <c r="F1240" s="9" t="n">
        <v>145.49</v>
      </c>
      <c r="G1240" s="9">
        <f>ROUND(E1240-F1240,2)</f>
        <v>0</v>
      </c>
    </row>
    <row r="1241">
      <c r="A1241" t="inlineStr">
        <is>
          <t>RA45086</t>
        </is>
      </c>
      <c r="B1241" t="inlineStr">
        <is>
          <t>Saltbush Plan Managers</t>
        </is>
      </c>
      <c r="C1241" s="5" t="n">
        <v>46265</v>
      </c>
      <c r="D1241" t="inlineStr">
        <is>
          <t>INV/2026/02786</t>
        </is>
      </c>
      <c r="E1241" s="9" t="n">
        <v>387.98</v>
      </c>
      <c r="F1241" s="9" t="n">
        <v>387.98</v>
      </c>
      <c r="G1241" s="9">
        <f>ROUND(E1241-F1241,2)</f>
        <v>0</v>
      </c>
    </row>
    <row r="1242">
      <c r="A1242" t="inlineStr">
        <is>
          <t>RA45087</t>
        </is>
      </c>
      <c r="B1242" t="inlineStr">
        <is>
          <t>Redgum Plan Admin</t>
        </is>
      </c>
      <c r="C1242" s="5" t="n">
        <v>46265</v>
      </c>
      <c r="D1242" t="inlineStr">
        <is>
          <t>INV/2026/02811</t>
        </is>
      </c>
      <c r="E1242" s="9" t="n">
        <v>96.98999999999999</v>
      </c>
      <c r="F1242" s="9" t="n">
        <v>96.98999999999999</v>
      </c>
      <c r="G1242" s="9">
        <f>ROUND(E1242-F1242,2)</f>
        <v>0</v>
      </c>
    </row>
    <row r="1243">
      <c r="A1243" t="inlineStr">
        <is>
          <t>RA45087</t>
        </is>
      </c>
      <c r="B1243" t="inlineStr">
        <is>
          <t>Redgum Plan Admin</t>
        </is>
      </c>
      <c r="C1243" s="5" t="n">
        <v>46265</v>
      </c>
      <c r="D1243" t="inlineStr">
        <is>
          <t>INV/2026/02851</t>
        </is>
      </c>
      <c r="E1243" s="9" t="n">
        <v>387.98</v>
      </c>
      <c r="F1243" s="9" t="n">
        <v>387.98</v>
      </c>
      <c r="G1243" s="9">
        <f>ROUND(E1243-F1243,2)</f>
        <v>0</v>
      </c>
    </row>
    <row r="1244">
      <c r="A1244" t="inlineStr">
        <is>
          <t>RA45087</t>
        </is>
      </c>
      <c r="B1244" t="inlineStr">
        <is>
          <t>Redgum Plan Admin</t>
        </is>
      </c>
      <c r="C1244" s="5" t="n">
        <v>46265</v>
      </c>
      <c r="D1244" t="inlineStr">
        <is>
          <t>INV/2026/02852</t>
        </is>
      </c>
      <c r="E1244" s="9" t="n">
        <v>145.49</v>
      </c>
      <c r="F1244" s="9" t="n">
        <v>145.49</v>
      </c>
      <c r="G1244" s="9">
        <f>ROUND(E1244-F1244,2)</f>
        <v>0</v>
      </c>
    </row>
    <row r="1245">
      <c r="A1245" t="inlineStr">
        <is>
          <t>RA45088</t>
        </is>
      </c>
      <c r="B1245" t="inlineStr">
        <is>
          <t>Acacia Plan Partners</t>
        </is>
      </c>
      <c r="C1245" s="5" t="n">
        <v>46265</v>
      </c>
      <c r="D1245" t="inlineStr">
        <is>
          <t>INV/2026/02681</t>
        </is>
      </c>
      <c r="E1245" s="9" t="n">
        <v>242.49</v>
      </c>
      <c r="F1245" s="9" t="n">
        <v>242.49</v>
      </c>
      <c r="G1245" s="9">
        <f>ROUND(E1245-F1245,2)</f>
        <v>0</v>
      </c>
    </row>
    <row r="1246">
      <c r="A1246" t="inlineStr">
        <is>
          <t>RA45088</t>
        </is>
      </c>
      <c r="B1246" t="inlineStr">
        <is>
          <t>Acacia Plan Partners</t>
        </is>
      </c>
      <c r="C1246" s="5" t="n">
        <v>46265</v>
      </c>
      <c r="D1246" t="inlineStr">
        <is>
          <t>INV/2026/02706</t>
        </is>
      </c>
      <c r="E1246" s="9" t="n">
        <v>417.98</v>
      </c>
      <c r="F1246" s="9" t="n">
        <v>417.98</v>
      </c>
      <c r="G1246" s="9">
        <f>ROUND(E1246-F1246,2)</f>
        <v>0</v>
      </c>
    </row>
    <row r="1247">
      <c r="A1247" t="inlineStr">
        <is>
          <t>RA45088</t>
        </is>
      </c>
      <c r="B1247" t="inlineStr">
        <is>
          <t>Acacia Plan Partners</t>
        </is>
      </c>
      <c r="C1247" s="5" t="n">
        <v>46265</v>
      </c>
      <c r="D1247" t="inlineStr">
        <is>
          <t>INV/2026/02730</t>
        </is>
      </c>
      <c r="E1247" s="9" t="n">
        <v>203.69</v>
      </c>
      <c r="F1247" s="9" t="n">
        <v>203.69</v>
      </c>
      <c r="G1247" s="9">
        <f>ROUND(E1247-F1247,2)</f>
        <v>0</v>
      </c>
    </row>
    <row r="1248">
      <c r="A1248" t="inlineStr">
        <is>
          <t>RA45088</t>
        </is>
      </c>
      <c r="B1248" t="inlineStr">
        <is>
          <t>Acacia Plan Partners</t>
        </is>
      </c>
      <c r="C1248" s="5" t="n">
        <v>46265</v>
      </c>
      <c r="D1248" t="inlineStr">
        <is>
          <t>INV/2026/02731</t>
        </is>
      </c>
      <c r="E1248" s="9" t="n">
        <v>300.69</v>
      </c>
      <c r="F1248" s="9" t="n">
        <v>300.69</v>
      </c>
      <c r="G1248" s="9">
        <f>ROUND(E1248-F1248,2)</f>
        <v>0</v>
      </c>
    </row>
    <row r="1249">
      <c r="A1249" t="inlineStr">
        <is>
          <t>RA45088</t>
        </is>
      </c>
      <c r="B1249" t="inlineStr">
        <is>
          <t>Acacia Plan Partners</t>
        </is>
      </c>
      <c r="C1249" s="5" t="n">
        <v>46265</v>
      </c>
      <c r="D1249" t="inlineStr">
        <is>
          <t>INV/2026/02750</t>
        </is>
      </c>
      <c r="E1249" s="9" t="n">
        <v>417.98</v>
      </c>
      <c r="F1249" s="9" t="n">
        <v>417.98</v>
      </c>
      <c r="G1249" s="9">
        <f>ROUND(E1249-F1249,2)</f>
        <v>0</v>
      </c>
    </row>
    <row r="1250">
      <c r="A1250" t="inlineStr">
        <is>
          <t>RA45088</t>
        </is>
      </c>
      <c r="B1250" t="inlineStr">
        <is>
          <t>Acacia Plan Partners</t>
        </is>
      </c>
      <c r="C1250" s="5" t="n">
        <v>46265</v>
      </c>
      <c r="D1250" t="inlineStr">
        <is>
          <t>INV/2026/02775</t>
        </is>
      </c>
      <c r="E1250" s="9" t="n">
        <v>203.69</v>
      </c>
      <c r="F1250" s="9" t="n">
        <v>203.69</v>
      </c>
      <c r="G1250" s="9">
        <f>ROUND(E1250-F1250,2)</f>
        <v>0</v>
      </c>
    </row>
    <row r="1251">
      <c r="A1251" t="inlineStr">
        <is>
          <t>RA45088</t>
        </is>
      </c>
      <c r="B1251" t="inlineStr">
        <is>
          <t>Acacia Plan Partners</t>
        </is>
      </c>
      <c r="C1251" s="5" t="n">
        <v>46265</v>
      </c>
      <c r="D1251" t="inlineStr">
        <is>
          <t>INV/2026/02793</t>
        </is>
      </c>
      <c r="E1251" s="9" t="n">
        <v>387.98</v>
      </c>
      <c r="F1251" s="9" t="n">
        <v>387.98</v>
      </c>
      <c r="G1251" s="9">
        <f>ROUND(E1251-F1251,2)</f>
        <v>0</v>
      </c>
    </row>
    <row r="1252">
      <c r="A1252" t="inlineStr">
        <is>
          <t>RA45088</t>
        </is>
      </c>
      <c r="B1252" t="inlineStr">
        <is>
          <t>Acacia Plan Partners</t>
        </is>
      </c>
      <c r="C1252" s="5" t="n">
        <v>46265</v>
      </c>
      <c r="D1252" t="inlineStr">
        <is>
          <t>INV/2026/02794</t>
        </is>
      </c>
      <c r="E1252" s="9" t="n">
        <v>387.98</v>
      </c>
      <c r="F1252" s="9" t="n">
        <v>387.98</v>
      </c>
      <c r="G1252" s="9">
        <f>ROUND(E1252-F1252,2)</f>
        <v>0</v>
      </c>
    </row>
    <row r="1253">
      <c r="A1253" t="inlineStr">
        <is>
          <t>RA45088</t>
        </is>
      </c>
      <c r="B1253" t="inlineStr">
        <is>
          <t>Acacia Plan Partners</t>
        </is>
      </c>
      <c r="C1253" s="5" t="n">
        <v>46265</v>
      </c>
      <c r="D1253" t="inlineStr">
        <is>
          <t>INV/2026/02817</t>
        </is>
      </c>
      <c r="E1253" s="9" t="n">
        <v>175.49</v>
      </c>
      <c r="F1253" s="9" t="n">
        <v>175.49</v>
      </c>
      <c r="G1253" s="9">
        <f>ROUND(E1253-F1253,2)</f>
        <v>0</v>
      </c>
    </row>
    <row r="1254">
      <c r="A1254" t="inlineStr">
        <is>
          <t>RA45088</t>
        </is>
      </c>
      <c r="B1254" t="inlineStr">
        <is>
          <t>Acacia Plan Partners</t>
        </is>
      </c>
      <c r="C1254" s="5" t="n">
        <v>46265</v>
      </c>
      <c r="D1254" t="inlineStr">
        <is>
          <t>INV/2026/02860</t>
        </is>
      </c>
      <c r="E1254" s="9" t="n">
        <v>290.98</v>
      </c>
      <c r="F1254" s="9" t="n">
        <v>290.98</v>
      </c>
      <c r="G1254" s="9">
        <f>ROUND(E1254-F1254,2)</f>
        <v>0</v>
      </c>
    </row>
    <row r="1255">
      <c r="A1255" t="inlineStr">
        <is>
          <t>RA45088</t>
        </is>
      </c>
      <c r="B1255" t="inlineStr">
        <is>
          <t>Acacia Plan Partners</t>
        </is>
      </c>
      <c r="C1255" s="5" t="n">
        <v>46265</v>
      </c>
      <c r="D1255" t="inlineStr">
        <is>
          <t>INV/2026/02880</t>
        </is>
      </c>
      <c r="E1255" s="9" t="n">
        <v>387.98</v>
      </c>
      <c r="F1255" s="9" t="n">
        <v>387.98</v>
      </c>
      <c r="G1255" s="9">
        <f>ROUND(E1255-F1255,2)</f>
        <v>0</v>
      </c>
    </row>
    <row r="1256">
      <c r="A1256" t="inlineStr">
        <is>
          <t>RA45089</t>
        </is>
      </c>
      <c r="B1256" t="inlineStr">
        <is>
          <t>Mallee Plan Services</t>
        </is>
      </c>
      <c r="C1256" s="5" t="n">
        <v>46265</v>
      </c>
      <c r="D1256" t="inlineStr">
        <is>
          <t>INV/2026/02837</t>
        </is>
      </c>
      <c r="E1256" s="9" t="n">
        <v>387.98</v>
      </c>
      <c r="F1256" s="9" t="n">
        <v>387.98</v>
      </c>
      <c r="G1256" s="9">
        <f>ROUND(E1256-F1256,2)</f>
        <v>0</v>
      </c>
    </row>
    <row r="1257">
      <c r="A1257" t="inlineStr">
        <is>
          <t>RA45089</t>
        </is>
      </c>
      <c r="B1257" t="inlineStr">
        <is>
          <t>Mallee Plan Services</t>
        </is>
      </c>
      <c r="C1257" s="5" t="n">
        <v>46265</v>
      </c>
      <c r="D1257" t="inlineStr">
        <is>
          <t>INV/2026/02838</t>
        </is>
      </c>
      <c r="E1257" s="9" t="n">
        <v>387.98</v>
      </c>
      <c r="F1257" s="9" t="n">
        <v>387.98</v>
      </c>
      <c r="G1257" s="9">
        <f>ROUND(E1257-F1257,2)</f>
        <v>0</v>
      </c>
    </row>
    <row r="1258">
      <c r="A1258" t="inlineStr">
        <is>
          <t>RA45089</t>
        </is>
      </c>
      <c r="B1258" t="inlineStr">
        <is>
          <t>Mallee Plan Services</t>
        </is>
      </c>
      <c r="C1258" s="5" t="n">
        <v>46265</v>
      </c>
      <c r="D1258" t="inlineStr">
        <is>
          <t>INV/2026/02861</t>
        </is>
      </c>
      <c r="E1258" s="9" t="n">
        <v>387.98</v>
      </c>
      <c r="F1258" s="9" t="n">
        <v>387.98</v>
      </c>
      <c r="G1258" s="9">
        <f>ROUND(E1258-F1258,2)</f>
        <v>0</v>
      </c>
    </row>
    <row r="1259">
      <c r="A1259" t="inlineStr">
        <is>
          <t>RA45089</t>
        </is>
      </c>
      <c r="B1259" t="inlineStr">
        <is>
          <t>Mallee Plan Services</t>
        </is>
      </c>
      <c r="C1259" s="5" t="n">
        <v>46265</v>
      </c>
      <c r="D1259" t="inlineStr">
        <is>
          <t>INV/2026/02882</t>
        </is>
      </c>
      <c r="E1259" s="9" t="n">
        <v>242.49</v>
      </c>
      <c r="F1259" s="9" t="n">
        <v>242.49</v>
      </c>
      <c r="G1259" s="9">
        <f>ROUND(E1259-F1259,2)</f>
        <v>0</v>
      </c>
    </row>
    <row r="1260">
      <c r="A1260" t="inlineStr">
        <is>
          <t>RA45089</t>
        </is>
      </c>
      <c r="B1260" t="inlineStr">
        <is>
          <t>Mallee Plan Services</t>
        </is>
      </c>
      <c r="C1260" s="5" t="n">
        <v>46265</v>
      </c>
      <c r="D1260" t="inlineStr">
        <is>
          <t>INV/2026/02901</t>
        </is>
      </c>
      <c r="E1260" s="9" t="n">
        <v>193.99</v>
      </c>
      <c r="F1260" s="9" t="n">
        <v>193.99</v>
      </c>
      <c r="G1260" s="9">
        <f>ROUND(E1260-F1260,2)</f>
        <v>0</v>
      </c>
    </row>
    <row r="1261">
      <c r="A1261" t="inlineStr">
        <is>
          <t>RA45090</t>
        </is>
      </c>
      <c r="B1261" t="inlineStr">
        <is>
          <t>Riverbend Plan Partners</t>
        </is>
      </c>
      <c r="C1261" s="5" t="n">
        <v>46266</v>
      </c>
      <c r="D1261" t="inlineStr">
        <is>
          <t>INV/2026/02798</t>
        </is>
      </c>
      <c r="E1261" s="9" t="n">
        <v>417.98</v>
      </c>
      <c r="F1261" s="9" t="n">
        <v>417.98</v>
      </c>
      <c r="G1261" s="9">
        <f>ROUND(E1261-F1261,2)</f>
        <v>0</v>
      </c>
    </row>
    <row r="1262">
      <c r="A1262" t="inlineStr">
        <is>
          <t>RA45090</t>
        </is>
      </c>
      <c r="B1262" t="inlineStr">
        <is>
          <t>Riverbend Plan Partners</t>
        </is>
      </c>
      <c r="C1262" s="5" t="n">
        <v>46266</v>
      </c>
      <c r="D1262" t="inlineStr">
        <is>
          <t>INV/2026/02799</t>
        </is>
      </c>
      <c r="E1262" s="9" t="n">
        <v>387.98</v>
      </c>
      <c r="F1262" s="9" t="n">
        <v>387.98</v>
      </c>
      <c r="G1262" s="9">
        <f>ROUND(E1262-F1262,2)</f>
        <v>0</v>
      </c>
    </row>
    <row r="1263">
      <c r="A1263" t="inlineStr">
        <is>
          <t>RA45090</t>
        </is>
      </c>
      <c r="B1263" t="inlineStr">
        <is>
          <t>Riverbend Plan Partners</t>
        </is>
      </c>
      <c r="C1263" s="5" t="n">
        <v>46266</v>
      </c>
      <c r="D1263" t="inlineStr">
        <is>
          <t>INV/2026/02842</t>
        </is>
      </c>
      <c r="E1263" s="9" t="n">
        <v>193.99</v>
      </c>
      <c r="F1263" s="9" t="n">
        <v>193.99</v>
      </c>
      <c r="G1263" s="9">
        <f>ROUND(E1263-F1263,2)</f>
        <v>0</v>
      </c>
    </row>
    <row r="1264">
      <c r="A1264" t="inlineStr">
        <is>
          <t>RA45091</t>
        </is>
      </c>
      <c r="B1264" t="inlineStr">
        <is>
          <t>Banksia Plan Co</t>
        </is>
      </c>
      <c r="C1264" s="5" t="n">
        <v>46266</v>
      </c>
      <c r="D1264" t="inlineStr">
        <is>
          <t>INV/2026/02805</t>
        </is>
      </c>
      <c r="E1264" s="9" t="n">
        <v>193.99</v>
      </c>
      <c r="F1264" s="9" t="n">
        <v>193.99</v>
      </c>
      <c r="G1264" s="9">
        <f>ROUND(E1264-F1264,2)</f>
        <v>0</v>
      </c>
    </row>
    <row r="1265">
      <c r="A1265" t="inlineStr">
        <is>
          <t>RA45091</t>
        </is>
      </c>
      <c r="B1265" t="inlineStr">
        <is>
          <t>Banksia Plan Co</t>
        </is>
      </c>
      <c r="C1265" s="5" t="n">
        <v>46266</v>
      </c>
      <c r="D1265" t="inlineStr">
        <is>
          <t>INV/2026/02826</t>
        </is>
      </c>
      <c r="E1265" s="9" t="n">
        <v>96.98999999999999</v>
      </c>
      <c r="F1265" s="9" t="n">
        <v>96.98999999999999</v>
      </c>
      <c r="G1265" s="9">
        <f>ROUND(E1265-F1265,2)</f>
        <v>0</v>
      </c>
    </row>
    <row r="1266">
      <c r="A1266" t="inlineStr">
        <is>
          <t>RA45091</t>
        </is>
      </c>
      <c r="B1266" t="inlineStr">
        <is>
          <t>Banksia Plan Co</t>
        </is>
      </c>
      <c r="C1266" s="5" t="n">
        <v>46266</v>
      </c>
      <c r="D1266" t="inlineStr">
        <is>
          <t>INV/2026/02845</t>
        </is>
      </c>
      <c r="E1266" s="9" t="n">
        <v>96.98999999999999</v>
      </c>
      <c r="F1266" s="9" t="n">
        <v>96.98999999999999</v>
      </c>
      <c r="G1266" s="9">
        <f>ROUND(E1266-F1266,2)</f>
        <v>0</v>
      </c>
    </row>
    <row r="1267">
      <c r="A1267" t="inlineStr">
        <is>
          <t>RA45091</t>
        </is>
      </c>
      <c r="B1267" t="inlineStr">
        <is>
          <t>Banksia Plan Co</t>
        </is>
      </c>
      <c r="C1267" s="5" t="n">
        <v>46266</v>
      </c>
      <c r="D1267" t="inlineStr">
        <is>
          <t>INV/2026/02891</t>
        </is>
      </c>
      <c r="E1267" s="9" t="n">
        <v>145.49</v>
      </c>
      <c r="F1267" s="9" t="n">
        <v>145.49</v>
      </c>
      <c r="G1267" s="9">
        <f>ROUND(E1267-F1267,2)</f>
        <v>0</v>
      </c>
    </row>
    <row r="1268">
      <c r="A1268" t="inlineStr">
        <is>
          <t>RA45092</t>
        </is>
      </c>
      <c r="B1268" t="inlineStr">
        <is>
          <t>Ironbark Plan Management</t>
        </is>
      </c>
      <c r="C1268" s="5" t="n">
        <v>46266</v>
      </c>
      <c r="D1268" t="inlineStr">
        <is>
          <t>INV/2026/02846</t>
        </is>
      </c>
      <c r="E1268" s="9" t="n">
        <v>290.98</v>
      </c>
      <c r="F1268" s="9" t="n">
        <v>290.98</v>
      </c>
      <c r="G1268" s="9">
        <f>ROUND(E1268-F1268,2)</f>
        <v>0</v>
      </c>
    </row>
    <row r="1269">
      <c r="A1269" t="inlineStr">
        <is>
          <t>RA45092</t>
        </is>
      </c>
      <c r="B1269" t="inlineStr">
        <is>
          <t>Ironbark Plan Management</t>
        </is>
      </c>
      <c r="C1269" s="5" t="n">
        <v>46266</v>
      </c>
      <c r="D1269" t="inlineStr">
        <is>
          <t>INV/2026/02869</t>
        </is>
      </c>
      <c r="E1269" s="9" t="n">
        <v>320.98</v>
      </c>
      <c r="F1269" s="9" t="n">
        <v>320.98</v>
      </c>
      <c r="G1269" s="9">
        <f>ROUND(E1269-F1269,2)</f>
        <v>0</v>
      </c>
    </row>
    <row r="1270">
      <c r="A1270" t="inlineStr">
        <is>
          <t>RA45092</t>
        </is>
      </c>
      <c r="B1270" t="inlineStr">
        <is>
          <t>Ironbark Plan Management</t>
        </is>
      </c>
      <c r="C1270" s="5" t="n">
        <v>46266</v>
      </c>
      <c r="D1270" t="inlineStr">
        <is>
          <t>INV/2026/02870</t>
        </is>
      </c>
      <c r="E1270" s="9" t="n">
        <v>242.49</v>
      </c>
      <c r="F1270" s="9" t="n">
        <v>242.49</v>
      </c>
      <c r="G1270" s="9">
        <f>ROUND(E1270-F1270,2)</f>
        <v>0</v>
      </c>
    </row>
    <row r="1271">
      <c r="A1271" t="inlineStr">
        <is>
          <t>RA45093</t>
        </is>
      </c>
      <c r="B1271" t="inlineStr">
        <is>
          <t>Saltbush Plan Managers</t>
        </is>
      </c>
      <c r="C1271" s="5" t="n">
        <v>46266</v>
      </c>
      <c r="D1271" t="inlineStr">
        <is>
          <t>INV/2026/02787</t>
        </is>
      </c>
      <c r="E1271" s="9" t="n">
        <v>349.18</v>
      </c>
      <c r="F1271" s="9" t="n">
        <v>349.18</v>
      </c>
      <c r="G1271" s="9">
        <f>ROUND(E1271-F1271,2)</f>
        <v>0</v>
      </c>
    </row>
    <row r="1272">
      <c r="A1272" t="inlineStr">
        <is>
          <t>RA45093</t>
        </is>
      </c>
      <c r="B1272" t="inlineStr">
        <is>
          <t>Saltbush Plan Managers</t>
        </is>
      </c>
      <c r="C1272" s="5" t="n">
        <v>46266</v>
      </c>
      <c r="D1272" t="inlineStr">
        <is>
          <t>INV/2026/02788</t>
        </is>
      </c>
      <c r="E1272" s="9" t="n">
        <v>96.98999999999999</v>
      </c>
      <c r="F1272" s="9" t="n">
        <v>96.98999999999999</v>
      </c>
      <c r="G1272" s="9">
        <f>ROUND(E1272-F1272,2)</f>
        <v>0</v>
      </c>
    </row>
    <row r="1273">
      <c r="A1273" t="inlineStr">
        <is>
          <t>RA45093</t>
        </is>
      </c>
      <c r="B1273" t="inlineStr">
        <is>
          <t>Saltbush Plan Managers</t>
        </is>
      </c>
      <c r="C1273" s="5" t="n">
        <v>46266</v>
      </c>
      <c r="D1273" t="inlineStr">
        <is>
          <t>INV/2026/02807</t>
        </is>
      </c>
      <c r="E1273" s="9" t="n">
        <v>223.99</v>
      </c>
      <c r="F1273" s="9" t="n">
        <v>223.99</v>
      </c>
      <c r="G1273" s="9">
        <f>ROUND(E1273-F1273,2)</f>
        <v>0</v>
      </c>
    </row>
    <row r="1274">
      <c r="A1274" t="inlineStr">
        <is>
          <t>RA45093</t>
        </is>
      </c>
      <c r="B1274" t="inlineStr">
        <is>
          <t>Saltbush Plan Managers</t>
        </is>
      </c>
      <c r="C1274" s="5" t="n">
        <v>46266</v>
      </c>
      <c r="D1274" t="inlineStr">
        <is>
          <t>INV/2026/02808</t>
        </is>
      </c>
      <c r="E1274" s="9" t="n">
        <v>290.98</v>
      </c>
      <c r="F1274" s="9" t="n">
        <v>290.98</v>
      </c>
      <c r="G1274" s="9">
        <f>ROUND(E1274-F1274,2)</f>
        <v>0</v>
      </c>
    </row>
    <row r="1275">
      <c r="A1275" t="inlineStr">
        <is>
          <t>RA45093</t>
        </is>
      </c>
      <c r="B1275" t="inlineStr">
        <is>
          <t>Saltbush Plan Managers</t>
        </is>
      </c>
      <c r="C1275" s="5" t="n">
        <v>46266</v>
      </c>
      <c r="D1275" t="inlineStr">
        <is>
          <t>INV/2026/02833</t>
        </is>
      </c>
      <c r="E1275" s="9" t="n">
        <v>300.69</v>
      </c>
      <c r="F1275" s="9" t="n">
        <v>300.69</v>
      </c>
      <c r="G1275" s="9">
        <f>ROUND(E1275-F1275,2)</f>
        <v>0</v>
      </c>
    </row>
    <row r="1276">
      <c r="A1276" t="inlineStr">
        <is>
          <t>RA45093</t>
        </is>
      </c>
      <c r="B1276" t="inlineStr">
        <is>
          <t>Saltbush Plan Managers</t>
        </is>
      </c>
      <c r="C1276" s="5" t="n">
        <v>46266</v>
      </c>
      <c r="D1276" t="inlineStr">
        <is>
          <t>INV/2026/02874</t>
        </is>
      </c>
      <c r="E1276" s="9" t="n">
        <v>126.99</v>
      </c>
      <c r="F1276" s="9" t="n">
        <v>126.99</v>
      </c>
      <c r="G1276" s="9">
        <f>ROUND(E1276-F1276,2)</f>
        <v>0</v>
      </c>
    </row>
    <row r="1277">
      <c r="A1277" t="inlineStr">
        <is>
          <t>RA45094</t>
        </is>
      </c>
      <c r="B1277" t="inlineStr">
        <is>
          <t>Redgum Plan Admin</t>
        </is>
      </c>
      <c r="C1277" s="5" t="n">
        <v>46266</v>
      </c>
      <c r="D1277" t="inlineStr">
        <is>
          <t>INV/2026/02809</t>
        </is>
      </c>
      <c r="E1277" s="9" t="n">
        <v>300.69</v>
      </c>
      <c r="F1277" s="9" t="n">
        <v>300.69</v>
      </c>
      <c r="G1277" s="9">
        <f>ROUND(E1277-F1277,2)</f>
        <v>0</v>
      </c>
    </row>
    <row r="1278">
      <c r="A1278" t="inlineStr">
        <is>
          <t>RA45094</t>
        </is>
      </c>
      <c r="B1278" t="inlineStr">
        <is>
          <t>Redgum Plan Admin</t>
        </is>
      </c>
      <c r="C1278" s="5" t="n">
        <v>46266</v>
      </c>
      <c r="D1278" t="inlineStr">
        <is>
          <t>INV/2026/02810</t>
        </is>
      </c>
      <c r="E1278" s="9" t="n">
        <v>175.49</v>
      </c>
      <c r="F1278" s="9" t="n">
        <v>175.49</v>
      </c>
      <c r="G1278" s="9">
        <f>ROUND(E1278-F1278,2)</f>
        <v>0</v>
      </c>
    </row>
    <row r="1279">
      <c r="A1279" t="inlineStr">
        <is>
          <t>RA45094</t>
        </is>
      </c>
      <c r="B1279" t="inlineStr">
        <is>
          <t>Redgum Plan Admin</t>
        </is>
      </c>
      <c r="C1279" s="5" t="n">
        <v>46266</v>
      </c>
      <c r="D1279" t="inlineStr">
        <is>
          <t>INV/2026/02875</t>
        </is>
      </c>
      <c r="E1279" s="9" t="n">
        <v>272.49</v>
      </c>
      <c r="F1279" s="9" t="n">
        <v>272.49</v>
      </c>
      <c r="G1279" s="9">
        <f>ROUND(E1279-F1279,2)</f>
        <v>0</v>
      </c>
    </row>
    <row r="1280">
      <c r="A1280" t="inlineStr">
        <is>
          <t>RA45095</t>
        </is>
      </c>
      <c r="B1280" t="inlineStr">
        <is>
          <t>Southern Cross Plan Mgmt</t>
        </is>
      </c>
      <c r="C1280" s="5" t="n">
        <v>46266</v>
      </c>
      <c r="D1280" t="inlineStr">
        <is>
          <t>INV/2026/02264</t>
        </is>
      </c>
      <c r="E1280" s="9" t="n">
        <v>145.49</v>
      </c>
      <c r="F1280" s="9" t="n">
        <v>130.94</v>
      </c>
      <c r="G1280" s="9">
        <f>ROUND(E1280-F1280,2)</f>
        <v>14.55</v>
      </c>
    </row>
    <row r="1281">
      <c r="A1281" t="inlineStr">
        <is>
          <t>RA45095</t>
        </is>
      </c>
      <c r="B1281" t="inlineStr">
        <is>
          <t>Southern Cross Plan Mgmt</t>
        </is>
      </c>
      <c r="C1281" s="5" t="n">
        <v>46266</v>
      </c>
      <c r="D1281" t="inlineStr">
        <is>
          <t>INV/2026/02292</t>
        </is>
      </c>
      <c r="E1281" s="9" t="n">
        <v>193.99</v>
      </c>
      <c r="F1281" s="9" t="n">
        <v>193.99</v>
      </c>
      <c r="G1281" s="9">
        <f>ROUND(E1281-F1281,2)</f>
        <v>0</v>
      </c>
    </row>
    <row r="1282">
      <c r="A1282" t="inlineStr">
        <is>
          <t>RA45095</t>
        </is>
      </c>
      <c r="B1282" t="inlineStr">
        <is>
          <t>Southern Cross Plan Mgmt</t>
        </is>
      </c>
      <c r="C1282" s="5" t="n">
        <v>46266</v>
      </c>
      <c r="D1282" t="inlineStr">
        <is>
          <t>INV/2026/02311</t>
        </is>
      </c>
      <c r="E1282" s="9" t="n">
        <v>242.49</v>
      </c>
      <c r="F1282" s="9" t="n">
        <v>242.49</v>
      </c>
      <c r="G1282" s="9">
        <f>ROUND(E1282-F1282,2)</f>
        <v>0</v>
      </c>
    </row>
    <row r="1283">
      <c r="A1283" t="inlineStr">
        <is>
          <t>RA45095</t>
        </is>
      </c>
      <c r="B1283" t="inlineStr">
        <is>
          <t>Southern Cross Plan Mgmt</t>
        </is>
      </c>
      <c r="C1283" s="5" t="n">
        <v>46266</v>
      </c>
      <c r="D1283" t="inlineStr">
        <is>
          <t>INV/2026/02312</t>
        </is>
      </c>
      <c r="E1283" s="9" t="n">
        <v>290.98</v>
      </c>
      <c r="F1283" s="9" t="n">
        <v>290.98</v>
      </c>
      <c r="G1283" s="9">
        <f>ROUND(E1283-F1283,2)</f>
        <v>0</v>
      </c>
    </row>
    <row r="1284">
      <c r="A1284" t="inlineStr">
        <is>
          <t>RA45095</t>
        </is>
      </c>
      <c r="B1284" t="inlineStr">
        <is>
          <t>Southern Cross Plan Mgmt</t>
        </is>
      </c>
      <c r="C1284" s="5" t="n">
        <v>46266</v>
      </c>
      <c r="D1284" t="inlineStr">
        <is>
          <t>INV/2026/02330</t>
        </is>
      </c>
      <c r="E1284" s="9" t="n">
        <v>193.99</v>
      </c>
      <c r="F1284" s="9" t="n">
        <v>193.99</v>
      </c>
      <c r="G1284" s="9">
        <f>ROUND(E1284-F1284,2)</f>
        <v>0</v>
      </c>
    </row>
    <row r="1285">
      <c r="A1285" t="inlineStr">
        <is>
          <t>RA45095</t>
        </is>
      </c>
      <c r="B1285" t="inlineStr">
        <is>
          <t>Southern Cross Plan Mgmt</t>
        </is>
      </c>
      <c r="C1285" s="5" t="n">
        <v>46266</v>
      </c>
      <c r="D1285" t="inlineStr">
        <is>
          <t>INV/2026/02331</t>
        </is>
      </c>
      <c r="E1285" s="9" t="n">
        <v>96.98999999999999</v>
      </c>
      <c r="F1285" s="9" t="n">
        <v>96.98999999999999</v>
      </c>
      <c r="G1285" s="9">
        <f>ROUND(E1285-F1285,2)</f>
        <v>0</v>
      </c>
    </row>
    <row r="1286">
      <c r="A1286" t="inlineStr">
        <is>
          <t>RA45095</t>
        </is>
      </c>
      <c r="B1286" t="inlineStr">
        <is>
          <t>Southern Cross Plan Mgmt</t>
        </is>
      </c>
      <c r="C1286" s="5" t="n">
        <v>46266</v>
      </c>
      <c r="D1286" t="inlineStr">
        <is>
          <t>INV/2026/02359</t>
        </is>
      </c>
      <c r="E1286" s="9" t="n">
        <v>193.99</v>
      </c>
      <c r="F1286" s="9" t="n">
        <v>193.99</v>
      </c>
      <c r="G1286" s="9">
        <f>ROUND(E1286-F1286,2)</f>
        <v>0</v>
      </c>
    </row>
    <row r="1287">
      <c r="A1287" t="inlineStr">
        <is>
          <t>RA45095</t>
        </is>
      </c>
      <c r="B1287" t="inlineStr">
        <is>
          <t>Southern Cross Plan Mgmt</t>
        </is>
      </c>
      <c r="C1287" s="5" t="n">
        <v>46266</v>
      </c>
      <c r="D1287" t="inlineStr">
        <is>
          <t>INV/2026/02360</t>
        </is>
      </c>
      <c r="E1287" s="9" t="n">
        <v>155.19</v>
      </c>
      <c r="F1287" s="9" t="n">
        <v>155.19</v>
      </c>
      <c r="G1287" s="9">
        <f>ROUND(E1287-F1287,2)</f>
        <v>0</v>
      </c>
    </row>
    <row r="1288">
      <c r="A1288" t="inlineStr">
        <is>
          <t>RA45096</t>
        </is>
      </c>
      <c r="B1288" t="inlineStr">
        <is>
          <t>Lyrebird Plan Management</t>
        </is>
      </c>
      <c r="C1288" s="5" t="n">
        <v>46266</v>
      </c>
      <c r="D1288" t="inlineStr">
        <is>
          <t>INV/2026/02773</t>
        </is>
      </c>
      <c r="E1288" s="9" t="n">
        <v>145.49</v>
      </c>
      <c r="F1288" s="9" t="n">
        <v>145.49</v>
      </c>
      <c r="G1288" s="9">
        <f>ROUND(E1288-F1288,2)</f>
        <v>0</v>
      </c>
    </row>
    <row r="1289">
      <c r="A1289" t="inlineStr">
        <is>
          <t>RA45096</t>
        </is>
      </c>
      <c r="B1289" t="inlineStr">
        <is>
          <t>Lyrebird Plan Management</t>
        </is>
      </c>
      <c r="C1289" s="5" t="n">
        <v>46266</v>
      </c>
      <c r="D1289" t="inlineStr">
        <is>
          <t>INV/2026/02790</t>
        </is>
      </c>
      <c r="E1289" s="9" t="n">
        <v>126.99</v>
      </c>
      <c r="F1289" s="9" t="n">
        <v>126.99</v>
      </c>
      <c r="G1289" s="9">
        <f>ROUND(E1289-F1289,2)</f>
        <v>0</v>
      </c>
    </row>
    <row r="1290">
      <c r="A1290" t="inlineStr">
        <is>
          <t>RA45096</t>
        </is>
      </c>
      <c r="B1290" t="inlineStr">
        <is>
          <t>Lyrebird Plan Management</t>
        </is>
      </c>
      <c r="C1290" s="5" t="n">
        <v>46266</v>
      </c>
      <c r="D1290" t="inlineStr">
        <is>
          <t>INV/2026/02814</t>
        </is>
      </c>
      <c r="E1290" s="9" t="n">
        <v>193.99</v>
      </c>
      <c r="F1290" s="9" t="n">
        <v>193.99</v>
      </c>
      <c r="G1290" s="9">
        <f>ROUND(E1290-F1290,2)</f>
        <v>0</v>
      </c>
    </row>
    <row r="1291">
      <c r="A1291" t="inlineStr">
        <is>
          <t>RA45096</t>
        </is>
      </c>
      <c r="B1291" t="inlineStr">
        <is>
          <t>Lyrebird Plan Management</t>
        </is>
      </c>
      <c r="C1291" s="5" t="n">
        <v>46266</v>
      </c>
      <c r="D1291" t="inlineStr">
        <is>
          <t>INV/2026/02856</t>
        </is>
      </c>
      <c r="E1291" s="9" t="n">
        <v>145.49</v>
      </c>
      <c r="F1291" s="9" t="n">
        <v>145.49</v>
      </c>
      <c r="G1291" s="9">
        <f>ROUND(E1291-F1291,2)</f>
        <v>0</v>
      </c>
    </row>
    <row r="1292">
      <c r="A1292" t="inlineStr">
        <is>
          <t>RA45097</t>
        </is>
      </c>
      <c r="B1292" t="inlineStr">
        <is>
          <t>Mallee Plan Services</t>
        </is>
      </c>
      <c r="C1292" s="5" t="n">
        <v>46266</v>
      </c>
      <c r="D1292" t="inlineStr">
        <is>
          <t>INV/2026/02881</t>
        </is>
      </c>
      <c r="E1292" s="9" t="n">
        <v>145.49</v>
      </c>
      <c r="F1292" s="9" t="n">
        <v>145.49</v>
      </c>
      <c r="G1292" s="9">
        <f>ROUND(E1292-F1292,2)</f>
        <v>0</v>
      </c>
    </row>
    <row r="1293">
      <c r="A1293" t="inlineStr">
        <is>
          <t>RA45097</t>
        </is>
      </c>
      <c r="B1293" t="inlineStr">
        <is>
          <t>Mallee Plan Services</t>
        </is>
      </c>
      <c r="C1293" s="5" t="n">
        <v>46266</v>
      </c>
      <c r="D1293" t="inlineStr">
        <is>
          <t>INV/2026/02883</t>
        </is>
      </c>
      <c r="E1293" s="9" t="n">
        <v>446.18</v>
      </c>
      <c r="F1293" s="9" t="n">
        <v>446.18</v>
      </c>
      <c r="G1293" s="9">
        <f>ROUND(E1293-F1293,2)</f>
        <v>0</v>
      </c>
    </row>
    <row r="1294">
      <c r="A1294" t="inlineStr">
        <is>
          <t>RA45098</t>
        </is>
      </c>
      <c r="B1294" t="inlineStr">
        <is>
          <t>Kookaburra Plan Support</t>
        </is>
      </c>
      <c r="C1294" s="5" t="n">
        <v>46267</v>
      </c>
      <c r="D1294" t="inlineStr">
        <is>
          <t>INV/2026/02830</t>
        </is>
      </c>
      <c r="E1294" s="9" t="n">
        <v>417.98</v>
      </c>
      <c r="F1294" s="9" t="n">
        <v>417.98</v>
      </c>
      <c r="G1294" s="9">
        <f>ROUND(E1294-F1294,2)</f>
        <v>0</v>
      </c>
    </row>
    <row r="1295">
      <c r="A1295" t="inlineStr">
        <is>
          <t>RA45098</t>
        </is>
      </c>
      <c r="B1295" t="inlineStr">
        <is>
          <t>Kookaburra Plan Support</t>
        </is>
      </c>
      <c r="C1295" s="5" t="n">
        <v>46267</v>
      </c>
      <c r="D1295" t="inlineStr">
        <is>
          <t>INV/2026/02872</t>
        </is>
      </c>
      <c r="E1295" s="9" t="n">
        <v>96.98999999999999</v>
      </c>
      <c r="F1295" s="9" t="n">
        <v>96.98999999999999</v>
      </c>
      <c r="G1295" s="9">
        <f>ROUND(E1295-F1295,2)</f>
        <v>0</v>
      </c>
    </row>
    <row r="1296">
      <c r="A1296" t="inlineStr">
        <is>
          <t>RA45099</t>
        </is>
      </c>
      <c r="B1296" t="inlineStr">
        <is>
          <t>Redgum Plan Admin</t>
        </is>
      </c>
      <c r="C1296" s="5" t="n">
        <v>46267</v>
      </c>
      <c r="D1296" t="inlineStr">
        <is>
          <t>INV/2026/02897</t>
        </is>
      </c>
      <c r="E1296" s="9" t="n">
        <v>300.69</v>
      </c>
      <c r="F1296" s="9" t="n">
        <v>300.69</v>
      </c>
      <c r="G1296" s="9">
        <f>ROUND(E1296-F1296,2)</f>
        <v>0</v>
      </c>
    </row>
    <row r="1297">
      <c r="A1297" t="inlineStr">
        <is>
          <t>RA45099</t>
        </is>
      </c>
      <c r="B1297" t="inlineStr">
        <is>
          <t>Redgum Plan Admin</t>
        </is>
      </c>
      <c r="C1297" s="5" t="n">
        <v>46267</v>
      </c>
      <c r="D1297" t="inlineStr">
        <is>
          <t>INV/2026/02898</t>
        </is>
      </c>
      <c r="E1297" s="9" t="n">
        <v>126.99</v>
      </c>
      <c r="F1297" s="9" t="n">
        <v>126.99</v>
      </c>
      <c r="G1297" s="9">
        <f>ROUND(E1297-F1297,2)</f>
        <v>0</v>
      </c>
    </row>
    <row r="1298">
      <c r="A1298" t="inlineStr">
        <is>
          <t>RA45100</t>
        </is>
      </c>
      <c r="B1298" t="inlineStr">
        <is>
          <t>Southern Cross Plan Mgmt</t>
        </is>
      </c>
      <c r="C1298" s="5" t="n">
        <v>46267</v>
      </c>
      <c r="D1298" t="inlineStr">
        <is>
          <t>INV/2026/02383</t>
        </is>
      </c>
      <c r="E1298" s="9" t="n">
        <v>387.98</v>
      </c>
      <c r="F1298" s="9" t="n">
        <v>387.98</v>
      </c>
      <c r="G1298" s="9">
        <f>ROUND(E1298-F1298,2)</f>
        <v>0</v>
      </c>
    </row>
    <row r="1299">
      <c r="A1299" t="inlineStr">
        <is>
          <t>RA45100</t>
        </is>
      </c>
      <c r="B1299" t="inlineStr">
        <is>
          <t>Southern Cross Plan Mgmt</t>
        </is>
      </c>
      <c r="C1299" s="5" t="n">
        <v>46267</v>
      </c>
      <c r="D1299" t="inlineStr">
        <is>
          <t>INV/2026/02406</t>
        </is>
      </c>
      <c r="E1299" s="9" t="n">
        <v>203.69</v>
      </c>
      <c r="F1299" s="9" t="n">
        <v>203.69</v>
      </c>
      <c r="G1299" s="9">
        <f>ROUND(E1299-F1299,2)</f>
        <v>0</v>
      </c>
    </row>
    <row r="1300">
      <c r="A1300" t="inlineStr">
        <is>
          <t>RA45100</t>
        </is>
      </c>
      <c r="B1300" t="inlineStr">
        <is>
          <t>Southern Cross Plan Mgmt</t>
        </is>
      </c>
      <c r="C1300" s="5" t="n">
        <v>46267</v>
      </c>
      <c r="D1300" t="inlineStr">
        <is>
          <t>INV/2026/02433</t>
        </is>
      </c>
      <c r="E1300" s="9" t="n">
        <v>387.98</v>
      </c>
      <c r="F1300" s="9" t="n">
        <v>387.98</v>
      </c>
      <c r="G1300" s="9">
        <f>ROUND(E1300-F1300,2)</f>
        <v>0</v>
      </c>
    </row>
    <row r="1301">
      <c r="A1301" t="inlineStr">
        <is>
          <t>RA45100</t>
        </is>
      </c>
      <c r="B1301" t="inlineStr">
        <is>
          <t>Southern Cross Plan Mgmt</t>
        </is>
      </c>
      <c r="C1301" s="5" t="n">
        <v>46267</v>
      </c>
      <c r="D1301" t="inlineStr">
        <is>
          <t>INV/2026/02434</t>
        </is>
      </c>
      <c r="E1301" s="9" t="n">
        <v>223.99</v>
      </c>
      <c r="F1301" s="9" t="n">
        <v>223.99</v>
      </c>
      <c r="G1301" s="9">
        <f>ROUND(E1301-F1301,2)</f>
        <v>0</v>
      </c>
    </row>
    <row r="1302">
      <c r="A1302" t="inlineStr">
        <is>
          <t>RA45100</t>
        </is>
      </c>
      <c r="B1302" t="inlineStr">
        <is>
          <t>Southern Cross Plan Mgmt</t>
        </is>
      </c>
      <c r="C1302" s="5" t="n">
        <v>46267</v>
      </c>
      <c r="D1302" t="inlineStr">
        <is>
          <t>INV/2026/02453</t>
        </is>
      </c>
      <c r="E1302" s="9" t="n">
        <v>387.98</v>
      </c>
      <c r="F1302" s="9" t="n">
        <v>387.98</v>
      </c>
      <c r="G1302" s="9">
        <f>ROUND(E1302-F1302,2)</f>
        <v>0</v>
      </c>
    </row>
    <row r="1303">
      <c r="A1303" t="inlineStr">
        <is>
          <t>RA45100</t>
        </is>
      </c>
      <c r="B1303" t="inlineStr">
        <is>
          <t>Southern Cross Plan Mgmt</t>
        </is>
      </c>
      <c r="C1303" s="5" t="n">
        <v>46267</v>
      </c>
      <c r="D1303" t="inlineStr">
        <is>
          <t>INV/2026/02454</t>
        </is>
      </c>
      <c r="E1303" s="9" t="n">
        <v>417.98</v>
      </c>
      <c r="F1303" s="9" t="n">
        <v>417.98</v>
      </c>
      <c r="G1303" s="9">
        <f>ROUND(E1303-F1303,2)</f>
        <v>0</v>
      </c>
    </row>
    <row r="1304">
      <c r="A1304" t="inlineStr">
        <is>
          <t>RA45100</t>
        </is>
      </c>
      <c r="B1304" t="inlineStr">
        <is>
          <t>Southern Cross Plan Mgmt</t>
        </is>
      </c>
      <c r="C1304" s="5" t="n">
        <v>46267</v>
      </c>
      <c r="D1304" t="inlineStr">
        <is>
          <t>INV/2026/02481</t>
        </is>
      </c>
      <c r="E1304" s="9" t="n">
        <v>242.49</v>
      </c>
      <c r="F1304" s="9" t="n">
        <v>242.49</v>
      </c>
      <c r="G1304" s="9">
        <f>ROUND(E1304-F1304,2)</f>
        <v>0</v>
      </c>
    </row>
    <row r="1305">
      <c r="A1305" t="inlineStr">
        <is>
          <t>RA45100</t>
        </is>
      </c>
      <c r="B1305" t="inlineStr">
        <is>
          <t>Southern Cross Plan Mgmt</t>
        </is>
      </c>
      <c r="C1305" s="5" t="n">
        <v>46267</v>
      </c>
      <c r="D1305" t="inlineStr">
        <is>
          <t>INV/2026/02502</t>
        </is>
      </c>
      <c r="E1305" s="9" t="n">
        <v>223.99</v>
      </c>
      <c r="F1305" s="9" t="n">
        <v>223.99</v>
      </c>
      <c r="G1305" s="9">
        <f>ROUND(E1305-F1305,2)</f>
        <v>0</v>
      </c>
    </row>
    <row r="1306">
      <c r="A1306" t="inlineStr">
        <is>
          <t>RA45100</t>
        </is>
      </c>
      <c r="B1306" t="inlineStr">
        <is>
          <t>Southern Cross Plan Mgmt</t>
        </is>
      </c>
      <c r="C1306" s="5" t="n">
        <v>46267</v>
      </c>
      <c r="D1306" t="inlineStr">
        <is>
          <t>INV/2026/02503</t>
        </is>
      </c>
      <c r="E1306" s="9" t="n">
        <v>175.49</v>
      </c>
      <c r="F1306" s="9" t="n">
        <v>175.49</v>
      </c>
      <c r="G1306" s="9">
        <f>ROUND(E1306-F1306,2)</f>
        <v>0</v>
      </c>
    </row>
    <row r="1307">
      <c r="A1307" t="inlineStr">
        <is>
          <t>RA45100</t>
        </is>
      </c>
      <c r="B1307" t="inlineStr">
        <is>
          <t>Southern Cross Plan Mgmt</t>
        </is>
      </c>
      <c r="C1307" s="5" t="n">
        <v>46267</v>
      </c>
      <c r="D1307" t="inlineStr">
        <is>
          <t>INV/2026/02504</t>
        </is>
      </c>
      <c r="E1307" s="9" t="n">
        <v>193.99</v>
      </c>
      <c r="F1307" s="9" t="n">
        <v>193.99</v>
      </c>
      <c r="G1307" s="9">
        <f>ROUND(E1307-F1307,2)</f>
        <v>0</v>
      </c>
    </row>
    <row r="1308">
      <c r="A1308" t="inlineStr">
        <is>
          <t>RA45100</t>
        </is>
      </c>
      <c r="B1308" t="inlineStr">
        <is>
          <t>Southern Cross Plan Mgmt</t>
        </is>
      </c>
      <c r="C1308" s="5" t="n">
        <v>46267</v>
      </c>
      <c r="D1308" t="inlineStr">
        <is>
          <t>INV/2026/02526</t>
        </is>
      </c>
      <c r="E1308" s="9" t="n">
        <v>387.98</v>
      </c>
      <c r="F1308" s="9" t="n">
        <v>387.98</v>
      </c>
      <c r="G1308" s="9">
        <f>ROUND(E1308-F1308,2)</f>
        <v>0</v>
      </c>
    </row>
    <row r="1309">
      <c r="A1309" t="inlineStr">
        <is>
          <t>RA45100</t>
        </is>
      </c>
      <c r="B1309" t="inlineStr">
        <is>
          <t>Southern Cross Plan Mgmt</t>
        </is>
      </c>
      <c r="C1309" s="5" t="n">
        <v>46267</v>
      </c>
      <c r="D1309" t="inlineStr">
        <is>
          <t>INV/2026/02527</t>
        </is>
      </c>
      <c r="E1309" s="9" t="n">
        <v>290.98</v>
      </c>
      <c r="F1309" s="9" t="n">
        <v>290.98</v>
      </c>
      <c r="G1309" s="9">
        <f>ROUND(E1309-F1309,2)</f>
        <v>0</v>
      </c>
    </row>
    <row r="1310">
      <c r="A1310" t="inlineStr">
        <is>
          <t>RA45101</t>
        </is>
      </c>
      <c r="B1310" t="inlineStr">
        <is>
          <t>Lyrebird Plan Management</t>
        </is>
      </c>
      <c r="C1310" s="5" t="n">
        <v>46267</v>
      </c>
      <c r="D1310" t="inlineStr">
        <is>
          <t>INV/2026/02855</t>
        </is>
      </c>
      <c r="E1310" s="9" t="n">
        <v>242.49</v>
      </c>
      <c r="F1310" s="9" t="n">
        <v>242.49</v>
      </c>
      <c r="G1310" s="9">
        <f>ROUND(E1310-F1310,2)</f>
        <v>0</v>
      </c>
    </row>
    <row r="1311">
      <c r="A1311" t="inlineStr">
        <is>
          <t>RA45101</t>
        </is>
      </c>
      <c r="B1311" t="inlineStr">
        <is>
          <t>Lyrebird Plan Management</t>
        </is>
      </c>
      <c r="C1311" s="5" t="n">
        <v>46267</v>
      </c>
      <c r="D1311" t="inlineStr">
        <is>
          <t>INV/2026/02879</t>
        </is>
      </c>
      <c r="E1311" s="9" t="n">
        <v>175.49</v>
      </c>
      <c r="F1311" s="9" t="n">
        <v>175.49</v>
      </c>
      <c r="G1311" s="9">
        <f>ROUND(E1311-F1311,2)</f>
        <v>0</v>
      </c>
    </row>
    <row r="1312">
      <c r="A1312" t="inlineStr">
        <is>
          <t>RA45101</t>
        </is>
      </c>
      <c r="B1312" t="inlineStr">
        <is>
          <t>Lyrebird Plan Management</t>
        </is>
      </c>
      <c r="C1312" s="5" t="n">
        <v>46267</v>
      </c>
      <c r="D1312" t="inlineStr">
        <is>
          <t>INV/2026/02899</t>
        </is>
      </c>
      <c r="E1312" s="9" t="n">
        <v>417.98</v>
      </c>
      <c r="F1312" s="9" t="n">
        <v>417.98</v>
      </c>
      <c r="G1312" s="9">
        <f>ROUND(E1312-F1312,2)</f>
        <v>0</v>
      </c>
    </row>
    <row r="1313">
      <c r="A1313" t="inlineStr">
        <is>
          <t>RA45101</t>
        </is>
      </c>
      <c r="B1313" t="inlineStr">
        <is>
          <t>Lyrebird Plan Management</t>
        </is>
      </c>
      <c r="C1313" s="5" t="n">
        <v>46267</v>
      </c>
      <c r="D1313" t="inlineStr">
        <is>
          <t>INV/2026/02900</t>
        </is>
      </c>
      <c r="E1313" s="9" t="n">
        <v>145.49</v>
      </c>
      <c r="F1313" s="9" t="n">
        <v>145.49</v>
      </c>
      <c r="G1313" s="9">
        <f>ROUND(E1313-F1313,2)</f>
        <v>0</v>
      </c>
    </row>
    <row r="1314">
      <c r="A1314" t="inlineStr">
        <is>
          <t>RA45102</t>
        </is>
      </c>
      <c r="B1314" t="inlineStr">
        <is>
          <t>Tallowwood Plans</t>
        </is>
      </c>
      <c r="C1314" s="5" t="n">
        <v>46267</v>
      </c>
      <c r="D1314" t="inlineStr">
        <is>
          <t>INV/2026/02727</t>
        </is>
      </c>
      <c r="E1314" s="9" t="n">
        <v>387.98</v>
      </c>
      <c r="F1314" s="9" t="n">
        <v>387.98</v>
      </c>
      <c r="G1314" s="9">
        <f>ROUND(E1314-F1314,2)</f>
        <v>0</v>
      </c>
    </row>
    <row r="1315">
      <c r="A1315" t="inlineStr">
        <is>
          <t>RA45102</t>
        </is>
      </c>
      <c r="B1315" t="inlineStr">
        <is>
          <t>Tallowwood Plans</t>
        </is>
      </c>
      <c r="C1315" s="5" t="n">
        <v>46267</v>
      </c>
      <c r="D1315" t="inlineStr">
        <is>
          <t>INV/2026/02728</t>
        </is>
      </c>
      <c r="E1315" s="9" t="n">
        <v>387.98</v>
      </c>
      <c r="F1315" s="9" t="n">
        <v>387.98</v>
      </c>
      <c r="G1315" s="9">
        <f>ROUND(E1315-F1315,2)</f>
        <v>0</v>
      </c>
    </row>
    <row r="1316">
      <c r="A1316" t="inlineStr">
        <is>
          <t>RA45102</t>
        </is>
      </c>
      <c r="B1316" t="inlineStr">
        <is>
          <t>Tallowwood Plans</t>
        </is>
      </c>
      <c r="C1316" s="5" t="n">
        <v>46267</v>
      </c>
      <c r="D1316" t="inlineStr">
        <is>
          <t>INV/2026/02729</t>
        </is>
      </c>
      <c r="E1316" s="9" t="n">
        <v>387.98</v>
      </c>
      <c r="F1316" s="9" t="n">
        <v>387.98</v>
      </c>
      <c r="G1316" s="9">
        <f>ROUND(E1316-F1316,2)</f>
        <v>0</v>
      </c>
    </row>
    <row r="1317">
      <c r="A1317" t="inlineStr">
        <is>
          <t>RA45102</t>
        </is>
      </c>
      <c r="B1317" t="inlineStr">
        <is>
          <t>Tallowwood Plans</t>
        </is>
      </c>
      <c r="C1317" s="5" t="n">
        <v>46267</v>
      </c>
      <c r="D1317" t="inlineStr">
        <is>
          <t>INV/2026/02748</t>
        </is>
      </c>
      <c r="E1317" s="9" t="n">
        <v>223.99</v>
      </c>
      <c r="F1317" s="9" t="n">
        <v>223.99</v>
      </c>
      <c r="G1317" s="9">
        <f>ROUND(E1317-F1317,2)</f>
        <v>0</v>
      </c>
    </row>
    <row r="1318">
      <c r="A1318" t="inlineStr">
        <is>
          <t>RA45102</t>
        </is>
      </c>
      <c r="B1318" t="inlineStr">
        <is>
          <t>Tallowwood Plans</t>
        </is>
      </c>
      <c r="C1318" s="5" t="n">
        <v>46267</v>
      </c>
      <c r="D1318" t="inlineStr">
        <is>
          <t>INV/2026/02749</t>
        </is>
      </c>
      <c r="E1318" s="9" t="n">
        <v>387.98</v>
      </c>
      <c r="F1318" s="9" t="n">
        <v>387.98</v>
      </c>
      <c r="G1318" s="9">
        <f>ROUND(E1318-F1318,2)</f>
        <v>0</v>
      </c>
    </row>
    <row r="1319">
      <c r="A1319" t="inlineStr">
        <is>
          <t>RA45102</t>
        </is>
      </c>
      <c r="B1319" t="inlineStr">
        <is>
          <t>Tallowwood Plans</t>
        </is>
      </c>
      <c r="C1319" s="5" t="n">
        <v>46267</v>
      </c>
      <c r="D1319" t="inlineStr">
        <is>
          <t>INV/2026/02774</t>
        </is>
      </c>
      <c r="E1319" s="9" t="n">
        <v>349.18</v>
      </c>
      <c r="F1319" s="9" t="n">
        <v>349.18</v>
      </c>
      <c r="G1319" s="9">
        <f>ROUND(E1319-F1319,2)</f>
        <v>0</v>
      </c>
    </row>
    <row r="1320">
      <c r="A1320" t="inlineStr">
        <is>
          <t>RA45102</t>
        </is>
      </c>
      <c r="B1320" t="inlineStr">
        <is>
          <t>Tallowwood Plans</t>
        </is>
      </c>
      <c r="C1320" s="5" t="n">
        <v>46267</v>
      </c>
      <c r="D1320" t="inlineStr">
        <is>
          <t>INV/2026/02791</t>
        </is>
      </c>
      <c r="E1320" s="9" t="n">
        <v>300.69</v>
      </c>
      <c r="F1320" s="9" t="n">
        <v>300.69</v>
      </c>
      <c r="G1320" s="9">
        <f>ROUND(E1320-F1320,2)</f>
        <v>0</v>
      </c>
    </row>
    <row r="1321">
      <c r="A1321" t="inlineStr">
        <is>
          <t>RA45102</t>
        </is>
      </c>
      <c r="B1321" t="inlineStr">
        <is>
          <t>Tallowwood Plans</t>
        </is>
      </c>
      <c r="C1321" s="5" t="n">
        <v>46267</v>
      </c>
      <c r="D1321" t="inlineStr">
        <is>
          <t>INV/2026/02792</t>
        </is>
      </c>
      <c r="E1321" s="9" t="n">
        <v>300.69</v>
      </c>
      <c r="F1321" s="9" t="n">
        <v>300.69</v>
      </c>
      <c r="G1321" s="9">
        <f>ROUND(E1321-F1321,2)</f>
        <v>0</v>
      </c>
    </row>
    <row r="1322">
      <c r="A1322" t="inlineStr">
        <is>
          <t>RA45102</t>
        </is>
      </c>
      <c r="B1322" t="inlineStr">
        <is>
          <t>Tallowwood Plans</t>
        </is>
      </c>
      <c r="C1322" s="5" t="n">
        <v>46267</v>
      </c>
      <c r="D1322" t="inlineStr">
        <is>
          <t>INV/2026/02815</t>
        </is>
      </c>
      <c r="E1322" s="9" t="n">
        <v>96.98999999999999</v>
      </c>
      <c r="F1322" s="9" t="n">
        <v>96.98999999999999</v>
      </c>
      <c r="G1322" s="9">
        <f>ROUND(E1322-F1322,2)</f>
        <v>0</v>
      </c>
    </row>
    <row r="1323">
      <c r="A1323" t="inlineStr">
        <is>
          <t>RA45102</t>
        </is>
      </c>
      <c r="B1323" t="inlineStr">
        <is>
          <t>Tallowwood Plans</t>
        </is>
      </c>
      <c r="C1323" s="5" t="n">
        <v>46267</v>
      </c>
      <c r="D1323" t="inlineStr">
        <is>
          <t>INV/2026/02816</t>
        </is>
      </c>
      <c r="E1323" s="9" t="n">
        <v>272.49</v>
      </c>
      <c r="F1323" s="9" t="n">
        <v>272.49</v>
      </c>
      <c r="G1323" s="9">
        <f>ROUND(E1323-F1323,2)</f>
        <v>0</v>
      </c>
    </row>
    <row r="1324">
      <c r="A1324" t="inlineStr">
        <is>
          <t>RA45102</t>
        </is>
      </c>
      <c r="B1324" t="inlineStr">
        <is>
          <t>Tallowwood Plans</t>
        </is>
      </c>
      <c r="C1324" s="5" t="n">
        <v>46267</v>
      </c>
      <c r="D1324" t="inlineStr">
        <is>
          <t>INV/2026/02835</t>
        </is>
      </c>
      <c r="E1324" s="9" t="n">
        <v>242.49</v>
      </c>
      <c r="F1324" s="9" t="n">
        <v>242.49</v>
      </c>
      <c r="G1324" s="9">
        <f>ROUND(E1324-F1324,2)</f>
        <v>0</v>
      </c>
    </row>
    <row r="1325">
      <c r="A1325" t="inlineStr">
        <is>
          <t>RA45102</t>
        </is>
      </c>
      <c r="B1325" t="inlineStr">
        <is>
          <t>Tallowwood Plans</t>
        </is>
      </c>
      <c r="C1325" s="5" t="n">
        <v>46267</v>
      </c>
      <c r="D1325" t="inlineStr">
        <is>
          <t>INV/2026/02836</t>
        </is>
      </c>
      <c r="E1325" s="9" t="n">
        <v>320.98</v>
      </c>
      <c r="F1325" s="9" t="n">
        <v>320.98</v>
      </c>
      <c r="G1325" s="9">
        <f>ROUND(E1325-F1325,2)</f>
        <v>0</v>
      </c>
    </row>
    <row r="1326">
      <c r="A1326" t="inlineStr">
        <is>
          <t>RA45103</t>
        </is>
      </c>
      <c r="B1326" t="inlineStr">
        <is>
          <t>Acacia Plan Partners</t>
        </is>
      </c>
      <c r="C1326" s="5" t="n">
        <v>46267</v>
      </c>
      <c r="D1326" t="inlineStr">
        <is>
          <t>INV/2026/02859</t>
        </is>
      </c>
      <c r="E1326" s="9" t="n">
        <v>320.98</v>
      </c>
      <c r="F1326" s="9" t="n">
        <v>320.98</v>
      </c>
      <c r="G1326" s="9">
        <f>ROUND(E1326-F1326,2)</f>
        <v>0</v>
      </c>
    </row>
    <row r="1327">
      <c r="A1327" t="inlineStr">
        <is>
          <t>RA45104</t>
        </is>
      </c>
      <c r="B1327" t="inlineStr">
        <is>
          <t>Riverbend Plan Partners</t>
        </is>
      </c>
      <c r="C1327" s="5" t="n">
        <v>46268</v>
      </c>
      <c r="D1327" t="inlineStr">
        <is>
          <t>INV/2026/02865</t>
        </is>
      </c>
      <c r="E1327" s="9" t="n">
        <v>145.49</v>
      </c>
      <c r="F1327" s="9" t="n">
        <v>145.49</v>
      </c>
      <c r="G1327" s="9">
        <f>ROUND(E1327-F1327,2)</f>
        <v>0</v>
      </c>
    </row>
    <row r="1328">
      <c r="A1328" t="inlineStr">
        <is>
          <t>RA45104</t>
        </is>
      </c>
      <c r="B1328" t="inlineStr">
        <is>
          <t>Riverbend Plan Partners</t>
        </is>
      </c>
      <c r="C1328" s="5" t="n">
        <v>46268</v>
      </c>
      <c r="D1328" t="inlineStr">
        <is>
          <t>INV/2026/02886</t>
        </is>
      </c>
      <c r="E1328" s="9" t="n">
        <v>175.49</v>
      </c>
      <c r="F1328" s="9" t="n">
        <v>175.49</v>
      </c>
      <c r="G1328" s="9">
        <f>ROUND(E1328-F1328,2)</f>
        <v>0</v>
      </c>
    </row>
    <row r="1329">
      <c r="A1329" t="inlineStr">
        <is>
          <t>RA45105</t>
        </is>
      </c>
      <c r="B1329" t="inlineStr">
        <is>
          <t>Wattle Plan Services</t>
        </is>
      </c>
      <c r="C1329" s="5" t="n">
        <v>46268</v>
      </c>
      <c r="D1329" t="inlineStr">
        <is>
          <t>INV/2026/02804</t>
        </is>
      </c>
      <c r="E1329" s="9" t="n">
        <v>203.69</v>
      </c>
      <c r="F1329" s="9" t="n">
        <v>203.69</v>
      </c>
      <c r="G1329" s="9">
        <f>ROUND(E1329-F1329,2)</f>
        <v>0</v>
      </c>
    </row>
    <row r="1330">
      <c r="A1330" t="inlineStr">
        <is>
          <t>RA45105</t>
        </is>
      </c>
      <c r="B1330" t="inlineStr">
        <is>
          <t>Wattle Plan Services</t>
        </is>
      </c>
      <c r="C1330" s="5" t="n">
        <v>46268</v>
      </c>
      <c r="D1330" t="inlineStr">
        <is>
          <t>INV/2026/02824</t>
        </is>
      </c>
      <c r="E1330" s="9" t="n">
        <v>145.49</v>
      </c>
      <c r="F1330" s="9" t="n">
        <v>145.49</v>
      </c>
      <c r="G1330" s="9">
        <f>ROUND(E1330-F1330,2)</f>
        <v>0</v>
      </c>
    </row>
    <row r="1331">
      <c r="A1331" t="inlineStr">
        <is>
          <t>RA45105</t>
        </is>
      </c>
      <c r="B1331" t="inlineStr">
        <is>
          <t>Wattle Plan Services</t>
        </is>
      </c>
      <c r="C1331" s="5" t="n">
        <v>46268</v>
      </c>
      <c r="D1331" t="inlineStr">
        <is>
          <t>INV/2026/02825</t>
        </is>
      </c>
      <c r="E1331" s="9" t="n">
        <v>300.69</v>
      </c>
      <c r="F1331" s="9" t="n">
        <v>300.69</v>
      </c>
      <c r="G1331" s="9">
        <f>ROUND(E1331-F1331,2)</f>
        <v>0</v>
      </c>
    </row>
    <row r="1332">
      <c r="A1332" t="inlineStr">
        <is>
          <t>RA45105</t>
        </is>
      </c>
      <c r="B1332" t="inlineStr">
        <is>
          <t>Wattle Plan Services</t>
        </is>
      </c>
      <c r="C1332" s="5" t="n">
        <v>46268</v>
      </c>
      <c r="D1332" t="inlineStr">
        <is>
          <t>INV/2026/02844</t>
        </is>
      </c>
      <c r="E1332" s="9" t="n">
        <v>300.69</v>
      </c>
      <c r="F1332" s="9" t="n">
        <v>300.69</v>
      </c>
      <c r="G1332" s="9">
        <f>ROUND(E1332-F1332,2)</f>
        <v>0</v>
      </c>
    </row>
    <row r="1333">
      <c r="A1333" t="inlineStr">
        <is>
          <t>RA45106</t>
        </is>
      </c>
      <c r="B1333" t="inlineStr">
        <is>
          <t>Ironbark Plan Management</t>
        </is>
      </c>
      <c r="C1333" s="5" t="n">
        <v>46268</v>
      </c>
      <c r="D1333" t="inlineStr">
        <is>
          <t>INV/2026/02892</t>
        </is>
      </c>
      <c r="E1333" s="9" t="n">
        <v>290.98</v>
      </c>
      <c r="F1333" s="9" t="n">
        <v>290.98</v>
      </c>
      <c r="G1333" s="9">
        <f>ROUND(E1333-F1333,2)</f>
        <v>0</v>
      </c>
    </row>
    <row r="1334">
      <c r="A1334" t="inlineStr">
        <is>
          <t>RA45106</t>
        </is>
      </c>
      <c r="B1334" t="inlineStr">
        <is>
          <t>Ironbark Plan Management</t>
        </is>
      </c>
      <c r="C1334" s="5" t="n">
        <v>46268</v>
      </c>
      <c r="D1334" t="inlineStr">
        <is>
          <t>INV/2026/02893</t>
        </is>
      </c>
      <c r="E1334" s="9" t="n">
        <v>387.98</v>
      </c>
      <c r="F1334" s="9" t="n">
        <v>387.98</v>
      </c>
      <c r="G1334" s="9">
        <f>ROUND(E1334-F1334,2)</f>
        <v>0</v>
      </c>
    </row>
    <row r="1335">
      <c r="A1335" t="inlineStr">
        <is>
          <t>RA45107</t>
        </is>
      </c>
      <c r="B1335" t="inlineStr">
        <is>
          <t>Redgum Plan Admin</t>
        </is>
      </c>
      <c r="C1335" s="5" t="n">
        <v>46268</v>
      </c>
      <c r="D1335" t="inlineStr">
        <is>
          <t>INV/2026/02914</t>
        </is>
      </c>
      <c r="E1335" s="9" t="n">
        <v>417.98</v>
      </c>
      <c r="F1335" s="9" t="n">
        <v>417.98</v>
      </c>
      <c r="G1335" s="9">
        <f>ROUND(E1335-F1335,2)</f>
        <v>0</v>
      </c>
    </row>
    <row r="1336">
      <c r="A1336" t="inlineStr">
        <is>
          <t>RA45108</t>
        </is>
      </c>
      <c r="B1336" t="inlineStr">
        <is>
          <t>Tallowwood Plans</t>
        </is>
      </c>
      <c r="C1336" s="5" t="n">
        <v>46268</v>
      </c>
      <c r="D1336" t="inlineStr">
        <is>
          <t>INV/2026/02857</t>
        </is>
      </c>
      <c r="E1336" s="9" t="n">
        <v>155.19</v>
      </c>
      <c r="F1336" s="9" t="n">
        <v>155.19</v>
      </c>
      <c r="G1336" s="9">
        <f>ROUND(E1336-F1336,2)</f>
        <v>0</v>
      </c>
    </row>
    <row r="1337">
      <c r="A1337" t="inlineStr">
        <is>
          <t>RA45108</t>
        </is>
      </c>
      <c r="B1337" t="inlineStr">
        <is>
          <t>Tallowwood Plans</t>
        </is>
      </c>
      <c r="C1337" s="5" t="n">
        <v>46268</v>
      </c>
      <c r="D1337" t="inlineStr">
        <is>
          <t>INV/2026/02858</t>
        </is>
      </c>
      <c r="E1337" s="9" t="n">
        <v>96.98999999999999</v>
      </c>
      <c r="F1337" s="9" t="n">
        <v>96.98999999999999</v>
      </c>
      <c r="G1337" s="9">
        <f>ROUND(E1337-F1337,2)</f>
        <v>0</v>
      </c>
    </row>
    <row r="1338">
      <c r="A1338" t="inlineStr">
        <is>
          <t>RA45108</t>
        </is>
      </c>
      <c r="B1338" t="inlineStr">
        <is>
          <t>Tallowwood Plans</t>
        </is>
      </c>
      <c r="C1338" s="5" t="n">
        <v>46268</v>
      </c>
      <c r="D1338" t="inlineStr">
        <is>
          <t>INV/2026/02921</t>
        </is>
      </c>
      <c r="E1338" s="9" t="n">
        <v>223.99</v>
      </c>
      <c r="F1338" s="9" t="n">
        <v>223.99</v>
      </c>
      <c r="G1338" s="9">
        <f>ROUND(E1338-F1338,2)</f>
        <v>0</v>
      </c>
    </row>
    <row r="1339">
      <c r="A1339" t="inlineStr">
        <is>
          <t>RA45109</t>
        </is>
      </c>
      <c r="B1339" t="inlineStr">
        <is>
          <t>Bluegum Plan Management</t>
        </is>
      </c>
      <c r="C1339" s="5" t="n">
        <v>46269</v>
      </c>
      <c r="D1339" t="inlineStr">
        <is>
          <t>INV/2026/02929</t>
        </is>
      </c>
      <c r="E1339" s="9" t="n">
        <v>242.49</v>
      </c>
      <c r="F1339" s="9" t="n">
        <v>242.49</v>
      </c>
      <c r="G1339" s="9">
        <f>ROUND(E1339-F1339,2)</f>
        <v>0</v>
      </c>
    </row>
    <row r="1340">
      <c r="A1340" t="inlineStr">
        <is>
          <t>RA45110</t>
        </is>
      </c>
      <c r="B1340" t="inlineStr">
        <is>
          <t>Clearpath NDIS Plans</t>
        </is>
      </c>
      <c r="C1340" s="5" t="n">
        <v>46269</v>
      </c>
      <c r="D1340" t="inlineStr">
        <is>
          <t>INV/2026/02803</t>
        </is>
      </c>
      <c r="E1340" s="9" t="n">
        <v>155.19</v>
      </c>
      <c r="F1340" s="9" t="n">
        <v>155.19</v>
      </c>
      <c r="G1340" s="9">
        <f>ROUND(E1340-F1340,2)</f>
        <v>0</v>
      </c>
    </row>
    <row r="1341">
      <c r="A1341" t="inlineStr">
        <is>
          <t>RA45110</t>
        </is>
      </c>
      <c r="B1341" t="inlineStr">
        <is>
          <t>Clearpath NDIS Plans</t>
        </is>
      </c>
      <c r="C1341" s="5" t="n">
        <v>46269</v>
      </c>
      <c r="D1341" t="inlineStr">
        <is>
          <t>INV/2026/02823</t>
        </is>
      </c>
      <c r="E1341" s="9" t="n">
        <v>387.98</v>
      </c>
      <c r="F1341" s="9" t="n">
        <v>387.98</v>
      </c>
      <c r="G1341" s="9">
        <f>ROUND(E1341-F1341,2)</f>
        <v>0</v>
      </c>
    </row>
    <row r="1342">
      <c r="A1342" t="inlineStr">
        <is>
          <t>RA45110</t>
        </is>
      </c>
      <c r="B1342" t="inlineStr">
        <is>
          <t>Clearpath NDIS Plans</t>
        </is>
      </c>
      <c r="C1342" s="5" t="n">
        <v>46269</v>
      </c>
      <c r="D1342" t="inlineStr">
        <is>
          <t>INV/2026/02843</t>
        </is>
      </c>
      <c r="E1342" s="9" t="n">
        <v>145.49</v>
      </c>
      <c r="F1342" s="9" t="n">
        <v>145.49</v>
      </c>
      <c r="G1342" s="9">
        <f>ROUND(E1342-F1342,2)</f>
        <v>0</v>
      </c>
    </row>
    <row r="1343">
      <c r="A1343" t="inlineStr">
        <is>
          <t>RA45111</t>
        </is>
      </c>
      <c r="B1343" t="inlineStr">
        <is>
          <t>Wattle Plan Services</t>
        </is>
      </c>
      <c r="C1343" s="5" t="n">
        <v>46269</v>
      </c>
      <c r="D1343" t="inlineStr">
        <is>
          <t>INV/2026/02867</t>
        </is>
      </c>
      <c r="E1343" s="9" t="n">
        <v>320.98</v>
      </c>
      <c r="F1343" s="9" t="n">
        <v>320.98</v>
      </c>
      <c r="G1343" s="9">
        <f>ROUND(E1343-F1343,2)</f>
        <v>0</v>
      </c>
    </row>
    <row r="1344">
      <c r="A1344" t="inlineStr">
        <is>
          <t>RA45111</t>
        </is>
      </c>
      <c r="B1344" t="inlineStr">
        <is>
          <t>Wattle Plan Services</t>
        </is>
      </c>
      <c r="C1344" s="5" t="n">
        <v>46269</v>
      </c>
      <c r="D1344" t="inlineStr">
        <is>
          <t>INV/2026/02889</t>
        </is>
      </c>
      <c r="E1344" s="9" t="n">
        <v>242.49</v>
      </c>
      <c r="F1344" s="9" t="n">
        <v>242.49</v>
      </c>
      <c r="G1344" s="9">
        <f>ROUND(E1344-F1344,2)</f>
        <v>0</v>
      </c>
    </row>
    <row r="1345">
      <c r="A1345" t="inlineStr">
        <is>
          <t>RA45112</t>
        </is>
      </c>
      <c r="B1345" t="inlineStr">
        <is>
          <t>Banksia Plan Co</t>
        </is>
      </c>
      <c r="C1345" s="5" t="n">
        <v>46269</v>
      </c>
      <c r="D1345" t="inlineStr">
        <is>
          <t>INV/2026/02868</t>
        </is>
      </c>
      <c r="E1345" s="9" t="n">
        <v>387.98</v>
      </c>
      <c r="F1345" s="9" t="n">
        <v>387.98</v>
      </c>
      <c r="G1345" s="9">
        <f>ROUND(E1345-F1345,2)</f>
        <v>0</v>
      </c>
    </row>
    <row r="1346">
      <c r="A1346" t="inlineStr">
        <is>
          <t>RA45113</t>
        </is>
      </c>
      <c r="B1346" t="inlineStr">
        <is>
          <t>Saltbush Plan Managers</t>
        </is>
      </c>
      <c r="C1346" s="5" t="n">
        <v>46269</v>
      </c>
      <c r="D1346" t="inlineStr">
        <is>
          <t>INV/2026/02850</t>
        </is>
      </c>
      <c r="E1346" s="9" t="n">
        <v>349.18</v>
      </c>
      <c r="F1346" s="9" t="n">
        <v>349.18</v>
      </c>
      <c r="G1346" s="9">
        <f>ROUND(E1346-F1346,2)</f>
        <v>0</v>
      </c>
    </row>
    <row r="1347">
      <c r="A1347" t="inlineStr">
        <is>
          <t>RA45113</t>
        </is>
      </c>
      <c r="B1347" t="inlineStr">
        <is>
          <t>Saltbush Plan Managers</t>
        </is>
      </c>
      <c r="C1347" s="5" t="n">
        <v>46269</v>
      </c>
      <c r="D1347" t="inlineStr">
        <is>
          <t>INV/2026/02896</t>
        </is>
      </c>
      <c r="E1347" s="9" t="n">
        <v>290.98</v>
      </c>
      <c r="F1347" s="9" t="n">
        <v>290.98</v>
      </c>
      <c r="G1347" s="9">
        <f>ROUND(E1347-F1347,2)</f>
        <v>0</v>
      </c>
    </row>
    <row r="1348">
      <c r="A1348" t="inlineStr">
        <is>
          <t>RA45113</t>
        </is>
      </c>
      <c r="B1348" t="inlineStr">
        <is>
          <t>Saltbush Plan Managers</t>
        </is>
      </c>
      <c r="C1348" s="5" t="n">
        <v>46269</v>
      </c>
      <c r="D1348" t="inlineStr">
        <is>
          <t>INV/2026/02913</t>
        </is>
      </c>
      <c r="E1348" s="9" t="n">
        <v>252.19</v>
      </c>
      <c r="F1348" s="9" t="n">
        <v>252.19</v>
      </c>
      <c r="G1348" s="9">
        <f>ROUND(E1348-F1348,2)</f>
        <v>0</v>
      </c>
    </row>
    <row r="1349">
      <c r="A1349" t="inlineStr">
        <is>
          <t>RA45114</t>
        </is>
      </c>
      <c r="B1349" t="inlineStr">
        <is>
          <t>Redgum Plan Admin</t>
        </is>
      </c>
      <c r="C1349" s="5" t="n">
        <v>46269</v>
      </c>
      <c r="D1349" t="inlineStr">
        <is>
          <t>INV/2026/02943</t>
        </is>
      </c>
      <c r="E1349" s="9" t="n">
        <v>96.98999999999999</v>
      </c>
      <c r="F1349" s="9" t="n">
        <v>96.98999999999999</v>
      </c>
      <c r="G1349" s="9">
        <f>ROUND(E1349-F1349,2)</f>
        <v>0</v>
      </c>
    </row>
    <row r="1350">
      <c r="A1350" t="inlineStr">
        <is>
          <t>RA45115</t>
        </is>
      </c>
      <c r="B1350" t="inlineStr">
        <is>
          <t>Tallowwood Plans</t>
        </is>
      </c>
      <c r="C1350" s="5" t="n">
        <v>46269</v>
      </c>
      <c r="D1350" t="inlineStr">
        <is>
          <t>INV/2026/02947</t>
        </is>
      </c>
      <c r="E1350" s="9" t="n">
        <v>387.98</v>
      </c>
      <c r="F1350" s="9" t="n">
        <v>387.98</v>
      </c>
      <c r="G1350" s="9">
        <f>ROUND(E1350-F1350,2)</f>
        <v>0</v>
      </c>
    </row>
    <row r="1351">
      <c r="A1351" t="inlineStr">
        <is>
          <t>RA45116</t>
        </is>
      </c>
      <c r="B1351" t="inlineStr">
        <is>
          <t>Acacia Plan Partners</t>
        </is>
      </c>
      <c r="C1351" s="5" t="n">
        <v>46269</v>
      </c>
      <c r="D1351" t="inlineStr">
        <is>
          <t>INV/2026/02923</t>
        </is>
      </c>
      <c r="E1351" s="9" t="n">
        <v>145.49</v>
      </c>
      <c r="F1351" s="9" t="n">
        <v>145.49</v>
      </c>
      <c r="G1351" s="9">
        <f>ROUND(E1351-F1351,2)</f>
        <v>0</v>
      </c>
    </row>
    <row r="1352">
      <c r="A1352" t="inlineStr">
        <is>
          <t>RA45117</t>
        </is>
      </c>
      <c r="B1352" t="inlineStr">
        <is>
          <t>Mallee Plan Services</t>
        </is>
      </c>
      <c r="C1352" s="5" t="n">
        <v>46269</v>
      </c>
      <c r="D1352" t="inlineStr">
        <is>
          <t>INV/2026/02949</t>
        </is>
      </c>
      <c r="E1352" s="9" t="n">
        <v>417.98</v>
      </c>
      <c r="F1352" s="9" t="n">
        <v>417.98</v>
      </c>
      <c r="G1352" s="9">
        <f>ROUND(E1352-F1352,2)</f>
        <v>0</v>
      </c>
    </row>
    <row r="1353">
      <c r="A1353" t="inlineStr">
        <is>
          <t>RA45117</t>
        </is>
      </c>
      <c r="B1353" t="inlineStr">
        <is>
          <t>Mallee Plan Services</t>
        </is>
      </c>
      <c r="C1353" s="5" t="n">
        <v>46269</v>
      </c>
      <c r="D1353" t="inlineStr">
        <is>
          <t>INV/2026/02950</t>
        </is>
      </c>
      <c r="E1353" s="9" t="n">
        <v>290.98</v>
      </c>
      <c r="F1353" s="9" t="n">
        <v>290.98</v>
      </c>
      <c r="G1353" s="9">
        <f>ROUND(E1353-F1353,2)</f>
        <v>0</v>
      </c>
    </row>
    <row r="1354">
      <c r="A1354" t="inlineStr">
        <is>
          <t>RA45118</t>
        </is>
      </c>
      <c r="B1354" t="inlineStr">
        <is>
          <t>Riverbend Plan Partners</t>
        </is>
      </c>
      <c r="C1354" s="5" t="n">
        <v>46272</v>
      </c>
      <c r="D1354" t="inlineStr">
        <is>
          <t>INV/2026/02885</t>
        </is>
      </c>
      <c r="E1354" s="9" t="n">
        <v>290.98</v>
      </c>
      <c r="F1354" s="9" t="n">
        <v>290.98</v>
      </c>
      <c r="G1354" s="9">
        <f>ROUND(E1354-F1354,2)</f>
        <v>0</v>
      </c>
    </row>
    <row r="1355">
      <c r="A1355" t="inlineStr">
        <is>
          <t>RA45118</t>
        </is>
      </c>
      <c r="B1355" t="inlineStr">
        <is>
          <t>Riverbend Plan Partners</t>
        </is>
      </c>
      <c r="C1355" s="5" t="n">
        <v>46272</v>
      </c>
      <c r="D1355" t="inlineStr">
        <is>
          <t>INV/2026/02904</t>
        </is>
      </c>
      <c r="E1355" s="9" t="n">
        <v>387.98</v>
      </c>
      <c r="F1355" s="9" t="n">
        <v>387.98</v>
      </c>
      <c r="G1355" s="9">
        <f>ROUND(E1355-F1355,2)</f>
        <v>0</v>
      </c>
    </row>
    <row r="1356">
      <c r="A1356" t="inlineStr">
        <is>
          <t>RA45118</t>
        </is>
      </c>
      <c r="B1356" t="inlineStr">
        <is>
          <t>Riverbend Plan Partners</t>
        </is>
      </c>
      <c r="C1356" s="5" t="n">
        <v>46272</v>
      </c>
      <c r="D1356" t="inlineStr">
        <is>
          <t>INV/2026/02905</t>
        </is>
      </c>
      <c r="E1356" s="9" t="n">
        <v>126.99</v>
      </c>
      <c r="F1356" s="9" t="n">
        <v>126.99</v>
      </c>
      <c r="G1356" s="9">
        <f>ROUND(E1356-F1356,2)</f>
        <v>0</v>
      </c>
    </row>
    <row r="1357">
      <c r="A1357" t="inlineStr">
        <is>
          <t>RA45118</t>
        </is>
      </c>
      <c r="B1357" t="inlineStr">
        <is>
          <t>Riverbend Plan Partners</t>
        </is>
      </c>
      <c r="C1357" s="5" t="n">
        <v>46272</v>
      </c>
      <c r="D1357" t="inlineStr">
        <is>
          <t>INV/2026/02931</t>
        </is>
      </c>
      <c r="E1357" s="9" t="n">
        <v>223.99</v>
      </c>
      <c r="F1357" s="9" t="n">
        <v>223.99</v>
      </c>
      <c r="G1357" s="9">
        <f>ROUND(E1357-F1357,2)</f>
        <v>0</v>
      </c>
    </row>
    <row r="1358">
      <c r="A1358" t="inlineStr">
        <is>
          <t>RA45118</t>
        </is>
      </c>
      <c r="B1358" t="inlineStr">
        <is>
          <t>Riverbend Plan Partners</t>
        </is>
      </c>
      <c r="C1358" s="5" t="n">
        <v>46272</v>
      </c>
      <c r="D1358" t="inlineStr">
        <is>
          <t>INV/2026/02952</t>
        </is>
      </c>
      <c r="E1358" s="9" t="n">
        <v>193.99</v>
      </c>
      <c r="F1358" s="9" t="n">
        <v>193.99</v>
      </c>
      <c r="G1358" s="9">
        <f>ROUND(E1358-F1358,2)</f>
        <v>0</v>
      </c>
    </row>
    <row r="1359">
      <c r="A1359" t="inlineStr">
        <is>
          <t>RA45118</t>
        </is>
      </c>
      <c r="B1359" t="inlineStr">
        <is>
          <t>Riverbend Plan Partners</t>
        </is>
      </c>
      <c r="C1359" s="5" t="n">
        <v>46272</v>
      </c>
      <c r="D1359" t="inlineStr">
        <is>
          <t>INV/2026/02953</t>
        </is>
      </c>
      <c r="E1359" s="9" t="n">
        <v>193.99</v>
      </c>
      <c r="F1359" s="9" t="n">
        <v>193.99</v>
      </c>
      <c r="G1359" s="9">
        <f>ROUND(E1359-F1359,2)</f>
        <v>0</v>
      </c>
    </row>
    <row r="1360">
      <c r="A1360" t="inlineStr">
        <is>
          <t>RA45119</t>
        </is>
      </c>
      <c r="B1360" t="inlineStr">
        <is>
          <t>Wattle Plan Services</t>
        </is>
      </c>
      <c r="C1360" s="5" t="n">
        <v>46272</v>
      </c>
      <c r="D1360" t="inlineStr">
        <is>
          <t>INV/2026/02890</t>
        </is>
      </c>
      <c r="E1360" s="9" t="n">
        <v>387.98</v>
      </c>
      <c r="F1360" s="9" t="n">
        <v>387.98</v>
      </c>
      <c r="G1360" s="9">
        <f>ROUND(E1360-F1360,2)</f>
        <v>0</v>
      </c>
    </row>
    <row r="1361">
      <c r="A1361" t="inlineStr">
        <is>
          <t>RA45119</t>
        </is>
      </c>
      <c r="B1361" t="inlineStr">
        <is>
          <t>Wattle Plan Services</t>
        </is>
      </c>
      <c r="C1361" s="5" t="n">
        <v>46272</v>
      </c>
      <c r="D1361" t="inlineStr">
        <is>
          <t>INV/2026/02908</t>
        </is>
      </c>
      <c r="E1361" s="9" t="n">
        <v>145.49</v>
      </c>
      <c r="F1361" s="9" t="n">
        <v>145.49</v>
      </c>
      <c r="G1361" s="9">
        <f>ROUND(E1361-F1361,2)</f>
        <v>0</v>
      </c>
    </row>
    <row r="1362">
      <c r="A1362" t="inlineStr">
        <is>
          <t>RA45119</t>
        </is>
      </c>
      <c r="B1362" t="inlineStr">
        <is>
          <t>Wattle Plan Services</t>
        </is>
      </c>
      <c r="C1362" s="5" t="n">
        <v>46272</v>
      </c>
      <c r="D1362" t="inlineStr">
        <is>
          <t>INV/2026/02934</t>
        </is>
      </c>
      <c r="E1362" s="9" t="n">
        <v>126.99</v>
      </c>
      <c r="F1362" s="9" t="n">
        <v>126.99</v>
      </c>
      <c r="G1362" s="9">
        <f>ROUND(E1362-F1362,2)</f>
        <v>0</v>
      </c>
    </row>
    <row r="1363">
      <c r="A1363" t="inlineStr">
        <is>
          <t>RA45120</t>
        </is>
      </c>
      <c r="B1363" t="inlineStr">
        <is>
          <t>Kookaburra Plan Support</t>
        </is>
      </c>
      <c r="C1363" s="5" t="n">
        <v>46272</v>
      </c>
      <c r="D1363" t="inlineStr">
        <is>
          <t>INV/2026/02849</t>
        </is>
      </c>
      <c r="E1363" s="9" t="n">
        <v>96.98999999999999</v>
      </c>
      <c r="F1363" s="9" t="n">
        <v>96.98999999999999</v>
      </c>
      <c r="G1363" s="9">
        <f>ROUND(E1363-F1363,2)</f>
        <v>0</v>
      </c>
    </row>
    <row r="1364">
      <c r="A1364" t="inlineStr">
        <is>
          <t>RA45120</t>
        </is>
      </c>
      <c r="B1364" t="inlineStr">
        <is>
          <t>Kookaburra Plan Support</t>
        </is>
      </c>
      <c r="C1364" s="5" t="n">
        <v>46272</v>
      </c>
      <c r="D1364" t="inlineStr">
        <is>
          <t>INV/2026/02873</t>
        </is>
      </c>
      <c r="E1364" s="9" t="n">
        <v>272.49</v>
      </c>
      <c r="F1364" s="9" t="n">
        <v>272.49</v>
      </c>
      <c r="G1364" s="9">
        <f>ROUND(E1364-F1364,2)</f>
        <v>0</v>
      </c>
    </row>
    <row r="1365">
      <c r="A1365" t="inlineStr">
        <is>
          <t>RA45120</t>
        </is>
      </c>
      <c r="B1365" t="inlineStr">
        <is>
          <t>Kookaburra Plan Support</t>
        </is>
      </c>
      <c r="C1365" s="5" t="n">
        <v>46272</v>
      </c>
      <c r="D1365" t="inlineStr">
        <is>
          <t>INV/2026/02894</t>
        </is>
      </c>
      <c r="E1365" s="9" t="n">
        <v>203.69</v>
      </c>
      <c r="F1365" s="9" t="n">
        <v>203.69</v>
      </c>
      <c r="G1365" s="9">
        <f>ROUND(E1365-F1365,2)</f>
        <v>0</v>
      </c>
    </row>
    <row r="1366">
      <c r="A1366" t="inlineStr">
        <is>
          <t>RA45120</t>
        </is>
      </c>
      <c r="B1366" t="inlineStr">
        <is>
          <t>Kookaburra Plan Support</t>
        </is>
      </c>
      <c r="C1366" s="5" t="n">
        <v>46272</v>
      </c>
      <c r="D1366" t="inlineStr">
        <is>
          <t>INV/2026/02895</t>
        </is>
      </c>
      <c r="E1366" s="9" t="n">
        <v>203.69</v>
      </c>
      <c r="F1366" s="9" t="n">
        <v>203.69</v>
      </c>
      <c r="G1366" s="9">
        <f>ROUND(E1366-F1366,2)</f>
        <v>0</v>
      </c>
    </row>
    <row r="1367">
      <c r="A1367" t="inlineStr">
        <is>
          <t>RA45121</t>
        </is>
      </c>
      <c r="B1367" t="inlineStr">
        <is>
          <t>Saltbush Plan Managers</t>
        </is>
      </c>
      <c r="C1367" s="5" t="n">
        <v>46272</v>
      </c>
      <c r="D1367" t="inlineStr">
        <is>
          <t>INV/2026/02941</t>
        </is>
      </c>
      <c r="E1367" s="9" t="n">
        <v>349.18</v>
      </c>
      <c r="F1367" s="9" t="n">
        <v>349.18</v>
      </c>
      <c r="G1367" s="9">
        <f>ROUND(E1367-F1367,2)</f>
        <v>0</v>
      </c>
    </row>
    <row r="1368">
      <c r="A1368" t="inlineStr">
        <is>
          <t>RA45121</t>
        </is>
      </c>
      <c r="B1368" t="inlineStr">
        <is>
          <t>Saltbush Plan Managers</t>
        </is>
      </c>
      <c r="C1368" s="5" t="n">
        <v>46272</v>
      </c>
      <c r="D1368" t="inlineStr">
        <is>
          <t>INV/2026/02942</t>
        </is>
      </c>
      <c r="E1368" s="9" t="n">
        <v>387.98</v>
      </c>
      <c r="F1368" s="9" t="n">
        <v>387.98</v>
      </c>
      <c r="G1368" s="9">
        <f>ROUND(E1368-F1368,2)</f>
        <v>0</v>
      </c>
    </row>
    <row r="1369">
      <c r="A1369" t="inlineStr">
        <is>
          <t>RA45121</t>
        </is>
      </c>
      <c r="B1369" t="inlineStr">
        <is>
          <t>Saltbush Plan Managers</t>
        </is>
      </c>
      <c r="C1369" s="5" t="n">
        <v>46272</v>
      </c>
      <c r="D1369" t="inlineStr">
        <is>
          <t>INV/2026/02960</t>
        </is>
      </c>
      <c r="E1369" s="9" t="n">
        <v>446.18</v>
      </c>
      <c r="F1369" s="9" t="n">
        <v>446.18</v>
      </c>
      <c r="G1369" s="9">
        <f>ROUND(E1369-F1369,2)</f>
        <v>0</v>
      </c>
    </row>
    <row r="1370">
      <c r="A1370" t="inlineStr">
        <is>
          <t>RA45121</t>
        </is>
      </c>
      <c r="B1370" t="inlineStr">
        <is>
          <t>Saltbush Plan Managers</t>
        </is>
      </c>
      <c r="C1370" s="5" t="n">
        <v>46272</v>
      </c>
      <c r="D1370" t="inlineStr">
        <is>
          <t>INV/2026/02976</t>
        </is>
      </c>
      <c r="E1370" s="9" t="n">
        <v>387.98</v>
      </c>
      <c r="F1370" s="9" t="n">
        <v>387.98</v>
      </c>
      <c r="G1370" s="9">
        <f>ROUND(E1370-F1370,2)</f>
        <v>0</v>
      </c>
    </row>
    <row r="1371">
      <c r="A1371" t="inlineStr">
        <is>
          <t>RA45121</t>
        </is>
      </c>
      <c r="B1371" t="inlineStr">
        <is>
          <t>Saltbush Plan Managers</t>
        </is>
      </c>
      <c r="C1371" s="5" t="n">
        <v>46272</v>
      </c>
      <c r="D1371" t="inlineStr">
        <is>
          <t>INV/2026/02978</t>
        </is>
      </c>
      <c r="E1371" s="9" t="n">
        <v>193.99</v>
      </c>
      <c r="F1371" s="9" t="n">
        <v>193.99</v>
      </c>
      <c r="G1371" s="9">
        <f>ROUND(E1371-F1371,2)</f>
        <v>0</v>
      </c>
    </row>
    <row r="1372">
      <c r="A1372" t="inlineStr">
        <is>
          <t>RA45122</t>
        </is>
      </c>
      <c r="B1372" t="inlineStr">
        <is>
          <t>Redgum Plan Admin</t>
        </is>
      </c>
      <c r="C1372" s="5" t="n">
        <v>46272</v>
      </c>
      <c r="D1372" t="inlineStr">
        <is>
          <t>INV/2026/02915</t>
        </is>
      </c>
      <c r="E1372" s="9" t="n">
        <v>300.69</v>
      </c>
      <c r="F1372" s="9" t="n">
        <v>300.69</v>
      </c>
      <c r="G1372" s="9">
        <f>ROUND(E1372-F1372,2)</f>
        <v>0</v>
      </c>
    </row>
    <row r="1373">
      <c r="A1373" t="inlineStr">
        <is>
          <t>RA45122</t>
        </is>
      </c>
      <c r="B1373" t="inlineStr">
        <is>
          <t>Redgum Plan Admin</t>
        </is>
      </c>
      <c r="C1373" s="5" t="n">
        <v>46272</v>
      </c>
      <c r="D1373" t="inlineStr">
        <is>
          <t>INV/2026/02961</t>
        </is>
      </c>
      <c r="E1373" s="9" t="n">
        <v>145.49</v>
      </c>
      <c r="F1373" s="9" t="n">
        <v>145.49</v>
      </c>
      <c r="G1373" s="9">
        <f>ROUND(E1373-F1373,2)</f>
        <v>0</v>
      </c>
    </row>
    <row r="1374">
      <c r="A1374" t="inlineStr">
        <is>
          <t>RA45122</t>
        </is>
      </c>
      <c r="B1374" t="inlineStr">
        <is>
          <t>Redgum Plan Admin</t>
        </is>
      </c>
      <c r="C1374" s="5" t="n">
        <v>46272</v>
      </c>
      <c r="D1374" t="inlineStr">
        <is>
          <t>INV/2026/02962</t>
        </is>
      </c>
      <c r="E1374" s="9" t="n">
        <v>203.69</v>
      </c>
      <c r="F1374" s="9" t="n">
        <v>203.69</v>
      </c>
      <c r="G1374" s="9">
        <f>ROUND(E1374-F1374,2)</f>
        <v>0</v>
      </c>
    </row>
    <row r="1375">
      <c r="A1375" t="inlineStr">
        <is>
          <t>RA45123</t>
        </is>
      </c>
      <c r="B1375" t="inlineStr">
        <is>
          <t>Lyrebird Plan Management</t>
        </is>
      </c>
      <c r="C1375" s="5" t="n">
        <v>46272</v>
      </c>
      <c r="D1375" t="inlineStr">
        <is>
          <t>INV/2026/02945</t>
        </is>
      </c>
      <c r="E1375" s="9" t="n">
        <v>387.98</v>
      </c>
      <c r="F1375" s="9" t="n">
        <v>387.98</v>
      </c>
      <c r="G1375" s="9">
        <f>ROUND(E1375-F1375,2)</f>
        <v>0</v>
      </c>
    </row>
    <row r="1376">
      <c r="A1376" t="inlineStr">
        <is>
          <t>RA45123</t>
        </is>
      </c>
      <c r="B1376" t="inlineStr">
        <is>
          <t>Lyrebird Plan Management</t>
        </is>
      </c>
      <c r="C1376" s="5" t="n">
        <v>46272</v>
      </c>
      <c r="D1376" t="inlineStr">
        <is>
          <t>INV/2026/02966</t>
        </is>
      </c>
      <c r="E1376" s="9" t="n">
        <v>300.69</v>
      </c>
      <c r="F1376" s="9" t="n">
        <v>300.69</v>
      </c>
      <c r="G1376" s="9">
        <f>ROUND(E1376-F1376,2)</f>
        <v>0</v>
      </c>
    </row>
    <row r="1377">
      <c r="A1377" t="inlineStr">
        <is>
          <t>RA45124</t>
        </is>
      </c>
      <c r="B1377" t="inlineStr">
        <is>
          <t>Mallee Plan Services</t>
        </is>
      </c>
      <c r="C1377" s="5" t="n">
        <v>46272</v>
      </c>
      <c r="D1377" t="inlineStr">
        <is>
          <t>INV/2026/03005</t>
        </is>
      </c>
      <c r="E1377" s="9" t="n">
        <v>145.49</v>
      </c>
      <c r="F1377" s="9" t="n">
        <v>145.49</v>
      </c>
      <c r="G1377" s="9">
        <f>ROUND(E1377-F1377,2)</f>
        <v>0</v>
      </c>
    </row>
    <row r="1378">
      <c r="A1378" t="inlineStr">
        <is>
          <t>RA45124</t>
        </is>
      </c>
      <c r="B1378" t="inlineStr">
        <is>
          <t>Mallee Plan Services</t>
        </is>
      </c>
      <c r="C1378" s="5" t="n">
        <v>46272</v>
      </c>
      <c r="D1378" t="inlineStr">
        <is>
          <t>INV/2026/03007</t>
        </is>
      </c>
      <c r="E1378" s="9" t="n">
        <v>155.19</v>
      </c>
      <c r="F1378" s="9" t="n">
        <v>155.19</v>
      </c>
      <c r="G1378" s="9">
        <f>ROUND(E1378-F1378,2)</f>
        <v>0</v>
      </c>
    </row>
    <row r="1379">
      <c r="A1379" t="inlineStr">
        <is>
          <t>RA45125</t>
        </is>
      </c>
      <c r="B1379" t="inlineStr">
        <is>
          <t>Clearpath NDIS Plans</t>
        </is>
      </c>
      <c r="C1379" s="5" t="n">
        <v>46273</v>
      </c>
      <c r="D1379" t="inlineStr">
        <is>
          <t>INV/2026/02866</t>
        </is>
      </c>
      <c r="E1379" s="9" t="n">
        <v>242.49</v>
      </c>
      <c r="F1379" s="9" t="n">
        <v>242.49</v>
      </c>
      <c r="G1379" s="9">
        <f>ROUND(E1379-F1379,2)</f>
        <v>0</v>
      </c>
    </row>
    <row r="1380">
      <c r="A1380" t="inlineStr">
        <is>
          <t>RA45125</t>
        </is>
      </c>
      <c r="B1380" t="inlineStr">
        <is>
          <t>Clearpath NDIS Plans</t>
        </is>
      </c>
      <c r="C1380" s="5" t="n">
        <v>46273</v>
      </c>
      <c r="D1380" t="inlineStr">
        <is>
          <t>INV/2026/02887</t>
        </is>
      </c>
      <c r="E1380" s="9" t="n">
        <v>252.19</v>
      </c>
      <c r="F1380" s="9" t="n">
        <v>252.19</v>
      </c>
      <c r="G1380" s="9">
        <f>ROUND(E1380-F1380,2)</f>
        <v>0</v>
      </c>
    </row>
    <row r="1381">
      <c r="A1381" t="inlineStr">
        <is>
          <t>RA45125</t>
        </is>
      </c>
      <c r="B1381" t="inlineStr">
        <is>
          <t>Clearpath NDIS Plans</t>
        </is>
      </c>
      <c r="C1381" s="5" t="n">
        <v>46273</v>
      </c>
      <c r="D1381" t="inlineStr">
        <is>
          <t>INV/2026/02888</t>
        </is>
      </c>
      <c r="E1381" s="9" t="n">
        <v>145.49</v>
      </c>
      <c r="F1381" s="9" t="n">
        <v>145.49</v>
      </c>
      <c r="G1381" s="9">
        <f>ROUND(E1381-F1381,2)</f>
        <v>0</v>
      </c>
    </row>
    <row r="1382">
      <c r="A1382" t="inlineStr">
        <is>
          <t>RA45126</t>
        </is>
      </c>
      <c r="B1382" t="inlineStr">
        <is>
          <t>Wattle Plan Services</t>
        </is>
      </c>
      <c r="C1382" s="5" t="n">
        <v>46273</v>
      </c>
      <c r="D1382" t="inlineStr">
        <is>
          <t>INV/2026/02933</t>
        </is>
      </c>
      <c r="E1382" s="9" t="n">
        <v>96.98999999999999</v>
      </c>
      <c r="F1382" s="9" t="n">
        <v>96.98999999999999</v>
      </c>
      <c r="G1382" s="9">
        <f>ROUND(E1382-F1382,2)</f>
        <v>0</v>
      </c>
    </row>
    <row r="1383">
      <c r="A1383" t="inlineStr">
        <is>
          <t>RA45126</t>
        </is>
      </c>
      <c r="B1383" t="inlineStr">
        <is>
          <t>Wattle Plan Services</t>
        </is>
      </c>
      <c r="C1383" s="5" t="n">
        <v>46273</v>
      </c>
      <c r="D1383" t="inlineStr">
        <is>
          <t>INV/2026/02954</t>
        </is>
      </c>
      <c r="E1383" s="9" t="n">
        <v>349.18</v>
      </c>
      <c r="F1383" s="9" t="n">
        <v>349.18</v>
      </c>
      <c r="G1383" s="9">
        <f>ROUND(E1383-F1383,2)</f>
        <v>0</v>
      </c>
    </row>
    <row r="1384">
      <c r="A1384" t="inlineStr">
        <is>
          <t>RA45126</t>
        </is>
      </c>
      <c r="B1384" t="inlineStr">
        <is>
          <t>Wattle Plan Services</t>
        </is>
      </c>
      <c r="C1384" s="5" t="n">
        <v>46273</v>
      </c>
      <c r="D1384" t="inlineStr">
        <is>
          <t>INV/2026/02972</t>
        </is>
      </c>
      <c r="E1384" s="9" t="n">
        <v>387.98</v>
      </c>
      <c r="F1384" s="9" t="n">
        <v>387.98</v>
      </c>
      <c r="G1384" s="9">
        <f>ROUND(E1384-F1384,2)</f>
        <v>0</v>
      </c>
    </row>
    <row r="1385">
      <c r="A1385" t="inlineStr">
        <is>
          <t>RA45127</t>
        </is>
      </c>
      <c r="B1385" t="inlineStr">
        <is>
          <t>Kookaburra Plan Support</t>
        </is>
      </c>
      <c r="C1385" s="5" t="n">
        <v>46273</v>
      </c>
      <c r="D1385" t="inlineStr">
        <is>
          <t>INV/2026/02911</t>
        </is>
      </c>
      <c r="E1385" s="9" t="n">
        <v>387.98</v>
      </c>
      <c r="F1385" s="9" t="n">
        <v>387.98</v>
      </c>
      <c r="G1385" s="9">
        <f>ROUND(E1385-F1385,2)</f>
        <v>0</v>
      </c>
    </row>
    <row r="1386">
      <c r="A1386" t="inlineStr">
        <is>
          <t>RA45127</t>
        </is>
      </c>
      <c r="B1386" t="inlineStr">
        <is>
          <t>Kookaburra Plan Support</t>
        </is>
      </c>
      <c r="C1386" s="5" t="n">
        <v>46273</v>
      </c>
      <c r="D1386" t="inlineStr">
        <is>
          <t>INV/2026/02912</t>
        </is>
      </c>
      <c r="E1386" s="9" t="n">
        <v>175.49</v>
      </c>
      <c r="F1386" s="9" t="n">
        <v>175.49</v>
      </c>
      <c r="G1386" s="9">
        <f>ROUND(E1386-F1386,2)</f>
        <v>0</v>
      </c>
    </row>
    <row r="1387">
      <c r="A1387" t="inlineStr">
        <is>
          <t>RA45127</t>
        </is>
      </c>
      <c r="B1387" t="inlineStr">
        <is>
          <t>Kookaburra Plan Support</t>
        </is>
      </c>
      <c r="C1387" s="5" t="n">
        <v>46273</v>
      </c>
      <c r="D1387" t="inlineStr">
        <is>
          <t>INV/2026/02940</t>
        </is>
      </c>
      <c r="E1387" s="9" t="n">
        <v>446.18</v>
      </c>
      <c r="F1387" s="9" t="n">
        <v>446.18</v>
      </c>
      <c r="G1387" s="9">
        <f>ROUND(E1387-F1387,2)</f>
        <v>0</v>
      </c>
    </row>
    <row r="1388">
      <c r="A1388" t="inlineStr">
        <is>
          <t>RA45128</t>
        </is>
      </c>
      <c r="B1388" t="inlineStr">
        <is>
          <t>Southern Cross Plan Mgmt</t>
        </is>
      </c>
      <c r="C1388" s="5" t="n">
        <v>46273</v>
      </c>
      <c r="D1388" t="inlineStr">
        <is>
          <t>INV/2026/02554</t>
        </is>
      </c>
      <c r="E1388" s="9" t="n">
        <v>203.69</v>
      </c>
      <c r="F1388" s="9" t="n">
        <v>203.69</v>
      </c>
      <c r="G1388" s="9">
        <f>ROUND(E1388-F1388,2)</f>
        <v>0</v>
      </c>
    </row>
    <row r="1389">
      <c r="A1389" t="inlineStr">
        <is>
          <t>RA45128</t>
        </is>
      </c>
      <c r="B1389" t="inlineStr">
        <is>
          <t>Southern Cross Plan Mgmt</t>
        </is>
      </c>
      <c r="C1389" s="5" t="n">
        <v>46273</v>
      </c>
      <c r="D1389" t="inlineStr">
        <is>
          <t>INV/2026/02598</t>
        </is>
      </c>
      <c r="E1389" s="9" t="n">
        <v>242.49</v>
      </c>
      <c r="F1389" s="9" t="n">
        <v>242.49</v>
      </c>
      <c r="G1389" s="9">
        <f>ROUND(E1389-F1389,2)</f>
        <v>0</v>
      </c>
    </row>
    <row r="1390">
      <c r="A1390" t="inlineStr">
        <is>
          <t>RA45128</t>
        </is>
      </c>
      <c r="B1390" t="inlineStr">
        <is>
          <t>Southern Cross Plan Mgmt</t>
        </is>
      </c>
      <c r="C1390" s="5" t="n">
        <v>46273</v>
      </c>
      <c r="D1390" t="inlineStr">
        <is>
          <t>INV/2026/02599</t>
        </is>
      </c>
      <c r="E1390" s="9" t="n">
        <v>242.49</v>
      </c>
      <c r="F1390" s="9" t="n">
        <v>242.49</v>
      </c>
      <c r="G1390" s="9">
        <f>ROUND(E1390-F1390,2)</f>
        <v>0</v>
      </c>
    </row>
    <row r="1391">
      <c r="A1391" t="inlineStr">
        <is>
          <t>RA45128</t>
        </is>
      </c>
      <c r="B1391" t="inlineStr">
        <is>
          <t>Southern Cross Plan Mgmt</t>
        </is>
      </c>
      <c r="C1391" s="5" t="n">
        <v>46273</v>
      </c>
      <c r="D1391" t="inlineStr">
        <is>
          <t>INV/2026/02623</t>
        </is>
      </c>
      <c r="E1391" s="9" t="n">
        <v>446.18</v>
      </c>
      <c r="F1391" s="9" t="n">
        <v>446.18</v>
      </c>
      <c r="G1391" s="9">
        <f>ROUND(E1391-F1391,2)</f>
        <v>0</v>
      </c>
    </row>
    <row r="1392">
      <c r="A1392" t="inlineStr">
        <is>
          <t>RA45128</t>
        </is>
      </c>
      <c r="B1392" t="inlineStr">
        <is>
          <t>Southern Cross Plan Mgmt</t>
        </is>
      </c>
      <c r="C1392" s="5" t="n">
        <v>46273</v>
      </c>
      <c r="D1392" t="inlineStr">
        <is>
          <t>INV/2026/02624</t>
        </is>
      </c>
      <c r="E1392" s="9" t="n">
        <v>242.49</v>
      </c>
      <c r="F1392" s="9" t="n">
        <v>242.49</v>
      </c>
      <c r="G1392" s="9">
        <f>ROUND(E1392-F1392,2)</f>
        <v>0</v>
      </c>
    </row>
    <row r="1393">
      <c r="A1393" t="inlineStr">
        <is>
          <t>RA45128</t>
        </is>
      </c>
      <c r="B1393" t="inlineStr">
        <is>
          <t>Southern Cross Plan Mgmt</t>
        </is>
      </c>
      <c r="C1393" s="5" t="n">
        <v>46273</v>
      </c>
      <c r="D1393" t="inlineStr">
        <is>
          <t>INV/2026/02625</t>
        </is>
      </c>
      <c r="E1393" s="9" t="n">
        <v>242.49</v>
      </c>
      <c r="F1393" s="9" t="n">
        <v>242.49</v>
      </c>
      <c r="G1393" s="9">
        <f>ROUND(E1393-F1393,2)</f>
        <v>0</v>
      </c>
    </row>
    <row r="1394">
      <c r="A1394" t="inlineStr">
        <is>
          <t>RA45128</t>
        </is>
      </c>
      <c r="B1394" t="inlineStr">
        <is>
          <t>Southern Cross Plan Mgmt</t>
        </is>
      </c>
      <c r="C1394" s="5" t="n">
        <v>46273</v>
      </c>
      <c r="D1394" t="inlineStr">
        <is>
          <t>INV/2026/02644</t>
        </is>
      </c>
      <c r="E1394" s="9" t="n">
        <v>300.69</v>
      </c>
      <c r="F1394" s="9" t="n">
        <v>300.69</v>
      </c>
      <c r="G1394" s="9">
        <f>ROUND(E1394-F1394,2)</f>
        <v>0</v>
      </c>
    </row>
    <row r="1395">
      <c r="A1395" t="inlineStr">
        <is>
          <t>RA45128</t>
        </is>
      </c>
      <c r="B1395" t="inlineStr">
        <is>
          <t>Southern Cross Plan Mgmt</t>
        </is>
      </c>
      <c r="C1395" s="5" t="n">
        <v>46273</v>
      </c>
      <c r="D1395" t="inlineStr">
        <is>
          <t>INV/2026/02676</t>
        </is>
      </c>
      <c r="E1395" s="9" t="n">
        <v>223.99</v>
      </c>
      <c r="F1395" s="9" t="n">
        <v>223.99</v>
      </c>
      <c r="G1395" s="9">
        <f>ROUND(E1395-F1395,2)</f>
        <v>0</v>
      </c>
    </row>
    <row r="1396">
      <c r="A1396" t="inlineStr">
        <is>
          <t>RA45128</t>
        </is>
      </c>
      <c r="B1396" t="inlineStr">
        <is>
          <t>Southern Cross Plan Mgmt</t>
        </is>
      </c>
      <c r="C1396" s="5" t="n">
        <v>46273</v>
      </c>
      <c r="D1396" t="inlineStr">
        <is>
          <t>INV/2026/02701</t>
        </is>
      </c>
      <c r="E1396" s="9" t="n">
        <v>349.18</v>
      </c>
      <c r="F1396" s="9" t="n">
        <v>349.18</v>
      </c>
      <c r="G1396" s="9">
        <f>ROUND(E1396-F1396,2)</f>
        <v>0</v>
      </c>
    </row>
    <row r="1397">
      <c r="A1397" t="inlineStr">
        <is>
          <t>RA45128</t>
        </is>
      </c>
      <c r="B1397" t="inlineStr">
        <is>
          <t>Southern Cross Plan Mgmt</t>
        </is>
      </c>
      <c r="C1397" s="5" t="n">
        <v>46273</v>
      </c>
      <c r="D1397" t="inlineStr">
        <is>
          <t>INV/2026/02702</t>
        </is>
      </c>
      <c r="E1397" s="9" t="n">
        <v>290.98</v>
      </c>
      <c r="F1397" s="9" t="n">
        <v>290.98</v>
      </c>
      <c r="G1397" s="9">
        <f>ROUND(E1397-F1397,2)</f>
        <v>0</v>
      </c>
    </row>
    <row r="1398">
      <c r="A1398" t="inlineStr">
        <is>
          <t>RA45128</t>
        </is>
      </c>
      <c r="B1398" t="inlineStr">
        <is>
          <t>Southern Cross Plan Mgmt</t>
        </is>
      </c>
      <c r="C1398" s="5" t="n">
        <v>46273</v>
      </c>
      <c r="D1398" t="inlineStr">
        <is>
          <t>INV/2026/02745</t>
        </is>
      </c>
      <c r="E1398" s="9" t="n">
        <v>145.49</v>
      </c>
      <c r="F1398" s="9" t="n">
        <v>145.49</v>
      </c>
      <c r="G1398" s="9">
        <f>ROUND(E1398-F1398,2)</f>
        <v>0</v>
      </c>
    </row>
    <row r="1399">
      <c r="A1399" t="inlineStr">
        <is>
          <t>RA45128</t>
        </is>
      </c>
      <c r="B1399" t="inlineStr">
        <is>
          <t>Southern Cross Plan Mgmt</t>
        </is>
      </c>
      <c r="C1399" s="5" t="n">
        <v>46273</v>
      </c>
      <c r="D1399" t="inlineStr">
        <is>
          <t>INV/2026/02746</t>
        </is>
      </c>
      <c r="E1399" s="9" t="n">
        <v>272.49</v>
      </c>
      <c r="F1399" s="9" t="n">
        <v>272.49</v>
      </c>
      <c r="G1399" s="9">
        <f>ROUND(E1399-F1399,2)</f>
        <v>0</v>
      </c>
    </row>
    <row r="1400">
      <c r="A1400" t="inlineStr">
        <is>
          <t>RA45129</t>
        </is>
      </c>
      <c r="B1400" t="inlineStr">
        <is>
          <t>Tallowwood Plans</t>
        </is>
      </c>
      <c r="C1400" s="5" t="n">
        <v>46273</v>
      </c>
      <c r="D1400" t="inlineStr">
        <is>
          <t>INV/2026/02920</t>
        </is>
      </c>
      <c r="E1400" s="9" t="n">
        <v>349.18</v>
      </c>
      <c r="F1400" s="9" t="n">
        <v>349.18</v>
      </c>
      <c r="G1400" s="9">
        <f>ROUND(E1400-F1400,2)</f>
        <v>0</v>
      </c>
    </row>
    <row r="1401">
      <c r="A1401" t="inlineStr">
        <is>
          <t>RA45129</t>
        </is>
      </c>
      <c r="B1401" t="inlineStr">
        <is>
          <t>Tallowwood Plans</t>
        </is>
      </c>
      <c r="C1401" s="5" t="n">
        <v>46273</v>
      </c>
      <c r="D1401" t="inlineStr">
        <is>
          <t>INV/2026/02948</t>
        </is>
      </c>
      <c r="E1401" s="9" t="n">
        <v>203.69</v>
      </c>
      <c r="F1401" s="9" t="n">
        <v>203.69</v>
      </c>
      <c r="G1401" s="9">
        <f>ROUND(E1401-F1401,2)</f>
        <v>0</v>
      </c>
    </row>
    <row r="1402">
      <c r="A1402" t="inlineStr">
        <is>
          <t>RA45129</t>
        </is>
      </c>
      <c r="B1402" t="inlineStr">
        <is>
          <t>Tallowwood Plans</t>
        </is>
      </c>
      <c r="C1402" s="5" t="n">
        <v>46273</v>
      </c>
      <c r="D1402" t="inlineStr">
        <is>
          <t>INV/2026/02984</t>
        </is>
      </c>
      <c r="E1402" s="9" t="n">
        <v>242.49</v>
      </c>
      <c r="F1402" s="9" t="n">
        <v>242.49</v>
      </c>
      <c r="G1402" s="9">
        <f>ROUND(E1402-F1402,2)</f>
        <v>0</v>
      </c>
    </row>
    <row r="1403">
      <c r="A1403" t="inlineStr">
        <is>
          <t>RA45129</t>
        </is>
      </c>
      <c r="B1403" t="inlineStr">
        <is>
          <t>Tallowwood Plans</t>
        </is>
      </c>
      <c r="C1403" s="5" t="n">
        <v>46273</v>
      </c>
      <c r="D1403" t="inlineStr">
        <is>
          <t>INV/2026/02985</t>
        </is>
      </c>
      <c r="E1403" s="9" t="n">
        <v>320.98</v>
      </c>
      <c r="F1403" s="9" t="n">
        <v>320.98</v>
      </c>
      <c r="G1403" s="9">
        <f>ROUND(E1403-F1403,2)</f>
        <v>0</v>
      </c>
    </row>
    <row r="1404">
      <c r="A1404" t="inlineStr">
        <is>
          <t>RA45130</t>
        </is>
      </c>
      <c r="B1404" t="inlineStr">
        <is>
          <t>Acacia Plan Partners</t>
        </is>
      </c>
      <c r="C1404" s="5" t="n">
        <v>46273</v>
      </c>
      <c r="D1404" t="inlineStr">
        <is>
          <t>INV/2026/02922</t>
        </is>
      </c>
      <c r="E1404" s="9" t="n">
        <v>193.99</v>
      </c>
      <c r="F1404" s="9" t="n">
        <v>193.99</v>
      </c>
      <c r="G1404" s="9">
        <f>ROUND(E1404-F1404,2)</f>
        <v>0</v>
      </c>
    </row>
    <row r="1405">
      <c r="A1405" t="inlineStr">
        <is>
          <t>RA45130</t>
        </is>
      </c>
      <c r="B1405" t="inlineStr">
        <is>
          <t>Acacia Plan Partners</t>
        </is>
      </c>
      <c r="C1405" s="5" t="n">
        <v>46273</v>
      </c>
      <c r="D1405" t="inlineStr">
        <is>
          <t>INV/2026/02968</t>
        </is>
      </c>
      <c r="E1405" s="9" t="n">
        <v>252.19</v>
      </c>
      <c r="F1405" s="9" t="n">
        <v>252.19</v>
      </c>
      <c r="G1405" s="9">
        <f>ROUND(E1405-F1405,2)</f>
        <v>0</v>
      </c>
    </row>
    <row r="1406">
      <c r="A1406" t="inlineStr">
        <is>
          <t>RA45130</t>
        </is>
      </c>
      <c r="B1406" t="inlineStr">
        <is>
          <t>Acacia Plan Partners</t>
        </is>
      </c>
      <c r="C1406" s="5" t="n">
        <v>46273</v>
      </c>
      <c r="D1406" t="inlineStr">
        <is>
          <t>INV/2026/02969</t>
        </is>
      </c>
      <c r="E1406" s="9" t="n">
        <v>417.98</v>
      </c>
      <c r="F1406" s="9" t="n">
        <v>417.98</v>
      </c>
      <c r="G1406" s="9">
        <f>ROUND(E1406-F1406,2)</f>
        <v>0</v>
      </c>
    </row>
    <row r="1407">
      <c r="A1407" t="inlineStr">
        <is>
          <t>RA45130</t>
        </is>
      </c>
      <c r="B1407" t="inlineStr">
        <is>
          <t>Acacia Plan Partners</t>
        </is>
      </c>
      <c r="C1407" s="5" t="n">
        <v>46273</v>
      </c>
      <c r="D1407" t="inlineStr">
        <is>
          <t>INV/2026/03003</t>
        </is>
      </c>
      <c r="E1407" s="9" t="n">
        <v>387.98</v>
      </c>
      <c r="F1407" s="9" t="n">
        <v>387.98</v>
      </c>
      <c r="G1407" s="9">
        <f>ROUND(E1407-F1407,2)</f>
        <v>0</v>
      </c>
    </row>
    <row r="1408">
      <c r="A1408" t="inlineStr">
        <is>
          <t>RA45130</t>
        </is>
      </c>
      <c r="B1408" t="inlineStr">
        <is>
          <t>Acacia Plan Partners</t>
        </is>
      </c>
      <c r="C1408" s="5" t="n">
        <v>46273</v>
      </c>
      <c r="D1408" t="inlineStr">
        <is>
          <t>INV/2026/03004</t>
        </is>
      </c>
      <c r="E1408" s="9" t="n">
        <v>203.69</v>
      </c>
      <c r="F1408" s="9" t="n">
        <v>203.69</v>
      </c>
      <c r="G1408" s="9">
        <f>ROUND(E1408-F1408,2)</f>
        <v>0</v>
      </c>
    </row>
    <row r="1409">
      <c r="A1409" t="inlineStr">
        <is>
          <t>RA45131</t>
        </is>
      </c>
      <c r="B1409" t="inlineStr">
        <is>
          <t>Banksia Plan Co</t>
        </is>
      </c>
      <c r="C1409" s="5" t="n">
        <v>46274</v>
      </c>
      <c r="D1409" t="inlineStr">
        <is>
          <t>INV/2026/02909</t>
        </is>
      </c>
      <c r="E1409" s="9" t="n">
        <v>387.98</v>
      </c>
      <c r="F1409" s="9" t="n">
        <v>387.98</v>
      </c>
      <c r="G1409" s="9">
        <f>ROUND(E1409-F1409,2)</f>
        <v>0</v>
      </c>
    </row>
    <row r="1410">
      <c r="A1410" t="inlineStr">
        <is>
          <t>RA45131</t>
        </is>
      </c>
      <c r="B1410" t="inlineStr">
        <is>
          <t>Banksia Plan Co</t>
        </is>
      </c>
      <c r="C1410" s="5" t="n">
        <v>46274</v>
      </c>
      <c r="D1410" t="inlineStr">
        <is>
          <t>INV/2026/02935</t>
        </is>
      </c>
      <c r="E1410" s="9" t="n">
        <v>300.69</v>
      </c>
      <c r="F1410" s="9" t="n">
        <v>300.69</v>
      </c>
      <c r="G1410" s="9">
        <f>ROUND(E1410-F1410,2)</f>
        <v>0</v>
      </c>
    </row>
    <row r="1411">
      <c r="A1411" t="inlineStr">
        <is>
          <t>RA45131</t>
        </is>
      </c>
      <c r="B1411" t="inlineStr">
        <is>
          <t>Banksia Plan Co</t>
        </is>
      </c>
      <c r="C1411" s="5" t="n">
        <v>46274</v>
      </c>
      <c r="D1411" t="inlineStr">
        <is>
          <t>INV/2026/02936</t>
        </is>
      </c>
      <c r="E1411" s="9" t="n">
        <v>242.49</v>
      </c>
      <c r="F1411" s="9" t="n">
        <v>242.49</v>
      </c>
      <c r="G1411" s="9">
        <f>ROUND(E1411-F1411,2)</f>
        <v>0</v>
      </c>
    </row>
    <row r="1412">
      <c r="A1412" t="inlineStr">
        <is>
          <t>RA45131</t>
        </is>
      </c>
      <c r="B1412" t="inlineStr">
        <is>
          <t>Banksia Plan Co</t>
        </is>
      </c>
      <c r="C1412" s="5" t="n">
        <v>46274</v>
      </c>
      <c r="D1412" t="inlineStr">
        <is>
          <t>INV/2026/02956</t>
        </is>
      </c>
      <c r="E1412" s="9" t="n">
        <v>387.98</v>
      </c>
      <c r="F1412" s="9" t="n">
        <v>387.98</v>
      </c>
      <c r="G1412" s="9">
        <f>ROUND(E1412-F1412,2)</f>
        <v>0</v>
      </c>
    </row>
    <row r="1413">
      <c r="A1413" t="inlineStr">
        <is>
          <t>RA45131</t>
        </is>
      </c>
      <c r="B1413" t="inlineStr">
        <is>
          <t>Banksia Plan Co</t>
        </is>
      </c>
      <c r="C1413" s="5" t="n">
        <v>46274</v>
      </c>
      <c r="D1413" t="inlineStr">
        <is>
          <t>INV/2026/02973</t>
        </is>
      </c>
      <c r="E1413" s="9" t="n">
        <v>300.69</v>
      </c>
      <c r="F1413" s="9" t="n">
        <v>300.69</v>
      </c>
      <c r="G1413" s="9">
        <f>ROUND(E1413-F1413,2)</f>
        <v>0</v>
      </c>
    </row>
    <row r="1414">
      <c r="A1414" t="inlineStr">
        <is>
          <t>RA45131</t>
        </is>
      </c>
      <c r="B1414" t="inlineStr">
        <is>
          <t>Banksia Plan Co</t>
        </is>
      </c>
      <c r="C1414" s="5" t="n">
        <v>46274</v>
      </c>
      <c r="D1414" t="inlineStr">
        <is>
          <t>INV/2026/02974</t>
        </is>
      </c>
      <c r="E1414" s="9" t="n">
        <v>272.49</v>
      </c>
      <c r="F1414" s="9" t="n">
        <v>272.49</v>
      </c>
      <c r="G1414" s="9">
        <f>ROUND(E1414-F1414,2)</f>
        <v>0</v>
      </c>
    </row>
    <row r="1415">
      <c r="A1415" t="inlineStr">
        <is>
          <t>RA45132</t>
        </is>
      </c>
      <c r="B1415" t="inlineStr">
        <is>
          <t>Redgum Plan Admin</t>
        </is>
      </c>
      <c r="C1415" s="5" t="n">
        <v>46274</v>
      </c>
      <c r="D1415" t="inlineStr">
        <is>
          <t>INV/2026/02979</t>
        </is>
      </c>
      <c r="E1415" s="9" t="n">
        <v>145.49</v>
      </c>
      <c r="F1415" s="9" t="n">
        <v>145.49</v>
      </c>
      <c r="G1415" s="9">
        <f>ROUND(E1415-F1415,2)</f>
        <v>0</v>
      </c>
    </row>
    <row r="1416">
      <c r="A1416" t="inlineStr">
        <is>
          <t>RA45132</t>
        </is>
      </c>
      <c r="B1416" t="inlineStr">
        <is>
          <t>Redgum Plan Admin</t>
        </is>
      </c>
      <c r="C1416" s="5" t="n">
        <v>46274</v>
      </c>
      <c r="D1416" t="inlineStr">
        <is>
          <t>INV/2026/02980</t>
        </is>
      </c>
      <c r="E1416" s="9" t="n">
        <v>145.49</v>
      </c>
      <c r="F1416" s="9" t="n">
        <v>145.49</v>
      </c>
      <c r="G1416" s="9">
        <f>ROUND(E1416-F1416,2)</f>
        <v>0</v>
      </c>
    </row>
    <row r="1417">
      <c r="A1417" t="inlineStr">
        <is>
          <t>RA45133</t>
        </is>
      </c>
      <c r="B1417" t="inlineStr">
        <is>
          <t>Southern Cross Plan Mgmt</t>
        </is>
      </c>
      <c r="C1417" s="5" t="n">
        <v>46274</v>
      </c>
      <c r="D1417" t="inlineStr">
        <is>
          <t>INV/2026/02770</t>
        </is>
      </c>
      <c r="E1417" s="9" t="n">
        <v>193.99</v>
      </c>
      <c r="F1417" s="9" t="n">
        <v>193.99</v>
      </c>
      <c r="G1417" s="9">
        <f>ROUND(E1417-F1417,2)</f>
        <v>0</v>
      </c>
    </row>
    <row r="1418">
      <c r="A1418" t="inlineStr">
        <is>
          <t>RA45133</t>
        </is>
      </c>
      <c r="B1418" t="inlineStr">
        <is>
          <t>Southern Cross Plan Mgmt</t>
        </is>
      </c>
      <c r="C1418" s="5" t="n">
        <v>46274</v>
      </c>
      <c r="D1418" t="inlineStr">
        <is>
          <t>INV/2026/02789</t>
        </is>
      </c>
      <c r="E1418" s="9" t="n">
        <v>193.99</v>
      </c>
      <c r="F1418" s="9" t="n">
        <v>193.99</v>
      </c>
      <c r="G1418" s="9">
        <f>ROUND(E1418-F1418,2)</f>
        <v>0</v>
      </c>
    </row>
    <row r="1419">
      <c r="A1419" t="inlineStr">
        <is>
          <t>RA45133</t>
        </is>
      </c>
      <c r="B1419" t="inlineStr">
        <is>
          <t>Southern Cross Plan Mgmt</t>
        </is>
      </c>
      <c r="C1419" s="5" t="n">
        <v>46274</v>
      </c>
      <c r="D1419" t="inlineStr">
        <is>
          <t>INV/2026/02812</t>
        </is>
      </c>
      <c r="E1419" s="9" t="n">
        <v>96.98999999999999</v>
      </c>
      <c r="F1419" s="9" t="n">
        <v>96.98999999999999</v>
      </c>
      <c r="G1419" s="9">
        <f>ROUND(E1419-F1419,2)</f>
        <v>0</v>
      </c>
    </row>
    <row r="1420">
      <c r="A1420" t="inlineStr">
        <is>
          <t>RA45134</t>
        </is>
      </c>
      <c r="B1420" t="inlineStr">
        <is>
          <t>Lyrebird Plan Management</t>
        </is>
      </c>
      <c r="C1420" s="5" t="n">
        <v>46274</v>
      </c>
      <c r="D1420" t="inlineStr">
        <is>
          <t>INV/2026/02919</t>
        </is>
      </c>
      <c r="E1420" s="9" t="n">
        <v>203.69</v>
      </c>
      <c r="F1420" s="9" t="n">
        <v>203.69</v>
      </c>
      <c r="G1420" s="9">
        <f>ROUND(E1420-F1420,2)</f>
        <v>0</v>
      </c>
    </row>
    <row r="1421">
      <c r="A1421" t="inlineStr">
        <is>
          <t>RA45134</t>
        </is>
      </c>
      <c r="B1421" t="inlineStr">
        <is>
          <t>Lyrebird Plan Management</t>
        </is>
      </c>
      <c r="C1421" s="5" t="n">
        <v>46274</v>
      </c>
      <c r="D1421" t="inlineStr">
        <is>
          <t>INV/2026/02965</t>
        </is>
      </c>
      <c r="E1421" s="9" t="n">
        <v>387.98</v>
      </c>
      <c r="F1421" s="9" t="n">
        <v>387.98</v>
      </c>
      <c r="G1421" s="9">
        <f>ROUND(E1421-F1421,2)</f>
        <v>0</v>
      </c>
    </row>
    <row r="1422">
      <c r="A1422" t="inlineStr">
        <is>
          <t>RA45134</t>
        </is>
      </c>
      <c r="B1422" t="inlineStr">
        <is>
          <t>Lyrebird Plan Management</t>
        </is>
      </c>
      <c r="C1422" s="5" t="n">
        <v>46274</v>
      </c>
      <c r="D1422" t="inlineStr">
        <is>
          <t>INV/2026/02982</t>
        </is>
      </c>
      <c r="E1422" s="9" t="n">
        <v>242.49</v>
      </c>
      <c r="F1422" s="9" t="n">
        <v>242.49</v>
      </c>
      <c r="G1422" s="9">
        <f>ROUND(E1422-F1422,2)</f>
        <v>0</v>
      </c>
    </row>
    <row r="1423">
      <c r="A1423" t="inlineStr">
        <is>
          <t>RA45134</t>
        </is>
      </c>
      <c r="B1423" t="inlineStr">
        <is>
          <t>Lyrebird Plan Management</t>
        </is>
      </c>
      <c r="C1423" s="5" t="n">
        <v>46274</v>
      </c>
      <c r="D1423" t="inlineStr">
        <is>
          <t>INV/2026/02983</t>
        </is>
      </c>
      <c r="E1423" s="9" t="n">
        <v>193.99</v>
      </c>
      <c r="F1423" s="9" t="n">
        <v>193.99</v>
      </c>
      <c r="G1423" s="9">
        <f>ROUND(E1423-F1423,2)</f>
        <v>0</v>
      </c>
    </row>
    <row r="1424">
      <c r="A1424" t="inlineStr">
        <is>
          <t>RA45135</t>
        </is>
      </c>
      <c r="B1424" t="inlineStr">
        <is>
          <t>Mallee Plan Services</t>
        </is>
      </c>
      <c r="C1424" s="5" t="n">
        <v>46274</v>
      </c>
      <c r="D1424" t="inlineStr">
        <is>
          <t>INV/2026/02924</t>
        </is>
      </c>
      <c r="E1424" s="9" t="n">
        <v>387.98</v>
      </c>
      <c r="F1424" s="9" t="n">
        <v>387.98</v>
      </c>
      <c r="G1424" s="9">
        <f>ROUND(E1424-F1424,2)</f>
        <v>0</v>
      </c>
    </row>
    <row r="1425">
      <c r="A1425" t="inlineStr">
        <is>
          <t>RA45135</t>
        </is>
      </c>
      <c r="B1425" t="inlineStr">
        <is>
          <t>Mallee Plan Services</t>
        </is>
      </c>
      <c r="C1425" s="5" t="n">
        <v>46274</v>
      </c>
      <c r="D1425" t="inlineStr">
        <is>
          <t>INV/2026/02986</t>
        </is>
      </c>
      <c r="E1425" s="9" t="n">
        <v>387.98</v>
      </c>
      <c r="F1425" s="9" t="n">
        <v>387.98</v>
      </c>
      <c r="G1425" s="9">
        <f>ROUND(E1425-F1425,2)</f>
        <v>0</v>
      </c>
    </row>
    <row r="1426">
      <c r="A1426" t="inlineStr">
        <is>
          <t>RA45136</t>
        </is>
      </c>
      <c r="B1426" t="inlineStr">
        <is>
          <t>Clearpath NDIS Plans</t>
        </is>
      </c>
      <c r="C1426" s="5" t="n">
        <v>46275</v>
      </c>
      <c r="D1426" t="inlineStr">
        <is>
          <t>INV/2026/02906</t>
        </is>
      </c>
      <c r="E1426" s="9" t="n">
        <v>320.98</v>
      </c>
      <c r="F1426" s="9" t="n">
        <v>320.98</v>
      </c>
      <c r="G1426" s="9">
        <f>ROUND(E1426-F1426,2)</f>
        <v>0</v>
      </c>
    </row>
    <row r="1427">
      <c r="A1427" t="inlineStr">
        <is>
          <t>RA45136</t>
        </is>
      </c>
      <c r="B1427" t="inlineStr">
        <is>
          <t>Clearpath NDIS Plans</t>
        </is>
      </c>
      <c r="C1427" s="5" t="n">
        <v>46275</v>
      </c>
      <c r="D1427" t="inlineStr">
        <is>
          <t>INV/2026/02907</t>
        </is>
      </c>
      <c r="E1427" s="9" t="n">
        <v>446.18</v>
      </c>
      <c r="F1427" s="9" t="n">
        <v>446.18</v>
      </c>
      <c r="G1427" s="9">
        <f>ROUND(E1427-F1427,2)</f>
        <v>0</v>
      </c>
    </row>
    <row r="1428">
      <c r="A1428" t="inlineStr">
        <is>
          <t>RA45136</t>
        </is>
      </c>
      <c r="B1428" t="inlineStr">
        <is>
          <t>Clearpath NDIS Plans</t>
        </is>
      </c>
      <c r="C1428" s="5" t="n">
        <v>46275</v>
      </c>
      <c r="D1428" t="inlineStr">
        <is>
          <t>INV/2026/02932</t>
        </is>
      </c>
      <c r="E1428" s="9" t="n">
        <v>145.49</v>
      </c>
      <c r="F1428" s="9" t="n">
        <v>145.49</v>
      </c>
      <c r="G1428" s="9">
        <f>ROUND(E1428-F1428,2)</f>
        <v>0</v>
      </c>
    </row>
    <row r="1429">
      <c r="A1429" t="inlineStr">
        <is>
          <t>RA45136</t>
        </is>
      </c>
      <c r="B1429" t="inlineStr">
        <is>
          <t>Clearpath NDIS Plans</t>
        </is>
      </c>
      <c r="C1429" s="5" t="n">
        <v>46275</v>
      </c>
      <c r="D1429" t="inlineStr">
        <is>
          <t>INV/2026/02970</t>
        </is>
      </c>
      <c r="E1429" s="9" t="n">
        <v>145.49</v>
      </c>
      <c r="F1429" s="9" t="n">
        <v>145.49</v>
      </c>
      <c r="G1429" s="9">
        <f>ROUND(E1429-F1429,2)</f>
        <v>0</v>
      </c>
    </row>
    <row r="1430">
      <c r="A1430" t="inlineStr">
        <is>
          <t>RA45137</t>
        </is>
      </c>
      <c r="B1430" t="inlineStr">
        <is>
          <t>Banksia Plan Co</t>
        </is>
      </c>
      <c r="C1430" s="5" t="n">
        <v>46275</v>
      </c>
      <c r="D1430" t="inlineStr">
        <is>
          <t>INV/2026/02991</t>
        </is>
      </c>
      <c r="E1430" s="9" t="n">
        <v>223.99</v>
      </c>
      <c r="F1430" s="9" t="n">
        <v>223.99</v>
      </c>
      <c r="G1430" s="9">
        <f>ROUND(E1430-F1430,2)</f>
        <v>0</v>
      </c>
    </row>
    <row r="1431">
      <c r="A1431" t="inlineStr">
        <is>
          <t>RA45137</t>
        </is>
      </c>
      <c r="B1431" t="inlineStr">
        <is>
          <t>Banksia Plan Co</t>
        </is>
      </c>
      <c r="C1431" s="5" t="n">
        <v>46275</v>
      </c>
      <c r="D1431" t="inlineStr">
        <is>
          <t>INV/2026/03019</t>
        </is>
      </c>
      <c r="E1431" s="9" t="n">
        <v>446.18</v>
      </c>
      <c r="F1431" s="9" t="n">
        <v>446.18</v>
      </c>
      <c r="G1431" s="9">
        <f>ROUND(E1431-F1431,2)</f>
        <v>0</v>
      </c>
    </row>
    <row r="1432">
      <c r="A1432" t="inlineStr">
        <is>
          <t>RA45138</t>
        </is>
      </c>
      <c r="B1432" t="inlineStr">
        <is>
          <t>Tallowwood Plans</t>
        </is>
      </c>
      <c r="C1432" s="5" t="n">
        <v>46275</v>
      </c>
      <c r="D1432" t="inlineStr">
        <is>
          <t>INV/2026/02946</t>
        </is>
      </c>
      <c r="E1432" s="9" t="n">
        <v>175.49</v>
      </c>
      <c r="F1432" s="9" t="n">
        <v>175.49</v>
      </c>
      <c r="G1432" s="9">
        <f>ROUND(E1432-F1432,2)</f>
        <v>0</v>
      </c>
    </row>
    <row r="1433">
      <c r="A1433" t="inlineStr">
        <is>
          <t>RA45139</t>
        </is>
      </c>
      <c r="B1433" t="inlineStr">
        <is>
          <t>Riverbend Plan Partners</t>
        </is>
      </c>
      <c r="C1433" s="5" t="n">
        <v>46276</v>
      </c>
      <c r="D1433" t="inlineStr">
        <is>
          <t>INV/2026/02930</t>
        </is>
      </c>
      <c r="E1433" s="9" t="n">
        <v>417.98</v>
      </c>
      <c r="F1433" s="9" t="n">
        <v>417.98</v>
      </c>
      <c r="G1433" s="9">
        <f>ROUND(E1433-F1433,2)</f>
        <v>0</v>
      </c>
    </row>
    <row r="1434">
      <c r="A1434" t="inlineStr">
        <is>
          <t>RA45139</t>
        </is>
      </c>
      <c r="B1434" t="inlineStr">
        <is>
          <t>Riverbend Plan Partners</t>
        </is>
      </c>
      <c r="C1434" s="5" t="n">
        <v>46276</v>
      </c>
      <c r="D1434" t="inlineStr">
        <is>
          <t>INV/2026/02988</t>
        </is>
      </c>
      <c r="E1434" s="9" t="n">
        <v>242.49</v>
      </c>
      <c r="F1434" s="9" t="n">
        <v>242.49</v>
      </c>
      <c r="G1434" s="9">
        <f>ROUND(E1434-F1434,2)</f>
        <v>0</v>
      </c>
    </row>
    <row r="1435">
      <c r="A1435" t="inlineStr">
        <is>
          <t>RA45139</t>
        </is>
      </c>
      <c r="B1435" t="inlineStr">
        <is>
          <t>Riverbend Plan Partners</t>
        </is>
      </c>
      <c r="C1435" s="5" t="n">
        <v>46276</v>
      </c>
      <c r="D1435" t="inlineStr">
        <is>
          <t>INV/2026/03014</t>
        </is>
      </c>
      <c r="E1435" s="9" t="n">
        <v>175.49</v>
      </c>
      <c r="F1435" s="9" t="n">
        <v>175.49</v>
      </c>
      <c r="G1435" s="9">
        <f>ROUND(E1435-F1435,2)</f>
        <v>0</v>
      </c>
    </row>
    <row r="1436">
      <c r="A1436" t="inlineStr">
        <is>
          <t>RA45140</t>
        </is>
      </c>
      <c r="B1436" t="inlineStr">
        <is>
          <t>Banksia Plan Co</t>
        </is>
      </c>
      <c r="C1436" s="5" t="n">
        <v>46276</v>
      </c>
      <c r="D1436" t="inlineStr">
        <is>
          <t>INV/2026/03039</t>
        </is>
      </c>
      <c r="E1436" s="9" t="n">
        <v>145.49</v>
      </c>
      <c r="F1436" s="9" t="n">
        <v>145.49</v>
      </c>
      <c r="G1436" s="9">
        <f>ROUND(E1436-F1436,2)</f>
        <v>0</v>
      </c>
    </row>
    <row r="1437">
      <c r="A1437" t="inlineStr">
        <is>
          <t>RA45141</t>
        </is>
      </c>
      <c r="B1437" t="inlineStr">
        <is>
          <t>Saltbush Plan Managers</t>
        </is>
      </c>
      <c r="C1437" s="5" t="n">
        <v>46276</v>
      </c>
      <c r="D1437" t="inlineStr">
        <is>
          <t>INV/2026/02977</t>
        </is>
      </c>
      <c r="E1437" s="9" t="n">
        <v>242.49</v>
      </c>
      <c r="F1437" s="9" t="n">
        <v>242.49</v>
      </c>
      <c r="G1437" s="9">
        <f>ROUND(E1437-F1437,2)</f>
        <v>0</v>
      </c>
    </row>
    <row r="1438">
      <c r="A1438" t="inlineStr">
        <is>
          <t>RA45141</t>
        </is>
      </c>
      <c r="B1438" t="inlineStr">
        <is>
          <t>Saltbush Plan Managers</t>
        </is>
      </c>
      <c r="C1438" s="5" t="n">
        <v>46276</v>
      </c>
      <c r="D1438" t="inlineStr">
        <is>
          <t>INV/2026/02998</t>
        </is>
      </c>
      <c r="E1438" s="9" t="n">
        <v>126.99</v>
      </c>
      <c r="F1438" s="9" t="n">
        <v>126.99</v>
      </c>
      <c r="G1438" s="9">
        <f>ROUND(E1438-F1438,2)</f>
        <v>0</v>
      </c>
    </row>
    <row r="1439">
      <c r="A1439" t="inlineStr">
        <is>
          <t>RA45142</t>
        </is>
      </c>
      <c r="B1439" t="inlineStr">
        <is>
          <t>Southern Cross Plan Mgmt</t>
        </is>
      </c>
      <c r="C1439" s="5" t="n">
        <v>46276</v>
      </c>
      <c r="D1439" t="inlineStr">
        <is>
          <t>INV/2026/02813</t>
        </is>
      </c>
      <c r="E1439" s="9" t="n">
        <v>155.19</v>
      </c>
      <c r="F1439" s="9" t="n">
        <v>155.19</v>
      </c>
      <c r="G1439" s="9">
        <f>ROUND(E1439-F1439,2)</f>
        <v>0</v>
      </c>
    </row>
    <row r="1440">
      <c r="A1440" t="inlineStr">
        <is>
          <t>RA45142</t>
        </is>
      </c>
      <c r="B1440" t="inlineStr">
        <is>
          <t>Southern Cross Plan Mgmt</t>
        </is>
      </c>
      <c r="C1440" s="5" t="n">
        <v>46276</v>
      </c>
      <c r="D1440" t="inlineStr">
        <is>
          <t>INV/2026/02834</t>
        </is>
      </c>
      <c r="E1440" s="9" t="n">
        <v>290.98</v>
      </c>
      <c r="F1440" s="9" t="n">
        <v>290.98</v>
      </c>
      <c r="G1440" s="9">
        <f>ROUND(E1440-F1440,2)</f>
        <v>0</v>
      </c>
    </row>
    <row r="1441">
      <c r="A1441" t="inlineStr">
        <is>
          <t>RA45142</t>
        </is>
      </c>
      <c r="B1441" t="inlineStr">
        <is>
          <t>Southern Cross Plan Mgmt</t>
        </is>
      </c>
      <c r="C1441" s="5" t="n">
        <v>46276</v>
      </c>
      <c r="D1441" t="inlineStr">
        <is>
          <t>INV/2026/02853</t>
        </is>
      </c>
      <c r="E1441" s="9" t="n">
        <v>126.99</v>
      </c>
      <c r="F1441" s="9" t="n">
        <v>126.99</v>
      </c>
      <c r="G1441" s="9">
        <f>ROUND(E1441-F1441,2)</f>
        <v>0</v>
      </c>
    </row>
    <row r="1442">
      <c r="A1442" t="inlineStr">
        <is>
          <t>RA45142</t>
        </is>
      </c>
      <c r="B1442" t="inlineStr">
        <is>
          <t>Southern Cross Plan Mgmt</t>
        </is>
      </c>
      <c r="C1442" s="5" t="n">
        <v>46276</v>
      </c>
      <c r="D1442" t="inlineStr">
        <is>
          <t>INV/2026/02854</t>
        </is>
      </c>
      <c r="E1442" s="9" t="n">
        <v>96.98999999999999</v>
      </c>
      <c r="F1442" s="9" t="n">
        <v>96.98999999999999</v>
      </c>
      <c r="G1442" s="9">
        <f>ROUND(E1442-F1442,2)</f>
        <v>0</v>
      </c>
    </row>
    <row r="1443">
      <c r="A1443" t="inlineStr">
        <is>
          <t>RA45142</t>
        </is>
      </c>
      <c r="B1443" t="inlineStr">
        <is>
          <t>Southern Cross Plan Mgmt</t>
        </is>
      </c>
      <c r="C1443" s="5" t="n">
        <v>46276</v>
      </c>
      <c r="D1443" t="inlineStr">
        <is>
          <t>INV/2026/02876</t>
        </is>
      </c>
      <c r="E1443" s="9" t="n">
        <v>320.98</v>
      </c>
      <c r="F1443" s="9" t="n">
        <v>320.98</v>
      </c>
      <c r="G1443" s="9">
        <f>ROUND(E1443-F1443,2)</f>
        <v>0</v>
      </c>
    </row>
    <row r="1444">
      <c r="A1444" t="inlineStr">
        <is>
          <t>RA45142</t>
        </is>
      </c>
      <c r="B1444" t="inlineStr">
        <is>
          <t>Southern Cross Plan Mgmt</t>
        </is>
      </c>
      <c r="C1444" s="5" t="n">
        <v>46276</v>
      </c>
      <c r="D1444" t="inlineStr">
        <is>
          <t>INV/2026/02877</t>
        </is>
      </c>
      <c r="E1444" s="9" t="n">
        <v>193.99</v>
      </c>
      <c r="F1444" s="9" t="n">
        <v>193.99</v>
      </c>
      <c r="G1444" s="9">
        <f>ROUND(E1444-F1444,2)</f>
        <v>0</v>
      </c>
    </row>
    <row r="1445">
      <c r="A1445" t="inlineStr">
        <is>
          <t>RA45142</t>
        </is>
      </c>
      <c r="B1445" t="inlineStr">
        <is>
          <t>Southern Cross Plan Mgmt</t>
        </is>
      </c>
      <c r="C1445" s="5" t="n">
        <v>46276</v>
      </c>
      <c r="D1445" t="inlineStr">
        <is>
          <t>INV/2026/02878</t>
        </is>
      </c>
      <c r="E1445" s="9" t="n">
        <v>242.49</v>
      </c>
      <c r="F1445" s="9" t="n">
        <v>242.49</v>
      </c>
      <c r="G1445" s="9">
        <f>ROUND(E1445-F1445,2)</f>
        <v>0</v>
      </c>
    </row>
    <row r="1446">
      <c r="A1446" t="inlineStr">
        <is>
          <t>RA45142</t>
        </is>
      </c>
      <c r="B1446" t="inlineStr">
        <is>
          <t>Southern Cross Plan Mgmt</t>
        </is>
      </c>
      <c r="C1446" s="5" t="n">
        <v>46276</v>
      </c>
      <c r="D1446" t="inlineStr">
        <is>
          <t>INV/2026/02916</t>
        </is>
      </c>
      <c r="E1446" s="9" t="n">
        <v>223.99</v>
      </c>
      <c r="F1446" s="9" t="n">
        <v>223.99</v>
      </c>
      <c r="G1446" s="9">
        <f>ROUND(E1446-F1446,2)</f>
        <v>0</v>
      </c>
    </row>
    <row r="1447">
      <c r="A1447" t="inlineStr">
        <is>
          <t>RA45142</t>
        </is>
      </c>
      <c r="B1447" t="inlineStr">
        <is>
          <t>Southern Cross Plan Mgmt</t>
        </is>
      </c>
      <c r="C1447" s="5" t="n">
        <v>46276</v>
      </c>
      <c r="D1447" t="inlineStr">
        <is>
          <t>INV/2026/02917</t>
        </is>
      </c>
      <c r="E1447" s="9" t="n">
        <v>417.98</v>
      </c>
      <c r="F1447" s="9" t="n">
        <v>417.98</v>
      </c>
      <c r="G1447" s="9">
        <f>ROUND(E1447-F1447,2)</f>
        <v>0</v>
      </c>
    </row>
    <row r="1448">
      <c r="A1448" t="inlineStr">
        <is>
          <t>RA45142</t>
        </is>
      </c>
      <c r="B1448" t="inlineStr">
        <is>
          <t>Southern Cross Plan Mgmt</t>
        </is>
      </c>
      <c r="C1448" s="5" t="n">
        <v>46276</v>
      </c>
      <c r="D1448" t="inlineStr">
        <is>
          <t>INV/2026/02918</t>
        </is>
      </c>
      <c r="E1448" s="9" t="n">
        <v>193.99</v>
      </c>
      <c r="F1448" s="9" t="n">
        <v>193.99</v>
      </c>
      <c r="G1448" s="9">
        <f>ROUND(E1448-F1448,2)</f>
        <v>0</v>
      </c>
    </row>
    <row r="1449">
      <c r="A1449" t="inlineStr">
        <is>
          <t>RA45142</t>
        </is>
      </c>
      <c r="B1449" t="inlineStr">
        <is>
          <t>Southern Cross Plan Mgmt</t>
        </is>
      </c>
      <c r="C1449" s="5" t="n">
        <v>46276</v>
      </c>
      <c r="D1449" t="inlineStr">
        <is>
          <t>INV/2026/02944</t>
        </is>
      </c>
      <c r="E1449" s="9" t="n">
        <v>349.18</v>
      </c>
      <c r="F1449" s="9" t="n">
        <v>349.18</v>
      </c>
      <c r="G1449" s="9">
        <f>ROUND(E1449-F1449,2)</f>
        <v>0</v>
      </c>
    </row>
    <row r="1450">
      <c r="A1450" t="inlineStr">
        <is>
          <t>RA45142</t>
        </is>
      </c>
      <c r="B1450" t="inlineStr">
        <is>
          <t>Southern Cross Plan Mgmt</t>
        </is>
      </c>
      <c r="C1450" s="5" t="n">
        <v>46276</v>
      </c>
      <c r="D1450" t="inlineStr">
        <is>
          <t>INV/2026/02963</t>
        </is>
      </c>
      <c r="E1450" s="9" t="n">
        <v>155.19</v>
      </c>
      <c r="F1450" s="9" t="n">
        <v>155.19</v>
      </c>
      <c r="G1450" s="9">
        <f>ROUND(E1450-F1450,2)</f>
        <v>0</v>
      </c>
    </row>
    <row r="1451">
      <c r="A1451" t="inlineStr">
        <is>
          <t>RA45143</t>
        </is>
      </c>
      <c r="B1451" t="inlineStr">
        <is>
          <t>Bluegum Plan Management</t>
        </is>
      </c>
      <c r="C1451" s="5" t="n">
        <v>46279</v>
      </c>
      <c r="D1451" t="inlineStr">
        <is>
          <t>INV/2026/02903</t>
        </is>
      </c>
      <c r="E1451" s="9" t="n">
        <v>242.49</v>
      </c>
      <c r="F1451" s="9" t="n">
        <v>227.94</v>
      </c>
      <c r="G1451" s="9">
        <f>ROUND(E1451-F1451,2)</f>
        <v>14.55</v>
      </c>
    </row>
    <row r="1452">
      <c r="A1452" t="inlineStr">
        <is>
          <t>RA45143</t>
        </is>
      </c>
      <c r="B1452" t="inlineStr">
        <is>
          <t>Bluegum Plan Management</t>
        </is>
      </c>
      <c r="C1452" s="5" t="n">
        <v>46279</v>
      </c>
      <c r="D1452" t="inlineStr">
        <is>
          <t>INV/2026/03011</t>
        </is>
      </c>
      <c r="E1452" s="9" t="n">
        <v>300.69</v>
      </c>
      <c r="F1452" s="9" t="n">
        <v>300.69</v>
      </c>
      <c r="G1452" s="9">
        <f>ROUND(E1452-F1452,2)</f>
        <v>0</v>
      </c>
    </row>
    <row r="1453">
      <c r="A1453" t="inlineStr">
        <is>
          <t>RA45143</t>
        </is>
      </c>
      <c r="B1453" t="inlineStr">
        <is>
          <t>Bluegum Plan Management</t>
        </is>
      </c>
      <c r="C1453" s="5" t="n">
        <v>46279</v>
      </c>
      <c r="D1453" t="inlineStr">
        <is>
          <t>INV/2026/03032</t>
        </is>
      </c>
      <c r="E1453" s="9" t="n">
        <v>387.98</v>
      </c>
      <c r="F1453" s="9" t="n">
        <v>387.98</v>
      </c>
      <c r="G1453" s="9">
        <f>ROUND(E1453-F1453,2)</f>
        <v>0</v>
      </c>
    </row>
    <row r="1454">
      <c r="A1454" t="inlineStr">
        <is>
          <t>RA45143</t>
        </is>
      </c>
      <c r="B1454" t="inlineStr">
        <is>
          <t>Bluegum Plan Management</t>
        </is>
      </c>
      <c r="C1454" s="5" t="n">
        <v>46279</v>
      </c>
      <c r="D1454" t="inlineStr">
        <is>
          <t>INV/2026/03033</t>
        </is>
      </c>
      <c r="E1454" s="9" t="n">
        <v>193.99</v>
      </c>
      <c r="F1454" s="9" t="n">
        <v>193.99</v>
      </c>
      <c r="G1454" s="9">
        <f>ROUND(E1454-F1454,2)</f>
        <v>0</v>
      </c>
    </row>
    <row r="1455">
      <c r="A1455" t="inlineStr">
        <is>
          <t>RA45143</t>
        </is>
      </c>
      <c r="B1455" t="inlineStr">
        <is>
          <t>Bluegum Plan Management</t>
        </is>
      </c>
      <c r="C1455" s="5" t="n">
        <v>46279</v>
      </c>
      <c r="D1455" t="inlineStr">
        <is>
          <t>INV/2026/03053</t>
        </is>
      </c>
      <c r="E1455" s="9" t="n">
        <v>290.98</v>
      </c>
      <c r="F1455" s="9" t="n">
        <v>290.98</v>
      </c>
      <c r="G1455" s="9">
        <f>ROUND(E1455-F1455,2)</f>
        <v>0</v>
      </c>
    </row>
    <row r="1456">
      <c r="A1456" t="inlineStr">
        <is>
          <t>RA45143</t>
        </is>
      </c>
      <c r="B1456" t="inlineStr">
        <is>
          <t>Bluegum Plan Management</t>
        </is>
      </c>
      <c r="C1456" s="5" t="n">
        <v>46279</v>
      </c>
      <c r="D1456" t="inlineStr">
        <is>
          <t>INV/2026/03054</t>
        </is>
      </c>
      <c r="E1456" s="9" t="n">
        <v>242.49</v>
      </c>
      <c r="F1456" s="9" t="n">
        <v>242.49</v>
      </c>
      <c r="G1456" s="9">
        <f>ROUND(E1456-F1456,2)</f>
        <v>0</v>
      </c>
    </row>
    <row r="1457">
      <c r="A1457" t="inlineStr">
        <is>
          <t>RA45144</t>
        </is>
      </c>
      <c r="B1457" t="inlineStr">
        <is>
          <t>Wattle Plan Services</t>
        </is>
      </c>
      <c r="C1457" s="5" t="n">
        <v>46279</v>
      </c>
      <c r="D1457" t="inlineStr">
        <is>
          <t>INV/2026/02955</t>
        </is>
      </c>
      <c r="E1457" s="9" t="n">
        <v>96.98999999999999</v>
      </c>
      <c r="F1457" s="9" t="n">
        <v>96.98999999999999</v>
      </c>
      <c r="G1457" s="9">
        <f>ROUND(E1457-F1457,2)</f>
        <v>0</v>
      </c>
    </row>
    <row r="1458">
      <c r="A1458" t="inlineStr">
        <is>
          <t>RA45144</t>
        </is>
      </c>
      <c r="B1458" t="inlineStr">
        <is>
          <t>Wattle Plan Services</t>
        </is>
      </c>
      <c r="C1458" s="5" t="n">
        <v>46279</v>
      </c>
      <c r="D1458" t="inlineStr">
        <is>
          <t>INV/2026/02971</t>
        </is>
      </c>
      <c r="E1458" s="9" t="n">
        <v>96.98999999999999</v>
      </c>
      <c r="F1458" s="9" t="n">
        <v>96.98999999999999</v>
      </c>
      <c r="G1458" s="9">
        <f>ROUND(E1458-F1458,2)</f>
        <v>0</v>
      </c>
    </row>
    <row r="1459">
      <c r="A1459" t="inlineStr">
        <is>
          <t>RA45144</t>
        </is>
      </c>
      <c r="B1459" t="inlineStr">
        <is>
          <t>Wattle Plan Services</t>
        </is>
      </c>
      <c r="C1459" s="5" t="n">
        <v>46279</v>
      </c>
      <c r="D1459" t="inlineStr">
        <is>
          <t>INV/2026/02990</t>
        </is>
      </c>
      <c r="E1459" s="9" t="n">
        <v>290.98</v>
      </c>
      <c r="F1459" s="9" t="n">
        <v>290.98</v>
      </c>
      <c r="G1459" s="9">
        <f>ROUND(E1459-F1459,2)</f>
        <v>0</v>
      </c>
    </row>
    <row r="1460">
      <c r="A1460" t="inlineStr">
        <is>
          <t>RA45144</t>
        </is>
      </c>
      <c r="B1460" t="inlineStr">
        <is>
          <t>Wattle Plan Services</t>
        </is>
      </c>
      <c r="C1460" s="5" t="n">
        <v>46279</v>
      </c>
      <c r="D1460" t="inlineStr">
        <is>
          <t>INV/2026/03038</t>
        </is>
      </c>
      <c r="E1460" s="9" t="n">
        <v>290.98</v>
      </c>
      <c r="F1460" s="9" t="n">
        <v>290.98</v>
      </c>
      <c r="G1460" s="9">
        <f>ROUND(E1460-F1460,2)</f>
        <v>0</v>
      </c>
    </row>
    <row r="1461">
      <c r="A1461" t="inlineStr">
        <is>
          <t>RA45145</t>
        </is>
      </c>
      <c r="B1461" t="inlineStr">
        <is>
          <t>Banksia Plan Co</t>
        </is>
      </c>
      <c r="C1461" s="5" t="n">
        <v>46279</v>
      </c>
      <c r="D1461" t="inlineStr">
        <is>
          <t>INV/2026/03058</t>
        </is>
      </c>
      <c r="E1461" s="9" t="n">
        <v>349.18</v>
      </c>
      <c r="F1461" s="9" t="n">
        <v>349.18</v>
      </c>
      <c r="G1461" s="9">
        <f>ROUND(E1461-F1461,2)</f>
        <v>0</v>
      </c>
    </row>
    <row r="1462">
      <c r="A1462" t="inlineStr">
        <is>
          <t>RA45145</t>
        </is>
      </c>
      <c r="B1462" t="inlineStr">
        <is>
          <t>Banksia Plan Co</t>
        </is>
      </c>
      <c r="C1462" s="5" t="n">
        <v>46279</v>
      </c>
      <c r="D1462" t="inlineStr">
        <is>
          <t>INV/2026/03059</t>
        </is>
      </c>
      <c r="E1462" s="9" t="n">
        <v>242.49</v>
      </c>
      <c r="F1462" s="9" t="n">
        <v>242.49</v>
      </c>
      <c r="G1462" s="9">
        <f>ROUND(E1462-F1462,2)</f>
        <v>0</v>
      </c>
    </row>
    <row r="1463">
      <c r="A1463" t="inlineStr">
        <is>
          <t>RA45146</t>
        </is>
      </c>
      <c r="B1463" t="inlineStr">
        <is>
          <t>Ironbark Plan Management</t>
        </is>
      </c>
      <c r="C1463" s="5" t="n">
        <v>46279</v>
      </c>
      <c r="D1463" t="inlineStr">
        <is>
          <t>INV/2026/02871</t>
        </is>
      </c>
      <c r="E1463" s="9" t="n">
        <v>242.49</v>
      </c>
      <c r="F1463" s="9" t="n">
        <v>242.49</v>
      </c>
      <c r="G1463" s="9">
        <f>ROUND(E1463-F1463,2)</f>
        <v>0</v>
      </c>
    </row>
    <row r="1464">
      <c r="A1464" t="inlineStr">
        <is>
          <t>RA45146</t>
        </is>
      </c>
      <c r="B1464" t="inlineStr">
        <is>
          <t>Ironbark Plan Management</t>
        </is>
      </c>
      <c r="C1464" s="5" t="n">
        <v>46279</v>
      </c>
      <c r="D1464" t="inlineStr">
        <is>
          <t>INV/2026/02910</t>
        </is>
      </c>
      <c r="E1464" s="9" t="n">
        <v>387.98</v>
      </c>
      <c r="F1464" s="9" t="n">
        <v>387.98</v>
      </c>
      <c r="G1464" s="9">
        <f>ROUND(E1464-F1464,2)</f>
        <v>0</v>
      </c>
    </row>
    <row r="1465">
      <c r="A1465" t="inlineStr">
        <is>
          <t>RA45146</t>
        </is>
      </c>
      <c r="B1465" t="inlineStr">
        <is>
          <t>Ironbark Plan Management</t>
        </is>
      </c>
      <c r="C1465" s="5" t="n">
        <v>46279</v>
      </c>
      <c r="D1465" t="inlineStr">
        <is>
          <t>INV/2026/02937</t>
        </is>
      </c>
      <c r="E1465" s="9" t="n">
        <v>242.49</v>
      </c>
      <c r="F1465" s="9" t="n">
        <v>242.49</v>
      </c>
      <c r="G1465" s="9">
        <f>ROUND(E1465-F1465,2)</f>
        <v>0</v>
      </c>
    </row>
    <row r="1466">
      <c r="A1466" t="inlineStr">
        <is>
          <t>RA45146</t>
        </is>
      </c>
      <c r="B1466" t="inlineStr">
        <is>
          <t>Ironbark Plan Management</t>
        </is>
      </c>
      <c r="C1466" s="5" t="n">
        <v>46279</v>
      </c>
      <c r="D1466" t="inlineStr">
        <is>
          <t>INV/2026/02957</t>
        </is>
      </c>
      <c r="E1466" s="9" t="n">
        <v>417.98</v>
      </c>
      <c r="F1466" s="9" t="n">
        <v>417.98</v>
      </c>
      <c r="G1466" s="9">
        <f>ROUND(E1466-F1466,2)</f>
        <v>0</v>
      </c>
    </row>
    <row r="1467">
      <c r="A1467" t="inlineStr">
        <is>
          <t>RA45147</t>
        </is>
      </c>
      <c r="B1467" t="inlineStr">
        <is>
          <t>Saltbush Plan Managers</t>
        </is>
      </c>
      <c r="C1467" s="5" t="n">
        <v>46279</v>
      </c>
      <c r="D1467" t="inlineStr">
        <is>
          <t>INV/2026/02999</t>
        </is>
      </c>
      <c r="E1467" s="9" t="n">
        <v>387.98</v>
      </c>
      <c r="F1467" s="9" t="n">
        <v>387.98</v>
      </c>
      <c r="G1467" s="9">
        <f>ROUND(E1467-F1467,2)</f>
        <v>0</v>
      </c>
    </row>
    <row r="1468">
      <c r="A1468" t="inlineStr">
        <is>
          <t>RA45147</t>
        </is>
      </c>
      <c r="B1468" t="inlineStr">
        <is>
          <t>Saltbush Plan Managers</t>
        </is>
      </c>
      <c r="C1468" s="5" t="n">
        <v>46279</v>
      </c>
      <c r="D1468" t="inlineStr">
        <is>
          <t>INV/2026/03026</t>
        </is>
      </c>
      <c r="E1468" s="9" t="n">
        <v>252.19</v>
      </c>
      <c r="F1468" s="9" t="n">
        <v>252.19</v>
      </c>
      <c r="G1468" s="9">
        <f>ROUND(E1468-F1468,2)</f>
        <v>0</v>
      </c>
    </row>
    <row r="1469">
      <c r="A1469" t="inlineStr">
        <is>
          <t>RA45147</t>
        </is>
      </c>
      <c r="B1469" t="inlineStr">
        <is>
          <t>Saltbush Plan Managers</t>
        </is>
      </c>
      <c r="C1469" s="5" t="n">
        <v>46279</v>
      </c>
      <c r="D1469" t="inlineStr">
        <is>
          <t>INV/2026/03040</t>
        </is>
      </c>
      <c r="E1469" s="9" t="n">
        <v>290.98</v>
      </c>
      <c r="F1469" s="9" t="n">
        <v>290.98</v>
      </c>
      <c r="G1469" s="9">
        <f>ROUND(E1469-F1469,2)</f>
        <v>0</v>
      </c>
    </row>
    <row r="1470">
      <c r="A1470" t="inlineStr">
        <is>
          <t>RA45147</t>
        </is>
      </c>
      <c r="B1470" t="inlineStr">
        <is>
          <t>Saltbush Plan Managers</t>
        </is>
      </c>
      <c r="C1470" s="5" t="n">
        <v>46279</v>
      </c>
      <c r="D1470" t="inlineStr">
        <is>
          <t>INV/2026/03041</t>
        </is>
      </c>
      <c r="E1470" s="9" t="n">
        <v>272.49</v>
      </c>
      <c r="F1470" s="9" t="n">
        <v>272.49</v>
      </c>
      <c r="G1470" s="9">
        <f>ROUND(E1470-F1470,2)</f>
        <v>0</v>
      </c>
    </row>
    <row r="1471">
      <c r="A1471" t="inlineStr">
        <is>
          <t>RA45147</t>
        </is>
      </c>
      <c r="B1471" t="inlineStr">
        <is>
          <t>Saltbush Plan Managers</t>
        </is>
      </c>
      <c r="C1471" s="5" t="n">
        <v>46279</v>
      </c>
      <c r="D1471" t="inlineStr">
        <is>
          <t>INV/2026/03042</t>
        </is>
      </c>
      <c r="E1471" s="9" t="n">
        <v>193.99</v>
      </c>
      <c r="F1471" s="9" t="n">
        <v>193.99</v>
      </c>
      <c r="G1471" s="9">
        <f>ROUND(E1471-F1471,2)</f>
        <v>0</v>
      </c>
    </row>
    <row r="1472">
      <c r="A1472" t="inlineStr">
        <is>
          <t>RA45147</t>
        </is>
      </c>
      <c r="B1472" t="inlineStr">
        <is>
          <t>Saltbush Plan Managers</t>
        </is>
      </c>
      <c r="C1472" s="5" t="n">
        <v>46279</v>
      </c>
      <c r="D1472" t="inlineStr">
        <is>
          <t>INV/2026/03063</t>
        </is>
      </c>
      <c r="E1472" s="9" t="n">
        <v>145.49</v>
      </c>
      <c r="F1472" s="9" t="n">
        <v>145.49</v>
      </c>
      <c r="G1472" s="9">
        <f>ROUND(E1472-F1472,2)</f>
        <v>0</v>
      </c>
    </row>
    <row r="1473">
      <c r="A1473" t="inlineStr">
        <is>
          <t>RA45148</t>
        </is>
      </c>
      <c r="B1473" t="inlineStr">
        <is>
          <t>Southern Cross Plan Mgmt</t>
        </is>
      </c>
      <c r="C1473" s="5" t="n">
        <v>46279</v>
      </c>
      <c r="D1473" t="inlineStr">
        <is>
          <t>INV/2026/02964</t>
        </is>
      </c>
      <c r="E1473" s="9" t="n">
        <v>242.49</v>
      </c>
      <c r="F1473" s="9" t="n">
        <v>242.49</v>
      </c>
      <c r="G1473" s="9">
        <f>ROUND(E1473-F1473,2)</f>
        <v>0</v>
      </c>
    </row>
    <row r="1474">
      <c r="A1474" t="inlineStr">
        <is>
          <t>RA45148</t>
        </is>
      </c>
      <c r="B1474" t="inlineStr">
        <is>
          <t>Southern Cross Plan Mgmt</t>
        </is>
      </c>
      <c r="C1474" s="5" t="n">
        <v>46279</v>
      </c>
      <c r="D1474" t="inlineStr">
        <is>
          <t>INV/2026/02981</t>
        </is>
      </c>
      <c r="E1474" s="9" t="n">
        <v>320.98</v>
      </c>
      <c r="F1474" s="9" t="n">
        <v>320.98</v>
      </c>
      <c r="G1474" s="9">
        <f>ROUND(E1474-F1474,2)</f>
        <v>0</v>
      </c>
    </row>
    <row r="1475">
      <c r="A1475" t="inlineStr">
        <is>
          <t>RA45148</t>
        </is>
      </c>
      <c r="B1475" t="inlineStr">
        <is>
          <t>Southern Cross Plan Mgmt</t>
        </is>
      </c>
      <c r="C1475" s="5" t="n">
        <v>46279</v>
      </c>
      <c r="D1475" t="inlineStr">
        <is>
          <t>INV/2026/03000</t>
        </is>
      </c>
      <c r="E1475" s="9" t="n">
        <v>387.98</v>
      </c>
      <c r="F1475" s="9" t="n">
        <v>387.98</v>
      </c>
      <c r="G1475" s="9">
        <f>ROUND(E1475-F1475,2)</f>
        <v>0</v>
      </c>
    </row>
    <row r="1476">
      <c r="A1476" t="inlineStr">
        <is>
          <t>RA45148</t>
        </is>
      </c>
      <c r="B1476" t="inlineStr">
        <is>
          <t>Southern Cross Plan Mgmt</t>
        </is>
      </c>
      <c r="C1476" s="5" t="n">
        <v>46279</v>
      </c>
      <c r="D1476" t="inlineStr">
        <is>
          <t>INV/2026/03027</t>
        </is>
      </c>
      <c r="E1476" s="9" t="n">
        <v>387.98</v>
      </c>
      <c r="F1476" s="9" t="n">
        <v>387.98</v>
      </c>
      <c r="G1476" s="9">
        <f>ROUND(E1476-F1476,2)</f>
        <v>0</v>
      </c>
    </row>
    <row r="1477">
      <c r="A1477" t="inlineStr">
        <is>
          <t>RA45149</t>
        </is>
      </c>
      <c r="B1477" t="inlineStr">
        <is>
          <t>Lyrebird Plan Management</t>
        </is>
      </c>
      <c r="C1477" s="5" t="n">
        <v>46279</v>
      </c>
      <c r="D1477" t="inlineStr">
        <is>
          <t>INV/2026/02967</t>
        </is>
      </c>
      <c r="E1477" s="9" t="n">
        <v>290.98</v>
      </c>
      <c r="F1477" s="9" t="n">
        <v>290.98</v>
      </c>
      <c r="G1477" s="9">
        <f>ROUND(E1477-F1477,2)</f>
        <v>0</v>
      </c>
    </row>
    <row r="1478">
      <c r="A1478" t="inlineStr">
        <is>
          <t>RA45149</t>
        </is>
      </c>
      <c r="B1478" t="inlineStr">
        <is>
          <t>Lyrebird Plan Management</t>
        </is>
      </c>
      <c r="C1478" s="5" t="n">
        <v>46279</v>
      </c>
      <c r="D1478" t="inlineStr">
        <is>
          <t>INV/2026/03001</t>
        </is>
      </c>
      <c r="E1478" s="9" t="n">
        <v>193.99</v>
      </c>
      <c r="F1478" s="9" t="n">
        <v>193.99</v>
      </c>
      <c r="G1478" s="9">
        <f>ROUND(E1478-F1478,2)</f>
        <v>0</v>
      </c>
    </row>
    <row r="1479">
      <c r="A1479" t="inlineStr">
        <is>
          <t>RA45149</t>
        </is>
      </c>
      <c r="B1479" t="inlineStr">
        <is>
          <t>Lyrebird Plan Management</t>
        </is>
      </c>
      <c r="C1479" s="5" t="n">
        <v>46279</v>
      </c>
      <c r="D1479" t="inlineStr">
        <is>
          <t>INV/2026/03002</t>
        </is>
      </c>
      <c r="E1479" s="9" t="n">
        <v>272.49</v>
      </c>
      <c r="F1479" s="9" t="n">
        <v>272.49</v>
      </c>
      <c r="G1479" s="9">
        <f>ROUND(E1479-F1479,2)</f>
        <v>0</v>
      </c>
    </row>
    <row r="1480">
      <c r="A1480" t="inlineStr">
        <is>
          <t>RA45150</t>
        </is>
      </c>
      <c r="B1480" t="inlineStr">
        <is>
          <t>Bluegum Plan Management</t>
        </is>
      </c>
      <c r="C1480" s="5" t="n">
        <v>46280</v>
      </c>
      <c r="D1480" t="inlineStr">
        <is>
          <t>INV/2026/03012</t>
        </is>
      </c>
      <c r="E1480" s="9" t="n">
        <v>387.98</v>
      </c>
      <c r="F1480" s="9" t="n">
        <v>387.98</v>
      </c>
      <c r="G1480" s="9">
        <f>ROUND(E1480-F1480,2)</f>
        <v>0</v>
      </c>
    </row>
    <row r="1481">
      <c r="A1481" t="inlineStr">
        <is>
          <t>RA45150</t>
        </is>
      </c>
      <c r="B1481" t="inlineStr">
        <is>
          <t>Bluegum Plan Management</t>
        </is>
      </c>
      <c r="C1481" s="5" t="n">
        <v>46280</v>
      </c>
      <c r="D1481" t="inlineStr">
        <is>
          <t>INV/2026/03052</t>
        </is>
      </c>
      <c r="E1481" s="9" t="n">
        <v>223.99</v>
      </c>
      <c r="F1481" s="9" t="n">
        <v>223.99</v>
      </c>
      <c r="G1481" s="9">
        <f>ROUND(E1481-F1481,2)</f>
        <v>0</v>
      </c>
    </row>
    <row r="1482">
      <c r="A1482" t="inlineStr">
        <is>
          <t>RA45151</t>
        </is>
      </c>
      <c r="B1482" t="inlineStr">
        <is>
          <t>Riverbend Plan Partners</t>
        </is>
      </c>
      <c r="C1482" s="5" t="n">
        <v>46280</v>
      </c>
      <c r="D1482" t="inlineStr">
        <is>
          <t>INV/2026/03013</t>
        </is>
      </c>
      <c r="E1482" s="9" t="n">
        <v>387.98</v>
      </c>
      <c r="F1482" s="9" t="n">
        <v>387.98</v>
      </c>
      <c r="G1482" s="9">
        <f>ROUND(E1482-F1482,2)</f>
        <v>0</v>
      </c>
    </row>
    <row r="1483">
      <c r="A1483" t="inlineStr">
        <is>
          <t>RA45151</t>
        </is>
      </c>
      <c r="B1483" t="inlineStr">
        <is>
          <t>Riverbend Plan Partners</t>
        </is>
      </c>
      <c r="C1483" s="5" t="n">
        <v>46280</v>
      </c>
      <c r="D1483" t="inlineStr">
        <is>
          <t>INV/2026/03015</t>
        </is>
      </c>
      <c r="E1483" s="9" t="n">
        <v>446.18</v>
      </c>
      <c r="F1483" s="9" t="n">
        <v>446.18</v>
      </c>
      <c r="G1483" s="9">
        <f>ROUND(E1483-F1483,2)</f>
        <v>0</v>
      </c>
    </row>
    <row r="1484">
      <c r="A1484" t="inlineStr">
        <is>
          <t>RA45151</t>
        </is>
      </c>
      <c r="B1484" t="inlineStr">
        <is>
          <t>Riverbend Plan Partners</t>
        </is>
      </c>
      <c r="C1484" s="5" t="n">
        <v>46280</v>
      </c>
      <c r="D1484" t="inlineStr">
        <is>
          <t>INV/2026/03034</t>
        </is>
      </c>
      <c r="E1484" s="9" t="n">
        <v>242.49</v>
      </c>
      <c r="F1484" s="9" t="n">
        <v>242.49</v>
      </c>
      <c r="G1484" s="9">
        <f>ROUND(E1484-F1484,2)</f>
        <v>0</v>
      </c>
    </row>
    <row r="1485">
      <c r="A1485" t="inlineStr">
        <is>
          <t>RA45151</t>
        </is>
      </c>
      <c r="B1485" t="inlineStr">
        <is>
          <t>Riverbend Plan Partners</t>
        </is>
      </c>
      <c r="C1485" s="5" t="n">
        <v>46280</v>
      </c>
      <c r="D1485" t="inlineStr">
        <is>
          <t>INV/2026/03075</t>
        </is>
      </c>
      <c r="E1485" s="9" t="n">
        <v>155.19</v>
      </c>
      <c r="F1485" s="9" t="n">
        <v>155.19</v>
      </c>
      <c r="G1485" s="9">
        <f>ROUND(E1485-F1485,2)</f>
        <v>0</v>
      </c>
    </row>
    <row r="1486">
      <c r="A1486" t="inlineStr">
        <is>
          <t>RA45152</t>
        </is>
      </c>
      <c r="B1486" t="inlineStr">
        <is>
          <t>Clearpath NDIS Plans</t>
        </is>
      </c>
      <c r="C1486" s="5" t="n">
        <v>46280</v>
      </c>
      <c r="D1486" t="inlineStr">
        <is>
          <t>INV/2026/02989</t>
        </is>
      </c>
      <c r="E1486" s="9" t="n">
        <v>290.98</v>
      </c>
      <c r="F1486" s="9" t="n">
        <v>290.98</v>
      </c>
      <c r="G1486" s="9">
        <f>ROUND(E1486-F1486,2)</f>
        <v>0</v>
      </c>
    </row>
    <row r="1487">
      <c r="A1487" t="inlineStr">
        <is>
          <t>RA45152</t>
        </is>
      </c>
      <c r="B1487" t="inlineStr">
        <is>
          <t>Clearpath NDIS Plans</t>
        </is>
      </c>
      <c r="C1487" s="5" t="n">
        <v>46280</v>
      </c>
      <c r="D1487" t="inlineStr">
        <is>
          <t>INV/2026/03016</t>
        </is>
      </c>
      <c r="E1487" s="9" t="n">
        <v>175.49</v>
      </c>
      <c r="F1487" s="9" t="n">
        <v>175.49</v>
      </c>
      <c r="G1487" s="9">
        <f>ROUND(E1487-F1487,2)</f>
        <v>0</v>
      </c>
    </row>
    <row r="1488">
      <c r="A1488" t="inlineStr">
        <is>
          <t>RA45153</t>
        </is>
      </c>
      <c r="B1488" t="inlineStr">
        <is>
          <t>Banksia Plan Co</t>
        </is>
      </c>
      <c r="C1488" s="5" t="n">
        <v>46280</v>
      </c>
      <c r="D1488" t="inlineStr">
        <is>
          <t>INV/2026/03080</t>
        </is>
      </c>
      <c r="E1488" s="9" t="n">
        <v>242.49</v>
      </c>
      <c r="F1488" s="9" t="n">
        <v>242.49</v>
      </c>
      <c r="G1488" s="9">
        <f>ROUND(E1488-F1488,2)</f>
        <v>0</v>
      </c>
    </row>
    <row r="1489">
      <c r="A1489" t="inlineStr">
        <is>
          <t>RA45154</t>
        </is>
      </c>
      <c r="B1489" t="inlineStr">
        <is>
          <t>Ironbark Plan Management</t>
        </is>
      </c>
      <c r="C1489" s="5" t="n">
        <v>46280</v>
      </c>
      <c r="D1489" t="inlineStr">
        <is>
          <t>INV/2026/02992</t>
        </is>
      </c>
      <c r="E1489" s="9" t="n">
        <v>290.98</v>
      </c>
      <c r="F1489" s="9" t="n">
        <v>290.98</v>
      </c>
      <c r="G1489" s="9">
        <f>ROUND(E1489-F1489,2)</f>
        <v>0</v>
      </c>
    </row>
    <row r="1490">
      <c r="A1490" t="inlineStr">
        <is>
          <t>RA45154</t>
        </is>
      </c>
      <c r="B1490" t="inlineStr">
        <is>
          <t>Ironbark Plan Management</t>
        </is>
      </c>
      <c r="C1490" s="5" t="n">
        <v>46280</v>
      </c>
      <c r="D1490" t="inlineStr">
        <is>
          <t>INV/2026/02993</t>
        </is>
      </c>
      <c r="E1490" s="9" t="n">
        <v>290.98</v>
      </c>
      <c r="F1490" s="9" t="n">
        <v>290.98</v>
      </c>
      <c r="G1490" s="9">
        <f>ROUND(E1490-F1490,2)</f>
        <v>0</v>
      </c>
    </row>
    <row r="1491">
      <c r="A1491" t="inlineStr">
        <is>
          <t>RA45154</t>
        </is>
      </c>
      <c r="B1491" t="inlineStr">
        <is>
          <t>Ironbark Plan Management</t>
        </is>
      </c>
      <c r="C1491" s="5" t="n">
        <v>46280</v>
      </c>
      <c r="D1491" t="inlineStr">
        <is>
          <t>INV/2026/02994</t>
        </is>
      </c>
      <c r="E1491" s="9" t="n">
        <v>223.99</v>
      </c>
      <c r="F1491" s="9" t="n">
        <v>223.99</v>
      </c>
      <c r="G1491" s="9">
        <f>ROUND(E1491-F1491,2)</f>
        <v>0</v>
      </c>
    </row>
    <row r="1492">
      <c r="A1492" t="inlineStr">
        <is>
          <t>RA45154</t>
        </is>
      </c>
      <c r="B1492" t="inlineStr">
        <is>
          <t>Ironbark Plan Management</t>
        </is>
      </c>
      <c r="C1492" s="5" t="n">
        <v>46280</v>
      </c>
      <c r="D1492" t="inlineStr">
        <is>
          <t>INV/2026/03020</t>
        </is>
      </c>
      <c r="E1492" s="9" t="n">
        <v>300.69</v>
      </c>
      <c r="F1492" s="9" t="n">
        <v>300.69</v>
      </c>
      <c r="G1492" s="9">
        <f>ROUND(E1492-F1492,2)</f>
        <v>0</v>
      </c>
    </row>
    <row r="1493">
      <c r="A1493" t="inlineStr">
        <is>
          <t>RA45155</t>
        </is>
      </c>
      <c r="B1493" t="inlineStr">
        <is>
          <t>Redgum Plan Admin</t>
        </is>
      </c>
      <c r="C1493" s="5" t="n">
        <v>46280</v>
      </c>
      <c r="D1493" t="inlineStr">
        <is>
          <t>INV/2026/03043</t>
        </is>
      </c>
      <c r="E1493" s="9" t="n">
        <v>96.98999999999999</v>
      </c>
      <c r="F1493" s="9" t="n">
        <v>96.98999999999999</v>
      </c>
      <c r="G1493" s="9">
        <f>ROUND(E1493-F1493,2)</f>
        <v>0</v>
      </c>
    </row>
    <row r="1494">
      <c r="A1494" t="inlineStr">
        <is>
          <t>RA45155</t>
        </is>
      </c>
      <c r="B1494" t="inlineStr">
        <is>
          <t>Redgum Plan Admin</t>
        </is>
      </c>
      <c r="C1494" s="5" t="n">
        <v>46280</v>
      </c>
      <c r="D1494" t="inlineStr">
        <is>
          <t>INV/2026/03067</t>
        </is>
      </c>
      <c r="E1494" s="9" t="n">
        <v>417.98</v>
      </c>
      <c r="F1494" s="9" t="n">
        <v>417.98</v>
      </c>
      <c r="G1494" s="9">
        <f>ROUND(E1494-F1494,2)</f>
        <v>0</v>
      </c>
    </row>
    <row r="1495">
      <c r="A1495" t="inlineStr">
        <is>
          <t>RA45155</t>
        </is>
      </c>
      <c r="B1495" t="inlineStr">
        <is>
          <t>Redgum Plan Admin</t>
        </is>
      </c>
      <c r="C1495" s="5" t="n">
        <v>46280</v>
      </c>
      <c r="D1495" t="inlineStr">
        <is>
          <t>INV/2026/03084</t>
        </is>
      </c>
      <c r="E1495" s="9" t="n">
        <v>203.69</v>
      </c>
      <c r="F1495" s="9" t="n">
        <v>203.69</v>
      </c>
      <c r="G1495" s="9">
        <f>ROUND(E1495-F1495,2)</f>
        <v>0</v>
      </c>
    </row>
    <row r="1496">
      <c r="A1496" t="inlineStr">
        <is>
          <t>RA45155</t>
        </is>
      </c>
      <c r="B1496" t="inlineStr">
        <is>
          <t>Redgum Plan Admin</t>
        </is>
      </c>
      <c r="C1496" s="5" t="n">
        <v>46280</v>
      </c>
      <c r="D1496" t="inlineStr">
        <is>
          <t>INV/2026/03085</t>
        </is>
      </c>
      <c r="E1496" s="9" t="n">
        <v>446.18</v>
      </c>
      <c r="F1496" s="9" t="n">
        <v>446.18</v>
      </c>
      <c r="G1496" s="9">
        <f>ROUND(E1496-F1496,2)</f>
        <v>0</v>
      </c>
    </row>
    <row r="1497">
      <c r="A1497" t="inlineStr">
        <is>
          <t>RA45156</t>
        </is>
      </c>
      <c r="B1497" t="inlineStr">
        <is>
          <t>Lyrebird Plan Management</t>
        </is>
      </c>
      <c r="C1497" s="5" t="n">
        <v>46280</v>
      </c>
      <c r="D1497" t="inlineStr">
        <is>
          <t>INV/2026/03030</t>
        </is>
      </c>
      <c r="E1497" s="9" t="n">
        <v>417.98</v>
      </c>
      <c r="F1497" s="9" t="n">
        <v>417.98</v>
      </c>
      <c r="G1497" s="9">
        <f>ROUND(E1497-F1497,2)</f>
        <v>0</v>
      </c>
    </row>
    <row r="1498">
      <c r="A1498" t="inlineStr">
        <is>
          <t>RA45156</t>
        </is>
      </c>
      <c r="B1498" t="inlineStr">
        <is>
          <t>Lyrebird Plan Management</t>
        </is>
      </c>
      <c r="C1498" s="5" t="n">
        <v>46280</v>
      </c>
      <c r="D1498" t="inlineStr">
        <is>
          <t>INV/2026/03069</t>
        </is>
      </c>
      <c r="E1498" s="9" t="n">
        <v>387.98</v>
      </c>
      <c r="F1498" s="9" t="n">
        <v>387.98</v>
      </c>
      <c r="G1498" s="9">
        <f>ROUND(E1498-F1498,2)</f>
        <v>0</v>
      </c>
    </row>
    <row r="1499">
      <c r="A1499" t="inlineStr">
        <is>
          <t>RA45156</t>
        </is>
      </c>
      <c r="B1499" t="inlineStr">
        <is>
          <t>Lyrebird Plan Management</t>
        </is>
      </c>
      <c r="C1499" s="5" t="n">
        <v>46280</v>
      </c>
      <c r="D1499" t="inlineStr">
        <is>
          <t>INV/2026/03088</t>
        </is>
      </c>
      <c r="E1499" s="9" t="n">
        <v>193.99</v>
      </c>
      <c r="F1499" s="9" t="n">
        <v>193.99</v>
      </c>
      <c r="G1499" s="9">
        <f>ROUND(E1499-F1499,2)</f>
        <v>0</v>
      </c>
    </row>
    <row r="1500">
      <c r="A1500" t="inlineStr">
        <is>
          <t>RA45157</t>
        </is>
      </c>
      <c r="B1500" t="inlineStr">
        <is>
          <t>Tallowwood Plans</t>
        </is>
      </c>
      <c r="C1500" s="5" t="n">
        <v>46280</v>
      </c>
      <c r="D1500" t="inlineStr">
        <is>
          <t>INV/2026/03048</t>
        </is>
      </c>
      <c r="E1500" s="9" t="n">
        <v>193.99</v>
      </c>
      <c r="F1500" s="9" t="n">
        <v>193.99</v>
      </c>
      <c r="G1500" s="9">
        <f>ROUND(E1500-F1500,2)</f>
        <v>0</v>
      </c>
    </row>
    <row r="1501">
      <c r="A1501" t="inlineStr">
        <is>
          <t>RA45157</t>
        </is>
      </c>
      <c r="B1501" t="inlineStr">
        <is>
          <t>Tallowwood Plans</t>
        </is>
      </c>
      <c r="C1501" s="5" t="n">
        <v>46280</v>
      </c>
      <c r="D1501" t="inlineStr">
        <is>
          <t>INV/2026/03070</t>
        </is>
      </c>
      <c r="E1501" s="9" t="n">
        <v>193.99</v>
      </c>
      <c r="F1501" s="9" t="n">
        <v>193.99</v>
      </c>
      <c r="G1501" s="9">
        <f>ROUND(E1501-F1501,2)</f>
        <v>0</v>
      </c>
    </row>
    <row r="1502">
      <c r="A1502" t="inlineStr">
        <is>
          <t>RA45157</t>
        </is>
      </c>
      <c r="B1502" t="inlineStr">
        <is>
          <t>Tallowwood Plans</t>
        </is>
      </c>
      <c r="C1502" s="5" t="n">
        <v>46280</v>
      </c>
      <c r="D1502" t="inlineStr">
        <is>
          <t>INV/2026/03071</t>
        </is>
      </c>
      <c r="E1502" s="9" t="n">
        <v>446.18</v>
      </c>
      <c r="F1502" s="9" t="n">
        <v>446.18</v>
      </c>
      <c r="G1502" s="9">
        <f>ROUND(E1502-F1502,2)</f>
        <v>0</v>
      </c>
    </row>
    <row r="1503">
      <c r="A1503" t="inlineStr">
        <is>
          <t>RA45158</t>
        </is>
      </c>
      <c r="B1503" t="inlineStr">
        <is>
          <t>Acacia Plan Partners</t>
        </is>
      </c>
      <c r="C1503" s="5" t="n">
        <v>46280</v>
      </c>
      <c r="D1503" t="inlineStr">
        <is>
          <t>INV/2026/03049</t>
        </is>
      </c>
      <c r="E1503" s="9" t="n">
        <v>145.49</v>
      </c>
      <c r="F1503" s="9" t="n">
        <v>145.49</v>
      </c>
      <c r="G1503" s="9">
        <f>ROUND(E1503-F1503,2)</f>
        <v>0</v>
      </c>
    </row>
    <row r="1504">
      <c r="A1504" t="inlineStr">
        <is>
          <t>RA45158</t>
        </is>
      </c>
      <c r="B1504" t="inlineStr">
        <is>
          <t>Acacia Plan Partners</t>
        </is>
      </c>
      <c r="C1504" s="5" t="n">
        <v>46280</v>
      </c>
      <c r="D1504" t="inlineStr">
        <is>
          <t>INV/2026/03115</t>
        </is>
      </c>
      <c r="E1504" s="9" t="n">
        <v>387.98</v>
      </c>
      <c r="F1504" s="9" t="n">
        <v>387.98</v>
      </c>
      <c r="G1504" s="9">
        <f>ROUND(E1504-F1504,2)</f>
        <v>0</v>
      </c>
    </row>
    <row r="1505">
      <c r="A1505" t="inlineStr">
        <is>
          <t>RA45159</t>
        </is>
      </c>
      <c r="B1505" t="inlineStr">
        <is>
          <t>Mallee Plan Services</t>
        </is>
      </c>
      <c r="C1505" s="5" t="n">
        <v>46280</v>
      </c>
      <c r="D1505" t="inlineStr">
        <is>
          <t>INV/2026/03006</t>
        </is>
      </c>
      <c r="E1505" s="9" t="n">
        <v>242.49</v>
      </c>
      <c r="F1505" s="9" t="n">
        <v>242.49</v>
      </c>
      <c r="G1505" s="9">
        <f>ROUND(E1505-F1505,2)</f>
        <v>0</v>
      </c>
    </row>
    <row r="1506">
      <c r="A1506" t="inlineStr">
        <is>
          <t>RA45159</t>
        </is>
      </c>
      <c r="B1506" t="inlineStr">
        <is>
          <t>Mallee Plan Services</t>
        </is>
      </c>
      <c r="C1506" s="5" t="n">
        <v>46280</v>
      </c>
      <c r="D1506" t="inlineStr">
        <is>
          <t>INV/2026/03073</t>
        </is>
      </c>
      <c r="E1506" s="9" t="n">
        <v>290.98</v>
      </c>
      <c r="F1506" s="9" t="n">
        <v>290.98</v>
      </c>
      <c r="G1506" s="9">
        <f>ROUND(E1506-F1506,2)</f>
        <v>0</v>
      </c>
    </row>
    <row r="1507">
      <c r="A1507" t="inlineStr">
        <is>
          <t>RA45159</t>
        </is>
      </c>
      <c r="B1507" t="inlineStr">
        <is>
          <t>Mallee Plan Services</t>
        </is>
      </c>
      <c r="C1507" s="5" t="n">
        <v>46280</v>
      </c>
      <c r="D1507" t="inlineStr">
        <is>
          <t>INV/2026/03093</t>
        </is>
      </c>
      <c r="E1507" s="9" t="n">
        <v>387.98</v>
      </c>
      <c r="F1507" s="9" t="n">
        <v>387.98</v>
      </c>
      <c r="G1507" s="9">
        <f>ROUND(E1507-F1507,2)</f>
        <v>0</v>
      </c>
    </row>
    <row r="1508">
      <c r="A1508" t="inlineStr">
        <is>
          <t>RA45160</t>
        </is>
      </c>
      <c r="B1508" t="inlineStr">
        <is>
          <t>Clearpath NDIS Plans</t>
        </is>
      </c>
      <c r="C1508" s="5" t="n">
        <v>46281</v>
      </c>
      <c r="D1508" t="inlineStr">
        <is>
          <t>INV/2026/03036</t>
        </is>
      </c>
      <c r="E1508" s="9" t="n">
        <v>126.99</v>
      </c>
      <c r="F1508" s="9" t="n">
        <v>126.99</v>
      </c>
      <c r="G1508" s="9">
        <f>ROUND(E1508-F1508,2)</f>
        <v>0</v>
      </c>
    </row>
    <row r="1509">
      <c r="A1509" t="inlineStr">
        <is>
          <t>RA45160</t>
        </is>
      </c>
      <c r="B1509" t="inlineStr">
        <is>
          <t>Clearpath NDIS Plans</t>
        </is>
      </c>
      <c r="C1509" s="5" t="n">
        <v>46281</v>
      </c>
      <c r="D1509" t="inlineStr">
        <is>
          <t>INV/2026/03037</t>
        </is>
      </c>
      <c r="E1509" s="9" t="n">
        <v>290.98</v>
      </c>
      <c r="F1509" s="9" t="n">
        <v>290.98</v>
      </c>
      <c r="G1509" s="9">
        <f>ROUND(E1509-F1509,2)</f>
        <v>0</v>
      </c>
    </row>
    <row r="1510">
      <c r="A1510" t="inlineStr">
        <is>
          <t>RA45160</t>
        </is>
      </c>
      <c r="B1510" t="inlineStr">
        <is>
          <t>Clearpath NDIS Plans</t>
        </is>
      </c>
      <c r="C1510" s="5" t="n">
        <v>46281</v>
      </c>
      <c r="D1510" t="inlineStr">
        <is>
          <t>INV/2026/03055</t>
        </is>
      </c>
      <c r="E1510" s="9" t="n">
        <v>96.98999999999999</v>
      </c>
      <c r="F1510" s="9" t="n">
        <v>96.98999999999999</v>
      </c>
      <c r="G1510" s="9">
        <f>ROUND(E1510-F1510,2)</f>
        <v>0</v>
      </c>
    </row>
    <row r="1511">
      <c r="A1511" t="inlineStr">
        <is>
          <t>RA45160</t>
        </is>
      </c>
      <c r="B1511" t="inlineStr">
        <is>
          <t>Clearpath NDIS Plans</t>
        </is>
      </c>
      <c r="C1511" s="5" t="n">
        <v>46281</v>
      </c>
      <c r="D1511" t="inlineStr">
        <is>
          <t>INV/2026/03056</t>
        </is>
      </c>
      <c r="E1511" s="9" t="n">
        <v>242.49</v>
      </c>
      <c r="F1511" s="9" t="n">
        <v>242.49</v>
      </c>
      <c r="G1511" s="9">
        <f>ROUND(E1511-F1511,2)</f>
        <v>0</v>
      </c>
    </row>
    <row r="1512">
      <c r="A1512" t="inlineStr">
        <is>
          <t>RA45161</t>
        </is>
      </c>
      <c r="B1512" t="inlineStr">
        <is>
          <t>Banksia Plan Co</t>
        </is>
      </c>
      <c r="C1512" s="5" t="n">
        <v>46281</v>
      </c>
      <c r="D1512" t="inlineStr">
        <is>
          <t>INV/2026/03101</t>
        </is>
      </c>
      <c r="E1512" s="9" t="n">
        <v>242.49</v>
      </c>
      <c r="F1512" s="9" t="n">
        <v>242.49</v>
      </c>
      <c r="G1512" s="9">
        <f>ROUND(E1512-F1512,2)</f>
        <v>0</v>
      </c>
    </row>
    <row r="1513">
      <c r="A1513" t="inlineStr">
        <is>
          <t>RA45161</t>
        </is>
      </c>
      <c r="B1513" t="inlineStr">
        <is>
          <t>Banksia Plan Co</t>
        </is>
      </c>
      <c r="C1513" s="5" t="n">
        <v>46281</v>
      </c>
      <c r="D1513" t="inlineStr">
        <is>
          <t>INV/2026/03102</t>
        </is>
      </c>
      <c r="E1513" s="9" t="n">
        <v>126.99</v>
      </c>
      <c r="F1513" s="9" t="n">
        <v>126.99</v>
      </c>
      <c r="G1513" s="9">
        <f>ROUND(E1513-F1513,2)</f>
        <v>0</v>
      </c>
    </row>
    <row r="1514">
      <c r="A1514" t="inlineStr">
        <is>
          <t>RA45162</t>
        </is>
      </c>
      <c r="B1514" t="inlineStr">
        <is>
          <t>Saltbush Plan Managers</t>
        </is>
      </c>
      <c r="C1514" s="5" t="n">
        <v>46281</v>
      </c>
      <c r="D1514" t="inlineStr">
        <is>
          <t>INV/2026/03025</t>
        </is>
      </c>
      <c r="E1514" s="9" t="n">
        <v>223.99</v>
      </c>
      <c r="F1514" s="9" t="n">
        <v>223.99</v>
      </c>
      <c r="G1514" s="9">
        <f>ROUND(E1514-F1514,2)</f>
        <v>0</v>
      </c>
    </row>
    <row r="1515">
      <c r="A1515" t="inlineStr">
        <is>
          <t>RA45162</t>
        </is>
      </c>
      <c r="B1515" t="inlineStr">
        <is>
          <t>Saltbush Plan Managers</t>
        </is>
      </c>
      <c r="C1515" s="5" t="n">
        <v>46281</v>
      </c>
      <c r="D1515" t="inlineStr">
        <is>
          <t>INV/2026/03064</t>
        </is>
      </c>
      <c r="E1515" s="9" t="n">
        <v>320.98</v>
      </c>
      <c r="F1515" s="9" t="n">
        <v>320.98</v>
      </c>
      <c r="G1515" s="9">
        <f>ROUND(E1515-F1515,2)</f>
        <v>0</v>
      </c>
    </row>
    <row r="1516">
      <c r="A1516" t="inlineStr">
        <is>
          <t>RA45162</t>
        </is>
      </c>
      <c r="B1516" t="inlineStr">
        <is>
          <t>Saltbush Plan Managers</t>
        </is>
      </c>
      <c r="C1516" s="5" t="n">
        <v>46281</v>
      </c>
      <c r="D1516" t="inlineStr">
        <is>
          <t>INV/2026/03107</t>
        </is>
      </c>
      <c r="E1516" s="9" t="n">
        <v>290.98</v>
      </c>
      <c r="F1516" s="9" t="n">
        <v>290.98</v>
      </c>
      <c r="G1516" s="9">
        <f>ROUND(E1516-F1516,2)</f>
        <v>0</v>
      </c>
    </row>
    <row r="1517">
      <c r="A1517" t="inlineStr">
        <is>
          <t>RA45163</t>
        </is>
      </c>
      <c r="B1517" t="inlineStr">
        <is>
          <t>Redgum Plan Admin</t>
        </is>
      </c>
      <c r="C1517" s="5" t="n">
        <v>46281</v>
      </c>
      <c r="D1517" t="inlineStr">
        <is>
          <t>INV/2026/03044</t>
        </is>
      </c>
      <c r="E1517" s="9" t="n">
        <v>155.19</v>
      </c>
      <c r="F1517" s="9" t="n">
        <v>155.19</v>
      </c>
      <c r="G1517" s="9">
        <f>ROUND(E1517-F1517,2)</f>
        <v>0</v>
      </c>
    </row>
    <row r="1518">
      <c r="A1518" t="inlineStr">
        <is>
          <t>RA45163</t>
        </is>
      </c>
      <c r="B1518" t="inlineStr">
        <is>
          <t>Redgum Plan Admin</t>
        </is>
      </c>
      <c r="C1518" s="5" t="n">
        <v>46281</v>
      </c>
      <c r="D1518" t="inlineStr">
        <is>
          <t>INV/2026/03066</t>
        </is>
      </c>
      <c r="E1518" s="9" t="n">
        <v>349.18</v>
      </c>
      <c r="F1518" s="9" t="n">
        <v>349.18</v>
      </c>
      <c r="G1518" s="9">
        <f>ROUND(E1518-F1518,2)</f>
        <v>0</v>
      </c>
    </row>
    <row r="1519">
      <c r="A1519" t="inlineStr">
        <is>
          <t>RA45164</t>
        </is>
      </c>
      <c r="B1519" t="inlineStr">
        <is>
          <t>Southern Cross Plan Mgmt</t>
        </is>
      </c>
      <c r="C1519" s="5" t="n">
        <v>46281</v>
      </c>
      <c r="D1519" t="inlineStr">
        <is>
          <t>INV/2026/03028</t>
        </is>
      </c>
      <c r="E1519" s="9" t="n">
        <v>252.19</v>
      </c>
      <c r="F1519" s="9" t="n">
        <v>252.19</v>
      </c>
      <c r="G1519" s="9">
        <f>ROUND(E1519-F1519,2)</f>
        <v>0</v>
      </c>
    </row>
    <row r="1520">
      <c r="A1520" t="inlineStr">
        <is>
          <t>RA45164</t>
        </is>
      </c>
      <c r="B1520" t="inlineStr">
        <is>
          <t>Southern Cross Plan Mgmt</t>
        </is>
      </c>
      <c r="C1520" s="5" t="n">
        <v>46281</v>
      </c>
      <c r="D1520" t="inlineStr">
        <is>
          <t>INV/2026/03029</t>
        </is>
      </c>
      <c r="E1520" s="9" t="n">
        <v>300.69</v>
      </c>
      <c r="F1520" s="9" t="n">
        <v>300.69</v>
      </c>
      <c r="G1520" s="9">
        <f>ROUND(E1520-F1520,2)</f>
        <v>0</v>
      </c>
    </row>
    <row r="1521">
      <c r="A1521" t="inlineStr">
        <is>
          <t>RA45164</t>
        </is>
      </c>
      <c r="B1521" t="inlineStr">
        <is>
          <t>Southern Cross Plan Mgmt</t>
        </is>
      </c>
      <c r="C1521" s="5" t="n">
        <v>46281</v>
      </c>
      <c r="D1521" t="inlineStr">
        <is>
          <t>INV/2026/03045</t>
        </is>
      </c>
      <c r="E1521" s="9" t="n">
        <v>145.49</v>
      </c>
      <c r="F1521" s="9" t="n">
        <v>145.49</v>
      </c>
      <c r="G1521" s="9">
        <f>ROUND(E1521-F1521,2)</f>
        <v>0</v>
      </c>
    </row>
    <row r="1522">
      <c r="A1522" t="inlineStr">
        <is>
          <t>RA45165</t>
        </is>
      </c>
      <c r="B1522" t="inlineStr">
        <is>
          <t>Acacia Plan Partners</t>
        </is>
      </c>
      <c r="C1522" s="5" t="n">
        <v>46281</v>
      </c>
      <c r="D1522" t="inlineStr">
        <is>
          <t>INV/2026/03050</t>
        </is>
      </c>
      <c r="E1522" s="9" t="n">
        <v>145.49</v>
      </c>
      <c r="F1522" s="9" t="n">
        <v>145.49</v>
      </c>
      <c r="G1522" s="9">
        <f>ROUND(E1522-F1522,2)</f>
        <v>0</v>
      </c>
    </row>
    <row r="1523">
      <c r="A1523" t="inlineStr">
        <is>
          <t>RA45165</t>
        </is>
      </c>
      <c r="B1523" t="inlineStr">
        <is>
          <t>Acacia Plan Partners</t>
        </is>
      </c>
      <c r="C1523" s="5" t="n">
        <v>46281</v>
      </c>
      <c r="D1523" t="inlineStr">
        <is>
          <t>INV/2026/03092</t>
        </is>
      </c>
      <c r="E1523" s="9" t="n">
        <v>145.49</v>
      </c>
      <c r="F1523" s="9" t="n">
        <v>145.49</v>
      </c>
      <c r="G1523" s="9">
        <f>ROUND(E1523-F1523,2)</f>
        <v>0</v>
      </c>
    </row>
    <row r="1524">
      <c r="A1524" t="inlineStr">
        <is>
          <t>RA45166</t>
        </is>
      </c>
      <c r="B1524" t="inlineStr">
        <is>
          <t>Mallee Plan Services</t>
        </is>
      </c>
      <c r="C1524" s="5" t="n">
        <v>46281</v>
      </c>
      <c r="D1524" t="inlineStr">
        <is>
          <t>INV/2026/03051</t>
        </is>
      </c>
      <c r="E1524" s="9" t="n">
        <v>193.99</v>
      </c>
      <c r="F1524" s="9" t="n">
        <v>193.99</v>
      </c>
      <c r="G1524" s="9">
        <f>ROUND(E1524-F1524,2)</f>
        <v>0</v>
      </c>
    </row>
    <row r="1525">
      <c r="A1525" t="inlineStr">
        <is>
          <t>RA45166</t>
        </is>
      </c>
      <c r="B1525" t="inlineStr">
        <is>
          <t>Mallee Plan Services</t>
        </is>
      </c>
      <c r="C1525" s="5" t="n">
        <v>46281</v>
      </c>
      <c r="D1525" t="inlineStr">
        <is>
          <t>INV/2026/03117</t>
        </is>
      </c>
      <c r="E1525" s="9" t="n">
        <v>387.98</v>
      </c>
      <c r="F1525" s="9" t="n">
        <v>387.98</v>
      </c>
      <c r="G1525" s="9">
        <f>ROUND(E1525-F1525,2)</f>
        <v>0</v>
      </c>
    </row>
    <row r="1526">
      <c r="A1526" t="inlineStr">
        <is>
          <t>RA45166</t>
        </is>
      </c>
      <c r="B1526" t="inlineStr">
        <is>
          <t>Mallee Plan Services</t>
        </is>
      </c>
      <c r="C1526" s="5" t="n">
        <v>46281</v>
      </c>
      <c r="D1526" t="inlineStr">
        <is>
          <t>INV/2026/03118</t>
        </is>
      </c>
      <c r="E1526" s="9" t="n">
        <v>155.19</v>
      </c>
      <c r="F1526" s="9" t="n">
        <v>155.19</v>
      </c>
      <c r="G1526" s="9">
        <f>ROUND(E1526-F1526,2)</f>
        <v>0</v>
      </c>
    </row>
    <row r="1527">
      <c r="A1527" t="inlineStr">
        <is>
          <t>RA45167</t>
        </is>
      </c>
      <c r="B1527" t="inlineStr">
        <is>
          <t>Riverbend Plan Partners</t>
        </is>
      </c>
      <c r="C1527" s="5" t="n">
        <v>46282</v>
      </c>
      <c r="D1527" t="inlineStr">
        <is>
          <t>INV/2026/03035</t>
        </is>
      </c>
      <c r="E1527" s="9" t="n">
        <v>223.99</v>
      </c>
      <c r="F1527" s="9" t="n">
        <v>223.99</v>
      </c>
      <c r="G1527" s="9">
        <f>ROUND(E1527-F1527,2)</f>
        <v>0</v>
      </c>
    </row>
    <row r="1528">
      <c r="A1528" t="inlineStr">
        <is>
          <t>RA45167</t>
        </is>
      </c>
      <c r="B1528" t="inlineStr">
        <is>
          <t>Riverbend Plan Partners</t>
        </is>
      </c>
      <c r="C1528" s="5" t="n">
        <v>46282</v>
      </c>
      <c r="D1528" t="inlineStr">
        <is>
          <t>INV/2026/03097</t>
        </is>
      </c>
      <c r="E1528" s="9" t="n">
        <v>155.19</v>
      </c>
      <c r="F1528" s="9" t="n">
        <v>155.19</v>
      </c>
      <c r="G1528" s="9">
        <f>ROUND(E1528-F1528,2)</f>
        <v>0</v>
      </c>
    </row>
    <row r="1529">
      <c r="A1529" t="inlineStr">
        <is>
          <t>RA45168</t>
        </is>
      </c>
      <c r="B1529" t="inlineStr">
        <is>
          <t>Kookaburra Plan Support</t>
        </is>
      </c>
      <c r="C1529" s="5" t="n">
        <v>46282</v>
      </c>
      <c r="D1529" t="inlineStr">
        <is>
          <t>INV/2026/02938</t>
        </is>
      </c>
      <c r="E1529" s="9" t="n">
        <v>446.18</v>
      </c>
      <c r="F1529" s="9" t="n">
        <v>446.18</v>
      </c>
      <c r="G1529" s="9">
        <f>ROUND(E1529-F1529,2)</f>
        <v>0</v>
      </c>
    </row>
    <row r="1530">
      <c r="A1530" t="inlineStr">
        <is>
          <t>RA45168</t>
        </is>
      </c>
      <c r="B1530" t="inlineStr">
        <is>
          <t>Kookaburra Plan Support</t>
        </is>
      </c>
      <c r="C1530" s="5" t="n">
        <v>46282</v>
      </c>
      <c r="D1530" t="inlineStr">
        <is>
          <t>INV/2026/02939</t>
        </is>
      </c>
      <c r="E1530" s="9" t="n">
        <v>145.49</v>
      </c>
      <c r="F1530" s="9" t="n">
        <v>145.49</v>
      </c>
      <c r="G1530" s="9">
        <f>ROUND(E1530-F1530,2)</f>
        <v>0</v>
      </c>
    </row>
    <row r="1531">
      <c r="A1531" t="inlineStr">
        <is>
          <t>RA45168</t>
        </is>
      </c>
      <c r="B1531" t="inlineStr">
        <is>
          <t>Kookaburra Plan Support</t>
        </is>
      </c>
      <c r="C1531" s="5" t="n">
        <v>46282</v>
      </c>
      <c r="D1531" t="inlineStr">
        <is>
          <t>INV/2026/02958</t>
        </is>
      </c>
      <c r="E1531" s="9" t="n">
        <v>417.98</v>
      </c>
      <c r="F1531" s="9" t="n">
        <v>417.98</v>
      </c>
      <c r="G1531" s="9">
        <f>ROUND(E1531-F1531,2)</f>
        <v>0</v>
      </c>
    </row>
    <row r="1532">
      <c r="A1532" t="inlineStr">
        <is>
          <t>RA45168</t>
        </is>
      </c>
      <c r="B1532" t="inlineStr">
        <is>
          <t>Kookaburra Plan Support</t>
        </is>
      </c>
      <c r="C1532" s="5" t="n">
        <v>46282</v>
      </c>
      <c r="D1532" t="inlineStr">
        <is>
          <t>INV/2026/02959</t>
        </is>
      </c>
      <c r="E1532" s="9" t="n">
        <v>175.49</v>
      </c>
      <c r="F1532" s="9" t="n">
        <v>175.49</v>
      </c>
      <c r="G1532" s="9">
        <f>ROUND(E1532-F1532,2)</f>
        <v>0</v>
      </c>
    </row>
    <row r="1533">
      <c r="A1533" t="inlineStr">
        <is>
          <t>RA45168</t>
        </is>
      </c>
      <c r="B1533" t="inlineStr">
        <is>
          <t>Kookaburra Plan Support</t>
        </is>
      </c>
      <c r="C1533" s="5" t="n">
        <v>46282</v>
      </c>
      <c r="D1533" t="inlineStr">
        <is>
          <t>INV/2026/02975</t>
        </is>
      </c>
      <c r="E1533" s="9" t="n">
        <v>417.98</v>
      </c>
      <c r="F1533" s="9" t="n">
        <v>417.98</v>
      </c>
      <c r="G1533" s="9">
        <f>ROUND(E1533-F1533,2)</f>
        <v>0</v>
      </c>
    </row>
    <row r="1534">
      <c r="A1534" t="inlineStr">
        <is>
          <t>RA45168</t>
        </is>
      </c>
      <c r="B1534" t="inlineStr">
        <is>
          <t>Kookaburra Plan Support</t>
        </is>
      </c>
      <c r="C1534" s="5" t="n">
        <v>46282</v>
      </c>
      <c r="D1534" t="inlineStr">
        <is>
          <t>INV/2026/02995</t>
        </is>
      </c>
      <c r="E1534" s="9" t="n">
        <v>387.98</v>
      </c>
      <c r="F1534" s="9" t="n">
        <v>387.98</v>
      </c>
      <c r="G1534" s="9">
        <f>ROUND(E1534-F1534,2)</f>
        <v>0</v>
      </c>
    </row>
    <row r="1535">
      <c r="A1535" t="inlineStr">
        <is>
          <t>RA45168</t>
        </is>
      </c>
      <c r="B1535" t="inlineStr">
        <is>
          <t>Kookaburra Plan Support</t>
        </is>
      </c>
      <c r="C1535" s="5" t="n">
        <v>46282</v>
      </c>
      <c r="D1535" t="inlineStr">
        <is>
          <t>INV/2026/02996</t>
        </is>
      </c>
      <c r="E1535" s="9" t="n">
        <v>145.49</v>
      </c>
      <c r="F1535" s="9" t="n">
        <v>145.49</v>
      </c>
      <c r="G1535" s="9">
        <f>ROUND(E1535-F1535,2)</f>
        <v>0</v>
      </c>
    </row>
    <row r="1536">
      <c r="A1536" t="inlineStr">
        <is>
          <t>RA45168</t>
        </is>
      </c>
      <c r="B1536" t="inlineStr">
        <is>
          <t>Kookaburra Plan Support</t>
        </is>
      </c>
      <c r="C1536" s="5" t="n">
        <v>46282</v>
      </c>
      <c r="D1536" t="inlineStr">
        <is>
          <t>INV/2026/02997</t>
        </is>
      </c>
      <c r="E1536" s="9" t="n">
        <v>242.49</v>
      </c>
      <c r="F1536" s="9" t="n">
        <v>242.49</v>
      </c>
      <c r="G1536" s="9">
        <f>ROUND(E1536-F1536,2)</f>
        <v>0</v>
      </c>
    </row>
    <row r="1537">
      <c r="A1537" t="inlineStr">
        <is>
          <t>RA45168</t>
        </is>
      </c>
      <c r="B1537" t="inlineStr">
        <is>
          <t>Kookaburra Plan Support</t>
        </is>
      </c>
      <c r="C1537" s="5" t="n">
        <v>46282</v>
      </c>
      <c r="D1537" t="inlineStr">
        <is>
          <t>INV/2026/03023</t>
        </is>
      </c>
      <c r="E1537" s="9" t="n">
        <v>387.98</v>
      </c>
      <c r="F1537" s="9" t="n">
        <v>387.98</v>
      </c>
      <c r="G1537" s="9">
        <f>ROUND(E1537-F1537,2)</f>
        <v>0</v>
      </c>
    </row>
    <row r="1538">
      <c r="A1538" t="inlineStr">
        <is>
          <t>RA45168</t>
        </is>
      </c>
      <c r="B1538" t="inlineStr">
        <is>
          <t>Kookaburra Plan Support</t>
        </is>
      </c>
      <c r="C1538" s="5" t="n">
        <v>46282</v>
      </c>
      <c r="D1538" t="inlineStr">
        <is>
          <t>INV/2026/03024</t>
        </is>
      </c>
      <c r="E1538" s="9" t="n">
        <v>300.69</v>
      </c>
      <c r="F1538" s="9" t="n">
        <v>300.69</v>
      </c>
      <c r="G1538" s="9">
        <f>ROUND(E1538-F1538,2)</f>
        <v>0</v>
      </c>
    </row>
    <row r="1539">
      <c r="A1539" t="inlineStr">
        <is>
          <t>RA45168</t>
        </is>
      </c>
      <c r="B1539" t="inlineStr">
        <is>
          <t>Kookaburra Plan Support</t>
        </is>
      </c>
      <c r="C1539" s="5" t="n">
        <v>46282</v>
      </c>
      <c r="D1539" t="inlineStr">
        <is>
          <t>INV/2026/03062</t>
        </is>
      </c>
      <c r="E1539" s="9" t="n">
        <v>290.98</v>
      </c>
      <c r="F1539" s="9" t="n">
        <v>290.98</v>
      </c>
      <c r="G1539" s="9">
        <f>ROUND(E1539-F1539,2)</f>
        <v>0</v>
      </c>
    </row>
    <row r="1540">
      <c r="A1540" t="inlineStr">
        <is>
          <t>RA45168</t>
        </is>
      </c>
      <c r="B1540" t="inlineStr">
        <is>
          <t>Kookaburra Plan Support</t>
        </is>
      </c>
      <c r="C1540" s="5" t="n">
        <v>46282</v>
      </c>
      <c r="D1540" t="inlineStr">
        <is>
          <t>INV/2026/03082</t>
        </is>
      </c>
      <c r="E1540" s="9" t="n">
        <v>155.19</v>
      </c>
      <c r="F1540" s="9" t="n">
        <v>155.19</v>
      </c>
      <c r="G1540" s="9">
        <f>ROUND(E1540-F1540,2)</f>
        <v>0</v>
      </c>
    </row>
    <row r="1541">
      <c r="A1541" t="inlineStr">
        <is>
          <t>RA45169</t>
        </is>
      </c>
      <c r="B1541" t="inlineStr">
        <is>
          <t>Lyrebird Plan Management</t>
        </is>
      </c>
      <c r="C1541" s="5" t="n">
        <v>46282</v>
      </c>
      <c r="D1541" t="inlineStr">
        <is>
          <t>INV/2026/03089</t>
        </is>
      </c>
      <c r="E1541" s="9" t="n">
        <v>193.99</v>
      </c>
      <c r="F1541" s="9" t="n">
        <v>193.99</v>
      </c>
      <c r="G1541" s="9">
        <f>ROUND(E1541-F1541,2)</f>
        <v>0</v>
      </c>
    </row>
    <row r="1542">
      <c r="A1542" t="inlineStr">
        <is>
          <t>RA45169</t>
        </is>
      </c>
      <c r="B1542" t="inlineStr">
        <is>
          <t>Lyrebird Plan Management</t>
        </is>
      </c>
      <c r="C1542" s="5" t="n">
        <v>46282</v>
      </c>
      <c r="D1542" t="inlineStr">
        <is>
          <t>INV/2026/03111</t>
        </is>
      </c>
      <c r="E1542" s="9" t="n">
        <v>145.49</v>
      </c>
      <c r="F1542" s="9" t="n">
        <v>145.49</v>
      </c>
      <c r="G1542" s="9">
        <f>ROUND(E1542-F1542,2)</f>
        <v>0</v>
      </c>
    </row>
    <row r="1543">
      <c r="A1543" t="inlineStr">
        <is>
          <t>RA45170</t>
        </is>
      </c>
      <c r="B1543" t="inlineStr">
        <is>
          <t>Bluegum Plan Management</t>
        </is>
      </c>
      <c r="C1543" s="5" t="n">
        <v>46283</v>
      </c>
      <c r="D1543" t="inlineStr">
        <is>
          <t>INV/2026/03095</t>
        </is>
      </c>
      <c r="E1543" s="9" t="n">
        <v>290.98</v>
      </c>
      <c r="F1543" s="9" t="n">
        <v>290.98</v>
      </c>
      <c r="G1543" s="9">
        <f>ROUND(E1543-F1543,2)</f>
        <v>0</v>
      </c>
    </row>
    <row r="1544">
      <c r="A1544" t="inlineStr">
        <is>
          <t>RA45170</t>
        </is>
      </c>
      <c r="B1544" t="inlineStr">
        <is>
          <t>Bluegum Plan Management</t>
        </is>
      </c>
      <c r="C1544" s="5" t="n">
        <v>46283</v>
      </c>
      <c r="D1544" t="inlineStr">
        <is>
          <t>INV/2026/03096</t>
        </is>
      </c>
      <c r="E1544" s="9" t="n">
        <v>252.19</v>
      </c>
      <c r="F1544" s="9" t="n">
        <v>252.19</v>
      </c>
      <c r="G1544" s="9">
        <f>ROUND(E1544-F1544,2)</f>
        <v>0</v>
      </c>
    </row>
    <row r="1545">
      <c r="A1545" t="inlineStr">
        <is>
          <t>RA45171</t>
        </is>
      </c>
      <c r="B1545" t="inlineStr">
        <is>
          <t>Riverbend Plan Partners</t>
        </is>
      </c>
      <c r="C1545" s="5" t="n">
        <v>46283</v>
      </c>
      <c r="D1545" t="inlineStr">
        <is>
          <t>INV/2026/03152</t>
        </is>
      </c>
      <c r="E1545" s="9" t="n">
        <v>193.99</v>
      </c>
      <c r="F1545" s="9" t="n">
        <v>193.99</v>
      </c>
      <c r="G1545" s="9">
        <f>ROUND(E1545-F1545,2)</f>
        <v>0</v>
      </c>
    </row>
    <row r="1546">
      <c r="A1546" t="inlineStr">
        <is>
          <t>RA45172</t>
        </is>
      </c>
      <c r="B1546" t="inlineStr">
        <is>
          <t>Clearpath NDIS Plans</t>
        </is>
      </c>
      <c r="C1546" s="5" t="n">
        <v>46283</v>
      </c>
      <c r="D1546" t="inlineStr">
        <is>
          <t>INV/2026/03057</t>
        </is>
      </c>
      <c r="E1546" s="9" t="n">
        <v>155.19</v>
      </c>
      <c r="F1546" s="9" t="n">
        <v>155.19</v>
      </c>
      <c r="G1546" s="9">
        <f>ROUND(E1546-F1546,2)</f>
        <v>0</v>
      </c>
    </row>
    <row r="1547">
      <c r="A1547" t="inlineStr">
        <is>
          <t>RA45172</t>
        </is>
      </c>
      <c r="B1547" t="inlineStr">
        <is>
          <t>Clearpath NDIS Plans</t>
        </is>
      </c>
      <c r="C1547" s="5" t="n">
        <v>46283</v>
      </c>
      <c r="D1547" t="inlineStr">
        <is>
          <t>INV/2026/03076</t>
        </is>
      </c>
      <c r="E1547" s="9" t="n">
        <v>126.99</v>
      </c>
      <c r="F1547" s="9" t="n">
        <v>126.99</v>
      </c>
      <c r="G1547" s="9">
        <f>ROUND(E1547-F1547,2)</f>
        <v>0</v>
      </c>
    </row>
    <row r="1548">
      <c r="A1548" t="inlineStr">
        <is>
          <t>RA45173</t>
        </is>
      </c>
      <c r="B1548" t="inlineStr">
        <is>
          <t>Wattle Plan Services</t>
        </is>
      </c>
      <c r="C1548" s="5" t="n">
        <v>46283</v>
      </c>
      <c r="D1548" t="inlineStr">
        <is>
          <t>INV/2026/03017</t>
        </is>
      </c>
      <c r="E1548" s="9" t="n">
        <v>155.19</v>
      </c>
      <c r="F1548" s="9" t="n">
        <v>155.19</v>
      </c>
      <c r="G1548" s="9">
        <f>ROUND(E1548-F1548,2)</f>
        <v>0</v>
      </c>
    </row>
    <row r="1549">
      <c r="A1549" t="inlineStr">
        <is>
          <t>RA45173</t>
        </is>
      </c>
      <c r="B1549" t="inlineStr">
        <is>
          <t>Wattle Plan Services</t>
        </is>
      </c>
      <c r="C1549" s="5" t="n">
        <v>46283</v>
      </c>
      <c r="D1549" t="inlineStr">
        <is>
          <t>INV/2026/03018</t>
        </is>
      </c>
      <c r="E1549" s="9" t="n">
        <v>417.98</v>
      </c>
      <c r="F1549" s="9" t="n">
        <v>417.98</v>
      </c>
      <c r="G1549" s="9">
        <f>ROUND(E1549-F1549,2)</f>
        <v>0</v>
      </c>
    </row>
    <row r="1550">
      <c r="A1550" t="inlineStr">
        <is>
          <t>RA45173</t>
        </is>
      </c>
      <c r="B1550" t="inlineStr">
        <is>
          <t>Wattle Plan Services</t>
        </is>
      </c>
      <c r="C1550" s="5" t="n">
        <v>46283</v>
      </c>
      <c r="D1550" t="inlineStr">
        <is>
          <t>INV/2026/03077</t>
        </is>
      </c>
      <c r="E1550" s="9" t="n">
        <v>290.98</v>
      </c>
      <c r="F1550" s="9" t="n">
        <v>290.98</v>
      </c>
      <c r="G1550" s="9">
        <f>ROUND(E1550-F1550,2)</f>
        <v>0</v>
      </c>
    </row>
    <row r="1551">
      <c r="A1551" t="inlineStr">
        <is>
          <t>RA45173</t>
        </is>
      </c>
      <c r="B1551" t="inlineStr">
        <is>
          <t>Wattle Plan Services</t>
        </is>
      </c>
      <c r="C1551" s="5" t="n">
        <v>46283</v>
      </c>
      <c r="D1551" t="inlineStr">
        <is>
          <t>INV/2026/03078</t>
        </is>
      </c>
      <c r="E1551" s="9" t="n">
        <v>387.98</v>
      </c>
      <c r="F1551" s="9" t="n">
        <v>387.98</v>
      </c>
      <c r="G1551" s="9">
        <f>ROUND(E1551-F1551,2)</f>
        <v>0</v>
      </c>
    </row>
    <row r="1552">
      <c r="A1552" t="inlineStr">
        <is>
          <t>RA45173</t>
        </is>
      </c>
      <c r="B1552" t="inlineStr">
        <is>
          <t>Wattle Plan Services</t>
        </is>
      </c>
      <c r="C1552" s="5" t="n">
        <v>46283</v>
      </c>
      <c r="D1552" t="inlineStr">
        <is>
          <t>INV/2026/03100</t>
        </is>
      </c>
      <c r="E1552" s="9" t="n">
        <v>320.98</v>
      </c>
      <c r="F1552" s="9" t="n">
        <v>320.98</v>
      </c>
      <c r="G1552" s="9">
        <f>ROUND(E1552-F1552,2)</f>
        <v>0</v>
      </c>
    </row>
    <row r="1553">
      <c r="A1553" t="inlineStr">
        <is>
          <t>RA45173</t>
        </is>
      </c>
      <c r="B1553" t="inlineStr">
        <is>
          <t>Wattle Plan Services</t>
        </is>
      </c>
      <c r="C1553" s="5" t="n">
        <v>46283</v>
      </c>
      <c r="D1553" t="inlineStr">
        <is>
          <t>INV/2026/03127</t>
        </is>
      </c>
      <c r="E1553" s="9" t="n">
        <v>155.19</v>
      </c>
      <c r="F1553" s="9" t="n">
        <v>155.19</v>
      </c>
      <c r="G1553" s="9">
        <f>ROUND(E1553-F1553,2)</f>
        <v>0</v>
      </c>
    </row>
    <row r="1554">
      <c r="A1554" t="inlineStr">
        <is>
          <t>RA45173</t>
        </is>
      </c>
      <c r="B1554" t="inlineStr">
        <is>
          <t>Wattle Plan Services</t>
        </is>
      </c>
      <c r="C1554" s="5" t="n">
        <v>46283</v>
      </c>
      <c r="D1554" t="inlineStr">
        <is>
          <t>INV/2026/03155</t>
        </is>
      </c>
      <c r="E1554" s="9" t="n">
        <v>193.99</v>
      </c>
      <c r="F1554" s="9" t="n">
        <v>193.99</v>
      </c>
      <c r="G1554" s="9">
        <f>ROUND(E1554-F1554,2)</f>
        <v>0</v>
      </c>
    </row>
    <row r="1555">
      <c r="A1555" t="inlineStr">
        <is>
          <t>RA45174</t>
        </is>
      </c>
      <c r="B1555" t="inlineStr">
        <is>
          <t>Ironbark Plan Management</t>
        </is>
      </c>
      <c r="C1555" s="5" t="n">
        <v>46283</v>
      </c>
      <c r="D1555" t="inlineStr">
        <is>
          <t>INV/2026/03021</t>
        </is>
      </c>
      <c r="E1555" s="9" t="n">
        <v>145.49</v>
      </c>
      <c r="F1555" s="9" t="n">
        <v>145.49</v>
      </c>
      <c r="G1555" s="9">
        <f>ROUND(E1555-F1555,2)</f>
        <v>0</v>
      </c>
    </row>
    <row r="1556">
      <c r="A1556" t="inlineStr">
        <is>
          <t>RA45174</t>
        </is>
      </c>
      <c r="B1556" t="inlineStr">
        <is>
          <t>Ironbark Plan Management</t>
        </is>
      </c>
      <c r="C1556" s="5" t="n">
        <v>46283</v>
      </c>
      <c r="D1556" t="inlineStr">
        <is>
          <t>INV/2026/03022</t>
        </is>
      </c>
      <c r="E1556" s="9" t="n">
        <v>145.49</v>
      </c>
      <c r="F1556" s="9" t="n">
        <v>145.49</v>
      </c>
      <c r="G1556" s="9">
        <f>ROUND(E1556-F1556,2)</f>
        <v>0</v>
      </c>
    </row>
    <row r="1557">
      <c r="A1557" t="inlineStr">
        <is>
          <t>RA45175</t>
        </is>
      </c>
      <c r="B1557" t="inlineStr">
        <is>
          <t>Saltbush Plan Managers</t>
        </is>
      </c>
      <c r="C1557" s="5" t="n">
        <v>46283</v>
      </c>
      <c r="D1557" t="inlineStr">
        <is>
          <t>INV/2026/03083</t>
        </is>
      </c>
      <c r="E1557" s="9" t="n">
        <v>242.49</v>
      </c>
      <c r="F1557" s="9" t="n">
        <v>242.49</v>
      </c>
      <c r="G1557" s="9">
        <f>ROUND(E1557-F1557,2)</f>
        <v>0</v>
      </c>
    </row>
    <row r="1558">
      <c r="A1558" t="inlineStr">
        <is>
          <t>RA45176</t>
        </is>
      </c>
      <c r="B1558" t="inlineStr">
        <is>
          <t>Redgum Plan Admin</t>
        </is>
      </c>
      <c r="C1558" s="5" t="n">
        <v>46283</v>
      </c>
      <c r="D1558" t="inlineStr">
        <is>
          <t>INV/2026/03065</t>
        </is>
      </c>
      <c r="E1558" s="9" t="n">
        <v>203.69</v>
      </c>
      <c r="F1558" s="9" t="n">
        <v>203.69</v>
      </c>
      <c r="G1558" s="9">
        <f>ROUND(E1558-F1558,2)</f>
        <v>0</v>
      </c>
    </row>
    <row r="1559">
      <c r="A1559" t="inlineStr">
        <is>
          <t>RA45176</t>
        </is>
      </c>
      <c r="B1559" t="inlineStr">
        <is>
          <t>Redgum Plan Admin</t>
        </is>
      </c>
      <c r="C1559" s="5" t="n">
        <v>46283</v>
      </c>
      <c r="D1559" t="inlineStr">
        <is>
          <t>INV/2026/03108</t>
        </is>
      </c>
      <c r="E1559" s="9" t="n">
        <v>290.98</v>
      </c>
      <c r="F1559" s="9" t="n">
        <v>290.98</v>
      </c>
      <c r="G1559" s="9">
        <f>ROUND(E1559-F1559,2)</f>
        <v>0</v>
      </c>
    </row>
    <row r="1560">
      <c r="A1560" t="inlineStr">
        <is>
          <t>RA45177</t>
        </is>
      </c>
      <c r="B1560" t="inlineStr">
        <is>
          <t>Lyrebird Plan Management</t>
        </is>
      </c>
      <c r="C1560" s="5" t="n">
        <v>46283</v>
      </c>
      <c r="D1560" t="inlineStr">
        <is>
          <t>INV/2026/03112</t>
        </is>
      </c>
      <c r="E1560" s="9" t="n">
        <v>446.18</v>
      </c>
      <c r="F1560" s="9" t="n">
        <v>446.18</v>
      </c>
      <c r="G1560" s="9">
        <f>ROUND(E1560-F1560,2)</f>
        <v>0</v>
      </c>
    </row>
    <row r="1561">
      <c r="A1561" t="inlineStr">
        <is>
          <t>RA45178</t>
        </is>
      </c>
      <c r="B1561" t="inlineStr">
        <is>
          <t>Bluegum Plan Management</t>
        </is>
      </c>
      <c r="C1561" s="5" t="n">
        <v>46286</v>
      </c>
      <c r="D1561" t="inlineStr">
        <is>
          <t>INV/2026/03122</t>
        </is>
      </c>
      <c r="E1561" s="9" t="n">
        <v>96.98999999999999</v>
      </c>
      <c r="F1561" s="9" t="n">
        <v>67.89</v>
      </c>
      <c r="G1561" s="9">
        <f>ROUND(E1561-F1561,2)</f>
        <v>29.1</v>
      </c>
    </row>
    <row r="1562">
      <c r="A1562" t="inlineStr">
        <is>
          <t>RA45178</t>
        </is>
      </c>
      <c r="B1562" t="inlineStr">
        <is>
          <t>Bluegum Plan Management</t>
        </is>
      </c>
      <c r="C1562" s="5" t="n">
        <v>46286</v>
      </c>
      <c r="D1562" t="inlineStr">
        <is>
          <t>INV/2026/03123</t>
        </is>
      </c>
      <c r="E1562" s="9" t="n">
        <v>126.99</v>
      </c>
      <c r="F1562" s="9" t="n">
        <v>126.99</v>
      </c>
      <c r="G1562" s="9">
        <f>ROUND(E1562-F1562,2)</f>
        <v>0</v>
      </c>
    </row>
    <row r="1563">
      <c r="A1563" t="inlineStr">
        <is>
          <t>RA45179</t>
        </is>
      </c>
      <c r="B1563" t="inlineStr">
        <is>
          <t>Wattle Plan Services</t>
        </is>
      </c>
      <c r="C1563" s="5" t="n">
        <v>46286</v>
      </c>
      <c r="D1563" t="inlineStr">
        <is>
          <t>INV/2026/03128</t>
        </is>
      </c>
      <c r="E1563" s="9" t="n">
        <v>223.99</v>
      </c>
      <c r="F1563" s="9" t="n">
        <v>223.99</v>
      </c>
      <c r="G1563" s="9">
        <f>ROUND(E1563-F1563,2)</f>
        <v>0</v>
      </c>
    </row>
    <row r="1564">
      <c r="A1564" t="inlineStr">
        <is>
          <t>RA45179</t>
        </is>
      </c>
      <c r="B1564" t="inlineStr">
        <is>
          <t>Wattle Plan Services</t>
        </is>
      </c>
      <c r="C1564" s="5" t="n">
        <v>46286</v>
      </c>
      <c r="D1564" t="inlineStr">
        <is>
          <t>INV/2026/03129</t>
        </is>
      </c>
      <c r="E1564" s="9" t="n">
        <v>96.98999999999999</v>
      </c>
      <c r="F1564" s="9" t="n">
        <v>96.98999999999999</v>
      </c>
      <c r="G1564" s="9">
        <f>ROUND(E1564-F1564,2)</f>
        <v>0</v>
      </c>
    </row>
    <row r="1565">
      <c r="A1565" t="inlineStr">
        <is>
          <t>RA45180</t>
        </is>
      </c>
      <c r="B1565" t="inlineStr">
        <is>
          <t>Banksia Plan Co</t>
        </is>
      </c>
      <c r="C1565" s="5" t="n">
        <v>46286</v>
      </c>
      <c r="D1565" t="inlineStr">
        <is>
          <t>INV/2026/03079</t>
        </is>
      </c>
      <c r="E1565" s="9" t="n">
        <v>145.49</v>
      </c>
      <c r="F1565" s="9" t="n">
        <v>145.49</v>
      </c>
      <c r="G1565" s="9">
        <f>ROUND(E1565-F1565,2)</f>
        <v>0</v>
      </c>
    </row>
    <row r="1566">
      <c r="A1566" t="inlineStr">
        <is>
          <t>RA45180</t>
        </is>
      </c>
      <c r="B1566" t="inlineStr">
        <is>
          <t>Banksia Plan Co</t>
        </is>
      </c>
      <c r="C1566" s="5" t="n">
        <v>46286</v>
      </c>
      <c r="D1566" t="inlineStr">
        <is>
          <t>INV/2026/03130</t>
        </is>
      </c>
      <c r="E1566" s="9" t="n">
        <v>252.19</v>
      </c>
      <c r="F1566" s="9" t="n">
        <v>252.19</v>
      </c>
      <c r="G1566" s="9">
        <f>ROUND(E1566-F1566,2)</f>
        <v>0</v>
      </c>
    </row>
    <row r="1567">
      <c r="A1567" t="inlineStr">
        <is>
          <t>RA45181</t>
        </is>
      </c>
      <c r="B1567" t="inlineStr">
        <is>
          <t>Ironbark Plan Management</t>
        </is>
      </c>
      <c r="C1567" s="5" t="n">
        <v>46286</v>
      </c>
      <c r="D1567" t="inlineStr">
        <is>
          <t>INV/2026/03060</t>
        </is>
      </c>
      <c r="E1567" s="9" t="n">
        <v>145.49</v>
      </c>
      <c r="F1567" s="9" t="n">
        <v>145.49</v>
      </c>
      <c r="G1567" s="9">
        <f>ROUND(E1567-F1567,2)</f>
        <v>0</v>
      </c>
    </row>
    <row r="1568">
      <c r="A1568" t="inlineStr">
        <is>
          <t>RA45181</t>
        </is>
      </c>
      <c r="B1568" t="inlineStr">
        <is>
          <t>Ironbark Plan Management</t>
        </is>
      </c>
      <c r="C1568" s="5" t="n">
        <v>46286</v>
      </c>
      <c r="D1568" t="inlineStr">
        <is>
          <t>INV/2026/03061</t>
        </is>
      </c>
      <c r="E1568" s="9" t="n">
        <v>290.98</v>
      </c>
      <c r="F1568" s="9" t="n">
        <v>290.98</v>
      </c>
      <c r="G1568" s="9">
        <f>ROUND(E1568-F1568,2)</f>
        <v>0</v>
      </c>
    </row>
    <row r="1569">
      <c r="A1569" t="inlineStr">
        <is>
          <t>RA45181</t>
        </is>
      </c>
      <c r="B1569" t="inlineStr">
        <is>
          <t>Ironbark Plan Management</t>
        </is>
      </c>
      <c r="C1569" s="5" t="n">
        <v>46286</v>
      </c>
      <c r="D1569" t="inlineStr">
        <is>
          <t>INV/2026/03081</t>
        </is>
      </c>
      <c r="E1569" s="9" t="n">
        <v>446.18</v>
      </c>
      <c r="F1569" s="9" t="n">
        <v>446.18</v>
      </c>
      <c r="G1569" s="9">
        <f>ROUND(E1569-F1569,2)</f>
        <v>0</v>
      </c>
    </row>
    <row r="1570">
      <c r="A1570" t="inlineStr">
        <is>
          <t>RA45182</t>
        </is>
      </c>
      <c r="B1570" t="inlineStr">
        <is>
          <t>Redgum Plan Admin</t>
        </is>
      </c>
      <c r="C1570" s="5" t="n">
        <v>46286</v>
      </c>
      <c r="D1570" t="inlineStr">
        <is>
          <t>INV/2026/03140</t>
        </is>
      </c>
      <c r="E1570" s="9" t="n">
        <v>320.98</v>
      </c>
      <c r="F1570" s="9" t="n">
        <v>320.98</v>
      </c>
      <c r="G1570" s="9">
        <f>ROUND(E1570-F1570,2)</f>
        <v>0</v>
      </c>
    </row>
    <row r="1571">
      <c r="A1571" t="inlineStr">
        <is>
          <t>RA45182</t>
        </is>
      </c>
      <c r="B1571" t="inlineStr">
        <is>
          <t>Redgum Plan Admin</t>
        </is>
      </c>
      <c r="C1571" s="5" t="n">
        <v>46286</v>
      </c>
      <c r="D1571" t="inlineStr">
        <is>
          <t>INV/2026/03167</t>
        </is>
      </c>
      <c r="E1571" s="9" t="n">
        <v>96.98999999999999</v>
      </c>
      <c r="F1571" s="9" t="n">
        <v>96.98999999999999</v>
      </c>
      <c r="G1571" s="9">
        <f>ROUND(E1571-F1571,2)</f>
        <v>0</v>
      </c>
    </row>
    <row r="1572">
      <c r="A1572" t="inlineStr">
        <is>
          <t>RA45182</t>
        </is>
      </c>
      <c r="B1572" t="inlineStr">
        <is>
          <t>Redgum Plan Admin</t>
        </is>
      </c>
      <c r="C1572" s="5" t="n">
        <v>46286</v>
      </c>
      <c r="D1572" t="inlineStr">
        <is>
          <t>INV/2026/03184</t>
        </is>
      </c>
      <c r="E1572" s="9" t="n">
        <v>203.69</v>
      </c>
      <c r="F1572" s="9" t="n">
        <v>203.69</v>
      </c>
      <c r="G1572" s="9">
        <f>ROUND(E1572-F1572,2)</f>
        <v>0</v>
      </c>
    </row>
    <row r="1573">
      <c r="A1573" t="inlineStr">
        <is>
          <t>RA45183</t>
        </is>
      </c>
      <c r="B1573" t="inlineStr">
        <is>
          <t>Southern Cross Plan Mgmt</t>
        </is>
      </c>
      <c r="C1573" s="5" t="n">
        <v>46286</v>
      </c>
      <c r="D1573" t="inlineStr">
        <is>
          <t>INV/2026/03068</t>
        </is>
      </c>
      <c r="E1573" s="9" t="n">
        <v>96.98999999999999</v>
      </c>
      <c r="F1573" s="9" t="n">
        <v>96.98999999999999</v>
      </c>
      <c r="G1573" s="9">
        <f>ROUND(E1573-F1573,2)</f>
        <v>0</v>
      </c>
    </row>
    <row r="1574">
      <c r="A1574" t="inlineStr">
        <is>
          <t>RA45183</t>
        </is>
      </c>
      <c r="B1574" t="inlineStr">
        <is>
          <t>Southern Cross Plan Mgmt</t>
        </is>
      </c>
      <c r="C1574" s="5" t="n">
        <v>46286</v>
      </c>
      <c r="D1574" t="inlineStr">
        <is>
          <t>INV/2026/03086</t>
        </is>
      </c>
      <c r="E1574" s="9" t="n">
        <v>145.49</v>
      </c>
      <c r="F1574" s="9" t="n">
        <v>145.49</v>
      </c>
      <c r="G1574" s="9">
        <f>ROUND(E1574-F1574,2)</f>
        <v>0</v>
      </c>
    </row>
    <row r="1575">
      <c r="A1575" t="inlineStr">
        <is>
          <t>RA45183</t>
        </is>
      </c>
      <c r="B1575" t="inlineStr">
        <is>
          <t>Southern Cross Plan Mgmt</t>
        </is>
      </c>
      <c r="C1575" s="5" t="n">
        <v>46286</v>
      </c>
      <c r="D1575" t="inlineStr">
        <is>
          <t>INV/2026/03087</t>
        </is>
      </c>
      <c r="E1575" s="9" t="n">
        <v>145.49</v>
      </c>
      <c r="F1575" s="9" t="n">
        <v>145.49</v>
      </c>
      <c r="G1575" s="9">
        <f>ROUND(E1575-F1575,2)</f>
        <v>0</v>
      </c>
    </row>
    <row r="1576">
      <c r="A1576" t="inlineStr">
        <is>
          <t>RA45183</t>
        </is>
      </c>
      <c r="B1576" t="inlineStr">
        <is>
          <t>Southern Cross Plan Mgmt</t>
        </is>
      </c>
      <c r="C1576" s="5" t="n">
        <v>46286</v>
      </c>
      <c r="D1576" t="inlineStr">
        <is>
          <t>INV/2026/03109</t>
        </is>
      </c>
      <c r="E1576" s="9" t="n">
        <v>203.69</v>
      </c>
      <c r="F1576" s="9" t="n">
        <v>203.69</v>
      </c>
      <c r="G1576" s="9">
        <f>ROUND(E1576-F1576,2)</f>
        <v>0</v>
      </c>
    </row>
    <row r="1577">
      <c r="A1577" t="inlineStr">
        <is>
          <t>RA45183</t>
        </is>
      </c>
      <c r="B1577" t="inlineStr">
        <is>
          <t>Southern Cross Plan Mgmt</t>
        </is>
      </c>
      <c r="C1577" s="5" t="n">
        <v>46286</v>
      </c>
      <c r="D1577" t="inlineStr">
        <is>
          <t>INV/2026/03110</t>
        </is>
      </c>
      <c r="E1577" s="9" t="n">
        <v>203.69</v>
      </c>
      <c r="F1577" s="9" t="n">
        <v>203.69</v>
      </c>
      <c r="G1577" s="9">
        <f>ROUND(E1577-F1577,2)</f>
        <v>0</v>
      </c>
    </row>
    <row r="1578">
      <c r="A1578" t="inlineStr">
        <is>
          <t>RA45183</t>
        </is>
      </c>
      <c r="B1578" t="inlineStr">
        <is>
          <t>Southern Cross Plan Mgmt</t>
        </is>
      </c>
      <c r="C1578" s="5" t="n">
        <v>46286</v>
      </c>
      <c r="D1578" t="inlineStr">
        <is>
          <t>INV/2026/03141</t>
        </is>
      </c>
      <c r="E1578" s="9" t="n">
        <v>126.99</v>
      </c>
      <c r="F1578" s="9" t="n">
        <v>126.99</v>
      </c>
      <c r="G1578" s="9">
        <f>ROUND(E1578-F1578,2)</f>
        <v>0</v>
      </c>
    </row>
    <row r="1579">
      <c r="A1579" t="inlineStr">
        <is>
          <t>RA45183</t>
        </is>
      </c>
      <c r="B1579" t="inlineStr">
        <is>
          <t>Southern Cross Plan Mgmt</t>
        </is>
      </c>
      <c r="C1579" s="5" t="n">
        <v>46286</v>
      </c>
      <c r="D1579" t="inlineStr">
        <is>
          <t>INV/2026/03169</t>
        </is>
      </c>
      <c r="E1579" s="9" t="n">
        <v>290.98</v>
      </c>
      <c r="F1579" s="9" t="n">
        <v>290.98</v>
      </c>
      <c r="G1579" s="9">
        <f>ROUND(E1579-F1579,2)</f>
        <v>0</v>
      </c>
    </row>
    <row r="1580">
      <c r="A1580" t="inlineStr">
        <is>
          <t>RA45183</t>
        </is>
      </c>
      <c r="B1580" t="inlineStr">
        <is>
          <t>Southern Cross Plan Mgmt</t>
        </is>
      </c>
      <c r="C1580" s="5" t="n">
        <v>46286</v>
      </c>
      <c r="D1580" t="inlineStr">
        <is>
          <t>INV/2026/03185</t>
        </is>
      </c>
      <c r="E1580" s="9" t="n">
        <v>193.99</v>
      </c>
      <c r="F1580" s="9" t="n">
        <v>193.99</v>
      </c>
      <c r="G1580" s="9">
        <f>ROUND(E1580-F1580,2)</f>
        <v>0</v>
      </c>
    </row>
    <row r="1581">
      <c r="A1581" t="inlineStr">
        <is>
          <t>RA45184</t>
        </is>
      </c>
      <c r="B1581" t="inlineStr">
        <is>
          <t>Wattle Plan Services</t>
        </is>
      </c>
      <c r="C1581" s="5" t="n">
        <v>46287</v>
      </c>
      <c r="D1581" t="inlineStr">
        <is>
          <t>INV/2026/03199</t>
        </is>
      </c>
      <c r="E1581" s="9" t="n">
        <v>242.49</v>
      </c>
      <c r="F1581" s="9" t="n">
        <v>242.49</v>
      </c>
      <c r="G1581" s="9">
        <f>ROUND(E1581-F1581,2)</f>
        <v>0</v>
      </c>
    </row>
    <row r="1582">
      <c r="A1582" t="inlineStr">
        <is>
          <t>RA45184</t>
        </is>
      </c>
      <c r="B1582" t="inlineStr">
        <is>
          <t>Wattle Plan Services</t>
        </is>
      </c>
      <c r="C1582" s="5" t="n">
        <v>46287</v>
      </c>
      <c r="D1582" t="inlineStr">
        <is>
          <t>INV/2026/03200</t>
        </is>
      </c>
      <c r="E1582" s="9" t="n">
        <v>349.18</v>
      </c>
      <c r="F1582" s="9" t="n">
        <v>349.18</v>
      </c>
      <c r="G1582" s="9">
        <f>ROUND(E1582-F1582,2)</f>
        <v>0</v>
      </c>
    </row>
    <row r="1583">
      <c r="A1583" t="inlineStr">
        <is>
          <t>RA45185</t>
        </is>
      </c>
      <c r="B1583" t="inlineStr">
        <is>
          <t>Kookaburra Plan Support</t>
        </is>
      </c>
      <c r="C1583" s="5" t="n">
        <v>46287</v>
      </c>
      <c r="D1583" t="inlineStr">
        <is>
          <t>INV/2026/03105</t>
        </is>
      </c>
      <c r="E1583" s="9" t="n">
        <v>446.18</v>
      </c>
      <c r="F1583" s="9" t="n">
        <v>446.18</v>
      </c>
      <c r="G1583" s="9">
        <f>ROUND(E1583-F1583,2)</f>
        <v>0</v>
      </c>
    </row>
    <row r="1584">
      <c r="A1584" t="inlineStr">
        <is>
          <t>RA45185</t>
        </is>
      </c>
      <c r="B1584" t="inlineStr">
        <is>
          <t>Kookaburra Plan Support</t>
        </is>
      </c>
      <c r="C1584" s="5" t="n">
        <v>46287</v>
      </c>
      <c r="D1584" t="inlineStr">
        <is>
          <t>INV/2026/03106</t>
        </is>
      </c>
      <c r="E1584" s="9" t="n">
        <v>272.49</v>
      </c>
      <c r="F1584" s="9" t="n">
        <v>272.49</v>
      </c>
      <c r="G1584" s="9">
        <f>ROUND(E1584-F1584,2)</f>
        <v>0</v>
      </c>
    </row>
    <row r="1585">
      <c r="A1585" t="inlineStr">
        <is>
          <t>RA45185</t>
        </is>
      </c>
      <c r="B1585" t="inlineStr">
        <is>
          <t>Kookaburra Plan Support</t>
        </is>
      </c>
      <c r="C1585" s="5" t="n">
        <v>46287</v>
      </c>
      <c r="D1585" t="inlineStr">
        <is>
          <t>INV/2026/03134</t>
        </is>
      </c>
      <c r="E1585" s="9" t="n">
        <v>242.49</v>
      </c>
      <c r="F1585" s="9" t="n">
        <v>242.49</v>
      </c>
      <c r="G1585" s="9">
        <f>ROUND(E1585-F1585,2)</f>
        <v>0</v>
      </c>
    </row>
    <row r="1586">
      <c r="A1586" t="inlineStr">
        <is>
          <t>RA45186</t>
        </is>
      </c>
      <c r="B1586" t="inlineStr">
        <is>
          <t>Redgum Plan Admin</t>
        </is>
      </c>
      <c r="C1586" s="5" t="n">
        <v>46287</v>
      </c>
      <c r="D1586" t="inlineStr">
        <is>
          <t>INV/2026/03138</t>
        </is>
      </c>
      <c r="E1586" s="9" t="n">
        <v>272.49</v>
      </c>
      <c r="F1586" s="9" t="n">
        <v>272.49</v>
      </c>
      <c r="G1586" s="9">
        <f>ROUND(E1586-F1586,2)</f>
        <v>0</v>
      </c>
    </row>
    <row r="1587">
      <c r="A1587" t="inlineStr">
        <is>
          <t>RA45186</t>
        </is>
      </c>
      <c r="B1587" t="inlineStr">
        <is>
          <t>Redgum Plan Admin</t>
        </is>
      </c>
      <c r="C1587" s="5" t="n">
        <v>46287</v>
      </c>
      <c r="D1587" t="inlineStr">
        <is>
          <t>INV/2026/03139</t>
        </is>
      </c>
      <c r="E1587" s="9" t="n">
        <v>387.98</v>
      </c>
      <c r="F1587" s="9" t="n">
        <v>387.98</v>
      </c>
      <c r="G1587" s="9">
        <f>ROUND(E1587-F1587,2)</f>
        <v>0</v>
      </c>
    </row>
    <row r="1588">
      <c r="A1588" t="inlineStr">
        <is>
          <t>RA45186</t>
        </is>
      </c>
      <c r="B1588" t="inlineStr">
        <is>
          <t>Redgum Plan Admin</t>
        </is>
      </c>
      <c r="C1588" s="5" t="n">
        <v>46287</v>
      </c>
      <c r="D1588" t="inlineStr">
        <is>
          <t>INV/2026/03205</t>
        </is>
      </c>
      <c r="E1588" s="9" t="n">
        <v>203.69</v>
      </c>
      <c r="F1588" s="9" t="n">
        <v>203.69</v>
      </c>
      <c r="G1588" s="9">
        <f>ROUND(E1588-F1588,2)</f>
        <v>0</v>
      </c>
    </row>
    <row r="1589">
      <c r="A1589" t="inlineStr">
        <is>
          <t>RA45186</t>
        </is>
      </c>
      <c r="B1589" t="inlineStr">
        <is>
          <t>Redgum Plan Admin</t>
        </is>
      </c>
      <c r="C1589" s="5" t="n">
        <v>46287</v>
      </c>
      <c r="D1589" t="inlineStr">
        <is>
          <t>INV/2026/03206</t>
        </is>
      </c>
      <c r="E1589" s="9" t="n">
        <v>155.19</v>
      </c>
      <c r="F1589" s="9" t="n">
        <v>155.19</v>
      </c>
      <c r="G1589" s="9">
        <f>ROUND(E1589-F1589,2)</f>
        <v>0</v>
      </c>
    </row>
    <row r="1590">
      <c r="A1590" t="inlineStr">
        <is>
          <t>RA45187</t>
        </is>
      </c>
      <c r="B1590" t="inlineStr">
        <is>
          <t>Lyrebird Plan Management</t>
        </is>
      </c>
      <c r="C1590" s="5" t="n">
        <v>46287</v>
      </c>
      <c r="D1590" t="inlineStr">
        <is>
          <t>INV/2026/03209</t>
        </is>
      </c>
      <c r="E1590" s="9" t="n">
        <v>349.18</v>
      </c>
      <c r="F1590" s="9" t="n">
        <v>349.18</v>
      </c>
      <c r="G1590" s="9">
        <f>ROUND(E1590-F1590,2)</f>
        <v>0</v>
      </c>
    </row>
    <row r="1591">
      <c r="A1591" t="inlineStr">
        <is>
          <t>RA45188</t>
        </is>
      </c>
      <c r="B1591" t="inlineStr">
        <is>
          <t>Tallowwood Plans</t>
        </is>
      </c>
      <c r="C1591" s="5" t="n">
        <v>46287</v>
      </c>
      <c r="D1591" t="inlineStr">
        <is>
          <t>INV/2026/03046</t>
        </is>
      </c>
      <c r="E1591" s="9" t="n">
        <v>126.99</v>
      </c>
      <c r="F1591" s="9" t="n">
        <v>126.99</v>
      </c>
      <c r="G1591" s="9">
        <f>ROUND(E1591-F1591,2)</f>
        <v>0</v>
      </c>
    </row>
    <row r="1592">
      <c r="A1592" t="inlineStr">
        <is>
          <t>RA45188</t>
        </is>
      </c>
      <c r="B1592" t="inlineStr">
        <is>
          <t>Tallowwood Plans</t>
        </is>
      </c>
      <c r="C1592" s="5" t="n">
        <v>46287</v>
      </c>
      <c r="D1592" t="inlineStr">
        <is>
          <t>INV/2026/03047</t>
        </is>
      </c>
      <c r="E1592" s="9" t="n">
        <v>193.99</v>
      </c>
      <c r="F1592" s="9" t="n">
        <v>193.99</v>
      </c>
      <c r="G1592" s="9">
        <f>ROUND(E1592-F1592,2)</f>
        <v>0</v>
      </c>
    </row>
    <row r="1593">
      <c r="A1593" t="inlineStr">
        <is>
          <t>RA45188</t>
        </is>
      </c>
      <c r="B1593" t="inlineStr">
        <is>
          <t>Tallowwood Plans</t>
        </is>
      </c>
      <c r="C1593" s="5" t="n">
        <v>46287</v>
      </c>
      <c r="D1593" t="inlineStr">
        <is>
          <t>INV/2026/03072</t>
        </is>
      </c>
      <c r="E1593" s="9" t="n">
        <v>193.99</v>
      </c>
      <c r="F1593" s="9" t="n">
        <v>193.99</v>
      </c>
      <c r="G1593" s="9">
        <f>ROUND(E1593-F1593,2)</f>
        <v>0</v>
      </c>
    </row>
    <row r="1594">
      <c r="A1594" t="inlineStr">
        <is>
          <t>RA45188</t>
        </is>
      </c>
      <c r="B1594" t="inlineStr">
        <is>
          <t>Tallowwood Plans</t>
        </is>
      </c>
      <c r="C1594" s="5" t="n">
        <v>46287</v>
      </c>
      <c r="D1594" t="inlineStr">
        <is>
          <t>INV/2026/03090</t>
        </is>
      </c>
      <c r="E1594" s="9" t="n">
        <v>300.69</v>
      </c>
      <c r="F1594" s="9" t="n">
        <v>300.69</v>
      </c>
      <c r="G1594" s="9">
        <f>ROUND(E1594-F1594,2)</f>
        <v>0</v>
      </c>
    </row>
    <row r="1595">
      <c r="A1595" t="inlineStr">
        <is>
          <t>RA45188</t>
        </is>
      </c>
      <c r="B1595" t="inlineStr">
        <is>
          <t>Tallowwood Plans</t>
        </is>
      </c>
      <c r="C1595" s="5" t="n">
        <v>46287</v>
      </c>
      <c r="D1595" t="inlineStr">
        <is>
          <t>INV/2026/03091</t>
        </is>
      </c>
      <c r="E1595" s="9" t="n">
        <v>387.98</v>
      </c>
      <c r="F1595" s="9" t="n">
        <v>387.98</v>
      </c>
      <c r="G1595" s="9">
        <f>ROUND(E1595-F1595,2)</f>
        <v>0</v>
      </c>
    </row>
    <row r="1596">
      <c r="A1596" t="inlineStr">
        <is>
          <t>RA45188</t>
        </is>
      </c>
      <c r="B1596" t="inlineStr">
        <is>
          <t>Tallowwood Plans</t>
        </is>
      </c>
      <c r="C1596" s="5" t="n">
        <v>46287</v>
      </c>
      <c r="D1596" t="inlineStr">
        <is>
          <t>INV/2026/03113</t>
        </is>
      </c>
      <c r="E1596" s="9" t="n">
        <v>193.99</v>
      </c>
      <c r="F1596" s="9" t="n">
        <v>193.99</v>
      </c>
      <c r="G1596" s="9">
        <f>ROUND(E1596-F1596,2)</f>
        <v>0</v>
      </c>
    </row>
    <row r="1597">
      <c r="A1597" t="inlineStr">
        <is>
          <t>RA45188</t>
        </is>
      </c>
      <c r="B1597" t="inlineStr">
        <is>
          <t>Tallowwood Plans</t>
        </is>
      </c>
      <c r="C1597" s="5" t="n">
        <v>46287</v>
      </c>
      <c r="D1597" t="inlineStr">
        <is>
          <t>INV/2026/03114</t>
        </is>
      </c>
      <c r="E1597" s="9" t="n">
        <v>126.99</v>
      </c>
      <c r="F1597" s="9" t="n">
        <v>126.99</v>
      </c>
      <c r="G1597" s="9">
        <f>ROUND(E1597-F1597,2)</f>
        <v>0</v>
      </c>
    </row>
    <row r="1598">
      <c r="A1598" t="inlineStr">
        <is>
          <t>RA45188</t>
        </is>
      </c>
      <c r="B1598" t="inlineStr">
        <is>
          <t>Tallowwood Plans</t>
        </is>
      </c>
      <c r="C1598" s="5" t="n">
        <v>46287</v>
      </c>
      <c r="D1598" t="inlineStr">
        <is>
          <t>INV/2026/03143</t>
        </is>
      </c>
      <c r="E1598" s="9" t="n">
        <v>145.49</v>
      </c>
      <c r="F1598" s="9" t="n">
        <v>145.49</v>
      </c>
      <c r="G1598" s="9">
        <f>ROUND(E1598-F1598,2)</f>
        <v>0</v>
      </c>
    </row>
    <row r="1599">
      <c r="A1599" t="inlineStr">
        <is>
          <t>RA45188</t>
        </is>
      </c>
      <c r="B1599" t="inlineStr">
        <is>
          <t>Tallowwood Plans</t>
        </is>
      </c>
      <c r="C1599" s="5" t="n">
        <v>46287</v>
      </c>
      <c r="D1599" t="inlineStr">
        <is>
          <t>INV/2026/03144</t>
        </is>
      </c>
      <c r="E1599" s="9" t="n">
        <v>290.98</v>
      </c>
      <c r="F1599" s="9" t="n">
        <v>290.98</v>
      </c>
      <c r="G1599" s="9">
        <f>ROUND(E1599-F1599,2)</f>
        <v>0</v>
      </c>
    </row>
    <row r="1600">
      <c r="A1600" t="inlineStr">
        <is>
          <t>RA45188</t>
        </is>
      </c>
      <c r="B1600" t="inlineStr">
        <is>
          <t>Tallowwood Plans</t>
        </is>
      </c>
      <c r="C1600" s="5" t="n">
        <v>46287</v>
      </c>
      <c r="D1600" t="inlineStr">
        <is>
          <t>INV/2026/03145</t>
        </is>
      </c>
      <c r="E1600" s="9" t="n">
        <v>272.49</v>
      </c>
      <c r="F1600" s="9" t="n">
        <v>272.49</v>
      </c>
      <c r="G1600" s="9">
        <f>ROUND(E1600-F1600,2)</f>
        <v>0</v>
      </c>
    </row>
    <row r="1601">
      <c r="A1601" t="inlineStr">
        <is>
          <t>RA45188</t>
        </is>
      </c>
      <c r="B1601" t="inlineStr">
        <is>
          <t>Tallowwood Plans</t>
        </is>
      </c>
      <c r="C1601" s="5" t="n">
        <v>46287</v>
      </c>
      <c r="D1601" t="inlineStr">
        <is>
          <t>INV/2026/03187</t>
        </is>
      </c>
      <c r="E1601" s="9" t="n">
        <v>417.98</v>
      </c>
      <c r="F1601" s="9" t="n">
        <v>417.98</v>
      </c>
      <c r="G1601" s="9">
        <f>ROUND(E1601-F1601,2)</f>
        <v>0</v>
      </c>
    </row>
    <row r="1602">
      <c r="A1602" t="inlineStr">
        <is>
          <t>RA45188</t>
        </is>
      </c>
      <c r="B1602" t="inlineStr">
        <is>
          <t>Tallowwood Plans</t>
        </is>
      </c>
      <c r="C1602" s="5" t="n">
        <v>46287</v>
      </c>
      <c r="D1602" t="inlineStr">
        <is>
          <t>INV/2026/03210</t>
        </is>
      </c>
      <c r="E1602" s="9" t="n">
        <v>349.18</v>
      </c>
      <c r="F1602" s="9" t="n">
        <v>349.18</v>
      </c>
      <c r="G1602" s="9">
        <f>ROUND(E1602-F1602,2)</f>
        <v>0</v>
      </c>
    </row>
    <row r="1603">
      <c r="A1603" t="inlineStr">
        <is>
          <t>RA45189</t>
        </is>
      </c>
      <c r="B1603" t="inlineStr">
        <is>
          <t>Acacia Plan Partners</t>
        </is>
      </c>
      <c r="C1603" s="5" t="n">
        <v>46287</v>
      </c>
      <c r="D1603" t="inlineStr">
        <is>
          <t>INV/2026/03116</t>
        </is>
      </c>
      <c r="E1603" s="9" t="n">
        <v>300.69</v>
      </c>
      <c r="F1603" s="9" t="n">
        <v>300.69</v>
      </c>
      <c r="G1603" s="9">
        <f>ROUND(E1603-F1603,2)</f>
        <v>0</v>
      </c>
    </row>
    <row r="1604">
      <c r="A1604" t="inlineStr">
        <is>
          <t>RA45189</t>
        </is>
      </c>
      <c r="B1604" t="inlineStr">
        <is>
          <t>Acacia Plan Partners</t>
        </is>
      </c>
      <c r="C1604" s="5" t="n">
        <v>46287</v>
      </c>
      <c r="D1604" t="inlineStr">
        <is>
          <t>INV/2026/03188</t>
        </is>
      </c>
      <c r="E1604" s="9" t="n">
        <v>387.98</v>
      </c>
      <c r="F1604" s="9" t="n">
        <v>387.98</v>
      </c>
      <c r="G1604" s="9">
        <f>ROUND(E1604-F1604,2)</f>
        <v>0</v>
      </c>
    </row>
    <row r="1605">
      <c r="A1605" t="inlineStr">
        <is>
          <t>RA45189</t>
        </is>
      </c>
      <c r="B1605" t="inlineStr">
        <is>
          <t>Acacia Plan Partners</t>
        </is>
      </c>
      <c r="C1605" s="5" t="n">
        <v>46287</v>
      </c>
      <c r="D1605" t="inlineStr">
        <is>
          <t>INV/2026/03211</t>
        </is>
      </c>
      <c r="E1605" s="9" t="n">
        <v>242.49</v>
      </c>
      <c r="F1605" s="9" t="n">
        <v>242.49</v>
      </c>
      <c r="G1605" s="9">
        <f>ROUND(E1605-F1605,2)</f>
        <v>0</v>
      </c>
    </row>
    <row r="1606">
      <c r="A1606" t="inlineStr">
        <is>
          <t>RA45189</t>
        </is>
      </c>
      <c r="B1606" t="inlineStr">
        <is>
          <t>Acacia Plan Partners</t>
        </is>
      </c>
      <c r="C1606" s="5" t="n">
        <v>46287</v>
      </c>
      <c r="D1606" t="inlineStr">
        <is>
          <t>INV/2026/03232</t>
        </is>
      </c>
      <c r="E1606" s="9" t="n">
        <v>126.99</v>
      </c>
      <c r="F1606" s="9" t="n">
        <v>126.99</v>
      </c>
      <c r="G1606" s="9">
        <f>ROUND(E1606-F1606,2)</f>
        <v>0</v>
      </c>
    </row>
    <row r="1607">
      <c r="A1607" t="inlineStr">
        <is>
          <t>RA45190</t>
        </is>
      </c>
      <c r="B1607" t="inlineStr">
        <is>
          <t>Mallee Plan Services</t>
        </is>
      </c>
      <c r="C1607" s="5" t="n">
        <v>46287</v>
      </c>
      <c r="D1607" t="inlineStr">
        <is>
          <t>INV/2026/03146</t>
        </is>
      </c>
      <c r="E1607" s="9" t="n">
        <v>272.49</v>
      </c>
      <c r="F1607" s="9" t="n">
        <v>272.49</v>
      </c>
      <c r="G1607" s="9">
        <f>ROUND(E1607-F1607,2)</f>
        <v>0</v>
      </c>
    </row>
    <row r="1608">
      <c r="A1608" t="inlineStr">
        <is>
          <t>RA45190</t>
        </is>
      </c>
      <c r="B1608" t="inlineStr">
        <is>
          <t>Mallee Plan Services</t>
        </is>
      </c>
      <c r="C1608" s="5" t="n">
        <v>46287</v>
      </c>
      <c r="D1608" t="inlineStr">
        <is>
          <t>INV/2026/03147</t>
        </is>
      </c>
      <c r="E1608" s="9" t="n">
        <v>126.99</v>
      </c>
      <c r="F1608" s="9" t="n">
        <v>126.99</v>
      </c>
      <c r="G1608" s="9">
        <f>ROUND(E1608-F1608,2)</f>
        <v>0</v>
      </c>
    </row>
    <row r="1609">
      <c r="A1609" t="inlineStr">
        <is>
          <t>RA45191</t>
        </is>
      </c>
      <c r="B1609" t="inlineStr">
        <is>
          <t>Bluegum Plan Management</t>
        </is>
      </c>
      <c r="C1609" s="5" t="n">
        <v>46288</v>
      </c>
      <c r="D1609" t="inlineStr">
        <is>
          <t>INV/2026/03151</t>
        </is>
      </c>
      <c r="E1609" s="9" t="n">
        <v>145.49</v>
      </c>
      <c r="F1609" s="9" t="n">
        <v>145.49</v>
      </c>
      <c r="G1609" s="9">
        <f>ROUND(E1609-F1609,2)</f>
        <v>0</v>
      </c>
    </row>
    <row r="1610">
      <c r="A1610" t="inlineStr">
        <is>
          <t>RA45191</t>
        </is>
      </c>
      <c r="B1610" t="inlineStr">
        <is>
          <t>Bluegum Plan Management</t>
        </is>
      </c>
      <c r="C1610" s="5" t="n">
        <v>46288</v>
      </c>
      <c r="D1610" t="inlineStr">
        <is>
          <t>INV/2026/03173</t>
        </is>
      </c>
      <c r="E1610" s="9" t="n">
        <v>96.98999999999999</v>
      </c>
      <c r="F1610" s="9" t="n">
        <v>96.98999999999999</v>
      </c>
      <c r="G1610" s="9">
        <f>ROUND(E1610-F1610,2)</f>
        <v>0</v>
      </c>
    </row>
    <row r="1611">
      <c r="A1611" t="inlineStr">
        <is>
          <t>RA45191</t>
        </is>
      </c>
      <c r="B1611" t="inlineStr">
        <is>
          <t>Bluegum Plan Management</t>
        </is>
      </c>
      <c r="C1611" s="5" t="n">
        <v>46288</v>
      </c>
      <c r="D1611" t="inlineStr">
        <is>
          <t>INV/2026/03174</t>
        </is>
      </c>
      <c r="E1611" s="9" t="n">
        <v>223.99</v>
      </c>
      <c r="F1611" s="9" t="n">
        <v>223.99</v>
      </c>
      <c r="G1611" s="9">
        <f>ROUND(E1611-F1611,2)</f>
        <v>0</v>
      </c>
    </row>
    <row r="1612">
      <c r="A1612" t="inlineStr">
        <is>
          <t>RA45191</t>
        </is>
      </c>
      <c r="B1612" t="inlineStr">
        <is>
          <t>Bluegum Plan Management</t>
        </is>
      </c>
      <c r="C1612" s="5" t="n">
        <v>46288</v>
      </c>
      <c r="D1612" t="inlineStr">
        <is>
          <t>INV/2026/03175</t>
        </is>
      </c>
      <c r="E1612" s="9" t="n">
        <v>193.99</v>
      </c>
      <c r="F1612" s="9" t="n">
        <v>193.99</v>
      </c>
      <c r="G1612" s="9">
        <f>ROUND(E1612-F1612,2)</f>
        <v>0</v>
      </c>
    </row>
    <row r="1613">
      <c r="A1613" t="inlineStr">
        <is>
          <t>RA45191</t>
        </is>
      </c>
      <c r="B1613" t="inlineStr">
        <is>
          <t>Bluegum Plan Management</t>
        </is>
      </c>
      <c r="C1613" s="5" t="n">
        <v>46288</v>
      </c>
      <c r="D1613" t="inlineStr">
        <is>
          <t>INV/2026/03192</t>
        </is>
      </c>
      <c r="E1613" s="9" t="n">
        <v>193.99</v>
      </c>
      <c r="F1613" s="9" t="n">
        <v>193.99</v>
      </c>
      <c r="G1613" s="9">
        <f>ROUND(E1613-F1613,2)</f>
        <v>0</v>
      </c>
    </row>
    <row r="1614">
      <c r="A1614" t="inlineStr">
        <is>
          <t>RA45192</t>
        </is>
      </c>
      <c r="B1614" t="inlineStr">
        <is>
          <t>Wattle Plan Services</t>
        </is>
      </c>
      <c r="C1614" s="5" t="n">
        <v>46288</v>
      </c>
      <c r="D1614" t="inlineStr">
        <is>
          <t>INV/2026/03221</t>
        </is>
      </c>
      <c r="E1614" s="9" t="n">
        <v>272.49</v>
      </c>
      <c r="F1614" s="9" t="n">
        <v>272.49</v>
      </c>
      <c r="G1614" s="9">
        <f>ROUND(E1614-F1614,2)</f>
        <v>0</v>
      </c>
    </row>
    <row r="1615">
      <c r="A1615" t="inlineStr">
        <is>
          <t>RA45193</t>
        </is>
      </c>
      <c r="B1615" t="inlineStr">
        <is>
          <t>Banksia Plan Co</t>
        </is>
      </c>
      <c r="C1615" s="5" t="n">
        <v>46288</v>
      </c>
      <c r="D1615" t="inlineStr">
        <is>
          <t>INV/2026/03131</t>
        </is>
      </c>
      <c r="E1615" s="9" t="n">
        <v>223.99</v>
      </c>
      <c r="F1615" s="9" t="n">
        <v>223.99</v>
      </c>
      <c r="G1615" s="9">
        <f>ROUND(E1615-F1615,2)</f>
        <v>0</v>
      </c>
    </row>
    <row r="1616">
      <c r="A1616" t="inlineStr">
        <is>
          <t>RA45193</t>
        </is>
      </c>
      <c r="B1616" t="inlineStr">
        <is>
          <t>Banksia Plan Co</t>
        </is>
      </c>
      <c r="C1616" s="5" t="n">
        <v>46288</v>
      </c>
      <c r="D1616" t="inlineStr">
        <is>
          <t>INV/2026/03132</t>
        </is>
      </c>
      <c r="E1616" s="9" t="n">
        <v>417.98</v>
      </c>
      <c r="F1616" s="9" t="n">
        <v>417.98</v>
      </c>
      <c r="G1616" s="9">
        <f>ROUND(E1616-F1616,2)</f>
        <v>0</v>
      </c>
    </row>
    <row r="1617">
      <c r="A1617" t="inlineStr">
        <is>
          <t>RA45193</t>
        </is>
      </c>
      <c r="B1617" t="inlineStr">
        <is>
          <t>Banksia Plan Co</t>
        </is>
      </c>
      <c r="C1617" s="5" t="n">
        <v>46288</v>
      </c>
      <c r="D1617" t="inlineStr">
        <is>
          <t>INV/2026/03156</t>
        </is>
      </c>
      <c r="E1617" s="9" t="n">
        <v>145.49</v>
      </c>
      <c r="F1617" s="9" t="n">
        <v>145.49</v>
      </c>
      <c r="G1617" s="9">
        <f>ROUND(E1617-F1617,2)</f>
        <v>0</v>
      </c>
    </row>
    <row r="1618">
      <c r="A1618" t="inlineStr">
        <is>
          <t>RA45194</t>
        </is>
      </c>
      <c r="B1618" t="inlineStr">
        <is>
          <t>Kookaburra Plan Support</t>
        </is>
      </c>
      <c r="C1618" s="5" t="n">
        <v>46288</v>
      </c>
      <c r="D1618" t="inlineStr">
        <is>
          <t>INV/2026/03135</t>
        </is>
      </c>
      <c r="E1618" s="9" t="n">
        <v>193.99</v>
      </c>
      <c r="F1618" s="9" t="n">
        <v>193.99</v>
      </c>
      <c r="G1618" s="9">
        <f>ROUND(E1618-F1618,2)</f>
        <v>0</v>
      </c>
    </row>
    <row r="1619">
      <c r="A1619" t="inlineStr">
        <is>
          <t>RA45194</t>
        </is>
      </c>
      <c r="B1619" t="inlineStr">
        <is>
          <t>Kookaburra Plan Support</t>
        </is>
      </c>
      <c r="C1619" s="5" t="n">
        <v>46288</v>
      </c>
      <c r="D1619" t="inlineStr">
        <is>
          <t>INV/2026/03136</t>
        </is>
      </c>
      <c r="E1619" s="9" t="n">
        <v>145.49</v>
      </c>
      <c r="F1619" s="9" t="n">
        <v>145.49</v>
      </c>
      <c r="G1619" s="9">
        <f>ROUND(E1619-F1619,2)</f>
        <v>0</v>
      </c>
    </row>
    <row r="1620">
      <c r="A1620" t="inlineStr">
        <is>
          <t>RA45194</t>
        </is>
      </c>
      <c r="B1620" t="inlineStr">
        <is>
          <t>Kookaburra Plan Support</t>
        </is>
      </c>
      <c r="C1620" s="5" t="n">
        <v>46288</v>
      </c>
      <c r="D1620" t="inlineStr">
        <is>
          <t>INV/2026/03161</t>
        </is>
      </c>
      <c r="E1620" s="9" t="n">
        <v>417.98</v>
      </c>
      <c r="F1620" s="9" t="n">
        <v>417.98</v>
      </c>
      <c r="G1620" s="9">
        <f>ROUND(E1620-F1620,2)</f>
        <v>0</v>
      </c>
    </row>
    <row r="1621">
      <c r="A1621" t="inlineStr">
        <is>
          <t>RA45194</t>
        </is>
      </c>
      <c r="B1621" t="inlineStr">
        <is>
          <t>Kookaburra Plan Support</t>
        </is>
      </c>
      <c r="C1621" s="5" t="n">
        <v>46288</v>
      </c>
      <c r="D1621" t="inlineStr">
        <is>
          <t>INV/2026/03162</t>
        </is>
      </c>
      <c r="E1621" s="9" t="n">
        <v>320.98</v>
      </c>
      <c r="F1621" s="9" t="n">
        <v>320.98</v>
      </c>
      <c r="G1621" s="9">
        <f>ROUND(E1621-F1621,2)</f>
        <v>0</v>
      </c>
    </row>
    <row r="1622">
      <c r="A1622" t="inlineStr">
        <is>
          <t>RA45194</t>
        </is>
      </c>
      <c r="B1622" t="inlineStr">
        <is>
          <t>Kookaburra Plan Support</t>
        </is>
      </c>
      <c r="C1622" s="5" t="n">
        <v>46288</v>
      </c>
      <c r="D1622" t="inlineStr">
        <is>
          <t>INV/2026/03163</t>
        </is>
      </c>
      <c r="E1622" s="9" t="n">
        <v>126.99</v>
      </c>
      <c r="F1622" s="9" t="n">
        <v>126.99</v>
      </c>
      <c r="G1622" s="9">
        <f>ROUND(E1622-F1622,2)</f>
        <v>0</v>
      </c>
    </row>
    <row r="1623">
      <c r="A1623" t="inlineStr">
        <is>
          <t>RA45194</t>
        </is>
      </c>
      <c r="B1623" t="inlineStr">
        <is>
          <t>Kookaburra Plan Support</t>
        </is>
      </c>
      <c r="C1623" s="5" t="n">
        <v>46288</v>
      </c>
      <c r="D1623" t="inlineStr">
        <is>
          <t>INV/2026/03181</t>
        </is>
      </c>
      <c r="E1623" s="9" t="n">
        <v>290.98</v>
      </c>
      <c r="F1623" s="9" t="n">
        <v>290.98</v>
      </c>
      <c r="G1623" s="9">
        <f>ROUND(E1623-F1623,2)</f>
        <v>0</v>
      </c>
    </row>
    <row r="1624">
      <c r="A1624" t="inlineStr">
        <is>
          <t>RA45194</t>
        </is>
      </c>
      <c r="B1624" t="inlineStr">
        <is>
          <t>Kookaburra Plan Support</t>
        </is>
      </c>
      <c r="C1624" s="5" t="n">
        <v>46288</v>
      </c>
      <c r="D1624" t="inlineStr">
        <is>
          <t>INV/2026/03182</t>
        </is>
      </c>
      <c r="E1624" s="9" t="n">
        <v>242.49</v>
      </c>
      <c r="F1624" s="9" t="n">
        <v>242.49</v>
      </c>
      <c r="G1624" s="9">
        <f>ROUND(E1624-F1624,2)</f>
        <v>0</v>
      </c>
    </row>
    <row r="1625">
      <c r="A1625" t="inlineStr">
        <is>
          <t>RA45194</t>
        </is>
      </c>
      <c r="B1625" t="inlineStr">
        <is>
          <t>Kookaburra Plan Support</t>
        </is>
      </c>
      <c r="C1625" s="5" t="n">
        <v>46288</v>
      </c>
      <c r="D1625" t="inlineStr">
        <is>
          <t>INV/2026/03203</t>
        </is>
      </c>
      <c r="E1625" s="9" t="n">
        <v>96.98999999999999</v>
      </c>
      <c r="F1625" s="9" t="n">
        <v>96.98999999999999</v>
      </c>
      <c r="G1625" s="9">
        <f>ROUND(E1625-F1625,2)</f>
        <v>0</v>
      </c>
    </row>
    <row r="1626">
      <c r="A1626" t="inlineStr">
        <is>
          <t>RA45194</t>
        </is>
      </c>
      <c r="B1626" t="inlineStr">
        <is>
          <t>Kookaburra Plan Support</t>
        </is>
      </c>
      <c r="C1626" s="5" t="n">
        <v>46288</v>
      </c>
      <c r="D1626" t="inlineStr">
        <is>
          <t>INV/2026/03225</t>
        </is>
      </c>
      <c r="E1626" s="9" t="n">
        <v>300.69</v>
      </c>
      <c r="F1626" s="9" t="n">
        <v>300.69</v>
      </c>
      <c r="G1626" s="9">
        <f>ROUND(E1626-F1626,2)</f>
        <v>0</v>
      </c>
    </row>
    <row r="1627">
      <c r="A1627" t="inlineStr">
        <is>
          <t>RA45194</t>
        </is>
      </c>
      <c r="B1627" t="inlineStr">
        <is>
          <t>Kookaburra Plan Support</t>
        </is>
      </c>
      <c r="C1627" s="5" t="n">
        <v>46288</v>
      </c>
      <c r="D1627" t="inlineStr">
        <is>
          <t>INV/2026/03226</t>
        </is>
      </c>
      <c r="E1627" s="9" t="n">
        <v>290.98</v>
      </c>
      <c r="F1627" s="9" t="n">
        <v>290.98</v>
      </c>
      <c r="G1627" s="9">
        <f>ROUND(E1627-F1627,2)</f>
        <v>0</v>
      </c>
    </row>
    <row r="1628">
      <c r="A1628" t="inlineStr">
        <is>
          <t>RA45195</t>
        </is>
      </c>
      <c r="B1628" t="inlineStr">
        <is>
          <t>Southern Cross Plan Mgmt</t>
        </is>
      </c>
      <c r="C1628" s="5" t="n">
        <v>46288</v>
      </c>
      <c r="D1628" t="inlineStr">
        <is>
          <t>INV/2026/03142</t>
        </is>
      </c>
      <c r="E1628" s="9" t="n">
        <v>155.19</v>
      </c>
      <c r="F1628" s="9" t="n">
        <v>155.19</v>
      </c>
      <c r="G1628" s="9">
        <f>ROUND(E1628-F1628,2)</f>
        <v>0</v>
      </c>
    </row>
    <row r="1629">
      <c r="A1629" t="inlineStr">
        <is>
          <t>RA45195</t>
        </is>
      </c>
      <c r="B1629" t="inlineStr">
        <is>
          <t>Southern Cross Plan Mgmt</t>
        </is>
      </c>
      <c r="C1629" s="5" t="n">
        <v>46288</v>
      </c>
      <c r="D1629" t="inlineStr">
        <is>
          <t>INV/2026/03207</t>
        </is>
      </c>
      <c r="E1629" s="9" t="n">
        <v>96.98999999999999</v>
      </c>
      <c r="F1629" s="9" t="n">
        <v>96.98999999999999</v>
      </c>
      <c r="G1629" s="9">
        <f>ROUND(E1629-F1629,2)</f>
        <v>0</v>
      </c>
    </row>
    <row r="1630">
      <c r="A1630" t="inlineStr">
        <is>
          <t>RA45196</t>
        </is>
      </c>
      <c r="B1630" t="inlineStr">
        <is>
          <t>Tallowwood Plans</t>
        </is>
      </c>
      <c r="C1630" s="5" t="n">
        <v>46288</v>
      </c>
      <c r="D1630" t="inlineStr">
        <is>
          <t>INV/2026/03186</t>
        </is>
      </c>
      <c r="E1630" s="9" t="n">
        <v>242.49</v>
      </c>
      <c r="F1630" s="9" t="n">
        <v>242.49</v>
      </c>
      <c r="G1630" s="9">
        <f>ROUND(E1630-F1630,2)</f>
        <v>0</v>
      </c>
    </row>
    <row r="1631">
      <c r="A1631" t="inlineStr">
        <is>
          <t>RA45196</t>
        </is>
      </c>
      <c r="B1631" t="inlineStr">
        <is>
          <t>Tallowwood Plans</t>
        </is>
      </c>
      <c r="C1631" s="5" t="n">
        <v>46288</v>
      </c>
      <c r="D1631" t="inlineStr">
        <is>
          <t>INV/2026/03230</t>
        </is>
      </c>
      <c r="E1631" s="9" t="n">
        <v>320.98</v>
      </c>
      <c r="F1631" s="9" t="n">
        <v>320.98</v>
      </c>
      <c r="G1631" s="9">
        <f>ROUND(E1631-F1631,2)</f>
        <v>0</v>
      </c>
    </row>
    <row r="1632">
      <c r="A1632" t="inlineStr">
        <is>
          <t>RA45196</t>
        </is>
      </c>
      <c r="B1632" t="inlineStr">
        <is>
          <t>Tallowwood Plans</t>
        </is>
      </c>
      <c r="C1632" s="5" t="n">
        <v>46288</v>
      </c>
      <c r="D1632" t="inlineStr">
        <is>
          <t>INV/2026/03231</t>
        </is>
      </c>
      <c r="E1632" s="9" t="n">
        <v>290.98</v>
      </c>
      <c r="F1632" s="9" t="n">
        <v>290.98</v>
      </c>
      <c r="G1632" s="9">
        <f>ROUND(E1632-F1632,2)</f>
        <v>0</v>
      </c>
    </row>
    <row r="1633">
      <c r="A1633" t="inlineStr">
        <is>
          <t>RA45197</t>
        </is>
      </c>
      <c r="B1633" t="inlineStr">
        <is>
          <t>Mallee Plan Services</t>
        </is>
      </c>
      <c r="C1633" s="5" t="n">
        <v>46288</v>
      </c>
      <c r="D1633" t="inlineStr">
        <is>
          <t>INV/2026/03170</t>
        </is>
      </c>
      <c r="E1633" s="9" t="n">
        <v>193.99</v>
      </c>
      <c r="F1633" s="9" t="n">
        <v>193.99</v>
      </c>
      <c r="G1633" s="9">
        <f>ROUND(E1633-F1633,2)</f>
        <v>0</v>
      </c>
    </row>
    <row r="1634">
      <c r="A1634" t="inlineStr">
        <is>
          <t>RA45197</t>
        </is>
      </c>
      <c r="B1634" t="inlineStr">
        <is>
          <t>Mallee Plan Services</t>
        </is>
      </c>
      <c r="C1634" s="5" t="n">
        <v>46288</v>
      </c>
      <c r="D1634" t="inlineStr">
        <is>
          <t>INV/2026/03214</t>
        </is>
      </c>
      <c r="E1634" s="9" t="n">
        <v>223.99</v>
      </c>
      <c r="F1634" s="9" t="n">
        <v>223.99</v>
      </c>
      <c r="G1634" s="9">
        <f>ROUND(E1634-F1634,2)</f>
        <v>0</v>
      </c>
    </row>
    <row r="1635">
      <c r="A1635" t="inlineStr">
        <is>
          <t>RA45198</t>
        </is>
      </c>
      <c r="B1635" t="inlineStr">
        <is>
          <t>Bluegum Plan Management</t>
        </is>
      </c>
      <c r="C1635" s="5" t="n">
        <v>46289</v>
      </c>
      <c r="D1635" t="inlineStr">
        <is>
          <t>INV/2026/03217</t>
        </is>
      </c>
      <c r="E1635" s="9" t="n">
        <v>387.98</v>
      </c>
      <c r="F1635" s="9" t="n">
        <v>387.98</v>
      </c>
      <c r="G1635" s="9">
        <f>ROUND(E1635-F1635,2)</f>
        <v>0</v>
      </c>
    </row>
    <row r="1636">
      <c r="A1636" t="inlineStr">
        <is>
          <t>RA45198</t>
        </is>
      </c>
      <c r="B1636" t="inlineStr">
        <is>
          <t>Bluegum Plan Management</t>
        </is>
      </c>
      <c r="C1636" s="5" t="n">
        <v>46289</v>
      </c>
      <c r="D1636" t="inlineStr">
        <is>
          <t>INV/2026/03238</t>
        </is>
      </c>
      <c r="E1636" s="9" t="n">
        <v>446.18</v>
      </c>
      <c r="F1636" s="9" t="n">
        <v>446.18</v>
      </c>
      <c r="G1636" s="9">
        <f>ROUND(E1636-F1636,2)</f>
        <v>0</v>
      </c>
    </row>
    <row r="1637">
      <c r="A1637" t="inlineStr">
        <is>
          <t>RA45199</t>
        </is>
      </c>
      <c r="B1637" t="inlineStr">
        <is>
          <t>Clearpath NDIS Plans</t>
        </is>
      </c>
      <c r="C1637" s="5" t="n">
        <v>46289</v>
      </c>
      <c r="D1637" t="inlineStr">
        <is>
          <t>INV/2026/03098</t>
        </is>
      </c>
      <c r="E1637" s="9" t="n">
        <v>290.98</v>
      </c>
      <c r="F1637" s="9" t="n">
        <v>290.98</v>
      </c>
      <c r="G1637" s="9">
        <f>ROUND(E1637-F1637,2)</f>
        <v>0</v>
      </c>
    </row>
    <row r="1638">
      <c r="A1638" t="inlineStr">
        <is>
          <t>RA45199</t>
        </is>
      </c>
      <c r="B1638" t="inlineStr">
        <is>
          <t>Clearpath NDIS Plans</t>
        </is>
      </c>
      <c r="C1638" s="5" t="n">
        <v>46289</v>
      </c>
      <c r="D1638" t="inlineStr">
        <is>
          <t>INV/2026/03099</t>
        </is>
      </c>
      <c r="E1638" s="9" t="n">
        <v>242.49</v>
      </c>
      <c r="F1638" s="9" t="n">
        <v>242.49</v>
      </c>
      <c r="G1638" s="9">
        <f>ROUND(E1638-F1638,2)</f>
        <v>0</v>
      </c>
    </row>
    <row r="1639">
      <c r="A1639" t="inlineStr">
        <is>
          <t>RA45199</t>
        </is>
      </c>
      <c r="B1639" t="inlineStr">
        <is>
          <t>Clearpath NDIS Plans</t>
        </is>
      </c>
      <c r="C1639" s="5" t="n">
        <v>46289</v>
      </c>
      <c r="D1639" t="inlineStr">
        <is>
          <t>INV/2026/03124</t>
        </is>
      </c>
      <c r="E1639" s="9" t="n">
        <v>446.18</v>
      </c>
      <c r="F1639" s="9" t="n">
        <v>446.18</v>
      </c>
      <c r="G1639" s="9">
        <f>ROUND(E1639-F1639,2)</f>
        <v>0</v>
      </c>
    </row>
    <row r="1640">
      <c r="A1640" t="inlineStr">
        <is>
          <t>RA45199</t>
        </is>
      </c>
      <c r="B1640" t="inlineStr">
        <is>
          <t>Clearpath NDIS Plans</t>
        </is>
      </c>
      <c r="C1640" s="5" t="n">
        <v>46289</v>
      </c>
      <c r="D1640" t="inlineStr">
        <is>
          <t>INV/2026/03125</t>
        </is>
      </c>
      <c r="E1640" s="9" t="n">
        <v>417.98</v>
      </c>
      <c r="F1640" s="9" t="n">
        <v>417.98</v>
      </c>
      <c r="G1640" s="9">
        <f>ROUND(E1640-F1640,2)</f>
        <v>0</v>
      </c>
    </row>
    <row r="1641">
      <c r="A1641" t="inlineStr">
        <is>
          <t>RA45200</t>
        </is>
      </c>
      <c r="B1641" t="inlineStr">
        <is>
          <t>Banksia Plan Co</t>
        </is>
      </c>
      <c r="C1641" s="5" t="n">
        <v>46289</v>
      </c>
      <c r="D1641" t="inlineStr">
        <is>
          <t>INV/2026/03157</t>
        </is>
      </c>
      <c r="E1641" s="9" t="n">
        <v>290.98</v>
      </c>
      <c r="F1641" s="9" t="n">
        <v>290.98</v>
      </c>
      <c r="G1641" s="9">
        <f>ROUND(E1641-F1641,2)</f>
        <v>0</v>
      </c>
    </row>
    <row r="1642">
      <c r="A1642" t="inlineStr">
        <is>
          <t>RA45200</t>
        </is>
      </c>
      <c r="B1642" t="inlineStr">
        <is>
          <t>Banksia Plan Co</t>
        </is>
      </c>
      <c r="C1642" s="5" t="n">
        <v>46289</v>
      </c>
      <c r="D1642" t="inlineStr">
        <is>
          <t>INV/2026/03158</t>
        </is>
      </c>
      <c r="E1642" s="9" t="n">
        <v>223.99</v>
      </c>
      <c r="F1642" s="9" t="n">
        <v>223.99</v>
      </c>
      <c r="G1642" s="9">
        <f>ROUND(E1642-F1642,2)</f>
        <v>0</v>
      </c>
    </row>
    <row r="1643">
      <c r="A1643" t="inlineStr">
        <is>
          <t>RA45200</t>
        </is>
      </c>
      <c r="B1643" t="inlineStr">
        <is>
          <t>Banksia Plan Co</t>
        </is>
      </c>
      <c r="C1643" s="5" t="n">
        <v>46289</v>
      </c>
      <c r="D1643" t="inlineStr">
        <is>
          <t>INV/2026/03202</t>
        </is>
      </c>
      <c r="E1643" s="9" t="n">
        <v>193.99</v>
      </c>
      <c r="F1643" s="9" t="n">
        <v>193.99</v>
      </c>
      <c r="G1643" s="9">
        <f>ROUND(E1643-F1643,2)</f>
        <v>0</v>
      </c>
    </row>
    <row r="1644">
      <c r="A1644" t="inlineStr">
        <is>
          <t>RA45200</t>
        </is>
      </c>
      <c r="B1644" t="inlineStr">
        <is>
          <t>Banksia Plan Co</t>
        </is>
      </c>
      <c r="C1644" s="5" t="n">
        <v>46289</v>
      </c>
      <c r="D1644" t="inlineStr">
        <is>
          <t>INV/2026/03222</t>
        </is>
      </c>
      <c r="E1644" s="9" t="n">
        <v>252.19</v>
      </c>
      <c r="F1644" s="9" t="n">
        <v>252.19</v>
      </c>
      <c r="G1644" s="9">
        <f>ROUND(E1644-F1644,2)</f>
        <v>0</v>
      </c>
    </row>
    <row r="1645">
      <c r="A1645" t="inlineStr">
        <is>
          <t>RA45200</t>
        </is>
      </c>
      <c r="B1645" t="inlineStr">
        <is>
          <t>Banksia Plan Co</t>
        </is>
      </c>
      <c r="C1645" s="5" t="n">
        <v>46289</v>
      </c>
      <c r="D1645" t="inlineStr">
        <is>
          <t>INV/2026/03243</t>
        </is>
      </c>
      <c r="E1645" s="9" t="n">
        <v>126.99</v>
      </c>
      <c r="F1645" s="9" t="n">
        <v>126.99</v>
      </c>
      <c r="G1645" s="9">
        <f>ROUND(E1645-F1645,2)</f>
        <v>0</v>
      </c>
    </row>
    <row r="1646">
      <c r="A1646" t="inlineStr">
        <is>
          <t>RA45201</t>
        </is>
      </c>
      <c r="B1646" t="inlineStr">
        <is>
          <t>Redgum Plan Admin</t>
        </is>
      </c>
      <c r="C1646" s="5" t="n">
        <v>46289</v>
      </c>
      <c r="D1646" t="inlineStr">
        <is>
          <t>INV/2026/03168</t>
        </is>
      </c>
      <c r="E1646" s="9" t="n">
        <v>203.69</v>
      </c>
      <c r="F1646" s="9" t="n">
        <v>203.69</v>
      </c>
      <c r="G1646" s="9">
        <f>ROUND(E1646-F1646,2)</f>
        <v>0</v>
      </c>
    </row>
    <row r="1647">
      <c r="A1647" t="inlineStr">
        <is>
          <t>RA45201</t>
        </is>
      </c>
      <c r="B1647" t="inlineStr">
        <is>
          <t>Redgum Plan Admin</t>
        </is>
      </c>
      <c r="C1647" s="5" t="n">
        <v>46289</v>
      </c>
      <c r="D1647" t="inlineStr">
        <is>
          <t>INV/2026/03204</t>
        </is>
      </c>
      <c r="E1647" s="9" t="n">
        <v>145.49</v>
      </c>
      <c r="F1647" s="9" t="n">
        <v>145.49</v>
      </c>
      <c r="G1647" s="9">
        <f>ROUND(E1647-F1647,2)</f>
        <v>0</v>
      </c>
    </row>
    <row r="1648">
      <c r="A1648" t="inlineStr">
        <is>
          <t>RA45202</t>
        </is>
      </c>
      <c r="B1648" t="inlineStr">
        <is>
          <t>Acacia Plan Partners</t>
        </is>
      </c>
      <c r="C1648" s="5" t="n">
        <v>46289</v>
      </c>
      <c r="D1648" t="inlineStr">
        <is>
          <t>INV/2026/03212</t>
        </is>
      </c>
      <c r="E1648" s="9" t="n">
        <v>193.99</v>
      </c>
      <c r="F1648" s="9" t="n">
        <v>193.99</v>
      </c>
      <c r="G1648" s="9">
        <f>ROUND(E1648-F1648,2)</f>
        <v>0</v>
      </c>
    </row>
    <row r="1649">
      <c r="A1649" t="inlineStr">
        <is>
          <t>RA45203</t>
        </is>
      </c>
      <c r="B1649" t="inlineStr">
        <is>
          <t>Clearpath NDIS Plans</t>
        </is>
      </c>
      <c r="C1649" s="5" t="n">
        <v>46290</v>
      </c>
      <c r="D1649" t="inlineStr">
        <is>
          <t>INV/2026/03126</t>
        </is>
      </c>
      <c r="E1649" s="9" t="n">
        <v>387.98</v>
      </c>
      <c r="F1649" s="9" t="n">
        <v>387.98</v>
      </c>
      <c r="G1649" s="9">
        <f>ROUND(E1649-F1649,2)</f>
        <v>0</v>
      </c>
    </row>
    <row r="1650">
      <c r="A1650" t="inlineStr">
        <is>
          <t>RA45203</t>
        </is>
      </c>
      <c r="B1650" t="inlineStr">
        <is>
          <t>Clearpath NDIS Plans</t>
        </is>
      </c>
      <c r="C1650" s="5" t="n">
        <v>46290</v>
      </c>
      <c r="D1650" t="inlineStr">
        <is>
          <t>INV/2026/03154</t>
        </is>
      </c>
      <c r="E1650" s="9" t="n">
        <v>242.49</v>
      </c>
      <c r="F1650" s="9" t="n">
        <v>242.49</v>
      </c>
      <c r="G1650" s="9">
        <f>ROUND(E1650-F1650,2)</f>
        <v>0</v>
      </c>
    </row>
    <row r="1651">
      <c r="A1651" t="inlineStr">
        <is>
          <t>RA45203</t>
        </is>
      </c>
      <c r="B1651" t="inlineStr">
        <is>
          <t>Clearpath NDIS Plans</t>
        </is>
      </c>
      <c r="C1651" s="5" t="n">
        <v>46290</v>
      </c>
      <c r="D1651" t="inlineStr">
        <is>
          <t>INV/2026/03177</t>
        </is>
      </c>
      <c r="E1651" s="9" t="n">
        <v>96.98999999999999</v>
      </c>
      <c r="F1651" s="9" t="n">
        <v>96.98999999999999</v>
      </c>
      <c r="G1651" s="9">
        <f>ROUND(E1651-F1651,2)</f>
        <v>0</v>
      </c>
    </row>
    <row r="1652">
      <c r="A1652" t="inlineStr">
        <is>
          <t>RA45204</t>
        </is>
      </c>
      <c r="B1652" t="inlineStr">
        <is>
          <t>Kookaburra Plan Support</t>
        </is>
      </c>
      <c r="C1652" s="5" t="n">
        <v>46290</v>
      </c>
      <c r="D1652" t="inlineStr">
        <is>
          <t>INV/2026/03180</t>
        </is>
      </c>
      <c r="E1652" s="9" t="n">
        <v>349.18</v>
      </c>
      <c r="F1652" s="9" t="n">
        <v>349.18</v>
      </c>
      <c r="G1652" s="9">
        <f>ROUND(E1652-F1652,2)</f>
        <v>0</v>
      </c>
    </row>
    <row r="1653">
      <c r="A1653" t="inlineStr">
        <is>
          <t>RA45204</t>
        </is>
      </c>
      <c r="B1653" t="inlineStr">
        <is>
          <t>Kookaburra Plan Support</t>
        </is>
      </c>
      <c r="C1653" s="5" t="n">
        <v>46290</v>
      </c>
      <c r="D1653" t="inlineStr">
        <is>
          <t>INV/2026/03245</t>
        </is>
      </c>
      <c r="E1653" s="9" t="n">
        <v>387.98</v>
      </c>
      <c r="F1653" s="9" t="n">
        <v>387.98</v>
      </c>
      <c r="G1653" s="9">
        <f>ROUND(E1653-F1653,2)</f>
        <v>0</v>
      </c>
    </row>
    <row r="1654">
      <c r="A1654" t="inlineStr">
        <is>
          <t>RA45204</t>
        </is>
      </c>
      <c r="B1654" t="inlineStr">
        <is>
          <t>Kookaburra Plan Support</t>
        </is>
      </c>
      <c r="C1654" s="5" t="n">
        <v>46290</v>
      </c>
      <c r="D1654" t="inlineStr">
        <is>
          <t>INV/2026/03265</t>
        </is>
      </c>
      <c r="E1654" s="9" t="n">
        <v>320.98</v>
      </c>
      <c r="F1654" s="9" t="n">
        <v>320.98</v>
      </c>
      <c r="G1654" s="9">
        <f>ROUND(E1654-F1654,2)</f>
        <v>0</v>
      </c>
    </row>
    <row r="1655">
      <c r="A1655" t="inlineStr">
        <is>
          <t>RA45205</t>
        </is>
      </c>
      <c r="B1655" t="inlineStr">
        <is>
          <t>Saltbush Plan Managers</t>
        </is>
      </c>
      <c r="C1655" s="5" t="n">
        <v>46290</v>
      </c>
      <c r="D1655" t="inlineStr">
        <is>
          <t>INV/2026/03137</t>
        </is>
      </c>
      <c r="E1655" s="9" t="n">
        <v>175.49</v>
      </c>
      <c r="F1655" s="9" t="n">
        <v>175.49</v>
      </c>
      <c r="G1655" s="9">
        <f>ROUND(E1655-F1655,2)</f>
        <v>0</v>
      </c>
    </row>
    <row r="1656">
      <c r="A1656" t="inlineStr">
        <is>
          <t>RA45205</t>
        </is>
      </c>
      <c r="B1656" t="inlineStr">
        <is>
          <t>Saltbush Plan Managers</t>
        </is>
      </c>
      <c r="C1656" s="5" t="n">
        <v>46290</v>
      </c>
      <c r="D1656" t="inlineStr">
        <is>
          <t>INV/2026/03164</t>
        </is>
      </c>
      <c r="E1656" s="9" t="n">
        <v>203.69</v>
      </c>
      <c r="F1656" s="9" t="n">
        <v>203.69</v>
      </c>
      <c r="G1656" s="9">
        <f>ROUND(E1656-F1656,2)</f>
        <v>0</v>
      </c>
    </row>
    <row r="1657">
      <c r="A1657" t="inlineStr">
        <is>
          <t>RA45205</t>
        </is>
      </c>
      <c r="B1657" t="inlineStr">
        <is>
          <t>Saltbush Plan Managers</t>
        </is>
      </c>
      <c r="C1657" s="5" t="n">
        <v>46290</v>
      </c>
      <c r="D1657" t="inlineStr">
        <is>
          <t>INV/2026/03165</t>
        </is>
      </c>
      <c r="E1657" s="9" t="n">
        <v>349.18</v>
      </c>
      <c r="F1657" s="9" t="n">
        <v>349.18</v>
      </c>
      <c r="G1657" s="9">
        <f>ROUND(E1657-F1657,2)</f>
        <v>0</v>
      </c>
    </row>
    <row r="1658">
      <c r="A1658" t="inlineStr">
        <is>
          <t>RA45206</t>
        </is>
      </c>
      <c r="B1658" t="inlineStr">
        <is>
          <t>Redgum Plan Admin</t>
        </is>
      </c>
      <c r="C1658" s="5" t="n">
        <v>46290</v>
      </c>
      <c r="D1658" t="inlineStr">
        <is>
          <t>INV/2026/03247</t>
        </is>
      </c>
      <c r="E1658" s="9" t="n">
        <v>387.98</v>
      </c>
      <c r="F1658" s="9" t="n">
        <v>387.98</v>
      </c>
      <c r="G1658" s="9">
        <f>ROUND(E1658-F1658,2)</f>
        <v>0</v>
      </c>
    </row>
    <row r="1659">
      <c r="A1659" t="inlineStr">
        <is>
          <t>RA45207</t>
        </is>
      </c>
      <c r="B1659" t="inlineStr">
        <is>
          <t>Southern Cross Plan Mgmt</t>
        </is>
      </c>
      <c r="C1659" s="5" t="n">
        <v>46290</v>
      </c>
      <c r="D1659" t="inlineStr">
        <is>
          <t>INV/2026/03269</t>
        </is>
      </c>
      <c r="E1659" s="9" t="n">
        <v>193.99</v>
      </c>
      <c r="F1659" s="9" t="n">
        <v>193.99</v>
      </c>
      <c r="G1659" s="9">
        <f>ROUND(E1659-F1659,2)</f>
        <v>0</v>
      </c>
    </row>
    <row r="1660">
      <c r="A1660" t="inlineStr">
        <is>
          <t>RA45207</t>
        </is>
      </c>
      <c r="B1660" t="inlineStr">
        <is>
          <t>Southern Cross Plan Mgmt</t>
        </is>
      </c>
      <c r="C1660" s="5" t="n">
        <v>46290</v>
      </c>
      <c r="D1660" t="inlineStr">
        <is>
          <t>INV/2026/03270</t>
        </is>
      </c>
      <c r="E1660" s="9" t="n">
        <v>242.49</v>
      </c>
      <c r="F1660" s="9" t="n">
        <v>242.49</v>
      </c>
      <c r="G1660" s="9">
        <f>ROUND(E1660-F1660,2)</f>
        <v>0</v>
      </c>
    </row>
    <row r="1661">
      <c r="A1661" t="inlineStr">
        <is>
          <t>RA45208</t>
        </is>
      </c>
      <c r="B1661" t="inlineStr">
        <is>
          <t>Lyrebird Plan Management</t>
        </is>
      </c>
      <c r="C1661" s="5" t="n">
        <v>46290</v>
      </c>
      <c r="D1661" t="inlineStr">
        <is>
          <t>INV/2026/03208</t>
        </is>
      </c>
      <c r="E1661" s="9" t="n">
        <v>252.19</v>
      </c>
      <c r="F1661" s="9" t="n">
        <v>252.19</v>
      </c>
      <c r="G1661" s="9">
        <f>ROUND(E1661-F1661,2)</f>
        <v>0</v>
      </c>
    </row>
    <row r="1662">
      <c r="A1662" t="inlineStr">
        <is>
          <t>RA45208</t>
        </is>
      </c>
      <c r="B1662" t="inlineStr">
        <is>
          <t>Lyrebird Plan Management</t>
        </is>
      </c>
      <c r="C1662" s="5" t="n">
        <v>46290</v>
      </c>
      <c r="D1662" t="inlineStr">
        <is>
          <t>INV/2026/03229</t>
        </is>
      </c>
      <c r="E1662" s="9" t="n">
        <v>320.98</v>
      </c>
      <c r="F1662" s="9" t="n">
        <v>320.98</v>
      </c>
      <c r="G1662" s="9">
        <f>ROUND(E1662-F1662,2)</f>
        <v>0</v>
      </c>
    </row>
    <row r="1663">
      <c r="A1663" t="inlineStr">
        <is>
          <t>RA45208</t>
        </is>
      </c>
      <c r="B1663" t="inlineStr">
        <is>
          <t>Lyrebird Plan Management</t>
        </is>
      </c>
      <c r="C1663" s="5" t="n">
        <v>46290</v>
      </c>
      <c r="D1663" t="inlineStr">
        <is>
          <t>INV/2026/03271</t>
        </is>
      </c>
      <c r="E1663" s="9" t="n">
        <v>290.98</v>
      </c>
      <c r="F1663" s="9" t="n">
        <v>290.98</v>
      </c>
      <c r="G1663" s="9">
        <f>ROUND(E1663-F1663,2)</f>
        <v>0</v>
      </c>
    </row>
    <row r="1664">
      <c r="A1664" t="inlineStr">
        <is>
          <t>RA45209</t>
        </is>
      </c>
      <c r="B1664" t="inlineStr">
        <is>
          <t>Riverbend Plan Partners</t>
        </is>
      </c>
      <c r="C1664" s="5" t="n">
        <v>46293</v>
      </c>
      <c r="D1664" t="inlineStr">
        <is>
          <t>INV/2026/03153</t>
        </is>
      </c>
      <c r="E1664" s="9" t="n">
        <v>242.49</v>
      </c>
      <c r="F1664" s="9" t="n">
        <v>242.49</v>
      </c>
      <c r="G1664" s="9">
        <f>ROUND(E1664-F1664,2)</f>
        <v>0</v>
      </c>
    </row>
    <row r="1665">
      <c r="A1665" t="inlineStr">
        <is>
          <t>RA45209</t>
        </is>
      </c>
      <c r="B1665" t="inlineStr">
        <is>
          <t>Riverbend Plan Partners</t>
        </is>
      </c>
      <c r="C1665" s="5" t="n">
        <v>46293</v>
      </c>
      <c r="D1665" t="inlineStr">
        <is>
          <t>INV/2026/03176</t>
        </is>
      </c>
      <c r="E1665" s="9" t="n">
        <v>193.99</v>
      </c>
      <c r="F1665" s="9" t="n">
        <v>193.99</v>
      </c>
      <c r="G1665" s="9">
        <f>ROUND(E1665-F1665,2)</f>
        <v>0</v>
      </c>
    </row>
    <row r="1666">
      <c r="A1666" t="inlineStr">
        <is>
          <t>RA45209</t>
        </is>
      </c>
      <c r="B1666" t="inlineStr">
        <is>
          <t>Riverbend Plan Partners</t>
        </is>
      </c>
      <c r="C1666" s="5" t="n">
        <v>46293</v>
      </c>
      <c r="D1666" t="inlineStr">
        <is>
          <t>INV/2026/03193</t>
        </is>
      </c>
      <c r="E1666" s="9" t="n">
        <v>223.99</v>
      </c>
      <c r="F1666" s="9" t="n">
        <v>223.99</v>
      </c>
      <c r="G1666" s="9">
        <f>ROUND(E1666-F1666,2)</f>
        <v>0</v>
      </c>
    </row>
    <row r="1667">
      <c r="A1667" t="inlineStr">
        <is>
          <t>RA45209</t>
        </is>
      </c>
      <c r="B1667" t="inlineStr">
        <is>
          <t>Riverbend Plan Partners</t>
        </is>
      </c>
      <c r="C1667" s="5" t="n">
        <v>46293</v>
      </c>
      <c r="D1667" t="inlineStr">
        <is>
          <t>INV/2026/03194</t>
        </is>
      </c>
      <c r="E1667" s="9" t="n">
        <v>145.49</v>
      </c>
      <c r="F1667" s="9" t="n">
        <v>145.49</v>
      </c>
      <c r="G1667" s="9">
        <f>ROUND(E1667-F1667,2)</f>
        <v>0</v>
      </c>
    </row>
    <row r="1668">
      <c r="A1668" t="inlineStr">
        <is>
          <t>RA45209</t>
        </is>
      </c>
      <c r="B1668" t="inlineStr">
        <is>
          <t>Riverbend Plan Partners</t>
        </is>
      </c>
      <c r="C1668" s="5" t="n">
        <v>46293</v>
      </c>
      <c r="D1668" t="inlineStr">
        <is>
          <t>INV/2026/03195</t>
        </is>
      </c>
      <c r="E1668" s="9" t="n">
        <v>145.49</v>
      </c>
      <c r="F1668" s="9" t="n">
        <v>145.49</v>
      </c>
      <c r="G1668" s="9">
        <f>ROUND(E1668-F1668,2)</f>
        <v>0</v>
      </c>
    </row>
    <row r="1669">
      <c r="A1669" t="inlineStr">
        <is>
          <t>RA45209</t>
        </is>
      </c>
      <c r="B1669" t="inlineStr">
        <is>
          <t>Riverbend Plan Partners</t>
        </is>
      </c>
      <c r="C1669" s="5" t="n">
        <v>46293</v>
      </c>
      <c r="D1669" t="inlineStr">
        <is>
          <t>INV/2026/03218</t>
        </is>
      </c>
      <c r="E1669" s="9" t="n">
        <v>96.98999999999999</v>
      </c>
      <c r="F1669" s="9" t="n">
        <v>96.98999999999999</v>
      </c>
      <c r="G1669" s="9">
        <f>ROUND(E1669-F1669,2)</f>
        <v>0</v>
      </c>
    </row>
    <row r="1670">
      <c r="A1670" t="inlineStr">
        <is>
          <t>RA45209</t>
        </is>
      </c>
      <c r="B1670" t="inlineStr">
        <is>
          <t>Riverbend Plan Partners</t>
        </is>
      </c>
      <c r="C1670" s="5" t="n">
        <v>46293</v>
      </c>
      <c r="D1670" t="inlineStr">
        <is>
          <t>INV/2026/03219</t>
        </is>
      </c>
      <c r="E1670" s="9" t="n">
        <v>145.49</v>
      </c>
      <c r="F1670" s="9" t="n">
        <v>145.49</v>
      </c>
      <c r="G1670" s="9">
        <f>ROUND(E1670-F1670,2)</f>
        <v>0</v>
      </c>
    </row>
    <row r="1671">
      <c r="A1671" t="inlineStr">
        <is>
          <t>RA45209</t>
        </is>
      </c>
      <c r="B1671" t="inlineStr">
        <is>
          <t>Riverbend Plan Partners</t>
        </is>
      </c>
      <c r="C1671" s="5" t="n">
        <v>46293</v>
      </c>
      <c r="D1671" t="inlineStr">
        <is>
          <t>INV/2026/03239</t>
        </is>
      </c>
      <c r="E1671" s="9" t="n">
        <v>193.99</v>
      </c>
      <c r="F1671" s="9" t="n">
        <v>193.99</v>
      </c>
      <c r="G1671" s="9">
        <f>ROUND(E1671-F1671,2)</f>
        <v>0</v>
      </c>
    </row>
    <row r="1672">
      <c r="A1672" t="inlineStr">
        <is>
          <t>RA45209</t>
        </is>
      </c>
      <c r="B1672" t="inlineStr">
        <is>
          <t>Riverbend Plan Partners</t>
        </is>
      </c>
      <c r="C1672" s="5" t="n">
        <v>46293</v>
      </c>
      <c r="D1672" t="inlineStr">
        <is>
          <t>INV/2026/03256</t>
        </is>
      </c>
      <c r="E1672" s="9" t="n">
        <v>175.49</v>
      </c>
      <c r="F1672" s="9" t="n">
        <v>175.49</v>
      </c>
      <c r="G1672" s="9">
        <f>ROUND(E1672-F1672,2)</f>
        <v>0</v>
      </c>
    </row>
    <row r="1673">
      <c r="A1673" t="inlineStr">
        <is>
          <t>RA45209</t>
        </is>
      </c>
      <c r="B1673" t="inlineStr">
        <is>
          <t>Riverbend Plan Partners</t>
        </is>
      </c>
      <c r="C1673" s="5" t="n">
        <v>46293</v>
      </c>
      <c r="D1673" t="inlineStr">
        <is>
          <t>INV/2026/03257</t>
        </is>
      </c>
      <c r="E1673" s="9" t="n">
        <v>155.19</v>
      </c>
      <c r="F1673" s="9" t="n">
        <v>155.19</v>
      </c>
      <c r="G1673" s="9">
        <f>ROUND(E1673-F1673,2)</f>
        <v>0</v>
      </c>
    </row>
    <row r="1674">
      <c r="A1674" t="inlineStr">
        <is>
          <t>RA45209</t>
        </is>
      </c>
      <c r="B1674" t="inlineStr">
        <is>
          <t>Riverbend Plan Partners</t>
        </is>
      </c>
      <c r="C1674" s="5" t="n">
        <v>46293</v>
      </c>
      <c r="D1674" t="inlineStr">
        <is>
          <t>INV/2026/03281</t>
        </is>
      </c>
      <c r="E1674" s="9" t="n">
        <v>290.98</v>
      </c>
      <c r="F1674" s="9" t="n">
        <v>290.98</v>
      </c>
      <c r="G1674" s="9">
        <f>ROUND(E1674-F1674,2)</f>
        <v>0</v>
      </c>
    </row>
    <row r="1675">
      <c r="A1675" t="inlineStr">
        <is>
          <t>RA45209</t>
        </is>
      </c>
      <c r="B1675" t="inlineStr">
        <is>
          <t>Riverbend Plan Partners</t>
        </is>
      </c>
      <c r="C1675" s="5" t="n">
        <v>46293</v>
      </c>
      <c r="D1675" t="inlineStr">
        <is>
          <t>INV/2026/03298</t>
        </is>
      </c>
      <c r="E1675" s="9" t="n">
        <v>252.19</v>
      </c>
      <c r="F1675" s="9" t="n">
        <v>252.19</v>
      </c>
      <c r="G1675" s="9">
        <f>ROUND(E1675-F1675,2)</f>
        <v>0</v>
      </c>
    </row>
    <row r="1676">
      <c r="A1676" t="inlineStr">
        <is>
          <t>RA45210</t>
        </is>
      </c>
      <c r="B1676" t="inlineStr">
        <is>
          <t>Banksia Plan Co</t>
        </is>
      </c>
      <c r="C1676" s="5" t="n">
        <v>46293</v>
      </c>
      <c r="D1676" t="inlineStr">
        <is>
          <t>INV/2026/03201</t>
        </is>
      </c>
      <c r="E1676" s="9" t="n">
        <v>242.49</v>
      </c>
      <c r="F1676" s="9" t="n">
        <v>242.49</v>
      </c>
      <c r="G1676" s="9">
        <f>ROUND(E1676-F1676,2)</f>
        <v>0</v>
      </c>
    </row>
    <row r="1677">
      <c r="A1677" t="inlineStr">
        <is>
          <t>RA45210</t>
        </is>
      </c>
      <c r="B1677" t="inlineStr">
        <is>
          <t>Banksia Plan Co</t>
        </is>
      </c>
      <c r="C1677" s="5" t="n">
        <v>46293</v>
      </c>
      <c r="D1677" t="inlineStr">
        <is>
          <t>INV/2026/03242</t>
        </is>
      </c>
      <c r="E1677" s="9" t="n">
        <v>387.98</v>
      </c>
      <c r="F1677" s="9" t="n">
        <v>387.98</v>
      </c>
      <c r="G1677" s="9">
        <f>ROUND(E1677-F1677,2)</f>
        <v>0</v>
      </c>
    </row>
    <row r="1678">
      <c r="A1678" t="inlineStr">
        <is>
          <t>RA45210</t>
        </is>
      </c>
      <c r="B1678" t="inlineStr">
        <is>
          <t>Banksia Plan Co</t>
        </is>
      </c>
      <c r="C1678" s="5" t="n">
        <v>46293</v>
      </c>
      <c r="D1678" t="inlineStr">
        <is>
          <t>INV/2026/03261</t>
        </is>
      </c>
      <c r="E1678" s="9" t="n">
        <v>96.98999999999999</v>
      </c>
      <c r="F1678" s="9" t="n">
        <v>96.98999999999999</v>
      </c>
      <c r="G1678" s="9">
        <f>ROUND(E1678-F1678,2)</f>
        <v>0</v>
      </c>
    </row>
    <row r="1679">
      <c r="A1679" t="inlineStr">
        <is>
          <t>RA45210</t>
        </is>
      </c>
      <c r="B1679" t="inlineStr">
        <is>
          <t>Banksia Plan Co</t>
        </is>
      </c>
      <c r="C1679" s="5" t="n">
        <v>46293</v>
      </c>
      <c r="D1679" t="inlineStr">
        <is>
          <t>INV/2026/03262</t>
        </is>
      </c>
      <c r="E1679" s="9" t="n">
        <v>145.49</v>
      </c>
      <c r="F1679" s="9" t="n">
        <v>145.49</v>
      </c>
      <c r="G1679" s="9">
        <f>ROUND(E1679-F1679,2)</f>
        <v>0</v>
      </c>
    </row>
    <row r="1680">
      <c r="A1680" t="inlineStr">
        <is>
          <t>RA45210</t>
        </is>
      </c>
      <c r="B1680" t="inlineStr">
        <is>
          <t>Banksia Plan Co</t>
        </is>
      </c>
      <c r="C1680" s="5" t="n">
        <v>46293</v>
      </c>
      <c r="D1680" t="inlineStr">
        <is>
          <t>INV/2026/03263</t>
        </is>
      </c>
      <c r="E1680" s="9" t="n">
        <v>203.69</v>
      </c>
      <c r="F1680" s="9" t="n">
        <v>203.69</v>
      </c>
      <c r="G1680" s="9">
        <f>ROUND(E1680-F1680,2)</f>
        <v>0</v>
      </c>
    </row>
    <row r="1681">
      <c r="A1681" t="inlineStr">
        <is>
          <t>RA45210</t>
        </is>
      </c>
      <c r="B1681" t="inlineStr">
        <is>
          <t>Banksia Plan Co</t>
        </is>
      </c>
      <c r="C1681" s="5" t="n">
        <v>46293</v>
      </c>
      <c r="D1681" t="inlineStr">
        <is>
          <t>INV/2026/03284</t>
        </is>
      </c>
      <c r="E1681" s="9" t="n">
        <v>446.18</v>
      </c>
      <c r="F1681" s="9" t="n">
        <v>446.18</v>
      </c>
      <c r="G1681" s="9">
        <f>ROUND(E1681-F1681,2)</f>
        <v>0</v>
      </c>
    </row>
    <row r="1682">
      <c r="A1682" t="inlineStr">
        <is>
          <t>RA45210</t>
        </is>
      </c>
      <c r="B1682" t="inlineStr">
        <is>
          <t>Banksia Plan Co</t>
        </is>
      </c>
      <c r="C1682" s="5" t="n">
        <v>46293</v>
      </c>
      <c r="D1682" t="inlineStr">
        <is>
          <t>INV/2026/03303</t>
        </is>
      </c>
      <c r="E1682" s="9" t="n">
        <v>272.49</v>
      </c>
      <c r="F1682" s="9" t="n">
        <v>272.49</v>
      </c>
      <c r="G1682" s="9">
        <f>ROUND(E1682-F1682,2)</f>
        <v>0</v>
      </c>
    </row>
    <row r="1683">
      <c r="A1683" t="inlineStr">
        <is>
          <t>RA45210</t>
        </is>
      </c>
      <c r="B1683" t="inlineStr">
        <is>
          <t>Banksia Plan Co</t>
        </is>
      </c>
      <c r="C1683" s="5" t="n">
        <v>46293</v>
      </c>
      <c r="D1683" t="inlineStr">
        <is>
          <t>INV/2026/03304</t>
        </is>
      </c>
      <c r="E1683" s="9" t="n">
        <v>242.49</v>
      </c>
      <c r="F1683" s="9" t="n">
        <v>242.49</v>
      </c>
      <c r="G1683" s="9">
        <f>ROUND(E1683-F1683,2)</f>
        <v>0</v>
      </c>
    </row>
    <row r="1684">
      <c r="A1684" t="inlineStr">
        <is>
          <t>RA45211</t>
        </is>
      </c>
      <c r="B1684" t="inlineStr">
        <is>
          <t>Kookaburra Plan Support</t>
        </is>
      </c>
      <c r="C1684" s="5" t="n">
        <v>46293</v>
      </c>
      <c r="D1684" t="inlineStr">
        <is>
          <t>INV/2026/03287</t>
        </is>
      </c>
      <c r="E1684" s="9" t="n">
        <v>242.49</v>
      </c>
      <c r="F1684" s="9" t="n">
        <v>242.49</v>
      </c>
      <c r="G1684" s="9">
        <f>ROUND(E1684-F1684,2)</f>
        <v>0</v>
      </c>
    </row>
    <row r="1685">
      <c r="A1685" t="inlineStr">
        <is>
          <t>RA45211</t>
        </is>
      </c>
      <c r="B1685" t="inlineStr">
        <is>
          <t>Kookaburra Plan Support</t>
        </is>
      </c>
      <c r="C1685" s="5" t="n">
        <v>46293</v>
      </c>
      <c r="D1685" t="inlineStr">
        <is>
          <t>INV/2026/03288</t>
        </is>
      </c>
      <c r="E1685" s="9" t="n">
        <v>387.98</v>
      </c>
      <c r="F1685" s="9" t="n">
        <v>387.98</v>
      </c>
      <c r="G1685" s="9">
        <f>ROUND(E1685-F1685,2)</f>
        <v>0</v>
      </c>
    </row>
    <row r="1686">
      <c r="A1686" t="inlineStr">
        <is>
          <t>RA45211</t>
        </is>
      </c>
      <c r="B1686" t="inlineStr">
        <is>
          <t>Kookaburra Plan Support</t>
        </is>
      </c>
      <c r="C1686" s="5" t="n">
        <v>46293</v>
      </c>
      <c r="D1686" t="inlineStr">
        <is>
          <t>INV/2026/03327</t>
        </is>
      </c>
      <c r="E1686" s="9" t="n">
        <v>242.49</v>
      </c>
      <c r="F1686" s="9" t="n">
        <v>242.49</v>
      </c>
      <c r="G1686" s="9">
        <f>ROUND(E1686-F1686,2)</f>
        <v>0</v>
      </c>
    </row>
    <row r="1687">
      <c r="A1687" t="inlineStr">
        <is>
          <t>RA45212</t>
        </is>
      </c>
      <c r="B1687" t="inlineStr">
        <is>
          <t>Redgum Plan Admin</t>
        </is>
      </c>
      <c r="C1687" s="5" t="n">
        <v>46293</v>
      </c>
      <c r="D1687" t="inlineStr">
        <is>
          <t>INV/2026/03268</t>
        </is>
      </c>
      <c r="E1687" s="9" t="n">
        <v>300.69</v>
      </c>
      <c r="F1687" s="9" t="n">
        <v>300.69</v>
      </c>
      <c r="G1687" s="9">
        <f>ROUND(E1687-F1687,2)</f>
        <v>0</v>
      </c>
    </row>
    <row r="1688">
      <c r="A1688" t="inlineStr">
        <is>
          <t>RA45212</t>
        </is>
      </c>
      <c r="B1688" t="inlineStr">
        <is>
          <t>Redgum Plan Admin</t>
        </is>
      </c>
      <c r="C1688" s="5" t="n">
        <v>46293</v>
      </c>
      <c r="D1688" t="inlineStr">
        <is>
          <t>INV/2026/03308</t>
        </is>
      </c>
      <c r="E1688" s="9" t="n">
        <v>242.49</v>
      </c>
      <c r="F1688" s="9" t="n">
        <v>242.49</v>
      </c>
      <c r="G1688" s="9">
        <f>ROUND(E1688-F1688,2)</f>
        <v>0</v>
      </c>
    </row>
    <row r="1689">
      <c r="A1689" t="inlineStr">
        <is>
          <t>RA45213</t>
        </is>
      </c>
      <c r="B1689" t="inlineStr">
        <is>
          <t>Southern Cross Plan Mgmt</t>
        </is>
      </c>
      <c r="C1689" s="5" t="n">
        <v>46293</v>
      </c>
      <c r="D1689" t="inlineStr">
        <is>
          <t>INV/2026/03332</t>
        </is>
      </c>
      <c r="E1689" s="9" t="n">
        <v>145.49</v>
      </c>
      <c r="F1689" s="9" t="n">
        <v>145.49</v>
      </c>
      <c r="G1689" s="9">
        <f>ROUND(E1689-F1689,2)</f>
        <v>0</v>
      </c>
    </row>
    <row r="1690">
      <c r="A1690" t="inlineStr">
        <is>
          <t>RA45213</t>
        </is>
      </c>
      <c r="B1690" t="inlineStr">
        <is>
          <t>Southern Cross Plan Mgmt</t>
        </is>
      </c>
      <c r="C1690" s="5" t="n">
        <v>46293</v>
      </c>
      <c r="D1690" t="inlineStr">
        <is>
          <t>INV/2026/03334</t>
        </is>
      </c>
      <c r="E1690" s="9" t="n">
        <v>193.99</v>
      </c>
      <c r="F1690" s="9" t="n">
        <v>193.99</v>
      </c>
      <c r="G1690" s="9">
        <f>ROUND(E1690-F1690,2)</f>
        <v>0</v>
      </c>
    </row>
    <row r="1691">
      <c r="A1691" t="inlineStr">
        <is>
          <t>RA45214</t>
        </is>
      </c>
      <c r="B1691" t="inlineStr">
        <is>
          <t>Tallowwood Plans</t>
        </is>
      </c>
      <c r="C1691" s="5" t="n">
        <v>46293</v>
      </c>
      <c r="D1691" t="inlineStr">
        <is>
          <t>INV/2026/03249</t>
        </is>
      </c>
      <c r="E1691" s="9" t="n">
        <v>145.49</v>
      </c>
      <c r="F1691" s="9" t="n">
        <v>145.49</v>
      </c>
      <c r="G1691" s="9">
        <f>ROUND(E1691-F1691,2)</f>
        <v>0</v>
      </c>
    </row>
    <row r="1692">
      <c r="A1692" t="inlineStr">
        <is>
          <t>RA45214</t>
        </is>
      </c>
      <c r="B1692" t="inlineStr">
        <is>
          <t>Tallowwood Plans</t>
        </is>
      </c>
      <c r="C1692" s="5" t="n">
        <v>46293</v>
      </c>
      <c r="D1692" t="inlineStr">
        <is>
          <t>INV/2026/03272</t>
        </is>
      </c>
      <c r="E1692" s="9" t="n">
        <v>290.98</v>
      </c>
      <c r="F1692" s="9" t="n">
        <v>290.98</v>
      </c>
      <c r="G1692" s="9">
        <f>ROUND(E1692-F1692,2)</f>
        <v>0</v>
      </c>
    </row>
    <row r="1693">
      <c r="A1693" t="inlineStr">
        <is>
          <t>RA45214</t>
        </is>
      </c>
      <c r="B1693" t="inlineStr">
        <is>
          <t>Tallowwood Plans</t>
        </is>
      </c>
      <c r="C1693" s="5" t="n">
        <v>46293</v>
      </c>
      <c r="D1693" t="inlineStr">
        <is>
          <t>INV/2026/03292</t>
        </is>
      </c>
      <c r="E1693" s="9" t="n">
        <v>203.69</v>
      </c>
      <c r="F1693" s="9" t="n">
        <v>203.69</v>
      </c>
      <c r="G1693" s="9">
        <f>ROUND(E1693-F1693,2)</f>
        <v>0</v>
      </c>
    </row>
    <row r="1694">
      <c r="A1694" t="inlineStr">
        <is>
          <t>RA45215</t>
        </is>
      </c>
      <c r="B1694" t="inlineStr">
        <is>
          <t>Acacia Plan Partners</t>
        </is>
      </c>
      <c r="C1694" s="5" t="n">
        <v>46293</v>
      </c>
      <c r="D1694" t="inlineStr">
        <is>
          <t>INV/2026/03250</t>
        </is>
      </c>
      <c r="E1694" s="9" t="n">
        <v>290.98</v>
      </c>
      <c r="F1694" s="9" t="n">
        <v>290.98</v>
      </c>
      <c r="G1694" s="9">
        <f>ROUND(E1694-F1694,2)</f>
        <v>0</v>
      </c>
    </row>
    <row r="1695">
      <c r="A1695" t="inlineStr">
        <is>
          <t>RA45215</t>
        </is>
      </c>
      <c r="B1695" t="inlineStr">
        <is>
          <t>Acacia Plan Partners</t>
        </is>
      </c>
      <c r="C1695" s="5" t="n">
        <v>46293</v>
      </c>
      <c r="D1695" t="inlineStr">
        <is>
          <t>INV/2026/03273</t>
        </is>
      </c>
      <c r="E1695" s="9" t="n">
        <v>349.18</v>
      </c>
      <c r="F1695" s="9" t="n">
        <v>349.18</v>
      </c>
      <c r="G1695" s="9">
        <f>ROUND(E1695-F1695,2)</f>
        <v>0</v>
      </c>
    </row>
    <row r="1696">
      <c r="A1696" t="inlineStr">
        <is>
          <t>RA45215</t>
        </is>
      </c>
      <c r="B1696" t="inlineStr">
        <is>
          <t>Acacia Plan Partners</t>
        </is>
      </c>
      <c r="C1696" s="5" t="n">
        <v>46293</v>
      </c>
      <c r="D1696" t="inlineStr">
        <is>
          <t>INV/2026/03275</t>
        </is>
      </c>
      <c r="E1696" s="9" t="n">
        <v>387.98</v>
      </c>
      <c r="F1696" s="9" t="n">
        <v>387.98</v>
      </c>
      <c r="G1696" s="9">
        <f>ROUND(E1696-F1696,2)</f>
        <v>0</v>
      </c>
    </row>
    <row r="1697">
      <c r="A1697" t="inlineStr">
        <is>
          <t>RA45215</t>
        </is>
      </c>
      <c r="B1697" t="inlineStr">
        <is>
          <t>Acacia Plan Partners</t>
        </is>
      </c>
      <c r="C1697" s="5" t="n">
        <v>46293</v>
      </c>
      <c r="D1697" t="inlineStr">
        <is>
          <t>INV/2026/03293</t>
        </is>
      </c>
      <c r="E1697" s="9" t="n">
        <v>96.98999999999999</v>
      </c>
      <c r="F1697" s="9" t="n">
        <v>96.98999999999999</v>
      </c>
      <c r="G1697" s="9">
        <f>ROUND(E1697-F1697,2)</f>
        <v>0</v>
      </c>
    </row>
    <row r="1698">
      <c r="A1698" t="inlineStr">
        <is>
          <t>RA45216</t>
        </is>
      </c>
      <c r="B1698" t="inlineStr">
        <is>
          <t>Riverbend Plan Partners</t>
        </is>
      </c>
      <c r="C1698" s="5" t="n">
        <v>46294</v>
      </c>
      <c r="D1698" t="inlineStr">
        <is>
          <t>INV/2026/03240</t>
        </is>
      </c>
      <c r="E1698" s="9" t="n">
        <v>290.98</v>
      </c>
      <c r="F1698" s="9" t="n">
        <v>290.98</v>
      </c>
      <c r="G1698" s="9">
        <f>ROUND(E1698-F1698,2)</f>
        <v>0</v>
      </c>
    </row>
    <row r="1699">
      <c r="A1699" t="inlineStr">
        <is>
          <t>RA45216</t>
        </is>
      </c>
      <c r="B1699" t="inlineStr">
        <is>
          <t>Riverbend Plan Partners</t>
        </is>
      </c>
      <c r="C1699" s="5" t="n">
        <v>46294</v>
      </c>
      <c r="D1699" t="inlineStr">
        <is>
          <t>INV/2026/03297</t>
        </is>
      </c>
      <c r="E1699" s="9" t="n">
        <v>290.98</v>
      </c>
      <c r="F1699" s="9" t="n">
        <v>290.98</v>
      </c>
      <c r="G1699" s="9">
        <f>ROUND(E1699-F1699,2)</f>
        <v>0</v>
      </c>
    </row>
    <row r="1700">
      <c r="A1700" t="inlineStr">
        <is>
          <t>RA45216</t>
        </is>
      </c>
      <c r="B1700" t="inlineStr">
        <is>
          <t>Riverbend Plan Partners</t>
        </is>
      </c>
      <c r="C1700" s="5" t="n">
        <v>46294</v>
      </c>
      <c r="D1700" t="inlineStr">
        <is>
          <t>INV/2026/03320</t>
        </is>
      </c>
      <c r="E1700" s="9" t="n">
        <v>223.99</v>
      </c>
      <c r="F1700" s="9" t="n">
        <v>223.99</v>
      </c>
      <c r="G1700" s="9">
        <f>ROUND(E1700-F1700,2)</f>
        <v>0</v>
      </c>
    </row>
    <row r="1701">
      <c r="A1701" t="inlineStr">
        <is>
          <t>RA45217</t>
        </is>
      </c>
      <c r="B1701" t="inlineStr">
        <is>
          <t>Wattle Plan Services</t>
        </is>
      </c>
      <c r="C1701" s="5" t="n">
        <v>46294</v>
      </c>
      <c r="D1701" t="inlineStr">
        <is>
          <t>INV/2026/03258</t>
        </is>
      </c>
      <c r="E1701" s="9" t="n">
        <v>387.98</v>
      </c>
      <c r="F1701" s="9" t="n">
        <v>387.98</v>
      </c>
      <c r="G1701" s="9">
        <f>ROUND(E1701-F1701,2)</f>
        <v>0</v>
      </c>
    </row>
    <row r="1702">
      <c r="A1702" t="inlineStr">
        <is>
          <t>RA45217</t>
        </is>
      </c>
      <c r="B1702" t="inlineStr">
        <is>
          <t>Wattle Plan Services</t>
        </is>
      </c>
      <c r="C1702" s="5" t="n">
        <v>46294</v>
      </c>
      <c r="D1702" t="inlineStr">
        <is>
          <t>INV/2026/03259</t>
        </is>
      </c>
      <c r="E1702" s="9" t="n">
        <v>203.69</v>
      </c>
      <c r="F1702" s="9" t="n">
        <v>203.69</v>
      </c>
      <c r="G1702" s="9">
        <f>ROUND(E1702-F1702,2)</f>
        <v>0</v>
      </c>
    </row>
    <row r="1703">
      <c r="A1703" t="inlineStr">
        <is>
          <t>RA45217</t>
        </is>
      </c>
      <c r="B1703" t="inlineStr">
        <is>
          <t>Wattle Plan Services</t>
        </is>
      </c>
      <c r="C1703" s="5" t="n">
        <v>46294</v>
      </c>
      <c r="D1703" t="inlineStr">
        <is>
          <t>INV/2026/03260</t>
        </is>
      </c>
      <c r="E1703" s="9" t="n">
        <v>155.19</v>
      </c>
      <c r="F1703" s="9" t="n">
        <v>155.19</v>
      </c>
      <c r="G1703" s="9">
        <f>ROUND(E1703-F1703,2)</f>
        <v>0</v>
      </c>
    </row>
    <row r="1704">
      <c r="A1704" t="inlineStr">
        <is>
          <t>RA45217</t>
        </is>
      </c>
      <c r="B1704" t="inlineStr">
        <is>
          <t>Wattle Plan Services</t>
        </is>
      </c>
      <c r="C1704" s="5" t="n">
        <v>46294</v>
      </c>
      <c r="D1704" t="inlineStr">
        <is>
          <t>INV/2026/03283</t>
        </is>
      </c>
      <c r="E1704" s="9" t="n">
        <v>96.98999999999999</v>
      </c>
      <c r="F1704" s="9" t="n">
        <v>96.98999999999999</v>
      </c>
      <c r="G1704" s="9">
        <f>ROUND(E1704-F1704,2)</f>
        <v>0</v>
      </c>
    </row>
    <row r="1705">
      <c r="A1705" t="inlineStr">
        <is>
          <t>RA45217</t>
        </is>
      </c>
      <c r="B1705" t="inlineStr">
        <is>
          <t>Wattle Plan Services</t>
        </is>
      </c>
      <c r="C1705" s="5" t="n">
        <v>46294</v>
      </c>
      <c r="D1705" t="inlineStr">
        <is>
          <t>INV/2026/03302</t>
        </is>
      </c>
      <c r="E1705" s="9" t="n">
        <v>145.49</v>
      </c>
      <c r="F1705" s="9" t="n">
        <v>145.49</v>
      </c>
      <c r="G1705" s="9">
        <f>ROUND(E1705-F1705,2)</f>
        <v>0</v>
      </c>
    </row>
    <row r="1706">
      <c r="A1706" t="inlineStr">
        <is>
          <t>RA45218</t>
        </is>
      </c>
      <c r="B1706" t="inlineStr">
        <is>
          <t>Lyrebird Plan Management</t>
        </is>
      </c>
      <c r="C1706" s="5" t="n">
        <v>46294</v>
      </c>
      <c r="D1706" t="inlineStr">
        <is>
          <t>INV/2026/03248</t>
        </is>
      </c>
      <c r="E1706" s="9" t="n">
        <v>193.99</v>
      </c>
      <c r="F1706" s="9" t="n">
        <v>193.99</v>
      </c>
      <c r="G1706" s="9">
        <f>ROUND(E1706-F1706,2)</f>
        <v>0</v>
      </c>
    </row>
    <row r="1707">
      <c r="A1707" t="inlineStr">
        <is>
          <t>RA45219</t>
        </is>
      </c>
      <c r="B1707" t="inlineStr">
        <is>
          <t>Tallowwood Plans</t>
        </is>
      </c>
      <c r="C1707" s="5" t="n">
        <v>46294</v>
      </c>
      <c r="D1707" t="inlineStr">
        <is>
          <t>INV/2026/03291</t>
        </is>
      </c>
      <c r="E1707" s="9" t="n">
        <v>96.98999999999999</v>
      </c>
      <c r="F1707" s="9" t="n">
        <v>96.98999999999999</v>
      </c>
      <c r="G1707" s="9">
        <f>ROUND(E1707-F1707,2)</f>
        <v>0</v>
      </c>
    </row>
    <row r="1708">
      <c r="A1708" t="inlineStr">
        <is>
          <t>RA45219</t>
        </is>
      </c>
      <c r="B1708" t="inlineStr">
        <is>
          <t>Tallowwood Plans</t>
        </is>
      </c>
      <c r="C1708" s="5" t="n">
        <v>46294</v>
      </c>
      <c r="D1708" t="inlineStr">
        <is>
          <t>INV/2026/03311</t>
        </is>
      </c>
      <c r="E1708" s="9" t="n">
        <v>290.98</v>
      </c>
      <c r="F1708" s="9" t="n">
        <v>290.98</v>
      </c>
      <c r="G1708" s="9">
        <f>ROUND(E1708-F1708,2)</f>
        <v>0</v>
      </c>
    </row>
    <row r="1709">
      <c r="A1709" t="inlineStr">
        <is>
          <t>RA45219</t>
        </is>
      </c>
      <c r="B1709" t="inlineStr">
        <is>
          <t>Tallowwood Plans</t>
        </is>
      </c>
      <c r="C1709" s="5" t="n">
        <v>46294</v>
      </c>
      <c r="D1709" t="inlineStr">
        <is>
          <t>INV/2026/03335</t>
        </is>
      </c>
      <c r="E1709" s="9" t="n">
        <v>242.49</v>
      </c>
      <c r="F1709" s="9" t="n">
        <v>242.49</v>
      </c>
      <c r="G1709" s="9">
        <f>ROUND(E1709-F1709,2)</f>
        <v>0</v>
      </c>
    </row>
    <row r="1710">
      <c r="A1710" t="inlineStr">
        <is>
          <t>RA45220</t>
        </is>
      </c>
      <c r="B1710" t="inlineStr">
        <is>
          <t>Bluegum Plan Management</t>
        </is>
      </c>
      <c r="C1710" s="5" t="n">
        <v>46295</v>
      </c>
      <c r="D1710" t="inlineStr">
        <is>
          <t>INV/2026/03236</t>
        </is>
      </c>
      <c r="E1710" s="9" t="n">
        <v>223.99</v>
      </c>
      <c r="F1710" s="9" t="n">
        <v>223.99</v>
      </c>
      <c r="G1710" s="9">
        <f>ROUND(E1710-F1710,2)</f>
        <v>0</v>
      </c>
    </row>
    <row r="1711">
      <c r="A1711" t="inlineStr">
        <is>
          <t>RA45220</t>
        </is>
      </c>
      <c r="B1711" t="inlineStr">
        <is>
          <t>Bluegum Plan Management</t>
        </is>
      </c>
      <c r="C1711" s="5" t="n">
        <v>46295</v>
      </c>
      <c r="D1711" t="inlineStr">
        <is>
          <t>INV/2026/03237</t>
        </is>
      </c>
      <c r="E1711" s="9" t="n">
        <v>290.98</v>
      </c>
      <c r="F1711" s="9" t="n">
        <v>290.98</v>
      </c>
      <c r="G1711" s="9">
        <f>ROUND(E1711-F1711,2)</f>
        <v>0</v>
      </c>
    </row>
    <row r="1712">
      <c r="A1712" t="inlineStr">
        <is>
          <t>RA45220</t>
        </is>
      </c>
      <c r="B1712" t="inlineStr">
        <is>
          <t>Bluegum Plan Management</t>
        </is>
      </c>
      <c r="C1712" s="5" t="n">
        <v>46295</v>
      </c>
      <c r="D1712" t="inlineStr">
        <is>
          <t>INV/2026/03254</t>
        </is>
      </c>
      <c r="E1712" s="9" t="n">
        <v>145.49</v>
      </c>
      <c r="F1712" s="9" t="n">
        <v>145.49</v>
      </c>
      <c r="G1712" s="9">
        <f>ROUND(E1712-F1712,2)</f>
        <v>0</v>
      </c>
    </row>
    <row r="1713">
      <c r="A1713" t="inlineStr">
        <is>
          <t>RA45221</t>
        </is>
      </c>
      <c r="B1713" t="inlineStr">
        <is>
          <t>Southern Cross Plan Mgmt</t>
        </is>
      </c>
      <c r="C1713" s="5" t="n">
        <v>46295</v>
      </c>
      <c r="D1713" t="inlineStr">
        <is>
          <t>INV/2026/03333</t>
        </is>
      </c>
      <c r="E1713" s="9" t="n">
        <v>242.49</v>
      </c>
      <c r="F1713" s="9" t="n">
        <v>242.49</v>
      </c>
      <c r="G1713" s="9">
        <f>ROUND(E1713-F1713,2)</f>
        <v>0</v>
      </c>
    </row>
    <row r="1714">
      <c r="A1714" t="inlineStr">
        <is>
          <t>RA45222</t>
        </is>
      </c>
      <c r="B1714" t="inlineStr">
        <is>
          <t>Acacia Plan Partners</t>
        </is>
      </c>
      <c r="C1714" s="5" t="n">
        <v>46295</v>
      </c>
      <c r="D1714" t="inlineStr">
        <is>
          <t>INV/2026/03274</t>
        </is>
      </c>
      <c r="E1714" s="9" t="n">
        <v>300.69</v>
      </c>
      <c r="F1714" s="9" t="n">
        <v>300.69</v>
      </c>
      <c r="G1714" s="9">
        <f>ROUND(E1714-F1714,2)</f>
        <v>0</v>
      </c>
    </row>
    <row r="1715">
      <c r="A1715" t="inlineStr">
        <is>
          <t>RA45222</t>
        </is>
      </c>
      <c r="B1715" t="inlineStr">
        <is>
          <t>Acacia Plan Partners</t>
        </is>
      </c>
      <c r="C1715" s="5" t="n">
        <v>46295</v>
      </c>
      <c r="D1715" t="inlineStr">
        <is>
          <t>INV/2026/03337</t>
        </is>
      </c>
      <c r="E1715" s="9" t="n">
        <v>96.98999999999999</v>
      </c>
      <c r="F1715" s="9" t="n">
        <v>96.98999999999999</v>
      </c>
      <c r="G1715" s="9">
        <f>ROUND(E1715-F1715,2)</f>
        <v>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2" customWidth="1" min="3" max="3"/>
    <col width="14" customWidth="1" min="4" max="4"/>
    <col width="15" customWidth="1" min="5" max="5"/>
    <col width="15" customWidth="1" min="6" max="6"/>
    <col width="15" customWidth="1" min="7" max="7"/>
    <col width="15" customWidth="1" min="8" max="8"/>
    <col width="30" customWidth="1" min="9" max="9"/>
  </cols>
  <sheetData>
    <row r="1">
      <c r="A1" s="7" t="inlineStr">
        <is>
          <t>AUD to USD conversions and USD balances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Sample build: realistic data, built to show how I'd handle this work. Not client data.</t>
        </is>
      </c>
    </row>
    <row r="4">
      <c r="A4" s="8" t="inlineStr">
        <is>
          <t>Reference</t>
        </is>
      </c>
      <c r="B4" s="8" t="inlineStr">
        <is>
          <t>Date</t>
        </is>
      </c>
      <c r="C4" s="8" t="inlineStr">
        <is>
          <t>USD</t>
        </is>
      </c>
      <c r="D4" s="8" t="inlineStr">
        <is>
          <t>Odoo rate (USD per AUD)</t>
        </is>
      </c>
      <c r="E4" s="8" t="inlineStr">
        <is>
          <t>Odoo AUD (USD / rate)</t>
        </is>
      </c>
      <c r="F4" s="8" t="inlineStr">
        <is>
          <t>Odoo AUD (booked)</t>
        </is>
      </c>
      <c r="G4" s="8" t="inlineStr">
        <is>
          <t>Bank AUD</t>
        </is>
      </c>
      <c r="H4" s="8" t="inlineStr">
        <is>
          <t>Difference (bank - Odoo)</t>
        </is>
      </c>
      <c r="I4" s="8" t="inlineStr">
        <is>
          <t>Status</t>
        </is>
      </c>
    </row>
    <row r="5">
      <c r="A5" t="inlineStr">
        <is>
          <t>FX0710</t>
        </is>
      </c>
      <c r="B5" s="5" t="n">
        <v>46213</v>
      </c>
      <c r="C5" s="9" t="n">
        <v>9000</v>
      </c>
      <c r="D5" t="n">
        <v>0.6584</v>
      </c>
      <c r="E5" s="9">
        <f>ROUND(C5/D5,2)</f>
        <v>13669.5</v>
      </c>
      <c r="F5" s="9">
        <f>-SUMIFS('Odoo Items'!$G$5:$G$4331,'Odoo Items'!$E$5:$E$4331,A5,'Odoo Items'!$B$5:$B$4331,"OPS")</f>
        <v>13669.5</v>
      </c>
      <c r="G5" s="9">
        <f>-SUMIFS('Bank Lines'!$E$5:$E$1640,'Bank Lines'!$D$5:$D$1640,"*"&amp;A5,'Bank Lines'!$B$5:$B$1640,"OPS",'Bank Lines'!$J$5:$J$1640,1)</f>
        <v>13684.05</v>
      </c>
      <c r="H5" s="9">
        <f>ROUND(F5-G5,2)</f>
        <v>-14.55</v>
      </c>
      <c r="I5" t="str">
        <f>IF(ROUND(E5-F5,2)&lt;&gt;0,"Odoo booking differs from rate",IF(H5=0,"No difference","Post FX difference"))</f>
        <v>Post FX difference</v>
      </c>
    </row>
    <row r="6">
      <c r="A6" t="inlineStr">
        <is>
          <t>FX0810</t>
        </is>
      </c>
      <c r="B6" s="5" t="n">
        <v>46244</v>
      </c>
      <c r="C6" s="9" t="n">
        <v>9000</v>
      </c>
      <c r="D6" t="n">
        <v>0.6531</v>
      </c>
      <c r="E6" s="9">
        <f>ROUND(C6/D6,2)</f>
        <v>13780.43</v>
      </c>
      <c r="F6" s="9">
        <f>-SUMIFS('Odoo Items'!$G$5:$G$4331,'Odoo Items'!$E$5:$E$4331,A6,'Odoo Items'!$B$5:$B$4331,"OPS")</f>
        <v>13780.43</v>
      </c>
      <c r="G6" s="9">
        <f>-SUMIFS('Bank Lines'!$E$5:$E$1640,'Bank Lines'!$D$5:$D$1640,"*"&amp;A6,'Bank Lines'!$B$5:$B$1640,"OPS",'Bank Lines'!$J$5:$J$1640,1)</f>
        <v>13795.22</v>
      </c>
      <c r="H6" s="9">
        <f>ROUND(F6-G6,2)</f>
        <v>-14.79</v>
      </c>
      <c r="I6" t="str">
        <f>IF(ROUND(E6-F6,2)&lt;&gt;0,"Odoo booking differs from rate",IF(H6=0,"No difference","Post FX difference"))</f>
        <v>Post FX difference</v>
      </c>
    </row>
    <row r="7">
      <c r="A7" t="inlineStr">
        <is>
          <t>FX0910</t>
        </is>
      </c>
      <c r="B7" s="5" t="n">
        <v>46275</v>
      </c>
      <c r="C7" s="9" t="n">
        <v>9000</v>
      </c>
      <c r="D7" t="n">
        <v>0.6612</v>
      </c>
      <c r="E7" s="9">
        <f>ROUND(C7/D7,2)</f>
        <v>13611.62</v>
      </c>
      <c r="F7" s="9">
        <f>-SUMIFS('Odoo Items'!$G$5:$G$4331,'Odoo Items'!$E$5:$E$4331,A7,'Odoo Items'!$B$5:$B$4331,"OPS")</f>
        <v>13611.62</v>
      </c>
      <c r="G7" s="9">
        <f>-SUMIFS('Bank Lines'!$E$5:$E$1640,'Bank Lines'!$D$5:$D$1640,"*"&amp;A7,'Bank Lines'!$B$5:$B$1640,"OPS",'Bank Lines'!$J$5:$J$1640,1)</f>
        <v>13626.04</v>
      </c>
      <c r="H7" s="9">
        <f>ROUND(F7-G7,2)</f>
        <v>-14.42</v>
      </c>
      <c r="I7" t="str">
        <f>IF(ROUND(E7-F7,2)&lt;&gt;0,"Odoo booking differs from rate",IF(H7=0,"No difference","Post FX difference"))</f>
        <v>Post FX difference</v>
      </c>
    </row>
    <row r="8">
      <c r="A8" t="inlineStr">
        <is>
          <t>FX0930</t>
        </is>
      </c>
      <c r="B8" s="5" t="n">
        <v>46295</v>
      </c>
      <c r="C8" s="9" t="n">
        <v>5000</v>
      </c>
      <c r="D8" t="n">
        <v>0.6612</v>
      </c>
      <c r="E8" s="9">
        <f>ROUND(C8/D8,2)</f>
        <v>7562.01</v>
      </c>
      <c r="F8" s="9">
        <f>-SUMIFS('Odoo Items'!$G$5:$G$4331,'Odoo Items'!$E$5:$E$4331,A8,'Odoo Items'!$B$5:$B$4331,"OPS")</f>
        <v>7562.01</v>
      </c>
      <c r="G8" s="9">
        <f>-SUMIFS('Bank Lines'!$E$5:$E$1640,'Bank Lines'!$D$5:$D$1640,"*"&amp;A8,'Bank Lines'!$B$5:$B$1640,"OPS",'Bank Lines'!$J$5:$J$1640,1)</f>
        <v>7562.01</v>
      </c>
      <c r="H8" s="9">
        <f>ROUND(F8-G8,2)</f>
        <v>0</v>
      </c>
      <c r="I8" t="str">
        <f>IF(ROUND(E8-F8,2)&lt;&gt;0,"Odoo booking differs from rate",IF(H8=0,"No difference","Post FX difference"))</f>
        <v>No difference</v>
      </c>
    </row>
    <row r="10">
      <c r="A10" s="4" t="inlineStr">
        <is>
          <t>USD account at month end</t>
        </is>
      </c>
    </row>
    <row r="11">
      <c r="A11" s="21" t="inlineStr">
        <is>
          <t>Month</t>
        </is>
      </c>
      <c r="B11" s="21" t="inlineStr">
        <is>
          <t>Statement USD</t>
        </is>
      </c>
      <c r="C11" s="21" t="inlineStr">
        <is>
          <t>Odoo USD</t>
        </is>
      </c>
      <c r="D11" s="21" t="inlineStr">
        <is>
          <t>Odoo rate</t>
        </is>
      </c>
      <c r="E11" s="21" t="inlineStr">
        <is>
          <t>Statement in AUD</t>
        </is>
      </c>
      <c r="F11" s="21" t="inlineStr">
        <is>
          <t>Odoo in AUD</t>
        </is>
      </c>
    </row>
    <row r="12">
      <c r="A12" t="inlineStr">
        <is>
          <t>Jul 2026</t>
        </is>
      </c>
      <c r="B12" s="9">
        <f>SUMIFS('Statement Balances'!$F$5:$F$16,'Statement Balances'!$A$5:$A$16,"USD",'Statement Balances'!$D$5:$D$16,Cover!$C$13)</f>
        <v>52722</v>
      </c>
      <c r="C12" s="9">
        <f>SUMIFS('Odoo TB'!$D$5:$D$20,'Odoo TB'!$A$5:$A$20,"USD",'Odoo TB'!$C$5:$C$20,Cover!$C$13)</f>
        <v>52800</v>
      </c>
      <c r="D12" t="n">
        <v>0.6584</v>
      </c>
      <c r="E12" s="9">
        <f>ROUND(B12/D12,2)</f>
        <v>80075.94</v>
      </c>
      <c r="F12" s="9">
        <f>ROUND(C12/D12,2)</f>
        <v>80194.41</v>
      </c>
    </row>
    <row r="13">
      <c r="A13" t="inlineStr">
        <is>
          <t>Aug 2026</t>
        </is>
      </c>
      <c r="B13" s="9">
        <f>SUMIFS('Statement Balances'!$F$5:$F$16,'Statement Balances'!$A$5:$A$16,"USD",'Statement Balances'!$D$5:$D$16,Cover!$C$14)</f>
        <v>63264</v>
      </c>
      <c r="C13" s="9">
        <f>SUMIFS('Odoo TB'!$D$5:$D$20,'Odoo TB'!$A$5:$A$20,"USD",'Odoo TB'!$C$5:$C$20,Cover!$C$14)</f>
        <v>63420</v>
      </c>
      <c r="D13" t="n">
        <v>0.6531</v>
      </c>
      <c r="E13" s="9">
        <f>ROUND(B13/D13,2)</f>
        <v>96867.25</v>
      </c>
      <c r="F13" s="9">
        <f>ROUND(C13/D13,2)</f>
        <v>97106.11</v>
      </c>
    </row>
    <row r="14">
      <c r="A14" t="inlineStr">
        <is>
          <t>Sep 2026</t>
        </is>
      </c>
      <c r="B14" s="9">
        <f>SUMIFS('Statement Balances'!$F$5:$F$16,'Statement Balances'!$A$5:$A$16,"USD",'Statement Balances'!$D$5:$D$16,Cover!$C$15)</f>
        <v>75006</v>
      </c>
      <c r="C14" s="9">
        <f>SUMIFS('Odoo TB'!$D$5:$D$20,'Odoo TB'!$A$5:$A$20,"USD",'Odoo TB'!$C$5:$C$20,Cover!$C$15)</f>
        <v>79040</v>
      </c>
      <c r="D14" t="n">
        <v>0.6612</v>
      </c>
      <c r="E14" s="9">
        <f>ROUND(B14/D14,2)</f>
        <v>113439.2</v>
      </c>
      <c r="F14" s="9">
        <f>ROUND(C14/D14,2)</f>
        <v>119540.23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60" customWidth="1" min="3" max="3"/>
    <col width="26" customWidth="1" min="4" max="4"/>
    <col width="44" customWidth="1" min="5" max="5"/>
    <col width="8" customWidth="1" min="6" max="6"/>
    <col width="10" customWidth="1" min="7" max="7"/>
    <col width="10" customWidth="1" min="8" max="8"/>
    <col width="16" customWidth="1" min="9" max="9"/>
  </cols>
  <sheetData>
    <row r="1">
      <c r="A1" s="7" t="inlineStr">
        <is>
          <t>Matching rules applied by match.py (priority order)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Sample build: realistic data, built to show how I'd handle this work. Not client data.</t>
        </is>
      </c>
    </row>
    <row r="4">
      <c r="A4" s="8" t="inlineStr">
        <is>
          <t>Rule</t>
        </is>
      </c>
      <c r="B4" s="8" t="inlineStr">
        <is>
          <t>Name</t>
        </is>
      </c>
      <c r="C4" s="8" t="inlineStr">
        <is>
          <t>Logic</t>
        </is>
      </c>
      <c r="D4" s="8" t="inlineStr">
        <is>
          <t>Tolerance</t>
        </is>
      </c>
      <c r="E4" s="8" t="inlineStr">
        <is>
          <t>Outcome</t>
        </is>
      </c>
      <c r="F4" s="8" t="inlineStr">
        <is>
          <t>Groups</t>
        </is>
      </c>
      <c r="G4" s="8" t="inlineStr">
        <is>
          <t>Bank lines</t>
        </is>
      </c>
      <c r="H4" s="8" t="inlineStr">
        <is>
          <t>Odoo items</t>
        </is>
      </c>
      <c r="I4" s="8" t="inlineStr">
        <is>
          <t>Bank value matched</t>
        </is>
      </c>
    </row>
    <row r="5">
      <c r="A5" t="inlineStr">
        <is>
          <t>R01</t>
        </is>
      </c>
      <c r="B5" t="inlineStr">
        <is>
          <t>Duplicate statement import</t>
        </is>
      </c>
      <c r="C5" t="inlineStr">
        <is>
          <t>Same account, date, description and amount in a second import file</t>
        </is>
      </c>
      <c r="D5" t="inlineStr">
        <is>
          <t>Exact</t>
        </is>
      </c>
      <c r="E5" t="inlineStr">
        <is>
          <t>Exclude from Odoo statement (delete duplicate lines)</t>
        </is>
      </c>
      <c r="F5">
        <f>COUNTIF('Match Groups'!$C$5:$C$1326,A5)</f>
        <v>13</v>
      </c>
      <c r="G5">
        <f>COUNTIF('Bank Lines'!$H$5:$H$1640,A5)</f>
        <v>13</v>
      </c>
      <c r="H5">
        <f>SUMIFS('Match Groups'!$I$5:$I$1326,'Match Groups'!$C$5:$C$1326,A5)</f>
        <v>0</v>
      </c>
      <c r="I5" s="9">
        <f>ROUND(SUMIFS('Bank Lines'!$E$5:$E$1640,'Bank Lines'!$H$5:$H$1640,A5,'Bank Lines'!$J$5:$J$1640,1),2)</f>
        <v>0</v>
      </c>
    </row>
    <row r="6">
      <c r="A6" t="inlineStr">
        <is>
          <t>R02</t>
        </is>
      </c>
      <c r="B6" t="inlineStr">
        <is>
          <t>Stripe payout to charges</t>
        </is>
      </c>
      <c r="C6" t="inlineStr">
        <is>
          <t>STRIPE PAYOUT id -&gt; payout report -&gt; charge and refund lines -&gt; Odoo payments by invoice</t>
        </is>
      </c>
      <c r="D6" t="inlineStr">
        <is>
          <t>Payout net must equal report net to the cent</t>
        </is>
      </c>
      <c r="E6" t="inlineStr">
        <is>
          <t>Fees and disputes become a difference to book</t>
        </is>
      </c>
      <c r="F6">
        <f>COUNTIF('Match Groups'!$C$5:$C$1326,A6)</f>
        <v>66</v>
      </c>
      <c r="G6">
        <f>COUNTIF('Bank Lines'!$H$5:$H$1640,A6)</f>
        <v>66</v>
      </c>
      <c r="H6">
        <f>SUMIFS('Match Groups'!$I$5:$I$1326,'Match Groups'!$C$5:$C$1326,A6)</f>
        <v>1866</v>
      </c>
      <c r="I6" s="9">
        <f>ROUND(SUMIFS('Bank Lines'!$E$5:$E$1640,'Bank Lines'!$H$5:$H$1640,A6,'Bank Lines'!$J$5:$J$1640,1),2)</f>
        <v>231702.72</v>
      </c>
    </row>
    <row r="7">
      <c r="A7" t="inlineStr">
        <is>
          <t>R03</t>
        </is>
      </c>
      <c r="B7" t="inlineStr">
        <is>
          <t>Remittance advice (plan managers)</t>
        </is>
      </c>
      <c r="C7" t="inlineStr">
        <is>
          <t>RA reference in the bank text -&gt; remittance lines -&gt; Odoo payments by invoice</t>
        </is>
      </c>
      <c r="D7" t="inlineStr">
        <is>
          <t>Date -3/+3 days; sum to the cent</t>
        </is>
      </c>
      <c r="E7" t="inlineStr">
        <is>
          <t>Short-paid lines registered at full value are flagged</t>
        </is>
      </c>
      <c r="F7">
        <f>COUNTIF('Match Groups'!$C$5:$C$1326,A7)</f>
        <v>422</v>
      </c>
      <c r="G7">
        <f>COUNTIF('Bank Lines'!$H$5:$H$1640,A7)</f>
        <v>422</v>
      </c>
      <c r="H7">
        <f>SUMIFS('Match Groups'!$I$5:$I$1326,'Match Groups'!$C$5:$C$1326,A7)</f>
        <v>1531</v>
      </c>
      <c r="I7" s="9">
        <f>ROUND(SUMIFS('Bank Lines'!$E$5:$E$1640,'Bank Lines'!$H$5:$H$1640,A7,'Bank Lines'!$J$5:$J$1640,1),2)</f>
        <v>423870.62</v>
      </c>
    </row>
    <row r="8">
      <c r="A8" t="inlineStr">
        <is>
          <t>R04</t>
        </is>
      </c>
      <c r="B8" t="inlineStr">
        <is>
          <t>Internal transfers, sweeps and FX</t>
        </is>
      </c>
      <c r="C8" t="inlineStr">
        <is>
          <t>Transfer-type Odoo entries with the same pay-run, sweep or FX reference, or same amount within 3 days</t>
        </is>
      </c>
      <c r="D8" t="inlineStr">
        <is>
          <t>Exact (FX: up to 1%)</t>
        </is>
      </c>
      <c r="E8" t="inlineStr">
        <is>
          <t>FX difference booked to FX gains/losses</t>
        </is>
      </c>
      <c r="F8">
        <f>COUNTIF('Match Groups'!$C$5:$C$1326,A8)</f>
        <v>50</v>
      </c>
      <c r="G8">
        <f>COUNTIF('Bank Lines'!$H$5:$H$1640,A8)</f>
        <v>50</v>
      </c>
      <c r="H8">
        <f>SUMIFS('Match Groups'!$I$5:$I$1326,'Match Groups'!$C$5:$C$1326,A8)</f>
        <v>50</v>
      </c>
      <c r="I8" s="9">
        <f>ROUND(SUMIFS('Bank Lines'!$E$5:$E$1640,'Bank Lines'!$H$5:$H$1640,A8,'Bank Lines'!$J$5:$J$1640,1),2)</f>
        <v>-83115.78</v>
      </c>
    </row>
    <row r="9">
      <c r="A9" t="inlineStr">
        <is>
          <t>R05</t>
        </is>
      </c>
      <c r="B9" t="inlineStr">
        <is>
          <t>Payroll run (many bank : one Odoo)</t>
        </is>
      </c>
      <c r="C9" t="inlineStr">
        <is>
          <t>SALARY lines grouped by pay-run code -&gt; one net-wages entry</t>
        </is>
      </c>
      <c r="D9" t="inlineStr">
        <is>
          <t>Sum to the cent</t>
        </is>
      </c>
      <c r="E9" t="inlineStr">
        <is>
          <t>Returned and reissued pays are paired and noted</t>
        </is>
      </c>
      <c r="F9">
        <f>COUNTIF('Match Groups'!$C$5:$C$1326,A9)</f>
        <v>7</v>
      </c>
      <c r="G9">
        <f>COUNTIF('Bank Lines'!$H$5:$H$1640,A9)</f>
        <v>392</v>
      </c>
      <c r="H9">
        <f>SUMIFS('Match Groups'!$I$5:$I$1326,'Match Groups'!$C$5:$C$1326,A9)</f>
        <v>7</v>
      </c>
      <c r="I9" s="9">
        <f>ROUND(SUMIFS('Bank Lines'!$E$5:$E$1640,'Bank Lines'!$H$5:$H$1640,A9,'Bank Lines'!$J$5:$J$1640,1),2)</f>
        <v>-1027674.36</v>
      </c>
    </row>
    <row r="10">
      <c r="A10" t="inlineStr">
        <is>
          <t>R06</t>
        </is>
      </c>
      <c r="B10" t="inlineStr">
        <is>
          <t>ABA batch (one bank : many Odoo)</t>
        </is>
      </c>
      <c r="C10" t="inlineStr">
        <is>
          <t>ABA file number -&gt; Odoo batch payment BATCH/2026/nnnn</t>
        </is>
      </c>
      <c r="D10" t="inlineStr">
        <is>
          <t>Sum to the cent</t>
        </is>
      </c>
      <c r="E10" t="inlineStr">
        <is>
          <t>Returned payments from a batch are flagged</t>
        </is>
      </c>
      <c r="F10">
        <f>COUNTIF('Match Groups'!$C$5:$C$1326,A10)</f>
        <v>14</v>
      </c>
      <c r="G10">
        <f>COUNTIF('Bank Lines'!$H$5:$H$1640,A10)</f>
        <v>14</v>
      </c>
      <c r="H10">
        <f>SUMIFS('Match Groups'!$I$5:$I$1326,'Match Groups'!$C$5:$C$1326,A10)</f>
        <v>186</v>
      </c>
      <c r="I10" s="9">
        <f>ROUND(SUMIFS('Bank Lines'!$E$5:$E$1640,'Bank Lines'!$H$5:$H$1640,A10,'Bank Lines'!$J$5:$J$1640,1),2)</f>
        <v>-295123.4</v>
      </c>
    </row>
    <row r="11">
      <c r="A11" t="inlineStr">
        <is>
          <t>R07</t>
        </is>
      </c>
      <c r="B11" t="inlineStr">
        <is>
          <t>Cheque number</t>
        </is>
      </c>
      <c r="C11" t="inlineStr">
        <is>
          <t>CHEQUE nnnnnn -&gt; Odoo CHQ nnnnnn</t>
        </is>
      </c>
      <c r="D11" t="inlineStr">
        <is>
          <t>Exact amount</t>
        </is>
      </c>
      <c r="E11" t="inlineStr">
        <is>
          <t>Unpresented over 90 days flagged as stale</t>
        </is>
      </c>
      <c r="F11">
        <f>COUNTIF('Match Groups'!$C$5:$C$1326,A11)</f>
        <v>11</v>
      </c>
      <c r="G11">
        <f>COUNTIF('Bank Lines'!$H$5:$H$1640,A11)</f>
        <v>11</v>
      </c>
      <c r="H11">
        <f>SUMIFS('Match Groups'!$I$5:$I$1326,'Match Groups'!$C$5:$C$1326,A11)</f>
        <v>11</v>
      </c>
      <c r="I11" s="9">
        <f>ROUND(SUMIFS('Bank Lines'!$E$5:$E$1640,'Bank Lines'!$H$5:$H$1640,A11,'Bank Lines'!$J$5:$J$1640,1),2)</f>
        <v>-5269</v>
      </c>
    </row>
    <row r="12">
      <c r="A12" t="inlineStr">
        <is>
          <t>R08</t>
        </is>
      </c>
      <c r="B12" t="inlineStr">
        <is>
          <t>Card terminal settlement</t>
        </is>
      </c>
      <c r="C12" t="inlineStr">
        <is>
          <t>SETTLEMENT terminal + trading date -&gt; POS daily takings entry</t>
        </is>
      </c>
      <c r="D12" t="inlineStr">
        <is>
          <t>Exact (difference flagged)</t>
        </is>
      </c>
      <c r="E12" t="inlineStr">
        <is>
          <t>Refunds missing from the POS export are flagged</t>
        </is>
      </c>
      <c r="F12">
        <f>COUNTIF('Match Groups'!$C$5:$C$1326,A12)</f>
        <v>316</v>
      </c>
      <c r="G12">
        <f>COUNTIF('Bank Lines'!$H$5:$H$1640,A12)</f>
        <v>316</v>
      </c>
      <c r="H12">
        <f>SUMIFS('Match Groups'!$I$5:$I$1326,'Match Groups'!$C$5:$C$1326,A12)</f>
        <v>316</v>
      </c>
      <c r="I12" s="9">
        <f>ROUND(SUMIFS('Bank Lines'!$E$5:$E$1640,'Bank Lines'!$H$5:$H$1640,A12,'Bank Lines'!$J$5:$J$1640,1),2)</f>
        <v>669646.73</v>
      </c>
    </row>
    <row r="13">
      <c r="A13" t="inlineStr">
        <is>
          <t>R09</t>
        </is>
      </c>
      <c r="B13" t="inlineStr">
        <is>
          <t>Invoice reference + amount</t>
        </is>
      </c>
      <c r="C13" t="inlineStr">
        <is>
          <t>Invoice number in any of 6 formats -&gt; Odoo payment(s) on that invoice</t>
        </is>
      </c>
      <c r="D13" t="inlineStr">
        <is>
          <t>Exact amount</t>
        </is>
      </c>
      <c r="E13" t="inlineStr"/>
      <c r="F13">
        <f>COUNTIF('Match Groups'!$C$5:$C$1326,A13)</f>
        <v>214</v>
      </c>
      <c r="G13">
        <f>COUNTIF('Bank Lines'!$H$5:$H$1640,A13)</f>
        <v>214</v>
      </c>
      <c r="H13">
        <f>SUMIFS('Match Groups'!$I$5:$I$1326,'Match Groups'!$C$5:$C$1326,A13)</f>
        <v>214</v>
      </c>
      <c r="I13" s="9">
        <f>ROUND(SUMIFS('Bank Lines'!$E$5:$E$1640,'Bank Lines'!$H$5:$H$1640,A13,'Bank Lines'!$J$5:$J$1640,1),2)</f>
        <v>639722.25</v>
      </c>
    </row>
    <row r="14">
      <c r="A14" t="inlineStr">
        <is>
          <t>R10</t>
        </is>
      </c>
      <c r="B14" t="inlineStr">
        <is>
          <t>Payee name (fuzzy) + amount + date</t>
        </is>
      </c>
      <c r="C14" t="inlineStr">
        <is>
          <t>Bank payee text scored against Odoo partners (score &gt;= 0.85) -&gt; unmatched payments within -3/+5 days</t>
        </is>
      </c>
      <c r="D14" t="inlineStr">
        <is>
          <t>Exact amount, single or same-day set</t>
        </is>
      </c>
      <c r="E14" t="inlineStr">
        <is>
          <t>Lower confidence: reviewed</t>
        </is>
      </c>
      <c r="F14">
        <f>COUNTIF('Match Groups'!$C$5:$C$1326,A14)</f>
        <v>56</v>
      </c>
      <c r="G14">
        <f>COUNTIF('Bank Lines'!$H$5:$H$1640,A14)</f>
        <v>56</v>
      </c>
      <c r="H14">
        <f>SUMIFS('Match Groups'!$I$5:$I$1326,'Match Groups'!$C$5:$C$1326,A14)</f>
        <v>67</v>
      </c>
      <c r="I14" s="9">
        <f>ROUND(SUMIFS('Bank Lines'!$E$5:$E$1640,'Bank Lines'!$H$5:$H$1640,A14,'Bank Lines'!$J$5:$J$1640,1),2)</f>
        <v>111317.86</v>
      </c>
    </row>
    <row r="15">
      <c r="A15" t="inlineStr">
        <is>
          <t>R11</t>
        </is>
      </c>
      <c r="B15" t="inlineStr">
        <is>
          <t>Open invoice or bill (not yet in Odoo)</t>
        </is>
      </c>
      <c r="C15" t="inlineStr">
        <is>
          <t>Reference or fuzzy payee -&gt; open item with residual equal to the amount, or a set of up to 3</t>
        </is>
      </c>
      <c r="D15" t="inlineStr">
        <is>
          <t>Exact amount</t>
        </is>
      </c>
      <c r="E15" t="inlineStr">
        <is>
          <t>Proposed: register the payment in Odoo</t>
        </is>
      </c>
      <c r="F15">
        <f>COUNTIF('Match Groups'!$C$5:$C$1326,A15)</f>
        <v>39</v>
      </c>
      <c r="G15">
        <f>COUNTIF('Bank Lines'!$H$5:$H$1640,A15)</f>
        <v>39</v>
      </c>
      <c r="H15">
        <f>SUMIFS('Match Groups'!$I$5:$I$1326,'Match Groups'!$C$5:$C$1326,A15)</f>
        <v>0</v>
      </c>
      <c r="I15" s="9">
        <f>ROUND(SUMIFS('Bank Lines'!$E$5:$E$1640,'Bank Lines'!$H$5:$H$1640,A15,'Bank Lines'!$J$5:$J$1640,1),2)</f>
        <v>43807.18</v>
      </c>
    </row>
    <row r="16">
      <c r="A16" t="inlineStr">
        <is>
          <t>R12</t>
        </is>
      </c>
      <c r="B16" t="inlineStr">
        <is>
          <t>Bank-only patterns</t>
        </is>
      </c>
      <c r="C16" t="inlineStr">
        <is>
          <t>Fees, interest, merchant fees, chargebacks, returns, dishonours</t>
        </is>
      </c>
      <c r="D16" t="inlineStr">
        <is>
          <t>Pattern</t>
        </is>
      </c>
      <c r="E16" t="inlineStr">
        <is>
          <t>Proposed journal per reason code</t>
        </is>
      </c>
      <c r="F16">
        <f>COUNTIF('Match Groups'!$C$5:$C$1326,A16)</f>
        <v>30</v>
      </c>
      <c r="G16">
        <f>COUNTIF('Bank Lines'!$H$5:$H$1640,A16)</f>
        <v>31</v>
      </c>
      <c r="H16">
        <f>SUMIFS('Match Groups'!$I$5:$I$1326,'Match Groups'!$C$5:$C$1326,A16)</f>
        <v>0</v>
      </c>
      <c r="I16" s="9">
        <f>ROUND(SUMIFS('Bank Lines'!$E$5:$E$1640,'Bank Lines'!$H$5:$H$1640,A16,'Bank Lines'!$J$5:$J$1640,1),2)</f>
        <v>-252.6</v>
      </c>
    </row>
    <row r="17">
      <c r="A17" t="inlineStr">
        <is>
          <t>R13</t>
        </is>
      </c>
      <c r="B17" t="inlineStr">
        <is>
          <t>Amount + date, unique</t>
        </is>
      </c>
      <c r="C17" t="inlineStr">
        <is>
          <t>One unmatched Odoo item with the same amount within 3 days and no competing candidate</t>
        </is>
      </c>
      <c r="D17" t="inlineStr">
        <is>
          <t>Exact amount</t>
        </is>
      </c>
      <c r="E17" t="inlineStr">
        <is>
          <t>Lowest confidence: reviewed</t>
        </is>
      </c>
      <c r="F17">
        <f>COUNTIF('Match Groups'!$C$5:$C$1326,A17)</f>
        <v>7</v>
      </c>
      <c r="G17">
        <f>COUNTIF('Bank Lines'!$H$5:$H$1640,A17)</f>
        <v>7</v>
      </c>
      <c r="H17">
        <f>SUMIFS('Match Groups'!$I$5:$I$1326,'Match Groups'!$C$5:$C$1326,A17)</f>
        <v>7</v>
      </c>
      <c r="I17" s="9">
        <f>ROUND(SUMIFS('Bank Lines'!$E$5:$E$1640,'Bank Lines'!$H$5:$H$1640,A17,'Bank Lines'!$J$5:$J$1640,1),2)</f>
        <v>-206384.59</v>
      </c>
    </row>
    <row r="18">
      <c r="A18" t="inlineStr">
        <is>
          <t>R99</t>
        </is>
      </c>
      <c r="B18" t="inlineStr">
        <is>
          <t>No match</t>
        </is>
      </c>
      <c r="C18" t="inlineStr">
        <is>
          <t>Nothing above applies</t>
        </is>
      </c>
      <c r="D18" t="inlineStr">
        <is>
          <t>-</t>
        </is>
      </c>
      <c r="E18" t="inlineStr">
        <is>
          <t>Escalated with a note, or left outstanding (Odoo-only items)</t>
        </is>
      </c>
      <c r="F18">
        <f>COUNTIF('Match Groups'!$C$5:$C$1326,A18)</f>
        <v>77</v>
      </c>
      <c r="G18">
        <f>COUNTIF('Bank Lines'!$H$5:$H$1640,A18)</f>
        <v>5</v>
      </c>
      <c r="H18">
        <f>SUMIFS('Match Groups'!$I$5:$I$1326,'Match Groups'!$C$5:$C$1326,A18)</f>
        <v>72</v>
      </c>
      <c r="I18" s="9">
        <f>ROUND(SUMIFS('Bank Lines'!$E$5:$E$1640,'Bank Lines'!$H$5:$H$1640,A18,'Bank Lines'!$J$5:$J$1640,1),2)</f>
        <v>4384.95</v>
      </c>
    </row>
    <row r="19">
      <c r="B19" s="4" t="inlineStr">
        <is>
          <t>Total</t>
        </is>
      </c>
      <c r="F19">
        <f>SUM(F5:F18)</f>
        <v>1322</v>
      </c>
      <c r="G19">
        <f>SUM(G5:G18)</f>
        <v>1636</v>
      </c>
      <c r="H19">
        <f>SUM(H5:H18)</f>
        <v>4327</v>
      </c>
      <c r="I19" s="9">
        <f>SUM(I5:I18)</f>
        <v>506632.58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8" customWidth="1" min="3" max="3"/>
    <col width="8" customWidth="1" min="4" max="4"/>
  </cols>
  <sheetData>
    <row r="1">
      <c r="A1" s="7" t="inlineStr">
        <is>
          <t>Payee name variations matched to Odoo partners (fuzzy score, threshold 0.85)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8" t="inlineStr">
        <is>
          <t>Bank payee text</t>
        </is>
      </c>
      <c r="B4" s="8" t="inlineStr">
        <is>
          <t>Odoo partner</t>
        </is>
      </c>
      <c r="C4" s="8" t="inlineStr">
        <is>
          <t>Score</t>
        </is>
      </c>
      <c r="D4" s="8" t="inlineStr">
        <is>
          <t>Lines</t>
        </is>
      </c>
    </row>
    <row r="5">
      <c r="A5" t="inlineStr">
        <is>
          <t>ACACIA PLAN PARTNE</t>
        </is>
      </c>
      <c r="B5" t="inlineStr">
        <is>
          <t>Acacia Plan Partners</t>
        </is>
      </c>
      <c r="C5" t="n">
        <v>1</v>
      </c>
      <c r="D5" t="n">
        <v>7</v>
      </c>
    </row>
    <row r="6">
      <c r="A6" t="inlineStr">
        <is>
          <t>ACACIA PLAN PARTNERS</t>
        </is>
      </c>
      <c r="B6" t="inlineStr">
        <is>
          <t>Acacia Plan Partners</t>
        </is>
      </c>
      <c r="C6" t="n">
        <v>1</v>
      </c>
      <c r="D6" t="n">
        <v>11</v>
      </c>
    </row>
    <row r="7">
      <c r="A7" t="inlineStr">
        <is>
          <t>ACACIA PLAN PARTNERS P</t>
        </is>
      </c>
      <c r="B7" t="inlineStr">
        <is>
          <t>Acacia Plan Partners</t>
        </is>
      </c>
      <c r="C7" t="n">
        <v>0.973</v>
      </c>
      <c r="D7" t="n">
        <v>5</v>
      </c>
    </row>
    <row r="8">
      <c r="A8" t="inlineStr">
        <is>
          <t>ACACIAPLANPARTNE</t>
        </is>
      </c>
      <c r="B8" t="inlineStr">
        <is>
          <t>Acacia Plan Partners</t>
        </is>
      </c>
      <c r="C8" t="n">
        <v>1</v>
      </c>
      <c r="D8" t="n">
        <v>9</v>
      </c>
    </row>
    <row r="9">
      <c r="A9" t="inlineStr">
        <is>
          <t>ARDEN VALE SCHOOLS</t>
        </is>
      </c>
      <c r="B9" t="inlineStr">
        <is>
          <t>Arden Vale Schools</t>
        </is>
      </c>
      <c r="C9" t="n">
        <v>1</v>
      </c>
      <c r="D9" t="n">
        <v>1</v>
      </c>
    </row>
    <row r="10">
      <c r="A10" t="inlineStr">
        <is>
          <t>ASHGROVE ACCOUNTIN</t>
        </is>
      </c>
      <c r="B10" t="inlineStr">
        <is>
          <t>Ashgrove Accounting</t>
        </is>
      </c>
      <c r="C10" t="n">
        <v>1</v>
      </c>
      <c r="D10" t="n">
        <v>1</v>
      </c>
    </row>
    <row r="11">
      <c r="A11" t="inlineStr">
        <is>
          <t>ASHGROVE ACCOUNTING</t>
        </is>
      </c>
      <c r="B11" t="inlineStr">
        <is>
          <t>Ashgrove Accounting</t>
        </is>
      </c>
      <c r="C11" t="n">
        <v>1</v>
      </c>
      <c r="D11" t="n">
        <v>2</v>
      </c>
    </row>
    <row r="12">
      <c r="A12" t="inlineStr">
        <is>
          <t>ASHGROVEACCOUNTI</t>
        </is>
      </c>
      <c r="B12" t="inlineStr">
        <is>
          <t>Ashgrove Accounting</t>
        </is>
      </c>
      <c r="C12" t="n">
        <v>1</v>
      </c>
      <c r="D12" t="n">
        <v>1</v>
      </c>
    </row>
    <row r="13">
      <c r="A13" t="inlineStr">
        <is>
          <t>BANKSIA PLAN CO</t>
        </is>
      </c>
      <c r="B13" t="inlineStr">
        <is>
          <t>Banksia Plan Co</t>
        </is>
      </c>
      <c r="C13" t="n">
        <v>1</v>
      </c>
      <c r="D13" t="n">
        <v>18</v>
      </c>
    </row>
    <row r="14">
      <c r="A14" t="inlineStr">
        <is>
          <t>BANKSIA PLAN CO PTY LT</t>
        </is>
      </c>
      <c r="B14" t="inlineStr">
        <is>
          <t>Banksia Plan Co</t>
        </is>
      </c>
      <c r="C14" t="n">
        <v>0.929</v>
      </c>
      <c r="D14" t="n">
        <v>9</v>
      </c>
    </row>
    <row r="15">
      <c r="A15" t="inlineStr">
        <is>
          <t>BANKSIAPLANCO</t>
        </is>
      </c>
      <c r="B15" t="inlineStr">
        <is>
          <t>Banksia Plan Co</t>
        </is>
      </c>
      <c r="C15" t="n">
        <v>1</v>
      </c>
      <c r="D15" t="n">
        <v>8</v>
      </c>
    </row>
    <row r="16">
      <c r="A16" t="inlineStr">
        <is>
          <t>BAYVIEW COMMERCIAL L</t>
        </is>
      </c>
      <c r="B16" t="inlineStr">
        <is>
          <t>Bayview Commercial Leasing</t>
        </is>
      </c>
      <c r="C16" t="n">
        <v>1</v>
      </c>
      <c r="D16" t="n">
        <v>1</v>
      </c>
    </row>
    <row r="17">
      <c r="A17" t="inlineStr">
        <is>
          <t>BAYVIEWCOMMERCIA</t>
        </is>
      </c>
      <c r="B17" t="inlineStr">
        <is>
          <t>Bayview Commercial Leasing</t>
        </is>
      </c>
      <c r="C17" t="n">
        <v>1</v>
      </c>
      <c r="D17" t="n">
        <v>2</v>
      </c>
    </row>
    <row r="18">
      <c r="A18" t="inlineStr">
        <is>
          <t>BLUEGUM PLAN MANAGE</t>
        </is>
      </c>
      <c r="B18" t="inlineStr">
        <is>
          <t>Bluegum Plan Management</t>
        </is>
      </c>
      <c r="C18" t="n">
        <v>1</v>
      </c>
      <c r="D18" t="n">
        <v>8</v>
      </c>
    </row>
    <row r="19">
      <c r="A19" t="inlineStr">
        <is>
          <t>BLUEGUM PLAN MGMT</t>
        </is>
      </c>
      <c r="B19" t="inlineStr">
        <is>
          <t>Bluegum Plan Management</t>
        </is>
      </c>
      <c r="C19" t="n">
        <v>1</v>
      </c>
      <c r="D19" t="n">
        <v>11</v>
      </c>
    </row>
    <row r="20">
      <c r="A20" t="inlineStr">
        <is>
          <t>BLUEGUM PM PTY LTD</t>
        </is>
      </c>
      <c r="B20" t="inlineStr">
        <is>
          <t>Bluegum Plan Management</t>
        </is>
      </c>
      <c r="C20" t="n">
        <v>0.9</v>
      </c>
      <c r="D20" t="n">
        <v>14</v>
      </c>
    </row>
    <row r="21">
      <c r="A21" t="inlineStr">
        <is>
          <t>BRIGHTWATER CIVIL</t>
        </is>
      </c>
      <c r="B21" t="inlineStr">
        <is>
          <t>Brightwater Civil Pty Ltd</t>
        </is>
      </c>
      <c r="C21" t="n">
        <v>1</v>
      </c>
      <c r="D21" t="n">
        <v>1</v>
      </c>
    </row>
    <row r="22">
      <c r="A22" t="inlineStr">
        <is>
          <t>BRIGHTWATER CIVIL PTY</t>
        </is>
      </c>
      <c r="B22" t="inlineStr">
        <is>
          <t>Brightwater Civil Pty Ltd</t>
        </is>
      </c>
      <c r="C22" t="n">
        <v>1</v>
      </c>
      <c r="D22" t="n">
        <v>4</v>
      </c>
    </row>
    <row r="23">
      <c r="A23" t="inlineStr">
        <is>
          <t>BROADMEADOW PLASTICS</t>
        </is>
      </c>
      <c r="B23" t="inlineStr">
        <is>
          <t>Broadmeadow Plastics</t>
        </is>
      </c>
      <c r="C23" t="n">
        <v>1</v>
      </c>
      <c r="D23" t="n">
        <v>1</v>
      </c>
    </row>
    <row r="24">
      <c r="A24" t="inlineStr">
        <is>
          <t>BROADMEADOWPLAST</t>
        </is>
      </c>
      <c r="B24" t="inlineStr">
        <is>
          <t>Broadmeadow Plastics</t>
        </is>
      </c>
      <c r="C24" t="n">
        <v>1</v>
      </c>
      <c r="D24" t="n">
        <v>2</v>
      </c>
    </row>
    <row r="25">
      <c r="A25" t="inlineStr">
        <is>
          <t>CALDER FREIGHT GRO</t>
        </is>
      </c>
      <c r="B25" t="inlineStr">
        <is>
          <t>Calder Freight Group</t>
        </is>
      </c>
      <c r="C25" t="n">
        <v>1</v>
      </c>
      <c r="D25" t="n">
        <v>2</v>
      </c>
    </row>
    <row r="26">
      <c r="A26" t="inlineStr">
        <is>
          <t>CALDER FREIGHT GROUP P</t>
        </is>
      </c>
      <c r="B26" t="inlineStr">
        <is>
          <t>Calder Freight Group</t>
        </is>
      </c>
      <c r="C26" t="n">
        <v>0.973</v>
      </c>
      <c r="D26" t="n">
        <v>2</v>
      </c>
    </row>
    <row r="27">
      <c r="A27" t="inlineStr">
        <is>
          <t>CASCADIA HEALTH ANALY</t>
        </is>
      </c>
      <c r="B27" t="inlineStr">
        <is>
          <t>Cascadia Health Analytics Inc</t>
        </is>
      </c>
      <c r="C27" t="n">
        <v>1</v>
      </c>
      <c r="D27" t="n">
        <v>3</v>
      </c>
    </row>
    <row r="28">
      <c r="A28" t="inlineStr">
        <is>
          <t>CLEARPATH NDIS PLA</t>
        </is>
      </c>
      <c r="B28" t="inlineStr">
        <is>
          <t>Clearpath NDIS Plans</t>
        </is>
      </c>
      <c r="C28" t="n">
        <v>1</v>
      </c>
      <c r="D28" t="n">
        <v>8</v>
      </c>
    </row>
    <row r="29">
      <c r="A29" t="inlineStr">
        <is>
          <t>CLEARPATH NDIS PLANS</t>
        </is>
      </c>
      <c r="B29" t="inlineStr">
        <is>
          <t>Clearpath NDIS Plans</t>
        </is>
      </c>
      <c r="C29" t="n">
        <v>1</v>
      </c>
      <c r="D29" t="n">
        <v>7</v>
      </c>
    </row>
    <row r="30">
      <c r="A30" t="inlineStr">
        <is>
          <t>CLEARPATH NDIS PLANS P</t>
        </is>
      </c>
      <c r="B30" t="inlineStr">
        <is>
          <t>Clearpath NDIS Plans</t>
        </is>
      </c>
      <c r="C30" t="n">
        <v>0.973</v>
      </c>
      <c r="D30" t="n">
        <v>9</v>
      </c>
    </row>
    <row r="31">
      <c r="A31" t="inlineStr">
        <is>
          <t>CLEARPATHNDISPLA</t>
        </is>
      </c>
      <c r="B31" t="inlineStr">
        <is>
          <t>Clearpath NDIS Plans</t>
        </is>
      </c>
      <c r="C31" t="n">
        <v>1</v>
      </c>
      <c r="D31" t="n">
        <v>6</v>
      </c>
    </row>
    <row r="32">
      <c r="A32" t="inlineStr">
        <is>
          <t>CLINIC PRACTICE SO</t>
        </is>
      </c>
      <c r="B32" t="inlineStr">
        <is>
          <t>Clinic Practice Software AU</t>
        </is>
      </c>
      <c r="C32" t="n">
        <v>1</v>
      </c>
      <c r="D32" t="n">
        <v>1</v>
      </c>
    </row>
    <row r="33">
      <c r="A33" t="inlineStr">
        <is>
          <t>CLINIC PRACTICE SOFT</t>
        </is>
      </c>
      <c r="B33" t="inlineStr">
        <is>
          <t>Clinic Practice Software AU</t>
        </is>
      </c>
      <c r="C33" t="n">
        <v>1</v>
      </c>
      <c r="D33" t="n">
        <v>2</v>
      </c>
    </row>
    <row r="34">
      <c r="A34" t="inlineStr">
        <is>
          <t>CLINICAL NOTES CLO</t>
        </is>
      </c>
      <c r="B34" t="inlineStr">
        <is>
          <t>Clinical Notes Cloud LLC</t>
        </is>
      </c>
      <c r="C34" t="n">
        <v>1</v>
      </c>
      <c r="D34" t="n">
        <v>1</v>
      </c>
    </row>
    <row r="35">
      <c r="A35" t="inlineStr">
        <is>
          <t>CLINICAL NOTES CLOUD</t>
        </is>
      </c>
      <c r="B35" t="inlineStr">
        <is>
          <t>Clinical Notes Cloud LLC</t>
        </is>
      </c>
      <c r="C35" t="n">
        <v>1</v>
      </c>
      <c r="D35" t="n">
        <v>1</v>
      </c>
    </row>
    <row r="36">
      <c r="A36" t="inlineStr">
        <is>
          <t>CLINICAL NOTES CLOUD L</t>
        </is>
      </c>
      <c r="B36" t="inlineStr">
        <is>
          <t>Clinical Notes Cloud LLC</t>
        </is>
      </c>
      <c r="C36" t="n">
        <v>0.973</v>
      </c>
      <c r="D36" t="n">
        <v>1</v>
      </c>
    </row>
    <row r="37">
      <c r="A37" t="inlineStr">
        <is>
          <t>CLOUD PAYROLL</t>
        </is>
      </c>
      <c r="B37" t="inlineStr">
        <is>
          <t>Cloud Payroll Pty Ltd</t>
        </is>
      </c>
      <c r="C37" t="n">
        <v>1</v>
      </c>
      <c r="D37" t="n">
        <v>2</v>
      </c>
    </row>
    <row r="38">
      <c r="A38" t="inlineStr">
        <is>
          <t>CLOUDPAYROLL</t>
        </is>
      </c>
      <c r="B38" t="inlineStr">
        <is>
          <t>Cloud Payroll Pty Ltd</t>
        </is>
      </c>
      <c r="C38" t="n">
        <v>1</v>
      </c>
      <c r="D38" t="n">
        <v>1</v>
      </c>
    </row>
    <row r="39">
      <c r="A39" t="inlineStr">
        <is>
          <t>COASTLINE HEALTH F</t>
        </is>
      </c>
      <c r="B39" t="inlineStr">
        <is>
          <t>Coastline Health Fund</t>
        </is>
      </c>
      <c r="C39" t="n">
        <v>1</v>
      </c>
      <c r="D39" t="n">
        <v>4</v>
      </c>
    </row>
    <row r="40">
      <c r="A40" t="inlineStr">
        <is>
          <t>COASTLINE HEALTH FUN</t>
        </is>
      </c>
      <c r="B40" t="inlineStr">
        <is>
          <t>Coastline Health Fund</t>
        </is>
      </c>
      <c r="C40" t="n">
        <v>1</v>
      </c>
      <c r="D40" t="n">
        <v>3</v>
      </c>
    </row>
    <row r="41">
      <c r="A41" t="inlineStr">
        <is>
          <t>COASTLINE HEALTH FUND</t>
        </is>
      </c>
      <c r="B41" t="inlineStr">
        <is>
          <t>Coastline Health Fund</t>
        </is>
      </c>
      <c r="C41" t="n">
        <v>1</v>
      </c>
      <c r="D41" t="n">
        <v>6</v>
      </c>
    </row>
    <row r="42">
      <c r="A42" t="inlineStr">
        <is>
          <t>COASTLINEHEALTHF</t>
        </is>
      </c>
      <c r="B42" t="inlineStr">
        <is>
          <t>Coastline Health Fund</t>
        </is>
      </c>
      <c r="C42" t="n">
        <v>1</v>
      </c>
      <c r="D42" t="n">
        <v>4</v>
      </c>
    </row>
    <row r="43">
      <c r="A43" t="inlineStr">
        <is>
          <t>COBBLESTONE RETAIL</t>
        </is>
      </c>
      <c r="B43" t="inlineStr">
        <is>
          <t>Cobblestone Retail Group</t>
        </is>
      </c>
      <c r="C43" t="n">
        <v>1</v>
      </c>
      <c r="D43" t="n">
        <v>1</v>
      </c>
    </row>
    <row r="44">
      <c r="A44" t="inlineStr">
        <is>
          <t>COBBLESTONE RETAIL GRO</t>
        </is>
      </c>
      <c r="B44" t="inlineStr">
        <is>
          <t>Cobblestone Retail Group</t>
        </is>
      </c>
      <c r="C44" t="n">
        <v>1</v>
      </c>
      <c r="D44" t="n">
        <v>1</v>
      </c>
    </row>
    <row r="45">
      <c r="A45" t="inlineStr">
        <is>
          <t>COBBLESTONERETAI</t>
        </is>
      </c>
      <c r="B45" t="inlineStr">
        <is>
          <t>Cobblestone Retail Group</t>
        </is>
      </c>
      <c r="C45" t="n">
        <v>1</v>
      </c>
      <c r="D45" t="n">
        <v>1</v>
      </c>
    </row>
    <row r="46">
      <c r="A46" t="inlineStr">
        <is>
          <t>COLLINS ST PROPERT</t>
        </is>
      </c>
      <c r="B46" t="inlineStr">
        <is>
          <t>Collins St Property Trust</t>
        </is>
      </c>
      <c r="C46" t="n">
        <v>1</v>
      </c>
      <c r="D46" t="n">
        <v>1</v>
      </c>
    </row>
    <row r="47">
      <c r="A47" t="inlineStr">
        <is>
          <t>COLLINS ST PROPERTY TR</t>
        </is>
      </c>
      <c r="B47" t="inlineStr">
        <is>
          <t>Collins St Property Trust</t>
        </is>
      </c>
      <c r="C47" t="n">
        <v>1</v>
      </c>
      <c r="D47" t="n">
        <v>1</v>
      </c>
    </row>
    <row r="48">
      <c r="A48" t="inlineStr">
        <is>
          <t>COLLINSSTPROPERT</t>
        </is>
      </c>
      <c r="B48" t="inlineStr">
        <is>
          <t>Collins St Property Trust</t>
        </is>
      </c>
      <c r="C48" t="n">
        <v>1</v>
      </c>
      <c r="D48" t="n">
        <v>1</v>
      </c>
    </row>
    <row r="49">
      <c r="A49" t="inlineStr">
        <is>
          <t>COPPERLEAF CHILDCARE</t>
        </is>
      </c>
      <c r="B49" t="inlineStr">
        <is>
          <t>Copperleaf Childcare</t>
        </is>
      </c>
      <c r="C49" t="n">
        <v>1</v>
      </c>
      <c r="D49" t="n">
        <v>1</v>
      </c>
    </row>
    <row r="50">
      <c r="A50" t="inlineStr">
        <is>
          <t>COPPERLEAF CHILDCARE P</t>
        </is>
      </c>
      <c r="B50" t="inlineStr">
        <is>
          <t>Copperleaf Childcare</t>
        </is>
      </c>
      <c r="C50" t="n">
        <v>0.974</v>
      </c>
      <c r="D50" t="n">
        <v>1</v>
      </c>
    </row>
    <row r="51">
      <c r="A51" t="inlineStr">
        <is>
          <t>COPPERLEAFCHILDC</t>
        </is>
      </c>
      <c r="B51" t="inlineStr">
        <is>
          <t>Copperleaf Childcare</t>
        </is>
      </c>
      <c r="C51" t="n">
        <v>1</v>
      </c>
      <c r="D51" t="n">
        <v>1</v>
      </c>
    </row>
    <row r="52">
      <c r="A52" t="inlineStr">
        <is>
          <t>DAINTREE PACKAGING</t>
        </is>
      </c>
      <c r="B52" t="inlineStr">
        <is>
          <t>Daintree Packaging</t>
        </is>
      </c>
      <c r="C52" t="n">
        <v>1</v>
      </c>
      <c r="D52" t="n">
        <v>1</v>
      </c>
    </row>
    <row r="53">
      <c r="A53" t="inlineStr">
        <is>
          <t>DAINTREE PACKAGING PTY</t>
        </is>
      </c>
      <c r="B53" t="inlineStr">
        <is>
          <t>Daintree Packaging</t>
        </is>
      </c>
      <c r="C53" t="n">
        <v>1</v>
      </c>
      <c r="D53" t="n">
        <v>2</v>
      </c>
    </row>
    <row r="54">
      <c r="A54" t="inlineStr">
        <is>
          <t>DAINTREEPACKAGIN</t>
        </is>
      </c>
      <c r="B54" t="inlineStr">
        <is>
          <t>Daintree Packaging</t>
        </is>
      </c>
      <c r="C54" t="n">
        <v>1</v>
      </c>
      <c r="D54" t="n">
        <v>1</v>
      </c>
    </row>
    <row r="55">
      <c r="A55" t="inlineStr">
        <is>
          <t>ELMHURST PROPERTY</t>
        </is>
      </c>
      <c r="B55" t="inlineStr">
        <is>
          <t>Elmhurst Property Group</t>
        </is>
      </c>
      <c r="C55" t="n">
        <v>1</v>
      </c>
      <c r="D55" t="n">
        <v>2</v>
      </c>
    </row>
    <row r="56">
      <c r="A56" t="inlineStr">
        <is>
          <t>ELMHURST PROPERTY GR</t>
        </is>
      </c>
      <c r="B56" t="inlineStr">
        <is>
          <t>Elmhurst Property Group</t>
        </is>
      </c>
      <c r="C56" t="n">
        <v>1</v>
      </c>
      <c r="D56" t="n">
        <v>1</v>
      </c>
    </row>
    <row r="57">
      <c r="A57" t="inlineStr">
        <is>
          <t>EQUIPMENT FINANCE LOAN 07</t>
        </is>
      </c>
      <c r="B57" t="inlineStr">
        <is>
          <t>Equipment Finance Co</t>
        </is>
      </c>
      <c r="C57" t="n">
        <v>0.85</v>
      </c>
      <c r="D57" t="n">
        <v>1</v>
      </c>
    </row>
    <row r="58">
      <c r="A58" t="inlineStr">
        <is>
          <t>EQUIPMENT FINANCE LOAN 08</t>
        </is>
      </c>
      <c r="B58" t="inlineStr">
        <is>
          <t>Equipment Finance Co</t>
        </is>
      </c>
      <c r="C58" t="n">
        <v>0.85</v>
      </c>
      <c r="D58" t="n">
        <v>1</v>
      </c>
    </row>
    <row r="59">
      <c r="A59" t="inlineStr">
        <is>
          <t>EQUIPMENT FINANCE LOAN 09</t>
        </is>
      </c>
      <c r="B59" t="inlineStr">
        <is>
          <t>Equipment Finance Co</t>
        </is>
      </c>
      <c r="C59" t="n">
        <v>0.85</v>
      </c>
      <c r="D59" t="n">
        <v>1</v>
      </c>
    </row>
    <row r="60">
      <c r="A60" t="inlineStr">
        <is>
          <t>FAIRLIE BROS PLUMBIN</t>
        </is>
      </c>
      <c r="B60" t="inlineStr">
        <is>
          <t>Fairlie Bros Plumbing</t>
        </is>
      </c>
      <c r="C60" t="n">
        <v>1</v>
      </c>
      <c r="D60" t="n">
        <v>1</v>
      </c>
    </row>
    <row r="61">
      <c r="A61" t="inlineStr">
        <is>
          <t>FAIRLIE BROS PLUMBING</t>
        </is>
      </c>
      <c r="B61" t="inlineStr">
        <is>
          <t>Fairlie Bros Plumbing</t>
        </is>
      </c>
      <c r="C61" t="n">
        <v>1</v>
      </c>
      <c r="D61" t="n">
        <v>2</v>
      </c>
    </row>
    <row r="62">
      <c r="A62" t="inlineStr">
        <is>
          <t>FERNHILLAGEDCARE</t>
        </is>
      </c>
      <c r="B62" t="inlineStr">
        <is>
          <t>Fernhill Aged Care</t>
        </is>
      </c>
      <c r="C62" t="n">
        <v>1</v>
      </c>
      <c r="D62" t="n">
        <v>2</v>
      </c>
    </row>
    <row r="63">
      <c r="A63" t="inlineStr">
        <is>
          <t>FIBREWIRE NETWORKS</t>
        </is>
      </c>
      <c r="B63" t="inlineStr">
        <is>
          <t>Fibrewire Networks</t>
        </is>
      </c>
      <c r="C63" t="n">
        <v>1</v>
      </c>
      <c r="D63" t="n">
        <v>3</v>
      </c>
    </row>
    <row r="64">
      <c r="A64" t="inlineStr">
        <is>
          <t>FLEETWISE VEHICLE LE</t>
        </is>
      </c>
      <c r="B64" t="inlineStr">
        <is>
          <t>Fleetwise Vehicle Leasing</t>
        </is>
      </c>
      <c r="C64" t="n">
        <v>1</v>
      </c>
      <c r="D64" t="n">
        <v>2</v>
      </c>
    </row>
    <row r="65">
      <c r="A65" t="inlineStr">
        <is>
          <t>FLEETWISEVEHICLE</t>
        </is>
      </c>
      <c r="B65" t="inlineStr">
        <is>
          <t>Fleetwise Vehicle Leasing</t>
        </is>
      </c>
      <c r="C65" t="n">
        <v>1</v>
      </c>
      <c r="D65" t="n">
        <v>1</v>
      </c>
    </row>
    <row r="66">
      <c r="A66" t="inlineStr">
        <is>
          <t>GILMOUR STEEL</t>
        </is>
      </c>
      <c r="B66" t="inlineStr">
        <is>
          <t>Gilmour Steel Pty Ltd</t>
        </is>
      </c>
      <c r="C66" t="n">
        <v>1</v>
      </c>
      <c r="D66" t="n">
        <v>1</v>
      </c>
    </row>
    <row r="67">
      <c r="A67" t="inlineStr">
        <is>
          <t>GILMOUR STEEL PTY LTD</t>
        </is>
      </c>
      <c r="B67" t="inlineStr">
        <is>
          <t>Gilmour Steel Pty Ltd</t>
        </is>
      </c>
      <c r="C67" t="n">
        <v>1</v>
      </c>
      <c r="D67" t="n">
        <v>1</v>
      </c>
    </row>
    <row r="68">
      <c r="A68" t="inlineStr">
        <is>
          <t>GILMOURSTEEL</t>
        </is>
      </c>
      <c r="B68" t="inlineStr">
        <is>
          <t>Gilmour Steel Pty Ltd</t>
        </is>
      </c>
      <c r="C68" t="n">
        <v>1</v>
      </c>
      <c r="D68" t="n">
        <v>1</v>
      </c>
    </row>
    <row r="69">
      <c r="A69" t="inlineStr">
        <is>
          <t>GREYSTANES BUILDIN</t>
        </is>
      </c>
      <c r="B69" t="inlineStr">
        <is>
          <t>Greystanes Building Co</t>
        </is>
      </c>
      <c r="C69" t="n">
        <v>1</v>
      </c>
      <c r="D69" t="n">
        <v>2</v>
      </c>
    </row>
    <row r="70">
      <c r="A70" t="inlineStr">
        <is>
          <t>GREYSTANESBUILDI</t>
        </is>
      </c>
      <c r="B70" t="inlineStr">
        <is>
          <t>Greystanes Building Co</t>
        </is>
      </c>
      <c r="C70" t="n">
        <v>1</v>
      </c>
      <c r="D70" t="n">
        <v>1</v>
      </c>
    </row>
    <row r="71">
      <c r="A71" t="inlineStr">
        <is>
          <t>HARBOUR MUTUAL HEA</t>
        </is>
      </c>
      <c r="B71" t="inlineStr">
        <is>
          <t>Harbour Mutual Health</t>
        </is>
      </c>
      <c r="C71" t="n">
        <v>1</v>
      </c>
      <c r="D71" t="n">
        <v>3</v>
      </c>
    </row>
    <row r="72">
      <c r="A72" t="inlineStr">
        <is>
          <t>HARBOUR MUTUAL HEALT</t>
        </is>
      </c>
      <c r="B72" t="inlineStr">
        <is>
          <t>Harbour Mutual Health</t>
        </is>
      </c>
      <c r="C72" t="n">
        <v>1</v>
      </c>
      <c r="D72" t="n">
        <v>8</v>
      </c>
    </row>
    <row r="73">
      <c r="A73" t="inlineStr">
        <is>
          <t>HARBOUR MUTUAL HEALTH</t>
        </is>
      </c>
      <c r="B73" t="inlineStr">
        <is>
          <t>Harbour Mutual Health</t>
        </is>
      </c>
      <c r="C73" t="n">
        <v>1</v>
      </c>
      <c r="D73" t="n">
        <v>5</v>
      </c>
    </row>
    <row r="74">
      <c r="A74" t="inlineStr">
        <is>
          <t>HARBOURMUTUALHEA</t>
        </is>
      </c>
      <c r="B74" t="inlineStr">
        <is>
          <t>Harbour Mutual Health</t>
        </is>
      </c>
      <c r="C74" t="n">
        <v>1</v>
      </c>
      <c r="D74" t="n">
        <v>6</v>
      </c>
    </row>
    <row r="75">
      <c r="A75" t="inlineStr">
        <is>
          <t>HARTIGAN TRANSPORT</t>
        </is>
      </c>
      <c r="B75" t="inlineStr">
        <is>
          <t>Hartigan Transport</t>
        </is>
      </c>
      <c r="C75" t="n">
        <v>1</v>
      </c>
      <c r="D75" t="n">
        <v>1</v>
      </c>
    </row>
    <row r="76">
      <c r="A76" t="inlineStr">
        <is>
          <t>HARTIGANTRANSPOR</t>
        </is>
      </c>
      <c r="B76" t="inlineStr">
        <is>
          <t>Hartigan Transport</t>
        </is>
      </c>
      <c r="C76" t="n">
        <v>1</v>
      </c>
      <c r="D76" t="n">
        <v>3</v>
      </c>
    </row>
    <row r="77">
      <c r="A77" t="inlineStr">
        <is>
          <t>HOLLIS AND FRY ARCHITE</t>
        </is>
      </c>
      <c r="B77" t="inlineStr">
        <is>
          <t>Hollis &amp; Fry Architects</t>
        </is>
      </c>
      <c r="C77" t="n">
        <v>1</v>
      </c>
      <c r="D77" t="n">
        <v>1</v>
      </c>
    </row>
    <row r="78">
      <c r="A78" t="inlineStr">
        <is>
          <t>HOLLISANDFRYARCH</t>
        </is>
      </c>
      <c r="B78" t="inlineStr">
        <is>
          <t>Hollis &amp; Fry Architects</t>
        </is>
      </c>
      <c r="C78" t="n">
        <v>1</v>
      </c>
      <c r="D78" t="n">
        <v>2</v>
      </c>
    </row>
    <row r="79">
      <c r="A79" t="inlineStr">
        <is>
          <t>INGLEWOOD COLD STORA</t>
        </is>
      </c>
      <c r="B79" t="inlineStr">
        <is>
          <t>Inglewood Cold Storage</t>
        </is>
      </c>
      <c r="C79" t="n">
        <v>1</v>
      </c>
      <c r="D79" t="n">
        <v>1</v>
      </c>
    </row>
    <row r="80">
      <c r="A80" t="inlineStr">
        <is>
          <t>INGLEWOOD COLD STORAGE</t>
        </is>
      </c>
      <c r="B80" t="inlineStr">
        <is>
          <t>Inglewood Cold Storage</t>
        </is>
      </c>
      <c r="C80" t="n">
        <v>1</v>
      </c>
      <c r="D80" t="n">
        <v>1</v>
      </c>
    </row>
    <row r="81">
      <c r="A81" t="inlineStr">
        <is>
          <t>INGLEWOODCOLDSTO</t>
        </is>
      </c>
      <c r="B81" t="inlineStr">
        <is>
          <t>Inglewood Cold Storage</t>
        </is>
      </c>
      <c r="C81" t="n">
        <v>1</v>
      </c>
      <c r="D81" t="n">
        <v>2</v>
      </c>
    </row>
    <row r="82">
      <c r="A82" t="inlineStr">
        <is>
          <t>IRONBARK PLAN MANA</t>
        </is>
      </c>
      <c r="B82" t="inlineStr">
        <is>
          <t>Ironbark Plan Management</t>
        </is>
      </c>
      <c r="C82" t="n">
        <v>1</v>
      </c>
      <c r="D82" t="n">
        <v>3</v>
      </c>
    </row>
    <row r="83">
      <c r="A83" t="inlineStr">
        <is>
          <t>IRONBARK PLAN MANAGEME</t>
        </is>
      </c>
      <c r="B83" t="inlineStr">
        <is>
          <t>Ironbark Plan Management</t>
        </is>
      </c>
      <c r="C83" t="n">
        <v>1</v>
      </c>
      <c r="D83" t="n">
        <v>7</v>
      </c>
    </row>
    <row r="84">
      <c r="A84" t="inlineStr">
        <is>
          <t>IRONBARK PLAN MGMT</t>
        </is>
      </c>
      <c r="B84" t="inlineStr">
        <is>
          <t>Ironbark Plan Management</t>
        </is>
      </c>
      <c r="C84" t="n">
        <v>1</v>
      </c>
      <c r="D84" t="n">
        <v>9</v>
      </c>
    </row>
    <row r="85">
      <c r="A85" t="inlineStr">
        <is>
          <t>IRONBARKPLANMANA</t>
        </is>
      </c>
      <c r="B85" t="inlineStr">
        <is>
          <t>Ironbark Plan Management</t>
        </is>
      </c>
      <c r="C85" t="n">
        <v>1</v>
      </c>
      <c r="D85" t="n">
        <v>5</v>
      </c>
    </row>
    <row r="86">
      <c r="A86" t="inlineStr">
        <is>
          <t>JARRAH RIDGE ESTATES</t>
        </is>
      </c>
      <c r="B86" t="inlineStr">
        <is>
          <t>Jarrah Ridge Estates</t>
        </is>
      </c>
      <c r="C86" t="n">
        <v>1</v>
      </c>
      <c r="D86" t="n">
        <v>3</v>
      </c>
    </row>
    <row r="87">
      <c r="A87" t="inlineStr">
        <is>
          <t>JARRAH RIDGE ESTATES P</t>
        </is>
      </c>
      <c r="B87" t="inlineStr">
        <is>
          <t>Jarrah Ridge Estates</t>
        </is>
      </c>
      <c r="C87" t="n">
        <v>0.973</v>
      </c>
      <c r="D87" t="n">
        <v>2</v>
      </c>
    </row>
    <row r="88">
      <c r="A88" t="inlineStr">
        <is>
          <t>KESTREL LANE FOODS</t>
        </is>
      </c>
      <c r="B88" t="inlineStr">
        <is>
          <t>Kestrel Lane Foods</t>
        </is>
      </c>
      <c r="C88" t="n">
        <v>1</v>
      </c>
      <c r="D88" t="n">
        <v>2</v>
      </c>
    </row>
    <row r="89">
      <c r="A89" t="inlineStr">
        <is>
          <t>KESTREL LANE FOODS PTY</t>
        </is>
      </c>
      <c r="B89" t="inlineStr">
        <is>
          <t>Kestrel Lane Foods</t>
        </is>
      </c>
      <c r="C89" t="n">
        <v>1</v>
      </c>
      <c r="D89" t="n">
        <v>1</v>
      </c>
    </row>
    <row r="90">
      <c r="A90" t="inlineStr">
        <is>
          <t>KESTRELLANEFOODS</t>
        </is>
      </c>
      <c r="B90" t="inlineStr">
        <is>
          <t>Kestrel Lane Foods</t>
        </is>
      </c>
      <c r="C90" t="n">
        <v>1</v>
      </c>
      <c r="D90" t="n">
        <v>1</v>
      </c>
    </row>
    <row r="91">
      <c r="A91" t="inlineStr">
        <is>
          <t>KINROSSMEDICALCO</t>
        </is>
      </c>
      <c r="B91" t="inlineStr">
        <is>
          <t>Kinross Medical Couriers</t>
        </is>
      </c>
      <c r="C91" t="n">
        <v>1</v>
      </c>
      <c r="D91" t="n">
        <v>1</v>
      </c>
    </row>
    <row r="92">
      <c r="A92" t="inlineStr">
        <is>
          <t>KOOKABURRA PLAN SU</t>
        </is>
      </c>
      <c r="B92" t="inlineStr">
        <is>
          <t>Kookaburra Plan Support</t>
        </is>
      </c>
      <c r="C92" t="n">
        <v>1</v>
      </c>
      <c r="D92" t="n">
        <v>5</v>
      </c>
    </row>
    <row r="93">
      <c r="A93" t="inlineStr">
        <is>
          <t>KOOKABURRA PLAN SUPP</t>
        </is>
      </c>
      <c r="B93" t="inlineStr">
        <is>
          <t>Kookaburra Plan Support</t>
        </is>
      </c>
      <c r="C93" t="n">
        <v>1</v>
      </c>
      <c r="D93" t="n">
        <v>7</v>
      </c>
    </row>
    <row r="94">
      <c r="A94" t="inlineStr">
        <is>
          <t>KOOKABURRA PLAN SUPPOR</t>
        </is>
      </c>
      <c r="B94" t="inlineStr">
        <is>
          <t>Kookaburra Plan Support</t>
        </is>
      </c>
      <c r="C94" t="n">
        <v>1</v>
      </c>
      <c r="D94" t="n">
        <v>9</v>
      </c>
    </row>
    <row r="95">
      <c r="A95" t="inlineStr">
        <is>
          <t>KOOKABURRAPLANSU</t>
        </is>
      </c>
      <c r="B95" t="inlineStr">
        <is>
          <t>Kookaburra Plan Support</t>
        </is>
      </c>
      <c r="C95" t="n">
        <v>1</v>
      </c>
      <c r="D95" t="n">
        <v>9</v>
      </c>
    </row>
    <row r="96">
      <c r="A96" t="inlineStr">
        <is>
          <t>LINFIELD DAIRY CO</t>
        </is>
      </c>
      <c r="B96" t="inlineStr">
        <is>
          <t>Linfield Dairy Co</t>
        </is>
      </c>
      <c r="C96" t="n">
        <v>1</v>
      </c>
      <c r="D96" t="n">
        <v>2</v>
      </c>
    </row>
    <row r="97">
      <c r="A97" t="inlineStr">
        <is>
          <t>LOCKHART GLASS</t>
        </is>
      </c>
      <c r="B97" t="inlineStr">
        <is>
          <t>Lockhart Glass</t>
        </is>
      </c>
      <c r="C97" t="n">
        <v>1</v>
      </c>
      <c r="D97" t="n">
        <v>2</v>
      </c>
    </row>
    <row r="98">
      <c r="A98" t="inlineStr">
        <is>
          <t>LOCKHART GLASS PTY LTD</t>
        </is>
      </c>
      <c r="B98" t="inlineStr">
        <is>
          <t>Lockhart Glass</t>
        </is>
      </c>
      <c r="C98" t="n">
        <v>1</v>
      </c>
      <c r="D98" t="n">
        <v>2</v>
      </c>
    </row>
    <row r="99">
      <c r="A99" t="inlineStr">
        <is>
          <t>LOCKHARTGLASS</t>
        </is>
      </c>
      <c r="B99" t="inlineStr">
        <is>
          <t>Lockhart Glass</t>
        </is>
      </c>
      <c r="C99" t="n">
        <v>1</v>
      </c>
      <c r="D99" t="n">
        <v>1</v>
      </c>
    </row>
    <row r="100">
      <c r="A100" t="inlineStr">
        <is>
          <t>LYREBIRD PLAN MANA</t>
        </is>
      </c>
      <c r="B100" t="inlineStr">
        <is>
          <t>Lyrebird Plan Management</t>
        </is>
      </c>
      <c r="C100" t="n">
        <v>1</v>
      </c>
      <c r="D100" t="n">
        <v>8</v>
      </c>
    </row>
    <row r="101">
      <c r="A101" t="inlineStr">
        <is>
          <t>LYREBIRD PLAN MANAGEME</t>
        </is>
      </c>
      <c r="B101" t="inlineStr">
        <is>
          <t>Lyrebird Plan Management</t>
        </is>
      </c>
      <c r="C101" t="n">
        <v>1</v>
      </c>
      <c r="D101" t="n">
        <v>11</v>
      </c>
    </row>
    <row r="102">
      <c r="A102" t="inlineStr">
        <is>
          <t>LYREBIRD PLAN MGMT</t>
        </is>
      </c>
      <c r="B102" t="inlineStr">
        <is>
          <t>Lyrebird Plan Management</t>
        </is>
      </c>
      <c r="C102" t="n">
        <v>1</v>
      </c>
      <c r="D102" t="n">
        <v>7</v>
      </c>
    </row>
    <row r="103">
      <c r="A103" t="inlineStr">
        <is>
          <t>LYREBIRDPLANMANA</t>
        </is>
      </c>
      <c r="B103" t="inlineStr">
        <is>
          <t>Lyrebird Plan Management</t>
        </is>
      </c>
      <c r="C103" t="n">
        <v>1</v>
      </c>
      <c r="D103" t="n">
        <v>7</v>
      </c>
    </row>
    <row r="104">
      <c r="A104" t="inlineStr">
        <is>
          <t>MALLEE PLAN SERVIC</t>
        </is>
      </c>
      <c r="B104" t="inlineStr">
        <is>
          <t>Mallee Plan Services</t>
        </is>
      </c>
      <c r="C104" t="n">
        <v>1</v>
      </c>
      <c r="D104" t="n">
        <v>7</v>
      </c>
    </row>
    <row r="105">
      <c r="A105" t="inlineStr">
        <is>
          <t>MALLEE PLAN SERVICES</t>
        </is>
      </c>
      <c r="B105" t="inlineStr">
        <is>
          <t>Mallee Plan Services</t>
        </is>
      </c>
      <c r="C105" t="n">
        <v>1</v>
      </c>
      <c r="D105" t="n">
        <v>11</v>
      </c>
    </row>
    <row r="106">
      <c r="A106" t="inlineStr">
        <is>
          <t>MALLEE PLAN SERVICES P</t>
        </is>
      </c>
      <c r="B106" t="inlineStr">
        <is>
          <t>Mallee Plan Services</t>
        </is>
      </c>
      <c r="C106" t="n">
        <v>0.973</v>
      </c>
      <c r="D106" t="n">
        <v>4</v>
      </c>
    </row>
    <row r="107">
      <c r="A107" t="inlineStr">
        <is>
          <t>MALLEEPLANSERVIC</t>
        </is>
      </c>
      <c r="B107" t="inlineStr">
        <is>
          <t>Mallee Plan Services</t>
        </is>
      </c>
      <c r="C107" t="n">
        <v>1</v>
      </c>
      <c r="D107" t="n">
        <v>10</v>
      </c>
    </row>
    <row r="108">
      <c r="A108" t="inlineStr">
        <is>
          <t>MARLOWE PRINT AND</t>
        </is>
      </c>
      <c r="B108" t="inlineStr">
        <is>
          <t>Marlowe Print &amp; Pack</t>
        </is>
      </c>
      <c r="C108" t="n">
        <v>1</v>
      </c>
      <c r="D108" t="n">
        <v>1</v>
      </c>
    </row>
    <row r="109">
      <c r="A109" t="inlineStr">
        <is>
          <t>MARLOWE PRINT AND PA</t>
        </is>
      </c>
      <c r="B109" t="inlineStr">
        <is>
          <t>Marlowe Print &amp; Pack</t>
        </is>
      </c>
      <c r="C109" t="n">
        <v>1</v>
      </c>
      <c r="D109" t="n">
        <v>1</v>
      </c>
    </row>
    <row r="110">
      <c r="A110" t="inlineStr">
        <is>
          <t>MARLOWE PRINT AND PACK</t>
        </is>
      </c>
      <c r="B110" t="inlineStr">
        <is>
          <t>Marlowe Print &amp; Pack</t>
        </is>
      </c>
      <c r="C110" t="n">
        <v>1</v>
      </c>
      <c r="D110" t="n">
        <v>3</v>
      </c>
    </row>
    <row r="111">
      <c r="A111" t="inlineStr">
        <is>
          <t>MEDISURE PROFESSIO</t>
        </is>
      </c>
      <c r="B111" t="inlineStr">
        <is>
          <t>Medisure Professional Indemnity</t>
        </is>
      </c>
      <c r="C111" t="n">
        <v>1</v>
      </c>
      <c r="D111" t="n">
        <v>1</v>
      </c>
    </row>
    <row r="112">
      <c r="A112" t="inlineStr">
        <is>
          <t>MEDISURE PROFESSIONA</t>
        </is>
      </c>
      <c r="B112" t="inlineStr">
        <is>
          <t>Medisure Professional Indemnity</t>
        </is>
      </c>
      <c r="C112" t="n">
        <v>1</v>
      </c>
      <c r="D112" t="n">
        <v>1</v>
      </c>
    </row>
    <row r="113">
      <c r="A113" t="inlineStr">
        <is>
          <t>MEDISUREPROFESSI</t>
        </is>
      </c>
      <c r="B113" t="inlineStr">
        <is>
          <t>Medisure Professional Indemnity</t>
        </is>
      </c>
      <c r="C113" t="n">
        <v>1</v>
      </c>
      <c r="D113" t="n">
        <v>1</v>
      </c>
    </row>
    <row r="114">
      <c r="A114" t="inlineStr">
        <is>
          <t>MERIDIAN HEALTH CO</t>
        </is>
      </c>
      <c r="B114" t="inlineStr">
        <is>
          <t>Meridian Health Cover</t>
        </is>
      </c>
      <c r="C114" t="n">
        <v>1</v>
      </c>
      <c r="D114" t="n">
        <v>3</v>
      </c>
    </row>
    <row r="115">
      <c r="A115" t="inlineStr">
        <is>
          <t>MERIDIAN HEALTH COVE</t>
        </is>
      </c>
      <c r="B115" t="inlineStr">
        <is>
          <t>Meridian Health Cover</t>
        </is>
      </c>
      <c r="C115" t="n">
        <v>1</v>
      </c>
      <c r="D115" t="n">
        <v>7</v>
      </c>
    </row>
    <row r="116">
      <c r="A116" t="inlineStr">
        <is>
          <t>MERIDIAN HEALTH COVER</t>
        </is>
      </c>
      <c r="B116" t="inlineStr">
        <is>
          <t>Meridian Health Cover</t>
        </is>
      </c>
      <c r="C116" t="n">
        <v>1</v>
      </c>
      <c r="D116" t="n">
        <v>9</v>
      </c>
    </row>
    <row r="117">
      <c r="A117" t="inlineStr">
        <is>
          <t>MERIDIANHEALTHCO</t>
        </is>
      </c>
      <c r="B117" t="inlineStr">
        <is>
          <t>Meridian Health Cover</t>
        </is>
      </c>
      <c r="C117" t="n">
        <v>1</v>
      </c>
      <c r="D117" t="n">
        <v>5</v>
      </c>
    </row>
    <row r="118">
      <c r="A118" t="inlineStr">
        <is>
          <t>MOORABBIN OFFICE P</t>
        </is>
      </c>
      <c r="B118" t="inlineStr">
        <is>
          <t>Moorabbin Office Park</t>
        </is>
      </c>
      <c r="C118" t="n">
        <v>1</v>
      </c>
      <c r="D118" t="n">
        <v>2</v>
      </c>
    </row>
    <row r="119">
      <c r="A119" t="inlineStr">
        <is>
          <t>MOORABBINOFFICEP</t>
        </is>
      </c>
      <c r="B119" t="inlineStr">
        <is>
          <t>Moorabbin Office Park</t>
        </is>
      </c>
      <c r="C119" t="n">
        <v>1</v>
      </c>
      <c r="D119" t="n">
        <v>1</v>
      </c>
    </row>
    <row r="120">
      <c r="A120" t="inlineStr">
        <is>
          <t>MORNANE ELECTRICAL</t>
        </is>
      </c>
      <c r="B120" t="inlineStr">
        <is>
          <t>Mornane Electrical</t>
        </is>
      </c>
      <c r="C120" t="n">
        <v>1</v>
      </c>
      <c r="D120" t="n">
        <v>2</v>
      </c>
    </row>
    <row r="121">
      <c r="A121" t="inlineStr">
        <is>
          <t>MORNANE ELECTRICAL PTY</t>
        </is>
      </c>
      <c r="B121" t="inlineStr">
        <is>
          <t>Mornane Electrical</t>
        </is>
      </c>
      <c r="C121" t="n">
        <v>1</v>
      </c>
      <c r="D121" t="n">
        <v>1</v>
      </c>
    </row>
    <row r="122">
      <c r="A122" t="inlineStr">
        <is>
          <t>MORNANEELECTRICA</t>
        </is>
      </c>
      <c r="B122" t="inlineStr">
        <is>
          <t>Mornane Electrical</t>
        </is>
      </c>
      <c r="C122" t="n">
        <v>1</v>
      </c>
      <c r="D122" t="n">
        <v>2</v>
      </c>
    </row>
    <row r="123">
      <c r="A123" t="inlineStr">
        <is>
          <t>NETTLEFOLD JOINERY</t>
        </is>
      </c>
      <c r="B123" t="inlineStr">
        <is>
          <t>Nettlefold Joinery</t>
        </is>
      </c>
      <c r="C123" t="n">
        <v>1</v>
      </c>
      <c r="D123" t="n">
        <v>1</v>
      </c>
    </row>
    <row r="124">
      <c r="A124" t="inlineStr">
        <is>
          <t>NETTLEFOLD JOINERY PTY</t>
        </is>
      </c>
      <c r="B124" t="inlineStr">
        <is>
          <t>Nettlefold Joinery</t>
        </is>
      </c>
      <c r="C124" t="n">
        <v>1</v>
      </c>
      <c r="D124" t="n">
        <v>1</v>
      </c>
    </row>
    <row r="125">
      <c r="A125" t="inlineStr">
        <is>
          <t>NETTLEFOLDJOINER</t>
        </is>
      </c>
      <c r="B125" t="inlineStr">
        <is>
          <t>Nettlefold Joinery</t>
        </is>
      </c>
      <c r="C125" t="n">
        <v>1</v>
      </c>
      <c r="D125" t="n">
        <v>1</v>
      </c>
    </row>
    <row r="126">
      <c r="A126" t="inlineStr">
        <is>
          <t>NORTHCOTE RETAIL H</t>
        </is>
      </c>
      <c r="B126" t="inlineStr">
        <is>
          <t>Northcote Retail Holdings</t>
        </is>
      </c>
      <c r="C126" t="n">
        <v>1</v>
      </c>
      <c r="D126" t="n">
        <v>1</v>
      </c>
    </row>
    <row r="127">
      <c r="A127" t="inlineStr">
        <is>
          <t>NORTHCOTE RETAIL HOL</t>
        </is>
      </c>
      <c r="B127" t="inlineStr">
        <is>
          <t>Northcote Retail Holdings</t>
        </is>
      </c>
      <c r="C127" t="n">
        <v>1</v>
      </c>
      <c r="D127" t="n">
        <v>1</v>
      </c>
    </row>
    <row r="128">
      <c r="A128" t="inlineStr">
        <is>
          <t>NORTHCOTE RETAIL HOLDI</t>
        </is>
      </c>
      <c r="B128" t="inlineStr">
        <is>
          <t>Northcote Retail Holdings</t>
        </is>
      </c>
      <c r="C128" t="n">
        <v>1</v>
      </c>
      <c r="D128" t="n">
        <v>1</v>
      </c>
    </row>
    <row r="129">
      <c r="A129" t="inlineStr">
        <is>
          <t>NORTHLINE INJURY C</t>
        </is>
      </c>
      <c r="B129" t="inlineStr">
        <is>
          <t>Northline Injury Claims</t>
        </is>
      </c>
      <c r="C129" t="n">
        <v>1</v>
      </c>
      <c r="D129" t="n">
        <v>8</v>
      </c>
    </row>
    <row r="130">
      <c r="A130" t="inlineStr">
        <is>
          <t>NORTHLINE INJURY CLA</t>
        </is>
      </c>
      <c r="B130" t="inlineStr">
        <is>
          <t>Northline Injury Claims</t>
        </is>
      </c>
      <c r="C130" t="n">
        <v>1</v>
      </c>
      <c r="D130" t="n">
        <v>4</v>
      </c>
    </row>
    <row r="131">
      <c r="A131" t="inlineStr">
        <is>
          <t>NORTHLINE INJURY CLAIM</t>
        </is>
      </c>
      <c r="B131" t="inlineStr">
        <is>
          <t>Northline Injury Claims</t>
        </is>
      </c>
      <c r="C131" t="n">
        <v>1</v>
      </c>
      <c r="D131" t="n">
        <v>6</v>
      </c>
    </row>
    <row r="132">
      <c r="A132" t="inlineStr">
        <is>
          <t>NORTHLINEINJURYC</t>
        </is>
      </c>
      <c r="B132" t="inlineStr">
        <is>
          <t>Northline Injury Claims</t>
        </is>
      </c>
      <c r="C132" t="n">
        <v>1</v>
      </c>
      <c r="D132" t="n">
        <v>4</v>
      </c>
    </row>
    <row r="133">
      <c r="A133" t="inlineStr">
        <is>
          <t>OAKBANK RECYCLING</t>
        </is>
      </c>
      <c r="B133" t="inlineStr">
        <is>
          <t>Oakbank Recycling</t>
        </is>
      </c>
      <c r="C133" t="n">
        <v>1</v>
      </c>
      <c r="D133" t="n">
        <v>1</v>
      </c>
    </row>
    <row r="134">
      <c r="A134" t="inlineStr">
        <is>
          <t>ORCHARD STREET LEGAL P</t>
        </is>
      </c>
      <c r="B134" t="inlineStr">
        <is>
          <t>Orchard Street Legal</t>
        </is>
      </c>
      <c r="C134" t="n">
        <v>0.973</v>
      </c>
      <c r="D134" t="n">
        <v>1</v>
      </c>
    </row>
    <row r="135">
      <c r="A135" t="inlineStr">
        <is>
          <t>ORCHARDSTREETLEG</t>
        </is>
      </c>
      <c r="B135" t="inlineStr">
        <is>
          <t>Orchard Street Legal</t>
        </is>
      </c>
      <c r="C135" t="n">
        <v>1</v>
      </c>
      <c r="D135" t="n">
        <v>1</v>
      </c>
    </row>
    <row r="136">
      <c r="A136" t="inlineStr">
        <is>
          <t>OSTRANDERMANUFAC</t>
        </is>
      </c>
      <c r="B136" t="inlineStr">
        <is>
          <t>Ostrander Manufacturing</t>
        </is>
      </c>
      <c r="C136" t="n">
        <v>1</v>
      </c>
      <c r="D136" t="n">
        <v>3</v>
      </c>
    </row>
    <row r="137">
      <c r="A137" t="inlineStr">
        <is>
          <t>OUTCOME MEASURES C</t>
        </is>
      </c>
      <c r="B137" t="inlineStr">
        <is>
          <t>Outcome Measures Co</t>
        </is>
      </c>
      <c r="C137" t="n">
        <v>1</v>
      </c>
      <c r="D137" t="n">
        <v>1</v>
      </c>
    </row>
    <row r="138">
      <c r="A138" t="inlineStr">
        <is>
          <t>OUTCOME MEASURES CO</t>
        </is>
      </c>
      <c r="B138" t="inlineStr">
        <is>
          <t>Outcome Measures Co</t>
        </is>
      </c>
      <c r="C138" t="n">
        <v>1</v>
      </c>
      <c r="D138" t="n">
        <v>2</v>
      </c>
    </row>
    <row r="139">
      <c r="A139" t="inlineStr">
        <is>
          <t>PELLUCID SOFTWARE</t>
        </is>
      </c>
      <c r="B139" t="inlineStr">
        <is>
          <t>Pellucid Software Pty Ltd</t>
        </is>
      </c>
      <c r="C139" t="n">
        <v>1</v>
      </c>
      <c r="D139" t="n">
        <v>1</v>
      </c>
    </row>
    <row r="140">
      <c r="A140" t="inlineStr">
        <is>
          <t>PELLUCID SOFTWARE PTY</t>
        </is>
      </c>
      <c r="B140" t="inlineStr">
        <is>
          <t>Pellucid Software Pty Ltd</t>
        </is>
      </c>
      <c r="C140" t="n">
        <v>1</v>
      </c>
      <c r="D140" t="n">
        <v>2</v>
      </c>
    </row>
    <row r="141">
      <c r="A141" t="inlineStr">
        <is>
          <t>PENDLE HILL BAKERY</t>
        </is>
      </c>
      <c r="B141" t="inlineStr">
        <is>
          <t>Pendle Hill Bakery</t>
        </is>
      </c>
      <c r="C141" t="n">
        <v>1</v>
      </c>
      <c r="D141" t="n">
        <v>2</v>
      </c>
    </row>
    <row r="142">
      <c r="A142" t="inlineStr">
        <is>
          <t>PEREGRINE SECURITY</t>
        </is>
      </c>
      <c r="B142" t="inlineStr">
        <is>
          <t>Peregrine Security</t>
        </is>
      </c>
      <c r="C142" t="n">
        <v>1</v>
      </c>
      <c r="D142" t="n">
        <v>2</v>
      </c>
    </row>
    <row r="143">
      <c r="A143" t="inlineStr">
        <is>
          <t>PEREGRINE SECURITY PTY</t>
        </is>
      </c>
      <c r="B143" t="inlineStr">
        <is>
          <t>Peregrine Security</t>
        </is>
      </c>
      <c r="C143" t="n">
        <v>1</v>
      </c>
      <c r="D143" t="n">
        <v>1</v>
      </c>
    </row>
    <row r="144">
      <c r="A144" t="inlineStr">
        <is>
          <t>PINNACLE CLAIMS SE</t>
        </is>
      </c>
      <c r="B144" t="inlineStr">
        <is>
          <t>Pinnacle Claims Services</t>
        </is>
      </c>
      <c r="C144" t="n">
        <v>1</v>
      </c>
      <c r="D144" t="n">
        <v>4</v>
      </c>
    </row>
    <row r="145">
      <c r="A145" t="inlineStr">
        <is>
          <t>PINNACLE CLAIMS SERV</t>
        </is>
      </c>
      <c r="B145" t="inlineStr">
        <is>
          <t>Pinnacle Claims Services</t>
        </is>
      </c>
      <c r="C145" t="n">
        <v>1</v>
      </c>
      <c r="D145" t="n">
        <v>6</v>
      </c>
    </row>
    <row r="146">
      <c r="A146" t="inlineStr">
        <is>
          <t>PINNACLE CLAIMS SERVIC</t>
        </is>
      </c>
      <c r="B146" t="inlineStr">
        <is>
          <t>Pinnacle Claims Services</t>
        </is>
      </c>
      <c r="C146" t="n">
        <v>1</v>
      </c>
      <c r="D146" t="n">
        <v>6</v>
      </c>
    </row>
    <row r="147">
      <c r="A147" t="inlineStr">
        <is>
          <t>PINNACLECLAIMSSE</t>
        </is>
      </c>
      <c r="B147" t="inlineStr">
        <is>
          <t>Pinnacle Claims Services</t>
        </is>
      </c>
      <c r="C147" t="n">
        <v>1</v>
      </c>
      <c r="D147" t="n">
        <v>5</v>
      </c>
    </row>
    <row r="148">
      <c r="A148" t="inlineStr">
        <is>
          <t>POWERCO ENERGY RET</t>
        </is>
      </c>
      <c r="B148" t="inlineStr">
        <is>
          <t>Powerco Energy Retail</t>
        </is>
      </c>
      <c r="C148" t="n">
        <v>1</v>
      </c>
      <c r="D148" t="n">
        <v>1</v>
      </c>
    </row>
    <row r="149">
      <c r="A149" t="inlineStr">
        <is>
          <t>POWERCO ENERGY RETAIL</t>
        </is>
      </c>
      <c r="B149" t="inlineStr">
        <is>
          <t>Powerco Energy Retail</t>
        </is>
      </c>
      <c r="C149" t="n">
        <v>1</v>
      </c>
      <c r="D149" t="n">
        <v>2</v>
      </c>
    </row>
    <row r="150">
      <c r="A150" t="inlineStr">
        <is>
          <t>QUARRY LANE CONCRETE</t>
        </is>
      </c>
      <c r="B150" t="inlineStr">
        <is>
          <t>Quarry Lane Concrete</t>
        </is>
      </c>
      <c r="C150" t="n">
        <v>1</v>
      </c>
      <c r="D150" t="n">
        <v>1</v>
      </c>
    </row>
    <row r="151">
      <c r="A151" t="inlineStr">
        <is>
          <t>QUARRY LANE CONCRETE P</t>
        </is>
      </c>
      <c r="B151" t="inlineStr">
        <is>
          <t>Quarry Lane Concrete</t>
        </is>
      </c>
      <c r="C151" t="n">
        <v>0.973</v>
      </c>
      <c r="D151" t="n">
        <v>2</v>
      </c>
    </row>
    <row r="152">
      <c r="A152" t="inlineStr">
        <is>
          <t>QUILLON ENGINEERIN</t>
        </is>
      </c>
      <c r="B152" t="inlineStr">
        <is>
          <t>Quillon Engineering</t>
        </is>
      </c>
      <c r="C152" t="n">
        <v>1</v>
      </c>
      <c r="D152" t="n">
        <v>3</v>
      </c>
    </row>
    <row r="153">
      <c r="A153" t="inlineStr">
        <is>
          <t>QUILLON ENGINEERING</t>
        </is>
      </c>
      <c r="B153" t="inlineStr">
        <is>
          <t>Quillon Engineering</t>
        </is>
      </c>
      <c r="C153" t="n">
        <v>1</v>
      </c>
      <c r="D153" t="n">
        <v>2</v>
      </c>
    </row>
    <row r="154">
      <c r="A154" t="inlineStr">
        <is>
          <t>QUILLONENGINEERI</t>
        </is>
      </c>
      <c r="B154" t="inlineStr">
        <is>
          <t>Quillon Engineering</t>
        </is>
      </c>
      <c r="C154" t="n">
        <v>1</v>
      </c>
      <c r="D154" t="n">
        <v>1</v>
      </c>
    </row>
    <row r="155">
      <c r="A155" t="inlineStr">
        <is>
          <t>REDGUM PLAN ADMIN</t>
        </is>
      </c>
      <c r="B155" t="inlineStr">
        <is>
          <t>Redgum Plan Admin</t>
        </is>
      </c>
      <c r="C155" t="n">
        <v>1</v>
      </c>
      <c r="D155" t="n">
        <v>20</v>
      </c>
    </row>
    <row r="156">
      <c r="A156" t="inlineStr">
        <is>
          <t>REDGUM PLAN ADMIN PTY</t>
        </is>
      </c>
      <c r="B156" t="inlineStr">
        <is>
          <t>Redgum Plan Admin</t>
        </is>
      </c>
      <c r="C156" t="n">
        <v>1</v>
      </c>
      <c r="D156" t="n">
        <v>8</v>
      </c>
    </row>
    <row r="157">
      <c r="A157" t="inlineStr">
        <is>
          <t>REDGUMPLANADMIN</t>
        </is>
      </c>
      <c r="B157" t="inlineStr">
        <is>
          <t>Redgum Plan Admin</t>
        </is>
      </c>
      <c r="C157" t="n">
        <v>1</v>
      </c>
      <c r="D157" t="n">
        <v>7</v>
      </c>
    </row>
    <row r="158">
      <c r="A158" t="inlineStr">
        <is>
          <t>RIVERBEND PLAN PAR</t>
        </is>
      </c>
      <c r="B158" t="inlineStr">
        <is>
          <t>Riverbend Plan Partners</t>
        </is>
      </c>
      <c r="C158" t="n">
        <v>1</v>
      </c>
      <c r="D158" t="n">
        <v>12</v>
      </c>
    </row>
    <row r="159">
      <c r="A159" t="inlineStr">
        <is>
          <t>RIVERBEND PLAN PARTN</t>
        </is>
      </c>
      <c r="B159" t="inlineStr">
        <is>
          <t>Riverbend Plan Partners</t>
        </is>
      </c>
      <c r="C159" t="n">
        <v>1</v>
      </c>
      <c r="D159" t="n">
        <v>9</v>
      </c>
    </row>
    <row r="160">
      <c r="A160" t="inlineStr">
        <is>
          <t>RIVERBEND PLAN PARTNER</t>
        </is>
      </c>
      <c r="B160" t="inlineStr">
        <is>
          <t>Riverbend Plan Partners</t>
        </is>
      </c>
      <c r="C160" t="n">
        <v>1</v>
      </c>
      <c r="D160" t="n">
        <v>8</v>
      </c>
    </row>
    <row r="161">
      <c r="A161" t="inlineStr">
        <is>
          <t>RIVERBENDPLANPAR</t>
        </is>
      </c>
      <c r="B161" t="inlineStr">
        <is>
          <t>Riverbend Plan Partners</t>
        </is>
      </c>
      <c r="C161" t="n">
        <v>1</v>
      </c>
      <c r="D161" t="n">
        <v>3</v>
      </c>
    </row>
    <row r="162">
      <c r="A162" t="inlineStr">
        <is>
          <t>ROSEDALE NURSERIES</t>
        </is>
      </c>
      <c r="B162" t="inlineStr">
        <is>
          <t>Rosedale Nurseries</t>
        </is>
      </c>
      <c r="C162" t="n">
        <v>1</v>
      </c>
      <c r="D162" t="n">
        <v>3</v>
      </c>
    </row>
    <row r="163">
      <c r="A163" t="inlineStr">
        <is>
          <t>SALTBUSH PLAN MANA</t>
        </is>
      </c>
      <c r="B163" t="inlineStr">
        <is>
          <t>Saltbush Plan Managers</t>
        </is>
      </c>
      <c r="C163" t="n">
        <v>1</v>
      </c>
      <c r="D163" t="n">
        <v>10</v>
      </c>
    </row>
    <row r="164">
      <c r="A164" t="inlineStr">
        <is>
          <t>SALTBUSH PLAN MANAGE</t>
        </is>
      </c>
      <c r="B164" t="inlineStr">
        <is>
          <t>Saltbush Plan Managers</t>
        </is>
      </c>
      <c r="C164" t="n">
        <v>1</v>
      </c>
      <c r="D164" t="n">
        <v>7</v>
      </c>
    </row>
    <row r="165">
      <c r="A165" t="inlineStr">
        <is>
          <t>SALTBUSH PLAN MANAGERS</t>
        </is>
      </c>
      <c r="B165" t="inlineStr">
        <is>
          <t>Saltbush Plan Managers</t>
        </is>
      </c>
      <c r="C165" t="n">
        <v>1</v>
      </c>
      <c r="D165" t="n">
        <v>6</v>
      </c>
    </row>
    <row r="166">
      <c r="A166" t="inlineStr">
        <is>
          <t>SALTBUSHPLANMANA</t>
        </is>
      </c>
      <c r="B166" t="inlineStr">
        <is>
          <t>Saltbush Plan Managers</t>
        </is>
      </c>
      <c r="C166" t="n">
        <v>1</v>
      </c>
      <c r="D166" t="n">
        <v>2</v>
      </c>
    </row>
    <row r="167">
      <c r="A167" t="inlineStr">
        <is>
          <t>SORRENTO BAY HOTELS</t>
        </is>
      </c>
      <c r="B167" t="inlineStr">
        <is>
          <t>Sorrento Bay Hotels</t>
        </is>
      </c>
      <c r="C167" t="n">
        <v>1</v>
      </c>
      <c r="D167" t="n">
        <v>1</v>
      </c>
    </row>
    <row r="168">
      <c r="A168" t="inlineStr">
        <is>
          <t>SORRENTO BAY HOTELS PT</t>
        </is>
      </c>
      <c r="B168" t="inlineStr">
        <is>
          <t>Sorrento Bay Hotels</t>
        </is>
      </c>
      <c r="C168" t="n">
        <v>0.944</v>
      </c>
      <c r="D168" t="n">
        <v>1</v>
      </c>
    </row>
    <row r="169">
      <c r="A169" t="inlineStr">
        <is>
          <t>SOUTHERN CROSS PLA</t>
        </is>
      </c>
      <c r="B169" t="inlineStr">
        <is>
          <t>Southern Cross Plan Mgmt</t>
        </is>
      </c>
      <c r="C169" t="n">
        <v>1</v>
      </c>
      <c r="D169" t="n">
        <v>10</v>
      </c>
    </row>
    <row r="170">
      <c r="A170" t="inlineStr">
        <is>
          <t>SOUTHERN CROSS PLAN</t>
        </is>
      </c>
      <c r="B170" t="inlineStr">
        <is>
          <t>Southern Cross Plan Mgmt</t>
        </is>
      </c>
      <c r="C170" t="n">
        <v>1</v>
      </c>
      <c r="D170" t="n">
        <v>8</v>
      </c>
    </row>
    <row r="171">
      <c r="A171" t="inlineStr">
        <is>
          <t>SOUTHERN CROSS PLAN MG</t>
        </is>
      </c>
      <c r="B171" t="inlineStr">
        <is>
          <t>Southern Cross Plan Mgmt</t>
        </is>
      </c>
      <c r="C171" t="n">
        <v>0.955</v>
      </c>
      <c r="D171" t="n">
        <v>6</v>
      </c>
    </row>
    <row r="172">
      <c r="A172" t="inlineStr">
        <is>
          <t>SOUTHERNCROSSPLA</t>
        </is>
      </c>
      <c r="B172" t="inlineStr">
        <is>
          <t>Southern Cross Plan Mgmt</t>
        </is>
      </c>
      <c r="C172" t="n">
        <v>1</v>
      </c>
      <c r="D172" t="n">
        <v>1</v>
      </c>
    </row>
    <row r="173">
      <c r="A173" t="inlineStr">
        <is>
          <t>STANHOPE TRUCKING</t>
        </is>
      </c>
      <c r="B173" t="inlineStr">
        <is>
          <t>Stanhope Trucking</t>
        </is>
      </c>
      <c r="C173" t="n">
        <v>1</v>
      </c>
      <c r="D173" t="n">
        <v>2</v>
      </c>
    </row>
    <row r="174">
      <c r="A174" t="inlineStr">
        <is>
          <t>STANHOPE TRUCKING PTY</t>
        </is>
      </c>
      <c r="B174" t="inlineStr">
        <is>
          <t>Stanhope Trucking</t>
        </is>
      </c>
      <c r="C174" t="n">
        <v>1</v>
      </c>
      <c r="D174" t="n">
        <v>2</v>
      </c>
    </row>
    <row r="175">
      <c r="A175" t="inlineStr">
        <is>
          <t>STANHOPETRUCKING</t>
        </is>
      </c>
      <c r="B175" t="inlineStr">
        <is>
          <t>Stanhope Trucking</t>
        </is>
      </c>
      <c r="C175" t="n">
        <v>1</v>
      </c>
      <c r="D175" t="n">
        <v>1</v>
      </c>
    </row>
    <row r="176">
      <c r="A176" t="inlineStr">
        <is>
          <t>TALISKER MINING SERV</t>
        </is>
      </c>
      <c r="B176" t="inlineStr">
        <is>
          <t>Talisker Mining Services</t>
        </is>
      </c>
      <c r="C176" t="n">
        <v>1</v>
      </c>
      <c r="D176" t="n">
        <v>1</v>
      </c>
    </row>
    <row r="177">
      <c r="A177" t="inlineStr">
        <is>
          <t>TALISKERMININGSE</t>
        </is>
      </c>
      <c r="B177" t="inlineStr">
        <is>
          <t>Talisker Mining Services</t>
        </is>
      </c>
      <c r="C177" t="n">
        <v>1</v>
      </c>
      <c r="D177" t="n">
        <v>1</v>
      </c>
    </row>
    <row r="178">
      <c r="A178" t="inlineStr">
        <is>
          <t>TALLOWWOOD PLANS</t>
        </is>
      </c>
      <c r="B178" t="inlineStr">
        <is>
          <t>Tallowwood Plans</t>
        </is>
      </c>
      <c r="C178" t="n">
        <v>1</v>
      </c>
      <c r="D178" t="n">
        <v>13</v>
      </c>
    </row>
    <row r="179">
      <c r="A179" t="inlineStr">
        <is>
          <t>TALLOWWOOD PLANS PTY L</t>
        </is>
      </c>
      <c r="B179" t="inlineStr">
        <is>
          <t>Tallowwood Plans</t>
        </is>
      </c>
      <c r="C179" t="n">
        <v>0.968</v>
      </c>
      <c r="D179" t="n">
        <v>8</v>
      </c>
    </row>
    <row r="180">
      <c r="A180" t="inlineStr">
        <is>
          <t>TALLOWWOODPLANS</t>
        </is>
      </c>
      <c r="B180" t="inlineStr">
        <is>
          <t>Tallowwood Plans</t>
        </is>
      </c>
      <c r="C180" t="n">
        <v>1</v>
      </c>
      <c r="D180" t="n">
        <v>5</v>
      </c>
    </row>
    <row r="181">
      <c r="A181" t="inlineStr">
        <is>
          <t>TAMSINRIDGEWINER</t>
        </is>
      </c>
      <c r="B181" t="inlineStr">
        <is>
          <t>Tamsin Ridge Wineries</t>
        </is>
      </c>
      <c r="C181" t="n">
        <v>1</v>
      </c>
      <c r="D181" t="n">
        <v>1</v>
      </c>
    </row>
    <row r="182">
      <c r="A182" t="inlineStr">
        <is>
          <t>TELEHEALTH PLATFOR</t>
        </is>
      </c>
      <c r="B182" t="inlineStr">
        <is>
          <t>Telehealth Platform Inc</t>
        </is>
      </c>
      <c r="C182" t="n">
        <v>1</v>
      </c>
      <c r="D182" t="n">
        <v>1</v>
      </c>
    </row>
    <row r="183">
      <c r="A183" t="inlineStr">
        <is>
          <t>TELEHEALTHPLATFO</t>
        </is>
      </c>
      <c r="B183" t="inlineStr">
        <is>
          <t>Telehealth Platform Inc</t>
        </is>
      </c>
      <c r="C183" t="n">
        <v>1</v>
      </c>
      <c r="D183" t="n">
        <v>2</v>
      </c>
    </row>
    <row r="184">
      <c r="A184" t="inlineStr">
        <is>
          <t>TELWAVE BUSINESS MOB</t>
        </is>
      </c>
      <c r="B184" t="inlineStr">
        <is>
          <t>Telwave Business Mobile</t>
        </is>
      </c>
      <c r="C184" t="n">
        <v>1</v>
      </c>
      <c r="D184" t="n">
        <v>1</v>
      </c>
    </row>
    <row r="185">
      <c r="A185" t="inlineStr">
        <is>
          <t>TELWAVE BUSINESS MOBIL</t>
        </is>
      </c>
      <c r="B185" t="inlineStr">
        <is>
          <t>Telwave Business Mobile</t>
        </is>
      </c>
      <c r="C185" t="n">
        <v>1</v>
      </c>
      <c r="D185" t="n">
        <v>1</v>
      </c>
    </row>
    <row r="186">
      <c r="A186" t="inlineStr">
        <is>
          <t>TELWAVEBUSINESSM</t>
        </is>
      </c>
      <c r="B186" t="inlineStr">
        <is>
          <t>Telwave Business Mobile</t>
        </is>
      </c>
      <c r="C186" t="n">
        <v>1</v>
      </c>
      <c r="D186" t="n">
        <v>1</v>
      </c>
    </row>
    <row r="187">
      <c r="A187" t="inlineStr">
        <is>
          <t>THORNBURY TEXTILES</t>
        </is>
      </c>
      <c r="B187" t="inlineStr">
        <is>
          <t>Thornbury Textiles</t>
        </is>
      </c>
      <c r="C187" t="n">
        <v>1</v>
      </c>
      <c r="D187" t="n">
        <v>1</v>
      </c>
    </row>
    <row r="188">
      <c r="A188" t="inlineStr">
        <is>
          <t>THORNBURY TEXTILES PTY</t>
        </is>
      </c>
      <c r="B188" t="inlineStr">
        <is>
          <t>Thornbury Textiles</t>
        </is>
      </c>
      <c r="C188" t="n">
        <v>1</v>
      </c>
      <c r="D188" t="n">
        <v>1</v>
      </c>
    </row>
    <row r="189">
      <c r="A189" t="inlineStr">
        <is>
          <t>THORNBURYTEXTILE</t>
        </is>
      </c>
      <c r="B189" t="inlineStr">
        <is>
          <t>Thornbury Textiles</t>
        </is>
      </c>
      <c r="C189" t="n">
        <v>1</v>
      </c>
      <c r="D189" t="n">
        <v>1</v>
      </c>
    </row>
    <row r="190">
      <c r="A190" t="inlineStr">
        <is>
          <t>UNITY WORKCOVER AG</t>
        </is>
      </c>
      <c r="B190" t="inlineStr">
        <is>
          <t>Unity Workcover Agents</t>
        </is>
      </c>
      <c r="C190" t="n">
        <v>1</v>
      </c>
      <c r="D190" t="n">
        <v>7</v>
      </c>
    </row>
    <row r="191">
      <c r="A191" t="inlineStr">
        <is>
          <t>UNITY WORKCOVER AGEN</t>
        </is>
      </c>
      <c r="B191" t="inlineStr">
        <is>
          <t>Unity Workcover Agents</t>
        </is>
      </c>
      <c r="C191" t="n">
        <v>1</v>
      </c>
      <c r="D191" t="n">
        <v>7</v>
      </c>
    </row>
    <row r="192">
      <c r="A192" t="inlineStr">
        <is>
          <t>UNITY WORKCOVER AGENTS</t>
        </is>
      </c>
      <c r="B192" t="inlineStr">
        <is>
          <t>Unity Workcover Agents</t>
        </is>
      </c>
      <c r="C192" t="n">
        <v>1</v>
      </c>
      <c r="D192" t="n">
        <v>6</v>
      </c>
    </row>
    <row r="193">
      <c r="A193" t="inlineStr">
        <is>
          <t>UNITYWORKCOVERAG</t>
        </is>
      </c>
      <c r="B193" t="inlineStr">
        <is>
          <t>Unity Workcover Agents</t>
        </is>
      </c>
      <c r="C193" t="n">
        <v>1</v>
      </c>
      <c r="D193" t="n">
        <v>3</v>
      </c>
    </row>
    <row r="194">
      <c r="A194" t="inlineStr">
        <is>
          <t>VARGA AND HOLT LOGIS</t>
        </is>
      </c>
      <c r="B194" t="inlineStr">
        <is>
          <t>Varga &amp; Holt Logistics</t>
        </is>
      </c>
      <c r="C194" t="n">
        <v>1</v>
      </c>
      <c r="D194" t="n">
        <v>1</v>
      </c>
    </row>
    <row r="195">
      <c r="A195" t="inlineStr">
        <is>
          <t>VARGA AND HOLT LOGISTI</t>
        </is>
      </c>
      <c r="B195" t="inlineStr">
        <is>
          <t>Varga &amp; Holt Logistics</t>
        </is>
      </c>
      <c r="C195" t="n">
        <v>1</v>
      </c>
      <c r="D195" t="n">
        <v>2</v>
      </c>
    </row>
    <row r="196">
      <c r="A196" t="inlineStr">
        <is>
          <t>VIDEO VISIT SYSTEMS PT</t>
        </is>
      </c>
      <c r="B196" t="inlineStr">
        <is>
          <t>Video Visit Systems</t>
        </is>
      </c>
      <c r="C196" t="n">
        <v>0.944</v>
      </c>
      <c r="D196" t="n">
        <v>2</v>
      </c>
    </row>
    <row r="197">
      <c r="A197" t="inlineStr">
        <is>
          <t>VIDEOVISITSYSTEM</t>
        </is>
      </c>
      <c r="B197" t="inlineStr">
        <is>
          <t>Video Visit Systems</t>
        </is>
      </c>
      <c r="C197" t="n">
        <v>1</v>
      </c>
      <c r="D197" t="n">
        <v>1</v>
      </c>
    </row>
    <row r="198">
      <c r="A198" t="inlineStr">
        <is>
          <t>WATTLE PLAN SERVIC</t>
        </is>
      </c>
      <c r="B198" t="inlineStr">
        <is>
          <t>Wattle Plan Services</t>
        </is>
      </c>
      <c r="C198" t="n">
        <v>1</v>
      </c>
      <c r="D198" t="n">
        <v>8</v>
      </c>
    </row>
    <row r="199">
      <c r="A199" t="inlineStr">
        <is>
          <t>WATTLE PLAN SERVICES</t>
        </is>
      </c>
      <c r="B199" t="inlineStr">
        <is>
          <t>Wattle Plan Services</t>
        </is>
      </c>
      <c r="C199" t="n">
        <v>1</v>
      </c>
      <c r="D199" t="n">
        <v>10</v>
      </c>
    </row>
    <row r="200">
      <c r="A200" t="inlineStr">
        <is>
          <t>WATTLE PLAN SERVICES P</t>
        </is>
      </c>
      <c r="B200" t="inlineStr">
        <is>
          <t>Wattle Plan Services</t>
        </is>
      </c>
      <c r="C200" t="n">
        <v>0.973</v>
      </c>
      <c r="D200" t="n">
        <v>7</v>
      </c>
    </row>
    <row r="201">
      <c r="A201" t="inlineStr">
        <is>
          <t>WATTLEPLANSERVIC</t>
        </is>
      </c>
      <c r="B201" t="inlineStr">
        <is>
          <t>Wattle Plan Services</t>
        </is>
      </c>
      <c r="C201" t="n">
        <v>1</v>
      </c>
      <c r="D201" t="n">
        <v>5</v>
      </c>
    </row>
    <row r="202">
      <c r="A202" t="inlineStr">
        <is>
          <t>WESTMERE COUNCIL S</t>
        </is>
      </c>
      <c r="B202" t="inlineStr">
        <is>
          <t>Westmere Council Services</t>
        </is>
      </c>
      <c r="C202" t="n">
        <v>1</v>
      </c>
      <c r="D202" t="n">
        <v>1</v>
      </c>
    </row>
    <row r="203">
      <c r="A203" t="inlineStr">
        <is>
          <t>WESTMERE COUNCIL SERVI</t>
        </is>
      </c>
      <c r="B203" t="inlineStr">
        <is>
          <t>Westmere Council Services</t>
        </is>
      </c>
      <c r="C203" t="n">
        <v>1</v>
      </c>
      <c r="D203" t="n">
        <v>1</v>
      </c>
    </row>
    <row r="204">
      <c r="A204" t="inlineStr">
        <is>
          <t>WESTMERECOUNCILS</t>
        </is>
      </c>
      <c r="B204" t="inlineStr">
        <is>
          <t>Westmere Council Services</t>
        </is>
      </c>
      <c r="C204" t="n">
        <v>1</v>
      </c>
      <c r="D204" t="n">
        <v>3</v>
      </c>
    </row>
  </sheetData>
  <conditionalFormatting sqref="C5:C204">
    <cfRule type="cellIs" priority="1" operator="lessThan" dxfId="2">
      <formula>0.95</formula>
    </cfRule>
  </conditionalFormatting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60" customWidth="1" min="2" max="2"/>
    <col width="12" customWidth="1" min="3" max="3"/>
    <col width="10" customWidth="1" min="4" max="4"/>
    <col width="10" customWidth="1" min="5" max="5"/>
    <col width="9" customWidth="1" min="6" max="6"/>
    <col width="50" customWidth="1" min="7" max="7"/>
  </cols>
  <sheetData>
    <row r="1">
      <c r="A1" s="7" t="inlineStr">
        <is>
          <t>Test log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8" t="inlineStr">
        <is>
          <t>Test</t>
        </is>
      </c>
      <c r="B4" s="8" t="inlineStr">
        <is>
          <t>Method</t>
        </is>
      </c>
      <c r="C4" s="8" t="inlineStr">
        <is>
          <t>Items tested</t>
        </is>
      </c>
      <c r="D4" s="8" t="inlineStr">
        <is>
          <t>Agree</t>
        </is>
      </c>
      <c r="E4" s="8" t="inlineStr">
        <is>
          <t>Disagree</t>
        </is>
      </c>
      <c r="F4" s="8" t="inlineStr">
        <is>
          <t>Result</t>
        </is>
      </c>
      <c r="G4" s="8" t="inlineStr">
        <is>
          <t>Notes</t>
        </is>
      </c>
    </row>
    <row r="5">
      <c r="A5" t="inlineStr">
        <is>
          <t>Engine regression: every bank line and Odoo item</t>
        </is>
      </c>
      <c r="B5" t="inlineStr">
        <is>
          <t>match.py result compared item by item with data/expected_outcomes.csv (counterparts and reason code)</t>
        </is>
      </c>
      <c r="C5" t="n">
        <v>5963</v>
      </c>
      <c r="D5" t="n">
        <v>5963</v>
      </c>
      <c r="E5" t="n">
        <v>0</v>
      </c>
      <c r="F5" t="str">
        <f>IF(E5=0,"PASS","FAIL")</f>
        <v>PASS</v>
      </c>
      <c r="G5" t="inlineStr">
        <is>
          <t>Run log from match.py</t>
        </is>
      </c>
    </row>
    <row r="7">
      <c r="A7" s="4" t="inlineStr">
        <is>
          <t>Scenario tests (each scenario built into the data is found by the engine)</t>
        </is>
      </c>
    </row>
    <row r="8">
      <c r="A8" t="inlineStr">
        <is>
          <t>Duplicate import of the 14 Aug file</t>
        </is>
      </c>
      <c r="B8" t="inlineStr">
        <is>
          <t>Count in the workbook (formula)</t>
        </is>
      </c>
      <c r="C8">
        <f>COUNTIFS('Bank Lines'!$I$5:$I$1640,"DUPIMP")</f>
        <v>13</v>
      </c>
      <c r="D8" t="n">
        <v>13</v>
      </c>
      <c r="F8" t="str">
        <f>IF(C8=D8,"PASS","FAIL")</f>
        <v>PASS</v>
      </c>
      <c r="G8" t="inlineStr">
        <is>
          <t>Expected count from the scenario design</t>
        </is>
      </c>
    </row>
    <row r="9">
      <c r="A9" t="inlineStr">
        <is>
          <t>Stripe payouts reconciled to the report</t>
        </is>
      </c>
      <c r="B9" t="inlineStr">
        <is>
          <t>Count in the workbook (formula)</t>
        </is>
      </c>
      <c r="C9">
        <f>COUNTIFS('Stripe Payouts'!L5:L72,0,'Stripe Payouts'!J5:J72,"&lt;&gt;after 30 Sep")</f>
        <v>66</v>
      </c>
      <c r="D9" t="n">
        <v>66</v>
      </c>
      <c r="F9" t="str">
        <f>IF(C9=D9,"PASS","FAIL")</f>
        <v>PASS</v>
      </c>
      <c r="G9" t="inlineStr">
        <is>
          <t>Expected count from the scenario design</t>
        </is>
      </c>
    </row>
    <row r="10">
      <c r="A10" t="inlineStr">
        <is>
          <t>Plan manager remittances, one bank line to many invoices</t>
        </is>
      </c>
      <c r="B10" t="inlineStr">
        <is>
          <t>Count in the workbook (formula)</t>
        </is>
      </c>
      <c r="C10">
        <f>COUNTIFS('Match Groups'!$C$5:$C$1326,"R03")</f>
        <v>422</v>
      </c>
      <c r="D10" t="n">
        <v>422</v>
      </c>
      <c r="F10" t="str">
        <f>IF(C10=D10,"PASS","FAIL")</f>
        <v>PASS</v>
      </c>
      <c r="G10" t="inlineStr">
        <is>
          <t>Expected count from the scenario design</t>
        </is>
      </c>
    </row>
    <row r="11">
      <c r="A11" t="inlineStr">
        <is>
          <t>Short payments registered at full value</t>
        </is>
      </c>
      <c r="B11" t="inlineStr">
        <is>
          <t>Count in the workbook (formula)</t>
        </is>
      </c>
      <c r="C11">
        <f>COUNTIFS('Match Groups'!$D$5:$D$1326,"SHORT")</f>
        <v>3</v>
      </c>
      <c r="D11" t="n">
        <v>3</v>
      </c>
      <c r="F11" t="str">
        <f>IF(C11=D11,"PASS","FAIL")</f>
        <v>PASS</v>
      </c>
      <c r="G11" t="inlineStr">
        <is>
          <t>Expected count from the scenario design</t>
        </is>
      </c>
    </row>
    <row r="12">
      <c r="A12" t="inlineStr">
        <is>
          <t>Receipts registered twice in Odoo</t>
        </is>
      </c>
      <c r="B12" t="inlineStr">
        <is>
          <t>Count in the workbook (formula)</t>
        </is>
      </c>
      <c r="C12">
        <f>COUNTIFS('Match Groups'!$D$5:$D$1326,"DUPL")</f>
        <v>2</v>
      </c>
      <c r="D12" t="n">
        <v>2</v>
      </c>
      <c r="F12" t="str">
        <f>IF(C12=D12,"PASS","FAIL")</f>
        <v>PASS</v>
      </c>
      <c r="G12" t="inlineStr">
        <is>
          <t>Expected count from the scenario design</t>
        </is>
      </c>
    </row>
    <row r="13">
      <c r="A13" t="inlineStr">
        <is>
          <t>Payroll runs, many bank lines to one entry</t>
        </is>
      </c>
      <c r="B13" t="inlineStr">
        <is>
          <t>Count in the workbook (formula)</t>
        </is>
      </c>
      <c r="C13">
        <f>COUNTIFS('Match Groups'!$C$5:$C$1326,"R05")</f>
        <v>7</v>
      </c>
      <c r="D13" t="n">
        <v>7</v>
      </c>
      <c r="F13" t="str">
        <f>IF(C13=D13,"PASS","FAIL")</f>
        <v>PASS</v>
      </c>
      <c r="G13" t="inlineStr">
        <is>
          <t>Expected count from the scenario design</t>
        </is>
      </c>
    </row>
    <row r="14">
      <c r="A14" t="inlineStr">
        <is>
          <t>ABA batches, one bank line to many payments</t>
        </is>
      </c>
      <c r="B14" t="inlineStr">
        <is>
          <t>Count in the workbook (formula)</t>
        </is>
      </c>
      <c r="C14">
        <f>COUNTIFS('Match Groups'!$C$5:$C$1326,"R06")</f>
        <v>14</v>
      </c>
      <c r="D14" t="n">
        <v>14</v>
      </c>
      <c r="F14" t="str">
        <f>IF(C14=D14,"PASS","FAIL")</f>
        <v>PASS</v>
      </c>
      <c r="G14" t="inlineStr">
        <is>
          <t>Expected count from the scenario design</t>
        </is>
      </c>
    </row>
    <row r="15">
      <c r="A15" t="inlineStr">
        <is>
          <t>Escalated unexplained items</t>
        </is>
      </c>
      <c r="B15" t="inlineStr">
        <is>
          <t>Count in the workbook (formula)</t>
        </is>
      </c>
      <c r="C15">
        <f>COUNTIFS('Match Groups'!$D$5:$D$1326,"UNEXP")</f>
        <v>5</v>
      </c>
      <c r="D15" t="n">
        <v>5</v>
      </c>
      <c r="F15" t="str">
        <f>IF(C15=D15,"PASS","FAIL")</f>
        <v>PASS</v>
      </c>
      <c r="G15" t="inlineStr">
        <is>
          <t>Expected count from the scenario design</t>
        </is>
      </c>
    </row>
    <row r="16">
      <c r="A16" t="inlineStr">
        <is>
          <t>Payee variations resolved by fuzzy score</t>
        </is>
      </c>
      <c r="B16" t="inlineStr">
        <is>
          <t>Count in the workbook (formula)</t>
        </is>
      </c>
      <c r="C16">
        <f>COUNTA('Payee Aliases'!A5:A204)</f>
        <v>200</v>
      </c>
      <c r="F16" t="inlineStr">
        <is>
          <t>INFO</t>
        </is>
      </c>
    </row>
    <row r="17">
      <c r="A17" t="inlineStr">
        <is>
          <t>FX conversions with a rate difference</t>
        </is>
      </c>
      <c r="B17" t="inlineStr">
        <is>
          <t>Count in the workbook (formula)</t>
        </is>
      </c>
      <c r="C17">
        <f>COUNTIFS('Match Groups'!$D$5:$D$1326,"FXR")</f>
        <v>3</v>
      </c>
      <c r="D17" t="n">
        <v>3</v>
      </c>
      <c r="F17" t="str">
        <f>IF(C17=D17,"PASS","FAIL")</f>
        <v>PASS</v>
      </c>
      <c r="G17" t="inlineStr">
        <is>
          <t>Expected count from the scenario design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2026-10-27T11:15:24Z</dcterms:created>
  <dcterms:modified xmlns:dcterms="http://purl.org/dc/terms/" xmlns:xsi="http://www.w3.org/2001/XMLSchema-instance" xsi:type="dcterms:W3CDTF">2026-10-27T11:15:25Z</dcterms:modified>
</cp:coreProperties>
</file>